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4.xml" ContentType="application/vnd.openxmlformats-officedocument.spreadsheetml.pivotTable+xml"/>
  <Override PartName="/xl/tables/table8.xml" ContentType="application/vnd.openxmlformats-officedocument.spreadsheetml.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khaingm\Dropbox\MYAYA_IMO\Kachin\Cluster_Report\2017\January\"/>
    </mc:Choice>
  </mc:AlternateContent>
  <bookViews>
    <workbookView xWindow="0" yWindow="1365" windowWidth="10125" windowHeight="2775" tabRatio="886" firstSheet="4"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Define_TCL" sheetId="69" state="hidden" r:id="rId11"/>
    <sheet name="Shelter Progress" sheetId="36" r:id="rId12"/>
    <sheet name="Shelter Summary (by Agency)" sheetId="45" r:id="rId13"/>
    <sheet name="Shelter Coverage Camp" sheetId="84" state="hidden" r:id="rId14"/>
    <sheet name="Shelter Coverage &amp; Gaps" sheetId="62" r:id="rId15"/>
    <sheet name="NFI Tracking" sheetId="20" r:id="rId16"/>
    <sheet name="NFI Pipeline" sheetId="30" r:id="rId17"/>
    <sheet name="Sheet2" sheetId="92" state="hidden" r:id="rId18"/>
    <sheet name="NFI Distribution (by Tship)" sheetId="37" r:id="rId19"/>
    <sheet name="Winter Item" sheetId="86" state="hidden" r:id="rId20"/>
    <sheet name="NFI Summary" sheetId="43" r:id="rId21"/>
    <sheet name="File_Details" sheetId="77" state="hidden" r:id="rId22"/>
    <sheet name="Definition" sheetId="49" state="hidden" r:id="rId23"/>
  </sheets>
  <externalReferences>
    <externalReference r:id="rId24"/>
  </externalReferences>
  <definedNames>
    <definedName name="_xlnm._FilterDatabase" localSheetId="1" hidden="1">'Camp List'!$A$1:$C$3</definedName>
    <definedName name="_xlnm._FilterDatabase" localSheetId="15" hidden="1">'NFI Tracking'!$A$5:$A$1340</definedName>
    <definedName name="_xlnm._FilterDatabase" localSheetId="9" hidden="1">'Shelter Tracking'!$A$2:$P$3</definedName>
    <definedName name="AllData_Camplist" localSheetId="8">CampList[#All]</definedName>
    <definedName name="AllData_Camplist" localSheetId="14">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Define_TCL!$G$4:$K$1000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Definition!$L$2:$L$24</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Dashboard'!$A$2:$S$52</definedName>
    <definedName name="_xlnm.Print_Area" localSheetId="8">Map!$A:$O</definedName>
    <definedName name="_xlnm.Print_Area" localSheetId="18">'NFI Distribution (by Tship)'!$A$2:$Z$29</definedName>
    <definedName name="_xlnm.Print_Area" localSheetId="16">'NFI Pipeline'!$A$5:$AI$6</definedName>
    <definedName name="_xlnm.Print_Area" localSheetId="20">'NFI Summary'!$B$2:$T$39</definedName>
    <definedName name="_xlnm.Print_Area" localSheetId="15">'NFI Tracking'!$A$5:$O$5</definedName>
    <definedName name="_xlnm.Print_Area" localSheetId="14">'Shelter Coverage &amp; Gaps'!$B$2:$O$50</definedName>
    <definedName name="_xlnm.Print_Area" localSheetId="11">'Shelter Progress'!$A$2:$O$99</definedName>
    <definedName name="_xlnm.Print_Area" localSheetId="12">'Shelter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Gaps'!$CH$13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5"/>
    <pivotCache cacheId="1" r:id="rId26"/>
    <pivotCache cacheId="2" r:id="rId27"/>
    <pivotCache cacheId="11" r:id="rId28"/>
    <pivotCache cacheId="25" r:id="rId29"/>
  </pivotCaches>
</workbook>
</file>

<file path=xl/calcChain.xml><?xml version="1.0" encoding="utf-8"?>
<calcChain xmlns="http://schemas.openxmlformats.org/spreadsheetml/2006/main">
  <c r="S279" i="14" l="1"/>
  <c r="AI279" i="14"/>
  <c r="AJ279" i="14"/>
  <c r="AK279" i="14" s="1"/>
  <c r="A1339" i="20" l="1"/>
  <c r="Y1339" i="20" s="1"/>
  <c r="A1340" i="20"/>
  <c r="Y1340" i="20" s="1"/>
  <c r="AM1339" i="20"/>
  <c r="AM1340" i="20"/>
  <c r="AQ1339" i="20"/>
  <c r="AT1339" i="20" s="1"/>
  <c r="AQ1340" i="20"/>
  <c r="AR1340" i="20" s="1"/>
  <c r="AS1339" i="20"/>
  <c r="AS1340" i="20"/>
  <c r="AU1339" i="20"/>
  <c r="AU1340" i="20"/>
  <c r="AR25" i="20"/>
  <c r="AS41" i="20"/>
  <c r="AS42" i="20"/>
  <c r="AS43" i="20"/>
  <c r="AS44" i="20"/>
  <c r="AS45" i="20"/>
  <c r="AS46" i="20"/>
  <c r="AS47" i="20"/>
  <c r="AS48" i="20"/>
  <c r="AS49" i="20"/>
  <c r="AS50" i="20"/>
  <c r="AS51" i="20"/>
  <c r="AS25" i="20"/>
  <c r="AR1339" i="20" l="1"/>
  <c r="AJ1339" i="20"/>
  <c r="AP1339" i="20"/>
  <c r="AF1339" i="20"/>
  <c r="AN1340" i="20"/>
  <c r="AL1340" i="20"/>
  <c r="AH1340" i="20"/>
  <c r="AD1340" i="20"/>
  <c r="AN1339" i="20"/>
  <c r="AL1339" i="20"/>
  <c r="AH1339" i="20"/>
  <c r="AB1339" i="20"/>
  <c r="AP1340" i="20"/>
  <c r="AJ1340" i="20"/>
  <c r="AF1340" i="20"/>
  <c r="Z1340" i="20"/>
  <c r="AB1340" i="20"/>
  <c r="AD1339" i="20"/>
  <c r="Z1339" i="20"/>
  <c r="AO1340" i="20"/>
  <c r="AK1340" i="20"/>
  <c r="AI1340" i="20"/>
  <c r="AG1340" i="20"/>
  <c r="AE1340" i="20"/>
  <c r="AC1340" i="20"/>
  <c r="AA1340" i="20"/>
  <c r="AO1339" i="20"/>
  <c r="AK1339" i="20"/>
  <c r="AI1339" i="20"/>
  <c r="AG1339" i="20"/>
  <c r="AE1339" i="20"/>
  <c r="AC1339" i="20"/>
  <c r="AA1339" i="20"/>
  <c r="AT1340" i="20"/>
  <c r="W4" i="43" l="1"/>
  <c r="E12" i="43" s="1"/>
  <c r="D12" i="43"/>
  <c r="AQ1107" i="20"/>
  <c r="AR1107" i="20" s="1"/>
  <c r="AQ1108" i="20"/>
  <c r="AQ1109" i="20"/>
  <c r="AR1109" i="20" s="1"/>
  <c r="AQ1110" i="20"/>
  <c r="AR1110" i="20" s="1"/>
  <c r="AQ1111" i="20"/>
  <c r="AR1111" i="20" s="1"/>
  <c r="AQ1112" i="20"/>
  <c r="AR1112" i="20" s="1"/>
  <c r="AQ1102" i="20"/>
  <c r="AR1102" i="20" s="1"/>
  <c r="AQ1103" i="20"/>
  <c r="AR1103" i="20" s="1"/>
  <c r="AQ1104" i="20"/>
  <c r="AR1104" i="20" s="1"/>
  <c r="AQ1105" i="20"/>
  <c r="AQ1106" i="20"/>
  <c r="AQ1100" i="20"/>
  <c r="AR1100" i="20" s="1"/>
  <c r="AQ1101" i="20"/>
  <c r="AQ1097" i="20"/>
  <c r="AQ1098" i="20"/>
  <c r="AR1098" i="20" s="1"/>
  <c r="AQ1099" i="20"/>
  <c r="AR1099" i="20" s="1"/>
  <c r="AQ1096" i="20"/>
  <c r="AR1096" i="20" s="1"/>
  <c r="AQ1093" i="20"/>
  <c r="AQ1094" i="20"/>
  <c r="AR1094" i="20" s="1"/>
  <c r="AQ1095" i="20"/>
  <c r="AR1095" i="20" s="1"/>
  <c r="AQ1091" i="20"/>
  <c r="AQ1092" i="20"/>
  <c r="AQ1090" i="20"/>
  <c r="AR1090" i="20" s="1"/>
  <c r="AQ1089" i="20"/>
  <c r="AR1089" i="20" s="1"/>
  <c r="AQ1088" i="20"/>
  <c r="AQ1084" i="20"/>
  <c r="AQ1087" i="20"/>
  <c r="AR1087" i="20" s="1"/>
  <c r="AQ1085" i="20"/>
  <c r="AR1085" i="20" s="1"/>
  <c r="AQ1086" i="20"/>
  <c r="AR1086" i="20" s="1"/>
  <c r="AQ1080" i="20"/>
  <c r="AR1080" i="20" s="1"/>
  <c r="AQ1081" i="20"/>
  <c r="AR1081" i="20" s="1"/>
  <c r="AQ1082" i="20"/>
  <c r="AR1082" i="20" s="1"/>
  <c r="AQ1083" i="20"/>
  <c r="AQ1079" i="20"/>
  <c r="AQ1078" i="20"/>
  <c r="AR1078" i="20" s="1"/>
  <c r="AQ1077" i="20"/>
  <c r="AR1077" i="20" s="1"/>
  <c r="AQ1076" i="20"/>
  <c r="AR1076" i="20" s="1"/>
  <c r="AQ1075" i="20"/>
  <c r="AQ1074" i="20"/>
  <c r="AR1074" i="20" s="1"/>
  <c r="AQ1073" i="20"/>
  <c r="AQ1069" i="20"/>
  <c r="AR1069" i="20" s="1"/>
  <c r="AQ1070" i="20"/>
  <c r="AQ1071" i="20"/>
  <c r="AR1071" i="20" s="1"/>
  <c r="AQ1072" i="20"/>
  <c r="AQ1067" i="20"/>
  <c r="AR1067" i="20" s="1"/>
  <c r="AQ1068" i="20"/>
  <c r="AQ1066" i="20"/>
  <c r="AR1066" i="20" s="1"/>
  <c r="AQ1053" i="20"/>
  <c r="AQ1054" i="20"/>
  <c r="AQ1055" i="20"/>
  <c r="AQ1056" i="20"/>
  <c r="AR1056" i="20" s="1"/>
  <c r="AQ1057" i="20"/>
  <c r="AR1057" i="20" s="1"/>
  <c r="AQ1059" i="20"/>
  <c r="AQ1060" i="20"/>
  <c r="AR1060" i="20" s="1"/>
  <c r="AQ1061" i="20"/>
  <c r="AR1061" i="20" s="1"/>
  <c r="AQ1058" i="20"/>
  <c r="AR1058" i="20" s="1"/>
  <c r="AQ1062" i="20"/>
  <c r="AQ1063" i="20"/>
  <c r="AQ1064" i="20"/>
  <c r="AR1064" i="20" s="1"/>
  <c r="AQ1065" i="20"/>
  <c r="AR1065" i="20" s="1"/>
  <c r="AQ1052" i="20"/>
  <c r="AQ1051" i="20"/>
  <c r="AQ1050" i="20"/>
  <c r="AR1050" i="20" s="1"/>
  <c r="AQ1048" i="20"/>
  <c r="AQ1049" i="20"/>
  <c r="AR1049" i="20" s="1"/>
  <c r="AQ1047" i="20"/>
  <c r="AR1047" i="20" s="1"/>
  <c r="AQ1045" i="20"/>
  <c r="AR1045" i="20" s="1"/>
  <c r="AQ1046" i="20"/>
  <c r="AR1046" i="20" s="1"/>
  <c r="AQ1044" i="20"/>
  <c r="AR1044" i="20" s="1"/>
  <c r="AQ1043" i="20"/>
  <c r="AQ1042" i="20"/>
  <c r="AQ1040" i="20"/>
  <c r="AQ1041" i="20"/>
  <c r="AR1041" i="20" s="1"/>
  <c r="AQ1039" i="20"/>
  <c r="AR1039" i="20" s="1"/>
  <c r="AQ1037" i="20"/>
  <c r="AR1037" i="20" s="1"/>
  <c r="AQ1038" i="20"/>
  <c r="AR1038" i="20" s="1"/>
  <c r="AQ1036" i="20"/>
  <c r="AR1036" i="20" s="1"/>
  <c r="AQ1034" i="20"/>
  <c r="AQ1035" i="20"/>
  <c r="AQ1032" i="20"/>
  <c r="AR1032" i="20" s="1"/>
  <c r="AQ1033" i="20"/>
  <c r="AQ1031" i="20"/>
  <c r="AQ1029" i="20"/>
  <c r="AR1029" i="20" s="1"/>
  <c r="AQ1030" i="20"/>
  <c r="AR1030" i="20" s="1"/>
  <c r="AQ1028" i="20"/>
  <c r="AR1028" i="20" s="1"/>
  <c r="AQ1027" i="20"/>
  <c r="AQ1025" i="20"/>
  <c r="AR1025" i="20" s="1"/>
  <c r="AQ1026" i="20"/>
  <c r="AR1026" i="20" s="1"/>
  <c r="AQ1024" i="20"/>
  <c r="AQ1022" i="20"/>
  <c r="AQ1023" i="20"/>
  <c r="AR1023" i="20" s="1"/>
  <c r="AQ1017" i="20"/>
  <c r="AR1017" i="20" s="1"/>
  <c r="AQ1018" i="20"/>
  <c r="AQ1021" i="20"/>
  <c r="AQ1019" i="20"/>
  <c r="AR1019" i="20" s="1"/>
  <c r="AQ1020" i="20"/>
  <c r="AR1020" i="20" s="1"/>
  <c r="AQ1016" i="20"/>
  <c r="AQ1013" i="20"/>
  <c r="AQ1014" i="20"/>
  <c r="AR1014" i="20" s="1"/>
  <c r="AQ1015" i="20"/>
  <c r="AR1015" i="20" s="1"/>
  <c r="AQ1012" i="20"/>
  <c r="AR1012" i="20" s="1"/>
  <c r="AQ1011" i="20"/>
  <c r="AR1011" i="20" s="1"/>
  <c r="AQ1010" i="20"/>
  <c r="AQ1009" i="20"/>
  <c r="AQ1007" i="20"/>
  <c r="AQ1008" i="20"/>
  <c r="AQ1006" i="20"/>
  <c r="AR1006" i="20" s="1"/>
  <c r="AQ1005" i="20"/>
  <c r="AQ1002" i="20"/>
  <c r="AR1002" i="20" s="1"/>
  <c r="AQ1003" i="20"/>
  <c r="AQ1004" i="20"/>
  <c r="AQ1001" i="20"/>
  <c r="AR1001" i="20" s="1"/>
  <c r="AQ997" i="20"/>
  <c r="AR997" i="20" s="1"/>
  <c r="AQ1000" i="20"/>
  <c r="AQ998" i="20"/>
  <c r="AR998" i="20" s="1"/>
  <c r="AQ999" i="20"/>
  <c r="AR999" i="20" s="1"/>
  <c r="AQ996" i="20"/>
  <c r="AQ992" i="20"/>
  <c r="AQ993" i="20"/>
  <c r="AR993" i="20" s="1"/>
  <c r="AQ994" i="20"/>
  <c r="AR994" i="20" s="1"/>
  <c r="AQ995" i="20"/>
  <c r="AR995" i="20" s="1"/>
  <c r="AQ991" i="20"/>
  <c r="AR991" i="20" s="1"/>
  <c r="AQ990" i="20"/>
  <c r="AR990" i="20" s="1"/>
  <c r="AQ987" i="20"/>
  <c r="AR987" i="20" s="1"/>
  <c r="AQ988" i="20"/>
  <c r="AQ989" i="20"/>
  <c r="AQ986" i="20"/>
  <c r="AR986" i="20" s="1"/>
  <c r="AQ985" i="20"/>
  <c r="AR985" i="20" s="1"/>
  <c r="AQ984" i="20"/>
  <c r="AR984" i="20" s="1"/>
  <c r="AQ983" i="20"/>
  <c r="AR983" i="20" s="1"/>
  <c r="AQ981" i="20"/>
  <c r="AR981" i="20" s="1"/>
  <c r="AQ982" i="20"/>
  <c r="AR982" i="20" s="1"/>
  <c r="AQ980" i="20"/>
  <c r="AR980" i="20" s="1"/>
  <c r="AQ978" i="20"/>
  <c r="AQ979" i="20"/>
  <c r="AR979" i="20" s="1"/>
  <c r="AQ975" i="20"/>
  <c r="AR975" i="20" s="1"/>
  <c r="AQ976" i="20"/>
  <c r="AQ977" i="20"/>
  <c r="AQ974" i="20"/>
  <c r="AQ971" i="20"/>
  <c r="AR971" i="20" s="1"/>
  <c r="AQ972" i="20"/>
  <c r="AQ973" i="20"/>
  <c r="AQ970" i="20"/>
  <c r="AR970" i="20" s="1"/>
  <c r="AQ969" i="20"/>
  <c r="AQ968" i="20"/>
  <c r="AQ967" i="20"/>
  <c r="AQ966" i="20"/>
  <c r="AQ965" i="20"/>
  <c r="AR965" i="20" s="1"/>
  <c r="AQ961" i="20"/>
  <c r="AR961" i="20" s="1"/>
  <c r="AQ963" i="20"/>
  <c r="AQ964" i="20"/>
  <c r="AR964" i="20" s="1"/>
  <c r="AQ962" i="20"/>
  <c r="AR962" i="20" s="1"/>
  <c r="AQ960" i="20"/>
  <c r="AR960" i="20" s="1"/>
  <c r="AQ959" i="20"/>
  <c r="AQ953" i="20"/>
  <c r="AR953" i="20" s="1"/>
  <c r="AQ954" i="20"/>
  <c r="AR954" i="20" s="1"/>
  <c r="AQ955" i="20"/>
  <c r="AR955" i="20" s="1"/>
  <c r="AQ956" i="20"/>
  <c r="AQ958" i="20"/>
  <c r="AR958" i="20" s="1"/>
  <c r="AQ957" i="20"/>
  <c r="AR957" i="20" s="1"/>
  <c r="AQ947" i="20"/>
  <c r="AQ948" i="20"/>
  <c r="AQ949" i="20"/>
  <c r="AR949" i="20" s="1"/>
  <c r="AQ950" i="20"/>
  <c r="AQ951" i="20"/>
  <c r="AQ952" i="20"/>
  <c r="AQ927" i="20"/>
  <c r="AR927" i="20" s="1"/>
  <c r="AQ928" i="20"/>
  <c r="AR928" i="20" s="1"/>
  <c r="AQ929" i="20"/>
  <c r="AQ930" i="20"/>
  <c r="AR930" i="20" s="1"/>
  <c r="AQ931" i="20"/>
  <c r="AR931" i="20" s="1"/>
  <c r="AQ932" i="20"/>
  <c r="AR932" i="20" s="1"/>
  <c r="AQ933" i="20"/>
  <c r="AR933" i="20" s="1"/>
  <c r="AQ934" i="20"/>
  <c r="AQ944" i="20"/>
  <c r="AR944" i="20" s="1"/>
  <c r="AQ935" i="20"/>
  <c r="AR935" i="20" s="1"/>
  <c r="AQ936" i="20"/>
  <c r="AQ937" i="20"/>
  <c r="AQ938" i="20"/>
  <c r="AQ939" i="20"/>
  <c r="AR939" i="20" s="1"/>
  <c r="AQ945" i="20"/>
  <c r="AQ940" i="20"/>
  <c r="AQ941" i="20"/>
  <c r="AR941" i="20" s="1"/>
  <c r="AQ942" i="20"/>
  <c r="AR942" i="20" s="1"/>
  <c r="AQ943" i="20"/>
  <c r="AR943" i="20" s="1"/>
  <c r="AQ946" i="20"/>
  <c r="AQ924" i="20"/>
  <c r="AR924" i="20" s="1"/>
  <c r="AQ925" i="20"/>
  <c r="AR925" i="20" s="1"/>
  <c r="AQ926" i="20"/>
  <c r="AR926" i="20" s="1"/>
  <c r="AQ921" i="20"/>
  <c r="AQ922" i="20"/>
  <c r="AQ923" i="20"/>
  <c r="AR923" i="20" s="1"/>
  <c r="AQ917" i="20"/>
  <c r="AR917" i="20" s="1"/>
  <c r="AQ918" i="20"/>
  <c r="AQ919" i="20"/>
  <c r="AR919" i="20" s="1"/>
  <c r="AQ920" i="20"/>
  <c r="AR920" i="20" s="1"/>
  <c r="AQ915" i="20"/>
  <c r="AQ916" i="20"/>
  <c r="AQ913" i="20"/>
  <c r="AR913" i="20" s="1"/>
  <c r="AQ914" i="20"/>
  <c r="AQ912" i="20"/>
  <c r="AQ906" i="20"/>
  <c r="AQ907" i="20"/>
  <c r="AR907" i="20" s="1"/>
  <c r="AQ908" i="20"/>
  <c r="AR908" i="20" s="1"/>
  <c r="AQ909" i="20"/>
  <c r="AR909" i="20" s="1"/>
  <c r="AQ910" i="20"/>
  <c r="AQ911" i="20"/>
  <c r="AR911" i="20" s="1"/>
  <c r="AQ905" i="20"/>
  <c r="AR905" i="20" s="1"/>
  <c r="AQ904" i="20"/>
  <c r="AQ899" i="20"/>
  <c r="AR899" i="20" s="1"/>
  <c r="AQ900" i="20"/>
  <c r="AR900" i="20" s="1"/>
  <c r="AQ901" i="20"/>
  <c r="AR901" i="20" s="1"/>
  <c r="AQ902" i="20"/>
  <c r="AR902" i="20" s="1"/>
  <c r="AQ903" i="20"/>
  <c r="AR903" i="20" s="1"/>
  <c r="AQ898" i="20"/>
  <c r="AR898" i="20" s="1"/>
  <c r="AQ894" i="20"/>
  <c r="AR894" i="20" s="1"/>
  <c r="AQ895" i="20"/>
  <c r="AQ896" i="20"/>
  <c r="AQ897" i="20"/>
  <c r="AR897" i="20" s="1"/>
  <c r="AQ893" i="20"/>
  <c r="AR893" i="20" s="1"/>
  <c r="AQ891" i="20"/>
  <c r="AQ892" i="20"/>
  <c r="AQ889" i="20"/>
  <c r="AR889" i="20" s="1"/>
  <c r="AQ890" i="20"/>
  <c r="AQ887" i="20"/>
  <c r="AQ888" i="20"/>
  <c r="AQ884" i="20"/>
  <c r="AR884" i="20" s="1"/>
  <c r="AQ885" i="20"/>
  <c r="AR885" i="20" s="1"/>
  <c r="AQ886" i="20"/>
  <c r="AR886" i="20" s="1"/>
  <c r="AQ883" i="20"/>
  <c r="AQ882" i="20"/>
  <c r="AR882" i="20" s="1"/>
  <c r="AQ881" i="20"/>
  <c r="AR881" i="20" s="1"/>
  <c r="AQ880" i="20"/>
  <c r="AR880" i="20" s="1"/>
  <c r="AQ879" i="20"/>
  <c r="AR879" i="20" s="1"/>
  <c r="AQ877" i="20"/>
  <c r="AR877" i="20" s="1"/>
  <c r="AQ878" i="20"/>
  <c r="AR878" i="20" s="1"/>
  <c r="AQ876" i="20"/>
  <c r="AQ875" i="20"/>
  <c r="AQ874" i="20"/>
  <c r="AQ873" i="20"/>
  <c r="AR873" i="20" s="1"/>
  <c r="AQ872" i="20"/>
  <c r="AQ871" i="20"/>
  <c r="AQ870" i="20"/>
  <c r="AR870" i="20" s="1"/>
  <c r="AQ869" i="20"/>
  <c r="AR869" i="20" s="1"/>
  <c r="AQ868" i="20"/>
  <c r="AQ867" i="20"/>
  <c r="AQ866" i="20"/>
  <c r="AR866" i="20" s="1"/>
  <c r="AQ865" i="20"/>
  <c r="AR865" i="20" s="1"/>
  <c r="AQ864" i="20"/>
  <c r="AQ863" i="20"/>
  <c r="AQ861" i="20"/>
  <c r="AQ862" i="20"/>
  <c r="AR862" i="20" s="1"/>
  <c r="AQ860" i="20"/>
  <c r="AR860" i="20" s="1"/>
  <c r="AQ858" i="20"/>
  <c r="AQ859" i="20"/>
  <c r="AR859" i="20" s="1"/>
  <c r="AQ852" i="20"/>
  <c r="AR852" i="20" s="1"/>
  <c r="AQ853" i="20"/>
  <c r="AR853" i="20" s="1"/>
  <c r="AQ854" i="20"/>
  <c r="AQ855" i="20"/>
  <c r="AR855" i="20" s="1"/>
  <c r="AQ856" i="20"/>
  <c r="AQ857" i="20"/>
  <c r="AQ814" i="20"/>
  <c r="AQ815" i="20"/>
  <c r="AQ816" i="20"/>
  <c r="AQ817" i="20"/>
  <c r="AR817" i="20" s="1"/>
  <c r="AQ832" i="20"/>
  <c r="AQ818" i="20"/>
  <c r="AQ833" i="20"/>
  <c r="AR833" i="20" s="1"/>
  <c r="AQ819" i="20"/>
  <c r="AR819" i="20" s="1"/>
  <c r="AQ820" i="20"/>
  <c r="AQ821" i="20"/>
  <c r="AR821" i="20" s="1"/>
  <c r="AQ822" i="20"/>
  <c r="AR822" i="20" s="1"/>
  <c r="AQ823" i="20"/>
  <c r="AQ824" i="20"/>
  <c r="AR824" i="20" s="1"/>
  <c r="AQ825" i="20"/>
  <c r="AQ835" i="20"/>
  <c r="AQ836" i="20"/>
  <c r="AQ826" i="20"/>
  <c r="AQ827" i="20"/>
  <c r="AR827" i="20" s="1"/>
  <c r="AQ837" i="20"/>
  <c r="AQ838" i="20"/>
  <c r="AQ828" i="20"/>
  <c r="AQ839" i="20"/>
  <c r="AQ840" i="20"/>
  <c r="AR840" i="20" s="1"/>
  <c r="AQ841" i="20"/>
  <c r="AR841" i="20" s="1"/>
  <c r="AQ829" i="20"/>
  <c r="AQ830" i="20"/>
  <c r="AR830" i="20" s="1"/>
  <c r="AQ842" i="20"/>
  <c r="AR842" i="20" s="1"/>
  <c r="AQ831" i="20"/>
  <c r="AR831" i="20" s="1"/>
  <c r="AQ834" i="20"/>
  <c r="AQ843" i="20"/>
  <c r="AR843" i="20" s="1"/>
  <c r="AQ845" i="20"/>
  <c r="AQ846" i="20"/>
  <c r="AR846" i="20" s="1"/>
  <c r="AQ847" i="20"/>
  <c r="AQ848" i="20"/>
  <c r="AR848" i="20" s="1"/>
  <c r="AQ849" i="20"/>
  <c r="AQ844" i="20"/>
  <c r="AQ850" i="20"/>
  <c r="AQ851" i="20"/>
  <c r="AR851" i="20" s="1"/>
  <c r="AQ813" i="20"/>
  <c r="AQ811" i="20"/>
  <c r="AQ812" i="20"/>
  <c r="AR812" i="20" s="1"/>
  <c r="AQ810" i="20"/>
  <c r="AR810" i="20" s="1"/>
  <c r="AQ809" i="20"/>
  <c r="AR809" i="20" s="1"/>
  <c r="AQ808" i="20"/>
  <c r="AR808" i="20" s="1"/>
  <c r="AQ807" i="20"/>
  <c r="AQ806" i="20"/>
  <c r="AR806" i="20" s="1"/>
  <c r="AQ805" i="20"/>
  <c r="AR805" i="20" s="1"/>
  <c r="AQ803" i="20"/>
  <c r="AR803" i="20" s="1"/>
  <c r="AQ804" i="20"/>
  <c r="AQ802" i="20"/>
  <c r="AQ801" i="20"/>
  <c r="AQ800" i="20"/>
  <c r="AQ791" i="20"/>
  <c r="AQ785" i="20"/>
  <c r="AR785" i="20" s="1"/>
  <c r="AQ786" i="20"/>
  <c r="AQ787" i="20"/>
  <c r="AR787" i="20" s="1"/>
  <c r="AQ788" i="20"/>
  <c r="AQ789" i="20"/>
  <c r="AR789" i="20" s="1"/>
  <c r="AQ790" i="20"/>
  <c r="AQ793" i="20"/>
  <c r="AQ794" i="20"/>
  <c r="AQ795" i="20"/>
  <c r="AR795" i="20" s="1"/>
  <c r="AQ796" i="20"/>
  <c r="AQ797" i="20"/>
  <c r="AQ798" i="20"/>
  <c r="AQ799" i="20"/>
  <c r="AR799" i="20" s="1"/>
  <c r="AQ792" i="20"/>
  <c r="AR792" i="20" s="1"/>
  <c r="AQ780" i="20"/>
  <c r="AR780" i="20" s="1"/>
  <c r="AQ781" i="20"/>
  <c r="AQ782" i="20"/>
  <c r="AR782" i="20" s="1"/>
  <c r="AQ783" i="20"/>
  <c r="AQ784" i="20"/>
  <c r="AR784" i="20" s="1"/>
  <c r="AQ774" i="20"/>
  <c r="AR774" i="20" s="1"/>
  <c r="AQ775" i="20"/>
  <c r="AR775" i="20" s="1"/>
  <c r="AQ776" i="20"/>
  <c r="AR776" i="20" s="1"/>
  <c r="AQ777" i="20"/>
  <c r="AQ778" i="20"/>
  <c r="AQ779" i="20"/>
  <c r="AR779" i="20" s="1"/>
  <c r="AQ773" i="20"/>
  <c r="AR773" i="20" s="1"/>
  <c r="AQ771" i="20"/>
  <c r="AR771" i="20" s="1"/>
  <c r="AQ772" i="20"/>
  <c r="AR772" i="20" s="1"/>
  <c r="AQ769" i="20"/>
  <c r="AR769" i="20" s="1"/>
  <c r="AQ770" i="20"/>
  <c r="AQ758" i="20"/>
  <c r="AQ759" i="20"/>
  <c r="AQ760" i="20"/>
  <c r="AQ761" i="20"/>
  <c r="AQ767" i="20"/>
  <c r="AQ762" i="20"/>
  <c r="AQ763" i="20"/>
  <c r="AR763" i="20" s="1"/>
  <c r="AQ764" i="20"/>
  <c r="AQ768" i="20"/>
  <c r="AR768" i="20" s="1"/>
  <c r="AQ765" i="20"/>
  <c r="AQ766" i="20"/>
  <c r="AR766" i="20" s="1"/>
  <c r="AQ752" i="20"/>
  <c r="AQ749" i="20"/>
  <c r="AR749" i="20" s="1"/>
  <c r="AQ753" i="20"/>
  <c r="AR753" i="20" s="1"/>
  <c r="AQ754" i="20"/>
  <c r="AR754" i="20" s="1"/>
  <c r="AQ755" i="20"/>
  <c r="AR755" i="20" s="1"/>
  <c r="AQ750" i="20"/>
  <c r="AQ756" i="20"/>
  <c r="AQ751" i="20"/>
  <c r="AR751" i="20" s="1"/>
  <c r="AQ757" i="20"/>
  <c r="AR757" i="20" s="1"/>
  <c r="AQ736" i="20"/>
  <c r="AR736" i="20" s="1"/>
  <c r="AQ740" i="20"/>
  <c r="AR740" i="20" s="1"/>
  <c r="AQ741" i="20"/>
  <c r="AR741" i="20" s="1"/>
  <c r="AQ737" i="20"/>
  <c r="AR737" i="20" s="1"/>
  <c r="AQ742" i="20"/>
  <c r="AR742" i="20" s="1"/>
  <c r="AQ743" i="20"/>
  <c r="AQ744" i="20"/>
  <c r="AR744" i="20" s="1"/>
  <c r="AQ738" i="20"/>
  <c r="AR738" i="20" s="1"/>
  <c r="AQ739" i="20"/>
  <c r="AR739" i="20" s="1"/>
  <c r="AQ745" i="20"/>
  <c r="AQ746" i="20"/>
  <c r="AQ748" i="20"/>
  <c r="AQ747" i="20"/>
  <c r="AQ728" i="20"/>
  <c r="AR728" i="20" s="1"/>
  <c r="AQ734" i="20"/>
  <c r="AQ729" i="20"/>
  <c r="AQ730" i="20"/>
  <c r="AR730" i="20" s="1"/>
  <c r="AQ731" i="20"/>
  <c r="AQ732" i="20"/>
  <c r="AR732" i="20" s="1"/>
  <c r="AQ733" i="20"/>
  <c r="AR733" i="20" s="1"/>
  <c r="AQ735" i="20"/>
  <c r="AR735" i="20" s="1"/>
  <c r="AQ726" i="20"/>
  <c r="AR726" i="20" s="1"/>
  <c r="AQ727" i="20"/>
  <c r="AR727" i="20" s="1"/>
  <c r="AQ724" i="20"/>
  <c r="AR724" i="20" s="1"/>
  <c r="AQ725" i="20"/>
  <c r="AQ721" i="20"/>
  <c r="AQ722" i="20"/>
  <c r="AR722" i="20" s="1"/>
  <c r="AQ723" i="20"/>
  <c r="AR723" i="20" s="1"/>
  <c r="AQ720" i="20"/>
  <c r="AR720" i="20" s="1"/>
  <c r="AQ718" i="20"/>
  <c r="AQ719" i="20"/>
  <c r="AR719" i="20" s="1"/>
  <c r="AQ707" i="20"/>
  <c r="AQ711" i="20"/>
  <c r="AR711" i="20" s="1"/>
  <c r="AQ708" i="20"/>
  <c r="AQ712" i="20"/>
  <c r="AR712" i="20" s="1"/>
  <c r="AQ709" i="20"/>
  <c r="AQ713" i="20"/>
  <c r="AR713" i="20" s="1"/>
  <c r="AQ710" i="20"/>
  <c r="AQ714" i="20"/>
  <c r="AR714" i="20" s="1"/>
  <c r="AQ717" i="20"/>
  <c r="AQ715" i="20"/>
  <c r="AR715" i="20" s="1"/>
  <c r="AQ716" i="20"/>
  <c r="AQ705" i="20"/>
  <c r="AR705" i="20" s="1"/>
  <c r="AQ706" i="20"/>
  <c r="AQ704" i="20"/>
  <c r="AR704" i="20" s="1"/>
  <c r="AQ702" i="20"/>
  <c r="AR702" i="20" s="1"/>
  <c r="AQ703" i="20"/>
  <c r="AQ701" i="20"/>
  <c r="AR701" i="20" s="1"/>
  <c r="AQ700" i="20"/>
  <c r="AR700" i="20" s="1"/>
  <c r="AQ698" i="20"/>
  <c r="AQ699" i="20"/>
  <c r="AR699" i="20" s="1"/>
  <c r="AQ697" i="20"/>
  <c r="AR697" i="20" s="1"/>
  <c r="AQ696" i="20"/>
  <c r="AR696" i="20" s="1"/>
  <c r="AQ694" i="20"/>
  <c r="AQ693" i="20"/>
  <c r="AR693" i="20" s="1"/>
  <c r="AQ695" i="20"/>
  <c r="AQ685" i="20"/>
  <c r="AQ686" i="20"/>
  <c r="AR686" i="20" s="1"/>
  <c r="AQ687" i="20"/>
  <c r="AR687" i="20" s="1"/>
  <c r="AQ689" i="20"/>
  <c r="AQ688" i="20"/>
  <c r="AR688" i="20" s="1"/>
  <c r="AQ690" i="20"/>
  <c r="AQ691" i="20"/>
  <c r="AQ692" i="20"/>
  <c r="AQ682" i="20"/>
  <c r="AR682" i="20" s="1"/>
  <c r="AQ683" i="20"/>
  <c r="AQ684" i="20"/>
  <c r="AR684" i="20" s="1"/>
  <c r="AQ681" i="20"/>
  <c r="AQ680" i="20"/>
  <c r="AQ679" i="20"/>
  <c r="AR679" i="20" s="1"/>
  <c r="AQ678" i="20"/>
  <c r="AR678" i="20" s="1"/>
  <c r="AQ676" i="20"/>
  <c r="AQ677" i="20"/>
  <c r="AQ675" i="20"/>
  <c r="AR675" i="20" s="1"/>
  <c r="AQ663" i="20"/>
  <c r="AR663" i="20" s="1"/>
  <c r="AQ664" i="20"/>
  <c r="AQ665" i="20"/>
  <c r="AQ666" i="20"/>
  <c r="AQ667" i="20"/>
  <c r="AR667" i="20" s="1"/>
  <c r="AQ668" i="20"/>
  <c r="AQ669" i="20"/>
  <c r="AR669" i="20" s="1"/>
  <c r="AQ670" i="20"/>
  <c r="AQ671" i="20"/>
  <c r="AR671" i="20" s="1"/>
  <c r="AQ672" i="20"/>
  <c r="AR672" i="20" s="1"/>
  <c r="AQ673" i="20"/>
  <c r="AQ674" i="20"/>
  <c r="AR674" i="20" s="1"/>
  <c r="AQ660" i="20"/>
  <c r="AR660" i="20" s="1"/>
  <c r="AQ661" i="20"/>
  <c r="AQ662" i="20"/>
  <c r="AR662" i="20" s="1"/>
  <c r="AQ646" i="20"/>
  <c r="AQ647" i="20"/>
  <c r="AR647" i="20" s="1"/>
  <c r="AQ648" i="20"/>
  <c r="AQ649" i="20"/>
  <c r="AQ650" i="20"/>
  <c r="AQ651" i="20"/>
  <c r="AR651" i="20" s="1"/>
  <c r="AQ656" i="20"/>
  <c r="AQ657" i="20"/>
  <c r="AQ652" i="20"/>
  <c r="AQ653" i="20"/>
  <c r="AR653" i="20" s="1"/>
  <c r="AQ654" i="20"/>
  <c r="AQ658" i="20"/>
  <c r="AR658" i="20" s="1"/>
  <c r="AQ655" i="20"/>
  <c r="AQ659" i="20"/>
  <c r="AR659" i="20" s="1"/>
  <c r="AQ645" i="20"/>
  <c r="AR645" i="20" s="1"/>
  <c r="AQ644" i="20"/>
  <c r="AR644" i="20" s="1"/>
  <c r="AQ641" i="20"/>
  <c r="AR641" i="20" s="1"/>
  <c r="AQ642" i="20"/>
  <c r="AQ643" i="20"/>
  <c r="AQ638" i="20"/>
  <c r="AR638" i="20" s="1"/>
  <c r="AQ639" i="20"/>
  <c r="AQ640" i="20"/>
  <c r="AR640" i="20" s="1"/>
  <c r="AQ635" i="20"/>
  <c r="AR635" i="20" s="1"/>
  <c r="AQ636" i="20"/>
  <c r="AQ637" i="20"/>
  <c r="AQ628" i="20"/>
  <c r="AQ629" i="20"/>
  <c r="AR629" i="20" s="1"/>
  <c r="AQ630" i="20"/>
  <c r="AQ631" i="20"/>
  <c r="AR631" i="20" s="1"/>
  <c r="AQ632" i="20"/>
  <c r="AR632" i="20" s="1"/>
  <c r="AQ633" i="20"/>
  <c r="AQ634" i="20"/>
  <c r="AR634" i="20" s="1"/>
  <c r="AQ627" i="20"/>
  <c r="AQ622" i="20"/>
  <c r="AR622" i="20" s="1"/>
  <c r="AQ623" i="20"/>
  <c r="AR623" i="20" s="1"/>
  <c r="AQ624" i="20"/>
  <c r="AR624" i="20" s="1"/>
  <c r="AQ625" i="20"/>
  <c r="AQ626" i="20"/>
  <c r="AR626" i="20" s="1"/>
  <c r="AQ621" i="20"/>
  <c r="AR621" i="20" s="1"/>
  <c r="AQ619" i="20"/>
  <c r="AQ620" i="20"/>
  <c r="AR620" i="20" s="1"/>
  <c r="AQ611" i="20"/>
  <c r="AR611" i="20" s="1"/>
  <c r="AQ617" i="20"/>
  <c r="AQ612" i="20"/>
  <c r="AR612" i="20" s="1"/>
  <c r="AQ613" i="20"/>
  <c r="AQ614" i="20"/>
  <c r="AR614" i="20" s="1"/>
  <c r="AQ615" i="20"/>
  <c r="AQ616" i="20"/>
  <c r="AQ618" i="20"/>
  <c r="AQ608" i="20"/>
  <c r="AR608" i="20" s="1"/>
  <c r="AQ610" i="20"/>
  <c r="AR610" i="20" s="1"/>
  <c r="AQ609" i="20"/>
  <c r="AQ606" i="20"/>
  <c r="AQ607" i="20"/>
  <c r="AQ603" i="20"/>
  <c r="AR603" i="20" s="1"/>
  <c r="AQ604" i="20"/>
  <c r="AR604" i="20" s="1"/>
  <c r="AQ605" i="20"/>
  <c r="AR605" i="20" s="1"/>
  <c r="AQ602" i="20"/>
  <c r="AR602" i="20" s="1"/>
  <c r="AQ598" i="20"/>
  <c r="AR598" i="20" s="1"/>
  <c r="AQ599" i="20"/>
  <c r="AR599" i="20" s="1"/>
  <c r="AQ601" i="20"/>
  <c r="AR601" i="20" s="1"/>
  <c r="AQ600" i="20"/>
  <c r="AQ597" i="20"/>
  <c r="AQ594" i="20"/>
  <c r="AQ595" i="20"/>
  <c r="AR595" i="20" s="1"/>
  <c r="AQ596" i="20"/>
  <c r="AR596" i="20" s="1"/>
  <c r="AQ593" i="20"/>
  <c r="AR593" i="20" s="1"/>
  <c r="AQ591" i="20"/>
  <c r="AR591" i="20" s="1"/>
  <c r="AQ592" i="20"/>
  <c r="AQ590" i="20"/>
  <c r="AR590" i="20" s="1"/>
  <c r="AQ587" i="20"/>
  <c r="AQ588" i="20"/>
  <c r="AR588" i="20" s="1"/>
  <c r="AQ589" i="20"/>
  <c r="AR589" i="20" s="1"/>
  <c r="AQ581" i="20"/>
  <c r="AR581" i="20" s="1"/>
  <c r="AQ582" i="20"/>
  <c r="AQ584" i="20"/>
  <c r="AQ583" i="20"/>
  <c r="AQ585" i="20"/>
  <c r="AR585" i="20" s="1"/>
  <c r="AQ586" i="20"/>
  <c r="AR586" i="20" s="1"/>
  <c r="AQ579" i="20"/>
  <c r="AR579" i="20" s="1"/>
  <c r="AQ580" i="20"/>
  <c r="AQ578" i="20"/>
  <c r="AQ505" i="20"/>
  <c r="AR505" i="20" s="1"/>
  <c r="AQ506" i="20"/>
  <c r="AR506" i="20" s="1"/>
  <c r="AQ507" i="20"/>
  <c r="AQ534" i="20"/>
  <c r="AR534" i="20" s="1"/>
  <c r="AQ508" i="20"/>
  <c r="AR508" i="20" s="1"/>
  <c r="AQ509" i="20"/>
  <c r="AQ510" i="20"/>
  <c r="AR510" i="20" s="1"/>
  <c r="AQ511" i="20"/>
  <c r="AR511" i="20" s="1"/>
  <c r="AQ512" i="20"/>
  <c r="AR512" i="20" s="1"/>
  <c r="AQ513" i="20"/>
  <c r="AR513" i="20" s="1"/>
  <c r="AQ514" i="20"/>
  <c r="AQ515" i="20"/>
  <c r="AR515" i="20" s="1"/>
  <c r="AQ516" i="20"/>
  <c r="AQ517" i="20"/>
  <c r="AQ518" i="20"/>
  <c r="AQ519" i="20"/>
  <c r="AR519" i="20" s="1"/>
  <c r="AQ537" i="20"/>
  <c r="AQ538" i="20"/>
  <c r="AR538" i="20" s="1"/>
  <c r="AQ539" i="20"/>
  <c r="AQ520" i="20"/>
  <c r="AR520" i="20" s="1"/>
  <c r="AQ521" i="20"/>
  <c r="AR521" i="20" s="1"/>
  <c r="AQ522" i="20"/>
  <c r="AQ523" i="20"/>
  <c r="AQ524" i="20"/>
  <c r="AR524" i="20" s="1"/>
  <c r="AQ525" i="20"/>
  <c r="AQ526" i="20"/>
  <c r="AR526" i="20" s="1"/>
  <c r="AQ527" i="20"/>
  <c r="AQ542" i="20"/>
  <c r="AR542" i="20" s="1"/>
  <c r="AQ528" i="20"/>
  <c r="AQ529" i="20"/>
  <c r="AQ530" i="20"/>
  <c r="AQ531" i="20"/>
  <c r="AQ532" i="20"/>
  <c r="AR532" i="20" s="1"/>
  <c r="AQ533" i="20"/>
  <c r="AQ535" i="20"/>
  <c r="AQ536" i="20"/>
  <c r="AR536" i="20" s="1"/>
  <c r="AQ540" i="20"/>
  <c r="AR540" i="20" s="1"/>
  <c r="AQ541" i="20"/>
  <c r="AR541" i="20" s="1"/>
  <c r="AQ543" i="20"/>
  <c r="AR543" i="20" s="1"/>
  <c r="AQ547" i="20"/>
  <c r="AR547" i="20" s="1"/>
  <c r="AQ548" i="20"/>
  <c r="AR548" i="20" s="1"/>
  <c r="AQ544" i="20"/>
  <c r="AR544" i="20" s="1"/>
  <c r="AQ545" i="20"/>
  <c r="AQ549" i="20"/>
  <c r="AR549" i="20" s="1"/>
  <c r="AQ550" i="20"/>
  <c r="AR550" i="20" s="1"/>
  <c r="AQ551" i="20"/>
  <c r="AQ546" i="20"/>
  <c r="AQ552" i="20"/>
  <c r="AR552" i="20" s="1"/>
  <c r="AQ553" i="20"/>
  <c r="AQ554" i="20"/>
  <c r="AR554" i="20" s="1"/>
  <c r="AQ555" i="20"/>
  <c r="AQ556" i="20"/>
  <c r="AQ557" i="20"/>
  <c r="AR557" i="20" s="1"/>
  <c r="AQ558" i="20"/>
  <c r="AQ559" i="20"/>
  <c r="AQ560" i="20"/>
  <c r="AR560" i="20" s="1"/>
  <c r="AQ561" i="20"/>
  <c r="AR561" i="20" s="1"/>
  <c r="AQ562" i="20"/>
  <c r="AR562" i="20" s="1"/>
  <c r="AQ563" i="20"/>
  <c r="AQ564" i="20"/>
  <c r="AR564" i="20" s="1"/>
  <c r="AQ565" i="20"/>
  <c r="AR565" i="20" s="1"/>
  <c r="AQ566" i="20"/>
  <c r="AR566" i="20" s="1"/>
  <c r="AQ567" i="20"/>
  <c r="AQ568" i="20"/>
  <c r="AQ569" i="20"/>
  <c r="AR569" i="20" s="1"/>
  <c r="AQ570" i="20"/>
  <c r="AQ571" i="20"/>
  <c r="AQ572" i="20"/>
  <c r="AR572" i="20" s="1"/>
  <c r="AQ573" i="20"/>
  <c r="AR573" i="20" s="1"/>
  <c r="AQ574" i="20"/>
  <c r="AR574" i="20" s="1"/>
  <c r="AQ575" i="20"/>
  <c r="AQ576" i="20"/>
  <c r="AR576" i="20" s="1"/>
  <c r="AQ577" i="20"/>
  <c r="AQ504" i="20"/>
  <c r="AR504" i="20" s="1"/>
  <c r="AQ503" i="20"/>
  <c r="AQ501" i="20"/>
  <c r="AR501" i="20" s="1"/>
  <c r="AQ502" i="20"/>
  <c r="AR502" i="20" s="1"/>
  <c r="AQ498" i="20"/>
  <c r="AR498" i="20" s="1"/>
  <c r="AQ499" i="20"/>
  <c r="AQ500" i="20"/>
  <c r="AR500" i="20" s="1"/>
  <c r="AQ497" i="20"/>
  <c r="AQ496" i="20"/>
  <c r="AQ490" i="20"/>
  <c r="AR490" i="20" s="1"/>
  <c r="AQ491" i="20"/>
  <c r="AR491" i="20" s="1"/>
  <c r="AQ492" i="20"/>
  <c r="AR492" i="20" s="1"/>
  <c r="AQ493" i="20"/>
  <c r="AQ494" i="20"/>
  <c r="AQ495" i="20"/>
  <c r="AR495" i="20" s="1"/>
  <c r="AQ489" i="20"/>
  <c r="AR489" i="20" s="1"/>
  <c r="AQ488" i="20"/>
  <c r="AR488" i="20" s="1"/>
  <c r="AQ486" i="20"/>
  <c r="AQ487" i="20"/>
  <c r="AR487" i="20" s="1"/>
  <c r="AQ482" i="20"/>
  <c r="AQ483" i="20"/>
  <c r="AQ484" i="20"/>
  <c r="AR484" i="20" s="1"/>
  <c r="AQ485" i="20"/>
  <c r="AQ481" i="20"/>
  <c r="AQ478" i="20"/>
  <c r="AQ479" i="20"/>
  <c r="AQ480" i="20"/>
  <c r="AR480" i="20" s="1"/>
  <c r="AQ477" i="20"/>
  <c r="AR477" i="20" s="1"/>
  <c r="AQ474" i="20"/>
  <c r="AR474" i="20" s="1"/>
  <c r="AQ475" i="20"/>
  <c r="AQ476" i="20"/>
  <c r="AR476" i="20" s="1"/>
  <c r="AQ471" i="20"/>
  <c r="AQ470" i="20"/>
  <c r="AR470" i="20" s="1"/>
  <c r="AQ472" i="20"/>
  <c r="AQ473" i="20"/>
  <c r="AR473" i="20" s="1"/>
  <c r="AQ469" i="20"/>
  <c r="AQ468" i="20"/>
  <c r="AQ467" i="20"/>
  <c r="AR467" i="20" s="1"/>
  <c r="AQ465" i="20"/>
  <c r="AR465" i="20" s="1"/>
  <c r="AQ466" i="20"/>
  <c r="AQ462" i="20"/>
  <c r="AR462" i="20" s="1"/>
  <c r="AQ463" i="20"/>
  <c r="AQ464" i="20"/>
  <c r="AR464" i="20" s="1"/>
  <c r="AQ460" i="20"/>
  <c r="AR460" i="20" s="1"/>
  <c r="AQ461" i="20"/>
  <c r="AQ455" i="20"/>
  <c r="AQ454" i="20"/>
  <c r="AQ456" i="20"/>
  <c r="AQ457" i="20"/>
  <c r="AQ458" i="20"/>
  <c r="AR458" i="20" s="1"/>
  <c r="AQ459" i="20"/>
  <c r="AR459" i="20" s="1"/>
  <c r="AQ452" i="20"/>
  <c r="AQ453" i="20"/>
  <c r="AQ448" i="20"/>
  <c r="AQ449" i="20"/>
  <c r="AR449" i="20" s="1"/>
  <c r="AQ450" i="20"/>
  <c r="AQ451" i="20"/>
  <c r="AR451" i="20" s="1"/>
  <c r="AQ446" i="20"/>
  <c r="AQ447" i="20"/>
  <c r="AQ445" i="20"/>
  <c r="AQ444" i="20"/>
  <c r="AQ441" i="20"/>
  <c r="AR441" i="20" s="1"/>
  <c r="AQ442" i="20"/>
  <c r="AR442" i="20" s="1"/>
  <c r="AQ443" i="20"/>
  <c r="AQ438" i="20"/>
  <c r="AQ439" i="20"/>
  <c r="AR439" i="20" s="1"/>
  <c r="AQ440" i="20"/>
  <c r="AQ435" i="20"/>
  <c r="AR435" i="20" s="1"/>
  <c r="AQ436" i="20"/>
  <c r="AQ437" i="20"/>
  <c r="AQ434" i="20"/>
  <c r="AR434" i="20" s="1"/>
  <c r="AQ433" i="20"/>
  <c r="AR433" i="20" s="1"/>
  <c r="AQ432" i="20"/>
  <c r="AQ428" i="20"/>
  <c r="AQ429" i="20"/>
  <c r="AR429" i="20" s="1"/>
  <c r="AQ430" i="20"/>
  <c r="AQ431" i="20"/>
  <c r="AQ424" i="20"/>
  <c r="AQ425" i="20"/>
  <c r="AR425" i="20" s="1"/>
  <c r="AQ426" i="20"/>
  <c r="AR426" i="20" s="1"/>
  <c r="AQ427" i="20"/>
  <c r="AR427" i="20" s="1"/>
  <c r="AQ422" i="20"/>
  <c r="AR422" i="20" s="1"/>
  <c r="AQ423" i="20"/>
  <c r="AR423" i="20" s="1"/>
  <c r="AQ421" i="20"/>
  <c r="AQ420" i="20"/>
  <c r="AR420" i="20" s="1"/>
  <c r="AQ419" i="20"/>
  <c r="AQ418" i="20"/>
  <c r="AR418" i="20" s="1"/>
  <c r="AQ412" i="20"/>
  <c r="AQ413" i="20"/>
  <c r="AQ414" i="20"/>
  <c r="AQ415" i="20"/>
  <c r="AQ416" i="20"/>
  <c r="AR416" i="20" s="1"/>
  <c r="AQ417" i="20"/>
  <c r="AR417" i="20" s="1"/>
  <c r="AQ410" i="20"/>
  <c r="AQ411" i="20"/>
  <c r="AR411" i="20" s="1"/>
  <c r="AQ408" i="20"/>
  <c r="AQ409" i="20"/>
  <c r="AR409" i="20" s="1"/>
  <c r="AQ404" i="20"/>
  <c r="AR404" i="20" s="1"/>
  <c r="AQ405" i="20"/>
  <c r="AQ406" i="20"/>
  <c r="AR406" i="20" s="1"/>
  <c r="AQ407" i="20"/>
  <c r="AR407" i="20" s="1"/>
  <c r="AQ403" i="20"/>
  <c r="AQ400" i="20"/>
  <c r="AR400" i="20" s="1"/>
  <c r="AQ401" i="20"/>
  <c r="AR401" i="20" s="1"/>
  <c r="AQ402" i="20"/>
  <c r="AR402" i="20" s="1"/>
  <c r="AQ398" i="20"/>
  <c r="AQ399" i="20"/>
  <c r="AR399" i="20" s="1"/>
  <c r="AQ394" i="20"/>
  <c r="AQ395" i="20"/>
  <c r="AR395" i="20" s="1"/>
  <c r="AQ396" i="20"/>
  <c r="AQ397" i="20"/>
  <c r="AR397" i="20" s="1"/>
  <c r="AQ391" i="20"/>
  <c r="AQ392" i="20"/>
  <c r="AQ393" i="20"/>
  <c r="AQ386" i="20"/>
  <c r="AQ387" i="20"/>
  <c r="AQ388" i="20"/>
  <c r="AR388" i="20" s="1"/>
  <c r="AQ389" i="20"/>
  <c r="AR389" i="20" s="1"/>
  <c r="AQ390" i="20"/>
  <c r="AR390" i="20" s="1"/>
  <c r="AQ383" i="20"/>
  <c r="AR383" i="20" s="1"/>
  <c r="AQ384" i="20"/>
  <c r="AR384" i="20" s="1"/>
  <c r="AQ385" i="20"/>
  <c r="AR385" i="20" s="1"/>
  <c r="AQ380" i="20"/>
  <c r="AR380" i="20" s="1"/>
  <c r="AQ381" i="20"/>
  <c r="AR381" i="20" s="1"/>
  <c r="AQ382" i="20"/>
  <c r="AQ378" i="20"/>
  <c r="AR378" i="20" s="1"/>
  <c r="AQ379" i="20"/>
  <c r="AR379" i="20" s="1"/>
  <c r="AQ377" i="20"/>
  <c r="AR377" i="20" s="1"/>
  <c r="AQ371" i="20"/>
  <c r="AR371" i="20" s="1"/>
  <c r="AQ372" i="20"/>
  <c r="AR372" i="20" s="1"/>
  <c r="AQ373" i="20"/>
  <c r="AR373" i="20" s="1"/>
  <c r="AQ374" i="20"/>
  <c r="AR374" i="20" s="1"/>
  <c r="AQ375" i="20"/>
  <c r="AQ376" i="20"/>
  <c r="AR376" i="20" s="1"/>
  <c r="AQ368" i="20"/>
  <c r="AR368" i="20" s="1"/>
  <c r="AQ369" i="20"/>
  <c r="AQ370" i="20"/>
  <c r="AR370" i="20" s="1"/>
  <c r="AQ367" i="20"/>
  <c r="AQ366" i="20"/>
  <c r="AR366" i="20" s="1"/>
  <c r="AQ365" i="20"/>
  <c r="AQ364" i="20"/>
  <c r="AQ363" i="20"/>
  <c r="AQ361" i="20"/>
  <c r="AQ362" i="20"/>
  <c r="AQ359" i="20"/>
  <c r="AR359" i="20" s="1"/>
  <c r="AQ360" i="20"/>
  <c r="AQ358" i="20"/>
  <c r="AR358" i="20" s="1"/>
  <c r="AQ357" i="20"/>
  <c r="AQ354" i="20"/>
  <c r="AR354" i="20" s="1"/>
  <c r="AQ355" i="20"/>
  <c r="AQ356" i="20"/>
  <c r="AQ353" i="20"/>
  <c r="AR353" i="20" s="1"/>
  <c r="AQ352" i="20"/>
  <c r="AR352" i="20" s="1"/>
  <c r="AQ350" i="20"/>
  <c r="AQ351" i="20"/>
  <c r="AR351" i="20" s="1"/>
  <c r="AQ349" i="20"/>
  <c r="AR349" i="20" s="1"/>
  <c r="AQ348" i="20"/>
  <c r="AR348" i="20" s="1"/>
  <c r="AQ346" i="20"/>
  <c r="AQ347" i="20"/>
  <c r="AR347" i="20" s="1"/>
  <c r="AQ345" i="20"/>
  <c r="AQ343" i="20"/>
  <c r="AQ344" i="20"/>
  <c r="AQ341" i="20"/>
  <c r="AR341" i="20" s="1"/>
  <c r="AQ342" i="20"/>
  <c r="AR342" i="20" s="1"/>
  <c r="AQ340" i="20"/>
  <c r="AR340" i="20" s="1"/>
  <c r="AQ338" i="20"/>
  <c r="AR338" i="20" s="1"/>
  <c r="AQ339" i="20"/>
  <c r="AR339" i="20" s="1"/>
  <c r="AQ335" i="20"/>
  <c r="AQ336" i="20"/>
  <c r="AQ337" i="20"/>
  <c r="AQ334" i="20"/>
  <c r="AQ332" i="20"/>
  <c r="AR332" i="20" s="1"/>
  <c r="AQ333" i="20"/>
  <c r="AQ331" i="20"/>
  <c r="AR331" i="20" s="1"/>
  <c r="AQ330" i="20"/>
  <c r="AR330" i="20" s="1"/>
  <c r="AQ324" i="20"/>
  <c r="AR324" i="20" s="1"/>
  <c r="AQ325" i="20"/>
  <c r="AQ326" i="20"/>
  <c r="AR326" i="20" s="1"/>
  <c r="AQ327" i="20"/>
  <c r="AR327" i="20" s="1"/>
  <c r="AQ328" i="20"/>
  <c r="AR328" i="20" s="1"/>
  <c r="AQ329" i="20"/>
  <c r="AQ323" i="20"/>
  <c r="AQ322" i="20"/>
  <c r="AR322" i="20" s="1"/>
  <c r="AQ284" i="20"/>
  <c r="AR284" i="20" s="1"/>
  <c r="AQ285" i="20"/>
  <c r="AQ286" i="20"/>
  <c r="AR286" i="20" s="1"/>
  <c r="AQ294" i="20"/>
  <c r="AR294" i="20" s="1"/>
  <c r="AQ287" i="20"/>
  <c r="AQ288" i="20"/>
  <c r="AQ289" i="20"/>
  <c r="AQ290" i="20"/>
  <c r="AR290" i="20" s="1"/>
  <c r="AQ291" i="20"/>
  <c r="AR291" i="20" s="1"/>
  <c r="AQ292" i="20"/>
  <c r="AQ293" i="20"/>
  <c r="AQ296" i="20"/>
  <c r="AQ297" i="20"/>
  <c r="AQ298" i="20"/>
  <c r="AR298" i="20" s="1"/>
  <c r="AQ299" i="20"/>
  <c r="AQ300" i="20"/>
  <c r="AR300" i="20" s="1"/>
  <c r="AQ301" i="20"/>
  <c r="AQ302" i="20"/>
  <c r="AQ303" i="20"/>
  <c r="AQ304" i="20"/>
  <c r="AR304" i="20" s="1"/>
  <c r="AQ295" i="20"/>
  <c r="AR295" i="20" s="1"/>
  <c r="AQ305" i="20"/>
  <c r="AR305" i="20" s="1"/>
  <c r="AQ306" i="20"/>
  <c r="AQ307" i="20"/>
  <c r="AR307" i="20" s="1"/>
  <c r="AQ308" i="20"/>
  <c r="AR308" i="20" s="1"/>
  <c r="AQ309" i="20"/>
  <c r="AR309" i="20" s="1"/>
  <c r="AQ310" i="20"/>
  <c r="AQ311" i="20"/>
  <c r="AR311" i="20" s="1"/>
  <c r="AQ312" i="20"/>
  <c r="AQ313" i="20"/>
  <c r="AR313" i="20" s="1"/>
  <c r="AQ314" i="20"/>
  <c r="AQ315" i="20"/>
  <c r="AR315" i="20" s="1"/>
  <c r="AQ316" i="20"/>
  <c r="AQ317" i="20"/>
  <c r="AR317" i="20" s="1"/>
  <c r="AQ318" i="20"/>
  <c r="AR318" i="20" s="1"/>
  <c r="AQ319" i="20"/>
  <c r="AR319" i="20" s="1"/>
  <c r="AQ320" i="20"/>
  <c r="AR320" i="20" s="1"/>
  <c r="AQ321" i="20"/>
  <c r="AR321" i="20" s="1"/>
  <c r="AQ281" i="20"/>
  <c r="AQ282" i="20"/>
  <c r="AR282" i="20" s="1"/>
  <c r="AQ283" i="20"/>
  <c r="AQ280" i="20"/>
  <c r="AQ264" i="20"/>
  <c r="AR264" i="20" s="1"/>
  <c r="AQ265" i="20"/>
  <c r="AR265" i="20" s="1"/>
  <c r="AQ266" i="20"/>
  <c r="AQ267" i="20"/>
  <c r="AR267" i="20" s="1"/>
  <c r="AQ268" i="20"/>
  <c r="AQ274" i="20"/>
  <c r="AR274" i="20" s="1"/>
  <c r="AQ269" i="20"/>
  <c r="AQ270" i="20"/>
  <c r="AQ271" i="20"/>
  <c r="AR271" i="20" s="1"/>
  <c r="AQ272" i="20"/>
  <c r="AR272" i="20" s="1"/>
  <c r="AQ273" i="20"/>
  <c r="AR273" i="20" s="1"/>
  <c r="AQ275" i="20"/>
  <c r="AQ276" i="20"/>
  <c r="AQ277" i="20"/>
  <c r="AR277" i="20" s="1"/>
  <c r="AQ278" i="20"/>
  <c r="AR278" i="20" s="1"/>
  <c r="AQ279" i="20"/>
  <c r="AQ263" i="20"/>
  <c r="AR263" i="20" s="1"/>
  <c r="AQ243" i="20"/>
  <c r="AR243" i="20" s="1"/>
  <c r="AQ244" i="20"/>
  <c r="AQ245" i="20"/>
  <c r="AQ246" i="20"/>
  <c r="AQ247" i="20"/>
  <c r="AR247" i="20" s="1"/>
  <c r="AQ248" i="20"/>
  <c r="AR248" i="20" s="1"/>
  <c r="AQ249" i="20"/>
  <c r="AQ250" i="20"/>
  <c r="AR250" i="20" s="1"/>
  <c r="AQ251" i="20"/>
  <c r="AR251" i="20" s="1"/>
  <c r="AQ253" i="20"/>
  <c r="AR253" i="20" s="1"/>
  <c r="AQ254" i="20"/>
  <c r="AQ252" i="20"/>
  <c r="AQ255" i="20"/>
  <c r="AR255" i="20" s="1"/>
  <c r="AQ256" i="20"/>
  <c r="AQ257" i="20"/>
  <c r="AQ258" i="20"/>
  <c r="AQ259" i="20"/>
  <c r="AR259" i="20" s="1"/>
  <c r="AQ260" i="20"/>
  <c r="AR260" i="20" s="1"/>
  <c r="AQ261" i="20"/>
  <c r="AQ262" i="20"/>
  <c r="AQ242" i="20"/>
  <c r="AR242" i="20" s="1"/>
  <c r="AQ239" i="20"/>
  <c r="AR239" i="20" s="1"/>
  <c r="AQ240" i="20"/>
  <c r="AQ238" i="20"/>
  <c r="AR238" i="20" s="1"/>
  <c r="AQ241" i="20"/>
  <c r="AR241" i="20" s="1"/>
  <c r="AQ237" i="20"/>
  <c r="AQ236" i="20"/>
  <c r="AR236" i="20" s="1"/>
  <c r="AQ234" i="20"/>
  <c r="AQ235" i="20"/>
  <c r="AR235" i="20" s="1"/>
  <c r="AQ232" i="20"/>
  <c r="AR232" i="20" s="1"/>
  <c r="AQ233" i="20"/>
  <c r="AQ228" i="20"/>
  <c r="AQ229" i="20"/>
  <c r="AR229" i="20" s="1"/>
  <c r="AQ230" i="20"/>
  <c r="AQ231" i="20"/>
  <c r="AQ225" i="20"/>
  <c r="AR225" i="20" s="1"/>
  <c r="AQ226" i="20"/>
  <c r="AR226" i="20" s="1"/>
  <c r="AQ227" i="20"/>
  <c r="AQ223" i="20"/>
  <c r="AQ224" i="20"/>
  <c r="AQ219" i="20"/>
  <c r="AR219" i="20" s="1"/>
  <c r="AQ220" i="20"/>
  <c r="AQ221" i="20"/>
  <c r="AQ222" i="20"/>
  <c r="AR222" i="20" s="1"/>
  <c r="AQ218" i="20"/>
  <c r="AR218" i="20" s="1"/>
  <c r="AQ217" i="20"/>
  <c r="AR217" i="20" s="1"/>
  <c r="AQ216" i="20"/>
  <c r="AR216" i="20" s="1"/>
  <c r="AQ203" i="20"/>
  <c r="AQ204" i="20"/>
  <c r="AR204" i="20" s="1"/>
  <c r="AQ205" i="20"/>
  <c r="AR205" i="20" s="1"/>
  <c r="AQ206" i="20"/>
  <c r="AR206" i="20" s="1"/>
  <c r="AQ207" i="20"/>
  <c r="AQ208" i="20"/>
  <c r="AR208" i="20" s="1"/>
  <c r="AQ209" i="20"/>
  <c r="AR209" i="20" s="1"/>
  <c r="AQ210" i="20"/>
  <c r="AR210" i="20" s="1"/>
  <c r="AQ211" i="20"/>
  <c r="AR211" i="20" s="1"/>
  <c r="AQ212" i="20"/>
  <c r="AR212" i="20" s="1"/>
  <c r="AQ213" i="20"/>
  <c r="AR213" i="20" s="1"/>
  <c r="AQ214" i="20"/>
  <c r="AR214" i="20" s="1"/>
  <c r="AQ215" i="20"/>
  <c r="AQ201" i="20"/>
  <c r="AR201" i="20" s="1"/>
  <c r="AQ202" i="20"/>
  <c r="AQ196" i="20"/>
  <c r="AQ197" i="20"/>
  <c r="AQ198" i="20"/>
  <c r="AR198" i="20" s="1"/>
  <c r="AQ199" i="20"/>
  <c r="AQ200" i="20"/>
  <c r="AQ195" i="20"/>
  <c r="AQ194" i="20"/>
  <c r="AR194" i="20" s="1"/>
  <c r="AQ191" i="20"/>
  <c r="AQ192" i="20"/>
  <c r="AQ190" i="20"/>
  <c r="AQ193" i="20"/>
  <c r="AR193" i="20" s="1"/>
  <c r="AQ188" i="20"/>
  <c r="AR188" i="20" s="1"/>
  <c r="AQ189" i="20"/>
  <c r="AR189" i="20" s="1"/>
  <c r="AQ187" i="20"/>
  <c r="AR187" i="20" s="1"/>
  <c r="AQ186" i="20"/>
  <c r="AR186" i="20" s="1"/>
  <c r="AQ185" i="20"/>
  <c r="AQ184" i="20"/>
  <c r="AQ177" i="20"/>
  <c r="AQ178" i="20"/>
  <c r="AQ179" i="20"/>
  <c r="AR179" i="20" s="1"/>
  <c r="AQ180" i="20"/>
  <c r="AQ181" i="20"/>
  <c r="AR181" i="20" s="1"/>
  <c r="AQ182" i="20"/>
  <c r="AR182" i="20" s="1"/>
  <c r="AQ183" i="20"/>
  <c r="AR183" i="20" s="1"/>
  <c r="AQ176" i="20"/>
  <c r="AQ175" i="20"/>
  <c r="AR175" i="20" s="1"/>
  <c r="AQ170" i="20"/>
  <c r="AQ172" i="20"/>
  <c r="AR172" i="20" s="1"/>
  <c r="AQ171" i="20"/>
  <c r="AQ173" i="20"/>
  <c r="AR173" i="20" s="1"/>
  <c r="AQ174" i="20"/>
  <c r="AR174" i="20" s="1"/>
  <c r="AQ169" i="20"/>
  <c r="AR169" i="20" s="1"/>
  <c r="AQ168" i="20"/>
  <c r="AQ163" i="20"/>
  <c r="AQ164" i="20"/>
  <c r="AR164" i="20" s="1"/>
  <c r="AQ166" i="20"/>
  <c r="AQ167" i="20"/>
  <c r="AR167" i="20" s="1"/>
  <c r="AQ165" i="20"/>
  <c r="AQ160" i="20"/>
  <c r="AR160" i="20" s="1"/>
  <c r="AQ161" i="20"/>
  <c r="AR161" i="20" s="1"/>
  <c r="AQ162" i="20"/>
  <c r="AQ159" i="20"/>
  <c r="AQ157" i="20"/>
  <c r="AR157" i="20" s="1"/>
  <c r="AQ158" i="20"/>
  <c r="AR158" i="20" s="1"/>
  <c r="AQ156" i="20"/>
  <c r="AQ155" i="20"/>
  <c r="AQ154" i="20"/>
  <c r="AR154" i="20" s="1"/>
  <c r="AQ152" i="20"/>
  <c r="AQ153" i="20"/>
  <c r="AQ151" i="20"/>
  <c r="AR151" i="20" s="1"/>
  <c r="AQ147" i="20"/>
  <c r="AR147" i="20" s="1"/>
  <c r="AQ148" i="20"/>
  <c r="AQ146" i="20"/>
  <c r="AQ149" i="20"/>
  <c r="AQ150" i="20"/>
  <c r="AR150" i="20" s="1"/>
  <c r="AQ145" i="20"/>
  <c r="AQ141" i="20"/>
  <c r="AQ142" i="20"/>
  <c r="AR142" i="20" s="1"/>
  <c r="AQ143" i="20"/>
  <c r="AR143" i="20" s="1"/>
  <c r="AQ144" i="20"/>
  <c r="AR144" i="20" s="1"/>
  <c r="AQ138" i="20"/>
  <c r="AQ134" i="20"/>
  <c r="AQ135" i="20"/>
  <c r="AR135" i="20" s="1"/>
  <c r="AQ139" i="20"/>
  <c r="AQ136" i="20"/>
  <c r="AQ137" i="20"/>
  <c r="AR137" i="20" s="1"/>
  <c r="AQ140" i="20"/>
  <c r="AR140" i="20" s="1"/>
  <c r="AQ133" i="20"/>
  <c r="AR133" i="20" s="1"/>
  <c r="AQ129" i="20"/>
  <c r="AQ131" i="20"/>
  <c r="AR131" i="20" s="1"/>
  <c r="AQ130" i="20"/>
  <c r="AR130" i="20" s="1"/>
  <c r="AQ132" i="20"/>
  <c r="AQ128" i="20"/>
  <c r="AR128" i="20" s="1"/>
  <c r="AQ126" i="20"/>
  <c r="AQ127" i="20"/>
  <c r="AR127" i="20" s="1"/>
  <c r="AQ123" i="20"/>
  <c r="AR123" i="20" s="1"/>
  <c r="AQ124" i="20"/>
  <c r="AQ125" i="20"/>
  <c r="AQ122" i="20"/>
  <c r="AR122" i="20" s="1"/>
  <c r="AQ121" i="20"/>
  <c r="AR121" i="20" s="1"/>
  <c r="AQ120" i="20"/>
  <c r="AQ119" i="20"/>
  <c r="AQ118" i="20"/>
  <c r="AQ117" i="20"/>
  <c r="AR117" i="20" s="1"/>
  <c r="AQ116" i="20"/>
  <c r="AR116" i="20" s="1"/>
  <c r="AQ114" i="20"/>
  <c r="AR114" i="20" s="1"/>
  <c r="AQ115" i="20"/>
  <c r="AR115" i="20" s="1"/>
  <c r="AQ113" i="20"/>
  <c r="AQ112" i="20"/>
  <c r="AQ110" i="20"/>
  <c r="AQ111" i="20"/>
  <c r="AQ109" i="20"/>
  <c r="AQ108" i="20"/>
  <c r="AQ101" i="20"/>
  <c r="AQ102" i="20"/>
  <c r="AR102" i="20" s="1"/>
  <c r="AQ103" i="20"/>
  <c r="AQ104" i="20"/>
  <c r="AQ105" i="20"/>
  <c r="AR105" i="20" s="1"/>
  <c r="AQ106" i="20"/>
  <c r="AR106" i="20" s="1"/>
  <c r="AQ107" i="20"/>
  <c r="AQ99" i="20"/>
  <c r="AQ100" i="20"/>
  <c r="AQ95" i="20"/>
  <c r="AR95" i="20" s="1"/>
  <c r="AQ96" i="20"/>
  <c r="AQ97" i="20"/>
  <c r="AQ98" i="20"/>
  <c r="AR98" i="20" s="1"/>
  <c r="AQ94" i="20"/>
  <c r="AR94" i="20" s="1"/>
  <c r="AQ93" i="20"/>
  <c r="AQ92" i="20"/>
  <c r="AQ91" i="20"/>
  <c r="AR91" i="20" s="1"/>
  <c r="AQ88" i="20"/>
  <c r="AR88" i="20" s="1"/>
  <c r="AQ89" i="20"/>
  <c r="AR89" i="20" s="1"/>
  <c r="AQ90" i="20"/>
  <c r="AQ86" i="20"/>
  <c r="AQ87" i="20"/>
  <c r="AR87" i="20" s="1"/>
  <c r="AQ80" i="20"/>
  <c r="AQ82" i="20"/>
  <c r="AQ83" i="20"/>
  <c r="AQ84" i="20"/>
  <c r="AR84" i="20" s="1"/>
  <c r="AQ81" i="20"/>
  <c r="AQ85" i="20"/>
  <c r="AQ79" i="20"/>
  <c r="AR79" i="20" s="1"/>
  <c r="AQ76" i="20"/>
  <c r="AR76" i="20" s="1"/>
  <c r="AQ77" i="20"/>
  <c r="AR77" i="20" s="1"/>
  <c r="AQ78" i="20"/>
  <c r="AQ75" i="20"/>
  <c r="AQ74" i="20"/>
  <c r="AQ73" i="20"/>
  <c r="AR73" i="20" s="1"/>
  <c r="AQ71" i="20"/>
  <c r="AQ72" i="20"/>
  <c r="AR72" i="20" s="1"/>
  <c r="AQ69" i="20"/>
  <c r="AQ70" i="20"/>
  <c r="AQ66" i="20"/>
  <c r="AQ67" i="20"/>
  <c r="AR67" i="20" s="1"/>
  <c r="AQ68" i="20"/>
  <c r="AQ65" i="20"/>
  <c r="AQ63" i="20"/>
  <c r="AR63" i="20" s="1"/>
  <c r="AQ64" i="20"/>
  <c r="AQ62" i="20"/>
  <c r="AR62" i="20" s="1"/>
  <c r="AQ60" i="20"/>
  <c r="AQ61" i="20"/>
  <c r="AQ59" i="20"/>
  <c r="AQ58" i="20"/>
  <c r="AR58" i="20" s="1"/>
  <c r="AQ57" i="20"/>
  <c r="AR57" i="20" s="1"/>
  <c r="AQ56" i="20"/>
  <c r="AQ50" i="20"/>
  <c r="AR50" i="20" s="1"/>
  <c r="AQ51" i="20"/>
  <c r="AQ52" i="20"/>
  <c r="AR52" i="20" s="1"/>
  <c r="AQ53" i="20"/>
  <c r="AR53" i="20" s="1"/>
  <c r="AQ54" i="20"/>
  <c r="AQ55" i="20"/>
  <c r="AR55" i="20" s="1"/>
  <c r="AQ44" i="20"/>
  <c r="AQ45" i="20"/>
  <c r="AQ46" i="20"/>
  <c r="AR46" i="20" s="1"/>
  <c r="AQ47" i="20"/>
  <c r="AR47" i="20" s="1"/>
  <c r="AQ48" i="20"/>
  <c r="AQ49" i="20"/>
  <c r="AR49" i="20" s="1"/>
  <c r="AQ43" i="20"/>
  <c r="AQ42" i="20"/>
  <c r="AR42" i="20" s="1"/>
  <c r="AQ41" i="20"/>
  <c r="AQ38" i="20"/>
  <c r="AR38" i="20" s="1"/>
  <c r="AQ32" i="20"/>
  <c r="AQ36" i="20"/>
  <c r="AR36" i="20" s="1"/>
  <c r="AQ33" i="20"/>
  <c r="AQ34" i="20"/>
  <c r="AQ35" i="20"/>
  <c r="AQ37" i="20"/>
  <c r="AR37" i="20" s="1"/>
  <c r="AQ29" i="20"/>
  <c r="AQ28" i="20"/>
  <c r="AQ24" i="20"/>
  <c r="AR24" i="20" s="1"/>
  <c r="AQ23" i="20"/>
  <c r="AR23" i="20" s="1"/>
  <c r="AQ21" i="20"/>
  <c r="AR21" i="20" s="1"/>
  <c r="AQ18" i="20"/>
  <c r="AQ19" i="20"/>
  <c r="AQ20" i="20"/>
  <c r="AR20" i="20" s="1"/>
  <c r="AQ15" i="20"/>
  <c r="AQ13" i="20"/>
  <c r="AQ11" i="20"/>
  <c r="AR11" i="20" s="1"/>
  <c r="AQ12" i="20"/>
  <c r="AR12" i="20" s="1"/>
  <c r="AQ10" i="20"/>
  <c r="AQ9" i="20"/>
  <c r="AQ8" i="20"/>
  <c r="AQ6" i="20"/>
  <c r="AR6" i="20" s="1"/>
  <c r="AQ30" i="20"/>
  <c r="AR30" i="20" s="1"/>
  <c r="AQ31" i="20"/>
  <c r="AR31" i="20" s="1"/>
  <c r="AQ16" i="20"/>
  <c r="AT16" i="20" s="1"/>
  <c r="AQ14" i="20"/>
  <c r="AQ40" i="20"/>
  <c r="AQ39" i="20"/>
  <c r="AQ17" i="20"/>
  <c r="AR17" i="20" s="1"/>
  <c r="AQ22" i="20"/>
  <c r="AR22" i="20" s="1"/>
  <c r="AQ7" i="20"/>
  <c r="AQ1113" i="20"/>
  <c r="AR1113" i="20" s="1"/>
  <c r="AQ1114" i="20"/>
  <c r="AR1114" i="20" s="1"/>
  <c r="AQ1115" i="20"/>
  <c r="AR1115" i="20" s="1"/>
  <c r="AQ1116" i="20"/>
  <c r="AR1116" i="20" s="1"/>
  <c r="AQ1117" i="20"/>
  <c r="AQ1118" i="20"/>
  <c r="AQ1119" i="20"/>
  <c r="AR1119" i="20" s="1"/>
  <c r="AQ1120" i="20"/>
  <c r="AR1120" i="20" s="1"/>
  <c r="AQ1121" i="20"/>
  <c r="AR1121" i="20" s="1"/>
  <c r="AQ1122" i="20"/>
  <c r="AQ1123" i="20"/>
  <c r="AR1123" i="20" s="1"/>
  <c r="AQ1124" i="20"/>
  <c r="AR1124" i="20" s="1"/>
  <c r="AQ1125" i="20"/>
  <c r="AQ1126" i="20"/>
  <c r="AR1126" i="20" s="1"/>
  <c r="AQ1127" i="20"/>
  <c r="AR1127" i="20" s="1"/>
  <c r="AQ1128" i="20"/>
  <c r="AQ1129" i="20"/>
  <c r="AQ1130" i="20"/>
  <c r="AR1130" i="20" s="1"/>
  <c r="AQ1131" i="20"/>
  <c r="AR1131" i="20" s="1"/>
  <c r="AQ1132" i="20"/>
  <c r="AR1132" i="20" s="1"/>
  <c r="AQ1133" i="20"/>
  <c r="AQ1134" i="20"/>
  <c r="AQ1135" i="20"/>
  <c r="AR1135" i="20" s="1"/>
  <c r="AQ1136" i="20"/>
  <c r="AQ1137" i="20"/>
  <c r="AQ1138" i="20"/>
  <c r="AQ1139" i="20"/>
  <c r="AR1139" i="20" s="1"/>
  <c r="AQ1140" i="20"/>
  <c r="AQ1141" i="20"/>
  <c r="AQ1142" i="20"/>
  <c r="AQ1143" i="20"/>
  <c r="AR1143" i="20" s="1"/>
  <c r="AQ1144" i="20"/>
  <c r="AQ1145" i="20"/>
  <c r="AQ1146" i="20"/>
  <c r="AR1146" i="20" s="1"/>
  <c r="AQ1147" i="20"/>
  <c r="AR1147" i="20" s="1"/>
  <c r="AQ1148" i="20"/>
  <c r="AQ1149" i="20"/>
  <c r="AQ1150" i="20"/>
  <c r="AR1150" i="20" s="1"/>
  <c r="AQ1151" i="20"/>
  <c r="AR1151" i="20" s="1"/>
  <c r="AQ1152" i="20"/>
  <c r="AQ1153" i="20"/>
  <c r="AR1153" i="20" s="1"/>
  <c r="AQ1154" i="20"/>
  <c r="AR1154" i="20" s="1"/>
  <c r="AQ1155" i="20"/>
  <c r="AR1155" i="20" s="1"/>
  <c r="AQ1156" i="20"/>
  <c r="AQ1157" i="20"/>
  <c r="AQ1158" i="20"/>
  <c r="AR1158" i="20" s="1"/>
  <c r="AQ1159" i="20"/>
  <c r="AR1159" i="20" s="1"/>
  <c r="AQ1160" i="20"/>
  <c r="AQ1161" i="20"/>
  <c r="AQ1162" i="20"/>
  <c r="AR1162" i="20" s="1"/>
  <c r="AQ1163" i="20"/>
  <c r="AR1163" i="20" s="1"/>
  <c r="AQ1164" i="20"/>
  <c r="AQ1165" i="20"/>
  <c r="AQ1166" i="20"/>
  <c r="AR1166" i="20" s="1"/>
  <c r="AQ1167" i="20"/>
  <c r="AR1167" i="20" s="1"/>
  <c r="AQ1168" i="20"/>
  <c r="AR1168" i="20" s="1"/>
  <c r="AQ1169" i="20"/>
  <c r="AQ1170" i="20"/>
  <c r="AR1170" i="20" s="1"/>
  <c r="AQ1171" i="20"/>
  <c r="AR1171" i="20" s="1"/>
  <c r="AQ1172" i="20"/>
  <c r="AQ1173" i="20"/>
  <c r="AQ1174" i="20"/>
  <c r="AR1174" i="20" s="1"/>
  <c r="AQ1175" i="20"/>
  <c r="AR1175" i="20" s="1"/>
  <c r="AQ1176" i="20"/>
  <c r="AQ1177" i="20"/>
  <c r="AR1177" i="20" s="1"/>
  <c r="AQ1178" i="20"/>
  <c r="AR1178" i="20" s="1"/>
  <c r="AQ1179" i="20"/>
  <c r="AQ1180" i="20"/>
  <c r="AQ1181" i="20"/>
  <c r="AQ1182" i="20"/>
  <c r="AR1182" i="20" s="1"/>
  <c r="AQ1183" i="20"/>
  <c r="AR1183" i="20" s="1"/>
  <c r="AQ1184" i="20"/>
  <c r="AR1184" i="20" s="1"/>
  <c r="AQ1185" i="20"/>
  <c r="AQ1186" i="20"/>
  <c r="AQ1187" i="20"/>
  <c r="AR1187" i="20" s="1"/>
  <c r="AQ1188" i="20"/>
  <c r="AQ1189" i="20"/>
  <c r="AQ1190" i="20"/>
  <c r="AR1190" i="20" s="1"/>
  <c r="AQ1191" i="20"/>
  <c r="AR1191" i="20" s="1"/>
  <c r="AQ1192" i="20"/>
  <c r="AQ1193" i="20"/>
  <c r="AQ1194" i="20"/>
  <c r="AR1194" i="20" s="1"/>
  <c r="AQ1195" i="20"/>
  <c r="AR1195" i="20" s="1"/>
  <c r="AQ1196" i="20"/>
  <c r="AQ1197" i="20"/>
  <c r="AQ1198" i="20"/>
  <c r="AR1198" i="20" s="1"/>
  <c r="AQ1199" i="20"/>
  <c r="AR1199" i="20" s="1"/>
  <c r="AQ1200" i="20"/>
  <c r="AQ1201" i="20"/>
  <c r="AQ1202" i="20"/>
  <c r="AR1202" i="20" s="1"/>
  <c r="AQ1203" i="20"/>
  <c r="AR1203" i="20" s="1"/>
  <c r="AQ1204" i="20"/>
  <c r="AQ1205" i="20"/>
  <c r="AR1205" i="20" s="1"/>
  <c r="AQ1206" i="20"/>
  <c r="AR1206" i="20" s="1"/>
  <c r="AQ1207" i="20"/>
  <c r="AR1207" i="20" s="1"/>
  <c r="AQ1208" i="20"/>
  <c r="AR1208" i="20" s="1"/>
  <c r="AQ1209" i="20"/>
  <c r="AQ1210" i="20"/>
  <c r="AQ1211" i="20"/>
  <c r="AR1211" i="20" s="1"/>
  <c r="AQ1212" i="20"/>
  <c r="AR1212" i="20" s="1"/>
  <c r="AQ1213" i="20"/>
  <c r="AQ1214" i="20"/>
  <c r="AR1214" i="20" s="1"/>
  <c r="AQ1215" i="20"/>
  <c r="AR1215" i="20" s="1"/>
  <c r="AQ1216" i="20"/>
  <c r="AR1216" i="20" s="1"/>
  <c r="AQ1217" i="20"/>
  <c r="AQ1218" i="20"/>
  <c r="AQ1219" i="20"/>
  <c r="AR1219" i="20" s="1"/>
  <c r="AQ1220" i="20"/>
  <c r="AR1220" i="20" s="1"/>
  <c r="AQ1221" i="20"/>
  <c r="AR1221" i="20" s="1"/>
  <c r="AQ1222" i="20"/>
  <c r="AR1222" i="20" s="1"/>
  <c r="AQ1223" i="20"/>
  <c r="AR1223" i="20" s="1"/>
  <c r="AQ1224" i="20"/>
  <c r="AQ1225" i="20"/>
  <c r="AQ1226" i="20"/>
  <c r="AR1226" i="20" s="1"/>
  <c r="AQ1227" i="20"/>
  <c r="AR1227" i="20" s="1"/>
  <c r="AQ1228" i="20"/>
  <c r="AQ1229" i="20"/>
  <c r="AQ1230" i="20"/>
  <c r="AR1230" i="20" s="1"/>
  <c r="AQ1231" i="20"/>
  <c r="AR1231" i="20" s="1"/>
  <c r="AQ1232" i="20"/>
  <c r="AQ1233" i="20"/>
  <c r="AQ1234" i="20"/>
  <c r="AR1234" i="20" s="1"/>
  <c r="AQ1235" i="20"/>
  <c r="AR1235" i="20" s="1"/>
  <c r="AQ1236" i="20"/>
  <c r="AQ1237" i="20"/>
  <c r="AQ1238" i="20"/>
  <c r="AQ1239" i="20"/>
  <c r="AR1239" i="20" s="1"/>
  <c r="AQ1240" i="20"/>
  <c r="AR1240" i="20" s="1"/>
  <c r="AQ1241" i="20"/>
  <c r="AR1241" i="20" s="1"/>
  <c r="AQ1242" i="20"/>
  <c r="AQ1243" i="20"/>
  <c r="AR1243" i="20" s="1"/>
  <c r="AQ1244" i="20"/>
  <c r="AQ1245" i="20"/>
  <c r="AQ1246" i="20"/>
  <c r="AR1246" i="20" s="1"/>
  <c r="AQ1247" i="20"/>
  <c r="AR1247" i="20" s="1"/>
  <c r="AQ1248" i="20"/>
  <c r="AR1248" i="20" s="1"/>
  <c r="AQ1249" i="20"/>
  <c r="AR1249" i="20" s="1"/>
  <c r="AQ1250" i="20"/>
  <c r="AQ1251" i="20"/>
  <c r="AR1251" i="20" s="1"/>
  <c r="AQ1252" i="20"/>
  <c r="AQ1253" i="20"/>
  <c r="AR1253" i="20" s="1"/>
  <c r="AQ1254" i="20"/>
  <c r="AQ1255" i="20"/>
  <c r="AR1255" i="20" s="1"/>
  <c r="AQ1256" i="20"/>
  <c r="AR1256" i="20" s="1"/>
  <c r="AQ1257" i="20"/>
  <c r="AQ1258" i="20"/>
  <c r="AR1258" i="20" s="1"/>
  <c r="AQ1259" i="20"/>
  <c r="AR1259" i="20" s="1"/>
  <c r="AQ1260" i="20"/>
  <c r="AQ1261" i="20"/>
  <c r="AQ1262" i="20"/>
  <c r="AR1262" i="20" s="1"/>
  <c r="AQ1263" i="20"/>
  <c r="AR1263" i="20" s="1"/>
  <c r="AQ1264" i="20"/>
  <c r="AQ1265" i="20"/>
  <c r="AQ1266" i="20"/>
  <c r="AR1266" i="20" s="1"/>
  <c r="AQ1267" i="20"/>
  <c r="AR1267" i="20" s="1"/>
  <c r="AQ1268" i="20"/>
  <c r="AR1268" i="20" s="1"/>
  <c r="AQ1269" i="20"/>
  <c r="AQ1270" i="20"/>
  <c r="AR1270" i="20" s="1"/>
  <c r="AQ1271" i="20"/>
  <c r="AR1271" i="20" s="1"/>
  <c r="AQ1272" i="20"/>
  <c r="AQ1273" i="20"/>
  <c r="AQ1274" i="20"/>
  <c r="AR1274" i="20" s="1"/>
  <c r="AQ1275" i="20"/>
  <c r="AR1275" i="20" s="1"/>
  <c r="AQ1276" i="20"/>
  <c r="AQ1277" i="20"/>
  <c r="AQ1278" i="20"/>
  <c r="AQ1279" i="20"/>
  <c r="AR1279" i="20" s="1"/>
  <c r="AQ1280" i="20"/>
  <c r="AR1280" i="20" s="1"/>
  <c r="AQ1281" i="20"/>
  <c r="AQ1282" i="20"/>
  <c r="AQ1283" i="20"/>
  <c r="AR1283" i="20" s="1"/>
  <c r="AQ1284" i="20"/>
  <c r="AR1284" i="20" s="1"/>
  <c r="AQ1285" i="20"/>
  <c r="AQ1286" i="20"/>
  <c r="AR1286" i="20" s="1"/>
  <c r="AQ1287" i="20"/>
  <c r="AR1287" i="20" s="1"/>
  <c r="AQ1288" i="20"/>
  <c r="AQ1289" i="20"/>
  <c r="AQ1290" i="20"/>
  <c r="AQ1291" i="20"/>
  <c r="AR1291" i="20" s="1"/>
  <c r="AQ1292" i="20"/>
  <c r="AQ1293" i="20"/>
  <c r="AQ1294" i="20"/>
  <c r="AR1294" i="20" s="1"/>
  <c r="AQ1295" i="20"/>
  <c r="AR1295" i="20" s="1"/>
  <c r="AQ1296" i="20"/>
  <c r="AQ1297" i="20"/>
  <c r="AR1297" i="20" s="1"/>
  <c r="AQ1298" i="20"/>
  <c r="AR1298" i="20" s="1"/>
  <c r="AQ1299" i="20"/>
  <c r="AR1299" i="20" s="1"/>
  <c r="AQ1300" i="20"/>
  <c r="AR1300" i="20" s="1"/>
  <c r="AQ1301" i="20"/>
  <c r="AQ1302" i="20"/>
  <c r="AR1302" i="20" s="1"/>
  <c r="AQ1303" i="20"/>
  <c r="AR1303" i="20" s="1"/>
  <c r="AQ1304" i="20"/>
  <c r="AR1304" i="20" s="1"/>
  <c r="AQ1305" i="20"/>
  <c r="AQ1306" i="20"/>
  <c r="AQ1307" i="20"/>
  <c r="AR1307" i="20" s="1"/>
  <c r="AQ1308" i="20"/>
  <c r="AQ1309" i="20"/>
  <c r="AQ1310" i="20"/>
  <c r="AR1310" i="20" s="1"/>
  <c r="AQ1311" i="20"/>
  <c r="AR1311" i="20" s="1"/>
  <c r="AQ1312" i="20"/>
  <c r="AR1312" i="20" s="1"/>
  <c r="AQ1313" i="20"/>
  <c r="AQ1314" i="20"/>
  <c r="AR1314" i="20" s="1"/>
  <c r="AQ1315" i="20"/>
  <c r="AR1315" i="20" s="1"/>
  <c r="AQ1316" i="20"/>
  <c r="AQ1317" i="20"/>
  <c r="AQ1318" i="20"/>
  <c r="AR1318" i="20" s="1"/>
  <c r="AQ1319" i="20"/>
  <c r="AR1319" i="20" s="1"/>
  <c r="AQ1320" i="20"/>
  <c r="AQ1321" i="20"/>
  <c r="AR1321" i="20" s="1"/>
  <c r="AQ1322" i="20"/>
  <c r="AQ1323" i="20"/>
  <c r="AR1323" i="20" s="1"/>
  <c r="AQ1324" i="20"/>
  <c r="AQ1325" i="20"/>
  <c r="AQ1326" i="20"/>
  <c r="AR1326" i="20" s="1"/>
  <c r="AQ1327" i="20"/>
  <c r="AR1327" i="20" s="1"/>
  <c r="AQ1328" i="20"/>
  <c r="AR1328" i="20" s="1"/>
  <c r="AQ1329" i="20"/>
  <c r="AQ1330" i="20"/>
  <c r="AR1330" i="20" s="1"/>
  <c r="AQ1331" i="20"/>
  <c r="AR1331" i="20" s="1"/>
  <c r="AQ1332" i="20"/>
  <c r="AR1332" i="20" s="1"/>
  <c r="AQ1333" i="20"/>
  <c r="AQ1334" i="20"/>
  <c r="AR1334" i="20" s="1"/>
  <c r="AQ1335" i="20"/>
  <c r="AR1335" i="20" s="1"/>
  <c r="AQ1336" i="20"/>
  <c r="AQ1337" i="20"/>
  <c r="AR1337" i="20" s="1"/>
  <c r="AQ1338" i="20"/>
  <c r="AR1338" i="20" s="1"/>
  <c r="T7" i="19"/>
  <c r="P7" i="19" s="1"/>
  <c r="U7" i="19" s="1"/>
  <c r="S7" i="19"/>
  <c r="T5" i="19"/>
  <c r="P5" i="19" s="1"/>
  <c r="U5" i="19" s="1"/>
  <c r="T6" i="19"/>
  <c r="P6" i="19" s="1"/>
  <c r="U6" i="19" s="1"/>
  <c r="T8" i="19"/>
  <c r="P8" i="19" s="1"/>
  <c r="U8" i="19" s="1"/>
  <c r="S5" i="19"/>
  <c r="S6" i="19"/>
  <c r="S8" i="19"/>
  <c r="A25" i="20"/>
  <c r="S11" i="19"/>
  <c r="T11" i="19"/>
  <c r="P11" i="19" s="1"/>
  <c r="U11" i="19" s="1"/>
  <c r="T10" i="19"/>
  <c r="P10" i="19" s="1"/>
  <c r="U10" i="19" s="1"/>
  <c r="S10" i="19"/>
  <c r="T9" i="19"/>
  <c r="P9" i="19" s="1"/>
  <c r="S9" i="19"/>
  <c r="A22" i="20"/>
  <c r="I1" i="20"/>
  <c r="C12" i="37"/>
  <c r="B12" i="37"/>
  <c r="C7" i="36"/>
  <c r="C28" i="36"/>
  <c r="C8" i="36"/>
  <c r="C9" i="36"/>
  <c r="C10" i="36"/>
  <c r="C11" i="36"/>
  <c r="C12" i="36"/>
  <c r="C13" i="36"/>
  <c r="C14" i="36"/>
  <c r="C15" i="36"/>
  <c r="C16" i="36"/>
  <c r="C17" i="36"/>
  <c r="C18" i="36"/>
  <c r="C19" i="36"/>
  <c r="C20" i="36"/>
  <c r="C21" i="36"/>
  <c r="C22" i="36"/>
  <c r="C23" i="36"/>
  <c r="C24" i="36"/>
  <c r="C25" i="36"/>
  <c r="C26" i="36"/>
  <c r="C27" i="36"/>
  <c r="K11" i="36"/>
  <c r="J11" i="36"/>
  <c r="I11" i="36"/>
  <c r="H11" i="36"/>
  <c r="G11" i="36"/>
  <c r="F11" i="36"/>
  <c r="E11" i="36"/>
  <c r="D11" i="36"/>
  <c r="B11" i="36"/>
  <c r="H7" i="36"/>
  <c r="G7" i="36"/>
  <c r="F7" i="36"/>
  <c r="E7" i="36"/>
  <c r="D7" i="36"/>
  <c r="C39" i="40"/>
  <c r="D39" i="40"/>
  <c r="E39" i="40"/>
  <c r="C37" i="40"/>
  <c r="X16" i="66" s="1"/>
  <c r="C16" i="40"/>
  <c r="X3" i="66" s="1"/>
  <c r="S274" i="14"/>
  <c r="AI274" i="14"/>
  <c r="AJ274" i="14"/>
  <c r="AK274" i="14" s="1"/>
  <c r="S246" i="14"/>
  <c r="S261" i="14"/>
  <c r="S268" i="14"/>
  <c r="S269" i="14"/>
  <c r="S275" i="14"/>
  <c r="AI246" i="14"/>
  <c r="AI261" i="14"/>
  <c r="AI268" i="14"/>
  <c r="AI269" i="14"/>
  <c r="AI275" i="14"/>
  <c r="AJ246" i="14"/>
  <c r="AK246" i="14" s="1"/>
  <c r="AJ261" i="14"/>
  <c r="AK261" i="14" s="1"/>
  <c r="AJ268" i="14"/>
  <c r="AK268" i="14" s="1"/>
  <c r="AJ269" i="14"/>
  <c r="AK269" i="14" s="1"/>
  <c r="AJ275" i="14"/>
  <c r="AK275" i="14" s="1"/>
  <c r="S228" i="14"/>
  <c r="S229" i="14"/>
  <c r="S230" i="14"/>
  <c r="S231" i="14"/>
  <c r="S232" i="14"/>
  <c r="S233" i="14"/>
  <c r="S234" i="14"/>
  <c r="S237" i="14"/>
  <c r="S240" i="14"/>
  <c r="S241" i="14"/>
  <c r="S245" i="14"/>
  <c r="AI228" i="14"/>
  <c r="AI229" i="14"/>
  <c r="AI230" i="14"/>
  <c r="AI231" i="14"/>
  <c r="AI232" i="14"/>
  <c r="AI233" i="14"/>
  <c r="AI234" i="14"/>
  <c r="AI237" i="14"/>
  <c r="AI240" i="14"/>
  <c r="AI241" i="14"/>
  <c r="AI245" i="14"/>
  <c r="AJ228" i="14"/>
  <c r="AK228" i="14" s="1"/>
  <c r="AJ229" i="14"/>
  <c r="AK229" i="14" s="1"/>
  <c r="AJ230" i="14"/>
  <c r="AK230" i="14" s="1"/>
  <c r="AJ231" i="14"/>
  <c r="AK231" i="14" s="1"/>
  <c r="AJ232" i="14"/>
  <c r="AK232" i="14" s="1"/>
  <c r="AJ233" i="14"/>
  <c r="AK233" i="14" s="1"/>
  <c r="AJ234" i="14"/>
  <c r="AK234" i="14" s="1"/>
  <c r="AJ237" i="14"/>
  <c r="AK237" i="14" s="1"/>
  <c r="AJ240" i="14"/>
  <c r="AK240" i="14" s="1"/>
  <c r="AJ241" i="14"/>
  <c r="AK241" i="14" s="1"/>
  <c r="AJ245" i="14"/>
  <c r="AK245" i="14" s="1"/>
  <c r="S25" i="19"/>
  <c r="T25" i="19"/>
  <c r="P25" i="19" s="1"/>
  <c r="U25" i="19" s="1"/>
  <c r="S24" i="19"/>
  <c r="T24" i="19"/>
  <c r="P24" i="19" s="1"/>
  <c r="U24" i="19" s="1"/>
  <c r="S23" i="19"/>
  <c r="T23" i="19"/>
  <c r="P23" i="19" s="1"/>
  <c r="U23" i="19" s="1"/>
  <c r="S22" i="19"/>
  <c r="T22" i="19"/>
  <c r="P22" i="19" s="1"/>
  <c r="U22" i="19" s="1"/>
  <c r="S21" i="19"/>
  <c r="T21" i="19"/>
  <c r="P21" i="19" s="1"/>
  <c r="U21" i="19" s="1"/>
  <c r="S20" i="19"/>
  <c r="T20" i="19"/>
  <c r="P20" i="19" s="1"/>
  <c r="U20" i="19" s="1"/>
  <c r="S19" i="19"/>
  <c r="T19" i="19"/>
  <c r="P19" i="19" s="1"/>
  <c r="U19" i="19" s="1"/>
  <c r="S18" i="19"/>
  <c r="T18" i="19"/>
  <c r="P18" i="19" s="1"/>
  <c r="U18" i="19" s="1"/>
  <c r="S17" i="19"/>
  <c r="T17" i="19"/>
  <c r="P17" i="19" s="1"/>
  <c r="U17" i="19" s="1"/>
  <c r="S16" i="19"/>
  <c r="T16" i="19"/>
  <c r="P16" i="19" s="1"/>
  <c r="U16" i="19" s="1"/>
  <c r="S15" i="19"/>
  <c r="T15" i="19"/>
  <c r="P15" i="19" s="1"/>
  <c r="U15" i="19" s="1"/>
  <c r="S14" i="19"/>
  <c r="T14" i="19"/>
  <c r="P14" i="19" s="1"/>
  <c r="U14" i="19" s="1"/>
  <c r="AJ52" i="40"/>
  <c r="AK52" i="40"/>
  <c r="AL52" i="40"/>
  <c r="AM52" i="40"/>
  <c r="AN52" i="40"/>
  <c r="AS1106" i="20"/>
  <c r="AS1107" i="20"/>
  <c r="AS1108" i="20"/>
  <c r="AS1109" i="20"/>
  <c r="AS1110" i="20"/>
  <c r="AS1111" i="20"/>
  <c r="AS1112" i="20"/>
  <c r="AS26" i="20"/>
  <c r="AS27" i="20"/>
  <c r="AU26" i="20"/>
  <c r="AU27" i="20"/>
  <c r="AQ26" i="20"/>
  <c r="AQ27" i="20"/>
  <c r="S30" i="19"/>
  <c r="T30" i="19"/>
  <c r="P30" i="19" s="1"/>
  <c r="U30" i="19" s="1"/>
  <c r="S264" i="14"/>
  <c r="AS23" i="20"/>
  <c r="AS52" i="20"/>
  <c r="AS29" i="20"/>
  <c r="AS28" i="20"/>
  <c r="AS1091" i="20"/>
  <c r="D17" i="43"/>
  <c r="AI9" i="14"/>
  <c r="AJ9" i="14"/>
  <c r="AK9" i="14" s="1"/>
  <c r="AI23" i="14"/>
  <c r="AJ23" i="14"/>
  <c r="AK23" i="14" s="1"/>
  <c r="AJ36" i="14"/>
  <c r="AK36" i="14" s="1"/>
  <c r="AJ110" i="14"/>
  <c r="AK110" i="14" s="1"/>
  <c r="AJ37" i="14"/>
  <c r="AK37" i="14" s="1"/>
  <c r="AJ56" i="14"/>
  <c r="AK56" i="14" s="1"/>
  <c r="AI56" i="14"/>
  <c r="AJ136" i="14"/>
  <c r="AK136" i="14" s="1"/>
  <c r="AI136" i="14"/>
  <c r="AJ248" i="14"/>
  <c r="AK248" i="14" s="1"/>
  <c r="AI248" i="14"/>
  <c r="AJ247" i="14"/>
  <c r="AK247" i="14" s="1"/>
  <c r="AI247" i="14"/>
  <c r="AJ123" i="14"/>
  <c r="AK123" i="14" s="1"/>
  <c r="AI123" i="14"/>
  <c r="AJ127" i="14"/>
  <c r="AK127" i="14" s="1"/>
  <c r="AI127" i="14"/>
  <c r="AJ238" i="14"/>
  <c r="AK238" i="14" s="1"/>
  <c r="AI238" i="14"/>
  <c r="AJ236" i="14"/>
  <c r="AK236" i="14" s="1"/>
  <c r="AI236" i="14"/>
  <c r="AJ155" i="14"/>
  <c r="AK155" i="14" s="1"/>
  <c r="AI155" i="14"/>
  <c r="AJ80" i="14"/>
  <c r="AK80" i="14" s="1"/>
  <c r="AI80" i="14"/>
  <c r="AI37" i="14"/>
  <c r="AF80" i="14"/>
  <c r="AH80" i="14" s="1"/>
  <c r="AF155" i="14"/>
  <c r="AH155" i="14" s="1"/>
  <c r="AI28" i="14"/>
  <c r="AI53" i="14"/>
  <c r="AI55" i="14"/>
  <c r="AI54" i="14"/>
  <c r="AI45" i="14"/>
  <c r="S28" i="14"/>
  <c r="S53" i="14"/>
  <c r="S55" i="14"/>
  <c r="S54" i="14"/>
  <c r="S45" i="14"/>
  <c r="AJ28" i="14"/>
  <c r="AK28" i="14" s="1"/>
  <c r="AJ53" i="14"/>
  <c r="AK53" i="14" s="1"/>
  <c r="AJ55" i="14"/>
  <c r="AK55" i="14" s="1"/>
  <c r="AJ54" i="14"/>
  <c r="AK54" i="14" s="1"/>
  <c r="AJ45" i="14"/>
  <c r="AK45" i="14" s="1"/>
  <c r="T27" i="19"/>
  <c r="P27" i="19" s="1"/>
  <c r="U27" i="19" s="1"/>
  <c r="S27" i="19"/>
  <c r="T26" i="19"/>
  <c r="P26" i="19" s="1"/>
  <c r="U26" i="19" s="1"/>
  <c r="S26" i="19"/>
  <c r="AI140" i="14"/>
  <c r="AI27" i="14"/>
  <c r="AI5" i="14"/>
  <c r="AI29" i="14"/>
  <c r="AI30" i="14"/>
  <c r="AI6" i="14"/>
  <c r="AI31" i="14"/>
  <c r="AI250" i="14"/>
  <c r="AI81" i="14"/>
  <c r="AI199" i="14"/>
  <c r="AI32" i="14"/>
  <c r="AI19" i="14"/>
  <c r="AI33" i="14"/>
  <c r="AI172" i="14"/>
  <c r="AI173" i="14"/>
  <c r="AI174" i="14"/>
  <c r="AI137" i="14"/>
  <c r="AI251" i="14"/>
  <c r="AI252" i="14"/>
  <c r="AI34" i="14"/>
  <c r="AI35" i="14"/>
  <c r="AI36" i="14"/>
  <c r="AI20" i="14"/>
  <c r="AI175" i="14"/>
  <c r="AI180" i="14"/>
  <c r="AI254" i="14"/>
  <c r="AI70" i="14"/>
  <c r="AI71" i="14"/>
  <c r="AI72" i="14"/>
  <c r="AI181" i="14"/>
  <c r="AI122" i="14"/>
  <c r="AI78" i="14"/>
  <c r="AI83" i="14"/>
  <c r="AI183" i="14"/>
  <c r="AI191" i="14"/>
  <c r="AI41" i="14"/>
  <c r="AI42" i="14"/>
  <c r="AI11" i="14"/>
  <c r="AI142" i="14"/>
  <c r="AI143" i="14"/>
  <c r="AI144" i="14"/>
  <c r="AI256" i="14"/>
  <c r="AI257" i="14"/>
  <c r="AI258" i="14"/>
  <c r="AI259" i="14"/>
  <c r="AI260" i="14"/>
  <c r="AI262" i="14"/>
  <c r="AI92" i="14"/>
  <c r="AI104" i="14"/>
  <c r="AI196" i="14"/>
  <c r="AI150" i="14"/>
  <c r="AI198" i="14"/>
  <c r="AI106" i="14"/>
  <c r="AI110" i="14"/>
  <c r="AI112" i="14"/>
  <c r="AI113" i="14"/>
  <c r="AI65" i="14"/>
  <c r="AI119" i="14"/>
  <c r="AI124" i="14"/>
  <c r="AI116" i="14"/>
  <c r="AI201" i="14"/>
  <c r="AI202" i="14"/>
  <c r="AI44" i="14"/>
  <c r="AI73" i="14"/>
  <c r="AI157" i="14"/>
  <c r="AI60" i="14"/>
  <c r="AI170" i="14"/>
  <c r="AI212" i="14"/>
  <c r="AI13" i="14"/>
  <c r="AI43" i="14"/>
  <c r="AI7" i="14"/>
  <c r="AI171" i="14"/>
  <c r="AI12" i="14"/>
  <c r="AI64" i="14"/>
  <c r="AI46" i="14"/>
  <c r="AI69" i="14"/>
  <c r="AI200" i="14"/>
  <c r="AI203" i="14"/>
  <c r="AI14" i="14"/>
  <c r="AI47" i="14"/>
  <c r="AI125" i="14"/>
  <c r="AI263" i="14"/>
  <c r="AI130" i="14"/>
  <c r="AI221" i="14"/>
  <c r="AI222" i="14"/>
  <c r="AI159" i="14"/>
  <c r="AI204" i="14"/>
  <c r="AI160" i="14"/>
  <c r="AI205" i="14"/>
  <c r="AI165" i="14"/>
  <c r="AI264" i="14"/>
  <c r="AI223" i="14"/>
  <c r="AI24" i="14"/>
  <c r="AI15" i="14"/>
  <c r="AI265" i="14"/>
  <c r="AI266" i="14"/>
  <c r="AI267" i="14"/>
  <c r="AI270" i="14"/>
  <c r="AI271" i="14"/>
  <c r="AI49" i="14"/>
  <c r="AI16" i="14"/>
  <c r="AI51" i="14"/>
  <c r="AI224" i="14"/>
  <c r="AI225" i="14"/>
  <c r="AI25" i="14"/>
  <c r="AI167" i="14"/>
  <c r="AI206" i="14"/>
  <c r="AI207" i="14"/>
  <c r="AI272" i="14"/>
  <c r="AI243" i="14"/>
  <c r="AI244" i="14"/>
  <c r="AI208" i="14"/>
  <c r="AI135" i="14"/>
  <c r="AI249" i="14"/>
  <c r="AI17" i="14"/>
  <c r="AI209" i="14"/>
  <c r="AI210" i="14"/>
  <c r="AI211" i="14"/>
  <c r="AI213" i="14"/>
  <c r="AI215" i="14"/>
  <c r="AI273" i="14"/>
  <c r="AI226" i="14"/>
  <c r="AI276" i="14"/>
  <c r="AI227" i="14"/>
  <c r="AI57" i="14"/>
  <c r="AI277" i="14"/>
  <c r="AI216" i="14"/>
  <c r="AI18" i="14"/>
  <c r="AI58" i="14"/>
  <c r="AI278" i="14"/>
  <c r="AI75" i="14"/>
  <c r="A21" i="20"/>
  <c r="AM21" i="20"/>
  <c r="AS21" i="20"/>
  <c r="AU21" i="20"/>
  <c r="A68" i="20"/>
  <c r="AB68" i="20" s="1"/>
  <c r="AM68" i="20"/>
  <c r="AS68" i="20"/>
  <c r="AU68" i="20"/>
  <c r="T32" i="19"/>
  <c r="P32" i="19" s="1"/>
  <c r="U32" i="19" s="1"/>
  <c r="T34" i="19"/>
  <c r="P34" i="19" s="1"/>
  <c r="U34" i="19" s="1"/>
  <c r="T31" i="19"/>
  <c r="P31" i="19" s="1"/>
  <c r="U31" i="19" s="1"/>
  <c r="T33" i="19"/>
  <c r="P33" i="19" s="1"/>
  <c r="U33" i="19" s="1"/>
  <c r="S31" i="19"/>
  <c r="S32" i="19"/>
  <c r="S34" i="19"/>
  <c r="S200" i="14"/>
  <c r="A41" i="20"/>
  <c r="A29" i="20"/>
  <c r="Y29" i="20" s="1"/>
  <c r="A23" i="20"/>
  <c r="AP23" i="20" s="1"/>
  <c r="A26" i="20"/>
  <c r="A27" i="20"/>
  <c r="AH27" i="20" s="1"/>
  <c r="AJ32" i="40"/>
  <c r="AK32" i="40"/>
  <c r="AL32" i="40"/>
  <c r="AM32" i="40"/>
  <c r="AJ8" i="40"/>
  <c r="AM9" i="40"/>
  <c r="AM10" i="40"/>
  <c r="AM11" i="40"/>
  <c r="AM13" i="40"/>
  <c r="AM14" i="40"/>
  <c r="AM15" i="40"/>
  <c r="AM16" i="40"/>
  <c r="AM17" i="40"/>
  <c r="AM18" i="40"/>
  <c r="AM19" i="40"/>
  <c r="AM20" i="40"/>
  <c r="AM21" i="40"/>
  <c r="AM22" i="40"/>
  <c r="AM23" i="40"/>
  <c r="AM24" i="40"/>
  <c r="AM25" i="40"/>
  <c r="AM26" i="40"/>
  <c r="AM27" i="40"/>
  <c r="AM28" i="40"/>
  <c r="AM29" i="40"/>
  <c r="AM30" i="40"/>
  <c r="AM31" i="40"/>
  <c r="AM33" i="40"/>
  <c r="AM34" i="40"/>
  <c r="AM35" i="40"/>
  <c r="AM36" i="40"/>
  <c r="AM37" i="40"/>
  <c r="AM38" i="40"/>
  <c r="AM40" i="40"/>
  <c r="AL9" i="40"/>
  <c r="AL10" i="40"/>
  <c r="AL11" i="40"/>
  <c r="AL13" i="40"/>
  <c r="AL14" i="40"/>
  <c r="AL15" i="40"/>
  <c r="AL16" i="40"/>
  <c r="AL17" i="40"/>
  <c r="AL18" i="40"/>
  <c r="AL19" i="40"/>
  <c r="AL20" i="40"/>
  <c r="AL21" i="40"/>
  <c r="AL22" i="40"/>
  <c r="AL23" i="40"/>
  <c r="AL24" i="40"/>
  <c r="AL25" i="40"/>
  <c r="AL26" i="40"/>
  <c r="AL27" i="40"/>
  <c r="AL28" i="40"/>
  <c r="AL29" i="40"/>
  <c r="AL30" i="40"/>
  <c r="AL31" i="40"/>
  <c r="AL33" i="40"/>
  <c r="AL34" i="40"/>
  <c r="AL35" i="40"/>
  <c r="AL36" i="40"/>
  <c r="AL37" i="40"/>
  <c r="AL38" i="40"/>
  <c r="AL40" i="40"/>
  <c r="AK9" i="40"/>
  <c r="AK10" i="40"/>
  <c r="AK11" i="40"/>
  <c r="AK13" i="40"/>
  <c r="AK14" i="40"/>
  <c r="AK15" i="40"/>
  <c r="AK16" i="40"/>
  <c r="AK17" i="40"/>
  <c r="AK18" i="40"/>
  <c r="AK19" i="40"/>
  <c r="AK20" i="40"/>
  <c r="AK21" i="40"/>
  <c r="AK22" i="40"/>
  <c r="AK23" i="40"/>
  <c r="AK24" i="40"/>
  <c r="AK25" i="40"/>
  <c r="AK26" i="40"/>
  <c r="AK27" i="40"/>
  <c r="AK28" i="40"/>
  <c r="AK29" i="40"/>
  <c r="AK30" i="40"/>
  <c r="AK31" i="40"/>
  <c r="AK33" i="40"/>
  <c r="AK34" i="40"/>
  <c r="AK35" i="40"/>
  <c r="AK36" i="40"/>
  <c r="AK37" i="40"/>
  <c r="AK38" i="40"/>
  <c r="AK40" i="40"/>
  <c r="AJ9" i="40"/>
  <c r="AJ10" i="40"/>
  <c r="AJ11" i="40"/>
  <c r="AJ13" i="40"/>
  <c r="AJ14" i="40"/>
  <c r="AJ15" i="40"/>
  <c r="AJ16" i="40"/>
  <c r="AJ17" i="40"/>
  <c r="AJ18" i="40"/>
  <c r="AJ19" i="40"/>
  <c r="AJ20" i="40"/>
  <c r="AJ21" i="40"/>
  <c r="AJ22" i="40"/>
  <c r="AJ23" i="40"/>
  <c r="AJ24" i="40"/>
  <c r="AJ25" i="40"/>
  <c r="AJ26" i="40"/>
  <c r="AJ27" i="40"/>
  <c r="AJ28" i="40"/>
  <c r="AJ29" i="40"/>
  <c r="AJ30" i="40"/>
  <c r="AJ31" i="40"/>
  <c r="AJ33" i="40"/>
  <c r="AJ34" i="40"/>
  <c r="AJ35" i="40"/>
  <c r="AJ36" i="40"/>
  <c r="AJ37" i="40"/>
  <c r="AJ38" i="40"/>
  <c r="AJ40" i="40"/>
  <c r="AJ56" i="40"/>
  <c r="AK56" i="40"/>
  <c r="AL56" i="40"/>
  <c r="AM56" i="40"/>
  <c r="AN56" i="40"/>
  <c r="AJ53" i="40"/>
  <c r="AK53" i="40"/>
  <c r="AL53" i="40"/>
  <c r="AM53" i="40"/>
  <c r="AN53" i="40"/>
  <c r="AJ47" i="40"/>
  <c r="C30" i="40"/>
  <c r="D30" i="40"/>
  <c r="E30" i="40"/>
  <c r="C29" i="40"/>
  <c r="X22" i="66" s="1"/>
  <c r="E16" i="40"/>
  <c r="AG3" i="66" s="1"/>
  <c r="Z3" i="66" s="1"/>
  <c r="E35" i="40"/>
  <c r="AG9" i="66" s="1"/>
  <c r="Z9" i="66" s="1"/>
  <c r="E36" i="40"/>
  <c r="AG12" i="66" s="1"/>
  <c r="Z12" i="66" s="1"/>
  <c r="E37" i="40"/>
  <c r="AG16" i="66" s="1"/>
  <c r="Z16" i="66" s="1"/>
  <c r="E38" i="40"/>
  <c r="AG18" i="66" s="1"/>
  <c r="Z18" i="66" s="1"/>
  <c r="E40" i="40"/>
  <c r="AG19" i="66" s="1"/>
  <c r="E34" i="40"/>
  <c r="AG6" i="66" s="1"/>
  <c r="Z6" i="66" s="1"/>
  <c r="D35" i="40"/>
  <c r="Y9" i="66" s="1"/>
  <c r="D36" i="40"/>
  <c r="Y12" i="66" s="1"/>
  <c r="D37" i="40"/>
  <c r="Y16" i="66" s="1"/>
  <c r="D38" i="40"/>
  <c r="Y18" i="66" s="1"/>
  <c r="D40" i="40"/>
  <c r="Y19" i="66" s="1"/>
  <c r="D34" i="40"/>
  <c r="Y6" i="66" s="1"/>
  <c r="C34" i="40"/>
  <c r="C35" i="40"/>
  <c r="X9" i="66" s="1"/>
  <c r="C36" i="40"/>
  <c r="X12" i="66" s="1"/>
  <c r="C38" i="40"/>
  <c r="X18" i="66" s="1"/>
  <c r="C40" i="40"/>
  <c r="X19" i="66" s="1"/>
  <c r="E17" i="40"/>
  <c r="AG4" i="66" s="1"/>
  <c r="Z4" i="66" s="1"/>
  <c r="E18" i="40"/>
  <c r="AG5" i="66" s="1"/>
  <c r="Z5" i="66" s="1"/>
  <c r="E19" i="40"/>
  <c r="AG7" i="66" s="1"/>
  <c r="Z7" i="66" s="1"/>
  <c r="E20" i="40"/>
  <c r="E21" i="40"/>
  <c r="AG10" i="66" s="1"/>
  <c r="E22" i="40"/>
  <c r="AG11" i="66" s="1"/>
  <c r="Z11" i="66" s="1"/>
  <c r="E23" i="40"/>
  <c r="AG13" i="66" s="1"/>
  <c r="Z13" i="66" s="1"/>
  <c r="E24" i="40"/>
  <c r="AG14" i="66" s="1"/>
  <c r="Z14" i="66" s="1"/>
  <c r="E25" i="40"/>
  <c r="AG15" i="66" s="1"/>
  <c r="Z15" i="66" s="1"/>
  <c r="E26" i="40"/>
  <c r="AG17" i="66" s="1"/>
  <c r="Z17" i="66" s="1"/>
  <c r="E27" i="40"/>
  <c r="AG20" i="66" s="1"/>
  <c r="Z20" i="66" s="1"/>
  <c r="E28" i="40"/>
  <c r="AG21" i="66" s="1"/>
  <c r="Z21" i="66" s="1"/>
  <c r="E29" i="40"/>
  <c r="AG22" i="66" s="1"/>
  <c r="Z22" i="66" s="1"/>
  <c r="E31" i="40"/>
  <c r="AG23" i="66" s="1"/>
  <c r="Z23" i="66" s="1"/>
  <c r="D17" i="40"/>
  <c r="Y4" i="66" s="1"/>
  <c r="D19" i="40"/>
  <c r="Y7" i="66" s="1"/>
  <c r="D20" i="40"/>
  <c r="Y8" i="66" s="1"/>
  <c r="D21" i="40"/>
  <c r="Y10" i="66" s="1"/>
  <c r="D22" i="40"/>
  <c r="Y11" i="66" s="1"/>
  <c r="D23" i="40"/>
  <c r="Y13" i="66" s="1"/>
  <c r="D24" i="40"/>
  <c r="Y14" i="66" s="1"/>
  <c r="D25" i="40"/>
  <c r="Y15" i="66" s="1"/>
  <c r="D26" i="40"/>
  <c r="Y17" i="66" s="1"/>
  <c r="D27" i="40"/>
  <c r="Y20" i="66" s="1"/>
  <c r="D28" i="40"/>
  <c r="Y21" i="66" s="1"/>
  <c r="D29" i="40"/>
  <c r="Y22" i="66" s="1"/>
  <c r="D31" i="40"/>
  <c r="Y23" i="66" s="1"/>
  <c r="C17" i="40"/>
  <c r="X4" i="66" s="1"/>
  <c r="C18" i="40"/>
  <c r="X5" i="66" s="1"/>
  <c r="C19" i="40"/>
  <c r="X7" i="66" s="1"/>
  <c r="C20" i="40"/>
  <c r="X8" i="66" s="1"/>
  <c r="C21" i="40"/>
  <c r="X10" i="66" s="1"/>
  <c r="C22" i="40"/>
  <c r="X11" i="66" s="1"/>
  <c r="C23" i="40"/>
  <c r="X13" i="66" s="1"/>
  <c r="C24" i="40"/>
  <c r="X14" i="66" s="1"/>
  <c r="C25" i="40"/>
  <c r="X15" i="66" s="1"/>
  <c r="C26" i="40"/>
  <c r="X17" i="66" s="1"/>
  <c r="C27" i="40"/>
  <c r="X20" i="66" s="1"/>
  <c r="C28" i="40"/>
  <c r="X21" i="66" s="1"/>
  <c r="C31" i="40"/>
  <c r="X23" i="66" s="1"/>
  <c r="D16" i="40"/>
  <c r="Y3" i="66" s="1"/>
  <c r="AJ57" i="40"/>
  <c r="AK57" i="40"/>
  <c r="AL57" i="40"/>
  <c r="AM57" i="40"/>
  <c r="AN57" i="40"/>
  <c r="AJ58" i="40"/>
  <c r="AK58" i="40"/>
  <c r="AL58" i="40"/>
  <c r="AM58" i="40"/>
  <c r="AN58" i="40"/>
  <c r="AJ59" i="40"/>
  <c r="AK59" i="40"/>
  <c r="AL59" i="40"/>
  <c r="AM59" i="40"/>
  <c r="AN59" i="40"/>
  <c r="AJ60" i="40"/>
  <c r="AK60" i="40"/>
  <c r="AL60" i="40"/>
  <c r="AM60" i="40"/>
  <c r="AN60" i="40"/>
  <c r="AJ61" i="40"/>
  <c r="AK61" i="40"/>
  <c r="AL61" i="40"/>
  <c r="AM61" i="40"/>
  <c r="AN61" i="40"/>
  <c r="AJ62" i="40"/>
  <c r="AK62" i="40"/>
  <c r="AL62" i="40"/>
  <c r="AM62" i="40"/>
  <c r="AN62" i="40"/>
  <c r="T35" i="19"/>
  <c r="P35" i="19" s="1"/>
  <c r="U35" i="19" s="1"/>
  <c r="T372" i="19"/>
  <c r="P372" i="19" s="1"/>
  <c r="U372" i="19" s="1"/>
  <c r="T373" i="19"/>
  <c r="P373" i="19" s="1"/>
  <c r="U373" i="19" s="1"/>
  <c r="T374" i="19"/>
  <c r="P374" i="19" s="1"/>
  <c r="U374" i="19" s="1"/>
  <c r="T36" i="19"/>
  <c r="P36" i="19" s="1"/>
  <c r="U36" i="19" s="1"/>
  <c r="S36" i="19"/>
  <c r="S35" i="19"/>
  <c r="S33" i="19"/>
  <c r="W5" i="43"/>
  <c r="N14" i="43" s="1"/>
  <c r="M14" i="43"/>
  <c r="A179" i="20"/>
  <c r="A103" i="20"/>
  <c r="A46" i="20"/>
  <c r="AL46" i="20" s="1"/>
  <c r="AM179" i="20"/>
  <c r="AM103" i="20"/>
  <c r="AM46" i="20"/>
  <c r="AS179" i="20"/>
  <c r="AS103" i="20"/>
  <c r="AU179" i="20"/>
  <c r="AU103" i="20"/>
  <c r="AU46" i="20"/>
  <c r="A171" i="20"/>
  <c r="AK171" i="20" s="1"/>
  <c r="A95" i="20"/>
  <c r="A63" i="20"/>
  <c r="AL63" i="20" s="1"/>
  <c r="AM171" i="20"/>
  <c r="AM95" i="20"/>
  <c r="AM63" i="20"/>
  <c r="AS171" i="20"/>
  <c r="AS95" i="20"/>
  <c r="AS63" i="20"/>
  <c r="AU171" i="20"/>
  <c r="AU95" i="20"/>
  <c r="AU63" i="20"/>
  <c r="A51" i="20"/>
  <c r="AB51" i="20" s="1"/>
  <c r="AM51" i="20"/>
  <c r="AU51" i="20"/>
  <c r="A112" i="20"/>
  <c r="AM112" i="20"/>
  <c r="AS112" i="20"/>
  <c r="AU112" i="20"/>
  <c r="A130" i="20"/>
  <c r="AE130" i="20" s="1"/>
  <c r="A110" i="20"/>
  <c r="AG110" i="20" s="1"/>
  <c r="AM130" i="20"/>
  <c r="AM110" i="20"/>
  <c r="AS130" i="20"/>
  <c r="AS110" i="20"/>
  <c r="AU130" i="20"/>
  <c r="AU110" i="20"/>
  <c r="A226" i="20"/>
  <c r="A142" i="20"/>
  <c r="A84" i="20"/>
  <c r="AJ84" i="20" s="1"/>
  <c r="AM226" i="20"/>
  <c r="AM142" i="20"/>
  <c r="AM84" i="20"/>
  <c r="AS226" i="20"/>
  <c r="AS142" i="20"/>
  <c r="AS84" i="20"/>
  <c r="AU226" i="20"/>
  <c r="AU142" i="20"/>
  <c r="AU84" i="20"/>
  <c r="A228" i="20"/>
  <c r="AI228" i="20" s="1"/>
  <c r="A152" i="20"/>
  <c r="A80" i="20"/>
  <c r="AM228" i="20"/>
  <c r="AM152" i="20"/>
  <c r="AM80" i="20"/>
  <c r="AS228" i="20"/>
  <c r="AS152" i="20"/>
  <c r="AS80" i="20"/>
  <c r="AU228" i="20"/>
  <c r="AU152" i="20"/>
  <c r="AU80" i="20"/>
  <c r="A808" i="20"/>
  <c r="AM808" i="20"/>
  <c r="AS808" i="20"/>
  <c r="AU808" i="20"/>
  <c r="AU1028" i="20"/>
  <c r="AU874" i="20"/>
  <c r="AU886" i="20"/>
  <c r="AU885" i="20"/>
  <c r="AS1028" i="20"/>
  <c r="AS874" i="20"/>
  <c r="AS886" i="20"/>
  <c r="AS885" i="20"/>
  <c r="AM1028" i="20"/>
  <c r="AM874" i="20"/>
  <c r="AM886" i="20"/>
  <c r="AM885" i="20"/>
  <c r="A1028" i="20"/>
  <c r="AA1028" i="20" s="1"/>
  <c r="A874" i="20"/>
  <c r="Y874" i="20" s="1"/>
  <c r="A886" i="20"/>
  <c r="A885" i="20"/>
  <c r="A962" i="20"/>
  <c r="Y962" i="20" s="1"/>
  <c r="A1036" i="20"/>
  <c r="AA1036" i="20" s="1"/>
  <c r="A883" i="20"/>
  <c r="A884" i="20"/>
  <c r="AM962" i="20"/>
  <c r="AM1036" i="20"/>
  <c r="AM883" i="20"/>
  <c r="AM884" i="20"/>
  <c r="AS962" i="20"/>
  <c r="AS1036" i="20"/>
  <c r="AS883" i="20"/>
  <c r="AS884" i="20"/>
  <c r="AU962" i="20"/>
  <c r="AU1036" i="20"/>
  <c r="AU883" i="20"/>
  <c r="AU884" i="20"/>
  <c r="A964" i="20"/>
  <c r="AJ964" i="20" s="1"/>
  <c r="A1038" i="20"/>
  <c r="AM964" i="20"/>
  <c r="AM1038" i="20"/>
  <c r="AS964" i="20"/>
  <c r="AS1038" i="20"/>
  <c r="AU964" i="20"/>
  <c r="AU1038" i="20"/>
  <c r="A1049" i="20"/>
  <c r="AH1049" i="20" s="1"/>
  <c r="AM1049" i="20"/>
  <c r="AS1049" i="20"/>
  <c r="AU1049" i="20"/>
  <c r="S56" i="14"/>
  <c r="S221" i="14"/>
  <c r="AJ221" i="14"/>
  <c r="AK221" i="14" s="1"/>
  <c r="S222" i="14"/>
  <c r="S223" i="14"/>
  <c r="S224" i="14"/>
  <c r="AJ222" i="14"/>
  <c r="AK222" i="14" s="1"/>
  <c r="AJ223" i="14"/>
  <c r="AK223" i="14" s="1"/>
  <c r="AJ224" i="14"/>
  <c r="AK224" i="14" s="1"/>
  <c r="S225" i="14"/>
  <c r="S226" i="14"/>
  <c r="AJ225" i="14"/>
  <c r="AK225" i="14" s="1"/>
  <c r="AJ226" i="14"/>
  <c r="AK226" i="14" s="1"/>
  <c r="S227" i="14"/>
  <c r="AJ227" i="14"/>
  <c r="AK227" i="14" s="1"/>
  <c r="S37" i="19"/>
  <c r="T37" i="19"/>
  <c r="P37" i="19" s="1"/>
  <c r="U37" i="19" s="1"/>
  <c r="S28" i="19"/>
  <c r="T28" i="19"/>
  <c r="P28" i="19" s="1"/>
  <c r="U28" i="19" s="1"/>
  <c r="S29" i="19"/>
  <c r="T29" i="19"/>
  <c r="P29" i="19" s="1"/>
  <c r="U29" i="19" s="1"/>
  <c r="A162" i="20"/>
  <c r="A98" i="20"/>
  <c r="Z98" i="20" s="1"/>
  <c r="A70" i="20"/>
  <c r="A55" i="20"/>
  <c r="AL55" i="20" s="1"/>
  <c r="AM162" i="20"/>
  <c r="AM98" i="20"/>
  <c r="AM70" i="20"/>
  <c r="AM55" i="20"/>
  <c r="AS162" i="20"/>
  <c r="AS98" i="20"/>
  <c r="AS70" i="20"/>
  <c r="AS55" i="20"/>
  <c r="AU162" i="20"/>
  <c r="AU98" i="20"/>
  <c r="AU70" i="20"/>
  <c r="AU55" i="20"/>
  <c r="A183" i="20"/>
  <c r="A107" i="20"/>
  <c r="Z107" i="20" s="1"/>
  <c r="A49" i="20"/>
  <c r="AM183" i="20"/>
  <c r="AM107" i="20"/>
  <c r="AM49" i="20"/>
  <c r="AS183" i="20"/>
  <c r="AS107" i="20"/>
  <c r="AU183" i="20"/>
  <c r="AU107" i="20"/>
  <c r="AU49" i="20"/>
  <c r="A187" i="20"/>
  <c r="A182" i="20"/>
  <c r="Y182" i="20" s="1"/>
  <c r="A100" i="20"/>
  <c r="AA100" i="20" s="1"/>
  <c r="A72" i="20"/>
  <c r="A54" i="20"/>
  <c r="AB54" i="20" s="1"/>
  <c r="AM187" i="20"/>
  <c r="AM182" i="20"/>
  <c r="AM100" i="20"/>
  <c r="AM72" i="20"/>
  <c r="AM54" i="20"/>
  <c r="AS187" i="20"/>
  <c r="AS182" i="20"/>
  <c r="AS100" i="20"/>
  <c r="AS72" i="20"/>
  <c r="AS54" i="20"/>
  <c r="AU187" i="20"/>
  <c r="AU182" i="20"/>
  <c r="AU100" i="20"/>
  <c r="AU72" i="20"/>
  <c r="AU54" i="20"/>
  <c r="A181" i="20"/>
  <c r="A97" i="20"/>
  <c r="A71" i="20"/>
  <c r="A53" i="20"/>
  <c r="Z53" i="20" s="1"/>
  <c r="AM181" i="20"/>
  <c r="AM97" i="20"/>
  <c r="AM71" i="20"/>
  <c r="AM53" i="20"/>
  <c r="AS181" i="20"/>
  <c r="AS97" i="20"/>
  <c r="AS71" i="20"/>
  <c r="AS53" i="20"/>
  <c r="AU181" i="20"/>
  <c r="AU97" i="20"/>
  <c r="AU71" i="20"/>
  <c r="AU53" i="20"/>
  <c r="A184" i="20"/>
  <c r="A106" i="20"/>
  <c r="Z106" i="20" s="1"/>
  <c r="A48" i="20"/>
  <c r="AM184" i="20"/>
  <c r="AM106" i="20"/>
  <c r="AM48" i="20"/>
  <c r="AS184" i="20"/>
  <c r="AS106" i="20"/>
  <c r="AU184" i="20"/>
  <c r="AU106" i="20"/>
  <c r="AU48" i="20"/>
  <c r="A96" i="20"/>
  <c r="AG96" i="20" s="1"/>
  <c r="AM96" i="20"/>
  <c r="AS96" i="20"/>
  <c r="AU96" i="20"/>
  <c r="A174" i="20"/>
  <c r="A64" i="20"/>
  <c r="A52" i="20"/>
  <c r="AB52" i="20" s="1"/>
  <c r="AM174" i="20"/>
  <c r="AM64" i="20"/>
  <c r="AM52" i="20"/>
  <c r="AS174" i="20"/>
  <c r="AS64" i="20"/>
  <c r="AU174" i="20"/>
  <c r="AU64" i="20"/>
  <c r="AU52" i="20"/>
  <c r="A178" i="20"/>
  <c r="AL178" i="20" s="1"/>
  <c r="A102" i="20"/>
  <c r="A45" i="20"/>
  <c r="Y45" i="20" s="1"/>
  <c r="AM178" i="20"/>
  <c r="AM102" i="20"/>
  <c r="AM45" i="20"/>
  <c r="AS178" i="20"/>
  <c r="AS102" i="20"/>
  <c r="AU178" i="20"/>
  <c r="AU102" i="20"/>
  <c r="AU45" i="20"/>
  <c r="A180" i="20"/>
  <c r="A104" i="20"/>
  <c r="A47" i="20"/>
  <c r="AL47" i="20" s="1"/>
  <c r="AM180" i="20"/>
  <c r="AM104" i="20"/>
  <c r="AM47" i="20"/>
  <c r="AS180" i="20"/>
  <c r="AS104" i="20"/>
  <c r="AU180" i="20"/>
  <c r="AU104" i="20"/>
  <c r="AU47" i="20"/>
  <c r="A177" i="20"/>
  <c r="AF177" i="20" s="1"/>
  <c r="A101" i="20"/>
  <c r="A44" i="20"/>
  <c r="AD44" i="20" s="1"/>
  <c r="AM177" i="20"/>
  <c r="AM101" i="20"/>
  <c r="AM44" i="20"/>
  <c r="AS177" i="20"/>
  <c r="AS101" i="20"/>
  <c r="AU177" i="20"/>
  <c r="AU101" i="20"/>
  <c r="AU44" i="20"/>
  <c r="A73" i="20"/>
  <c r="AM73" i="20"/>
  <c r="AS73" i="20"/>
  <c r="AU73" i="20"/>
  <c r="A186" i="20"/>
  <c r="A160" i="20"/>
  <c r="AE160" i="20" s="1"/>
  <c r="A99" i="20"/>
  <c r="A69" i="20"/>
  <c r="A50" i="20"/>
  <c r="AM186" i="20"/>
  <c r="AM160" i="20"/>
  <c r="AM99" i="20"/>
  <c r="AM69" i="20"/>
  <c r="AM50" i="20"/>
  <c r="AS186" i="20"/>
  <c r="AS160" i="20"/>
  <c r="AS99" i="20"/>
  <c r="AS69" i="20"/>
  <c r="AU186" i="20"/>
  <c r="AU160" i="20"/>
  <c r="AU99" i="20"/>
  <c r="AU69" i="20"/>
  <c r="AU50" i="20"/>
  <c r="A150" i="20"/>
  <c r="Z150" i="20" s="1"/>
  <c r="A90" i="20"/>
  <c r="AM150" i="20"/>
  <c r="AM90" i="20"/>
  <c r="AS150" i="20"/>
  <c r="AS90" i="20"/>
  <c r="AU150" i="20"/>
  <c r="AU90" i="20"/>
  <c r="A151" i="20"/>
  <c r="A108" i="20"/>
  <c r="A91" i="20"/>
  <c r="AK91" i="20" s="1"/>
  <c r="A59" i="20"/>
  <c r="AM151" i="20"/>
  <c r="AM108" i="20"/>
  <c r="AM91" i="20"/>
  <c r="AM59" i="20"/>
  <c r="AS151" i="20"/>
  <c r="AS108" i="20"/>
  <c r="AS91" i="20"/>
  <c r="AS59" i="20"/>
  <c r="AU151" i="20"/>
  <c r="AU108" i="20"/>
  <c r="AU91" i="20"/>
  <c r="AU59" i="20"/>
  <c r="A149" i="20"/>
  <c r="A132" i="20"/>
  <c r="AJ132" i="20" s="1"/>
  <c r="AM132" i="20"/>
  <c r="AS132" i="20"/>
  <c r="AU132" i="20"/>
  <c r="A111" i="20"/>
  <c r="A92" i="20"/>
  <c r="A61" i="20"/>
  <c r="AE61" i="20" s="1"/>
  <c r="AM149" i="20"/>
  <c r="AM111" i="20"/>
  <c r="AM92" i="20"/>
  <c r="AM61" i="20"/>
  <c r="AS149" i="20"/>
  <c r="AS111" i="20"/>
  <c r="AS92" i="20"/>
  <c r="AS61" i="20"/>
  <c r="AU149" i="20"/>
  <c r="AU111" i="20"/>
  <c r="AU92" i="20"/>
  <c r="AU61" i="20"/>
  <c r="A60" i="20"/>
  <c r="AC60" i="20" s="1"/>
  <c r="AM60" i="20"/>
  <c r="AS60" i="20"/>
  <c r="AU60" i="20"/>
  <c r="A148" i="20"/>
  <c r="A89" i="20"/>
  <c r="Y89" i="20" s="1"/>
  <c r="AM148" i="20"/>
  <c r="AM89" i="20"/>
  <c r="AS148" i="20"/>
  <c r="AS89" i="20"/>
  <c r="AU148" i="20"/>
  <c r="AU89" i="20"/>
  <c r="A147" i="20"/>
  <c r="AG147" i="20" s="1"/>
  <c r="A88" i="20"/>
  <c r="AC88" i="20" s="1"/>
  <c r="AM147" i="20"/>
  <c r="AM88" i="20"/>
  <c r="AS147" i="20"/>
  <c r="AS88" i="20"/>
  <c r="AU147" i="20"/>
  <c r="AU88" i="20"/>
  <c r="A129" i="20"/>
  <c r="AM129" i="20"/>
  <c r="AS129" i="20"/>
  <c r="AU129" i="20"/>
  <c r="A154" i="20"/>
  <c r="AM154" i="20"/>
  <c r="AS154" i="20"/>
  <c r="AU154" i="20"/>
  <c r="A231" i="20"/>
  <c r="A85" i="20"/>
  <c r="AM231" i="20"/>
  <c r="AM85" i="20"/>
  <c r="AS231" i="20"/>
  <c r="AS85" i="20"/>
  <c r="AU231" i="20"/>
  <c r="AU85" i="20"/>
  <c r="A224" i="20"/>
  <c r="A140" i="20"/>
  <c r="AJ140" i="20" s="1"/>
  <c r="AM224" i="20"/>
  <c r="AM140" i="20"/>
  <c r="AS224" i="20"/>
  <c r="AS140" i="20"/>
  <c r="AU224" i="20"/>
  <c r="AU140" i="20"/>
  <c r="A78" i="20"/>
  <c r="AC78" i="20" s="1"/>
  <c r="AM78" i="20"/>
  <c r="AS78" i="20"/>
  <c r="AU78" i="20"/>
  <c r="A233" i="20"/>
  <c r="AE233" i="20" s="1"/>
  <c r="AM233" i="20"/>
  <c r="AS233" i="20"/>
  <c r="AU233" i="20"/>
  <c r="A145" i="20"/>
  <c r="AE145" i="20" s="1"/>
  <c r="A77" i="20"/>
  <c r="Y77" i="20" s="1"/>
  <c r="AM145" i="20"/>
  <c r="AM77" i="20"/>
  <c r="AS145" i="20"/>
  <c r="AS77" i="20"/>
  <c r="AU145" i="20"/>
  <c r="AU77" i="20"/>
  <c r="A230" i="20"/>
  <c r="AF230" i="20" s="1"/>
  <c r="A153" i="20"/>
  <c r="AG153" i="20" s="1"/>
  <c r="AM230" i="20"/>
  <c r="AM153" i="20"/>
  <c r="AS230" i="20"/>
  <c r="AS153" i="20"/>
  <c r="AU230" i="20"/>
  <c r="AU153" i="20"/>
  <c r="A87" i="20"/>
  <c r="AM87" i="20"/>
  <c r="AS87" i="20"/>
  <c r="AU87" i="20"/>
  <c r="A223" i="20"/>
  <c r="A137" i="20"/>
  <c r="AM223" i="20"/>
  <c r="AM137" i="20"/>
  <c r="AS223" i="20"/>
  <c r="AS137" i="20"/>
  <c r="AU223" i="20"/>
  <c r="AU137" i="20"/>
  <c r="A76" i="20"/>
  <c r="AM76" i="20"/>
  <c r="AS76" i="20"/>
  <c r="AU76" i="20"/>
  <c r="A229" i="20"/>
  <c r="AM229" i="20"/>
  <c r="AS229" i="20"/>
  <c r="AU229" i="20"/>
  <c r="A146" i="20"/>
  <c r="AE146" i="20" s="1"/>
  <c r="A81" i="20"/>
  <c r="AH81" i="20" s="1"/>
  <c r="AM146" i="20"/>
  <c r="AM81" i="20"/>
  <c r="AS146" i="20"/>
  <c r="AS81" i="20"/>
  <c r="AU146" i="20"/>
  <c r="AU81" i="20"/>
  <c r="A225" i="20"/>
  <c r="AG225" i="20" s="1"/>
  <c r="A141" i="20"/>
  <c r="A83" i="20"/>
  <c r="AM225" i="20"/>
  <c r="AM141" i="20"/>
  <c r="AM83" i="20"/>
  <c r="AS225" i="20"/>
  <c r="AS141" i="20"/>
  <c r="AS83" i="20"/>
  <c r="AU225" i="20"/>
  <c r="AU141" i="20"/>
  <c r="AU83" i="20"/>
  <c r="A227" i="20"/>
  <c r="Z227" i="20" s="1"/>
  <c r="A143" i="20"/>
  <c r="AN143" i="20" s="1"/>
  <c r="AM227" i="20"/>
  <c r="AM143" i="20"/>
  <c r="AS227" i="20"/>
  <c r="AS143" i="20"/>
  <c r="AU227" i="20"/>
  <c r="AU143" i="20"/>
  <c r="A79" i="20"/>
  <c r="AD79" i="20" s="1"/>
  <c r="AM79" i="20"/>
  <c r="AS79" i="20"/>
  <c r="AU79" i="20"/>
  <c r="A134" i="20"/>
  <c r="Y134" i="20" s="1"/>
  <c r="AM134" i="20"/>
  <c r="AS134" i="20"/>
  <c r="AU134" i="20"/>
  <c r="A861" i="20"/>
  <c r="AB861" i="20" s="1"/>
  <c r="A82" i="20"/>
  <c r="AM861" i="20"/>
  <c r="AM82" i="20"/>
  <c r="AS861" i="20"/>
  <c r="AS82" i="20"/>
  <c r="AU861" i="20"/>
  <c r="AU82" i="20"/>
  <c r="A131" i="20"/>
  <c r="AA131" i="20" s="1"/>
  <c r="AM131" i="20"/>
  <c r="AS131" i="20"/>
  <c r="AU131" i="20"/>
  <c r="A133" i="20"/>
  <c r="AP133" i="20" s="1"/>
  <c r="AM133" i="20"/>
  <c r="AS133" i="20"/>
  <c r="AU133" i="20"/>
  <c r="A74" i="20"/>
  <c r="AH74" i="20" s="1"/>
  <c r="AM74" i="20"/>
  <c r="AS74" i="20"/>
  <c r="AU74" i="20"/>
  <c r="A155" i="20"/>
  <c r="AK155" i="20" s="1"/>
  <c r="AM155" i="20"/>
  <c r="AS155" i="20"/>
  <c r="AU155" i="20"/>
  <c r="A232" i="20"/>
  <c r="A86" i="20"/>
  <c r="AO86" i="20" s="1"/>
  <c r="AM232" i="20"/>
  <c r="AM86" i="20"/>
  <c r="AS232" i="20"/>
  <c r="AS86" i="20"/>
  <c r="AU232" i="20"/>
  <c r="AU86" i="20"/>
  <c r="A856" i="20"/>
  <c r="AM856" i="20"/>
  <c r="AS856" i="20"/>
  <c r="AU856" i="20"/>
  <c r="A873" i="20"/>
  <c r="AM873" i="20"/>
  <c r="AS873" i="20"/>
  <c r="AU873" i="20"/>
  <c r="A1026" i="20"/>
  <c r="AI1026" i="20" s="1"/>
  <c r="A888" i="20"/>
  <c r="AM1026" i="20"/>
  <c r="AM888" i="20"/>
  <c r="AS1026" i="20"/>
  <c r="AS888" i="20"/>
  <c r="AU1026" i="20"/>
  <c r="AU888" i="20"/>
  <c r="A1025" i="20"/>
  <c r="AG1025" i="20" s="1"/>
  <c r="A887" i="20"/>
  <c r="AM1025" i="20"/>
  <c r="AM887" i="20"/>
  <c r="AS1025" i="20"/>
  <c r="AS887" i="20"/>
  <c r="AU1025" i="20"/>
  <c r="AU887" i="20"/>
  <c r="A1027" i="20"/>
  <c r="AK1027" i="20" s="1"/>
  <c r="AM1027" i="20"/>
  <c r="AS1027" i="20"/>
  <c r="AU1027" i="20"/>
  <c r="A963" i="20"/>
  <c r="A1037" i="20"/>
  <c r="AK1037" i="20" s="1"/>
  <c r="AM963" i="20"/>
  <c r="AM1037" i="20"/>
  <c r="AS963" i="20"/>
  <c r="AS1037" i="20"/>
  <c r="AU963" i="20"/>
  <c r="AU1037" i="20"/>
  <c r="A976" i="20"/>
  <c r="AM976" i="20"/>
  <c r="AS976" i="20"/>
  <c r="AU976" i="20"/>
  <c r="A1046" i="20"/>
  <c r="AM1046" i="20"/>
  <c r="AS1046" i="20"/>
  <c r="AU1046" i="20"/>
  <c r="A1043" i="20"/>
  <c r="AM1043" i="20"/>
  <c r="AS1043" i="20"/>
  <c r="AU1043" i="20"/>
  <c r="A961" i="20"/>
  <c r="A1044" i="20"/>
  <c r="AE1044" i="20" s="1"/>
  <c r="AM961" i="20"/>
  <c r="AM1044" i="20"/>
  <c r="AS961" i="20"/>
  <c r="AS1044" i="20"/>
  <c r="AU961" i="20"/>
  <c r="AU1044" i="20"/>
  <c r="A1041" i="20"/>
  <c r="AM1041" i="20"/>
  <c r="AS1041" i="20"/>
  <c r="AU1041" i="20"/>
  <c r="A42" i="20"/>
  <c r="AJ42" i="20" s="1"/>
  <c r="AM42" i="20"/>
  <c r="AU42" i="20"/>
  <c r="A1035" i="20"/>
  <c r="AL1035" i="20" s="1"/>
  <c r="AM1035" i="20"/>
  <c r="AS1035" i="20"/>
  <c r="AU1035" i="20"/>
  <c r="A904" i="20"/>
  <c r="AM904" i="20"/>
  <c r="AS904" i="20"/>
  <c r="AU904" i="20"/>
  <c r="A1034" i="20"/>
  <c r="AM1034" i="20"/>
  <c r="AS1034" i="20"/>
  <c r="AU1034" i="20"/>
  <c r="A1051" i="20"/>
  <c r="AM1051" i="20"/>
  <c r="AS1051" i="20"/>
  <c r="AU1051" i="20"/>
  <c r="A872" i="20"/>
  <c r="A1024" i="20"/>
  <c r="AM872" i="20"/>
  <c r="AM1024" i="20"/>
  <c r="AS872" i="20"/>
  <c r="AS1024" i="20"/>
  <c r="AU872" i="20"/>
  <c r="AU1024" i="20"/>
  <c r="A1039" i="20"/>
  <c r="AM1039" i="20"/>
  <c r="AS1039" i="20"/>
  <c r="AU1039" i="20"/>
  <c r="A975" i="20"/>
  <c r="AM975" i="20"/>
  <c r="AS975" i="20"/>
  <c r="AU975" i="20"/>
  <c r="A1040" i="20"/>
  <c r="AK1040" i="20" s="1"/>
  <c r="AM1040" i="20"/>
  <c r="AS1040" i="20"/>
  <c r="AU1040" i="20"/>
  <c r="A1042" i="20"/>
  <c r="AM1042" i="20"/>
  <c r="AS1042" i="20"/>
  <c r="AU1042" i="20"/>
  <c r="A924" i="20"/>
  <c r="AI924" i="20" s="1"/>
  <c r="AM924" i="20"/>
  <c r="AS924" i="20"/>
  <c r="AU924" i="20"/>
  <c r="A1048" i="20"/>
  <c r="AM1048" i="20"/>
  <c r="AS1048" i="20"/>
  <c r="AU1048" i="20"/>
  <c r="A1009" i="20"/>
  <c r="AE1009" i="20" s="1"/>
  <c r="A1002" i="20"/>
  <c r="AL1002" i="20" s="1"/>
  <c r="AM1009" i="20"/>
  <c r="AM1002" i="20"/>
  <c r="AS1009" i="20"/>
  <c r="AS1002" i="20"/>
  <c r="AU1009" i="20"/>
  <c r="AU1002" i="20"/>
  <c r="S40" i="19"/>
  <c r="T40" i="19"/>
  <c r="P40" i="19" s="1"/>
  <c r="S43" i="19"/>
  <c r="T43" i="19"/>
  <c r="P43" i="19" s="1"/>
  <c r="U43" i="19" s="1"/>
  <c r="S220" i="14"/>
  <c r="AJ220" i="14"/>
  <c r="AK220" i="14" s="1"/>
  <c r="S12" i="19"/>
  <c r="T12" i="19"/>
  <c r="P12" i="19" s="1"/>
  <c r="U12" i="19" s="1"/>
  <c r="S44" i="19"/>
  <c r="T44" i="19"/>
  <c r="P44" i="19" s="1"/>
  <c r="U44" i="19" s="1"/>
  <c r="A3" i="37"/>
  <c r="A3" i="30"/>
  <c r="A3" i="20"/>
  <c r="C5" i="62"/>
  <c r="A3" i="45"/>
  <c r="A3" i="36"/>
  <c r="A3" i="19"/>
  <c r="B6" i="40"/>
  <c r="A3" i="91"/>
  <c r="A3" i="33"/>
  <c r="A3" i="14"/>
  <c r="C5" i="35"/>
  <c r="C5" i="43"/>
  <c r="S201" i="14"/>
  <c r="AJ201" i="14"/>
  <c r="AK201" i="14" s="1"/>
  <c r="A56" i="20"/>
  <c r="AM56" i="20"/>
  <c r="AS56" i="20"/>
  <c r="AU56" i="20"/>
  <c r="A65" i="20"/>
  <c r="AP65" i="20" s="1"/>
  <c r="AM65" i="20"/>
  <c r="AS65" i="20"/>
  <c r="AU65" i="20"/>
  <c r="A93" i="20"/>
  <c r="AO93" i="20" s="1"/>
  <c r="AM93" i="20"/>
  <c r="AS93" i="20"/>
  <c r="AU93" i="20"/>
  <c r="T41" i="19"/>
  <c r="P41" i="19" s="1"/>
  <c r="U41" i="19" s="1"/>
  <c r="S41" i="19"/>
  <c r="AS62" i="20"/>
  <c r="AF136" i="14"/>
  <c r="AH136" i="14" s="1"/>
  <c r="B15" i="36"/>
  <c r="P15" i="36" s="1"/>
  <c r="A75" i="20"/>
  <c r="AC75" i="20" s="1"/>
  <c r="AM75" i="20"/>
  <c r="AS75" i="20"/>
  <c r="AU75" i="20"/>
  <c r="AU94" i="20"/>
  <c r="AU57" i="20"/>
  <c r="AU43" i="20"/>
  <c r="AU62" i="20"/>
  <c r="AU66" i="20"/>
  <c r="AU67" i="20"/>
  <c r="A67" i="20"/>
  <c r="AF67" i="20" s="1"/>
  <c r="AM67" i="20"/>
  <c r="AS67" i="20"/>
  <c r="A57" i="20"/>
  <c r="A58" i="20"/>
  <c r="AO58" i="20" s="1"/>
  <c r="A43" i="20"/>
  <c r="AM57" i="20"/>
  <c r="AM58" i="20"/>
  <c r="AM43" i="20"/>
  <c r="AS57" i="20"/>
  <c r="AS58" i="20"/>
  <c r="AU58" i="20"/>
  <c r="S48" i="19"/>
  <c r="T48" i="19"/>
  <c r="P48" i="19" s="1"/>
  <c r="U48" i="19" s="1"/>
  <c r="S49" i="19"/>
  <c r="S47" i="19"/>
  <c r="S51" i="19"/>
  <c r="S52" i="19"/>
  <c r="S45" i="19"/>
  <c r="S50" i="19"/>
  <c r="S53" i="19"/>
  <c r="S38" i="19"/>
  <c r="S39" i="19"/>
  <c r="S42" i="19"/>
  <c r="S46" i="19"/>
  <c r="T49" i="19"/>
  <c r="P49" i="19" s="1"/>
  <c r="U49" i="19" s="1"/>
  <c r="T47" i="19"/>
  <c r="P47" i="19" s="1"/>
  <c r="U47" i="19" s="1"/>
  <c r="T51" i="19"/>
  <c r="P51" i="19" s="1"/>
  <c r="U51" i="19" s="1"/>
  <c r="T52" i="19"/>
  <c r="P52" i="19" s="1"/>
  <c r="U52" i="19" s="1"/>
  <c r="T45" i="19"/>
  <c r="P45" i="19" s="1"/>
  <c r="U45" i="19" s="1"/>
  <c r="T50" i="19"/>
  <c r="P50" i="19" s="1"/>
  <c r="U50" i="19" s="1"/>
  <c r="T53" i="19"/>
  <c r="P53" i="19" s="1"/>
  <c r="U53" i="19" s="1"/>
  <c r="T38" i="19"/>
  <c r="P38" i="19" s="1"/>
  <c r="U38" i="19" s="1"/>
  <c r="T39" i="19"/>
  <c r="P39" i="19" s="1"/>
  <c r="U39" i="19" s="1"/>
  <c r="T42" i="19"/>
  <c r="P42" i="19" s="1"/>
  <c r="U42" i="19" s="1"/>
  <c r="T46" i="19"/>
  <c r="P46" i="19" s="1"/>
  <c r="S54" i="19"/>
  <c r="S55" i="19"/>
  <c r="T54" i="19"/>
  <c r="P54" i="19" s="1"/>
  <c r="U54" i="19" s="1"/>
  <c r="T55" i="19"/>
  <c r="P55" i="19" s="1"/>
  <c r="U55" i="19" s="1"/>
  <c r="A1338" i="20"/>
  <c r="AM1338" i="20"/>
  <c r="AS1338" i="20"/>
  <c r="AU1338" i="20"/>
  <c r="A62" i="20"/>
  <c r="AC62" i="20" s="1"/>
  <c r="AM62" i="20"/>
  <c r="AU1337" i="20"/>
  <c r="AU1336" i="20"/>
  <c r="AU1335" i="20"/>
  <c r="AU1334" i="20"/>
  <c r="AU1333" i="20"/>
  <c r="AU1332" i="20"/>
  <c r="AU1331" i="20"/>
  <c r="AU1330" i="20"/>
  <c r="AU1329" i="20"/>
  <c r="AU1328" i="20"/>
  <c r="AU1327" i="20"/>
  <c r="AU1326" i="20"/>
  <c r="AU1325" i="20"/>
  <c r="AU1324" i="20"/>
  <c r="AU1323" i="20"/>
  <c r="AU1322" i="20"/>
  <c r="AU1321" i="20"/>
  <c r="AU1320" i="20"/>
  <c r="AU1319" i="20"/>
  <c r="AU1318" i="20"/>
  <c r="AU1317" i="20"/>
  <c r="AU1316" i="20"/>
  <c r="AU1315" i="20"/>
  <c r="AU1314" i="20"/>
  <c r="AU1313" i="20"/>
  <c r="AU1312" i="20"/>
  <c r="AU1311" i="20"/>
  <c r="AU1310" i="20"/>
  <c r="AU1309" i="20"/>
  <c r="AU1308" i="20"/>
  <c r="AU1307" i="20"/>
  <c r="AU1306" i="20"/>
  <c r="AU1305" i="20"/>
  <c r="AU1304" i="20"/>
  <c r="AU1303" i="20"/>
  <c r="AU1302" i="20"/>
  <c r="AU1301" i="20"/>
  <c r="AU1300" i="20"/>
  <c r="AU1299" i="20"/>
  <c r="AU1298" i="20"/>
  <c r="AU1297" i="20"/>
  <c r="AU1296" i="20"/>
  <c r="AU1295" i="20"/>
  <c r="AU1294" i="20"/>
  <c r="AU1293" i="20"/>
  <c r="AU1292" i="20"/>
  <c r="AU1291" i="20"/>
  <c r="AU1290" i="20"/>
  <c r="AU1289" i="20"/>
  <c r="AU1288" i="20"/>
  <c r="AU1287" i="20"/>
  <c r="AU1286" i="20"/>
  <c r="AU1285" i="20"/>
  <c r="AU1284" i="20"/>
  <c r="AU1283" i="20"/>
  <c r="AU1282" i="20"/>
  <c r="AU1281" i="20"/>
  <c r="AU1280" i="20"/>
  <c r="AU1279" i="20"/>
  <c r="AU1278" i="20"/>
  <c r="AU1277" i="20"/>
  <c r="AU1276" i="20"/>
  <c r="AU1275" i="20"/>
  <c r="AU1274" i="20"/>
  <c r="AU1273" i="20"/>
  <c r="AU1272" i="20"/>
  <c r="AU1271" i="20"/>
  <c r="AU1270" i="20"/>
  <c r="AU1269" i="20"/>
  <c r="AU1268" i="20"/>
  <c r="AU1267" i="20"/>
  <c r="AU1266" i="20"/>
  <c r="AU1265" i="20"/>
  <c r="AU1264" i="20"/>
  <c r="AU1263" i="20"/>
  <c r="AU1262" i="20"/>
  <c r="AU1261" i="20"/>
  <c r="AU1260" i="20"/>
  <c r="AU1259" i="20"/>
  <c r="AU1258" i="20"/>
  <c r="AU1257" i="20"/>
  <c r="AU1256" i="20"/>
  <c r="AU1255" i="20"/>
  <c r="AU1254" i="20"/>
  <c r="AU1253" i="20"/>
  <c r="AU1252" i="20"/>
  <c r="AU1251" i="20"/>
  <c r="AU1250" i="20"/>
  <c r="AU1249" i="20"/>
  <c r="AU1248" i="20"/>
  <c r="AU1247" i="20"/>
  <c r="AU1246" i="20"/>
  <c r="AU1245" i="20"/>
  <c r="AU1244" i="20"/>
  <c r="AU1243" i="20"/>
  <c r="AU1242" i="20"/>
  <c r="AU1241" i="20"/>
  <c r="AU1240" i="20"/>
  <c r="AU1239" i="20"/>
  <c r="AU1238" i="20"/>
  <c r="AU1237" i="20"/>
  <c r="AU1236" i="20"/>
  <c r="AU1235" i="20"/>
  <c r="AU1234" i="20"/>
  <c r="AU1233" i="20"/>
  <c r="AU1232" i="20"/>
  <c r="AU1231" i="20"/>
  <c r="AU1230" i="20"/>
  <c r="AU1229" i="20"/>
  <c r="AU1228" i="20"/>
  <c r="AU1227" i="20"/>
  <c r="AU1226" i="20"/>
  <c r="AU1225" i="20"/>
  <c r="AU1224" i="20"/>
  <c r="AU1223" i="20"/>
  <c r="AU1222" i="20"/>
  <c r="AU1221" i="20"/>
  <c r="AU1220" i="20"/>
  <c r="AU1219" i="20"/>
  <c r="AU1218" i="20"/>
  <c r="AU1217" i="20"/>
  <c r="AU1216" i="20"/>
  <c r="AU1215" i="20"/>
  <c r="AU1214" i="20"/>
  <c r="AU1213" i="20"/>
  <c r="AU1212" i="20"/>
  <c r="AU1211" i="20"/>
  <c r="AU1210" i="20"/>
  <c r="AU1209" i="20"/>
  <c r="AU1208" i="20"/>
  <c r="AU1207" i="20"/>
  <c r="AU1206" i="20"/>
  <c r="AU1205" i="20"/>
  <c r="AU1204" i="20"/>
  <c r="AU1203" i="20"/>
  <c r="AU1202" i="20"/>
  <c r="AU1201" i="20"/>
  <c r="AU1200" i="20"/>
  <c r="AU1199" i="20"/>
  <c r="AU1198" i="20"/>
  <c r="AU1197" i="20"/>
  <c r="AU1196" i="20"/>
  <c r="AU1195" i="20"/>
  <c r="AU1194" i="20"/>
  <c r="AU1193" i="20"/>
  <c r="AU1192" i="20"/>
  <c r="AU1191" i="20"/>
  <c r="AU1190" i="20"/>
  <c r="AU1189" i="20"/>
  <c r="AU1188" i="20"/>
  <c r="AU1187" i="20"/>
  <c r="AU1186" i="20"/>
  <c r="AU1185" i="20"/>
  <c r="AU1184" i="20"/>
  <c r="AU1183" i="20"/>
  <c r="AU1182" i="20"/>
  <c r="AU1181" i="20"/>
  <c r="AU1180" i="20"/>
  <c r="AU1179" i="20"/>
  <c r="AU1178" i="20"/>
  <c r="AU1177" i="20"/>
  <c r="AU1176" i="20"/>
  <c r="AU1175" i="20"/>
  <c r="AU1174" i="20"/>
  <c r="AU1173" i="20"/>
  <c r="AU1172" i="20"/>
  <c r="AU1171" i="20"/>
  <c r="AU1170" i="20"/>
  <c r="AU1169" i="20"/>
  <c r="AU1168" i="20"/>
  <c r="AU1167" i="20"/>
  <c r="AU1166" i="20"/>
  <c r="AU1165" i="20"/>
  <c r="AU1164" i="20"/>
  <c r="AU1163" i="20"/>
  <c r="AU1162" i="20"/>
  <c r="AS1337" i="20"/>
  <c r="AS1336" i="20"/>
  <c r="AS1335" i="20"/>
  <c r="AS1334" i="20"/>
  <c r="AS1333" i="20"/>
  <c r="AS1332" i="20"/>
  <c r="AS1331" i="20"/>
  <c r="AS1330" i="20"/>
  <c r="AS1329" i="20"/>
  <c r="AS1328" i="20"/>
  <c r="AS1327" i="20"/>
  <c r="AS1326" i="20"/>
  <c r="AS1325" i="20"/>
  <c r="AS1324" i="20"/>
  <c r="AS1323" i="20"/>
  <c r="AS1322" i="20"/>
  <c r="AS1321" i="20"/>
  <c r="AS1320" i="20"/>
  <c r="AS1319" i="20"/>
  <c r="AS1318" i="20"/>
  <c r="AS1317" i="20"/>
  <c r="AS1316" i="20"/>
  <c r="AS1315" i="20"/>
  <c r="AS1314" i="20"/>
  <c r="AS1313" i="20"/>
  <c r="AS1312" i="20"/>
  <c r="AS1311" i="20"/>
  <c r="AS1310" i="20"/>
  <c r="AS1309" i="20"/>
  <c r="AS1308" i="20"/>
  <c r="AS1307" i="20"/>
  <c r="AS1306" i="20"/>
  <c r="AS1305" i="20"/>
  <c r="AS1304" i="20"/>
  <c r="AS1303" i="20"/>
  <c r="AS1302" i="20"/>
  <c r="AS1301" i="20"/>
  <c r="AS1300" i="20"/>
  <c r="AS1299" i="20"/>
  <c r="AS1298" i="20"/>
  <c r="AS1297" i="20"/>
  <c r="AS1296" i="20"/>
  <c r="AS1295" i="20"/>
  <c r="AS1294" i="20"/>
  <c r="AS1293" i="20"/>
  <c r="AS1292" i="20"/>
  <c r="AS1291" i="20"/>
  <c r="AS1290" i="20"/>
  <c r="AS1289" i="20"/>
  <c r="AS1288" i="20"/>
  <c r="AS1287" i="20"/>
  <c r="AS1286" i="20"/>
  <c r="AS1285" i="20"/>
  <c r="AS1284" i="20"/>
  <c r="AS1283" i="20"/>
  <c r="AS1282" i="20"/>
  <c r="AS1281" i="20"/>
  <c r="AS1280" i="20"/>
  <c r="AS1279" i="20"/>
  <c r="AS1278" i="20"/>
  <c r="AS1277" i="20"/>
  <c r="AS1276" i="20"/>
  <c r="AS1275" i="20"/>
  <c r="AS1274" i="20"/>
  <c r="AS1273" i="20"/>
  <c r="AS1272" i="20"/>
  <c r="AS1271" i="20"/>
  <c r="AS1270" i="20"/>
  <c r="AS1269" i="20"/>
  <c r="AS1268" i="20"/>
  <c r="AS1267" i="20"/>
  <c r="AS1266" i="20"/>
  <c r="AS1265" i="20"/>
  <c r="AS1264" i="20"/>
  <c r="AS1263" i="20"/>
  <c r="AS1262" i="20"/>
  <c r="AS1261" i="20"/>
  <c r="AS1260" i="20"/>
  <c r="AS1259" i="20"/>
  <c r="AS1258" i="20"/>
  <c r="AS1257" i="20"/>
  <c r="AS1256" i="20"/>
  <c r="AS1255" i="20"/>
  <c r="AS1254" i="20"/>
  <c r="AS1253" i="20"/>
  <c r="AS1252" i="20"/>
  <c r="AS1251" i="20"/>
  <c r="AS1250" i="20"/>
  <c r="AS1249" i="20"/>
  <c r="AS1248" i="20"/>
  <c r="AS1247" i="20"/>
  <c r="AS1246" i="20"/>
  <c r="AS1245" i="20"/>
  <c r="AS1244" i="20"/>
  <c r="AS1243" i="20"/>
  <c r="AS1242" i="20"/>
  <c r="AS1241" i="20"/>
  <c r="AS1240" i="20"/>
  <c r="AS1239" i="20"/>
  <c r="AS1238" i="20"/>
  <c r="AS1237" i="20"/>
  <c r="AS1236" i="20"/>
  <c r="AS1235" i="20"/>
  <c r="AS1234" i="20"/>
  <c r="AS1233" i="20"/>
  <c r="AS1232" i="20"/>
  <c r="AS1231" i="20"/>
  <c r="AS1230" i="20"/>
  <c r="AS1229" i="20"/>
  <c r="AS1228" i="20"/>
  <c r="AS1227" i="20"/>
  <c r="AS1226" i="20"/>
  <c r="AS1225" i="20"/>
  <c r="AS1224" i="20"/>
  <c r="AS1223" i="20"/>
  <c r="AS1222" i="20"/>
  <c r="AS1221" i="20"/>
  <c r="AS1220" i="20"/>
  <c r="AS1219" i="20"/>
  <c r="AS1218" i="20"/>
  <c r="AS1217" i="20"/>
  <c r="AS1216" i="20"/>
  <c r="AS1215" i="20"/>
  <c r="AS1214" i="20"/>
  <c r="AS1213" i="20"/>
  <c r="AS1212" i="20"/>
  <c r="AS1211" i="20"/>
  <c r="AS1210" i="20"/>
  <c r="AS1209" i="20"/>
  <c r="AS1208" i="20"/>
  <c r="AS1207" i="20"/>
  <c r="AS1206" i="20"/>
  <c r="AS1205" i="20"/>
  <c r="AS1204" i="20"/>
  <c r="AS1203" i="20"/>
  <c r="AS1202" i="20"/>
  <c r="AS1201" i="20"/>
  <c r="AS1200" i="20"/>
  <c r="AS1199" i="20"/>
  <c r="AS1198" i="20"/>
  <c r="AS1197" i="20"/>
  <c r="AS1196" i="20"/>
  <c r="AS1195" i="20"/>
  <c r="AS1194" i="20"/>
  <c r="AS1193" i="20"/>
  <c r="AS1192" i="20"/>
  <c r="AS1191" i="20"/>
  <c r="AS1190" i="20"/>
  <c r="AS1189" i="20"/>
  <c r="AS1188" i="20"/>
  <c r="AS1187" i="20"/>
  <c r="AS1186" i="20"/>
  <c r="AS1185" i="20"/>
  <c r="AS1184" i="20"/>
  <c r="AS1183" i="20"/>
  <c r="AS1182" i="20"/>
  <c r="AS1181" i="20"/>
  <c r="AS1180" i="20"/>
  <c r="AS1179" i="20"/>
  <c r="AS1178" i="20"/>
  <c r="AS1177" i="20"/>
  <c r="AS1176" i="20"/>
  <c r="AS1175" i="20"/>
  <c r="AS1174" i="20"/>
  <c r="AS1173" i="20"/>
  <c r="AS1172" i="20"/>
  <c r="AS1171" i="20"/>
  <c r="AS1170" i="20"/>
  <c r="AS1169" i="20"/>
  <c r="AS1168" i="20"/>
  <c r="AS1167" i="20"/>
  <c r="AS1166" i="20"/>
  <c r="AS1165" i="20"/>
  <c r="AS1164" i="20"/>
  <c r="AS1163" i="20"/>
  <c r="AS1162" i="20"/>
  <c r="AM1337" i="20"/>
  <c r="AM1336" i="20"/>
  <c r="AM1335" i="20"/>
  <c r="AM1334" i="20"/>
  <c r="AM1333" i="20"/>
  <c r="AM1332" i="20"/>
  <c r="AM1331" i="20"/>
  <c r="AM1330" i="20"/>
  <c r="AM1329" i="20"/>
  <c r="AM1328" i="20"/>
  <c r="AM1327" i="20"/>
  <c r="AM1326" i="20"/>
  <c r="AM1325" i="20"/>
  <c r="AM1324" i="20"/>
  <c r="AM1323" i="20"/>
  <c r="AM1322" i="20"/>
  <c r="AM1321" i="20"/>
  <c r="AM1320" i="20"/>
  <c r="AM1319" i="20"/>
  <c r="AM1318" i="20"/>
  <c r="AM1317" i="20"/>
  <c r="AM1316" i="20"/>
  <c r="AM1315" i="20"/>
  <c r="AM1314" i="20"/>
  <c r="AM1313" i="20"/>
  <c r="AM1312" i="20"/>
  <c r="AM1311" i="20"/>
  <c r="AM1310" i="20"/>
  <c r="AM1309" i="20"/>
  <c r="AM1308" i="20"/>
  <c r="AM1307" i="20"/>
  <c r="AM1306" i="20"/>
  <c r="AM1305" i="20"/>
  <c r="AM1304" i="20"/>
  <c r="AM1303" i="20"/>
  <c r="AM1302" i="20"/>
  <c r="AM1301" i="20"/>
  <c r="AM1300" i="20"/>
  <c r="AM1299" i="20"/>
  <c r="AM1298" i="20"/>
  <c r="AM1297" i="20"/>
  <c r="AM1296" i="20"/>
  <c r="AM1295" i="20"/>
  <c r="AM1294" i="20"/>
  <c r="AM1293" i="20"/>
  <c r="AM1292" i="20"/>
  <c r="AM1291" i="20"/>
  <c r="AM1290" i="20"/>
  <c r="AM1289" i="20"/>
  <c r="AM1288" i="20"/>
  <c r="AM1287" i="20"/>
  <c r="AM1286" i="20"/>
  <c r="AM1285" i="20"/>
  <c r="AM1284" i="20"/>
  <c r="AM1283" i="20"/>
  <c r="AM1282" i="20"/>
  <c r="AM1281" i="20"/>
  <c r="AM1280" i="20"/>
  <c r="AM1279" i="20"/>
  <c r="AM1278" i="20"/>
  <c r="AM1277" i="20"/>
  <c r="AM1276" i="20"/>
  <c r="AM1275" i="20"/>
  <c r="AM1274" i="20"/>
  <c r="AM1273" i="20"/>
  <c r="AM1272" i="20"/>
  <c r="AM1271" i="20"/>
  <c r="AM1270" i="20"/>
  <c r="AM1269" i="20"/>
  <c r="AM1268" i="20"/>
  <c r="AM1267" i="20"/>
  <c r="AM1266" i="20"/>
  <c r="AM1265" i="20"/>
  <c r="AM1264" i="20"/>
  <c r="AM1263" i="20"/>
  <c r="AM1262" i="20"/>
  <c r="AM1261" i="20"/>
  <c r="AM1260" i="20"/>
  <c r="AM1259" i="20"/>
  <c r="AM1258" i="20"/>
  <c r="AM1257" i="20"/>
  <c r="AM1256" i="20"/>
  <c r="AM1255" i="20"/>
  <c r="AM1254" i="20"/>
  <c r="AM1253" i="20"/>
  <c r="AM1252" i="20"/>
  <c r="AM1251" i="20"/>
  <c r="AM1250" i="20"/>
  <c r="AM1249" i="20"/>
  <c r="AM1248" i="20"/>
  <c r="AM1247" i="20"/>
  <c r="AM1246" i="20"/>
  <c r="AM1245" i="20"/>
  <c r="AM1244" i="20"/>
  <c r="AM1243" i="20"/>
  <c r="AM1242" i="20"/>
  <c r="AM1241" i="20"/>
  <c r="AM1240" i="20"/>
  <c r="AM1239" i="20"/>
  <c r="AM1238" i="20"/>
  <c r="AM1237" i="20"/>
  <c r="AM1236" i="20"/>
  <c r="AM1235" i="20"/>
  <c r="AM1234" i="20"/>
  <c r="AM1233" i="20"/>
  <c r="AM1232" i="20"/>
  <c r="AM1231" i="20"/>
  <c r="AM1230" i="20"/>
  <c r="AM1229" i="20"/>
  <c r="AM1228" i="20"/>
  <c r="AM1227" i="20"/>
  <c r="AM1226" i="20"/>
  <c r="AM1225" i="20"/>
  <c r="AM1224" i="20"/>
  <c r="AM1223" i="20"/>
  <c r="AM1222" i="20"/>
  <c r="AM1221" i="20"/>
  <c r="AM1220" i="20"/>
  <c r="AM1219" i="20"/>
  <c r="AM1218" i="20"/>
  <c r="AM1217" i="20"/>
  <c r="AM1216" i="20"/>
  <c r="AM1215" i="20"/>
  <c r="AM1214" i="20"/>
  <c r="AM1213" i="20"/>
  <c r="AM1212" i="20"/>
  <c r="AM1211" i="20"/>
  <c r="AM1210" i="20"/>
  <c r="AM1209" i="20"/>
  <c r="AM1208" i="20"/>
  <c r="AM1207" i="20"/>
  <c r="AM1206" i="20"/>
  <c r="AM1205" i="20"/>
  <c r="AM1204" i="20"/>
  <c r="AM1203" i="20"/>
  <c r="AM1202" i="20"/>
  <c r="AM1201" i="20"/>
  <c r="AM1200" i="20"/>
  <c r="AM1199" i="20"/>
  <c r="AM1198" i="20"/>
  <c r="AM1197" i="20"/>
  <c r="AM1196" i="20"/>
  <c r="AM1195" i="20"/>
  <c r="AM1194" i="20"/>
  <c r="AM1193" i="20"/>
  <c r="AM1192" i="20"/>
  <c r="AM1191" i="20"/>
  <c r="AM1190" i="20"/>
  <c r="AM1189" i="20"/>
  <c r="AM1188" i="20"/>
  <c r="AM1187" i="20"/>
  <c r="AM1186" i="20"/>
  <c r="AM1185" i="20"/>
  <c r="AM1184" i="20"/>
  <c r="AM1183" i="20"/>
  <c r="AM1182" i="20"/>
  <c r="AM1181" i="20"/>
  <c r="AM1180" i="20"/>
  <c r="AM1179" i="20"/>
  <c r="AM1178" i="20"/>
  <c r="AM1177" i="20"/>
  <c r="AM1176" i="20"/>
  <c r="AM1175" i="20"/>
  <c r="AM1174" i="20"/>
  <c r="AM1173" i="20"/>
  <c r="AM1172" i="20"/>
  <c r="AM1171" i="20"/>
  <c r="AM1170" i="20"/>
  <c r="AM1169" i="20"/>
  <c r="AM1168" i="20"/>
  <c r="AM1167" i="20"/>
  <c r="AM1166" i="20"/>
  <c r="AM1165" i="20"/>
  <c r="AM1164" i="20"/>
  <c r="AM1163" i="20"/>
  <c r="AM1162" i="20"/>
  <c r="A1337" i="20"/>
  <c r="AD1337" i="20" s="1"/>
  <c r="A1336" i="20"/>
  <c r="AC1336" i="20" s="1"/>
  <c r="A1335" i="20"/>
  <c r="AK1335" i="20" s="1"/>
  <c r="A1334" i="20"/>
  <c r="A1333" i="20"/>
  <c r="A1332" i="20"/>
  <c r="AD1332" i="20" s="1"/>
  <c r="A1331" i="20"/>
  <c r="AF1331" i="20" s="1"/>
  <c r="A1330" i="20"/>
  <c r="A1329" i="20"/>
  <c r="AB1329" i="20" s="1"/>
  <c r="A1328" i="20"/>
  <c r="AE1328" i="20" s="1"/>
  <c r="A1327" i="20"/>
  <c r="AE1327" i="20" s="1"/>
  <c r="A1326" i="20"/>
  <c r="A1325" i="20"/>
  <c r="AJ1325" i="20" s="1"/>
  <c r="A1324" i="20"/>
  <c r="Z1324" i="20" s="1"/>
  <c r="A1323" i="20"/>
  <c r="Z1323" i="20" s="1"/>
  <c r="A1322" i="20"/>
  <c r="A1321" i="20"/>
  <c r="A1320" i="20"/>
  <c r="AP1320" i="20" s="1"/>
  <c r="A1319" i="20"/>
  <c r="AD1319" i="20" s="1"/>
  <c r="A1318" i="20"/>
  <c r="A1317" i="20"/>
  <c r="AF1317" i="20" s="1"/>
  <c r="A1316" i="20"/>
  <c r="AE1316" i="20" s="1"/>
  <c r="A1315" i="20"/>
  <c r="AO1315" i="20" s="1"/>
  <c r="A1314" i="20"/>
  <c r="A1313" i="20"/>
  <c r="A1312" i="20"/>
  <c r="AN1312" i="20" s="1"/>
  <c r="A1311" i="20"/>
  <c r="AC1311" i="20" s="1"/>
  <c r="A1310" i="20"/>
  <c r="A1309" i="20"/>
  <c r="A1308" i="20"/>
  <c r="AO1308" i="20" s="1"/>
  <c r="A1307" i="20"/>
  <c r="AL1307" i="20" s="1"/>
  <c r="A1306" i="20"/>
  <c r="A1305" i="20"/>
  <c r="A1304" i="20"/>
  <c r="AF1304" i="20" s="1"/>
  <c r="A1303" i="20"/>
  <c r="AJ1303" i="20" s="1"/>
  <c r="A1302" i="20"/>
  <c r="AG1302" i="20" s="1"/>
  <c r="A1301" i="20"/>
  <c r="AK1301" i="20" s="1"/>
  <c r="A1300" i="20"/>
  <c r="AF1300" i="20" s="1"/>
  <c r="A1299" i="20"/>
  <c r="AI1299" i="20" s="1"/>
  <c r="A1298" i="20"/>
  <c r="A1297" i="20"/>
  <c r="AE1297" i="20" s="1"/>
  <c r="A1296" i="20"/>
  <c r="A1295" i="20"/>
  <c r="AG1295" i="20" s="1"/>
  <c r="A1294" i="20"/>
  <c r="Y1294" i="20" s="1"/>
  <c r="A1293" i="20"/>
  <c r="AI1293" i="20" s="1"/>
  <c r="A1292" i="20"/>
  <c r="Y1292" i="20" s="1"/>
  <c r="A1291" i="20"/>
  <c r="Z1291" i="20" s="1"/>
  <c r="A1290" i="20"/>
  <c r="A1289" i="20"/>
  <c r="A1288" i="20"/>
  <c r="AE1288" i="20" s="1"/>
  <c r="A1287" i="20"/>
  <c r="AI1287" i="20" s="1"/>
  <c r="A1286" i="20"/>
  <c r="AN1286" i="20" s="1"/>
  <c r="A1285" i="20"/>
  <c r="A1284" i="20"/>
  <c r="AH1284" i="20" s="1"/>
  <c r="A1283" i="20"/>
  <c r="AC1283" i="20" s="1"/>
  <c r="A1282" i="20"/>
  <c r="A1281" i="20"/>
  <c r="AE1281" i="20" s="1"/>
  <c r="A1280" i="20"/>
  <c r="A1279" i="20"/>
  <c r="Z1279" i="20" s="1"/>
  <c r="A1278" i="20"/>
  <c r="A1277" i="20"/>
  <c r="Y1277" i="20" s="1"/>
  <c r="A1276" i="20"/>
  <c r="AG1276" i="20" s="1"/>
  <c r="A1275" i="20"/>
  <c r="AK1275" i="20" s="1"/>
  <c r="A1274" i="20"/>
  <c r="AA1274" i="20" s="1"/>
  <c r="A1273" i="20"/>
  <c r="A1272" i="20"/>
  <c r="AO1272" i="20" s="1"/>
  <c r="A1271" i="20"/>
  <c r="AE1271" i="20" s="1"/>
  <c r="A1270" i="20"/>
  <c r="AB1270" i="20" s="1"/>
  <c r="A1269" i="20"/>
  <c r="AH1269" i="20" s="1"/>
  <c r="A1268" i="20"/>
  <c r="AF1268" i="20" s="1"/>
  <c r="A1267" i="20"/>
  <c r="Z1267" i="20" s="1"/>
  <c r="A1266" i="20"/>
  <c r="A1265" i="20"/>
  <c r="AJ1265" i="20" s="1"/>
  <c r="A1264" i="20"/>
  <c r="Y1264" i="20" s="1"/>
  <c r="A1263" i="20"/>
  <c r="AG1263" i="20" s="1"/>
  <c r="A1262" i="20"/>
  <c r="AN1262" i="20" s="1"/>
  <c r="A1261" i="20"/>
  <c r="A1260" i="20"/>
  <c r="AP1260" i="20" s="1"/>
  <c r="A1259" i="20"/>
  <c r="AG1259" i="20" s="1"/>
  <c r="A1258" i="20"/>
  <c r="AB1258" i="20" s="1"/>
  <c r="A1257" i="20"/>
  <c r="A1256" i="20"/>
  <c r="A1255" i="20"/>
  <c r="Z1255" i="20" s="1"/>
  <c r="A1254" i="20"/>
  <c r="AG1254" i="20" s="1"/>
  <c r="A1253" i="20"/>
  <c r="A1252" i="20"/>
  <c r="AA1252" i="20" s="1"/>
  <c r="A1251" i="20"/>
  <c r="AK1251" i="20" s="1"/>
  <c r="A1250" i="20"/>
  <c r="A1249" i="20"/>
  <c r="A1248" i="20"/>
  <c r="AE1248" i="20" s="1"/>
  <c r="A1247" i="20"/>
  <c r="AC1247" i="20" s="1"/>
  <c r="A1246" i="20"/>
  <c r="A1245" i="20"/>
  <c r="Z1245" i="20" s="1"/>
  <c r="A1244" i="20"/>
  <c r="A1243" i="20"/>
  <c r="AN1243" i="20" s="1"/>
  <c r="A1242" i="20"/>
  <c r="AK1242" i="20" s="1"/>
  <c r="A1241" i="20"/>
  <c r="AN1241" i="20" s="1"/>
  <c r="A1240" i="20"/>
  <c r="AN1240" i="20" s="1"/>
  <c r="A1239" i="20"/>
  <c r="AH1239" i="20" s="1"/>
  <c r="A1238" i="20"/>
  <c r="Z1238" i="20" s="1"/>
  <c r="A1237" i="20"/>
  <c r="A1236" i="20"/>
  <c r="AO1236" i="20" s="1"/>
  <c r="A1235" i="20"/>
  <c r="AB1235" i="20" s="1"/>
  <c r="A1234" i="20"/>
  <c r="A1233" i="20"/>
  <c r="AD1233" i="20" s="1"/>
  <c r="A1232" i="20"/>
  <c r="AJ1232" i="20" s="1"/>
  <c r="A1231" i="20"/>
  <c r="AH1231" i="20" s="1"/>
  <c r="A1230" i="20"/>
  <c r="A1229" i="20"/>
  <c r="A1228" i="20"/>
  <c r="AE1228" i="20" s="1"/>
  <c r="A1227" i="20"/>
  <c r="Z1227" i="20" s="1"/>
  <c r="A1226" i="20"/>
  <c r="AJ1226" i="20" s="1"/>
  <c r="A1225" i="20"/>
  <c r="AH1225" i="20" s="1"/>
  <c r="A1224" i="20"/>
  <c r="AG1224" i="20" s="1"/>
  <c r="A1223" i="20"/>
  <c r="AH1223" i="20" s="1"/>
  <c r="A1222" i="20"/>
  <c r="AF1222" i="20" s="1"/>
  <c r="A1221" i="20"/>
  <c r="AK1221" i="20" s="1"/>
  <c r="A1220" i="20"/>
  <c r="AO1220" i="20" s="1"/>
  <c r="A1219" i="20"/>
  <c r="AB1219" i="20" s="1"/>
  <c r="A1218" i="20"/>
  <c r="AC1218" i="20" s="1"/>
  <c r="A1217" i="20"/>
  <c r="A1216" i="20"/>
  <c r="AA1216" i="20" s="1"/>
  <c r="A1215" i="20"/>
  <c r="AD1215" i="20" s="1"/>
  <c r="A1214" i="20"/>
  <c r="A1213" i="20"/>
  <c r="A1212" i="20"/>
  <c r="AC1212" i="20" s="1"/>
  <c r="A1211" i="20"/>
  <c r="AA1211" i="20" s="1"/>
  <c r="A1210" i="20"/>
  <c r="AJ1210" i="20" s="1"/>
  <c r="A1209" i="20"/>
  <c r="AD1209" i="20" s="1"/>
  <c r="A1208" i="20"/>
  <c r="AJ1208" i="20" s="1"/>
  <c r="A1207" i="20"/>
  <c r="Z1207" i="20" s="1"/>
  <c r="A1206" i="20"/>
  <c r="AG1206" i="20" s="1"/>
  <c r="A1205" i="20"/>
  <c r="A1204" i="20"/>
  <c r="AF1204" i="20" s="1"/>
  <c r="A1203" i="20"/>
  <c r="AN1203" i="20" s="1"/>
  <c r="A1202" i="20"/>
  <c r="A1201" i="20"/>
  <c r="AC1201" i="20" s="1"/>
  <c r="A1200" i="20"/>
  <c r="AO1200" i="20" s="1"/>
  <c r="A1199" i="20"/>
  <c r="AK1199" i="20" s="1"/>
  <c r="A1198" i="20"/>
  <c r="A1197" i="20"/>
  <c r="AA1197" i="20" s="1"/>
  <c r="A1196" i="20"/>
  <c r="AB1196" i="20" s="1"/>
  <c r="A1195" i="20"/>
  <c r="AA1195" i="20" s="1"/>
  <c r="A1194" i="20"/>
  <c r="A1193" i="20"/>
  <c r="A1192" i="20"/>
  <c r="AA1192" i="20" s="1"/>
  <c r="A1191" i="20"/>
  <c r="AC1191" i="20" s="1"/>
  <c r="A1190" i="20"/>
  <c r="AO1190" i="20" s="1"/>
  <c r="A1189" i="20"/>
  <c r="A1188" i="20"/>
  <c r="AD1188" i="20" s="1"/>
  <c r="A1187" i="20"/>
  <c r="AD1187" i="20" s="1"/>
  <c r="A1186" i="20"/>
  <c r="AH1186" i="20" s="1"/>
  <c r="A1185" i="20"/>
  <c r="A1184" i="20"/>
  <c r="Z1184" i="20" s="1"/>
  <c r="A1183" i="20"/>
  <c r="AK1183" i="20" s="1"/>
  <c r="A1182" i="20"/>
  <c r="A1181" i="20"/>
  <c r="A1180" i="20"/>
  <c r="AG1180" i="20" s="1"/>
  <c r="A1179" i="20"/>
  <c r="Z1179" i="20" s="1"/>
  <c r="A1178" i="20"/>
  <c r="A1177" i="20"/>
  <c r="A1176" i="20"/>
  <c r="AP1176" i="20" s="1"/>
  <c r="A1175" i="20"/>
  <c r="AE1175" i="20" s="1"/>
  <c r="A1174" i="20"/>
  <c r="AL1174" i="20" s="1"/>
  <c r="A1173" i="20"/>
  <c r="Y1173" i="20" s="1"/>
  <c r="A1172" i="20"/>
  <c r="Z1172" i="20" s="1"/>
  <c r="A1171" i="20"/>
  <c r="AE1171" i="20" s="1"/>
  <c r="A1170" i="20"/>
  <c r="Y1170" i="20" s="1"/>
  <c r="A1169" i="20"/>
  <c r="AK1169" i="20" s="1"/>
  <c r="A1168" i="20"/>
  <c r="AO1168" i="20" s="1"/>
  <c r="A1167" i="20"/>
  <c r="Z1167" i="20" s="1"/>
  <c r="A1166" i="20"/>
  <c r="AL1166" i="20" s="1"/>
  <c r="A1165" i="20"/>
  <c r="A1164" i="20"/>
  <c r="A1163" i="20"/>
  <c r="AJ1163" i="20" s="1"/>
  <c r="A1162" i="20"/>
  <c r="A1145" i="20"/>
  <c r="A1146" i="20"/>
  <c r="AL1146" i="20" s="1"/>
  <c r="A1147" i="20"/>
  <c r="AH1147" i="20" s="1"/>
  <c r="A1148" i="20"/>
  <c r="A1149" i="20"/>
  <c r="A1150" i="20"/>
  <c r="AP1150" i="20" s="1"/>
  <c r="A1151" i="20"/>
  <c r="Z1151" i="20" s="1"/>
  <c r="A1152" i="20"/>
  <c r="A1153" i="20"/>
  <c r="A1154" i="20"/>
  <c r="AI1154" i="20" s="1"/>
  <c r="A1155" i="20"/>
  <c r="AK1155" i="20" s="1"/>
  <c r="A1156" i="20"/>
  <c r="AI1156" i="20" s="1"/>
  <c r="A1157" i="20"/>
  <c r="A1158" i="20"/>
  <c r="AG1158" i="20" s="1"/>
  <c r="A1159" i="20"/>
  <c r="AK1159" i="20" s="1"/>
  <c r="A1160" i="20"/>
  <c r="A1161" i="20"/>
  <c r="AH1161" i="20" s="1"/>
  <c r="AM1145" i="20"/>
  <c r="AM1146" i="20"/>
  <c r="AM1147" i="20"/>
  <c r="AM1148" i="20"/>
  <c r="AM1149" i="20"/>
  <c r="AM1150" i="20"/>
  <c r="AM1151" i="20"/>
  <c r="AM1152" i="20"/>
  <c r="AM1153" i="20"/>
  <c r="AM1154" i="20"/>
  <c r="AM1155" i="20"/>
  <c r="AM1156" i="20"/>
  <c r="AM1157" i="20"/>
  <c r="AM1158" i="20"/>
  <c r="AM1159" i="20"/>
  <c r="AM1160" i="20"/>
  <c r="AM1161" i="20"/>
  <c r="AS1145" i="20"/>
  <c r="AS1146" i="20"/>
  <c r="AS1147" i="20"/>
  <c r="AS1148" i="20"/>
  <c r="AS1149" i="20"/>
  <c r="AS1150" i="20"/>
  <c r="AS1151" i="20"/>
  <c r="AS1152" i="20"/>
  <c r="AS1153" i="20"/>
  <c r="AS1154" i="20"/>
  <c r="AS1155" i="20"/>
  <c r="AS1156" i="20"/>
  <c r="AS1157" i="20"/>
  <c r="AS1158" i="20"/>
  <c r="AS1159" i="20"/>
  <c r="AS1160" i="20"/>
  <c r="AS1161" i="20"/>
  <c r="AU1145" i="20"/>
  <c r="AU1146" i="20"/>
  <c r="AU1147" i="20"/>
  <c r="AU1148" i="20"/>
  <c r="AU1149" i="20"/>
  <c r="AU1150" i="20"/>
  <c r="AU1151" i="20"/>
  <c r="AU1152" i="20"/>
  <c r="AU1153" i="20"/>
  <c r="AU1154" i="20"/>
  <c r="AU1155" i="20"/>
  <c r="AU1156" i="20"/>
  <c r="AU1157" i="20"/>
  <c r="AU1158" i="20"/>
  <c r="AU1159" i="20"/>
  <c r="AU1160" i="20"/>
  <c r="AU1161" i="20"/>
  <c r="A94" i="20"/>
  <c r="AP94" i="20" s="1"/>
  <c r="AM94" i="20"/>
  <c r="AS94" i="20"/>
  <c r="A66" i="20"/>
  <c r="AL66" i="20" s="1"/>
  <c r="AU1107" i="20"/>
  <c r="AU1104" i="20"/>
  <c r="AU1106" i="20"/>
  <c r="AU1105" i="20"/>
  <c r="AU1103" i="20"/>
  <c r="AU1102" i="20"/>
  <c r="AU1101" i="20"/>
  <c r="AU1100" i="20"/>
  <c r="AU1099" i="20"/>
  <c r="AU1098" i="20"/>
  <c r="AU1097" i="20"/>
  <c r="AU1096" i="20"/>
  <c r="AU1094" i="20"/>
  <c r="AU1095" i="20"/>
  <c r="AU1093" i="20"/>
  <c r="AU1092" i="20"/>
  <c r="AU1091" i="20"/>
  <c r="AU1090" i="20"/>
  <c r="AU1089" i="20"/>
  <c r="AU1088" i="20"/>
  <c r="AU1086" i="20"/>
  <c r="AU1085" i="20"/>
  <c r="AU1084" i="20"/>
  <c r="AU1087" i="20"/>
  <c r="AU1083" i="20"/>
  <c r="AU1082" i="20"/>
  <c r="AU1081" i="20"/>
  <c r="AU1080" i="20"/>
  <c r="AU1079" i="20"/>
  <c r="AU1078" i="20"/>
  <c r="AU1077" i="20"/>
  <c r="AU1076" i="20"/>
  <c r="AU1075" i="20"/>
  <c r="AU1074" i="20"/>
  <c r="AU1073" i="20"/>
  <c r="AU1072" i="20"/>
  <c r="AU1071" i="20"/>
  <c r="AU1070" i="20"/>
  <c r="AU1069" i="20"/>
  <c r="AU1068" i="20"/>
  <c r="AU1067" i="20"/>
  <c r="AU1066" i="20"/>
  <c r="AU1065" i="20"/>
  <c r="AU1063" i="20"/>
  <c r="AU1062" i="20"/>
  <c r="AU1058" i="20"/>
  <c r="AU1057" i="20"/>
  <c r="AU1056" i="20"/>
  <c r="AU1055" i="20"/>
  <c r="AU1054" i="20"/>
  <c r="AU1053" i="20"/>
  <c r="AU1064" i="20"/>
  <c r="AU1061" i="20"/>
  <c r="AU1060" i="20"/>
  <c r="AU1059" i="20"/>
  <c r="AU1052" i="20"/>
  <c r="AU1050" i="20"/>
  <c r="AU1047" i="20"/>
  <c r="AU1045" i="20"/>
  <c r="AU1033" i="20"/>
  <c r="AU1032" i="20"/>
  <c r="AU1031" i="20"/>
  <c r="AU1030" i="20"/>
  <c r="AU1029" i="20"/>
  <c r="AU1023" i="20"/>
  <c r="AU1022" i="20"/>
  <c r="AU1020" i="20"/>
  <c r="AU1019" i="20"/>
  <c r="AU1018" i="20"/>
  <c r="AU1017" i="20"/>
  <c r="AU1021" i="20"/>
  <c r="AU1016" i="20"/>
  <c r="AU1015" i="20"/>
  <c r="AU1014" i="20"/>
  <c r="AU1013" i="20"/>
  <c r="AU1012" i="20"/>
  <c r="AU1011" i="20"/>
  <c r="AU1010" i="20"/>
  <c r="AU1008" i="20"/>
  <c r="AU1007" i="20"/>
  <c r="AU1006" i="20"/>
  <c r="AU1005" i="20"/>
  <c r="AU1004" i="20"/>
  <c r="AU1003" i="20"/>
  <c r="AU1001" i="20"/>
  <c r="AU999" i="20"/>
  <c r="AU998" i="20"/>
  <c r="AU1000" i="20"/>
  <c r="AU997" i="20"/>
  <c r="AU996" i="20"/>
  <c r="AU995" i="20"/>
  <c r="AU993" i="20"/>
  <c r="AU992" i="20"/>
  <c r="AU994" i="20"/>
  <c r="AU991" i="20"/>
  <c r="AU990" i="20"/>
  <c r="AU989" i="20"/>
  <c r="AU988" i="20"/>
  <c r="AU987" i="20"/>
  <c r="AU986" i="20"/>
  <c r="AU985" i="20"/>
  <c r="AU984" i="20"/>
  <c r="AU983" i="20"/>
  <c r="AU982" i="20"/>
  <c r="AU981" i="20"/>
  <c r="AU980" i="20"/>
  <c r="AU979" i="20"/>
  <c r="AU978" i="20"/>
  <c r="AU977" i="20"/>
  <c r="AU974" i="20"/>
  <c r="AU973" i="20"/>
  <c r="AU972" i="20"/>
  <c r="AU971" i="20"/>
  <c r="AU970" i="20"/>
  <c r="AU969" i="20"/>
  <c r="AU968" i="20"/>
  <c r="AU967" i="20"/>
  <c r="AU966" i="20"/>
  <c r="AU965" i="20"/>
  <c r="AU960" i="20"/>
  <c r="AU959" i="20"/>
  <c r="AU957" i="20"/>
  <c r="AU958" i="20"/>
  <c r="AU956" i="20"/>
  <c r="AU955" i="20"/>
  <c r="AU954" i="20"/>
  <c r="AU953" i="20"/>
  <c r="AU952" i="20"/>
  <c r="AU951" i="20"/>
  <c r="AU950" i="20"/>
  <c r="AU949" i="20"/>
  <c r="AU948" i="20"/>
  <c r="AU947" i="20"/>
  <c r="AU946" i="20"/>
  <c r="AU943" i="20"/>
  <c r="AU942" i="20"/>
  <c r="AU941" i="20"/>
  <c r="AU940" i="20"/>
  <c r="AU945" i="20"/>
  <c r="AU939" i="20"/>
  <c r="AU938" i="20"/>
  <c r="AU937" i="20"/>
  <c r="AU936" i="20"/>
  <c r="AU935" i="20"/>
  <c r="AU944" i="20"/>
  <c r="AU934" i="20"/>
  <c r="AU933" i="20"/>
  <c r="AU932" i="20"/>
  <c r="AU931" i="20"/>
  <c r="AU930" i="20"/>
  <c r="AU929" i="20"/>
  <c r="AU928" i="20"/>
  <c r="AU927" i="20"/>
  <c r="AU926" i="20"/>
  <c r="AU925" i="20"/>
  <c r="AU923" i="20"/>
  <c r="AU922" i="20"/>
  <c r="AU921" i="20"/>
  <c r="AU920" i="20"/>
  <c r="AU919" i="20"/>
  <c r="AU918" i="20"/>
  <c r="AU917" i="20"/>
  <c r="AU916" i="20"/>
  <c r="AU915" i="20"/>
  <c r="AU914" i="20"/>
  <c r="AU913" i="20"/>
  <c r="AU912" i="20"/>
  <c r="AU911" i="20"/>
  <c r="AU910" i="20"/>
  <c r="AU909" i="20"/>
  <c r="AU908" i="20"/>
  <c r="AU907" i="20"/>
  <c r="AU906" i="20"/>
  <c r="AU905" i="20"/>
  <c r="AU903" i="20"/>
  <c r="AU902" i="20"/>
  <c r="AU901" i="20"/>
  <c r="AU900" i="20"/>
  <c r="AU899" i="20"/>
  <c r="AU898" i="20"/>
  <c r="AU897" i="20"/>
  <c r="AU896" i="20"/>
  <c r="AU895" i="20"/>
  <c r="AU894" i="20"/>
  <c r="AU893" i="20"/>
  <c r="AU892" i="20"/>
  <c r="AU891" i="20"/>
  <c r="AU890" i="20"/>
  <c r="AU889" i="20"/>
  <c r="AU882" i="20"/>
  <c r="AU881" i="20"/>
  <c r="AU880" i="20"/>
  <c r="AU879" i="20"/>
  <c r="AU878" i="20"/>
  <c r="AU877" i="20"/>
  <c r="AU876" i="20"/>
  <c r="AU875" i="20"/>
  <c r="AU871" i="20"/>
  <c r="AU870" i="20"/>
  <c r="AU869" i="20"/>
  <c r="AU864" i="20"/>
  <c r="AU862" i="20"/>
  <c r="AU860" i="20"/>
  <c r="AU859" i="20"/>
  <c r="AU858" i="20"/>
  <c r="AU857" i="20"/>
  <c r="AU854" i="20"/>
  <c r="AU853" i="20"/>
  <c r="AU852" i="20"/>
  <c r="AU855" i="20"/>
  <c r="AU784" i="20"/>
  <c r="AU777" i="20"/>
  <c r="AU775" i="20"/>
  <c r="AU773" i="20"/>
  <c r="AU766" i="20"/>
  <c r="AU765" i="20"/>
  <c r="AU768" i="20"/>
  <c r="AU764" i="20"/>
  <c r="AU763" i="20"/>
  <c r="AU762" i="20"/>
  <c r="AU767" i="20"/>
  <c r="AU761" i="20"/>
  <c r="AU760" i="20"/>
  <c r="AU759" i="20"/>
  <c r="AU758" i="20"/>
  <c r="AU757" i="20"/>
  <c r="AU751" i="20"/>
  <c r="AU756" i="20"/>
  <c r="AU750" i="20"/>
  <c r="AU755" i="20"/>
  <c r="AU754" i="20"/>
  <c r="AU753" i="20"/>
  <c r="AU749" i="20"/>
  <c r="AU752" i="20"/>
  <c r="AU747" i="20"/>
  <c r="AU748" i="20"/>
  <c r="AU746" i="20"/>
  <c r="AU745" i="20"/>
  <c r="AU739" i="20"/>
  <c r="AU738" i="20"/>
  <c r="AU744" i="20"/>
  <c r="AU743" i="20"/>
  <c r="AU742" i="20"/>
  <c r="AU737" i="20"/>
  <c r="AU741" i="20"/>
  <c r="AU740" i="20"/>
  <c r="AU736" i="20"/>
  <c r="AU735" i="20"/>
  <c r="AU732" i="20"/>
  <c r="AU731" i="20"/>
  <c r="AU730" i="20"/>
  <c r="AU734" i="20"/>
  <c r="AU728" i="20"/>
  <c r="AU724" i="20"/>
  <c r="AU719" i="20"/>
  <c r="AU718" i="20"/>
  <c r="AU716" i="20"/>
  <c r="AU715" i="20"/>
  <c r="AU717" i="20"/>
  <c r="AU714" i="20"/>
  <c r="AU710" i="20"/>
  <c r="AU713" i="20"/>
  <c r="AU709" i="20"/>
  <c r="AU712" i="20"/>
  <c r="AU708" i="20"/>
  <c r="AU711" i="20"/>
  <c r="AU707" i="20"/>
  <c r="AU706" i="20"/>
  <c r="AU705" i="20"/>
  <c r="AU703" i="20"/>
  <c r="AU702" i="20"/>
  <c r="AU692" i="20"/>
  <c r="AU691" i="20"/>
  <c r="AU690" i="20"/>
  <c r="AU688" i="20"/>
  <c r="AU689" i="20"/>
  <c r="AU686" i="20"/>
  <c r="AU684" i="20"/>
  <c r="AU683" i="20"/>
  <c r="AU682" i="20"/>
  <c r="AU681" i="20"/>
  <c r="AU680" i="20"/>
  <c r="AU679" i="20"/>
  <c r="AU678" i="20"/>
  <c r="AU677" i="20"/>
  <c r="AU676" i="20"/>
  <c r="AU675" i="20"/>
  <c r="AU674" i="20"/>
  <c r="AU673" i="20"/>
  <c r="AU672" i="20"/>
  <c r="AU671" i="20"/>
  <c r="AU670" i="20"/>
  <c r="AU669" i="20"/>
  <c r="AU668" i="20"/>
  <c r="AU667" i="20"/>
  <c r="AU666" i="20"/>
  <c r="AU665" i="20"/>
  <c r="AU664" i="20"/>
  <c r="AU663" i="20"/>
  <c r="AU662" i="20"/>
  <c r="AU661" i="20"/>
  <c r="AU660" i="20"/>
  <c r="AU659" i="20"/>
  <c r="AU655" i="20"/>
  <c r="AU658" i="20"/>
  <c r="AU654" i="20"/>
  <c r="AU653" i="20"/>
  <c r="AU652" i="20"/>
  <c r="AU656" i="20"/>
  <c r="AU651" i="20"/>
  <c r="AU650" i="20"/>
  <c r="AU649" i="20"/>
  <c r="AU648" i="20"/>
  <c r="AU647" i="20"/>
  <c r="AU646" i="20"/>
  <c r="AU657" i="20"/>
  <c r="AU645" i="20"/>
  <c r="AU644" i="20"/>
  <c r="AU643" i="20"/>
  <c r="AU642" i="20"/>
  <c r="AU641" i="20"/>
  <c r="AU640" i="20"/>
  <c r="AU639" i="20"/>
  <c r="AU638" i="20"/>
  <c r="AU637" i="20"/>
  <c r="AU636" i="20"/>
  <c r="AU635" i="20"/>
  <c r="AU632" i="20"/>
  <c r="AU631" i="20"/>
  <c r="AU629" i="20"/>
  <c r="AU627" i="20"/>
  <c r="AU625" i="20"/>
  <c r="AU623" i="20"/>
  <c r="AU621" i="20"/>
  <c r="AU616" i="20"/>
  <c r="AU611" i="20"/>
  <c r="AU609" i="20"/>
  <c r="AU607" i="20"/>
  <c r="AU606" i="20"/>
  <c r="AU604" i="20"/>
  <c r="AU600" i="20"/>
  <c r="AU601" i="20"/>
  <c r="AU598" i="20"/>
  <c r="AU596" i="20"/>
  <c r="AU595" i="20"/>
  <c r="AU594" i="20"/>
  <c r="AU585" i="20"/>
  <c r="AU583" i="20"/>
  <c r="AU582" i="20"/>
  <c r="AU581" i="20"/>
  <c r="AU579" i="20"/>
  <c r="AU563" i="20"/>
  <c r="AU554" i="20"/>
  <c r="AU521" i="20"/>
  <c r="AU513" i="20"/>
  <c r="AU511" i="20"/>
  <c r="AU507" i="20"/>
  <c r="AU504" i="20"/>
  <c r="AU502" i="20"/>
  <c r="AU500" i="20"/>
  <c r="AU499" i="20"/>
  <c r="AU498" i="20"/>
  <c r="AU483" i="20"/>
  <c r="AU474" i="20"/>
  <c r="AU469" i="20"/>
  <c r="AU467" i="20"/>
  <c r="AU464" i="20"/>
  <c r="AU460" i="20"/>
  <c r="AU453" i="20"/>
  <c r="AU448" i="20"/>
  <c r="AU445" i="20"/>
  <c r="AU444" i="20"/>
  <c r="AU434" i="20"/>
  <c r="AU421" i="20"/>
  <c r="AU420" i="20"/>
  <c r="AU419" i="20"/>
  <c r="AU418" i="20"/>
  <c r="AU415" i="20"/>
  <c r="AU414" i="20"/>
  <c r="AU413" i="20"/>
  <c r="AU412" i="20"/>
  <c r="AU417" i="20"/>
  <c r="AU416" i="20"/>
  <c r="AU409" i="20"/>
  <c r="AU408" i="20"/>
  <c r="AU406" i="20"/>
  <c r="AU405" i="20"/>
  <c r="AU402" i="20"/>
  <c r="AU401" i="20"/>
  <c r="AU400" i="20"/>
  <c r="AU398" i="20"/>
  <c r="AU399" i="20"/>
  <c r="AU397" i="20"/>
  <c r="AU395" i="20"/>
  <c r="AU376" i="20"/>
  <c r="AU375" i="20"/>
  <c r="AU374" i="20"/>
  <c r="AU373" i="20"/>
  <c r="AU372" i="20"/>
  <c r="AU371" i="20"/>
  <c r="AU366" i="20"/>
  <c r="AU363" i="20"/>
  <c r="AU358" i="20"/>
  <c r="AU348" i="20"/>
  <c r="AU347" i="20"/>
  <c r="AU346" i="20"/>
  <c r="AU344" i="20"/>
  <c r="AU343" i="20"/>
  <c r="AU342" i="20"/>
  <c r="AU341" i="20"/>
  <c r="AU340" i="20"/>
  <c r="AU339" i="20"/>
  <c r="AU338" i="20"/>
  <c r="AU337" i="20"/>
  <c r="AU336" i="20"/>
  <c r="AU335" i="20"/>
  <c r="AU334" i="20"/>
  <c r="AU333" i="20"/>
  <c r="AU332" i="20"/>
  <c r="AU331" i="20"/>
  <c r="AU330" i="20"/>
  <c r="AU323" i="20"/>
  <c r="AU322" i="20"/>
  <c r="AU321" i="20"/>
  <c r="AU320" i="20"/>
  <c r="AU319" i="20"/>
  <c r="AU318" i="20"/>
  <c r="AU317" i="20"/>
  <c r="AU316" i="20"/>
  <c r="AU315" i="20"/>
  <c r="AU314" i="20"/>
  <c r="AU313" i="20"/>
  <c r="AU312" i="20"/>
  <c r="AU311" i="20"/>
  <c r="AU310" i="20"/>
  <c r="AU309" i="20"/>
  <c r="AU308" i="20"/>
  <c r="AU307" i="20"/>
  <c r="AU306" i="20"/>
  <c r="AU305" i="20"/>
  <c r="AU295" i="20"/>
  <c r="AU304" i="20"/>
  <c r="AU303" i="20"/>
  <c r="AU302" i="20"/>
  <c r="AU301" i="20"/>
  <c r="AU300" i="20"/>
  <c r="AU299" i="20"/>
  <c r="AU298" i="20"/>
  <c r="AU297" i="20"/>
  <c r="AU296" i="20"/>
  <c r="AU293" i="20"/>
  <c r="AU292" i="20"/>
  <c r="AU291" i="20"/>
  <c r="AU290" i="20"/>
  <c r="AU289" i="20"/>
  <c r="AU288" i="20"/>
  <c r="AU287" i="20"/>
  <c r="AU294" i="20"/>
  <c r="AU286" i="20"/>
  <c r="AU285" i="20"/>
  <c r="AU284" i="20"/>
  <c r="AU283" i="20"/>
  <c r="AU282" i="20"/>
  <c r="AU281" i="20"/>
  <c r="AU280" i="20"/>
  <c r="AU263" i="20"/>
  <c r="AU262" i="20"/>
  <c r="AU261" i="20"/>
  <c r="AU260" i="20"/>
  <c r="AU259" i="20"/>
  <c r="AU258" i="20"/>
  <c r="AU257" i="20"/>
  <c r="AU256" i="20"/>
  <c r="AU254" i="20"/>
  <c r="AU253" i="20"/>
  <c r="AU251" i="20"/>
  <c r="AU250" i="20"/>
  <c r="AU249" i="20"/>
  <c r="AU248" i="20"/>
  <c r="AU247" i="20"/>
  <c r="AU246" i="20"/>
  <c r="AU245" i="20"/>
  <c r="AU244" i="20"/>
  <c r="AU243" i="20"/>
  <c r="AU242" i="20"/>
  <c r="AU237" i="20"/>
  <c r="AU236" i="20"/>
  <c r="AU235" i="20"/>
  <c r="AU234" i="20"/>
  <c r="AU222" i="20"/>
  <c r="AU221" i="20"/>
  <c r="AU220" i="20"/>
  <c r="AU219" i="20"/>
  <c r="AU218" i="20"/>
  <c r="AU217" i="20"/>
  <c r="AU216" i="20"/>
  <c r="AU213" i="20"/>
  <c r="AU201" i="20"/>
  <c r="AU202" i="20"/>
  <c r="AU200" i="20"/>
  <c r="AU199" i="20"/>
  <c r="AU197" i="20"/>
  <c r="AU196" i="20"/>
  <c r="AU198" i="20"/>
  <c r="AU195" i="20"/>
  <c r="AU194" i="20"/>
  <c r="AU193" i="20"/>
  <c r="AU190" i="20"/>
  <c r="AU192" i="20"/>
  <c r="AU191" i="20"/>
  <c r="AU188" i="20"/>
  <c r="AU189" i="20"/>
  <c r="AU185" i="20"/>
  <c r="AU176" i="20"/>
  <c r="AU175" i="20"/>
  <c r="AU170" i="20"/>
  <c r="AU173" i="20"/>
  <c r="AU172" i="20"/>
  <c r="AU169" i="20"/>
  <c r="AU168" i="20"/>
  <c r="AU163" i="20"/>
  <c r="AU166" i="20"/>
  <c r="AU165" i="20"/>
  <c r="AU167" i="20"/>
  <c r="AU164" i="20"/>
  <c r="AU161" i="20"/>
  <c r="AU159" i="20"/>
  <c r="AU158" i="20"/>
  <c r="AU157" i="20"/>
  <c r="AU156" i="20"/>
  <c r="AU144" i="20"/>
  <c r="AU139" i="20"/>
  <c r="AU138" i="20"/>
  <c r="AU136" i="20"/>
  <c r="AU135" i="20"/>
  <c r="AU128" i="20"/>
  <c r="AU127" i="20"/>
  <c r="AU126" i="20"/>
  <c r="AU125" i="20"/>
  <c r="AU124" i="20"/>
  <c r="AU123" i="20"/>
  <c r="AU122" i="20"/>
  <c r="AU121" i="20"/>
  <c r="AU120" i="20"/>
  <c r="AU119" i="20"/>
  <c r="AU118" i="20"/>
  <c r="AU117" i="20"/>
  <c r="AU116" i="20"/>
  <c r="AU115" i="20"/>
  <c r="AU114" i="20"/>
  <c r="AU113" i="20"/>
  <c r="AU109" i="20"/>
  <c r="AU105" i="20"/>
  <c r="AS1104" i="20"/>
  <c r="AS1105" i="20"/>
  <c r="AS1103" i="20"/>
  <c r="AS1102" i="20"/>
  <c r="AS1101" i="20"/>
  <c r="AS1100" i="20"/>
  <c r="AS1099" i="20"/>
  <c r="AS1098" i="20"/>
  <c r="AS1097" i="20"/>
  <c r="AS1096" i="20"/>
  <c r="AS1094" i="20"/>
  <c r="AS1095" i="20"/>
  <c r="AS1093" i="20"/>
  <c r="AS1092" i="20"/>
  <c r="AS1090" i="20"/>
  <c r="AS1089" i="20"/>
  <c r="AS1088" i="20"/>
  <c r="AS1086" i="20"/>
  <c r="AS1085" i="20"/>
  <c r="AS1084" i="20"/>
  <c r="AS1087" i="20"/>
  <c r="AS1083" i="20"/>
  <c r="AS1082" i="20"/>
  <c r="AS1081" i="20"/>
  <c r="AS1080" i="20"/>
  <c r="AS1079" i="20"/>
  <c r="AS1078" i="20"/>
  <c r="AS1077" i="20"/>
  <c r="AS1076" i="20"/>
  <c r="AS1075" i="20"/>
  <c r="AS1074" i="20"/>
  <c r="AS1073" i="20"/>
  <c r="AS1072" i="20"/>
  <c r="AS1071" i="20"/>
  <c r="AS1070" i="20"/>
  <c r="AS1069" i="20"/>
  <c r="AS1068" i="20"/>
  <c r="AS1067" i="20"/>
  <c r="AS1066" i="20"/>
  <c r="AS1065" i="20"/>
  <c r="AS1063" i="20"/>
  <c r="AS1062" i="20"/>
  <c r="AS1058" i="20"/>
  <c r="AS1057" i="20"/>
  <c r="AS1056" i="20"/>
  <c r="AS1055" i="20"/>
  <c r="AS1054" i="20"/>
  <c r="AS1053" i="20"/>
  <c r="AS1064" i="20"/>
  <c r="AS1061" i="20"/>
  <c r="AS1060" i="20"/>
  <c r="AS1059" i="20"/>
  <c r="AS1052" i="20"/>
  <c r="AS1050" i="20"/>
  <c r="AS1047" i="20"/>
  <c r="AS1045" i="20"/>
  <c r="AS1033" i="20"/>
  <c r="AS1032" i="20"/>
  <c r="AS1031" i="20"/>
  <c r="AS1030" i="20"/>
  <c r="AS1029" i="20"/>
  <c r="AS1023" i="20"/>
  <c r="AS1022" i="20"/>
  <c r="AS1020" i="20"/>
  <c r="AS1019" i="20"/>
  <c r="AS1018" i="20"/>
  <c r="AS1017" i="20"/>
  <c r="AS1021" i="20"/>
  <c r="AS1016" i="20"/>
  <c r="AS1015" i="20"/>
  <c r="AS1014" i="20"/>
  <c r="AS1013" i="20"/>
  <c r="AS1012" i="20"/>
  <c r="AS1011" i="20"/>
  <c r="AS1010" i="20"/>
  <c r="AS1008" i="20"/>
  <c r="AS1007" i="20"/>
  <c r="AS1006" i="20"/>
  <c r="AS1005" i="20"/>
  <c r="AS1004" i="20"/>
  <c r="AS1003" i="20"/>
  <c r="AS1001" i="20"/>
  <c r="AS999" i="20"/>
  <c r="AS998" i="20"/>
  <c r="AS1000" i="20"/>
  <c r="AS997" i="20"/>
  <c r="AS996" i="20"/>
  <c r="AS995" i="20"/>
  <c r="AS993" i="20"/>
  <c r="AS992" i="20"/>
  <c r="AS994" i="20"/>
  <c r="AS991" i="20"/>
  <c r="AS990" i="20"/>
  <c r="AS989" i="20"/>
  <c r="AS988" i="20"/>
  <c r="AS987" i="20"/>
  <c r="AS986" i="20"/>
  <c r="AS985" i="20"/>
  <c r="AS984" i="20"/>
  <c r="AS983" i="20"/>
  <c r="AS982" i="20"/>
  <c r="AS981" i="20"/>
  <c r="AS980" i="20"/>
  <c r="AS979" i="20"/>
  <c r="AS978" i="20"/>
  <c r="AS977" i="20"/>
  <c r="AS974" i="20"/>
  <c r="AS973" i="20"/>
  <c r="AS972" i="20"/>
  <c r="AS971" i="20"/>
  <c r="AS970" i="20"/>
  <c r="AS969" i="20"/>
  <c r="AS968" i="20"/>
  <c r="AS967" i="20"/>
  <c r="AS966" i="20"/>
  <c r="AS965" i="20"/>
  <c r="AS960" i="20"/>
  <c r="AS959" i="20"/>
  <c r="AS957" i="20"/>
  <c r="AS958" i="20"/>
  <c r="AS956" i="20"/>
  <c r="AS955" i="20"/>
  <c r="AS954" i="20"/>
  <c r="AS953" i="20"/>
  <c r="AS952" i="20"/>
  <c r="AS951" i="20"/>
  <c r="AS950" i="20"/>
  <c r="AS949" i="20"/>
  <c r="AS948" i="20"/>
  <c r="AS947" i="20"/>
  <c r="AS946" i="20"/>
  <c r="AS943" i="20"/>
  <c r="AS942" i="20"/>
  <c r="AS941" i="20"/>
  <c r="AS940" i="20"/>
  <c r="AS945" i="20"/>
  <c r="AS939" i="20"/>
  <c r="AS938" i="20"/>
  <c r="AS937" i="20"/>
  <c r="AS936" i="20"/>
  <c r="AS935" i="20"/>
  <c r="AS944" i="20"/>
  <c r="AS934" i="20"/>
  <c r="AS933" i="20"/>
  <c r="AS932" i="20"/>
  <c r="AS931" i="20"/>
  <c r="AS930" i="20"/>
  <c r="AS929" i="20"/>
  <c r="AS928" i="20"/>
  <c r="AS927" i="20"/>
  <c r="AS926" i="20"/>
  <c r="AS925" i="20"/>
  <c r="AS923" i="20"/>
  <c r="AS922" i="20"/>
  <c r="AS921" i="20"/>
  <c r="AS920" i="20"/>
  <c r="AS919" i="20"/>
  <c r="AS918" i="20"/>
  <c r="AS917" i="20"/>
  <c r="AS916" i="20"/>
  <c r="AS915" i="20"/>
  <c r="AS914" i="20"/>
  <c r="AS913" i="20"/>
  <c r="AS912" i="20"/>
  <c r="AS911" i="20"/>
  <c r="AS910" i="20"/>
  <c r="AS909" i="20"/>
  <c r="AS908" i="20"/>
  <c r="AS907" i="20"/>
  <c r="AS906" i="20"/>
  <c r="AS905" i="20"/>
  <c r="AS903" i="20"/>
  <c r="AS902" i="20"/>
  <c r="AS901" i="20"/>
  <c r="AS900" i="20"/>
  <c r="AS899" i="20"/>
  <c r="AS898" i="20"/>
  <c r="AS897" i="20"/>
  <c r="AS896" i="20"/>
  <c r="AS895" i="20"/>
  <c r="AS894" i="20"/>
  <c r="AS893" i="20"/>
  <c r="AS892" i="20"/>
  <c r="AS891" i="20"/>
  <c r="AS890" i="20"/>
  <c r="AS889" i="20"/>
  <c r="AS882" i="20"/>
  <c r="AS881" i="20"/>
  <c r="AS880" i="20"/>
  <c r="AS879" i="20"/>
  <c r="AS878" i="20"/>
  <c r="AS877" i="20"/>
  <c r="AS876" i="20"/>
  <c r="AS875" i="20"/>
  <c r="AS871" i="20"/>
  <c r="AS870" i="20"/>
  <c r="AS869" i="20"/>
  <c r="AS864" i="20"/>
  <c r="AS862" i="20"/>
  <c r="AS860" i="20"/>
  <c r="AS859" i="20"/>
  <c r="AS858" i="20"/>
  <c r="AS857" i="20"/>
  <c r="AS854" i="20"/>
  <c r="AS853" i="20"/>
  <c r="AS852" i="20"/>
  <c r="AS855" i="20"/>
  <c r="AS784" i="20"/>
  <c r="AS777" i="20"/>
  <c r="AS775" i="20"/>
  <c r="AS773" i="20"/>
  <c r="AS766" i="20"/>
  <c r="AS765" i="20"/>
  <c r="AS768" i="20"/>
  <c r="AS764" i="20"/>
  <c r="AS763" i="20"/>
  <c r="AS762" i="20"/>
  <c r="AS767" i="20"/>
  <c r="AS761" i="20"/>
  <c r="AS760" i="20"/>
  <c r="AS759" i="20"/>
  <c r="AS758" i="20"/>
  <c r="AS757" i="20"/>
  <c r="AS751" i="20"/>
  <c r="AS756" i="20"/>
  <c r="AS750" i="20"/>
  <c r="AS755" i="20"/>
  <c r="AS754" i="20"/>
  <c r="AS753" i="20"/>
  <c r="AS749" i="20"/>
  <c r="AS752" i="20"/>
  <c r="AS747" i="20"/>
  <c r="AS748" i="20"/>
  <c r="AS746" i="20"/>
  <c r="AS745" i="20"/>
  <c r="AS739" i="20"/>
  <c r="AS738" i="20"/>
  <c r="AS744" i="20"/>
  <c r="AS743" i="20"/>
  <c r="AS742" i="20"/>
  <c r="AS737" i="20"/>
  <c r="AS741" i="20"/>
  <c r="AS740" i="20"/>
  <c r="AS736" i="20"/>
  <c r="AS735" i="20"/>
  <c r="AS732" i="20"/>
  <c r="AS731" i="20"/>
  <c r="AS730" i="20"/>
  <c r="AS734" i="20"/>
  <c r="AS728" i="20"/>
  <c r="AS724" i="20"/>
  <c r="AS719" i="20"/>
  <c r="AS718" i="20"/>
  <c r="AS716" i="20"/>
  <c r="AS715" i="20"/>
  <c r="AS717" i="20"/>
  <c r="AS714" i="20"/>
  <c r="AS710" i="20"/>
  <c r="AS713" i="20"/>
  <c r="AS709" i="20"/>
  <c r="AS712" i="20"/>
  <c r="AS708" i="20"/>
  <c r="AS711" i="20"/>
  <c r="AS707" i="20"/>
  <c r="AS706" i="20"/>
  <c r="AS705" i="20"/>
  <c r="AS703" i="20"/>
  <c r="AS702" i="20"/>
  <c r="AS692" i="20"/>
  <c r="AS691" i="20"/>
  <c r="AS690" i="20"/>
  <c r="AS688" i="20"/>
  <c r="AS689" i="20"/>
  <c r="AS686" i="20"/>
  <c r="AS684" i="20"/>
  <c r="AS683" i="20"/>
  <c r="AS682" i="20"/>
  <c r="AS681" i="20"/>
  <c r="AS680" i="20"/>
  <c r="AS679" i="20"/>
  <c r="AS678" i="20"/>
  <c r="AS677" i="20"/>
  <c r="AS676" i="20"/>
  <c r="AS675" i="20"/>
  <c r="AS674" i="20"/>
  <c r="AS673" i="20"/>
  <c r="AS672" i="20"/>
  <c r="AS671" i="20"/>
  <c r="AS670" i="20"/>
  <c r="AS669" i="20"/>
  <c r="AS668" i="20"/>
  <c r="AS667" i="20"/>
  <c r="AS666" i="20"/>
  <c r="AS665" i="20"/>
  <c r="AS664" i="20"/>
  <c r="AS663" i="20"/>
  <c r="AS662" i="20"/>
  <c r="AS661" i="20"/>
  <c r="AS660" i="20"/>
  <c r="AS659" i="20"/>
  <c r="AS655" i="20"/>
  <c r="AS658" i="20"/>
  <c r="AS654" i="20"/>
  <c r="AS653" i="20"/>
  <c r="AS652" i="20"/>
  <c r="AS656" i="20"/>
  <c r="AS651" i="20"/>
  <c r="AS650" i="20"/>
  <c r="AS649" i="20"/>
  <c r="AS648" i="20"/>
  <c r="AS647" i="20"/>
  <c r="AS646" i="20"/>
  <c r="AS657" i="20"/>
  <c r="AS645" i="20"/>
  <c r="AS644" i="20"/>
  <c r="AS643" i="20"/>
  <c r="AS642" i="20"/>
  <c r="AS641" i="20"/>
  <c r="AS640" i="20"/>
  <c r="AS639" i="20"/>
  <c r="AS638" i="20"/>
  <c r="AS637" i="20"/>
  <c r="AS636" i="20"/>
  <c r="AS635" i="20"/>
  <c r="AS632" i="20"/>
  <c r="AS631" i="20"/>
  <c r="AS629" i="20"/>
  <c r="AS627" i="20"/>
  <c r="AS625" i="20"/>
  <c r="AS623" i="20"/>
  <c r="AS621" i="20"/>
  <c r="AS616" i="20"/>
  <c r="AS611" i="20"/>
  <c r="AS609" i="20"/>
  <c r="AS607" i="20"/>
  <c r="AS606" i="20"/>
  <c r="AS604" i="20"/>
  <c r="AS600" i="20"/>
  <c r="AS601" i="20"/>
  <c r="AS598" i="20"/>
  <c r="AS596" i="20"/>
  <c r="AS595" i="20"/>
  <c r="AS594" i="20"/>
  <c r="AS585" i="20"/>
  <c r="AS583" i="20"/>
  <c r="AS582" i="20"/>
  <c r="AS581" i="20"/>
  <c r="AS579" i="20"/>
  <c r="AS563" i="20"/>
  <c r="AS554" i="20"/>
  <c r="AS521" i="20"/>
  <c r="AS513" i="20"/>
  <c r="AS511" i="20"/>
  <c r="AS507" i="20"/>
  <c r="AS504" i="20"/>
  <c r="AS502" i="20"/>
  <c r="AS500" i="20"/>
  <c r="AS499" i="20"/>
  <c r="AS498" i="20"/>
  <c r="AS483" i="20"/>
  <c r="AS474" i="20"/>
  <c r="AS469" i="20"/>
  <c r="AS467" i="20"/>
  <c r="AS464" i="20"/>
  <c r="AS460" i="20"/>
  <c r="AS453" i="20"/>
  <c r="AS448" i="20"/>
  <c r="AS445" i="20"/>
  <c r="AS444" i="20"/>
  <c r="AS434" i="20"/>
  <c r="AS421" i="20"/>
  <c r="AS420" i="20"/>
  <c r="AS419" i="20"/>
  <c r="AS418" i="20"/>
  <c r="AS415" i="20"/>
  <c r="AS414" i="20"/>
  <c r="AS413" i="20"/>
  <c r="AS412" i="20"/>
  <c r="AS417" i="20"/>
  <c r="AS416" i="20"/>
  <c r="AS409" i="20"/>
  <c r="AS408" i="20"/>
  <c r="AS406" i="20"/>
  <c r="AS405" i="20"/>
  <c r="AS402" i="20"/>
  <c r="AS401" i="20"/>
  <c r="AS400" i="20"/>
  <c r="AS398" i="20"/>
  <c r="AS399" i="20"/>
  <c r="AS397" i="20"/>
  <c r="AS395" i="20"/>
  <c r="AS376" i="20"/>
  <c r="AS375" i="20"/>
  <c r="AS374" i="20"/>
  <c r="AS373" i="20"/>
  <c r="AS372" i="20"/>
  <c r="AS371" i="20"/>
  <c r="AS366" i="20"/>
  <c r="AS363" i="20"/>
  <c r="AS358" i="20"/>
  <c r="AS348" i="20"/>
  <c r="AS347" i="20"/>
  <c r="AS346" i="20"/>
  <c r="AS344" i="20"/>
  <c r="AS343" i="20"/>
  <c r="AS342" i="20"/>
  <c r="AS341" i="20"/>
  <c r="AS340" i="20"/>
  <c r="AS339" i="20"/>
  <c r="AS338" i="20"/>
  <c r="AS337" i="20"/>
  <c r="AS336" i="20"/>
  <c r="AS335" i="20"/>
  <c r="AS334" i="20"/>
  <c r="AS333" i="20"/>
  <c r="AS332" i="20"/>
  <c r="AS331" i="20"/>
  <c r="AS330" i="20"/>
  <c r="AS323" i="20"/>
  <c r="AS322" i="20"/>
  <c r="AS321" i="20"/>
  <c r="AS320" i="20"/>
  <c r="AS319" i="20"/>
  <c r="AS318" i="20"/>
  <c r="AS317" i="20"/>
  <c r="AS316" i="20"/>
  <c r="AS315" i="20"/>
  <c r="AS314" i="20"/>
  <c r="AS313" i="20"/>
  <c r="AS312" i="20"/>
  <c r="AS311" i="20"/>
  <c r="AS310" i="20"/>
  <c r="AS309" i="20"/>
  <c r="AS308" i="20"/>
  <c r="AS307" i="20"/>
  <c r="AS306" i="20"/>
  <c r="AS305" i="20"/>
  <c r="AS295" i="20"/>
  <c r="AS304" i="20"/>
  <c r="AS303" i="20"/>
  <c r="AS302" i="20"/>
  <c r="AS301" i="20"/>
  <c r="AS300" i="20"/>
  <c r="AS299" i="20"/>
  <c r="AS298" i="20"/>
  <c r="AS297" i="20"/>
  <c r="AS296" i="20"/>
  <c r="AS293" i="20"/>
  <c r="AS292" i="20"/>
  <c r="AS291" i="20"/>
  <c r="AS290" i="20"/>
  <c r="AS289" i="20"/>
  <c r="AS288" i="20"/>
  <c r="AS287" i="20"/>
  <c r="AS294" i="20"/>
  <c r="AS286" i="20"/>
  <c r="AS285" i="20"/>
  <c r="AS284" i="20"/>
  <c r="AS283" i="20"/>
  <c r="AS282" i="20"/>
  <c r="AS281" i="20"/>
  <c r="AS280" i="20"/>
  <c r="AS263" i="20"/>
  <c r="AS262" i="20"/>
  <c r="AS261" i="20"/>
  <c r="AS260" i="20"/>
  <c r="AS259" i="20"/>
  <c r="AS258" i="20"/>
  <c r="AS257" i="20"/>
  <c r="AS256" i="20"/>
  <c r="AS254" i="20"/>
  <c r="AS253" i="20"/>
  <c r="AS251" i="20"/>
  <c r="AS250" i="20"/>
  <c r="AS249" i="20"/>
  <c r="AS248" i="20"/>
  <c r="AS247" i="20"/>
  <c r="AS246" i="20"/>
  <c r="AS245" i="20"/>
  <c r="AS244" i="20"/>
  <c r="AS243" i="20"/>
  <c r="AS242" i="20"/>
  <c r="AS237" i="20"/>
  <c r="AS236" i="20"/>
  <c r="AS235" i="20"/>
  <c r="AS234" i="20"/>
  <c r="AS222" i="20"/>
  <c r="AS221" i="20"/>
  <c r="AS220" i="20"/>
  <c r="AS219" i="20"/>
  <c r="AS218" i="20"/>
  <c r="AS217" i="20"/>
  <c r="AS216" i="20"/>
  <c r="AS213" i="20"/>
  <c r="AS201" i="20"/>
  <c r="AS202" i="20"/>
  <c r="AS200" i="20"/>
  <c r="AS199" i="20"/>
  <c r="AS197" i="20"/>
  <c r="AS196" i="20"/>
  <c r="AS198" i="20"/>
  <c r="AS195" i="20"/>
  <c r="AS194" i="20"/>
  <c r="AS193" i="20"/>
  <c r="AS190" i="20"/>
  <c r="AS192" i="20"/>
  <c r="AS191" i="20"/>
  <c r="AS188" i="20"/>
  <c r="AS189" i="20"/>
  <c r="AS185" i="20"/>
  <c r="AS176" i="20"/>
  <c r="AS175" i="20"/>
  <c r="AS170" i="20"/>
  <c r="AS173" i="20"/>
  <c r="AS172" i="20"/>
  <c r="AS169" i="20"/>
  <c r="AS168" i="20"/>
  <c r="AS163" i="20"/>
  <c r="AS166" i="20"/>
  <c r="AS165" i="20"/>
  <c r="AS167" i="20"/>
  <c r="AS164" i="20"/>
  <c r="AS161" i="20"/>
  <c r="AS159" i="20"/>
  <c r="AS158" i="20"/>
  <c r="AS157" i="20"/>
  <c r="AS156" i="20"/>
  <c r="AS144" i="20"/>
  <c r="AS139" i="20"/>
  <c r="AS138" i="20"/>
  <c r="AS136" i="20"/>
  <c r="AS135" i="20"/>
  <c r="AS128" i="20"/>
  <c r="AS127" i="20"/>
  <c r="AS126" i="20"/>
  <c r="AS125" i="20"/>
  <c r="AS124" i="20"/>
  <c r="AS123" i="20"/>
  <c r="AS122" i="20"/>
  <c r="AS121" i="20"/>
  <c r="AS120" i="20"/>
  <c r="AS119" i="20"/>
  <c r="AS118" i="20"/>
  <c r="AS117" i="20"/>
  <c r="AS116" i="20"/>
  <c r="AS115" i="20"/>
  <c r="AS114" i="20"/>
  <c r="AS113" i="20"/>
  <c r="AS109" i="20"/>
  <c r="AS105" i="20"/>
  <c r="A118" i="20"/>
  <c r="AA118" i="20" s="1"/>
  <c r="A123" i="20"/>
  <c r="A105" i="20"/>
  <c r="AG105" i="20" s="1"/>
  <c r="A109" i="20"/>
  <c r="AI109" i="20" s="1"/>
  <c r="A113" i="20"/>
  <c r="AP113" i="20" s="1"/>
  <c r="A114" i="20"/>
  <c r="A115" i="20"/>
  <c r="A116" i="20"/>
  <c r="AC116" i="20" s="1"/>
  <c r="A117" i="20"/>
  <c r="AD117" i="20" s="1"/>
  <c r="A119" i="20"/>
  <c r="AA119" i="20" s="1"/>
  <c r="A120" i="20"/>
  <c r="AA120" i="20" s="1"/>
  <c r="A121" i="20"/>
  <c r="A122" i="20"/>
  <c r="AD122" i="20" s="1"/>
  <c r="A124" i="20"/>
  <c r="AF124" i="20" s="1"/>
  <c r="A125" i="20"/>
  <c r="AF125" i="20" s="1"/>
  <c r="A126" i="20"/>
  <c r="AL126" i="20" s="1"/>
  <c r="A127" i="20"/>
  <c r="AE127" i="20" s="1"/>
  <c r="A128" i="20"/>
  <c r="A135" i="20"/>
  <c r="AK135" i="20" s="1"/>
  <c r="A136" i="20"/>
  <c r="Y136" i="20" s="1"/>
  <c r="A138" i="20"/>
  <c r="AE138" i="20" s="1"/>
  <c r="A139" i="20"/>
  <c r="AK139" i="20" s="1"/>
  <c r="A144" i="20"/>
  <c r="A156" i="20"/>
  <c r="AJ156" i="20" s="1"/>
  <c r="A157" i="20"/>
  <c r="AE157" i="20" s="1"/>
  <c r="A158" i="20"/>
  <c r="AL158" i="20" s="1"/>
  <c r="A159" i="20"/>
  <c r="AL159" i="20" s="1"/>
  <c r="A161" i="20"/>
  <c r="AI161" i="20" s="1"/>
  <c r="A164" i="20"/>
  <c r="AN164" i="20" s="1"/>
  <c r="A167" i="20"/>
  <c r="AC167" i="20" s="1"/>
  <c r="A165" i="20"/>
  <c r="A166" i="20"/>
  <c r="AC166" i="20" s="1"/>
  <c r="A163" i="20"/>
  <c r="AN163" i="20" s="1"/>
  <c r="A168" i="20"/>
  <c r="AI168" i="20" s="1"/>
  <c r="A169" i="20"/>
  <c r="AI169" i="20" s="1"/>
  <c r="A172" i="20"/>
  <c r="AJ172" i="20" s="1"/>
  <c r="A173" i="20"/>
  <c r="AL173" i="20" s="1"/>
  <c r="A170" i="20"/>
  <c r="AP170" i="20" s="1"/>
  <c r="A175" i="20"/>
  <c r="AG175" i="20" s="1"/>
  <c r="A176" i="20"/>
  <c r="Y176" i="20" s="1"/>
  <c r="A185" i="20"/>
  <c r="A189" i="20"/>
  <c r="AF189" i="20" s="1"/>
  <c r="A188" i="20"/>
  <c r="A191" i="20"/>
  <c r="AD191" i="20" s="1"/>
  <c r="A192" i="20"/>
  <c r="A190" i="20"/>
  <c r="AI190" i="20" s="1"/>
  <c r="A193" i="20"/>
  <c r="A194" i="20"/>
  <c r="AB194" i="20" s="1"/>
  <c r="A195" i="20"/>
  <c r="AC195" i="20" s="1"/>
  <c r="A198" i="20"/>
  <c r="AJ198" i="20" s="1"/>
  <c r="A196" i="20"/>
  <c r="A197" i="20"/>
  <c r="AN197" i="20" s="1"/>
  <c r="A199" i="20"/>
  <c r="AJ199" i="20" s="1"/>
  <c r="A200" i="20"/>
  <c r="Y200" i="20" s="1"/>
  <c r="A202" i="20"/>
  <c r="A201" i="20"/>
  <c r="Z201" i="20" s="1"/>
  <c r="A203" i="20"/>
  <c r="AL203" i="20" s="1"/>
  <c r="A204" i="20"/>
  <c r="A205" i="20"/>
  <c r="A206" i="20"/>
  <c r="AC206" i="20" s="1"/>
  <c r="A207" i="20"/>
  <c r="Z207" i="20" s="1"/>
  <c r="A208" i="20"/>
  <c r="AK208" i="20" s="1"/>
  <c r="A209" i="20"/>
  <c r="A210" i="20"/>
  <c r="AI210" i="20" s="1"/>
  <c r="A211" i="20"/>
  <c r="A212" i="20"/>
  <c r="AO212" i="20" s="1"/>
  <c r="A214" i="20"/>
  <c r="Y214" i="20" s="1"/>
  <c r="A215" i="20"/>
  <c r="Y215" i="20" s="1"/>
  <c r="A213" i="20"/>
  <c r="AL213" i="20" s="1"/>
  <c r="A216" i="20"/>
  <c r="A217" i="20"/>
  <c r="AG217" i="20" s="1"/>
  <c r="A218" i="20"/>
  <c r="A219" i="20"/>
  <c r="AF219" i="20" s="1"/>
  <c r="A220" i="20"/>
  <c r="A221" i="20"/>
  <c r="A222" i="20"/>
  <c r="AB222" i="20" s="1"/>
  <c r="A234" i="20"/>
  <c r="AB234" i="20" s="1"/>
  <c r="A235" i="20"/>
  <c r="AP235" i="20" s="1"/>
  <c r="A236" i="20"/>
  <c r="A237" i="20"/>
  <c r="A239" i="20"/>
  <c r="AG239" i="20" s="1"/>
  <c r="A240" i="20"/>
  <c r="A238" i="20"/>
  <c r="AL238" i="20" s="1"/>
  <c r="A241" i="20"/>
  <c r="Z241" i="20" s="1"/>
  <c r="A242" i="20"/>
  <c r="AI242" i="20" s="1"/>
  <c r="A243" i="20"/>
  <c r="A244" i="20"/>
  <c r="A245" i="20"/>
  <c r="Z245" i="20" s="1"/>
  <c r="A246" i="20"/>
  <c r="AO246" i="20" s="1"/>
  <c r="A247" i="20"/>
  <c r="A248" i="20"/>
  <c r="AG248" i="20" s="1"/>
  <c r="A249" i="20"/>
  <c r="A250" i="20"/>
  <c r="A251" i="20"/>
  <c r="A253" i="20"/>
  <c r="AL253" i="20" s="1"/>
  <c r="A254" i="20"/>
  <c r="AD254" i="20" s="1"/>
  <c r="A252" i="20"/>
  <c r="AB252" i="20" s="1"/>
  <c r="A255" i="20"/>
  <c r="AD255" i="20" s="1"/>
  <c r="A256" i="20"/>
  <c r="A257" i="20"/>
  <c r="AC257" i="20" s="1"/>
  <c r="A258" i="20"/>
  <c r="Y258" i="20" s="1"/>
  <c r="A259" i="20"/>
  <c r="AP259" i="20" s="1"/>
  <c r="A260" i="20"/>
  <c r="Z260" i="20" s="1"/>
  <c r="A261" i="20"/>
  <c r="A262" i="20"/>
  <c r="A263" i="20"/>
  <c r="A264" i="20"/>
  <c r="A265" i="20"/>
  <c r="AH265" i="20" s="1"/>
  <c r="A266" i="20"/>
  <c r="AD266" i="20" s="1"/>
  <c r="A267" i="20"/>
  <c r="A268" i="20"/>
  <c r="A274" i="20"/>
  <c r="Z274" i="20" s="1"/>
  <c r="A269" i="20"/>
  <c r="A270" i="20"/>
  <c r="AP270" i="20" s="1"/>
  <c r="A271" i="20"/>
  <c r="A272" i="20"/>
  <c r="A273" i="20"/>
  <c r="A275" i="20"/>
  <c r="A276" i="20"/>
  <c r="AN276" i="20" s="1"/>
  <c r="A277" i="20"/>
  <c r="AE277" i="20" s="1"/>
  <c r="A278" i="20"/>
  <c r="A279" i="20"/>
  <c r="AB279" i="20" s="1"/>
  <c r="A280" i="20"/>
  <c r="AA280" i="20" s="1"/>
  <c r="A281" i="20"/>
  <c r="AD281" i="20" s="1"/>
  <c r="A282" i="20"/>
  <c r="AH282" i="20" s="1"/>
  <c r="A283" i="20"/>
  <c r="A284" i="20"/>
  <c r="AI284" i="20" s="1"/>
  <c r="A285" i="20"/>
  <c r="AL285" i="20" s="1"/>
  <c r="A286" i="20"/>
  <c r="Z286" i="20" s="1"/>
  <c r="A294" i="20"/>
  <c r="A287" i="20"/>
  <c r="A288" i="20"/>
  <c r="AB288" i="20" s="1"/>
  <c r="A289" i="20"/>
  <c r="A290" i="20"/>
  <c r="A291" i="20"/>
  <c r="A292" i="20"/>
  <c r="A293" i="20"/>
  <c r="Z293" i="20" s="1"/>
  <c r="A296" i="20"/>
  <c r="A297" i="20"/>
  <c r="AG297" i="20" s="1"/>
  <c r="A298" i="20"/>
  <c r="A299" i="20"/>
  <c r="AH299" i="20" s="1"/>
  <c r="A300" i="20"/>
  <c r="Z300" i="20" s="1"/>
  <c r="A301" i="20"/>
  <c r="AB301" i="20" s="1"/>
  <c r="A302" i="20"/>
  <c r="Y302" i="20" s="1"/>
  <c r="A303" i="20"/>
  <c r="AJ303" i="20" s="1"/>
  <c r="A304" i="20"/>
  <c r="AC304" i="20" s="1"/>
  <c r="A295" i="20"/>
  <c r="AI295" i="20" s="1"/>
  <c r="A305" i="20"/>
  <c r="AF305" i="20" s="1"/>
  <c r="A306" i="20"/>
  <c r="Y306" i="20" s="1"/>
  <c r="A307" i="20"/>
  <c r="A308" i="20"/>
  <c r="AK308" i="20" s="1"/>
  <c r="A309" i="20"/>
  <c r="AF309" i="20" s="1"/>
  <c r="A310" i="20"/>
  <c r="AE310" i="20" s="1"/>
  <c r="A311" i="20"/>
  <c r="AP311" i="20" s="1"/>
  <c r="A312" i="20"/>
  <c r="A313" i="20"/>
  <c r="Y313" i="20" s="1"/>
  <c r="A314" i="20"/>
  <c r="AN314" i="20" s="1"/>
  <c r="A315" i="20"/>
  <c r="AP315" i="20" s="1"/>
  <c r="A316" i="20"/>
  <c r="Z316" i="20" s="1"/>
  <c r="A317" i="20"/>
  <c r="A318" i="20"/>
  <c r="A319" i="20"/>
  <c r="A320" i="20"/>
  <c r="A321" i="20"/>
  <c r="A322" i="20"/>
  <c r="AG322" i="20" s="1"/>
  <c r="A323" i="20"/>
  <c r="Z323" i="20" s="1"/>
  <c r="A324" i="20"/>
  <c r="AL324" i="20" s="1"/>
  <c r="A325" i="20"/>
  <c r="A326" i="20"/>
  <c r="AD326" i="20" s="1"/>
  <c r="A327" i="20"/>
  <c r="A328" i="20"/>
  <c r="AE328" i="20" s="1"/>
  <c r="A329" i="20"/>
  <c r="Z329" i="20" s="1"/>
  <c r="A330" i="20"/>
  <c r="A331" i="20"/>
  <c r="A332" i="20"/>
  <c r="Z332" i="20" s="1"/>
  <c r="A333" i="20"/>
  <c r="AO333" i="20" s="1"/>
  <c r="A334" i="20"/>
  <c r="A335" i="20"/>
  <c r="AO335" i="20" s="1"/>
  <c r="A336" i="20"/>
  <c r="AA336" i="20" s="1"/>
  <c r="A337" i="20"/>
  <c r="AB337" i="20" s="1"/>
  <c r="A338" i="20"/>
  <c r="AL338" i="20" s="1"/>
  <c r="A339" i="20"/>
  <c r="AO339" i="20" s="1"/>
  <c r="A340" i="20"/>
  <c r="AK340" i="20" s="1"/>
  <c r="A341" i="20"/>
  <c r="AF341" i="20" s="1"/>
  <c r="A342" i="20"/>
  <c r="AH342" i="20" s="1"/>
  <c r="A343" i="20"/>
  <c r="AJ343" i="20" s="1"/>
  <c r="A344" i="20"/>
  <c r="AB344" i="20" s="1"/>
  <c r="A345" i="20"/>
  <c r="Z345" i="20" s="1"/>
  <c r="A346" i="20"/>
  <c r="AH346" i="20" s="1"/>
  <c r="A347" i="20"/>
  <c r="AI347" i="20" s="1"/>
  <c r="A348" i="20"/>
  <c r="AA348" i="20" s="1"/>
  <c r="A349" i="20"/>
  <c r="AB349" i="20" s="1"/>
  <c r="A350" i="20"/>
  <c r="A351" i="20"/>
  <c r="A352" i="20"/>
  <c r="A353" i="20"/>
  <c r="AE353" i="20" s="1"/>
  <c r="A354" i="20"/>
  <c r="AK354" i="20" s="1"/>
  <c r="A355" i="20"/>
  <c r="A356" i="20"/>
  <c r="Z356" i="20" s="1"/>
  <c r="A357" i="20"/>
  <c r="AJ357" i="20" s="1"/>
  <c r="A358" i="20"/>
  <c r="AF358" i="20" s="1"/>
  <c r="A359" i="20"/>
  <c r="A360" i="20"/>
  <c r="A361" i="20"/>
  <c r="A362" i="20"/>
  <c r="AO362" i="20" s="1"/>
  <c r="A363" i="20"/>
  <c r="AC363" i="20" s="1"/>
  <c r="A364" i="20"/>
  <c r="AI364" i="20" s="1"/>
  <c r="A365" i="20"/>
  <c r="AE365" i="20" s="1"/>
  <c r="A366" i="20"/>
  <c r="A367" i="20"/>
  <c r="AH367" i="20" s="1"/>
  <c r="A368" i="20"/>
  <c r="A369" i="20"/>
  <c r="AN369" i="20" s="1"/>
  <c r="A370" i="20"/>
  <c r="A371" i="20"/>
  <c r="A372" i="20"/>
  <c r="AE372" i="20" s="1"/>
  <c r="A373" i="20"/>
  <c r="A374" i="20"/>
  <c r="AJ374" i="20" s="1"/>
  <c r="A375" i="20"/>
  <c r="AI375" i="20" s="1"/>
  <c r="A376" i="20"/>
  <c r="A377" i="20"/>
  <c r="A378" i="20"/>
  <c r="Y378" i="20" s="1"/>
  <c r="A379" i="20"/>
  <c r="AG379" i="20" s="1"/>
  <c r="A380" i="20"/>
  <c r="A381" i="20"/>
  <c r="A382" i="20"/>
  <c r="AO382" i="20" s="1"/>
  <c r="A383" i="20"/>
  <c r="AK383" i="20" s="1"/>
  <c r="A384" i="20"/>
  <c r="Y384" i="20" s="1"/>
  <c r="A385" i="20"/>
  <c r="AN385" i="20" s="1"/>
  <c r="A386" i="20"/>
  <c r="AI386" i="20" s="1"/>
  <c r="A387" i="20"/>
  <c r="AB387" i="20" s="1"/>
  <c r="A388" i="20"/>
  <c r="AG388" i="20" s="1"/>
  <c r="A389" i="20"/>
  <c r="Y389" i="20" s="1"/>
  <c r="A390" i="20"/>
  <c r="AJ390" i="20" s="1"/>
  <c r="A391" i="20"/>
  <c r="AP391" i="20" s="1"/>
  <c r="A392" i="20"/>
  <c r="AE392" i="20" s="1"/>
  <c r="A393" i="20"/>
  <c r="AE393" i="20" s="1"/>
  <c r="A394" i="20"/>
  <c r="AA394" i="20" s="1"/>
  <c r="A395" i="20"/>
  <c r="A396" i="20"/>
  <c r="AA396" i="20" s="1"/>
  <c r="A397" i="20"/>
  <c r="Z397" i="20" s="1"/>
  <c r="A399" i="20"/>
  <c r="A398" i="20"/>
  <c r="AN398" i="20" s="1"/>
  <c r="A400" i="20"/>
  <c r="A401" i="20"/>
  <c r="A402" i="20"/>
  <c r="AP402" i="20" s="1"/>
  <c r="A403" i="20"/>
  <c r="A407" i="20"/>
  <c r="AG407" i="20" s="1"/>
  <c r="A405" i="20"/>
  <c r="A406" i="20"/>
  <c r="AJ406" i="20" s="1"/>
  <c r="A404" i="20"/>
  <c r="AO404" i="20" s="1"/>
  <c r="A408" i="20"/>
  <c r="A409" i="20"/>
  <c r="A410" i="20"/>
  <c r="A411" i="20"/>
  <c r="AD411" i="20" s="1"/>
  <c r="A416" i="20"/>
  <c r="AC416" i="20" s="1"/>
  <c r="A417" i="20"/>
  <c r="Z417" i="20" s="1"/>
  <c r="A412" i="20"/>
  <c r="AO412" i="20" s="1"/>
  <c r="A413" i="20"/>
  <c r="A414" i="20"/>
  <c r="AC414" i="20" s="1"/>
  <c r="A415" i="20"/>
  <c r="A418" i="20"/>
  <c r="A419" i="20"/>
  <c r="A420" i="20"/>
  <c r="AI420" i="20" s="1"/>
  <c r="A421" i="20"/>
  <c r="AL421" i="20" s="1"/>
  <c r="A423" i="20"/>
  <c r="A422" i="20"/>
  <c r="AO422" i="20" s="1"/>
  <c r="A424" i="20"/>
  <c r="A425" i="20"/>
  <c r="A426" i="20"/>
  <c r="AB426" i="20" s="1"/>
  <c r="A427" i="20"/>
  <c r="Z427" i="20" s="1"/>
  <c r="A429" i="20"/>
  <c r="A430" i="20"/>
  <c r="AC430" i="20" s="1"/>
  <c r="A428" i="20"/>
  <c r="AP428" i="20" s="1"/>
  <c r="A431" i="20"/>
  <c r="AN431" i="20" s="1"/>
  <c r="A432" i="20"/>
  <c r="A433" i="20"/>
  <c r="A434" i="20"/>
  <c r="A435" i="20"/>
  <c r="AF435" i="20" s="1"/>
  <c r="A436" i="20"/>
  <c r="Y436" i="20" s="1"/>
  <c r="A437" i="20"/>
  <c r="AJ437" i="20" s="1"/>
  <c r="A438" i="20"/>
  <c r="AE438" i="20" s="1"/>
  <c r="A439" i="20"/>
  <c r="AK439" i="20" s="1"/>
  <c r="A440" i="20"/>
  <c r="AA440" i="20" s="1"/>
  <c r="A441" i="20"/>
  <c r="A442" i="20"/>
  <c r="AG442" i="20" s="1"/>
  <c r="A443" i="20"/>
  <c r="AJ443" i="20" s="1"/>
  <c r="A444" i="20"/>
  <c r="Z444" i="20" s="1"/>
  <c r="A445" i="20"/>
  <c r="AE445" i="20" s="1"/>
  <c r="A446" i="20"/>
  <c r="AE446" i="20" s="1"/>
  <c r="A447" i="20"/>
  <c r="A448" i="20"/>
  <c r="A449" i="20"/>
  <c r="AG449" i="20" s="1"/>
  <c r="A450" i="20"/>
  <c r="AA450" i="20" s="1"/>
  <c r="A451" i="20"/>
  <c r="AF451" i="20" s="1"/>
  <c r="A452" i="20"/>
  <c r="A453" i="20"/>
  <c r="AC453" i="20" s="1"/>
  <c r="A455" i="20"/>
  <c r="AH455" i="20" s="1"/>
  <c r="A454" i="20"/>
  <c r="AF454" i="20" s="1"/>
  <c r="A456" i="20"/>
  <c r="A457" i="20"/>
  <c r="AK457" i="20" s="1"/>
  <c r="A458" i="20"/>
  <c r="A459" i="20"/>
  <c r="A460" i="20"/>
  <c r="A461" i="20"/>
  <c r="AN461" i="20" s="1"/>
  <c r="A462" i="20"/>
  <c r="AC462" i="20" s="1"/>
  <c r="A463" i="20"/>
  <c r="A464" i="20"/>
  <c r="AB464" i="20" s="1"/>
  <c r="A465" i="20"/>
  <c r="A466" i="20"/>
  <c r="AE466" i="20" s="1"/>
  <c r="A467" i="20"/>
  <c r="AN467" i="20" s="1"/>
  <c r="A468" i="20"/>
  <c r="A469" i="20"/>
  <c r="AG469" i="20" s="1"/>
  <c r="A471" i="20"/>
  <c r="AP471" i="20" s="1"/>
  <c r="A470" i="20"/>
  <c r="Y470" i="20" s="1"/>
  <c r="A472" i="20"/>
  <c r="A473" i="20"/>
  <c r="AA473" i="20" s="1"/>
  <c r="A474" i="20"/>
  <c r="AK474" i="20" s="1"/>
  <c r="A475" i="20"/>
  <c r="A476" i="20"/>
  <c r="AD476" i="20" s="1"/>
  <c r="A477" i="20"/>
  <c r="A478" i="20"/>
  <c r="A479" i="20"/>
  <c r="Z479" i="20" s="1"/>
  <c r="A480" i="20"/>
  <c r="AK480" i="20" s="1"/>
  <c r="A481" i="20"/>
  <c r="Y481" i="20" s="1"/>
  <c r="A482" i="20"/>
  <c r="AH482" i="20" s="1"/>
  <c r="A483" i="20"/>
  <c r="AP483" i="20" s="1"/>
  <c r="A484" i="20"/>
  <c r="AE484" i="20" s="1"/>
  <c r="A485" i="20"/>
  <c r="A486" i="20"/>
  <c r="Y486" i="20" s="1"/>
  <c r="A487" i="20"/>
  <c r="AP487" i="20" s="1"/>
  <c r="A488" i="20"/>
  <c r="A489" i="20"/>
  <c r="A490" i="20"/>
  <c r="AF490" i="20" s="1"/>
  <c r="A491" i="20"/>
  <c r="AE491" i="20" s="1"/>
  <c r="A492" i="20"/>
  <c r="Y492" i="20" s="1"/>
  <c r="A493" i="20"/>
  <c r="A494" i="20"/>
  <c r="A495" i="20"/>
  <c r="AN495" i="20" s="1"/>
  <c r="A496" i="20"/>
  <c r="A497" i="20"/>
  <c r="A498" i="20"/>
  <c r="AK498" i="20" s="1"/>
  <c r="A499" i="20"/>
  <c r="A500" i="20"/>
  <c r="Z500" i="20" s="1"/>
  <c r="A501" i="20"/>
  <c r="A502" i="20"/>
  <c r="A503" i="20"/>
  <c r="AP503" i="20" s="1"/>
  <c r="A504" i="20"/>
  <c r="A566" i="20"/>
  <c r="Y566" i="20" s="1"/>
  <c r="A567" i="20"/>
  <c r="A568" i="20"/>
  <c r="AI568" i="20" s="1"/>
  <c r="A569" i="20"/>
  <c r="AC569" i="20" s="1"/>
  <c r="A505" i="20"/>
  <c r="AA505" i="20" s="1"/>
  <c r="A506" i="20"/>
  <c r="A507" i="20"/>
  <c r="AP507" i="20" s="1"/>
  <c r="A534" i="20"/>
  <c r="A508" i="20"/>
  <c r="AD508" i="20" s="1"/>
  <c r="A509" i="20"/>
  <c r="Z509" i="20" s="1"/>
  <c r="A510" i="20"/>
  <c r="AO510" i="20" s="1"/>
  <c r="A511" i="20"/>
  <c r="A512" i="20"/>
  <c r="A513" i="20"/>
  <c r="Z513" i="20" s="1"/>
  <c r="A514" i="20"/>
  <c r="A515" i="20"/>
  <c r="A516" i="20"/>
  <c r="A517" i="20"/>
  <c r="A518" i="20"/>
  <c r="A519" i="20"/>
  <c r="A537" i="20"/>
  <c r="A538" i="20"/>
  <c r="A539" i="20"/>
  <c r="AI539" i="20" s="1"/>
  <c r="A520" i="20"/>
  <c r="AD520" i="20" s="1"/>
  <c r="A521" i="20"/>
  <c r="A522" i="20"/>
  <c r="Y522" i="20" s="1"/>
  <c r="A523" i="20"/>
  <c r="Z523" i="20" s="1"/>
  <c r="A524" i="20"/>
  <c r="A525" i="20"/>
  <c r="A526" i="20"/>
  <c r="AI526" i="20" s="1"/>
  <c r="A527" i="20"/>
  <c r="AB527" i="20" s="1"/>
  <c r="A542" i="20"/>
  <c r="A528" i="20"/>
  <c r="A529" i="20"/>
  <c r="AF529" i="20" s="1"/>
  <c r="A530" i="20"/>
  <c r="A531" i="20"/>
  <c r="AB531" i="20" s="1"/>
  <c r="A532" i="20"/>
  <c r="AK532" i="20" s="1"/>
  <c r="A533" i="20"/>
  <c r="AL533" i="20" s="1"/>
  <c r="A535" i="20"/>
  <c r="AP535" i="20" s="1"/>
  <c r="A536" i="20"/>
  <c r="AD536" i="20" s="1"/>
  <c r="A540" i="20"/>
  <c r="A541" i="20"/>
  <c r="AO541" i="20" s="1"/>
  <c r="A543" i="20"/>
  <c r="AO543" i="20" s="1"/>
  <c r="A547" i="20"/>
  <c r="AN547" i="20" s="1"/>
  <c r="A548" i="20"/>
  <c r="A544" i="20"/>
  <c r="A545" i="20"/>
  <c r="AK545" i="20" s="1"/>
  <c r="A549" i="20"/>
  <c r="A550" i="20"/>
  <c r="A551" i="20"/>
  <c r="AK551" i="20" s="1"/>
  <c r="A546" i="20"/>
  <c r="AG546" i="20" s="1"/>
  <c r="A552" i="20"/>
  <c r="AG552" i="20" s="1"/>
  <c r="A553" i="20"/>
  <c r="AF553" i="20" s="1"/>
  <c r="A554" i="20"/>
  <c r="A555" i="20"/>
  <c r="AI555" i="20" s="1"/>
  <c r="A556" i="20"/>
  <c r="A557" i="20"/>
  <c r="AP557" i="20" s="1"/>
  <c r="A558" i="20"/>
  <c r="A559" i="20"/>
  <c r="Z559" i="20" s="1"/>
  <c r="A560" i="20"/>
  <c r="AK560" i="20" s="1"/>
  <c r="A561" i="20"/>
  <c r="A562" i="20"/>
  <c r="AE562" i="20" s="1"/>
  <c r="A563" i="20"/>
  <c r="A564" i="20"/>
  <c r="AH564" i="20" s="1"/>
  <c r="A565" i="20"/>
  <c r="A572" i="20"/>
  <c r="A573" i="20"/>
  <c r="A574" i="20"/>
  <c r="A575" i="20"/>
  <c r="AF575" i="20" s="1"/>
  <c r="A576" i="20"/>
  <c r="AL576" i="20" s="1"/>
  <c r="A577" i="20"/>
  <c r="AP577" i="20" s="1"/>
  <c r="A570" i="20"/>
  <c r="A571" i="20"/>
  <c r="A578" i="20"/>
  <c r="Y578" i="20" s="1"/>
  <c r="A579" i="20"/>
  <c r="AG579" i="20" s="1"/>
  <c r="A580" i="20"/>
  <c r="A581" i="20"/>
  <c r="Z581" i="20" s="1"/>
  <c r="A582" i="20"/>
  <c r="AA582" i="20" s="1"/>
  <c r="A584" i="20"/>
  <c r="Z584" i="20" s="1"/>
  <c r="A583" i="20"/>
  <c r="A585" i="20"/>
  <c r="AE585" i="20" s="1"/>
  <c r="A586" i="20"/>
  <c r="AJ586" i="20" s="1"/>
  <c r="A587" i="20"/>
  <c r="AP587" i="20" s="1"/>
  <c r="A588" i="20"/>
  <c r="A589" i="20"/>
  <c r="A591" i="20"/>
  <c r="A592" i="20"/>
  <c r="AB592" i="20" s="1"/>
  <c r="A590" i="20"/>
  <c r="A593" i="20"/>
  <c r="AK593" i="20" s="1"/>
  <c r="A594" i="20"/>
  <c r="AL594" i="20" s="1"/>
  <c r="A595" i="20"/>
  <c r="AP595" i="20" s="1"/>
  <c r="A596" i="20"/>
  <c r="AL596" i="20" s="1"/>
  <c r="A597" i="20"/>
  <c r="A598" i="20"/>
  <c r="A599" i="20"/>
  <c r="AC599" i="20" s="1"/>
  <c r="A601" i="20"/>
  <c r="A600" i="20"/>
  <c r="AK600" i="20" s="1"/>
  <c r="A602" i="20"/>
  <c r="Y602" i="20" s="1"/>
  <c r="A603" i="20"/>
  <c r="AK603" i="20" s="1"/>
  <c r="A604" i="20"/>
  <c r="A605" i="20"/>
  <c r="A606" i="20"/>
  <c r="AK606" i="20" s="1"/>
  <c r="A607" i="20"/>
  <c r="A609" i="20"/>
  <c r="A608" i="20"/>
  <c r="A610" i="20"/>
  <c r="AD610" i="20" s="1"/>
  <c r="A611" i="20"/>
  <c r="AD611" i="20" s="1"/>
  <c r="A617" i="20"/>
  <c r="AE617" i="20" s="1"/>
  <c r="A612" i="20"/>
  <c r="AG612" i="20" s="1"/>
  <c r="A613" i="20"/>
  <c r="AJ613" i="20" s="1"/>
  <c r="A614" i="20"/>
  <c r="AI614" i="20" s="1"/>
  <c r="A615" i="20"/>
  <c r="A616" i="20"/>
  <c r="AC616" i="20" s="1"/>
  <c r="A618" i="20"/>
  <c r="A619" i="20"/>
  <c r="AI619" i="20" s="1"/>
  <c r="A620" i="20"/>
  <c r="AK620" i="20" s="1"/>
  <c r="A621" i="20"/>
  <c r="A622" i="20"/>
  <c r="AI622" i="20" s="1"/>
  <c r="A623" i="20"/>
  <c r="AG623" i="20" s="1"/>
  <c r="A624" i="20"/>
  <c r="A625" i="20"/>
  <c r="AB625" i="20" s="1"/>
  <c r="A626" i="20"/>
  <c r="AF626" i="20" s="1"/>
  <c r="A627" i="20"/>
  <c r="AO627" i="20" s="1"/>
  <c r="A628" i="20"/>
  <c r="AF628" i="20" s="1"/>
  <c r="A629" i="20"/>
  <c r="AH629" i="20" s="1"/>
  <c r="A630" i="20"/>
  <c r="A631" i="20"/>
  <c r="A632" i="20"/>
  <c r="AH632" i="20" s="1"/>
  <c r="A633" i="20"/>
  <c r="AJ633" i="20" s="1"/>
  <c r="A634" i="20"/>
  <c r="AE634" i="20" s="1"/>
  <c r="A635" i="20"/>
  <c r="AD635" i="20" s="1"/>
  <c r="A636" i="20"/>
  <c r="AN636" i="20" s="1"/>
  <c r="A637" i="20"/>
  <c r="A638" i="20"/>
  <c r="AH638" i="20" s="1"/>
  <c r="A639" i="20"/>
  <c r="Y639" i="20" s="1"/>
  <c r="A640" i="20"/>
  <c r="A641" i="20"/>
  <c r="A642" i="20"/>
  <c r="AI642" i="20" s="1"/>
  <c r="A643" i="20"/>
  <c r="AE643" i="20" s="1"/>
  <c r="A644" i="20"/>
  <c r="AF644" i="20" s="1"/>
  <c r="A645" i="20"/>
  <c r="A657" i="20"/>
  <c r="AJ657" i="20" s="1"/>
  <c r="A646" i="20"/>
  <c r="AA646" i="20" s="1"/>
  <c r="A647" i="20"/>
  <c r="AA647" i="20" s="1"/>
  <c r="A648" i="20"/>
  <c r="A649" i="20"/>
  <c r="AK649" i="20" s="1"/>
  <c r="A650" i="20"/>
  <c r="A651" i="20"/>
  <c r="Y651" i="20" s="1"/>
  <c r="A656" i="20"/>
  <c r="A652" i="20"/>
  <c r="Y652" i="20" s="1"/>
  <c r="A653" i="20"/>
  <c r="AD653" i="20" s="1"/>
  <c r="A654" i="20"/>
  <c r="A658" i="20"/>
  <c r="AJ658" i="20" s="1"/>
  <c r="A655" i="20"/>
  <c r="AC655" i="20" s="1"/>
  <c r="A659" i="20"/>
  <c r="A660" i="20"/>
  <c r="AL660" i="20" s="1"/>
  <c r="A661" i="20"/>
  <c r="AK661" i="20" s="1"/>
  <c r="A662" i="20"/>
  <c r="AB662" i="20" s="1"/>
  <c r="A663" i="20"/>
  <c r="AE663" i="20" s="1"/>
  <c r="A664" i="20"/>
  <c r="A665" i="20"/>
  <c r="AJ665" i="20" s="1"/>
  <c r="A666" i="20"/>
  <c r="AN666" i="20" s="1"/>
  <c r="A667" i="20"/>
  <c r="AO667" i="20" s="1"/>
  <c r="A668" i="20"/>
  <c r="AK668" i="20" s="1"/>
  <c r="A669" i="20"/>
  <c r="A670" i="20"/>
  <c r="A671" i="20"/>
  <c r="AO671" i="20" s="1"/>
  <c r="A672" i="20"/>
  <c r="A673" i="20"/>
  <c r="AL673" i="20" s="1"/>
  <c r="A674" i="20"/>
  <c r="AH674" i="20" s="1"/>
  <c r="A675" i="20"/>
  <c r="AG675" i="20" s="1"/>
  <c r="A676" i="20"/>
  <c r="A677" i="20"/>
  <c r="A678" i="20"/>
  <c r="A679" i="20"/>
  <c r="AI679" i="20" s="1"/>
  <c r="A680" i="20"/>
  <c r="AB680" i="20" s="1"/>
  <c r="A681" i="20"/>
  <c r="A682" i="20"/>
  <c r="A683" i="20"/>
  <c r="A684" i="20"/>
  <c r="AA684" i="20" s="1"/>
  <c r="A685" i="20"/>
  <c r="A686" i="20"/>
  <c r="Z686" i="20" s="1"/>
  <c r="A687" i="20"/>
  <c r="AI687" i="20" s="1"/>
  <c r="A689" i="20"/>
  <c r="A688" i="20"/>
  <c r="A690" i="20"/>
  <c r="AE690" i="20" s="1"/>
  <c r="A691" i="20"/>
  <c r="AC691" i="20" s="1"/>
  <c r="A692" i="20"/>
  <c r="A694" i="20"/>
  <c r="A693" i="20"/>
  <c r="AG693" i="20" s="1"/>
  <c r="A695" i="20"/>
  <c r="AP695" i="20" s="1"/>
  <c r="A696" i="20"/>
  <c r="Y696" i="20" s="1"/>
  <c r="A697" i="20"/>
  <c r="AB697" i="20" s="1"/>
  <c r="A698" i="20"/>
  <c r="A699" i="20"/>
  <c r="AN699" i="20" s="1"/>
  <c r="A700" i="20"/>
  <c r="AG700" i="20" s="1"/>
  <c r="A701" i="20"/>
  <c r="AD701" i="20" s="1"/>
  <c r="A702" i="20"/>
  <c r="AG702" i="20" s="1"/>
  <c r="A703" i="20"/>
  <c r="AI703" i="20" s="1"/>
  <c r="A704" i="20"/>
  <c r="AI704" i="20" s="1"/>
  <c r="A705" i="20"/>
  <c r="A706" i="20"/>
  <c r="AA706" i="20" s="1"/>
  <c r="A707" i="20"/>
  <c r="AO707" i="20" s="1"/>
  <c r="A711" i="20"/>
  <c r="AK711" i="20" s="1"/>
  <c r="A708" i="20"/>
  <c r="AD708" i="20" s="1"/>
  <c r="A712" i="20"/>
  <c r="A709" i="20"/>
  <c r="AG709" i="20" s="1"/>
  <c r="A713" i="20"/>
  <c r="AB713" i="20" s="1"/>
  <c r="A710" i="20"/>
  <c r="A714" i="20"/>
  <c r="AA714" i="20" s="1"/>
  <c r="A717" i="20"/>
  <c r="A715" i="20"/>
  <c r="AG715" i="20" s="1"/>
  <c r="A716" i="20"/>
  <c r="AN716" i="20" s="1"/>
  <c r="A718" i="20"/>
  <c r="A719" i="20"/>
  <c r="A720" i="20"/>
  <c r="AG720" i="20" s="1"/>
  <c r="A721" i="20"/>
  <c r="AH721" i="20" s="1"/>
  <c r="A722" i="20"/>
  <c r="AP722" i="20" s="1"/>
  <c r="A723" i="20"/>
  <c r="A724" i="20"/>
  <c r="A725" i="20"/>
  <c r="Y725" i="20" s="1"/>
  <c r="A726" i="20"/>
  <c r="A727" i="20"/>
  <c r="Y727" i="20" s="1"/>
  <c r="A728" i="20"/>
  <c r="AK728" i="20" s="1"/>
  <c r="A734" i="20"/>
  <c r="A729" i="20"/>
  <c r="A730" i="20"/>
  <c r="A731" i="20"/>
  <c r="AH731" i="20" s="1"/>
  <c r="A732" i="20"/>
  <c r="A733" i="20"/>
  <c r="AN733" i="20" s="1"/>
  <c r="A735" i="20"/>
  <c r="A736" i="20"/>
  <c r="AE736" i="20" s="1"/>
  <c r="A740" i="20"/>
  <c r="AB740" i="20" s="1"/>
  <c r="A741" i="20"/>
  <c r="AD741" i="20" s="1"/>
  <c r="A737" i="20"/>
  <c r="A742" i="20"/>
  <c r="Y742" i="20" s="1"/>
  <c r="A743" i="20"/>
  <c r="A744" i="20"/>
  <c r="Y744" i="20" s="1"/>
  <c r="A738" i="20"/>
  <c r="AJ738" i="20" s="1"/>
  <c r="A739" i="20"/>
  <c r="AJ739" i="20" s="1"/>
  <c r="A745" i="20"/>
  <c r="A746" i="20"/>
  <c r="A748" i="20"/>
  <c r="AH748" i="20" s="1"/>
  <c r="A747" i="20"/>
  <c r="A752" i="20"/>
  <c r="AH752" i="20" s="1"/>
  <c r="A749" i="20"/>
  <c r="AB749" i="20" s="1"/>
  <c r="A753" i="20"/>
  <c r="AL753" i="20" s="1"/>
  <c r="A754" i="20"/>
  <c r="AK754" i="20" s="1"/>
  <c r="A755" i="20"/>
  <c r="A750" i="20"/>
  <c r="A756" i="20"/>
  <c r="AP756" i="20" s="1"/>
  <c r="A751" i="20"/>
  <c r="A757" i="20"/>
  <c r="AN757" i="20" s="1"/>
  <c r="A758" i="20"/>
  <c r="AF758" i="20" s="1"/>
  <c r="A759" i="20"/>
  <c r="A760" i="20"/>
  <c r="A761" i="20"/>
  <c r="A767" i="20"/>
  <c r="A762" i="20"/>
  <c r="AC762" i="20" s="1"/>
  <c r="A763" i="20"/>
  <c r="AH763" i="20" s="1"/>
  <c r="A764" i="20"/>
  <c r="A768" i="20"/>
  <c r="AG768" i="20" s="1"/>
  <c r="A765" i="20"/>
  <c r="A766" i="20"/>
  <c r="AJ766" i="20" s="1"/>
  <c r="A769" i="20"/>
  <c r="A770" i="20"/>
  <c r="AL770" i="20" s="1"/>
  <c r="A771" i="20"/>
  <c r="A772" i="20"/>
  <c r="A773" i="20"/>
  <c r="A774" i="20"/>
  <c r="A775" i="20"/>
  <c r="AO775" i="20" s="1"/>
  <c r="A776" i="20"/>
  <c r="A777" i="20"/>
  <c r="A778" i="20"/>
  <c r="A779" i="20"/>
  <c r="Z779" i="20" s="1"/>
  <c r="A780" i="20"/>
  <c r="A781" i="20"/>
  <c r="AN781" i="20" s="1"/>
  <c r="A782" i="20"/>
  <c r="Z782" i="20" s="1"/>
  <c r="A783" i="20"/>
  <c r="A784" i="20"/>
  <c r="Y784" i="20" s="1"/>
  <c r="A791" i="20"/>
  <c r="A785" i="20"/>
  <c r="AC785" i="20" s="1"/>
  <c r="A786" i="20"/>
  <c r="AO786" i="20" s="1"/>
  <c r="A787" i="20"/>
  <c r="A788" i="20"/>
  <c r="A789" i="20"/>
  <c r="AD789" i="20" s="1"/>
  <c r="A790" i="20"/>
  <c r="AA790" i="20" s="1"/>
  <c r="A793" i="20"/>
  <c r="AD793" i="20" s="1"/>
  <c r="A794" i="20"/>
  <c r="AA794" i="20" s="1"/>
  <c r="A795" i="20"/>
  <c r="AK795" i="20" s="1"/>
  <c r="A796" i="20"/>
  <c r="AG796" i="20" s="1"/>
  <c r="A797" i="20"/>
  <c r="A798" i="20"/>
  <c r="A799" i="20"/>
  <c r="A792" i="20"/>
  <c r="A800" i="20"/>
  <c r="AN800" i="20" s="1"/>
  <c r="A801" i="20"/>
  <c r="AI801" i="20" s="1"/>
  <c r="A802" i="20"/>
  <c r="AH802" i="20" s="1"/>
  <c r="A803" i="20"/>
  <c r="A804" i="20"/>
  <c r="A805" i="20"/>
  <c r="A806" i="20"/>
  <c r="A807" i="20"/>
  <c r="A809" i="20"/>
  <c r="AB809" i="20" s="1"/>
  <c r="A810" i="20"/>
  <c r="A811" i="20"/>
  <c r="AJ811" i="20" s="1"/>
  <c r="A812" i="20"/>
  <c r="A813" i="20"/>
  <c r="A814" i="20"/>
  <c r="AN814" i="20" s="1"/>
  <c r="A815" i="20"/>
  <c r="A816" i="20"/>
  <c r="A817" i="20"/>
  <c r="AF817" i="20" s="1"/>
  <c r="A832" i="20"/>
  <c r="A818" i="20"/>
  <c r="A833" i="20"/>
  <c r="A819" i="20"/>
  <c r="A820" i="20"/>
  <c r="AF820" i="20" s="1"/>
  <c r="A821" i="20"/>
  <c r="AE821" i="20" s="1"/>
  <c r="A822" i="20"/>
  <c r="A823" i="20"/>
  <c r="A824" i="20"/>
  <c r="AL824" i="20" s="1"/>
  <c r="A825" i="20"/>
  <c r="A835" i="20"/>
  <c r="AO835" i="20" s="1"/>
  <c r="A836" i="20"/>
  <c r="AB836" i="20" s="1"/>
  <c r="A826" i="20"/>
  <c r="A827" i="20"/>
  <c r="AC827" i="20" s="1"/>
  <c r="A837" i="20"/>
  <c r="AN837" i="20" s="1"/>
  <c r="A838" i="20"/>
  <c r="A828" i="20"/>
  <c r="AN828" i="20" s="1"/>
  <c r="A839" i="20"/>
  <c r="AK839" i="20" s="1"/>
  <c r="A840" i="20"/>
  <c r="AB840" i="20" s="1"/>
  <c r="A841" i="20"/>
  <c r="AE841" i="20" s="1"/>
  <c r="A829" i="20"/>
  <c r="AF829" i="20" s="1"/>
  <c r="A830" i="20"/>
  <c r="AD830" i="20" s="1"/>
  <c r="A842" i="20"/>
  <c r="AF842" i="20" s="1"/>
  <c r="A831" i="20"/>
  <c r="AE831" i="20" s="1"/>
  <c r="A834" i="20"/>
  <c r="AG834" i="20" s="1"/>
  <c r="A843" i="20"/>
  <c r="A845" i="20"/>
  <c r="AK845" i="20" s="1"/>
  <c r="A846" i="20"/>
  <c r="A847" i="20"/>
  <c r="AH847" i="20" s="1"/>
  <c r="A848" i="20"/>
  <c r="AB848" i="20" s="1"/>
  <c r="A849" i="20"/>
  <c r="AG849" i="20" s="1"/>
  <c r="A844" i="20"/>
  <c r="A850" i="20"/>
  <c r="AJ850" i="20" s="1"/>
  <c r="A851" i="20"/>
  <c r="A855" i="20"/>
  <c r="AA855" i="20" s="1"/>
  <c r="A852" i="20"/>
  <c r="A853" i="20"/>
  <c r="A854" i="20"/>
  <c r="A857" i="20"/>
  <c r="A858" i="20"/>
  <c r="AC858" i="20" s="1"/>
  <c r="A859" i="20"/>
  <c r="AA859" i="20" s="1"/>
  <c r="A860" i="20"/>
  <c r="AG860" i="20" s="1"/>
  <c r="A862" i="20"/>
  <c r="A863" i="20"/>
  <c r="AB863" i="20" s="1"/>
  <c r="A864" i="20"/>
  <c r="AJ864" i="20" s="1"/>
  <c r="A865" i="20"/>
  <c r="AJ865" i="20" s="1"/>
  <c r="A866" i="20"/>
  <c r="A867" i="20"/>
  <c r="AF867" i="20" s="1"/>
  <c r="A868" i="20"/>
  <c r="AF868" i="20" s="1"/>
  <c r="A869" i="20"/>
  <c r="AB869" i="20" s="1"/>
  <c r="A870" i="20"/>
  <c r="A871" i="20"/>
  <c r="Y871" i="20" s="1"/>
  <c r="A875" i="20"/>
  <c r="AK875" i="20" s="1"/>
  <c r="A876" i="20"/>
  <c r="AE876" i="20" s="1"/>
  <c r="A877" i="20"/>
  <c r="A878" i="20"/>
  <c r="A879" i="20"/>
  <c r="AF879" i="20" s="1"/>
  <c r="A880" i="20"/>
  <c r="A881" i="20"/>
  <c r="AE881" i="20" s="1"/>
  <c r="A882" i="20"/>
  <c r="AE882" i="20" s="1"/>
  <c r="A889" i="20"/>
  <c r="Y889" i="20" s="1"/>
  <c r="A890" i="20"/>
  <c r="AI890" i="20" s="1"/>
  <c r="A891" i="20"/>
  <c r="A892" i="20"/>
  <c r="A893" i="20"/>
  <c r="A894" i="20"/>
  <c r="A895" i="20"/>
  <c r="A896" i="20"/>
  <c r="AE896" i="20" s="1"/>
  <c r="A897" i="20"/>
  <c r="AD897" i="20" s="1"/>
  <c r="A898" i="20"/>
  <c r="AN898" i="20" s="1"/>
  <c r="A899" i="20"/>
  <c r="AF899" i="20" s="1"/>
  <c r="A900" i="20"/>
  <c r="AE900" i="20" s="1"/>
  <c r="A901" i="20"/>
  <c r="A902" i="20"/>
  <c r="AP902" i="20" s="1"/>
  <c r="A903" i="20"/>
  <c r="A905" i="20"/>
  <c r="AB905" i="20" s="1"/>
  <c r="A906" i="20"/>
  <c r="AJ906" i="20" s="1"/>
  <c r="A907" i="20"/>
  <c r="AD907" i="20" s="1"/>
  <c r="A908" i="20"/>
  <c r="AA908" i="20" s="1"/>
  <c r="A909" i="20"/>
  <c r="A910" i="20"/>
  <c r="A911" i="20"/>
  <c r="A912" i="20"/>
  <c r="A913" i="20"/>
  <c r="A914" i="20"/>
  <c r="AN914" i="20" s="1"/>
  <c r="A915" i="20"/>
  <c r="AA915" i="20" s="1"/>
  <c r="A916" i="20"/>
  <c r="AF916" i="20" s="1"/>
  <c r="A917" i="20"/>
  <c r="A918" i="20"/>
  <c r="AN918" i="20" s="1"/>
  <c r="A919" i="20"/>
  <c r="AI919" i="20" s="1"/>
  <c r="A920" i="20"/>
  <c r="A921" i="20"/>
  <c r="A922" i="20"/>
  <c r="AG922" i="20" s="1"/>
  <c r="A923" i="20"/>
  <c r="A925" i="20"/>
  <c r="AC925" i="20" s="1"/>
  <c r="A926" i="20"/>
  <c r="AD926" i="20" s="1"/>
  <c r="A927" i="20"/>
  <c r="AK927" i="20" s="1"/>
  <c r="A928" i="20"/>
  <c r="AE928" i="20" s="1"/>
  <c r="A929" i="20"/>
  <c r="AI929" i="20" s="1"/>
  <c r="A930" i="20"/>
  <c r="AE930" i="20" s="1"/>
  <c r="A931" i="20"/>
  <c r="AI931" i="20" s="1"/>
  <c r="A932" i="20"/>
  <c r="AO932" i="20" s="1"/>
  <c r="A933" i="20"/>
  <c r="A934" i="20"/>
  <c r="AF934" i="20" s="1"/>
  <c r="A944" i="20"/>
  <c r="AL944" i="20" s="1"/>
  <c r="A935" i="20"/>
  <c r="AO935" i="20" s="1"/>
  <c r="A936" i="20"/>
  <c r="AF936" i="20" s="1"/>
  <c r="A937" i="20"/>
  <c r="A938" i="20"/>
  <c r="A939" i="20"/>
  <c r="A945" i="20"/>
  <c r="AD945" i="20" s="1"/>
  <c r="A940" i="20"/>
  <c r="A941" i="20"/>
  <c r="AJ941" i="20" s="1"/>
  <c r="A942" i="20"/>
  <c r="AB942" i="20" s="1"/>
  <c r="A943" i="20"/>
  <c r="A946" i="20"/>
  <c r="AF946" i="20" s="1"/>
  <c r="A947" i="20"/>
  <c r="AH947" i="20" s="1"/>
  <c r="A948" i="20"/>
  <c r="A949" i="20"/>
  <c r="AG949" i="20" s="1"/>
  <c r="A950" i="20"/>
  <c r="A951" i="20"/>
  <c r="AC951" i="20" s="1"/>
  <c r="A952" i="20"/>
  <c r="AO952" i="20" s="1"/>
  <c r="A953" i="20"/>
  <c r="A954" i="20"/>
  <c r="AN954" i="20" s="1"/>
  <c r="A955" i="20"/>
  <c r="AF955" i="20" s="1"/>
  <c r="A956" i="20"/>
  <c r="AH956" i="20" s="1"/>
  <c r="A958" i="20"/>
  <c r="A957" i="20"/>
  <c r="A959" i="20"/>
  <c r="AB959" i="20" s="1"/>
  <c r="A960" i="20"/>
  <c r="AD960" i="20" s="1"/>
  <c r="A965" i="20"/>
  <c r="Y965" i="20" s="1"/>
  <c r="A966" i="20"/>
  <c r="A967" i="20"/>
  <c r="AL967" i="20" s="1"/>
  <c r="A968" i="20"/>
  <c r="AA968" i="20" s="1"/>
  <c r="A969" i="20"/>
  <c r="AG969" i="20" s="1"/>
  <c r="A970" i="20"/>
  <c r="AJ970" i="20" s="1"/>
  <c r="A971" i="20"/>
  <c r="A972" i="20"/>
  <c r="AN972" i="20" s="1"/>
  <c r="A973" i="20"/>
  <c r="A974" i="20"/>
  <c r="A977" i="20"/>
  <c r="AE977" i="20" s="1"/>
  <c r="A978" i="20"/>
  <c r="A979" i="20"/>
  <c r="A980" i="20"/>
  <c r="A981" i="20"/>
  <c r="AB981" i="20" s="1"/>
  <c r="A982" i="20"/>
  <c r="AO982" i="20" s="1"/>
  <c r="A983" i="20"/>
  <c r="A984" i="20"/>
  <c r="AN984" i="20" s="1"/>
  <c r="A985" i="20"/>
  <c r="AN985" i="20" s="1"/>
  <c r="A986" i="20"/>
  <c r="AB986" i="20" s="1"/>
  <c r="A987" i="20"/>
  <c r="A988" i="20"/>
  <c r="AC988" i="20" s="1"/>
  <c r="A989" i="20"/>
  <c r="AJ989" i="20" s="1"/>
  <c r="A990" i="20"/>
  <c r="AP990" i="20" s="1"/>
  <c r="A991" i="20"/>
  <c r="A994" i="20"/>
  <c r="AL994" i="20" s="1"/>
  <c r="A992" i="20"/>
  <c r="AE992" i="20" s="1"/>
  <c r="A993" i="20"/>
  <c r="AI993" i="20" s="1"/>
  <c r="A995" i="20"/>
  <c r="A996" i="20"/>
  <c r="AA996" i="20" s="1"/>
  <c r="A997" i="20"/>
  <c r="Y997" i="20" s="1"/>
  <c r="A1000" i="20"/>
  <c r="AE1000" i="20" s="1"/>
  <c r="A998" i="20"/>
  <c r="Y998" i="20" s="1"/>
  <c r="A999" i="20"/>
  <c r="Y999" i="20" s="1"/>
  <c r="A1001" i="20"/>
  <c r="AI1001" i="20" s="1"/>
  <c r="A1003" i="20"/>
  <c r="A1004" i="20"/>
  <c r="AD1004" i="20" s="1"/>
  <c r="A1005" i="20"/>
  <c r="AG1005" i="20" s="1"/>
  <c r="A1006" i="20"/>
  <c r="AF1006" i="20" s="1"/>
  <c r="A1007" i="20"/>
  <c r="A1008" i="20"/>
  <c r="A1010" i="20"/>
  <c r="AD1010" i="20" s="1"/>
  <c r="A1011" i="20"/>
  <c r="A1012" i="20"/>
  <c r="AP1012" i="20" s="1"/>
  <c r="A1013" i="20"/>
  <c r="AN1013" i="20" s="1"/>
  <c r="A1014" i="20"/>
  <c r="AG1014" i="20" s="1"/>
  <c r="A1015" i="20"/>
  <c r="AN1015" i="20" s="1"/>
  <c r="A1016" i="20"/>
  <c r="Y1016" i="20" s="1"/>
  <c r="A1021" i="20"/>
  <c r="AE1021" i="20" s="1"/>
  <c r="A1017" i="20"/>
  <c r="AI1017" i="20" s="1"/>
  <c r="A1018" i="20"/>
  <c r="AA1018" i="20" s="1"/>
  <c r="A1019" i="20"/>
  <c r="AK1019" i="20" s="1"/>
  <c r="A1020" i="20"/>
  <c r="Z1020" i="20" s="1"/>
  <c r="A1022" i="20"/>
  <c r="A1023" i="20"/>
  <c r="A1029" i="20"/>
  <c r="AD1029" i="20" s="1"/>
  <c r="A1030" i="20"/>
  <c r="A1031" i="20"/>
  <c r="AJ1031" i="20" s="1"/>
  <c r="A1032" i="20"/>
  <c r="AK1032" i="20" s="1"/>
  <c r="A1033" i="20"/>
  <c r="A1045" i="20"/>
  <c r="A1047" i="20"/>
  <c r="AH1047" i="20" s="1"/>
  <c r="A1050" i="20"/>
  <c r="AD1050" i="20" s="1"/>
  <c r="A1052" i="20"/>
  <c r="AB1052" i="20" s="1"/>
  <c r="A1059" i="20"/>
  <c r="A1060" i="20"/>
  <c r="A1061" i="20"/>
  <c r="Z1061" i="20" s="1"/>
  <c r="A1064" i="20"/>
  <c r="A1053" i="20"/>
  <c r="AO1053" i="20" s="1"/>
  <c r="A1054" i="20"/>
  <c r="AK1054" i="20" s="1"/>
  <c r="A1055" i="20"/>
  <c r="A1056" i="20"/>
  <c r="AH1056" i="20" s="1"/>
  <c r="A1057" i="20"/>
  <c r="AL1057" i="20" s="1"/>
  <c r="A1058" i="20"/>
  <c r="A1062" i="20"/>
  <c r="Z1062" i="20" s="1"/>
  <c r="A1063" i="20"/>
  <c r="AC1063" i="20" s="1"/>
  <c r="A1065" i="20"/>
  <c r="A1066" i="20"/>
  <c r="A1067" i="20"/>
  <c r="AI1067" i="20" s="1"/>
  <c r="A1068" i="20"/>
  <c r="A1069" i="20"/>
  <c r="Z1069" i="20" s="1"/>
  <c r="A1070" i="20"/>
  <c r="AK1070" i="20" s="1"/>
  <c r="A1071" i="20"/>
  <c r="Y1071" i="20" s="1"/>
  <c r="A1072" i="20"/>
  <c r="A1073" i="20"/>
  <c r="AO1073" i="20" s="1"/>
  <c r="A1074" i="20"/>
  <c r="Y1074" i="20" s="1"/>
  <c r="A1075" i="20"/>
  <c r="AH1075" i="20" s="1"/>
  <c r="A1076" i="20"/>
  <c r="AB1076" i="20" s="1"/>
  <c r="A1077" i="20"/>
  <c r="A1078" i="20"/>
  <c r="AC1078" i="20" s="1"/>
  <c r="A1079" i="20"/>
  <c r="AF1079" i="20" s="1"/>
  <c r="A1080" i="20"/>
  <c r="AP1080" i="20" s="1"/>
  <c r="A1081" i="20"/>
  <c r="A1082" i="20"/>
  <c r="A1083" i="20"/>
  <c r="AE1083" i="20" s="1"/>
  <c r="A1087" i="20"/>
  <c r="AC1087" i="20" s="1"/>
  <c r="A1084" i="20"/>
  <c r="AJ1084" i="20" s="1"/>
  <c r="A1085" i="20"/>
  <c r="A1086" i="20"/>
  <c r="A1088" i="20"/>
  <c r="Z1088" i="20" s="1"/>
  <c r="A1089" i="20"/>
  <c r="AP1089" i="20" s="1"/>
  <c r="A1090" i="20"/>
  <c r="AD1090" i="20" s="1"/>
  <c r="A1091" i="20"/>
  <c r="Y1091" i="20" s="1"/>
  <c r="A1092" i="20"/>
  <c r="AL1092" i="20" s="1"/>
  <c r="A1093" i="20"/>
  <c r="AN1093" i="20" s="1"/>
  <c r="A1095" i="20"/>
  <c r="AG1095" i="20" s="1"/>
  <c r="A1094" i="20"/>
  <c r="AF1094" i="20" s="1"/>
  <c r="A1096" i="20"/>
  <c r="A1097" i="20"/>
  <c r="AG1097" i="20" s="1"/>
  <c r="A1098" i="20"/>
  <c r="A1099" i="20"/>
  <c r="A1100" i="20"/>
  <c r="AA1100" i="20" s="1"/>
  <c r="A1101" i="20"/>
  <c r="A1102" i="20"/>
  <c r="A1103" i="20"/>
  <c r="AK1103" i="20" s="1"/>
  <c r="A1105" i="20"/>
  <c r="AC1105" i="20" s="1"/>
  <c r="A1106" i="20"/>
  <c r="AH1106" i="20" s="1"/>
  <c r="A1104" i="20"/>
  <c r="AD1104" i="20" s="1"/>
  <c r="A1107" i="20"/>
  <c r="A1108" i="20"/>
  <c r="A1109" i="20"/>
  <c r="A1110" i="20"/>
  <c r="AN1110" i="20" s="1"/>
  <c r="A1111" i="20"/>
  <c r="AK1111" i="20" s="1"/>
  <c r="A1112" i="20"/>
  <c r="AD1112" i="20" s="1"/>
  <c r="A28" i="20"/>
  <c r="AO28" i="20" s="1"/>
  <c r="A24" i="20"/>
  <c r="A38" i="20"/>
  <c r="AG38" i="20" s="1"/>
  <c r="A32" i="20"/>
  <c r="A36" i="20"/>
  <c r="AD36" i="20" s="1"/>
  <c r="A33" i="20"/>
  <c r="AN33" i="20" s="1"/>
  <c r="A34" i="20"/>
  <c r="A35" i="20"/>
  <c r="Y35" i="20" s="1"/>
  <c r="A37" i="20"/>
  <c r="A18" i="20"/>
  <c r="AE18" i="20" s="1"/>
  <c r="A19" i="20"/>
  <c r="A20" i="20"/>
  <c r="A15" i="20"/>
  <c r="A13" i="20"/>
  <c r="A11" i="20"/>
  <c r="A12" i="20"/>
  <c r="Y12" i="20" s="1"/>
  <c r="A9" i="20"/>
  <c r="AB9" i="20" s="1"/>
  <c r="A8" i="20"/>
  <c r="A10" i="20"/>
  <c r="A6" i="20"/>
  <c r="AI6" i="20" s="1"/>
  <c r="A30" i="20"/>
  <c r="A31" i="20"/>
  <c r="AG31" i="20" s="1"/>
  <c r="A16" i="20"/>
  <c r="A14" i="20"/>
  <c r="AH14" i="20" s="1"/>
  <c r="A40" i="20"/>
  <c r="AB40" i="20" s="1"/>
  <c r="A39" i="20"/>
  <c r="A17" i="20"/>
  <c r="A7" i="20"/>
  <c r="AI7" i="20" s="1"/>
  <c r="A1113" i="20"/>
  <c r="AK1113" i="20" s="1"/>
  <c r="A1114" i="20"/>
  <c r="A1115" i="20"/>
  <c r="AD1115" i="20" s="1"/>
  <c r="A1116" i="20"/>
  <c r="AN1116" i="20" s="1"/>
  <c r="A1117" i="20"/>
  <c r="AJ1117" i="20" s="1"/>
  <c r="A1118" i="20"/>
  <c r="A1119" i="20"/>
  <c r="A1120" i="20"/>
  <c r="AF1120" i="20" s="1"/>
  <c r="A1121" i="20"/>
  <c r="AL1121" i="20" s="1"/>
  <c r="A1122" i="20"/>
  <c r="AI1122" i="20" s="1"/>
  <c r="A1123" i="20"/>
  <c r="A1124" i="20"/>
  <c r="AL1124" i="20" s="1"/>
  <c r="A1125" i="20"/>
  <c r="AE1125" i="20" s="1"/>
  <c r="A1126" i="20"/>
  <c r="AE1126" i="20" s="1"/>
  <c r="A1127" i="20"/>
  <c r="AI1127" i="20" s="1"/>
  <c r="A1128" i="20"/>
  <c r="AN1128" i="20" s="1"/>
  <c r="A1129" i="20"/>
  <c r="AA1129" i="20" s="1"/>
  <c r="A1130" i="20"/>
  <c r="AN1130" i="20" s="1"/>
  <c r="A1131" i="20"/>
  <c r="AF1131" i="20" s="1"/>
  <c r="A1132" i="20"/>
  <c r="AA1132" i="20" s="1"/>
  <c r="A1133" i="20"/>
  <c r="AD1133" i="20" s="1"/>
  <c r="A1134" i="20"/>
  <c r="Z1134" i="20" s="1"/>
  <c r="A1135" i="20"/>
  <c r="AO1135" i="20" s="1"/>
  <c r="A1136" i="20"/>
  <c r="AA1136" i="20" s="1"/>
  <c r="A1137" i="20"/>
  <c r="AL1137" i="20" s="1"/>
  <c r="A1138" i="20"/>
  <c r="A1139" i="20"/>
  <c r="A1140" i="20"/>
  <c r="A1141" i="20"/>
  <c r="Z1141" i="20" s="1"/>
  <c r="A1142" i="20"/>
  <c r="AG1142" i="20" s="1"/>
  <c r="A1143" i="20"/>
  <c r="AN1143" i="20" s="1"/>
  <c r="A1144" i="20"/>
  <c r="AL1144" i="20" s="1"/>
  <c r="AS1138" i="20"/>
  <c r="AS1139" i="20"/>
  <c r="AS1140" i="20"/>
  <c r="AS1141" i="20"/>
  <c r="AS1142" i="20"/>
  <c r="AS1143" i="20"/>
  <c r="AS1144" i="20"/>
  <c r="AU1138" i="20"/>
  <c r="AU1139" i="20"/>
  <c r="AU1140" i="20"/>
  <c r="AU1141" i="20"/>
  <c r="AU1142" i="20"/>
  <c r="AU1143" i="20"/>
  <c r="AU1144" i="20"/>
  <c r="AM1137" i="20"/>
  <c r="AM1138" i="20"/>
  <c r="AM1139" i="20"/>
  <c r="AM1140" i="20"/>
  <c r="AM1141" i="20"/>
  <c r="AM1142" i="20"/>
  <c r="AM1143" i="20"/>
  <c r="AM1144" i="20"/>
  <c r="AM114" i="20"/>
  <c r="AM113" i="20"/>
  <c r="AM115" i="20"/>
  <c r="AM117" i="20"/>
  <c r="AM119" i="20"/>
  <c r="AM161" i="20"/>
  <c r="AM118" i="20"/>
  <c r="AM157" i="20"/>
  <c r="AM135" i="20"/>
  <c r="AM172" i="20"/>
  <c r="AM136" i="20"/>
  <c r="AM156" i="20"/>
  <c r="AM144" i="20"/>
  <c r="AM138" i="20"/>
  <c r="AM164" i="20"/>
  <c r="AM173" i="20"/>
  <c r="AM175" i="20"/>
  <c r="AM167" i="20"/>
  <c r="AM165" i="20"/>
  <c r="AM170" i="20"/>
  <c r="AM168" i="20"/>
  <c r="AM169" i="20"/>
  <c r="AM185" i="20"/>
  <c r="AM189" i="20"/>
  <c r="AM139" i="20"/>
  <c r="AM158" i="20"/>
  <c r="AM166" i="20"/>
  <c r="AM163" i="20"/>
  <c r="AM188" i="20"/>
  <c r="AM194" i="20"/>
  <c r="AM159" i="20"/>
  <c r="AM198" i="20"/>
  <c r="AM196" i="20"/>
  <c r="AM197" i="20"/>
  <c r="AM199" i="20"/>
  <c r="AM202" i="20"/>
  <c r="AM201" i="20"/>
  <c r="AM216" i="20"/>
  <c r="AM120" i="20"/>
  <c r="AM126" i="20"/>
  <c r="AM116" i="20"/>
  <c r="AM123" i="20"/>
  <c r="AM124" i="20"/>
  <c r="AM128" i="20"/>
  <c r="AM121" i="20"/>
  <c r="AM125" i="20"/>
  <c r="AM122" i="20"/>
  <c r="AM105" i="20"/>
  <c r="AM195" i="20"/>
  <c r="AM176" i="20"/>
  <c r="AM191" i="20"/>
  <c r="AM192" i="20"/>
  <c r="AM190" i="20"/>
  <c r="AM193" i="20"/>
  <c r="AM109" i="20"/>
  <c r="AM127" i="20"/>
  <c r="AM213" i="20"/>
  <c r="AM200" i="20"/>
  <c r="AM217" i="20"/>
  <c r="AM41" i="20"/>
  <c r="AM29" i="20"/>
  <c r="AM28" i="20"/>
  <c r="AM27" i="20"/>
  <c r="AM24" i="20"/>
  <c r="AM38" i="20"/>
  <c r="AM32" i="20"/>
  <c r="AM36" i="20"/>
  <c r="AM33" i="20"/>
  <c r="AM34" i="20"/>
  <c r="AM35" i="20"/>
  <c r="AM37" i="20"/>
  <c r="AM18" i="20"/>
  <c r="AM19" i="20"/>
  <c r="AM20" i="20"/>
  <c r="AM15" i="20"/>
  <c r="AM13" i="20"/>
  <c r="AM11" i="20"/>
  <c r="AM12" i="20"/>
  <c r="AM9" i="20"/>
  <c r="AM8" i="20"/>
  <c r="AM10" i="20"/>
  <c r="AM6" i="20"/>
  <c r="AM30" i="20"/>
  <c r="AM31" i="20"/>
  <c r="AM16" i="20"/>
  <c r="AM14" i="20"/>
  <c r="AM40" i="20"/>
  <c r="AM39" i="20"/>
  <c r="AM17" i="20"/>
  <c r="AM22" i="20"/>
  <c r="AM7" i="20"/>
  <c r="AM1113" i="20"/>
  <c r="AM1114" i="20"/>
  <c r="AM1115" i="20"/>
  <c r="AM1116" i="20"/>
  <c r="AM1117" i="20"/>
  <c r="AM1118" i="20"/>
  <c r="AM1119" i="20"/>
  <c r="AM1120" i="20"/>
  <c r="AM1121" i="20"/>
  <c r="AM1122" i="20"/>
  <c r="AM1123" i="20"/>
  <c r="AM1124" i="20"/>
  <c r="AM1125" i="20"/>
  <c r="AM1126" i="20"/>
  <c r="AM1127" i="20"/>
  <c r="AM1128" i="20"/>
  <c r="AM1129" i="20"/>
  <c r="AM1130" i="20"/>
  <c r="AM1131" i="20"/>
  <c r="AM1132" i="20"/>
  <c r="AM1133" i="20"/>
  <c r="AM1134" i="20"/>
  <c r="AM1135" i="20"/>
  <c r="AM1136" i="20"/>
  <c r="AM1090" i="20"/>
  <c r="AM1091" i="20"/>
  <c r="AM1092" i="20"/>
  <c r="AM1093" i="20"/>
  <c r="AM1095" i="20"/>
  <c r="AM1094" i="20"/>
  <c r="AM1096" i="20"/>
  <c r="AM1097" i="20"/>
  <c r="AM1098" i="20"/>
  <c r="AM1099" i="20"/>
  <c r="AM1100" i="20"/>
  <c r="AM1101" i="20"/>
  <c r="AM1102" i="20"/>
  <c r="AM1103" i="20"/>
  <c r="AM1105" i="20"/>
  <c r="AM1106" i="20"/>
  <c r="AM1104" i="20"/>
  <c r="AM1107" i="20"/>
  <c r="AM1108" i="20"/>
  <c r="AM1109" i="20"/>
  <c r="AM1110" i="20"/>
  <c r="AM1111" i="20"/>
  <c r="AM1112" i="20"/>
  <c r="AS36" i="20"/>
  <c r="AS33" i="20"/>
  <c r="AS34" i="20"/>
  <c r="AS35" i="20"/>
  <c r="AS37" i="20"/>
  <c r="AS18" i="20"/>
  <c r="AS19" i="20"/>
  <c r="AS20" i="20"/>
  <c r="AS15" i="20"/>
  <c r="AS13" i="20"/>
  <c r="AS11" i="20"/>
  <c r="AS12" i="20"/>
  <c r="AS9" i="20"/>
  <c r="AS8" i="20"/>
  <c r="AS10" i="20"/>
  <c r="AS6" i="20"/>
  <c r="AS30" i="20"/>
  <c r="AS31" i="20"/>
  <c r="AS16" i="20"/>
  <c r="AS14" i="20"/>
  <c r="AS40" i="20"/>
  <c r="AS39" i="20"/>
  <c r="AS17" i="20"/>
  <c r="AS22" i="20"/>
  <c r="AS7" i="20"/>
  <c r="AS1113" i="20"/>
  <c r="AS1114" i="20"/>
  <c r="AS1115" i="20"/>
  <c r="AS1116" i="20"/>
  <c r="AS1117" i="20"/>
  <c r="AS1118" i="20"/>
  <c r="AS1119" i="20"/>
  <c r="AS1120" i="20"/>
  <c r="AS1121" i="20"/>
  <c r="AS1122" i="20"/>
  <c r="AS1123" i="20"/>
  <c r="AS1124" i="20"/>
  <c r="AS1125" i="20"/>
  <c r="AS1126" i="20"/>
  <c r="AS1127" i="20"/>
  <c r="AS1128" i="20"/>
  <c r="AS1129" i="20"/>
  <c r="AS1130" i="20"/>
  <c r="AS1131" i="20"/>
  <c r="AS1132" i="20"/>
  <c r="AS1133" i="20"/>
  <c r="AS1134" i="20"/>
  <c r="AS1135" i="20"/>
  <c r="AS1136" i="20"/>
  <c r="AS1137" i="20"/>
  <c r="AU36" i="20"/>
  <c r="AU33" i="20"/>
  <c r="AU34" i="20"/>
  <c r="AU35" i="20"/>
  <c r="AU37" i="20"/>
  <c r="AU18" i="20"/>
  <c r="AU19" i="20"/>
  <c r="AU20" i="20"/>
  <c r="AU15" i="20"/>
  <c r="AU13" i="20"/>
  <c r="AU11" i="20"/>
  <c r="AU12" i="20"/>
  <c r="AU9" i="20"/>
  <c r="AU8" i="20"/>
  <c r="AU10" i="20"/>
  <c r="AU6" i="20"/>
  <c r="AU30" i="20"/>
  <c r="AU31" i="20"/>
  <c r="AU16" i="20"/>
  <c r="AU14" i="20"/>
  <c r="AU40" i="20"/>
  <c r="AU39" i="20"/>
  <c r="AU17" i="20"/>
  <c r="AU22" i="20"/>
  <c r="AU7" i="20"/>
  <c r="AU1113" i="20"/>
  <c r="AU1114" i="20"/>
  <c r="AU1115" i="20"/>
  <c r="AU1116" i="20"/>
  <c r="AU1117" i="20"/>
  <c r="AU1118" i="20"/>
  <c r="AU1119" i="20"/>
  <c r="AU1120" i="20"/>
  <c r="AU1121" i="20"/>
  <c r="AU1122" i="20"/>
  <c r="AU1123" i="20"/>
  <c r="AU1124" i="20"/>
  <c r="AU1125" i="20"/>
  <c r="AU1126" i="20"/>
  <c r="AU1127" i="20"/>
  <c r="AU1128" i="20"/>
  <c r="AU1129" i="20"/>
  <c r="AU1130" i="20"/>
  <c r="AU1131" i="20"/>
  <c r="AU1132" i="20"/>
  <c r="AU1133" i="20"/>
  <c r="AU1134" i="20"/>
  <c r="AU1135" i="20"/>
  <c r="AU1136" i="20"/>
  <c r="AU1137" i="20"/>
  <c r="AS24" i="20"/>
  <c r="AS38" i="20"/>
  <c r="AS32" i="20"/>
  <c r="AU41" i="20"/>
  <c r="AU29" i="20"/>
  <c r="AU28" i="20"/>
  <c r="AU24" i="20"/>
  <c r="AU38" i="20"/>
  <c r="AU32" i="20"/>
  <c r="S253" i="14"/>
  <c r="B13" i="36"/>
  <c r="AU215" i="20"/>
  <c r="AS215" i="20"/>
  <c r="AM215" i="20"/>
  <c r="AU214" i="20"/>
  <c r="AS214" i="20"/>
  <c r="AM214" i="20"/>
  <c r="AU212" i="20"/>
  <c r="AS212" i="20"/>
  <c r="AM212" i="20"/>
  <c r="AU211" i="20"/>
  <c r="AS211" i="20"/>
  <c r="AM211" i="20"/>
  <c r="AU210" i="20"/>
  <c r="AS210" i="20"/>
  <c r="AM210" i="20"/>
  <c r="AU209" i="20"/>
  <c r="AS209" i="20"/>
  <c r="AM209" i="20"/>
  <c r="AU208" i="20"/>
  <c r="AS208" i="20"/>
  <c r="AM208" i="20"/>
  <c r="AU207" i="20"/>
  <c r="AS207" i="20"/>
  <c r="AM207" i="20"/>
  <c r="AU206" i="20"/>
  <c r="AS206" i="20"/>
  <c r="AM206" i="20"/>
  <c r="AU205" i="20"/>
  <c r="AS205" i="20"/>
  <c r="AM205" i="20"/>
  <c r="AU204" i="20"/>
  <c r="AS204" i="20"/>
  <c r="AT204" i="20"/>
  <c r="AM204" i="20"/>
  <c r="AU203" i="20"/>
  <c r="AS203" i="20"/>
  <c r="AM203" i="20"/>
  <c r="AM366" i="20"/>
  <c r="AM66" i="20"/>
  <c r="AS66" i="20"/>
  <c r="T57" i="19"/>
  <c r="P57" i="19" s="1"/>
  <c r="U57" i="19" s="1"/>
  <c r="S57" i="19"/>
  <c r="T59" i="19"/>
  <c r="P59" i="19" s="1"/>
  <c r="U59" i="19" s="1"/>
  <c r="S59" i="19"/>
  <c r="T56" i="19"/>
  <c r="P56" i="19" s="1"/>
  <c r="U56" i="19" s="1"/>
  <c r="S56" i="19"/>
  <c r="T58" i="19"/>
  <c r="P58" i="19" s="1"/>
  <c r="U58" i="19" s="1"/>
  <c r="S58" i="19"/>
  <c r="T60" i="19"/>
  <c r="P60" i="19" s="1"/>
  <c r="U60" i="19" s="1"/>
  <c r="S60" i="19"/>
  <c r="S71" i="19"/>
  <c r="T71" i="19"/>
  <c r="P71" i="19" s="1"/>
  <c r="U71" i="19" s="1"/>
  <c r="S72" i="19"/>
  <c r="T72" i="19"/>
  <c r="P72" i="19" s="1"/>
  <c r="S77" i="19"/>
  <c r="T77" i="19"/>
  <c r="P77" i="19" s="1"/>
  <c r="U77" i="19" s="1"/>
  <c r="S70" i="19"/>
  <c r="T70" i="19"/>
  <c r="P70" i="19" s="1"/>
  <c r="U70" i="19" s="1"/>
  <c r="T73" i="19"/>
  <c r="P73" i="19" s="1"/>
  <c r="U73" i="19" s="1"/>
  <c r="S73" i="19"/>
  <c r="T75" i="19"/>
  <c r="P75" i="19" s="1"/>
  <c r="U75" i="19" s="1"/>
  <c r="S75" i="19"/>
  <c r="T69" i="19"/>
  <c r="P69" i="19" s="1"/>
  <c r="U69" i="19" s="1"/>
  <c r="S69" i="19"/>
  <c r="T66" i="19"/>
  <c r="P66" i="19" s="1"/>
  <c r="U66" i="19" s="1"/>
  <c r="S66" i="19"/>
  <c r="T67" i="19"/>
  <c r="P67" i="19" s="1"/>
  <c r="U67" i="19" s="1"/>
  <c r="S67" i="19"/>
  <c r="T74" i="19"/>
  <c r="P74" i="19" s="1"/>
  <c r="U74" i="19" s="1"/>
  <c r="S74" i="19"/>
  <c r="T63" i="19"/>
  <c r="P63" i="19" s="1"/>
  <c r="U63" i="19" s="1"/>
  <c r="S63" i="19"/>
  <c r="T65" i="19"/>
  <c r="P65" i="19" s="1"/>
  <c r="U65" i="19" s="1"/>
  <c r="S65" i="19"/>
  <c r="S81" i="19"/>
  <c r="T81" i="19"/>
  <c r="P81" i="19" s="1"/>
  <c r="U81" i="19" s="1"/>
  <c r="S80" i="19"/>
  <c r="T80" i="19"/>
  <c r="P80" i="19" s="1"/>
  <c r="U80" i="19" s="1"/>
  <c r="S78" i="19"/>
  <c r="T78" i="19"/>
  <c r="P78" i="19" s="1"/>
  <c r="U78" i="19" s="1"/>
  <c r="T79" i="19"/>
  <c r="P79" i="19" s="1"/>
  <c r="U79" i="19" s="1"/>
  <c r="S79" i="19"/>
  <c r="S62" i="19"/>
  <c r="T62" i="19"/>
  <c r="P62" i="19" s="1"/>
  <c r="U62" i="19" s="1"/>
  <c r="S61" i="19"/>
  <c r="T61" i="19"/>
  <c r="P61" i="19" s="1"/>
  <c r="U61" i="19" s="1"/>
  <c r="T321" i="19"/>
  <c r="P321" i="19" s="1"/>
  <c r="U321" i="19" s="1"/>
  <c r="T322" i="19"/>
  <c r="P322" i="19" s="1"/>
  <c r="U322" i="19" s="1"/>
  <c r="T274" i="19"/>
  <c r="P274" i="19" s="1"/>
  <c r="U274" i="19" s="1"/>
  <c r="T278" i="19"/>
  <c r="P278" i="19" s="1"/>
  <c r="U278" i="19" s="1"/>
  <c r="T324" i="19"/>
  <c r="P324" i="19" s="1"/>
  <c r="U324" i="19" s="1"/>
  <c r="T115" i="19"/>
  <c r="P115" i="19" s="1"/>
  <c r="U115" i="19" s="1"/>
  <c r="T148" i="19"/>
  <c r="P148" i="19" s="1"/>
  <c r="U148" i="19" s="1"/>
  <c r="T325" i="19"/>
  <c r="P325" i="19" s="1"/>
  <c r="U325" i="19" s="1"/>
  <c r="T326" i="19"/>
  <c r="P326" i="19" s="1"/>
  <c r="U326" i="19" s="1"/>
  <c r="T327" i="19"/>
  <c r="P327" i="19" s="1"/>
  <c r="U327" i="19" s="1"/>
  <c r="T149" i="19"/>
  <c r="P149" i="19" s="1"/>
  <c r="U149" i="19" s="1"/>
  <c r="T328" i="19"/>
  <c r="P328" i="19" s="1"/>
  <c r="U328" i="19" s="1"/>
  <c r="T162" i="19"/>
  <c r="P162" i="19" s="1"/>
  <c r="U162" i="19" s="1"/>
  <c r="T329" i="19"/>
  <c r="P329" i="19" s="1"/>
  <c r="U329" i="19" s="1"/>
  <c r="T330" i="19"/>
  <c r="P330" i="19" s="1"/>
  <c r="U330" i="19" s="1"/>
  <c r="T331" i="19"/>
  <c r="P331" i="19" s="1"/>
  <c r="U331" i="19" s="1"/>
  <c r="T332" i="19"/>
  <c r="P332" i="19" s="1"/>
  <c r="U332" i="19" s="1"/>
  <c r="T163" i="19"/>
  <c r="P163" i="19" s="1"/>
  <c r="U163" i="19" s="1"/>
  <c r="T333" i="19"/>
  <c r="P333" i="19" s="1"/>
  <c r="U333" i="19" s="1"/>
  <c r="T334" i="19"/>
  <c r="P334" i="19" s="1"/>
  <c r="U334" i="19" s="1"/>
  <c r="T335" i="19"/>
  <c r="P335" i="19" s="1"/>
  <c r="U335" i="19" s="1"/>
  <c r="T293" i="19"/>
  <c r="P293" i="19" s="1"/>
  <c r="U293" i="19" s="1"/>
  <c r="T337" i="19"/>
  <c r="P337" i="19" s="1"/>
  <c r="U337" i="19" s="1"/>
  <c r="T82" i="19"/>
  <c r="P82" i="19" s="1"/>
  <c r="U82" i="19" s="1"/>
  <c r="T164" i="19"/>
  <c r="P164" i="19" s="1"/>
  <c r="U164" i="19" s="1"/>
  <c r="T303" i="19"/>
  <c r="P303" i="19" s="1"/>
  <c r="U303" i="19" s="1"/>
  <c r="T339" i="19"/>
  <c r="P339" i="19" s="1"/>
  <c r="U339" i="19" s="1"/>
  <c r="T340" i="19"/>
  <c r="P340" i="19" s="1"/>
  <c r="U340" i="19" s="1"/>
  <c r="T341" i="19"/>
  <c r="P341" i="19" s="1"/>
  <c r="U341" i="19" s="1"/>
  <c r="T304" i="19"/>
  <c r="P304" i="19" s="1"/>
  <c r="U304" i="19" s="1"/>
  <c r="T343" i="19"/>
  <c r="P343" i="19" s="1"/>
  <c r="U343" i="19" s="1"/>
  <c r="T151" i="19"/>
  <c r="P151" i="19" s="1"/>
  <c r="U151" i="19" s="1"/>
  <c r="T344" i="19"/>
  <c r="P344" i="19" s="1"/>
  <c r="U344" i="19" s="1"/>
  <c r="T311" i="19"/>
  <c r="P311" i="19" s="1"/>
  <c r="U311" i="19" s="1"/>
  <c r="T103" i="19"/>
  <c r="P103" i="19" s="1"/>
  <c r="U103" i="19" s="1"/>
  <c r="T116" i="19"/>
  <c r="P116" i="19" s="1"/>
  <c r="U116" i="19" s="1"/>
  <c r="T152" i="19"/>
  <c r="P152" i="19" s="1"/>
  <c r="U152" i="19" s="1"/>
  <c r="T346" i="19"/>
  <c r="P346" i="19" s="1"/>
  <c r="U346" i="19" s="1"/>
  <c r="T347" i="19"/>
  <c r="P347" i="19" s="1"/>
  <c r="U347" i="19" s="1"/>
  <c r="T348" i="19"/>
  <c r="P348" i="19" s="1"/>
  <c r="U348" i="19" s="1"/>
  <c r="T349" i="19"/>
  <c r="P349" i="19" s="1"/>
  <c r="U349" i="19" s="1"/>
  <c r="T350" i="19"/>
  <c r="P350" i="19" s="1"/>
  <c r="U350" i="19" s="1"/>
  <c r="T323" i="19"/>
  <c r="P323" i="19" s="1"/>
  <c r="U323" i="19" s="1"/>
  <c r="T336" i="19"/>
  <c r="P336" i="19" s="1"/>
  <c r="U336" i="19" s="1"/>
  <c r="T338" i="19"/>
  <c r="P338" i="19" s="1"/>
  <c r="U338" i="19" s="1"/>
  <c r="T342" i="19"/>
  <c r="P342" i="19" s="1"/>
  <c r="U342" i="19" s="1"/>
  <c r="T104" i="19"/>
  <c r="P104" i="19" s="1"/>
  <c r="U104" i="19" s="1"/>
  <c r="T153" i="19"/>
  <c r="P153" i="19" s="1"/>
  <c r="U153" i="19" s="1"/>
  <c r="T351" i="19"/>
  <c r="P351" i="19" s="1"/>
  <c r="U351" i="19" s="1"/>
  <c r="T352" i="19"/>
  <c r="P352" i="19" s="1"/>
  <c r="U352" i="19" s="1"/>
  <c r="T353" i="19"/>
  <c r="P353" i="19" s="1"/>
  <c r="U353" i="19" s="1"/>
  <c r="T354" i="19"/>
  <c r="P354" i="19" s="1"/>
  <c r="U354" i="19" s="1"/>
  <c r="T154" i="19"/>
  <c r="P154" i="19" s="1"/>
  <c r="U154" i="19" s="1"/>
  <c r="T355" i="19"/>
  <c r="P355" i="19" s="1"/>
  <c r="U355" i="19" s="1"/>
  <c r="T356" i="19"/>
  <c r="P356" i="19" s="1"/>
  <c r="U356" i="19" s="1"/>
  <c r="T345" i="19"/>
  <c r="P345" i="19" s="1"/>
  <c r="U345" i="19" s="1"/>
  <c r="T357" i="19"/>
  <c r="P357" i="19" s="1"/>
  <c r="U357" i="19" s="1"/>
  <c r="T358" i="19"/>
  <c r="P358" i="19" s="1"/>
  <c r="U358" i="19" s="1"/>
  <c r="T359" i="19"/>
  <c r="P359" i="19" s="1"/>
  <c r="U359" i="19" s="1"/>
  <c r="T165" i="19"/>
  <c r="P165" i="19" s="1"/>
  <c r="U165" i="19" s="1"/>
  <c r="T360" i="19"/>
  <c r="P360" i="19" s="1"/>
  <c r="U360" i="19" s="1"/>
  <c r="T361" i="19"/>
  <c r="P361" i="19" s="1"/>
  <c r="U361" i="19" s="1"/>
  <c r="T155" i="19"/>
  <c r="P155" i="19" s="1"/>
  <c r="U155" i="19" s="1"/>
  <c r="T362" i="19"/>
  <c r="P362" i="19" s="1"/>
  <c r="U362" i="19" s="1"/>
  <c r="T363" i="19"/>
  <c r="P363" i="19" s="1"/>
  <c r="U363" i="19" s="1"/>
  <c r="T156" i="19"/>
  <c r="P156" i="19" s="1"/>
  <c r="U156" i="19" s="1"/>
  <c r="T364" i="19"/>
  <c r="P364" i="19" s="1"/>
  <c r="U364" i="19" s="1"/>
  <c r="T365" i="19"/>
  <c r="P365" i="19" s="1"/>
  <c r="U365" i="19" s="1"/>
  <c r="T366" i="19"/>
  <c r="P366" i="19" s="1"/>
  <c r="U366" i="19" s="1"/>
  <c r="T367" i="19"/>
  <c r="P367" i="19" s="1"/>
  <c r="U367" i="19" s="1"/>
  <c r="T368" i="19"/>
  <c r="P368" i="19" s="1"/>
  <c r="U368" i="19" s="1"/>
  <c r="T166" i="19"/>
  <c r="P166" i="19" s="1"/>
  <c r="U166" i="19" s="1"/>
  <c r="T369" i="19"/>
  <c r="P369" i="19" s="1"/>
  <c r="U369" i="19" s="1"/>
  <c r="T370" i="19"/>
  <c r="P370" i="19" s="1"/>
  <c r="U370" i="19" s="1"/>
  <c r="T371" i="19"/>
  <c r="P371" i="19" s="1"/>
  <c r="U371" i="19" s="1"/>
  <c r="T68" i="19"/>
  <c r="P68" i="19" s="1"/>
  <c r="U68" i="19" s="1"/>
  <c r="S68" i="19"/>
  <c r="T64" i="19"/>
  <c r="P64" i="19" s="1"/>
  <c r="U64" i="19" s="1"/>
  <c r="S64" i="19"/>
  <c r="T76" i="19"/>
  <c r="P76" i="19" s="1"/>
  <c r="U76" i="19" s="1"/>
  <c r="S76" i="19"/>
  <c r="AJ32" i="14"/>
  <c r="AK32" i="14" s="1"/>
  <c r="CJ22" i="62"/>
  <c r="S258" i="14"/>
  <c r="AJ258" i="14"/>
  <c r="AK258" i="14" s="1"/>
  <c r="S219" i="14"/>
  <c r="AJ219" i="14"/>
  <c r="AK219" i="14" s="1"/>
  <c r="S194" i="19"/>
  <c r="K12" i="36"/>
  <c r="K13" i="36"/>
  <c r="K15" i="36"/>
  <c r="K27" i="36"/>
  <c r="E8" i="36"/>
  <c r="E9" i="36"/>
  <c r="E10" i="36"/>
  <c r="E12" i="36"/>
  <c r="E13" i="36"/>
  <c r="E14" i="36"/>
  <c r="E15" i="36"/>
  <c r="E16" i="36"/>
  <c r="E17" i="36"/>
  <c r="E18" i="36"/>
  <c r="E19" i="36"/>
  <c r="E20" i="36"/>
  <c r="E21" i="36"/>
  <c r="E22" i="36"/>
  <c r="E23" i="36"/>
  <c r="E24" i="36"/>
  <c r="E25" i="36"/>
  <c r="E26" i="36"/>
  <c r="E27" i="36"/>
  <c r="E28" i="36"/>
  <c r="D28" i="36"/>
  <c r="D23" i="36"/>
  <c r="D24" i="36"/>
  <c r="D25" i="36"/>
  <c r="D26" i="36"/>
  <c r="D27" i="36"/>
  <c r="D8" i="36"/>
  <c r="D9" i="36"/>
  <c r="D10" i="36"/>
  <c r="D12" i="36"/>
  <c r="D13" i="36"/>
  <c r="D14" i="36"/>
  <c r="D15" i="36"/>
  <c r="D16" i="36"/>
  <c r="D17" i="36"/>
  <c r="D18" i="36"/>
  <c r="D19" i="36"/>
  <c r="D20" i="36"/>
  <c r="D21" i="36"/>
  <c r="D22" i="36"/>
  <c r="B7" i="36"/>
  <c r="L35" i="40"/>
  <c r="AJ150" i="14"/>
  <c r="AK150" i="14" s="1"/>
  <c r="AJ196" i="14"/>
  <c r="AK196" i="14" s="1"/>
  <c r="AJ104" i="14"/>
  <c r="AK104" i="14" s="1"/>
  <c r="AJ92" i="14"/>
  <c r="AK92" i="14" s="1"/>
  <c r="AJ262" i="14"/>
  <c r="AK262" i="14" s="1"/>
  <c r="AJ260" i="14"/>
  <c r="AK260" i="14" s="1"/>
  <c r="AJ259" i="14"/>
  <c r="AK259" i="14" s="1"/>
  <c r="AJ139" i="14"/>
  <c r="AK139" i="14" s="1"/>
  <c r="AJ257" i="14"/>
  <c r="AK257" i="14" s="1"/>
  <c r="AJ256" i="14"/>
  <c r="AK256" i="14" s="1"/>
  <c r="AJ144" i="14"/>
  <c r="AK144" i="14" s="1"/>
  <c r="AJ143" i="14"/>
  <c r="AK143" i="14" s="1"/>
  <c r="AJ142" i="14"/>
  <c r="AK142" i="14" s="1"/>
  <c r="AJ11" i="14"/>
  <c r="AK11" i="14" s="1"/>
  <c r="AJ42" i="14"/>
  <c r="AK42" i="14" s="1"/>
  <c r="AJ41" i="14"/>
  <c r="AK41" i="14" s="1"/>
  <c r="AJ191" i="14"/>
  <c r="AK191" i="14" s="1"/>
  <c r="AJ183" i="14"/>
  <c r="AK183" i="14" s="1"/>
  <c r="AJ138" i="14"/>
  <c r="AK138" i="14" s="1"/>
  <c r="AJ83" i="14"/>
  <c r="AK83" i="14" s="1"/>
  <c r="AJ129" i="14"/>
  <c r="AK129" i="14" s="1"/>
  <c r="AJ255" i="14"/>
  <c r="AK255" i="14" s="1"/>
  <c r="AJ78" i="14"/>
  <c r="AK78" i="14" s="1"/>
  <c r="AJ122" i="14"/>
  <c r="AK122" i="14" s="1"/>
  <c r="AJ181" i="14"/>
  <c r="AK181" i="14" s="1"/>
  <c r="AJ72" i="14"/>
  <c r="AK72" i="14" s="1"/>
  <c r="AJ71" i="14"/>
  <c r="AK71" i="14" s="1"/>
  <c r="AJ70" i="14"/>
  <c r="AK70" i="14" s="1"/>
  <c r="AJ128" i="14"/>
  <c r="AK128" i="14" s="1"/>
  <c r="AJ254" i="14"/>
  <c r="AK254" i="14" s="1"/>
  <c r="AJ180" i="14"/>
  <c r="AK180" i="14" s="1"/>
  <c r="AJ175" i="14"/>
  <c r="AK175" i="14" s="1"/>
  <c r="AJ126" i="14"/>
  <c r="AK126" i="14" s="1"/>
  <c r="AJ253" i="14"/>
  <c r="AK253" i="14" s="1"/>
  <c r="AJ140" i="14"/>
  <c r="AK140" i="14" s="1"/>
  <c r="AJ20" i="14"/>
  <c r="AK20" i="14" s="1"/>
  <c r="AJ120" i="14"/>
  <c r="AK120" i="14" s="1"/>
  <c r="AJ115" i="14"/>
  <c r="AK115" i="14" s="1"/>
  <c r="AJ82" i="14"/>
  <c r="AK82" i="14" s="1"/>
  <c r="AJ59" i="14"/>
  <c r="AK59" i="14" s="1"/>
  <c r="AJ22" i="14"/>
  <c r="AK22" i="14" s="1"/>
  <c r="AJ8" i="14"/>
  <c r="AK8" i="14" s="1"/>
  <c r="AJ35" i="14"/>
  <c r="AK35" i="14" s="1"/>
  <c r="AJ34" i="14"/>
  <c r="AK34" i="14" s="1"/>
  <c r="AJ252" i="14"/>
  <c r="AK252" i="14" s="1"/>
  <c r="AJ251" i="14"/>
  <c r="AK251" i="14" s="1"/>
  <c r="AJ137" i="14"/>
  <c r="AK137" i="14" s="1"/>
  <c r="S40" i="14"/>
  <c r="S247" i="14"/>
  <c r="S248" i="14"/>
  <c r="S136" i="14"/>
  <c r="AN49" i="40"/>
  <c r="AN50" i="40"/>
  <c r="AN51" i="40"/>
  <c r="AN54" i="40"/>
  <c r="AN55" i="40"/>
  <c r="AN63" i="40"/>
  <c r="AN64" i="40"/>
  <c r="AN65" i="40"/>
  <c r="AN66" i="40"/>
  <c r="AM48" i="40"/>
  <c r="AM50" i="40"/>
  <c r="AM51" i="40"/>
  <c r="AM54" i="40"/>
  <c r="AM55" i="40"/>
  <c r="AM63" i="40"/>
  <c r="AM64" i="40"/>
  <c r="AM65" i="40"/>
  <c r="AM66" i="40"/>
  <c r="AL48" i="40"/>
  <c r="AL50" i="40"/>
  <c r="AL51" i="40"/>
  <c r="AL54" i="40"/>
  <c r="AL55" i="40"/>
  <c r="AL63" i="40"/>
  <c r="AL64" i="40"/>
  <c r="AL65" i="40"/>
  <c r="AL66" i="40"/>
  <c r="AK48" i="40"/>
  <c r="AK50" i="40"/>
  <c r="AK51" i="40"/>
  <c r="AK54" i="40"/>
  <c r="AK55" i="40"/>
  <c r="AK63" i="40"/>
  <c r="AK64" i="40"/>
  <c r="AK65" i="40"/>
  <c r="AK66" i="40"/>
  <c r="AJ63" i="40"/>
  <c r="AJ64" i="40"/>
  <c r="AJ65" i="40"/>
  <c r="AJ66" i="40"/>
  <c r="AJ48" i="40"/>
  <c r="AJ50" i="40"/>
  <c r="AJ51" i="40"/>
  <c r="AJ54" i="40"/>
  <c r="AJ55" i="40"/>
  <c r="AM263" i="20"/>
  <c r="AM445" i="20"/>
  <c r="AM467" i="20"/>
  <c r="S291" i="19"/>
  <c r="T291" i="19"/>
  <c r="P291" i="19" s="1"/>
  <c r="U291" i="19" s="1"/>
  <c r="S302" i="19"/>
  <c r="T302" i="19"/>
  <c r="P302" i="19" s="1"/>
  <c r="U302" i="19" s="1"/>
  <c r="S249" i="19"/>
  <c r="T249" i="19"/>
  <c r="P249" i="19" s="1"/>
  <c r="U249" i="19" s="1"/>
  <c r="S209" i="19"/>
  <c r="T209" i="19"/>
  <c r="P209" i="19" s="1"/>
  <c r="U209" i="19" s="1"/>
  <c r="S198" i="19"/>
  <c r="T198" i="19"/>
  <c r="P198" i="19" s="1"/>
  <c r="U198" i="19" s="1"/>
  <c r="S207" i="19"/>
  <c r="T207" i="19"/>
  <c r="P207" i="19" s="1"/>
  <c r="U207" i="19" s="1"/>
  <c r="S322" i="19"/>
  <c r="S326" i="19"/>
  <c r="S348" i="19"/>
  <c r="S186" i="19"/>
  <c r="T186" i="19"/>
  <c r="P186" i="19" s="1"/>
  <c r="U186" i="19" s="1"/>
  <c r="S233" i="19"/>
  <c r="S169" i="19"/>
  <c r="T169" i="19"/>
  <c r="P169" i="19" s="1"/>
  <c r="U169" i="19" s="1"/>
  <c r="S243" i="19"/>
  <c r="T243" i="19"/>
  <c r="P243" i="19" s="1"/>
  <c r="U243" i="19" s="1"/>
  <c r="T233" i="19"/>
  <c r="P233" i="19" s="1"/>
  <c r="U233" i="19" s="1"/>
  <c r="S177" i="19"/>
  <c r="T177" i="19"/>
  <c r="P177" i="19" s="1"/>
  <c r="U177" i="19" s="1"/>
  <c r="S342" i="19"/>
  <c r="S5" i="14"/>
  <c r="S6" i="14"/>
  <c r="S8" i="14"/>
  <c r="S9" i="14"/>
  <c r="S11" i="14"/>
  <c r="S13" i="14"/>
  <c r="S14" i="14"/>
  <c r="S15" i="14"/>
  <c r="S16" i="14"/>
  <c r="S17" i="14"/>
  <c r="S18" i="14"/>
  <c r="S19" i="14"/>
  <c r="S20" i="14"/>
  <c r="S129" i="14"/>
  <c r="S23" i="14"/>
  <c r="S24" i="14"/>
  <c r="S25" i="14"/>
  <c r="S27" i="14"/>
  <c r="S29" i="14"/>
  <c r="S30" i="14"/>
  <c r="S31" i="14"/>
  <c r="S163" i="14"/>
  <c r="S32" i="14"/>
  <c r="S33" i="14"/>
  <c r="S34" i="14"/>
  <c r="S35" i="14"/>
  <c r="S36" i="14"/>
  <c r="S37" i="14"/>
  <c r="S41" i="14"/>
  <c r="S42" i="14"/>
  <c r="S44" i="14"/>
  <c r="S46" i="14"/>
  <c r="S47" i="14"/>
  <c r="S49" i="14"/>
  <c r="S51" i="14"/>
  <c r="S57" i="14"/>
  <c r="S58" i="14"/>
  <c r="S218" i="14"/>
  <c r="S189" i="14"/>
  <c r="S78" i="14"/>
  <c r="S70" i="14"/>
  <c r="S71" i="14"/>
  <c r="S72" i="14"/>
  <c r="S73" i="14"/>
  <c r="S60" i="14"/>
  <c r="S217" i="14"/>
  <c r="S64" i="14"/>
  <c r="S75" i="14"/>
  <c r="S81" i="14"/>
  <c r="S199" i="14"/>
  <c r="S22" i="14"/>
  <c r="S83" i="14"/>
  <c r="S131" i="14"/>
  <c r="S92" i="14"/>
  <c r="S104" i="14"/>
  <c r="S106" i="14"/>
  <c r="S110" i="14"/>
  <c r="S112" i="14"/>
  <c r="S113" i="14"/>
  <c r="S152" i="14"/>
  <c r="S116" i="14"/>
  <c r="S65" i="14"/>
  <c r="S119" i="14"/>
  <c r="S122" i="14"/>
  <c r="S123" i="14"/>
  <c r="S124" i="14"/>
  <c r="S125" i="14"/>
  <c r="S238" i="14"/>
  <c r="S127" i="14"/>
  <c r="S80" i="14"/>
  <c r="S155" i="14"/>
  <c r="S130" i="14"/>
  <c r="S135" i="14"/>
  <c r="S137" i="14"/>
  <c r="S59" i="14"/>
  <c r="S140" i="14"/>
  <c r="S254" i="14"/>
  <c r="S128" i="14"/>
  <c r="S142" i="14"/>
  <c r="S143" i="14"/>
  <c r="S144" i="14"/>
  <c r="S139" i="14"/>
  <c r="S150" i="14"/>
  <c r="S141" i="14"/>
  <c r="S145" i="14"/>
  <c r="S62" i="14"/>
  <c r="S157" i="14"/>
  <c r="S66" i="14"/>
  <c r="S159" i="14"/>
  <c r="S63" i="14"/>
  <c r="S160" i="14"/>
  <c r="S165" i="14"/>
  <c r="S235" i="14"/>
  <c r="S167" i="14"/>
  <c r="S239" i="14"/>
  <c r="S115" i="14"/>
  <c r="S120" i="14"/>
  <c r="S68" i="14"/>
  <c r="S158" i="14"/>
  <c r="S170" i="14"/>
  <c r="S212" i="14"/>
  <c r="S79" i="14"/>
  <c r="S166" i="14"/>
  <c r="S172" i="14"/>
  <c r="S173" i="14"/>
  <c r="S174" i="14"/>
  <c r="S175" i="14"/>
  <c r="S181" i="14"/>
  <c r="S183" i="14"/>
  <c r="S191" i="14"/>
  <c r="S196" i="14"/>
  <c r="S198" i="14"/>
  <c r="S202" i="14"/>
  <c r="S204" i="14"/>
  <c r="S205" i="14"/>
  <c r="S206" i="14"/>
  <c r="S207" i="14"/>
  <c r="S208" i="14"/>
  <c r="S209" i="14"/>
  <c r="S210" i="14"/>
  <c r="S211" i="14"/>
  <c r="S213" i="14"/>
  <c r="S215" i="14"/>
  <c r="S216" i="14"/>
  <c r="S43" i="14"/>
  <c r="S7" i="14"/>
  <c r="S171" i="14"/>
  <c r="S12" i="14"/>
  <c r="S69" i="14"/>
  <c r="S168" i="14"/>
  <c r="S126" i="14"/>
  <c r="S236" i="14"/>
  <c r="S242" i="14"/>
  <c r="S82" i="14"/>
  <c r="S138" i="14"/>
  <c r="S243" i="14"/>
  <c r="S244" i="14"/>
  <c r="S249" i="14"/>
  <c r="S250" i="14"/>
  <c r="S251" i="14"/>
  <c r="S252" i="14"/>
  <c r="S255" i="14"/>
  <c r="S256" i="14"/>
  <c r="S257" i="14"/>
  <c r="S259" i="14"/>
  <c r="S260" i="14"/>
  <c r="S262" i="14"/>
  <c r="S263" i="14"/>
  <c r="S265" i="14"/>
  <c r="S266" i="14"/>
  <c r="S267" i="14"/>
  <c r="S270" i="14"/>
  <c r="S271" i="14"/>
  <c r="S272" i="14"/>
  <c r="S273" i="14"/>
  <c r="S276" i="14"/>
  <c r="S277" i="14"/>
  <c r="S278" i="14"/>
  <c r="AJ14" i="14"/>
  <c r="AK14" i="14" s="1"/>
  <c r="AJ113" i="14"/>
  <c r="AK113" i="14" s="1"/>
  <c r="AJ159" i="14"/>
  <c r="AK159" i="14" s="1"/>
  <c r="AJ112" i="14"/>
  <c r="AK112" i="14" s="1"/>
  <c r="AJ165" i="14"/>
  <c r="AK165" i="14" s="1"/>
  <c r="AJ24" i="14"/>
  <c r="AK24" i="14" s="1"/>
  <c r="AJ277" i="14"/>
  <c r="AK277" i="14" s="1"/>
  <c r="AJ212" i="14"/>
  <c r="AK212" i="14" s="1"/>
  <c r="AJ12" i="14"/>
  <c r="AK12" i="14" s="1"/>
  <c r="AJ119" i="14"/>
  <c r="AK119" i="14" s="1"/>
  <c r="AJ217" i="14"/>
  <c r="AK217" i="14" s="1"/>
  <c r="AJ25" i="14"/>
  <c r="AK25" i="14" s="1"/>
  <c r="AJ265" i="14"/>
  <c r="AK265" i="14" s="1"/>
  <c r="AJ205" i="14"/>
  <c r="AK205" i="14" s="1"/>
  <c r="AJ250" i="14"/>
  <c r="AK250" i="14" s="1"/>
  <c r="AJ203" i="14"/>
  <c r="AK203" i="14" s="1"/>
  <c r="AJ5" i="14"/>
  <c r="AK5" i="14" s="1"/>
  <c r="AJ135" i="14"/>
  <c r="AK135" i="14" s="1"/>
  <c r="AJ244" i="14"/>
  <c r="AK244" i="14" s="1"/>
  <c r="AM325" i="20"/>
  <c r="AS325" i="20"/>
  <c r="AU325" i="20"/>
  <c r="AM328" i="20"/>
  <c r="AS328" i="20"/>
  <c r="AU328" i="20"/>
  <c r="AM327" i="20"/>
  <c r="AS327" i="20"/>
  <c r="AU327" i="20"/>
  <c r="AM324" i="20"/>
  <c r="AS324" i="20"/>
  <c r="AU324" i="20"/>
  <c r="AM326" i="20"/>
  <c r="AS326" i="20"/>
  <c r="AU326" i="20"/>
  <c r="AM329" i="20"/>
  <c r="AS329" i="20"/>
  <c r="AU329" i="20"/>
  <c r="F10" i="36"/>
  <c r="E13" i="37"/>
  <c r="E14" i="37"/>
  <c r="B9" i="36"/>
  <c r="B8" i="36"/>
  <c r="AF238" i="14"/>
  <c r="AH238" i="14" s="1"/>
  <c r="AJ218" i="14"/>
  <c r="AK218" i="14" s="1"/>
  <c r="S138" i="19"/>
  <c r="T138" i="19"/>
  <c r="P138" i="19" s="1"/>
  <c r="U138" i="19" s="1"/>
  <c r="S114" i="19"/>
  <c r="T114" i="19"/>
  <c r="P114" i="19" s="1"/>
  <c r="U114" i="19" s="1"/>
  <c r="S112" i="19"/>
  <c r="T112" i="19"/>
  <c r="P112" i="19" s="1"/>
  <c r="U112" i="19" s="1"/>
  <c r="S110" i="19"/>
  <c r="T110" i="19"/>
  <c r="P110" i="19" s="1"/>
  <c r="U110" i="19" s="1"/>
  <c r="S111" i="19"/>
  <c r="T111" i="19"/>
  <c r="P111" i="19" s="1"/>
  <c r="U111" i="19" s="1"/>
  <c r="S115" i="19"/>
  <c r="S116" i="19"/>
  <c r="S113" i="19"/>
  <c r="T113" i="19"/>
  <c r="P113" i="19" s="1"/>
  <c r="U113" i="19" s="1"/>
  <c r="S99" i="19"/>
  <c r="T99" i="19"/>
  <c r="P99" i="19" s="1"/>
  <c r="U99" i="19" s="1"/>
  <c r="S166" i="19"/>
  <c r="S156" i="19"/>
  <c r="S154" i="19"/>
  <c r="S104" i="19"/>
  <c r="S153" i="19"/>
  <c r="S152" i="19"/>
  <c r="S103" i="19"/>
  <c r="S164" i="19"/>
  <c r="S148" i="19"/>
  <c r="S102" i="19"/>
  <c r="T102" i="19"/>
  <c r="P102" i="19" s="1"/>
  <c r="U102" i="19" s="1"/>
  <c r="S147" i="19"/>
  <c r="T147" i="19"/>
  <c r="P147" i="19" s="1"/>
  <c r="U147" i="19" s="1"/>
  <c r="S121" i="19"/>
  <c r="T121" i="19"/>
  <c r="P121" i="19" s="1"/>
  <c r="U121" i="19" s="1"/>
  <c r="S160" i="19"/>
  <c r="T160" i="19"/>
  <c r="P160" i="19" s="1"/>
  <c r="U160" i="19" s="1"/>
  <c r="S145" i="19"/>
  <c r="T145" i="19"/>
  <c r="P145" i="19" s="1"/>
  <c r="U145" i="19" s="1"/>
  <c r="S100" i="19"/>
  <c r="T100" i="19"/>
  <c r="P100" i="19" s="1"/>
  <c r="U100" i="19" s="1"/>
  <c r="S120" i="19"/>
  <c r="T120" i="19"/>
  <c r="P120" i="19" s="1"/>
  <c r="U120" i="19" s="1"/>
  <c r="S140" i="19"/>
  <c r="T140" i="19"/>
  <c r="P140" i="19" s="1"/>
  <c r="U140" i="19" s="1"/>
  <c r="S139" i="19"/>
  <c r="T139" i="19"/>
  <c r="P139" i="19" s="1"/>
  <c r="U139" i="19" s="1"/>
  <c r="S119" i="19"/>
  <c r="T119" i="19"/>
  <c r="P119" i="19" s="1"/>
  <c r="U119" i="19" s="1"/>
  <c r="S157" i="19"/>
  <c r="T157" i="19"/>
  <c r="P157" i="19" s="1"/>
  <c r="U157" i="19" s="1"/>
  <c r="S137" i="19"/>
  <c r="T137" i="19"/>
  <c r="P137" i="19" s="1"/>
  <c r="U137" i="19" s="1"/>
  <c r="S136" i="19"/>
  <c r="T136" i="19"/>
  <c r="P136" i="19" s="1"/>
  <c r="U136" i="19" s="1"/>
  <c r="S95" i="19"/>
  <c r="T95" i="19"/>
  <c r="P95" i="19" s="1"/>
  <c r="U95" i="19" s="1"/>
  <c r="S94" i="19"/>
  <c r="T94" i="19"/>
  <c r="P94" i="19" s="1"/>
  <c r="U94" i="19" s="1"/>
  <c r="S132" i="19"/>
  <c r="T132" i="19"/>
  <c r="P132" i="19" s="1"/>
  <c r="U132" i="19" s="1"/>
  <c r="S89" i="19"/>
  <c r="T89" i="19"/>
  <c r="P89" i="19" s="1"/>
  <c r="U89" i="19" s="1"/>
  <c r="S130" i="19"/>
  <c r="T130" i="19"/>
  <c r="P130" i="19" s="1"/>
  <c r="U130" i="19" s="1"/>
  <c r="S88" i="19"/>
  <c r="T88" i="19"/>
  <c r="P88" i="19" s="1"/>
  <c r="U88" i="19" s="1"/>
  <c r="S87" i="19"/>
  <c r="T87" i="19"/>
  <c r="P87" i="19" s="1"/>
  <c r="U87" i="19" s="1"/>
  <c r="S86" i="19"/>
  <c r="T86" i="19"/>
  <c r="P86" i="19" s="1"/>
  <c r="U86" i="19" s="1"/>
  <c r="S133" i="19"/>
  <c r="T133" i="19"/>
  <c r="P133" i="19" s="1"/>
  <c r="U133" i="19" s="1"/>
  <c r="S159" i="19"/>
  <c r="T159" i="19"/>
  <c r="P159" i="19" s="1"/>
  <c r="U159" i="19" s="1"/>
  <c r="AM319" i="20"/>
  <c r="AM296" i="20"/>
  <c r="AM285" i="20"/>
  <c r="AM289" i="20"/>
  <c r="AM292" i="20"/>
  <c r="AM314" i="20"/>
  <c r="AM287" i="20"/>
  <c r="AM297" i="20"/>
  <c r="AM294" i="20"/>
  <c r="AM304" i="20"/>
  <c r="AM298" i="20"/>
  <c r="AM286" i="20"/>
  <c r="AM305" i="20"/>
  <c r="AM318" i="20"/>
  <c r="AM295" i="20"/>
  <c r="AM316" i="20"/>
  <c r="AM303" i="20"/>
  <c r="AM302" i="20"/>
  <c r="AM321" i="20"/>
  <c r="AM291" i="20"/>
  <c r="AM311" i="20"/>
  <c r="AM300" i="20"/>
  <c r="AM313" i="20"/>
  <c r="AM308" i="20"/>
  <c r="AM312" i="20"/>
  <c r="AM320" i="20"/>
  <c r="AM288" i="20"/>
  <c r="AM301" i="20"/>
  <c r="AM309" i="20"/>
  <c r="AM306" i="20"/>
  <c r="AM293" i="20"/>
  <c r="AM317" i="20"/>
  <c r="AM307" i="20"/>
  <c r="AM284" i="20"/>
  <c r="AM290" i="20"/>
  <c r="AM315" i="20"/>
  <c r="AM310" i="20"/>
  <c r="AM299" i="20"/>
  <c r="T20" i="40"/>
  <c r="G28" i="36"/>
  <c r="G26" i="36"/>
  <c r="G23" i="36"/>
  <c r="G20" i="36"/>
  <c r="G18" i="36"/>
  <c r="G17" i="36"/>
  <c r="G16" i="36"/>
  <c r="G14" i="36"/>
  <c r="G9" i="36"/>
  <c r="G8" i="36"/>
  <c r="AN47" i="40"/>
  <c r="AM47" i="40"/>
  <c r="AL47" i="40"/>
  <c r="AK47" i="40"/>
  <c r="AM8" i="40"/>
  <c r="AL8" i="40"/>
  <c r="AK8" i="40"/>
  <c r="AM241" i="20"/>
  <c r="AM238" i="20"/>
  <c r="AM252" i="20"/>
  <c r="AM264" i="20"/>
  <c r="AM265" i="20"/>
  <c r="AM266" i="20"/>
  <c r="AM267" i="20"/>
  <c r="AM268" i="20"/>
  <c r="AM274" i="20"/>
  <c r="AM269" i="20"/>
  <c r="AM270" i="20"/>
  <c r="AM271" i="20"/>
  <c r="AM272" i="20"/>
  <c r="AM273" i="20"/>
  <c r="AM275" i="20"/>
  <c r="AM276" i="20"/>
  <c r="AM255" i="20"/>
  <c r="AM239" i="20"/>
  <c r="AM240" i="20"/>
  <c r="AM277" i="20"/>
  <c r="AM278" i="20"/>
  <c r="AM279" i="20"/>
  <c r="AS241" i="20"/>
  <c r="AS238" i="20"/>
  <c r="AS252" i="20"/>
  <c r="AS264" i="20"/>
  <c r="AS265" i="20"/>
  <c r="AS266" i="20"/>
  <c r="AS267" i="20"/>
  <c r="AS268" i="20"/>
  <c r="AS274" i="20"/>
  <c r="AS269" i="20"/>
  <c r="AS270" i="20"/>
  <c r="AS271" i="20"/>
  <c r="AS272" i="20"/>
  <c r="AS273" i="20"/>
  <c r="AS275" i="20"/>
  <c r="AS276" i="20"/>
  <c r="AS255" i="20"/>
  <c r="AS239" i="20"/>
  <c r="AS240" i="20"/>
  <c r="AS277" i="20"/>
  <c r="AS278" i="20"/>
  <c r="AS279" i="20"/>
  <c r="AU241" i="20"/>
  <c r="AU238" i="20"/>
  <c r="AU252" i="20"/>
  <c r="AU264" i="20"/>
  <c r="AU265" i="20"/>
  <c r="AU266" i="20"/>
  <c r="AU267" i="20"/>
  <c r="AU268" i="20"/>
  <c r="AU274" i="20"/>
  <c r="AU269" i="20"/>
  <c r="AU270" i="20"/>
  <c r="AU271" i="20"/>
  <c r="AU272" i="20"/>
  <c r="AU273" i="20"/>
  <c r="AU275" i="20"/>
  <c r="AU276" i="20"/>
  <c r="AU255" i="20"/>
  <c r="AU239" i="20"/>
  <c r="AU240" i="20"/>
  <c r="AU277" i="20"/>
  <c r="AU278" i="20"/>
  <c r="AU279" i="20"/>
  <c r="AM405" i="20"/>
  <c r="AM408" i="20"/>
  <c r="AM416"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117" i="14"/>
  <c r="AK117" i="14" s="1"/>
  <c r="AJ157" i="14"/>
  <c r="AK157" i="14" s="1"/>
  <c r="AJ13" i="14"/>
  <c r="AK13" i="14" s="1"/>
  <c r="AJ7" i="14"/>
  <c r="AK7" i="14" s="1"/>
  <c r="AJ15" i="14"/>
  <c r="AK15" i="14" s="1"/>
  <c r="AJ270" i="14"/>
  <c r="AK270" i="14" s="1"/>
  <c r="AJ49" i="14"/>
  <c r="AK49" i="14" s="1"/>
  <c r="AJ16" i="14"/>
  <c r="AK16" i="14" s="1"/>
  <c r="AJ17" i="14"/>
  <c r="AK17" i="14" s="1"/>
  <c r="AJ18" i="14"/>
  <c r="AK18" i="14" s="1"/>
  <c r="AJ147" i="14"/>
  <c r="AK147" i="14" s="1"/>
  <c r="AJ149" i="14"/>
  <c r="AK149" i="14" s="1"/>
  <c r="AJ146" i="14"/>
  <c r="AK146" i="14" s="1"/>
  <c r="AJ93" i="14"/>
  <c r="AK93" i="14" s="1"/>
  <c r="AJ188" i="14"/>
  <c r="AK188" i="14" s="1"/>
  <c r="AJ67" i="14"/>
  <c r="AK67" i="14" s="1"/>
  <c r="AJ187" i="14"/>
  <c r="AK187" i="14" s="1"/>
  <c r="AJ148" i="14"/>
  <c r="AK148" i="14" s="1"/>
  <c r="AJ114" i="14"/>
  <c r="AK114" i="14" s="1"/>
  <c r="AJ89" i="14"/>
  <c r="AK89" i="14" s="1"/>
  <c r="AJ76" i="14"/>
  <c r="AK76" i="14" s="1"/>
  <c r="AJ156" i="14"/>
  <c r="AK156" i="14" s="1"/>
  <c r="AJ162" i="14"/>
  <c r="AK162" i="14" s="1"/>
  <c r="AJ121" i="14"/>
  <c r="AK121" i="14" s="1"/>
  <c r="AJ169" i="14"/>
  <c r="AK169" i="14" s="1"/>
  <c r="AJ164" i="14"/>
  <c r="AK164" i="14" s="1"/>
  <c r="AJ190" i="14"/>
  <c r="AK190" i="14" s="1"/>
  <c r="AJ52" i="14"/>
  <c r="AK52" i="14" s="1"/>
  <c r="AJ177" i="14"/>
  <c r="AK177" i="14" s="1"/>
  <c r="AJ134" i="14"/>
  <c r="AK134" i="14" s="1"/>
  <c r="AJ108" i="14"/>
  <c r="AK108" i="14" s="1"/>
  <c r="AJ185" i="14"/>
  <c r="AK185" i="14" s="1"/>
  <c r="AJ186" i="14"/>
  <c r="AK186" i="14" s="1"/>
  <c r="AJ118" i="14"/>
  <c r="AK118" i="14" s="1"/>
  <c r="AJ95" i="14"/>
  <c r="AK95" i="14" s="1"/>
  <c r="AJ94" i="14"/>
  <c r="AK94" i="14" s="1"/>
  <c r="AJ97" i="14"/>
  <c r="AK97" i="14" s="1"/>
  <c r="AJ99" i="14"/>
  <c r="AK99" i="14" s="1"/>
  <c r="AJ100" i="14"/>
  <c r="AK100" i="14" s="1"/>
  <c r="AJ96" i="14"/>
  <c r="AK96" i="14" s="1"/>
  <c r="AJ101" i="14"/>
  <c r="AK101" i="14" s="1"/>
  <c r="AJ98" i="14"/>
  <c r="AK98" i="14" s="1"/>
  <c r="AJ107" i="14"/>
  <c r="AK107" i="14" s="1"/>
  <c r="AJ91" i="14"/>
  <c r="AK91" i="14" s="1"/>
  <c r="AJ88" i="14"/>
  <c r="AK88" i="14" s="1"/>
  <c r="AJ87" i="14"/>
  <c r="AK87" i="14" s="1"/>
  <c r="AJ90" i="14"/>
  <c r="AK90" i="14" s="1"/>
  <c r="AJ154" i="14"/>
  <c r="AK154" i="14" s="1"/>
  <c r="AJ39" i="14"/>
  <c r="AK39" i="14" s="1"/>
  <c r="AJ61" i="14"/>
  <c r="AK61" i="14" s="1"/>
  <c r="AJ214" i="14"/>
  <c r="AK214" i="14" s="1"/>
  <c r="AJ178" i="14"/>
  <c r="AK178" i="14" s="1"/>
  <c r="AJ74" i="14"/>
  <c r="AK74" i="14" s="1"/>
  <c r="AJ153" i="14"/>
  <c r="AK153" i="14" s="1"/>
  <c r="AJ132" i="14"/>
  <c r="AK132" i="14" s="1"/>
  <c r="AJ77" i="14"/>
  <c r="AK77" i="14" s="1"/>
  <c r="AJ10" i="14"/>
  <c r="AK10" i="14" s="1"/>
  <c r="AJ179" i="14"/>
  <c r="AK179" i="14" s="1"/>
  <c r="AJ182" i="14"/>
  <c r="AK182" i="14" s="1"/>
  <c r="AJ133" i="14"/>
  <c r="AK133" i="14" s="1"/>
  <c r="AJ84" i="14"/>
  <c r="AK84" i="14" s="1"/>
  <c r="AJ38" i="14"/>
  <c r="AK38" i="14" s="1"/>
  <c r="AJ85" i="14"/>
  <c r="AK85" i="14" s="1"/>
  <c r="AJ86" i="14"/>
  <c r="AK86" i="14" s="1"/>
  <c r="AJ103" i="14"/>
  <c r="AK103" i="14" s="1"/>
  <c r="AJ109" i="14"/>
  <c r="AK109" i="14" s="1"/>
  <c r="AJ105" i="14"/>
  <c r="AK105" i="14" s="1"/>
  <c r="AJ192" i="14"/>
  <c r="AK192" i="14" s="1"/>
  <c r="AJ195" i="14"/>
  <c r="AK195" i="14" s="1"/>
  <c r="AJ111" i="14"/>
  <c r="AK111" i="14" s="1"/>
  <c r="AJ197" i="14"/>
  <c r="AK197" i="14" s="1"/>
  <c r="AJ102" i="14"/>
  <c r="AK102" i="14" s="1"/>
  <c r="AJ184" i="14"/>
  <c r="AK184" i="14" s="1"/>
  <c r="AJ161" i="14"/>
  <c r="AK161" i="14" s="1"/>
  <c r="AJ48" i="14"/>
  <c r="AK48" i="14" s="1"/>
  <c r="AJ151" i="14"/>
  <c r="AK151" i="14" s="1"/>
  <c r="AJ176" i="14"/>
  <c r="AK176" i="14" s="1"/>
  <c r="AJ26" i="14"/>
  <c r="AK26" i="14" s="1"/>
  <c r="AJ27" i="14"/>
  <c r="AK27" i="14" s="1"/>
  <c r="AJ29" i="14"/>
  <c r="AK29" i="14" s="1"/>
  <c r="AJ30" i="14"/>
  <c r="AK30" i="14" s="1"/>
  <c r="AJ6" i="14"/>
  <c r="AK6" i="14" s="1"/>
  <c r="AJ31" i="14"/>
  <c r="AK31" i="14" s="1"/>
  <c r="AJ163" i="14"/>
  <c r="AK163" i="14" s="1"/>
  <c r="AJ81" i="14"/>
  <c r="AK81" i="14" s="1"/>
  <c r="AJ199" i="14"/>
  <c r="AK199" i="14" s="1"/>
  <c r="AJ19" i="14"/>
  <c r="AK19" i="14" s="1"/>
  <c r="AJ33" i="14"/>
  <c r="AK33" i="14" s="1"/>
  <c r="AJ172" i="14"/>
  <c r="AK172" i="14" s="1"/>
  <c r="AJ173" i="14"/>
  <c r="AK173" i="14" s="1"/>
  <c r="AJ174" i="14"/>
  <c r="AK174" i="14" s="1"/>
  <c r="AJ50" i="14"/>
  <c r="AK50" i="14" s="1"/>
  <c r="AJ131" i="14"/>
  <c r="AK131" i="14" s="1"/>
  <c r="AJ194" i="14"/>
  <c r="AK194" i="14" s="1"/>
  <c r="AJ198" i="14"/>
  <c r="AK198" i="14" s="1"/>
  <c r="AJ141" i="14"/>
  <c r="AK141" i="14" s="1"/>
  <c r="AJ145" i="14"/>
  <c r="AK145" i="14" s="1"/>
  <c r="AJ106" i="14"/>
  <c r="AK106" i="14" s="1"/>
  <c r="AJ152" i="14"/>
  <c r="AK152" i="14" s="1"/>
  <c r="AJ65" i="14"/>
  <c r="AK65" i="14" s="1"/>
  <c r="AJ124" i="14"/>
  <c r="AK124" i="14" s="1"/>
  <c r="AJ116" i="14"/>
  <c r="AK116" i="14" s="1"/>
  <c r="AJ202" i="14"/>
  <c r="AK202" i="14" s="1"/>
  <c r="AJ44" i="14"/>
  <c r="AK44" i="14" s="1"/>
  <c r="AJ73" i="14"/>
  <c r="AK73" i="14" s="1"/>
  <c r="AJ68" i="14"/>
  <c r="AK68" i="14" s="1"/>
  <c r="AJ158" i="14"/>
  <c r="AK158" i="14" s="1"/>
  <c r="AJ60" i="14"/>
  <c r="AK60" i="14" s="1"/>
  <c r="AJ170" i="14"/>
  <c r="AK170" i="14" s="1"/>
  <c r="AJ21" i="14"/>
  <c r="AK21" i="14" s="1"/>
  <c r="AJ66" i="14"/>
  <c r="AK66" i="14" s="1"/>
  <c r="AJ43" i="14"/>
  <c r="AK43" i="14" s="1"/>
  <c r="AJ171" i="14"/>
  <c r="AK171" i="14" s="1"/>
  <c r="AJ79" i="14"/>
  <c r="AK79" i="14" s="1"/>
  <c r="AJ166" i="14"/>
  <c r="AK166" i="14" s="1"/>
  <c r="AJ64" i="14"/>
  <c r="AK64" i="14" s="1"/>
  <c r="AJ46" i="14"/>
  <c r="AK46" i="14" s="1"/>
  <c r="AJ69" i="14"/>
  <c r="AK69" i="14" s="1"/>
  <c r="AJ168" i="14"/>
  <c r="AK168" i="14" s="1"/>
  <c r="AJ200" i="14"/>
  <c r="AK200" i="14" s="1"/>
  <c r="AJ47" i="14"/>
  <c r="AK47" i="14" s="1"/>
  <c r="AJ189" i="14"/>
  <c r="AK189" i="14" s="1"/>
  <c r="AJ125" i="14"/>
  <c r="AK125" i="14" s="1"/>
  <c r="AJ193" i="14"/>
  <c r="AK193" i="14" s="1"/>
  <c r="AJ263" i="14"/>
  <c r="AK263" i="14" s="1"/>
  <c r="AJ130" i="14"/>
  <c r="AK130" i="14" s="1"/>
  <c r="AJ63" i="14"/>
  <c r="AK63" i="14" s="1"/>
  <c r="AJ204" i="14"/>
  <c r="AK204" i="14" s="1"/>
  <c r="AJ160" i="14"/>
  <c r="AK160" i="14" s="1"/>
  <c r="AJ264" i="14"/>
  <c r="AK264" i="14" s="1"/>
  <c r="AJ235" i="14"/>
  <c r="AK235" i="14" s="1"/>
  <c r="AJ266" i="14"/>
  <c r="AK266" i="14" s="1"/>
  <c r="AJ267" i="14"/>
  <c r="AK267" i="14" s="1"/>
  <c r="AJ271" i="14"/>
  <c r="AK271" i="14" s="1"/>
  <c r="AJ51" i="14"/>
  <c r="AK51" i="14" s="1"/>
  <c r="AJ167" i="14"/>
  <c r="AK167" i="14" s="1"/>
  <c r="AJ206" i="14"/>
  <c r="AK206" i="14" s="1"/>
  <c r="AJ207" i="14"/>
  <c r="AK207" i="14" s="1"/>
  <c r="AJ272" i="14"/>
  <c r="AK272" i="14" s="1"/>
  <c r="AJ243" i="14"/>
  <c r="AK243" i="14" s="1"/>
  <c r="AJ208" i="14"/>
  <c r="AK208" i="14" s="1"/>
  <c r="AJ249" i="14"/>
  <c r="AK249" i="14" s="1"/>
  <c r="AJ239" i="14"/>
  <c r="AK239" i="14" s="1"/>
  <c r="AJ209" i="14"/>
  <c r="AK209" i="14" s="1"/>
  <c r="AJ210" i="14"/>
  <c r="AK210" i="14" s="1"/>
  <c r="AJ211" i="14"/>
  <c r="AK211" i="14" s="1"/>
  <c r="AJ213" i="14"/>
  <c r="AK213" i="14" s="1"/>
  <c r="AJ215" i="14"/>
  <c r="AK215" i="14" s="1"/>
  <c r="AJ273" i="14"/>
  <c r="AK273" i="14" s="1"/>
  <c r="AJ242" i="14"/>
  <c r="AK242" i="14" s="1"/>
  <c r="AJ276" i="14"/>
  <c r="AK276" i="14" s="1"/>
  <c r="AJ40" i="14"/>
  <c r="AK40" i="14" s="1"/>
  <c r="AJ57" i="14"/>
  <c r="AK57" i="14" s="1"/>
  <c r="AJ216" i="14"/>
  <c r="AK216" i="14" s="1"/>
  <c r="AJ58" i="14"/>
  <c r="AK58" i="14" s="1"/>
  <c r="AJ278" i="14"/>
  <c r="AK278" i="14" s="1"/>
  <c r="AJ75" i="14"/>
  <c r="AK75" i="14" s="1"/>
  <c r="AI117" i="14"/>
  <c r="AI147" i="14"/>
  <c r="AI149" i="14"/>
  <c r="AI146" i="14"/>
  <c r="AI93" i="14"/>
  <c r="AI188" i="14"/>
  <c r="AI67" i="14"/>
  <c r="AI187" i="14"/>
  <c r="AI148" i="14"/>
  <c r="AI114" i="14"/>
  <c r="AI89" i="14"/>
  <c r="AI76" i="14"/>
  <c r="AI156" i="14"/>
  <c r="AI162" i="14"/>
  <c r="AI121" i="14"/>
  <c r="AI169" i="14"/>
  <c r="AI164" i="14"/>
  <c r="AI190" i="14"/>
  <c r="AI52" i="14"/>
  <c r="AI177" i="14"/>
  <c r="AI134" i="14"/>
  <c r="AI108" i="14"/>
  <c r="AI185" i="14"/>
  <c r="AI186" i="14"/>
  <c r="AI118" i="14"/>
  <c r="AI95" i="14"/>
  <c r="AI94" i="14"/>
  <c r="AI97" i="14"/>
  <c r="AI99" i="14"/>
  <c r="AI100" i="14"/>
  <c r="AI96" i="14"/>
  <c r="AI101" i="14"/>
  <c r="AI98" i="14"/>
  <c r="AI107" i="14"/>
  <c r="AI91" i="14"/>
  <c r="AI88" i="14"/>
  <c r="AI87" i="14"/>
  <c r="AI90" i="14"/>
  <c r="AI154" i="14"/>
  <c r="AI39" i="14"/>
  <c r="AI61" i="14"/>
  <c r="AI214" i="14"/>
  <c r="AI178" i="14"/>
  <c r="AI74" i="14"/>
  <c r="AI153" i="14"/>
  <c r="AI132" i="14"/>
  <c r="AI77" i="14"/>
  <c r="AI10" i="14"/>
  <c r="AI179" i="14"/>
  <c r="AI182" i="14"/>
  <c r="AI133" i="14"/>
  <c r="AI84" i="14"/>
  <c r="AI38" i="14"/>
  <c r="AI85" i="14"/>
  <c r="AI86" i="14"/>
  <c r="AI103" i="14"/>
  <c r="AI109" i="14"/>
  <c r="AI105" i="14"/>
  <c r="AI192" i="14"/>
  <c r="AI195" i="14"/>
  <c r="AI111" i="14"/>
  <c r="AI197" i="14"/>
  <c r="AI102" i="14"/>
  <c r="AI184" i="14"/>
  <c r="AI161" i="14"/>
  <c r="AI48" i="14"/>
  <c r="AI151" i="14"/>
  <c r="AI176" i="14"/>
  <c r="AI26" i="14"/>
  <c r="AI163" i="14"/>
  <c r="AI50" i="14"/>
  <c r="AI8" i="14"/>
  <c r="AI22" i="14"/>
  <c r="AI59" i="14"/>
  <c r="AI82" i="14"/>
  <c r="AI115" i="14"/>
  <c r="AI120" i="14"/>
  <c r="AI253" i="14"/>
  <c r="AI126" i="14"/>
  <c r="AI128" i="14"/>
  <c r="AI255" i="14"/>
  <c r="AI129" i="14"/>
  <c r="AI138" i="14"/>
  <c r="AI131" i="14"/>
  <c r="AI194" i="14"/>
  <c r="AI139" i="14"/>
  <c r="AI141" i="14"/>
  <c r="AI145" i="14"/>
  <c r="AI152" i="14"/>
  <c r="AI68" i="14"/>
  <c r="AI158" i="14"/>
  <c r="AI21" i="14"/>
  <c r="AI66" i="14"/>
  <c r="AI79" i="14"/>
  <c r="AI166" i="14"/>
  <c r="AI168" i="14"/>
  <c r="AI189" i="14"/>
  <c r="AI193" i="14"/>
  <c r="AI63" i="14"/>
  <c r="AI235" i="14"/>
  <c r="AI239" i="14"/>
  <c r="AI242" i="14"/>
  <c r="AI40" i="14"/>
  <c r="CJ23" i="62"/>
  <c r="CJ24" i="62"/>
  <c r="CJ25" i="62"/>
  <c r="CJ26" i="62"/>
  <c r="CI26" i="62"/>
  <c r="CJ27" i="62"/>
  <c r="CJ28" i="62"/>
  <c r="CJ29" i="62"/>
  <c r="CJ30" i="62"/>
  <c r="CJ31" i="62"/>
  <c r="CI31" i="62"/>
  <c r="CI22" i="62"/>
  <c r="CI23" i="62"/>
  <c r="CH23" i="62" s="1"/>
  <c r="CI24" i="62"/>
  <c r="CI25" i="62"/>
  <c r="CH25" i="62" s="1"/>
  <c r="CI27" i="62"/>
  <c r="CI28" i="62"/>
  <c r="CI29" i="62"/>
  <c r="CI30" i="62"/>
  <c r="CG31" i="62"/>
  <c r="CG23" i="62"/>
  <c r="CG24" i="62"/>
  <c r="CG25" i="62"/>
  <c r="CG26" i="62"/>
  <c r="CG27" i="62"/>
  <c r="CG28" i="62"/>
  <c r="CG29" i="62"/>
  <c r="CG30" i="62"/>
  <c r="CG22" i="62"/>
  <c r="S189" i="19"/>
  <c r="S286" i="19"/>
  <c r="S287" i="19"/>
  <c r="S141" i="19"/>
  <c r="S288" i="19"/>
  <c r="S190" i="19"/>
  <c r="S289" i="19"/>
  <c r="S122" i="19"/>
  <c r="S98" i="19"/>
  <c r="S290" i="19"/>
  <c r="S142" i="19"/>
  <c r="S191" i="19"/>
  <c r="S218" i="19"/>
  <c r="S223" i="19"/>
  <c r="S292" i="19"/>
  <c r="S230" i="19"/>
  <c r="S294" i="19"/>
  <c r="S295" i="19"/>
  <c r="S296" i="19"/>
  <c r="S143" i="19"/>
  <c r="S234" i="19"/>
  <c r="S297" i="19"/>
  <c r="S298" i="19"/>
  <c r="S299" i="19"/>
  <c r="S300" i="19"/>
  <c r="S301" i="19"/>
  <c r="S239" i="19"/>
  <c r="S240" i="19"/>
  <c r="S144" i="19"/>
  <c r="S241" i="19"/>
  <c r="S242" i="19"/>
  <c r="S305" i="19"/>
  <c r="S306" i="19"/>
  <c r="S307" i="19"/>
  <c r="S308" i="19"/>
  <c r="S309" i="19"/>
  <c r="S146" i="19"/>
  <c r="S310" i="19"/>
  <c r="S251" i="19"/>
  <c r="S264" i="19"/>
  <c r="S312" i="19"/>
  <c r="S313" i="19"/>
  <c r="S101" i="19"/>
  <c r="S314" i="19"/>
  <c r="S315" i="19"/>
  <c r="S266" i="19"/>
  <c r="S13" i="19"/>
  <c r="S316" i="19"/>
  <c r="S161" i="19"/>
  <c r="S317" i="19"/>
  <c r="S318" i="19"/>
  <c r="S319" i="19"/>
  <c r="S320" i="19"/>
  <c r="S321" i="19"/>
  <c r="S274" i="19"/>
  <c r="S278" i="19"/>
  <c r="S324" i="19"/>
  <c r="S325" i="19"/>
  <c r="S327" i="19"/>
  <c r="S328" i="19"/>
  <c r="S149" i="19"/>
  <c r="S329" i="19"/>
  <c r="S330" i="19"/>
  <c r="S162" i="19"/>
  <c r="S331" i="19"/>
  <c r="S332" i="19"/>
  <c r="S333" i="19"/>
  <c r="S163" i="19"/>
  <c r="S334" i="19"/>
  <c r="S335" i="19"/>
  <c r="S293" i="19"/>
  <c r="S337" i="19"/>
  <c r="S82" i="19"/>
  <c r="S303" i="19"/>
  <c r="S339" i="19"/>
  <c r="S340" i="19"/>
  <c r="S341" i="19"/>
  <c r="S304" i="19"/>
  <c r="S343" i="19"/>
  <c r="S151" i="19"/>
  <c r="S344" i="19"/>
  <c r="S311" i="19"/>
  <c r="S347" i="19"/>
  <c r="S346" i="19"/>
  <c r="S349" i="19"/>
  <c r="S350" i="19"/>
  <c r="S323" i="19"/>
  <c r="S336" i="19"/>
  <c r="S338" i="19"/>
  <c r="S351" i="19"/>
  <c r="S352" i="19"/>
  <c r="S353" i="19"/>
  <c r="S354" i="19"/>
  <c r="S355" i="19"/>
  <c r="S356" i="19"/>
  <c r="S345" i="19"/>
  <c r="S357" i="19"/>
  <c r="S358" i="19"/>
  <c r="S359" i="19"/>
  <c r="S360" i="19"/>
  <c r="S165" i="19"/>
  <c r="S361" i="19"/>
  <c r="S362" i="19"/>
  <c r="S155" i="19"/>
  <c r="S363" i="19"/>
  <c r="S364" i="19"/>
  <c r="S365" i="19"/>
  <c r="S366" i="19"/>
  <c r="S367" i="19"/>
  <c r="S368" i="19"/>
  <c r="S369" i="19"/>
  <c r="S370" i="19"/>
  <c r="S371" i="19"/>
  <c r="S373" i="19"/>
  <c r="S372" i="19"/>
  <c r="S374" i="19"/>
  <c r="T189" i="19"/>
  <c r="P189" i="19" s="1"/>
  <c r="U189" i="19" s="1"/>
  <c r="T286" i="19"/>
  <c r="P286" i="19" s="1"/>
  <c r="U286" i="19" s="1"/>
  <c r="T287" i="19"/>
  <c r="P287" i="19" s="1"/>
  <c r="U287" i="19" s="1"/>
  <c r="T141" i="19"/>
  <c r="P141" i="19" s="1"/>
  <c r="U141" i="19" s="1"/>
  <c r="T288" i="19"/>
  <c r="P288" i="19" s="1"/>
  <c r="U288" i="19" s="1"/>
  <c r="T190" i="19"/>
  <c r="P190" i="19" s="1"/>
  <c r="U190" i="19" s="1"/>
  <c r="T289" i="19"/>
  <c r="P289" i="19" s="1"/>
  <c r="U289" i="19" s="1"/>
  <c r="T122" i="19"/>
  <c r="P122" i="19" s="1"/>
  <c r="U122" i="19" s="1"/>
  <c r="T98" i="19"/>
  <c r="P98" i="19" s="1"/>
  <c r="U98" i="19" s="1"/>
  <c r="T290" i="19"/>
  <c r="P290" i="19" s="1"/>
  <c r="U290" i="19" s="1"/>
  <c r="T142" i="19"/>
  <c r="P142" i="19" s="1"/>
  <c r="U142" i="19" s="1"/>
  <c r="T191" i="19"/>
  <c r="P191" i="19" s="1"/>
  <c r="U191" i="19" s="1"/>
  <c r="T218" i="19"/>
  <c r="P218" i="19" s="1"/>
  <c r="U218" i="19" s="1"/>
  <c r="T223" i="19"/>
  <c r="P223" i="19" s="1"/>
  <c r="U223" i="19" s="1"/>
  <c r="T292" i="19"/>
  <c r="P292" i="19" s="1"/>
  <c r="U292" i="19" s="1"/>
  <c r="T230" i="19"/>
  <c r="P230" i="19" s="1"/>
  <c r="U230" i="19" s="1"/>
  <c r="T294" i="19"/>
  <c r="P294" i="19" s="1"/>
  <c r="U294" i="19" s="1"/>
  <c r="T295" i="19"/>
  <c r="P295" i="19" s="1"/>
  <c r="U295" i="19" s="1"/>
  <c r="T296" i="19"/>
  <c r="P296" i="19" s="1"/>
  <c r="U296" i="19" s="1"/>
  <c r="T143" i="19"/>
  <c r="P143" i="19" s="1"/>
  <c r="U143" i="19" s="1"/>
  <c r="T234" i="19"/>
  <c r="P234" i="19" s="1"/>
  <c r="T297" i="19"/>
  <c r="P297" i="19" s="1"/>
  <c r="U297" i="19" s="1"/>
  <c r="T298" i="19"/>
  <c r="P298" i="19" s="1"/>
  <c r="U298" i="19" s="1"/>
  <c r="T299" i="19"/>
  <c r="P299" i="19" s="1"/>
  <c r="U299" i="19" s="1"/>
  <c r="T300" i="19"/>
  <c r="P300" i="19" s="1"/>
  <c r="U300" i="19" s="1"/>
  <c r="T301" i="19"/>
  <c r="P301" i="19" s="1"/>
  <c r="U301" i="19" s="1"/>
  <c r="T239" i="19"/>
  <c r="P239" i="19" s="1"/>
  <c r="U239" i="19" s="1"/>
  <c r="T240" i="19"/>
  <c r="P240" i="19" s="1"/>
  <c r="U240" i="19" s="1"/>
  <c r="T144" i="19"/>
  <c r="P144" i="19" s="1"/>
  <c r="U144" i="19" s="1"/>
  <c r="T241" i="19"/>
  <c r="P241" i="19" s="1"/>
  <c r="U241" i="19" s="1"/>
  <c r="T242" i="19"/>
  <c r="P242" i="19" s="1"/>
  <c r="U242" i="19" s="1"/>
  <c r="T305" i="19"/>
  <c r="P305" i="19" s="1"/>
  <c r="U305" i="19" s="1"/>
  <c r="T306" i="19"/>
  <c r="P306" i="19" s="1"/>
  <c r="U306" i="19" s="1"/>
  <c r="T307" i="19"/>
  <c r="P307" i="19" s="1"/>
  <c r="U307" i="19" s="1"/>
  <c r="T308" i="19"/>
  <c r="P308" i="19" s="1"/>
  <c r="U308" i="19" s="1"/>
  <c r="T309" i="19"/>
  <c r="P309" i="19" s="1"/>
  <c r="U309" i="19" s="1"/>
  <c r="T146" i="19"/>
  <c r="P146" i="19" s="1"/>
  <c r="U146" i="19" s="1"/>
  <c r="T310" i="19"/>
  <c r="P310" i="19" s="1"/>
  <c r="U310" i="19" s="1"/>
  <c r="T251" i="19"/>
  <c r="P251" i="19" s="1"/>
  <c r="U251" i="19" s="1"/>
  <c r="T264" i="19"/>
  <c r="P264" i="19" s="1"/>
  <c r="U264" i="19" s="1"/>
  <c r="T312" i="19"/>
  <c r="P312" i="19" s="1"/>
  <c r="U312" i="19" s="1"/>
  <c r="T313" i="19"/>
  <c r="P313" i="19" s="1"/>
  <c r="U313" i="19" s="1"/>
  <c r="T101" i="19"/>
  <c r="P101" i="19" s="1"/>
  <c r="U101" i="19" s="1"/>
  <c r="T314" i="19"/>
  <c r="P314" i="19" s="1"/>
  <c r="U314" i="19" s="1"/>
  <c r="T315" i="19"/>
  <c r="P315" i="19" s="1"/>
  <c r="U315" i="19" s="1"/>
  <c r="T266" i="19"/>
  <c r="P266" i="19" s="1"/>
  <c r="U266" i="19" s="1"/>
  <c r="T13" i="19"/>
  <c r="P13" i="19" s="1"/>
  <c r="U13" i="19" s="1"/>
  <c r="T316" i="19"/>
  <c r="P316" i="19" s="1"/>
  <c r="U316" i="19" s="1"/>
  <c r="T161" i="19"/>
  <c r="P161" i="19" s="1"/>
  <c r="U161" i="19" s="1"/>
  <c r="T317" i="19"/>
  <c r="P317" i="19" s="1"/>
  <c r="U317" i="19" s="1"/>
  <c r="T318" i="19"/>
  <c r="P318" i="19" s="1"/>
  <c r="U318" i="19" s="1"/>
  <c r="T319" i="19"/>
  <c r="P319" i="19" s="1"/>
  <c r="U319" i="19" s="1"/>
  <c r="T320" i="19"/>
  <c r="P320" i="19" s="1"/>
  <c r="U320" i="19" s="1"/>
  <c r="T125" i="19"/>
  <c r="P125" i="19" s="1"/>
  <c r="U125" i="19" s="1"/>
  <c r="T193" i="19"/>
  <c r="P193" i="19" s="1"/>
  <c r="U193" i="19" s="1"/>
  <c r="T194" i="19"/>
  <c r="P194" i="19" s="1"/>
  <c r="U194" i="19" s="1"/>
  <c r="T195" i="19"/>
  <c r="P195" i="19" s="1"/>
  <c r="U195" i="19" s="1"/>
  <c r="T196" i="19"/>
  <c r="P196" i="19" s="1"/>
  <c r="U196" i="19" s="1"/>
  <c r="T197" i="19"/>
  <c r="P197" i="19" s="1"/>
  <c r="U197" i="19" s="1"/>
  <c r="T126" i="19"/>
  <c r="P126" i="19" s="1"/>
  <c r="U126" i="19" s="1"/>
  <c r="T127" i="19"/>
  <c r="P127" i="19" s="1"/>
  <c r="U127" i="19" s="1"/>
  <c r="T199" i="19"/>
  <c r="P199" i="19" s="1"/>
  <c r="U199" i="19" s="1"/>
  <c r="T200" i="19"/>
  <c r="P200" i="19" s="1"/>
  <c r="U200" i="19" s="1"/>
  <c r="T201" i="19"/>
  <c r="P201" i="19" s="1"/>
  <c r="U201" i="19" s="1"/>
  <c r="T128" i="19"/>
  <c r="P128" i="19" s="1"/>
  <c r="U128" i="19" s="1"/>
  <c r="T129" i="19"/>
  <c r="P129" i="19" s="1"/>
  <c r="U129" i="19" s="1"/>
  <c r="T202" i="19"/>
  <c r="P202" i="19" s="1"/>
  <c r="U202" i="19" s="1"/>
  <c r="T203" i="19"/>
  <c r="P203" i="19" s="1"/>
  <c r="U203" i="19" s="1"/>
  <c r="T204" i="19"/>
  <c r="P204" i="19" s="1"/>
  <c r="U204" i="19" s="1"/>
  <c r="T83" i="19"/>
  <c r="P83" i="19" s="1"/>
  <c r="U83" i="19" s="1"/>
  <c r="T109" i="19"/>
  <c r="P109" i="19" s="1"/>
  <c r="U109" i="19" s="1"/>
  <c r="T205" i="19"/>
  <c r="P205" i="19" s="1"/>
  <c r="U205" i="19" s="1"/>
  <c r="T84" i="19"/>
  <c r="P84" i="19" s="1"/>
  <c r="U84" i="19" s="1"/>
  <c r="T131" i="19"/>
  <c r="P131" i="19" s="1"/>
  <c r="U131" i="19" s="1"/>
  <c r="T206" i="19"/>
  <c r="P206" i="19" s="1"/>
  <c r="U206" i="19" s="1"/>
  <c r="T90" i="19"/>
  <c r="P90" i="19" s="1"/>
  <c r="U90" i="19" s="1"/>
  <c r="T208" i="19"/>
  <c r="P208" i="19" s="1"/>
  <c r="U208" i="19" s="1"/>
  <c r="T91" i="19"/>
  <c r="P91" i="19" s="1"/>
  <c r="U91" i="19" s="1"/>
  <c r="T210" i="19"/>
  <c r="P210" i="19" s="1"/>
  <c r="U210" i="19" s="1"/>
  <c r="T211" i="19"/>
  <c r="P211" i="19" s="1"/>
  <c r="U211" i="19" s="1"/>
  <c r="T212" i="19"/>
  <c r="P212" i="19" s="1"/>
  <c r="U212" i="19" s="1"/>
  <c r="T213" i="19"/>
  <c r="P213" i="19" s="1"/>
  <c r="U213" i="19" s="1"/>
  <c r="T106" i="19"/>
  <c r="P106" i="19" s="1"/>
  <c r="U106" i="19" s="1"/>
  <c r="T214" i="19"/>
  <c r="P214" i="19" s="1"/>
  <c r="U214" i="19" s="1"/>
  <c r="T215" i="19"/>
  <c r="P215" i="19" s="1"/>
  <c r="U215" i="19" s="1"/>
  <c r="T216" i="19"/>
  <c r="P216" i="19" s="1"/>
  <c r="U216" i="19" s="1"/>
  <c r="T217" i="19"/>
  <c r="P217" i="19" s="1"/>
  <c r="U217" i="19" s="1"/>
  <c r="T167" i="19"/>
  <c r="P167" i="19" s="1"/>
  <c r="U167" i="19" s="1"/>
  <c r="T92" i="19"/>
  <c r="P92" i="19" s="1"/>
  <c r="U92" i="19" s="1"/>
  <c r="T219" i="19"/>
  <c r="P219" i="19" s="1"/>
  <c r="U219" i="19" s="1"/>
  <c r="T220" i="19"/>
  <c r="P220" i="19" s="1"/>
  <c r="U220" i="19" s="1"/>
  <c r="T221" i="19"/>
  <c r="P221" i="19" s="1"/>
  <c r="U221" i="19" s="1"/>
  <c r="T222" i="19"/>
  <c r="P222" i="19" s="1"/>
  <c r="U222" i="19" s="1"/>
  <c r="T168" i="19"/>
  <c r="P168" i="19" s="1"/>
  <c r="U168" i="19" s="1"/>
  <c r="T150" i="19"/>
  <c r="P150" i="19" s="1"/>
  <c r="U150" i="19" s="1"/>
  <c r="T224" i="19"/>
  <c r="P224" i="19" s="1"/>
  <c r="U224" i="19" s="1"/>
  <c r="T225" i="19"/>
  <c r="P225" i="19" s="1"/>
  <c r="U225" i="19" s="1"/>
  <c r="T226" i="19"/>
  <c r="P226" i="19" s="1"/>
  <c r="U226" i="19" s="1"/>
  <c r="T93" i="19"/>
  <c r="P93" i="19" s="1"/>
  <c r="U93" i="19" s="1"/>
  <c r="T227" i="19"/>
  <c r="P227" i="19" s="1"/>
  <c r="U227" i="19" s="1"/>
  <c r="T228" i="19"/>
  <c r="P228" i="19" s="1"/>
  <c r="U228" i="19" s="1"/>
  <c r="T229" i="19"/>
  <c r="P229" i="19" s="1"/>
  <c r="U229" i="19" s="1"/>
  <c r="T231" i="19"/>
  <c r="P231" i="19" s="1"/>
  <c r="U231" i="19" s="1"/>
  <c r="T232" i="19"/>
  <c r="P232" i="19" s="1"/>
  <c r="U232" i="19" s="1"/>
  <c r="T170" i="19"/>
  <c r="P170" i="19" s="1"/>
  <c r="U170" i="19" s="1"/>
  <c r="T171" i="19"/>
  <c r="P171" i="19" s="1"/>
  <c r="U171" i="19" s="1"/>
  <c r="T235" i="19"/>
  <c r="P235" i="19" s="1"/>
  <c r="U235" i="19" s="1"/>
  <c r="T134" i="19"/>
  <c r="P134" i="19" s="1"/>
  <c r="U134" i="19" s="1"/>
  <c r="T236" i="19"/>
  <c r="P236" i="19" s="1"/>
  <c r="U236" i="19" s="1"/>
  <c r="T85" i="19"/>
  <c r="P85" i="19" s="1"/>
  <c r="U85" i="19" s="1"/>
  <c r="T237" i="19"/>
  <c r="P237" i="19" s="1"/>
  <c r="U237" i="19" s="1"/>
  <c r="T238" i="19"/>
  <c r="P238" i="19" s="1"/>
  <c r="U238" i="19" s="1"/>
  <c r="T172" i="19"/>
  <c r="P172" i="19" s="1"/>
  <c r="U172" i="19" s="1"/>
  <c r="T173" i="19"/>
  <c r="P173" i="19" s="1"/>
  <c r="U173" i="19" s="1"/>
  <c r="T174" i="19"/>
  <c r="P174" i="19" s="1"/>
  <c r="U174" i="19" s="1"/>
  <c r="T175" i="19"/>
  <c r="P175" i="19" s="1"/>
  <c r="U175" i="19" s="1"/>
  <c r="T176" i="19"/>
  <c r="P176" i="19" s="1"/>
  <c r="U176" i="19" s="1"/>
  <c r="T244" i="19"/>
  <c r="P244" i="19" s="1"/>
  <c r="U244" i="19" s="1"/>
  <c r="T245" i="19"/>
  <c r="P245" i="19" s="1"/>
  <c r="U245" i="19" s="1"/>
  <c r="T135" i="19"/>
  <c r="P135" i="19" s="1"/>
  <c r="U135" i="19" s="1"/>
  <c r="T96" i="19"/>
  <c r="P96" i="19" s="1"/>
  <c r="U96" i="19" s="1"/>
  <c r="T246" i="19"/>
  <c r="P246" i="19" s="1"/>
  <c r="U246" i="19" s="1"/>
  <c r="T247" i="19"/>
  <c r="P247" i="19" s="1"/>
  <c r="U247" i="19" s="1"/>
  <c r="T97" i="19"/>
  <c r="P97" i="19" s="1"/>
  <c r="U97" i="19" s="1"/>
  <c r="T248" i="19"/>
  <c r="P248" i="19" s="1"/>
  <c r="U248" i="19" s="1"/>
  <c r="T250" i="19"/>
  <c r="P250" i="19" s="1"/>
  <c r="U250" i="19" s="1"/>
  <c r="T252" i="19"/>
  <c r="P252" i="19" s="1"/>
  <c r="U252" i="19" s="1"/>
  <c r="T105" i="19"/>
  <c r="P105" i="19" s="1"/>
  <c r="U105" i="19" s="1"/>
  <c r="T253" i="19"/>
  <c r="P253" i="19" s="1"/>
  <c r="U253" i="19" s="1"/>
  <c r="T254" i="19"/>
  <c r="P254" i="19" s="1"/>
  <c r="U254" i="19" s="1"/>
  <c r="T117" i="19"/>
  <c r="P117" i="19" s="1"/>
  <c r="U117" i="19" s="1"/>
  <c r="T255" i="19"/>
  <c r="P255" i="19" s="1"/>
  <c r="U255" i="19" s="1"/>
  <c r="T256" i="19"/>
  <c r="P256" i="19" s="1"/>
  <c r="U256" i="19" s="1"/>
  <c r="T257" i="19"/>
  <c r="P257" i="19" s="1"/>
  <c r="U257" i="19" s="1"/>
  <c r="T258" i="19"/>
  <c r="P258" i="19" s="1"/>
  <c r="U258" i="19" s="1"/>
  <c r="T259" i="19"/>
  <c r="P259" i="19" s="1"/>
  <c r="U259" i="19" s="1"/>
  <c r="T260" i="19"/>
  <c r="P260" i="19" s="1"/>
  <c r="U260" i="19" s="1"/>
  <c r="T261" i="19"/>
  <c r="P261" i="19" s="1"/>
  <c r="U261" i="19" s="1"/>
  <c r="T262" i="19"/>
  <c r="P262" i="19" s="1"/>
  <c r="U262" i="19" s="1"/>
  <c r="T263" i="19"/>
  <c r="P263" i="19" s="1"/>
  <c r="U263" i="19" s="1"/>
  <c r="T178" i="19"/>
  <c r="P178" i="19" s="1"/>
  <c r="U178" i="19" s="1"/>
  <c r="T179" i="19"/>
  <c r="P179" i="19" s="1"/>
  <c r="U179" i="19" s="1"/>
  <c r="T180" i="19"/>
  <c r="P180" i="19" s="1"/>
  <c r="U180" i="19" s="1"/>
  <c r="T181" i="19"/>
  <c r="P181" i="19" s="1"/>
  <c r="U181" i="19" s="1"/>
  <c r="T265" i="19"/>
  <c r="P265" i="19" s="1"/>
  <c r="U265" i="19" s="1"/>
  <c r="T118" i="19"/>
  <c r="P118" i="19" s="1"/>
  <c r="U118" i="19" s="1"/>
  <c r="T182" i="19"/>
  <c r="P182" i="19" s="1"/>
  <c r="U182" i="19" s="1"/>
  <c r="T267" i="19"/>
  <c r="P267" i="19" s="1"/>
  <c r="U267" i="19" s="1"/>
  <c r="T268" i="19"/>
  <c r="P268" i="19" s="1"/>
  <c r="U268" i="19" s="1"/>
  <c r="T269" i="19"/>
  <c r="P269" i="19" s="1"/>
  <c r="U269" i="19" s="1"/>
  <c r="T183" i="19"/>
  <c r="P183" i="19" s="1"/>
  <c r="U183" i="19" s="1"/>
  <c r="T107" i="19"/>
  <c r="P107" i="19" s="1"/>
  <c r="U107" i="19" s="1"/>
  <c r="T270" i="19"/>
  <c r="P270" i="19" s="1"/>
  <c r="U270" i="19" s="1"/>
  <c r="T271" i="19"/>
  <c r="P271" i="19" s="1"/>
  <c r="U271" i="19" s="1"/>
  <c r="T184" i="19"/>
  <c r="P184" i="19" s="1"/>
  <c r="U184" i="19" s="1"/>
  <c r="T272" i="19"/>
  <c r="P272" i="19" s="1"/>
  <c r="U272" i="19" s="1"/>
  <c r="T123" i="19"/>
  <c r="P123" i="19" s="1"/>
  <c r="U123" i="19" s="1"/>
  <c r="T185" i="19"/>
  <c r="P185" i="19" s="1"/>
  <c r="U185" i="19" s="1"/>
  <c r="T273" i="19"/>
  <c r="P273" i="19" s="1"/>
  <c r="U273" i="19" s="1"/>
  <c r="T124" i="19"/>
  <c r="P124" i="19" s="1"/>
  <c r="U124" i="19" s="1"/>
  <c r="T275" i="19"/>
  <c r="P275" i="19" s="1"/>
  <c r="U275" i="19" s="1"/>
  <c r="T276" i="19"/>
  <c r="P276" i="19" s="1"/>
  <c r="U276" i="19" s="1"/>
  <c r="T277" i="19"/>
  <c r="P277" i="19" s="1"/>
  <c r="U277" i="19" s="1"/>
  <c r="T187" i="19"/>
  <c r="P187" i="19" s="1"/>
  <c r="U187" i="19" s="1"/>
  <c r="T188" i="19"/>
  <c r="P188" i="19" s="1"/>
  <c r="U188" i="19" s="1"/>
  <c r="T108" i="19"/>
  <c r="P108" i="19" s="1"/>
  <c r="U108" i="19" s="1"/>
  <c r="T158" i="19"/>
  <c r="P158" i="19" s="1"/>
  <c r="U158" i="19" s="1"/>
  <c r="T279" i="19"/>
  <c r="P279" i="19" s="1"/>
  <c r="U279" i="19" s="1"/>
  <c r="T280" i="19"/>
  <c r="P280" i="19" s="1"/>
  <c r="U280" i="19" s="1"/>
  <c r="T281" i="19"/>
  <c r="P281" i="19" s="1"/>
  <c r="U281" i="19" s="1"/>
  <c r="T282" i="19"/>
  <c r="P282" i="19" s="1"/>
  <c r="U282" i="19" s="1"/>
  <c r="T283" i="19"/>
  <c r="P283" i="19" s="1"/>
  <c r="U283" i="19" s="1"/>
  <c r="T284" i="19"/>
  <c r="P284" i="19" s="1"/>
  <c r="U284" i="19" s="1"/>
  <c r="T285" i="19"/>
  <c r="P285" i="19" s="1"/>
  <c r="U285" i="19" s="1"/>
  <c r="T192" i="19"/>
  <c r="P192" i="19" s="1"/>
  <c r="U192" i="19" s="1"/>
  <c r="S125" i="19"/>
  <c r="S193" i="19"/>
  <c r="S195" i="19"/>
  <c r="S196" i="19"/>
  <c r="S197" i="19"/>
  <c r="S126" i="19"/>
  <c r="S127" i="19"/>
  <c r="S199" i="19"/>
  <c r="S200" i="19"/>
  <c r="S201" i="19"/>
  <c r="S128" i="19"/>
  <c r="S129" i="19"/>
  <c r="S202" i="19"/>
  <c r="S203" i="19"/>
  <c r="S204" i="19"/>
  <c r="S83" i="19"/>
  <c r="S109" i="19"/>
  <c r="S205" i="19"/>
  <c r="S84" i="19"/>
  <c r="S131" i="19"/>
  <c r="S206" i="19"/>
  <c r="S90" i="19"/>
  <c r="S208" i="19"/>
  <c r="S91" i="19"/>
  <c r="S210" i="19"/>
  <c r="S211" i="19"/>
  <c r="S212" i="19"/>
  <c r="S213" i="19"/>
  <c r="S106" i="19"/>
  <c r="S214" i="19"/>
  <c r="S215" i="19"/>
  <c r="S216" i="19"/>
  <c r="S217" i="19"/>
  <c r="S167" i="19"/>
  <c r="S92" i="19"/>
  <c r="S219" i="19"/>
  <c r="S220" i="19"/>
  <c r="S221" i="19"/>
  <c r="S222" i="19"/>
  <c r="S168" i="19"/>
  <c r="S150" i="19"/>
  <c r="S224" i="19"/>
  <c r="S225" i="19"/>
  <c r="S226" i="19"/>
  <c r="S93" i="19"/>
  <c r="S227" i="19"/>
  <c r="S228" i="19"/>
  <c r="S229" i="19"/>
  <c r="S231" i="19"/>
  <c r="S232" i="19"/>
  <c r="S170" i="19"/>
  <c r="S171" i="19"/>
  <c r="S235" i="19"/>
  <c r="S134" i="19"/>
  <c r="S236" i="19"/>
  <c r="S85" i="19"/>
  <c r="S237" i="19"/>
  <c r="S238" i="19"/>
  <c r="S172" i="19"/>
  <c r="S173" i="19"/>
  <c r="S174" i="19"/>
  <c r="S175" i="19"/>
  <c r="S176" i="19"/>
  <c r="S244" i="19"/>
  <c r="S245" i="19"/>
  <c r="S135" i="19"/>
  <c r="S96" i="19"/>
  <c r="S246" i="19"/>
  <c r="S247" i="19"/>
  <c r="S97" i="19"/>
  <c r="S248" i="19"/>
  <c r="S250" i="19"/>
  <c r="S252" i="19"/>
  <c r="S105" i="19"/>
  <c r="S253" i="19"/>
  <c r="S254" i="19"/>
  <c r="S117" i="19"/>
  <c r="S255" i="19"/>
  <c r="S256" i="19"/>
  <c r="S257" i="19"/>
  <c r="S258" i="19"/>
  <c r="S259" i="19"/>
  <c r="S260" i="19"/>
  <c r="S261" i="19"/>
  <c r="S262" i="19"/>
  <c r="S263" i="19"/>
  <c r="S178" i="19"/>
  <c r="S179" i="19"/>
  <c r="S180" i="19"/>
  <c r="S181" i="19"/>
  <c r="S265" i="19"/>
  <c r="S118" i="19"/>
  <c r="S182" i="19"/>
  <c r="S267" i="19"/>
  <c r="S268" i="19"/>
  <c r="S269" i="19"/>
  <c r="S183" i="19"/>
  <c r="S107" i="19"/>
  <c r="S270" i="19"/>
  <c r="S271" i="19"/>
  <c r="S184" i="19"/>
  <c r="S272" i="19"/>
  <c r="S123" i="19"/>
  <c r="S185" i="19"/>
  <c r="S273" i="19"/>
  <c r="S124" i="19"/>
  <c r="S275" i="19"/>
  <c r="S276" i="19"/>
  <c r="S277" i="19"/>
  <c r="S187" i="19"/>
  <c r="S188" i="19"/>
  <c r="S108" i="19"/>
  <c r="S158" i="19"/>
  <c r="S279" i="19"/>
  <c r="S280" i="19"/>
  <c r="S281" i="19"/>
  <c r="S282" i="19"/>
  <c r="S283" i="19"/>
  <c r="S284" i="19"/>
  <c r="S285" i="19"/>
  <c r="S192" i="19"/>
  <c r="AM221" i="20"/>
  <c r="AM220" i="20"/>
  <c r="AM235" i="20"/>
  <c r="AM234" i="20"/>
  <c r="AM471" i="20"/>
  <c r="AM472" i="20"/>
  <c r="AM470" i="20"/>
  <c r="AM473" i="20"/>
  <c r="AM431" i="20"/>
  <c r="AM391" i="20"/>
  <c r="AM394" i="20"/>
  <c r="AM427" i="20"/>
  <c r="AM410" i="20"/>
  <c r="AM438" i="20"/>
  <c r="AM433" i="20"/>
  <c r="AM423" i="20"/>
  <c r="AM440" i="20"/>
  <c r="AM389" i="20"/>
  <c r="AM380" i="20"/>
  <c r="AM422" i="20"/>
  <c r="AM436" i="20"/>
  <c r="AM435" i="20"/>
  <c r="AM367" i="20"/>
  <c r="AM369" i="20"/>
  <c r="AM437" i="20"/>
  <c r="AM379" i="20"/>
  <c r="AM439" i="20"/>
  <c r="AM384" i="20"/>
  <c r="AM386" i="20"/>
  <c r="AM396" i="20"/>
  <c r="AM392" i="20"/>
  <c r="AM424" i="20"/>
  <c r="AM345" i="20"/>
  <c r="AM350" i="20"/>
  <c r="AM351" i="20"/>
  <c r="AM383" i="20"/>
  <c r="AM425" i="20"/>
  <c r="AM426" i="20"/>
  <c r="AM353" i="20"/>
  <c r="AM357" i="20"/>
  <c r="AM390" i="20"/>
  <c r="AM411" i="20"/>
  <c r="AM359" i="20"/>
  <c r="AM360" i="20"/>
  <c r="AM361" i="20"/>
  <c r="AM362" i="20"/>
  <c r="AM370" i="20"/>
  <c r="AM381" i="20"/>
  <c r="AM404" i="20"/>
  <c r="AM407" i="20"/>
  <c r="AM349" i="20"/>
  <c r="AM355" i="20"/>
  <c r="AM356" i="20"/>
  <c r="AM354" i="20"/>
  <c r="AM368" i="20"/>
  <c r="AM378" i="20"/>
  <c r="AM382" i="20"/>
  <c r="AM388" i="20"/>
  <c r="AM393" i="20"/>
  <c r="AM403" i="20"/>
  <c r="AM387" i="20"/>
  <c r="AM352" i="20"/>
  <c r="AM364" i="20"/>
  <c r="AM365" i="20"/>
  <c r="AM377" i="20"/>
  <c r="AM385" i="20"/>
  <c r="AM428" i="20"/>
  <c r="AM429" i="20"/>
  <c r="AM430" i="20"/>
  <c r="AM432" i="20"/>
  <c r="AM443" i="20"/>
  <c r="AM441" i="20"/>
  <c r="AM442" i="20"/>
  <c r="AM694" i="20"/>
  <c r="AM693" i="20"/>
  <c r="AM700" i="20"/>
  <c r="AM695" i="20"/>
  <c r="AM685" i="20"/>
  <c r="AM701" i="20"/>
  <c r="AM687" i="20"/>
  <c r="AM699" i="20"/>
  <c r="AM696" i="20"/>
  <c r="AM697" i="20"/>
  <c r="AM698" i="20"/>
  <c r="AM830" i="20"/>
  <c r="AM825" i="20"/>
  <c r="AM823" i="20"/>
  <c r="AM815" i="20"/>
  <c r="AM818" i="20"/>
  <c r="AM833" i="20"/>
  <c r="AM819" i="20"/>
  <c r="AM816" i="20"/>
  <c r="AM840" i="20"/>
  <c r="AM814" i="20"/>
  <c r="AM817" i="20"/>
  <c r="AM829" i="20"/>
  <c r="AM821" i="20"/>
  <c r="AM605" i="20"/>
  <c r="AM618" i="20"/>
  <c r="AM828" i="20"/>
  <c r="AM851" i="20"/>
  <c r="AM822" i="20"/>
  <c r="AM824" i="20"/>
  <c r="AM602" i="20"/>
  <c r="AM850" i="20"/>
  <c r="AM846" i="20"/>
  <c r="AM614" i="20"/>
  <c r="AM843" i="20"/>
  <c r="AM845" i="20"/>
  <c r="AM457" i="20"/>
  <c r="AM458" i="20"/>
  <c r="AM462" i="20"/>
  <c r="AM463" i="20"/>
  <c r="AM496" i="20"/>
  <c r="AM593" i="20"/>
  <c r="AM603" i="20"/>
  <c r="AM849" i="20"/>
  <c r="AM452" i="20"/>
  <c r="AM841" i="20"/>
  <c r="AM826" i="20"/>
  <c r="AM827" i="20"/>
  <c r="AM465" i="20"/>
  <c r="AM466" i="20"/>
  <c r="AM847" i="20"/>
  <c r="AM831" i="20"/>
  <c r="AM454" i="20"/>
  <c r="AM461" i="20"/>
  <c r="AM820" i="20"/>
  <c r="AM834" i="20"/>
  <c r="AM613" i="20"/>
  <c r="AM848" i="20"/>
  <c r="AM842" i="20"/>
  <c r="AM838" i="20"/>
  <c r="AM832" i="20"/>
  <c r="AM836" i="20"/>
  <c r="AM835" i="20"/>
  <c r="AM837" i="20"/>
  <c r="AM844" i="20"/>
  <c r="AM839" i="20"/>
  <c r="AM537" i="20"/>
  <c r="AM550" i="20"/>
  <c r="AM556" i="20"/>
  <c r="AM547" i="20"/>
  <c r="AM575" i="20"/>
  <c r="AM570" i="20"/>
  <c r="AM535" i="20"/>
  <c r="AM517" i="20"/>
  <c r="AM505" i="20"/>
  <c r="AM540" i="20"/>
  <c r="AM509" i="20"/>
  <c r="AM566" i="20"/>
  <c r="AM568" i="20"/>
  <c r="AM523" i="20"/>
  <c r="AM455" i="20"/>
  <c r="AM456" i="20"/>
  <c r="AM459" i="20"/>
  <c r="AM633" i="20"/>
  <c r="AM776" i="20"/>
  <c r="AM634" i="20"/>
  <c r="AM781" i="20"/>
  <c r="AM782" i="20"/>
  <c r="AM783" i="20"/>
  <c r="AM780" i="20"/>
  <c r="AM733" i="20"/>
  <c r="AM769" i="20"/>
  <c r="AM778" i="20"/>
  <c r="AM630" i="20"/>
  <c r="AM628" i="20"/>
  <c r="AM772" i="20"/>
  <c r="AM779" i="20"/>
  <c r="AM727" i="20"/>
  <c r="AM771" i="20"/>
  <c r="AM774" i="20"/>
  <c r="AM726" i="20"/>
  <c r="AM729" i="20"/>
  <c r="AM704" i="20"/>
  <c r="AM770" i="20"/>
  <c r="AM447" i="20"/>
  <c r="AM446" i="20"/>
  <c r="AM451" i="20"/>
  <c r="AM449" i="20"/>
  <c r="AM450" i="20"/>
  <c r="AM493" i="20"/>
  <c r="AM495" i="20"/>
  <c r="AM494" i="20"/>
  <c r="AM492" i="20"/>
  <c r="AM490" i="20"/>
  <c r="AM491" i="20"/>
  <c r="AM489" i="20"/>
  <c r="AM543" i="20"/>
  <c r="AM813" i="20"/>
  <c r="AM478" i="20"/>
  <c r="AM530" i="20"/>
  <c r="AM538" i="20"/>
  <c r="AM584" i="20"/>
  <c r="AM617" i="20"/>
  <c r="AM557" i="20"/>
  <c r="AM624" i="20"/>
  <c r="AM576" i="20"/>
  <c r="AM552" i="20"/>
  <c r="AM564" i="20"/>
  <c r="AM542" i="20"/>
  <c r="AM608" i="20"/>
  <c r="AM720" i="20"/>
  <c r="AM812" i="20"/>
  <c r="AM481" i="20"/>
  <c r="AM531" i="20"/>
  <c r="AM519" i="20"/>
  <c r="AM865" i="20"/>
  <c r="AM484" i="20"/>
  <c r="AM528" i="20"/>
  <c r="AM571" i="20"/>
  <c r="AM533" i="20"/>
  <c r="AM626" i="20"/>
  <c r="AM803" i="20"/>
  <c r="AM527" i="20"/>
  <c r="AM553" i="20"/>
  <c r="AM551" i="20"/>
  <c r="AM610" i="20"/>
  <c r="AM620" i="20"/>
  <c r="AM722" i="20"/>
  <c r="AM480" i="20"/>
  <c r="AM561" i="20"/>
  <c r="AM536" i="20"/>
  <c r="AM522" i="20"/>
  <c r="AM587" i="20"/>
  <c r="AM588" i="20"/>
  <c r="AM619" i="20"/>
  <c r="AM725" i="20"/>
  <c r="AM479" i="20"/>
  <c r="AM532" i="20"/>
  <c r="AM518" i="20"/>
  <c r="AM515" i="20"/>
  <c r="AM578" i="20"/>
  <c r="AM809" i="20"/>
  <c r="AM488" i="20"/>
  <c r="AM501" i="20"/>
  <c r="AM503" i="20"/>
  <c r="AM573" i="20"/>
  <c r="AM506" i="20"/>
  <c r="AM549" i="20"/>
  <c r="AM526" i="20"/>
  <c r="AM577" i="20"/>
  <c r="AM508" i="20"/>
  <c r="AM541" i="20"/>
  <c r="AM558" i="20"/>
  <c r="AM580" i="20"/>
  <c r="AM589" i="20"/>
  <c r="AM615" i="20"/>
  <c r="AM723" i="20"/>
  <c r="AM806" i="20"/>
  <c r="AM811" i="20"/>
  <c r="AM546" i="20"/>
  <c r="AM520" i="20"/>
  <c r="AM510" i="20"/>
  <c r="AM612" i="20"/>
  <c r="AM802" i="20"/>
  <c r="AM863" i="20"/>
  <c r="AM534" i="20"/>
  <c r="AM622" i="20"/>
  <c r="AM497" i="20"/>
  <c r="AM544" i="20"/>
  <c r="AM512" i="20"/>
  <c r="AM804" i="20"/>
  <c r="AM476" i="20"/>
  <c r="AM562" i="20"/>
  <c r="AM567" i="20"/>
  <c r="AM569" i="20"/>
  <c r="AM555" i="20"/>
  <c r="AM586" i="20"/>
  <c r="AM597" i="20"/>
  <c r="AM800" i="20"/>
  <c r="AM801" i="20"/>
  <c r="AM805" i="20"/>
  <c r="AM482" i="20"/>
  <c r="AM485" i="20"/>
  <c r="AM486" i="20"/>
  <c r="AM559" i="20"/>
  <c r="AM514" i="20"/>
  <c r="AM560" i="20"/>
  <c r="AM524" i="20"/>
  <c r="AM548" i="20"/>
  <c r="AM574" i="20"/>
  <c r="AM539" i="20"/>
  <c r="AM529" i="20"/>
  <c r="AM516" i="20"/>
  <c r="AM599" i="20"/>
  <c r="AM807" i="20"/>
  <c r="AM810" i="20"/>
  <c r="AM866" i="20"/>
  <c r="AM867" i="20"/>
  <c r="AM868" i="20"/>
  <c r="AM468" i="20"/>
  <c r="AM475" i="20"/>
  <c r="AM477" i="20"/>
  <c r="AM487" i="20"/>
  <c r="AM572" i="20"/>
  <c r="AM565" i="20"/>
  <c r="AM525" i="20"/>
  <c r="AM545" i="20"/>
  <c r="AM590" i="20"/>
  <c r="AM592" i="20"/>
  <c r="AM591" i="20"/>
  <c r="AM721" i="20"/>
  <c r="AM334" i="20"/>
  <c r="AM609" i="20"/>
  <c r="AM657" i="20"/>
  <c r="AM1005" i="20"/>
  <c r="AM1016" i="20"/>
  <c r="AM1021" i="20"/>
  <c r="AM1032" i="20"/>
  <c r="AM1033" i="20"/>
  <c r="AM1059" i="20"/>
  <c r="AM1060" i="20"/>
  <c r="AM1061" i="20"/>
  <c r="AM1064" i="20"/>
  <c r="AM1087" i="20"/>
  <c r="AM417" i="20"/>
  <c r="AM406" i="20"/>
  <c r="AM409" i="20"/>
  <c r="AM652" i="20"/>
  <c r="AM763" i="20"/>
  <c r="AM414" i="20"/>
  <c r="AM579" i="20"/>
  <c r="AM616" i="20"/>
  <c r="AM627" i="20"/>
  <c r="AM912" i="20"/>
  <c r="AM258" i="20"/>
  <c r="AM248" i="20"/>
  <c r="AM668" i="20"/>
  <c r="AM708" i="20"/>
  <c r="AM738" i="20"/>
  <c r="AM739" i="20"/>
  <c r="AM373" i="20"/>
  <c r="AM661" i="20"/>
  <c r="AM665" i="20"/>
  <c r="AM702" i="20"/>
  <c r="AM724" i="20"/>
  <c r="AM775" i="20"/>
  <c r="AM997" i="20"/>
  <c r="AM666" i="20"/>
  <c r="AM891" i="20"/>
  <c r="AM992" i="20"/>
  <c r="AM1068" i="20"/>
  <c r="AM1075" i="20"/>
  <c r="AM659" i="20"/>
  <c r="AM254" i="20"/>
  <c r="AM244" i="20"/>
  <c r="AM247" i="20"/>
  <c r="AM249" i="20"/>
  <c r="AM245" i="20"/>
  <c r="AM243" i="20"/>
  <c r="AM253" i="20"/>
  <c r="AM259" i="20"/>
  <c r="AM260" i="20"/>
  <c r="AM261" i="20"/>
  <c r="AM246" i="20"/>
  <c r="AM257" i="20"/>
  <c r="AM596" i="20"/>
  <c r="AM606" i="20"/>
  <c r="AM625" i="20"/>
  <c r="AM640" i="20"/>
  <c r="AM647" i="20"/>
  <c r="AM650" i="20"/>
  <c r="AM688" i="20"/>
  <c r="AM705" i="20"/>
  <c r="AM706" i="20"/>
  <c r="AM709" i="20"/>
  <c r="AM714" i="20"/>
  <c r="AM717" i="20"/>
  <c r="AM707" i="20"/>
  <c r="AM737" i="20"/>
  <c r="AM736" i="20"/>
  <c r="AM750" i="20"/>
  <c r="AM749" i="20"/>
  <c r="AM751" i="20"/>
  <c r="AM1056" i="20"/>
  <c r="AM1053" i="20"/>
  <c r="AM1054" i="20"/>
  <c r="AM1055" i="20"/>
  <c r="AM371" i="20"/>
  <c r="AM648" i="20"/>
  <c r="AM669" i="20"/>
  <c r="AM686" i="20"/>
  <c r="AM728" i="20"/>
  <c r="AM759" i="20"/>
  <c r="AM784" i="20"/>
  <c r="AM860" i="20"/>
  <c r="AM882" i="20"/>
  <c r="AM237" i="20"/>
  <c r="AM395" i="20"/>
  <c r="AM434" i="20"/>
  <c r="AM585" i="20"/>
  <c r="AM758" i="20"/>
  <c r="AM858" i="20"/>
  <c r="AM870" i="20"/>
  <c r="AM871" i="20"/>
  <c r="AM1057" i="20"/>
  <c r="AM256" i="20"/>
  <c r="AM262" i="20"/>
  <c r="AM250" i="20"/>
  <c r="AM283" i="20"/>
  <c r="AM690" i="20"/>
  <c r="AM692" i="20"/>
  <c r="AM710" i="20"/>
  <c r="AM745" i="20"/>
  <c r="AM748" i="20"/>
  <c r="AM857" i="20"/>
  <c r="AM875" i="20"/>
  <c r="AM897" i="20"/>
  <c r="AM898" i="20"/>
  <c r="AM944" i="20"/>
  <c r="AM1015" i="20"/>
  <c r="AM1065" i="20"/>
  <c r="AM767" i="20"/>
  <c r="AM925" i="20"/>
  <c r="AM338" i="20"/>
  <c r="AM642" i="20"/>
  <c r="AM718" i="20"/>
  <c r="AM971" i="20"/>
  <c r="AM993" i="20"/>
  <c r="AM1081" i="20"/>
  <c r="AM280" i="20"/>
  <c r="AM397" i="20"/>
  <c r="AM402" i="20"/>
  <c r="AM660" i="20"/>
  <c r="AM730" i="20"/>
  <c r="AM880" i="20"/>
  <c r="AM889" i="20"/>
  <c r="AM913" i="20"/>
  <c r="AM915" i="20"/>
  <c r="AM966" i="20"/>
  <c r="AM282" i="20"/>
  <c r="AM322" i="20"/>
  <c r="AM323" i="20"/>
  <c r="AM331" i="20"/>
  <c r="AM336" i="20"/>
  <c r="AM453" i="20"/>
  <c r="AM554" i="20"/>
  <c r="AM621" i="20"/>
  <c r="AM632" i="20"/>
  <c r="AM645" i="20"/>
  <c r="AM649" i="20"/>
  <c r="AM673" i="20"/>
  <c r="AM675" i="20"/>
  <c r="AM681" i="20"/>
  <c r="AM684" i="20"/>
  <c r="AM761" i="20"/>
  <c r="AM878" i="20"/>
  <c r="AM896" i="20"/>
  <c r="AM903" i="20"/>
  <c r="AM911" i="20"/>
  <c r="AM923" i="20"/>
  <c r="AM922" i="20"/>
  <c r="AM934" i="20"/>
  <c r="AM941" i="20"/>
  <c r="AM942" i="20"/>
  <c r="AM969" i="20"/>
  <c r="AM979" i="20"/>
  <c r="AM1004" i="20"/>
  <c r="AM1014" i="20"/>
  <c r="AM1031" i="20"/>
  <c r="AM916" i="20"/>
  <c r="AM332" i="20"/>
  <c r="AM375" i="20"/>
  <c r="AM418" i="20"/>
  <c r="AM671" i="20"/>
  <c r="AM732" i="20"/>
  <c r="AM760" i="20"/>
  <c r="AM877" i="20"/>
  <c r="AM937" i="20"/>
  <c r="AM956" i="20"/>
  <c r="AM974" i="20"/>
  <c r="AM999" i="20"/>
  <c r="AM1001" i="20"/>
  <c r="AM1047" i="20"/>
  <c r="AM1050" i="20"/>
  <c r="AM667" i="20"/>
  <c r="AM864" i="20"/>
  <c r="AM910" i="20"/>
  <c r="AM919" i="20"/>
  <c r="AM921" i="20"/>
  <c r="AM943" i="20"/>
  <c r="AM940" i="20"/>
  <c r="AM947" i="20"/>
  <c r="AM988" i="20"/>
  <c r="AM219" i="20"/>
  <c r="AM636" i="20"/>
  <c r="AM639" i="20"/>
  <c r="AM653" i="20"/>
  <c r="AM654" i="20"/>
  <c r="AM764" i="20"/>
  <c r="AM765" i="20"/>
  <c r="AM954" i="20"/>
  <c r="AM1058" i="20"/>
  <c r="AM1073" i="20"/>
  <c r="AM222" i="20"/>
  <c r="AM335" i="20"/>
  <c r="AM398" i="20"/>
  <c r="AM400" i="20"/>
  <c r="AM412" i="20"/>
  <c r="AM419" i="20"/>
  <c r="AM474" i="20"/>
  <c r="AM507" i="20"/>
  <c r="AM604" i="20"/>
  <c r="AM638" i="20"/>
  <c r="AM674" i="20"/>
  <c r="AM683" i="20"/>
  <c r="AM703" i="20"/>
  <c r="AM892" i="20"/>
  <c r="AM895" i="20"/>
  <c r="AM927" i="20"/>
  <c r="AM957" i="20"/>
  <c r="AM965" i="20"/>
  <c r="AM970" i="20"/>
  <c r="AM973" i="20"/>
  <c r="AM977" i="20"/>
  <c r="AM990" i="20"/>
  <c r="AM991" i="20"/>
  <c r="AM996" i="20"/>
  <c r="AM1006" i="20"/>
  <c r="AM1017" i="20"/>
  <c r="AM1018" i="20"/>
  <c r="AM1019" i="20"/>
  <c r="AM1022" i="20"/>
  <c r="AM1072" i="20"/>
  <c r="AM1083" i="20"/>
  <c r="AM374" i="20"/>
  <c r="AM460" i="20"/>
  <c r="AM464" i="20"/>
  <c r="AM521" i="20"/>
  <c r="AM511" i="20"/>
  <c r="AM631" i="20"/>
  <c r="AM629" i="20"/>
  <c r="AM777" i="20"/>
  <c r="AM893" i="20"/>
  <c r="AM901" i="20"/>
  <c r="AM902" i="20"/>
  <c r="AM908" i="20"/>
  <c r="AM909" i="20"/>
  <c r="AM938" i="20"/>
  <c r="AM939" i="20"/>
  <c r="AM981" i="20"/>
  <c r="AM982" i="20"/>
  <c r="AM1000" i="20"/>
  <c r="AM1011" i="20"/>
  <c r="AM1012" i="20"/>
  <c r="AM1013" i="20"/>
  <c r="AM1045" i="20"/>
  <c r="AM498" i="20"/>
  <c r="AM581" i="20"/>
  <c r="AM594" i="20"/>
  <c r="AM611" i="20"/>
  <c r="AM635" i="20"/>
  <c r="AM651" i="20"/>
  <c r="AM656" i="20"/>
  <c r="AM762" i="20"/>
  <c r="AM768" i="20"/>
  <c r="AM448" i="20"/>
  <c r="AM513" i="20"/>
  <c r="AM662" i="20"/>
  <c r="AM672" i="20"/>
  <c r="AM890" i="20"/>
  <c r="AM900" i="20"/>
  <c r="AM907" i="20"/>
  <c r="AM918" i="20"/>
  <c r="AM931" i="20"/>
  <c r="AM951" i="20"/>
  <c r="AM968" i="20"/>
  <c r="AM980" i="20"/>
  <c r="AM1003" i="20"/>
  <c r="AM1010" i="20"/>
  <c r="AM1023" i="20"/>
  <c r="AM1074" i="20"/>
  <c r="AM1085" i="20"/>
  <c r="AM236" i="20"/>
  <c r="AM333" i="20"/>
  <c r="AM469" i="20"/>
  <c r="AM499" i="20"/>
  <c r="AM500" i="20"/>
  <c r="AM504" i="20"/>
  <c r="AM563" i="20"/>
  <c r="AM601" i="20"/>
  <c r="AM607" i="20"/>
  <c r="AM637" i="20"/>
  <c r="AM691" i="20"/>
  <c r="AM719" i="20"/>
  <c r="AM773" i="20"/>
  <c r="AM853" i="20"/>
  <c r="AM854" i="20"/>
  <c r="AM855" i="20"/>
  <c r="AM859" i="20"/>
  <c r="AM862" i="20"/>
  <c r="AM869" i="20"/>
  <c r="AM899" i="20"/>
  <c r="AM905" i="20"/>
  <c r="AM906" i="20"/>
  <c r="AM917" i="20"/>
  <c r="AM946" i="20"/>
  <c r="AM933" i="20"/>
  <c r="AM955" i="20"/>
  <c r="AM960" i="20"/>
  <c r="AM983" i="20"/>
  <c r="AM986" i="20"/>
  <c r="AM987" i="20"/>
  <c r="AM994" i="20"/>
  <c r="AM995" i="20"/>
  <c r="AM1007" i="20"/>
  <c r="AM1008" i="20"/>
  <c r="AM1020" i="20"/>
  <c r="AM1029" i="20"/>
  <c r="AM1052" i="20"/>
  <c r="AM1067" i="20"/>
  <c r="AM1069" i="20"/>
  <c r="AM1076" i="20"/>
  <c r="AM1079" i="20"/>
  <c r="AM1084" i="20"/>
  <c r="AM1089" i="20"/>
  <c r="AM242" i="20"/>
  <c r="AM339" i="20"/>
  <c r="AM340" i="20"/>
  <c r="AM341" i="20"/>
  <c r="AM342" i="20"/>
  <c r="AM372" i="20"/>
  <c r="AM401" i="20"/>
  <c r="AM415" i="20"/>
  <c r="AM420" i="20"/>
  <c r="AM421" i="20"/>
  <c r="AM502" i="20"/>
  <c r="AM583" i="20"/>
  <c r="AM643" i="20"/>
  <c r="AM641" i="20"/>
  <c r="AM644" i="20"/>
  <c r="AM664" i="20"/>
  <c r="AM670" i="20"/>
  <c r="AM852" i="20"/>
  <c r="AM929" i="20"/>
  <c r="AM930" i="20"/>
  <c r="AM928" i="20"/>
  <c r="AM932" i="20"/>
  <c r="AM952" i="20"/>
  <c r="AM950" i="20"/>
  <c r="AM953" i="20"/>
  <c r="AM959" i="20"/>
  <c r="AM967" i="20"/>
  <c r="AM978" i="20"/>
  <c r="AM984" i="20"/>
  <c r="AM989" i="20"/>
  <c r="AM998" i="20"/>
  <c r="AM1077" i="20"/>
  <c r="AM1078" i="20"/>
  <c r="AM1082" i="20"/>
  <c r="AM1080" i="20"/>
  <c r="AM663" i="20"/>
  <c r="AM948" i="20"/>
  <c r="AM949" i="20"/>
  <c r="AM1088" i="20"/>
  <c r="AM218" i="20"/>
  <c r="AM251" i="20"/>
  <c r="AM281" i="20"/>
  <c r="AM330" i="20"/>
  <c r="AM337" i="20"/>
  <c r="AM343" i="20"/>
  <c r="AM344" i="20"/>
  <c r="AM346" i="20"/>
  <c r="AM347" i="20"/>
  <c r="AM348" i="20"/>
  <c r="AM358" i="20"/>
  <c r="AM363" i="20"/>
  <c r="AM376" i="20"/>
  <c r="AM399" i="20"/>
  <c r="AM413" i="20"/>
  <c r="AM444" i="20"/>
  <c r="AM483" i="20"/>
  <c r="AM582" i="20"/>
  <c r="AM595" i="20"/>
  <c r="AM598" i="20"/>
  <c r="AM600" i="20"/>
  <c r="AM623" i="20"/>
  <c r="AM646" i="20"/>
  <c r="AM658" i="20"/>
  <c r="AM655" i="20"/>
  <c r="AM676" i="20"/>
  <c r="AM677" i="20"/>
  <c r="AM678" i="20"/>
  <c r="AM679" i="20"/>
  <c r="AM680" i="20"/>
  <c r="AM682" i="20"/>
  <c r="AM689" i="20"/>
  <c r="AM713" i="20"/>
  <c r="AM712" i="20"/>
  <c r="AM711" i="20"/>
  <c r="AM715" i="20"/>
  <c r="AM716" i="20"/>
  <c r="AM735" i="20"/>
  <c r="AM731" i="20"/>
  <c r="AM734" i="20"/>
  <c r="AM746" i="20"/>
  <c r="AM744" i="20"/>
  <c r="AM741" i="20"/>
  <c r="AM740" i="20"/>
  <c r="AM743" i="20"/>
  <c r="AM742" i="20"/>
  <c r="AM747" i="20"/>
  <c r="AM755" i="20"/>
  <c r="AM752" i="20"/>
  <c r="AM753" i="20"/>
  <c r="AM754" i="20"/>
  <c r="AM757" i="20"/>
  <c r="AM756" i="20"/>
  <c r="AM766" i="20"/>
  <c r="AM876" i="20"/>
  <c r="AM879" i="20"/>
  <c r="AM881" i="20"/>
  <c r="AM894" i="20"/>
  <c r="AM914" i="20"/>
  <c r="AM920" i="20"/>
  <c r="AM926" i="20"/>
  <c r="AM945" i="20"/>
  <c r="AM935" i="20"/>
  <c r="AM936" i="20"/>
  <c r="AM958" i="20"/>
  <c r="AM972" i="20"/>
  <c r="AM985" i="20"/>
  <c r="AM1030" i="20"/>
  <c r="AM1063" i="20"/>
  <c r="AM1062" i="20"/>
  <c r="AM1066" i="20"/>
  <c r="AM1070" i="20"/>
  <c r="AM1071" i="20"/>
  <c r="AM1086" i="20"/>
  <c r="AM787" i="20"/>
  <c r="AM788" i="20"/>
  <c r="AM789" i="20"/>
  <c r="AM786" i="20"/>
  <c r="AM796" i="20"/>
  <c r="AM790" i="20"/>
  <c r="AM792" i="20"/>
  <c r="AM799" i="20"/>
  <c r="AM793" i="20"/>
  <c r="AM794" i="20"/>
  <c r="AM785" i="20"/>
  <c r="AM795" i="20"/>
  <c r="AM798" i="20"/>
  <c r="AM797" i="20"/>
  <c r="AM791" i="20"/>
  <c r="AT751" i="20"/>
  <c r="AT434" i="20"/>
  <c r="AT870" i="20"/>
  <c r="AT1102" i="20"/>
  <c r="AS471" i="20"/>
  <c r="AS472" i="20"/>
  <c r="AS470" i="20"/>
  <c r="AS473" i="20"/>
  <c r="AS431" i="20"/>
  <c r="AS391" i="20"/>
  <c r="AS394" i="20"/>
  <c r="AS427" i="20"/>
  <c r="AS410" i="20"/>
  <c r="AS438" i="20"/>
  <c r="AS433" i="20"/>
  <c r="AS423" i="20"/>
  <c r="AS440" i="20"/>
  <c r="AS389" i="20"/>
  <c r="AS380" i="20"/>
  <c r="AS422" i="20"/>
  <c r="AS436" i="20"/>
  <c r="AS435" i="20"/>
  <c r="AS367" i="20"/>
  <c r="AS369" i="20"/>
  <c r="AS437" i="20"/>
  <c r="AS379" i="20"/>
  <c r="AS439" i="20"/>
  <c r="AS384" i="20"/>
  <c r="AS386" i="20"/>
  <c r="AS396" i="20"/>
  <c r="AS392" i="20"/>
  <c r="AS424" i="20"/>
  <c r="AS345" i="20"/>
  <c r="AS350" i="20"/>
  <c r="AS351" i="20"/>
  <c r="AS383" i="20"/>
  <c r="AS426" i="20"/>
  <c r="AS353" i="20"/>
  <c r="AS357" i="20"/>
  <c r="AS390" i="20"/>
  <c r="AS411" i="20"/>
  <c r="AS359" i="20"/>
  <c r="AS360" i="20"/>
  <c r="AS361" i="20"/>
  <c r="AS362" i="20"/>
  <c r="AS370" i="20"/>
  <c r="AS381" i="20"/>
  <c r="AS404" i="20"/>
  <c r="AS407" i="20"/>
  <c r="AS349" i="20"/>
  <c r="AS355" i="20"/>
  <c r="AS356" i="20"/>
  <c r="AS354" i="20"/>
  <c r="AS368" i="20"/>
  <c r="AS378" i="20"/>
  <c r="AS382" i="20"/>
  <c r="AS388" i="20"/>
  <c r="AS393" i="20"/>
  <c r="AS403" i="20"/>
  <c r="AS387" i="20"/>
  <c r="AS352" i="20"/>
  <c r="AS364" i="20"/>
  <c r="AS365" i="20"/>
  <c r="AS377" i="20"/>
  <c r="AS385" i="20"/>
  <c r="AS428" i="20"/>
  <c r="AS429" i="20"/>
  <c r="AS430" i="20"/>
  <c r="AS432" i="20"/>
  <c r="AS443" i="20"/>
  <c r="AS441" i="20"/>
  <c r="AS442" i="20"/>
  <c r="AS694" i="20"/>
  <c r="AS693" i="20"/>
  <c r="AS700" i="20"/>
  <c r="AS695" i="20"/>
  <c r="AS685" i="20"/>
  <c r="AS701" i="20"/>
  <c r="AS687" i="20"/>
  <c r="AS699" i="20"/>
  <c r="AS696" i="20"/>
  <c r="AS697" i="20"/>
  <c r="AS698" i="20"/>
  <c r="AS830" i="20"/>
  <c r="AS825" i="20"/>
  <c r="AS823" i="20"/>
  <c r="AS815" i="20"/>
  <c r="AS818" i="20"/>
  <c r="AS833" i="20"/>
  <c r="AS819" i="20"/>
  <c r="AS816" i="20"/>
  <c r="AS840" i="20"/>
  <c r="AS814" i="20"/>
  <c r="AS817" i="20"/>
  <c r="AS829" i="20"/>
  <c r="AS821" i="20"/>
  <c r="AS605" i="20"/>
  <c r="AS618" i="20"/>
  <c r="AS828" i="20"/>
  <c r="AS851" i="20"/>
  <c r="AS822" i="20"/>
  <c r="AS824" i="20"/>
  <c r="AS602" i="20"/>
  <c r="AS850" i="20"/>
  <c r="AS846" i="20"/>
  <c r="AS614" i="20"/>
  <c r="AS843" i="20"/>
  <c r="AS845" i="20"/>
  <c r="AS457" i="20"/>
  <c r="AS458" i="20"/>
  <c r="AS462" i="20"/>
  <c r="AS463" i="20"/>
  <c r="AS496" i="20"/>
  <c r="AS593" i="20"/>
  <c r="AS603" i="20"/>
  <c r="AS849" i="20"/>
  <c r="AS452" i="20"/>
  <c r="AS841" i="20"/>
  <c r="AS826" i="20"/>
  <c r="AS827" i="20"/>
  <c r="AS465" i="20"/>
  <c r="AS466" i="20"/>
  <c r="AS847" i="20"/>
  <c r="AS831" i="20"/>
  <c r="AS454" i="20"/>
  <c r="AS461" i="20"/>
  <c r="AS820" i="20"/>
  <c r="AS834" i="20"/>
  <c r="AS613" i="20"/>
  <c r="AS848" i="20"/>
  <c r="AS842" i="20"/>
  <c r="AS838" i="20"/>
  <c r="AS832" i="20"/>
  <c r="AS836" i="20"/>
  <c r="AS835" i="20"/>
  <c r="AS837" i="20"/>
  <c r="AS844" i="20"/>
  <c r="AS839" i="20"/>
  <c r="AS537" i="20"/>
  <c r="AS550" i="20"/>
  <c r="AS556" i="20"/>
  <c r="AS547" i="20"/>
  <c r="AS575" i="20"/>
  <c r="AS570" i="20"/>
  <c r="AS535" i="20"/>
  <c r="AS517" i="20"/>
  <c r="AS505" i="20"/>
  <c r="AS540" i="20"/>
  <c r="AS509" i="20"/>
  <c r="AS566" i="20"/>
  <c r="AS568" i="20"/>
  <c r="AS523" i="20"/>
  <c r="AS455" i="20"/>
  <c r="AS456" i="20"/>
  <c r="AS459" i="20"/>
  <c r="AS633" i="20"/>
  <c r="AS776" i="20"/>
  <c r="AS634" i="20"/>
  <c r="AS781" i="20"/>
  <c r="AS782" i="20"/>
  <c r="AS783" i="20"/>
  <c r="AS780" i="20"/>
  <c r="AS733" i="20"/>
  <c r="AS769" i="20"/>
  <c r="AS778" i="20"/>
  <c r="AS630" i="20"/>
  <c r="AS628" i="20"/>
  <c r="AS772" i="20"/>
  <c r="AS779" i="20"/>
  <c r="AS727" i="20"/>
  <c r="AS771" i="20"/>
  <c r="AS774" i="20"/>
  <c r="AS726" i="20"/>
  <c r="AS729" i="20"/>
  <c r="AS704" i="20"/>
  <c r="AS770" i="20"/>
  <c r="AS447" i="20"/>
  <c r="AS446" i="20"/>
  <c r="AS451" i="20"/>
  <c r="AS449" i="20"/>
  <c r="AS450" i="20"/>
  <c r="AS493" i="20"/>
  <c r="AS495" i="20"/>
  <c r="AS494" i="20"/>
  <c r="AS492" i="20"/>
  <c r="AS490" i="20"/>
  <c r="AS491" i="20"/>
  <c r="AS489" i="20"/>
  <c r="AS543" i="20"/>
  <c r="AS813" i="20"/>
  <c r="AS478" i="20"/>
  <c r="AS530" i="20"/>
  <c r="AS538" i="20"/>
  <c r="AS584" i="20"/>
  <c r="AS617" i="20"/>
  <c r="AS557" i="20"/>
  <c r="AS624" i="20"/>
  <c r="AS576" i="20"/>
  <c r="AS552" i="20"/>
  <c r="AS564" i="20"/>
  <c r="AS542" i="20"/>
  <c r="AS608" i="20"/>
  <c r="AS720" i="20"/>
  <c r="AS812" i="20"/>
  <c r="AS481" i="20"/>
  <c r="AS531" i="20"/>
  <c r="AS519" i="20"/>
  <c r="AS865" i="20"/>
  <c r="AS484" i="20"/>
  <c r="AS528" i="20"/>
  <c r="AS571" i="20"/>
  <c r="AS533" i="20"/>
  <c r="AS626" i="20"/>
  <c r="AS803" i="20"/>
  <c r="AS527" i="20"/>
  <c r="AS553" i="20"/>
  <c r="AS551" i="20"/>
  <c r="AS610" i="20"/>
  <c r="AS620" i="20"/>
  <c r="AS722" i="20"/>
  <c r="AS480" i="20"/>
  <c r="AS561" i="20"/>
  <c r="AS536" i="20"/>
  <c r="AS522" i="20"/>
  <c r="AS587" i="20"/>
  <c r="AS588" i="20"/>
  <c r="AS619" i="20"/>
  <c r="AS725" i="20"/>
  <c r="AS479" i="20"/>
  <c r="AS532" i="20"/>
  <c r="AS518" i="20"/>
  <c r="AS515" i="20"/>
  <c r="AS578" i="20"/>
  <c r="AS809" i="20"/>
  <c r="AS488" i="20"/>
  <c r="AS501" i="20"/>
  <c r="AS503" i="20"/>
  <c r="AS573" i="20"/>
  <c r="AS506" i="20"/>
  <c r="AS549" i="20"/>
  <c r="AS526" i="20"/>
  <c r="AS577" i="20"/>
  <c r="AS508" i="20"/>
  <c r="AS541" i="20"/>
  <c r="AS558" i="20"/>
  <c r="AS580" i="20"/>
  <c r="AS589" i="20"/>
  <c r="AS615" i="20"/>
  <c r="AS723" i="20"/>
  <c r="AS806" i="20"/>
  <c r="AS811" i="20"/>
  <c r="AS546" i="20"/>
  <c r="AS520" i="20"/>
  <c r="AS510" i="20"/>
  <c r="AS612" i="20"/>
  <c r="AS802" i="20"/>
  <c r="AS863" i="20"/>
  <c r="AS497" i="20"/>
  <c r="AS544" i="20"/>
  <c r="AS512" i="20"/>
  <c r="AS804" i="20"/>
  <c r="AS476" i="20"/>
  <c r="AS562" i="20"/>
  <c r="AS567" i="20"/>
  <c r="AS569" i="20"/>
  <c r="AS555" i="20"/>
  <c r="AS586" i="20"/>
  <c r="AS597" i="20"/>
  <c r="AS800" i="20"/>
  <c r="AS801" i="20"/>
  <c r="AS805" i="20"/>
  <c r="AS482" i="20"/>
  <c r="AS485" i="20"/>
  <c r="AS486" i="20"/>
  <c r="AS559" i="20"/>
  <c r="AS514" i="20"/>
  <c r="AS560" i="20"/>
  <c r="AS524" i="20"/>
  <c r="AS548" i="20"/>
  <c r="AS574" i="20"/>
  <c r="AS539" i="20"/>
  <c r="AS529" i="20"/>
  <c r="AS516" i="20"/>
  <c r="AS599" i="20"/>
  <c r="AS807" i="20"/>
  <c r="AS810" i="20"/>
  <c r="AS866" i="20"/>
  <c r="AS867" i="20"/>
  <c r="AS868" i="20"/>
  <c r="AS468" i="20"/>
  <c r="AS475" i="20"/>
  <c r="AS477" i="20"/>
  <c r="AS487" i="20"/>
  <c r="AS572" i="20"/>
  <c r="AS565" i="20"/>
  <c r="AS525" i="20"/>
  <c r="AS545" i="20"/>
  <c r="AS590" i="20"/>
  <c r="AS592" i="20"/>
  <c r="AS591" i="20"/>
  <c r="AS721" i="20"/>
  <c r="AS787" i="20"/>
  <c r="AS788" i="20"/>
  <c r="AS789" i="20"/>
  <c r="AS786" i="20"/>
  <c r="AS796" i="20"/>
  <c r="AS790" i="20"/>
  <c r="AS792" i="20"/>
  <c r="AS799" i="20"/>
  <c r="AS793" i="20"/>
  <c r="AS794" i="20"/>
  <c r="AS785" i="20"/>
  <c r="AS795" i="20"/>
  <c r="AS798" i="20"/>
  <c r="AS797" i="20"/>
  <c r="AS791" i="20"/>
  <c r="M13" i="43"/>
  <c r="M12" i="43"/>
  <c r="AF76" i="14"/>
  <c r="AH76" i="14" s="1"/>
  <c r="AF190" i="14"/>
  <c r="AH190" i="14" s="1"/>
  <c r="AF40" i="14"/>
  <c r="AH40" i="14" s="1"/>
  <c r="AF129" i="14"/>
  <c r="AH129" i="14" s="1"/>
  <c r="AF8" i="14"/>
  <c r="AH8" i="14" s="1"/>
  <c r="AF59" i="14"/>
  <c r="AH59" i="14" s="1"/>
  <c r="AF235" i="14"/>
  <c r="AH235" i="14" s="1"/>
  <c r="AF242" i="14"/>
  <c r="AH242" i="14" s="1"/>
  <c r="AF141" i="14"/>
  <c r="AH141" i="14" s="1"/>
  <c r="AF66" i="14"/>
  <c r="AH66" i="14" s="1"/>
  <c r="AF239" i="14"/>
  <c r="AH239" i="14" s="1"/>
  <c r="AF128" i="14"/>
  <c r="AH128" i="14" s="1"/>
  <c r="AF152" i="14"/>
  <c r="AH152" i="14" s="1"/>
  <c r="AF138" i="14"/>
  <c r="AH138" i="14" s="1"/>
  <c r="AF255" i="14"/>
  <c r="AH255" i="14" s="1"/>
  <c r="AF22" i="14"/>
  <c r="AH22" i="14" s="1"/>
  <c r="AF139" i="14"/>
  <c r="AH139" i="14" s="1"/>
  <c r="AF82" i="14"/>
  <c r="AH82" i="14" s="1"/>
  <c r="AF145" i="14"/>
  <c r="AH145" i="14" s="1"/>
  <c r="AF253" i="14"/>
  <c r="AH253" i="14" s="1"/>
  <c r="AF67" i="14"/>
  <c r="AH67" i="14" s="1"/>
  <c r="AF126" i="14"/>
  <c r="AH126" i="14" s="1"/>
  <c r="AF158" i="14"/>
  <c r="AH158" i="14" s="1"/>
  <c r="AF115" i="14"/>
  <c r="AH115" i="14" s="1"/>
  <c r="AF166" i="14"/>
  <c r="AH166" i="14" s="1"/>
  <c r="AF120" i="14"/>
  <c r="AH120" i="14" s="1"/>
  <c r="AF189" i="14"/>
  <c r="AH189" i="14" s="1"/>
  <c r="AF168" i="14"/>
  <c r="AH168" i="14" s="1"/>
  <c r="N13" i="37"/>
  <c r="N14" i="37"/>
  <c r="AU411" i="20"/>
  <c r="AU410" i="20"/>
  <c r="AU407" i="20"/>
  <c r="AU404" i="20"/>
  <c r="AU361" i="20"/>
  <c r="AU362" i="20"/>
  <c r="AU396" i="20"/>
  <c r="AU390" i="20"/>
  <c r="AU387" i="20"/>
  <c r="AU386" i="20"/>
  <c r="AU388" i="20"/>
  <c r="AU384" i="20"/>
  <c r="AU383" i="20"/>
  <c r="AU350" i="20"/>
  <c r="AU351" i="20"/>
  <c r="AU370" i="20"/>
  <c r="AU368" i="20"/>
  <c r="AU367" i="20"/>
  <c r="AU403" i="20"/>
  <c r="AU357" i="20"/>
  <c r="AU355" i="20"/>
  <c r="AU356" i="20"/>
  <c r="AU354" i="20"/>
  <c r="AU352" i="20"/>
  <c r="AU369" i="20"/>
  <c r="AU394" i="20"/>
  <c r="AU392" i="20"/>
  <c r="AU393" i="20"/>
  <c r="AU391" i="20"/>
  <c r="AU389" i="20"/>
  <c r="AU385" i="20"/>
  <c r="AU381" i="20"/>
  <c r="AU380" i="20"/>
  <c r="AU382" i="20"/>
  <c r="AU379" i="20"/>
  <c r="AU378" i="20"/>
  <c r="AU377" i="20"/>
  <c r="AU345" i="20"/>
  <c r="AU360" i="20"/>
  <c r="AU359" i="20"/>
  <c r="AU435" i="20"/>
  <c r="AU436" i="20"/>
  <c r="AU437" i="20"/>
  <c r="AU365" i="20"/>
  <c r="AU364" i="20"/>
  <c r="AU425" i="20"/>
  <c r="AU426" i="20"/>
  <c r="AU353" i="20"/>
  <c r="AU349" i="20"/>
  <c r="AU431" i="20"/>
  <c r="AU428" i="20"/>
  <c r="AU430" i="20"/>
  <c r="AU429" i="20"/>
  <c r="AU427" i="20"/>
  <c r="AU424" i="20"/>
  <c r="AU423" i="20"/>
  <c r="AU422" i="20"/>
  <c r="AU438" i="20"/>
  <c r="AU439" i="20"/>
  <c r="AU441" i="20"/>
  <c r="AU442" i="20"/>
  <c r="AU440" i="20"/>
  <c r="AU443" i="20"/>
  <c r="AU432" i="20"/>
  <c r="AU433" i="20"/>
  <c r="AU455" i="20"/>
  <c r="AU459" i="20"/>
  <c r="AU456"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U486" i="20"/>
  <c r="AU480" i="20"/>
  <c r="AU484" i="20"/>
  <c r="AU482" i="20"/>
  <c r="AU485" i="20"/>
  <c r="AU478" i="20"/>
  <c r="AU476" i="20"/>
  <c r="AU477" i="20"/>
  <c r="AU488" i="20"/>
  <c r="AU479" i="20"/>
  <c r="AU481" i="20"/>
  <c r="AU487" i="20"/>
  <c r="AU597" i="20"/>
  <c r="AU626" i="20"/>
  <c r="AU489" i="20"/>
  <c r="AU580" i="20"/>
  <c r="AU501" i="20"/>
  <c r="AU578" i="20"/>
  <c r="AU599" i="20"/>
  <c r="AU586" i="20"/>
  <c r="AU497" i="20"/>
  <c r="AU620" i="20"/>
  <c r="AU612" i="20"/>
  <c r="AU610" i="20"/>
  <c r="AU615" i="20"/>
  <c r="AU589" i="20"/>
  <c r="AU619" i="20"/>
  <c r="AU588" i="20"/>
  <c r="AU608" i="20"/>
  <c r="AU590" i="20"/>
  <c r="AU503" i="20"/>
  <c r="AU624" i="20"/>
  <c r="AU622" i="20"/>
  <c r="AU617" i="20"/>
  <c r="AU584" i="20"/>
  <c r="AU475" i="20"/>
  <c r="AU592" i="20"/>
  <c r="AU591" i="20"/>
  <c r="AU468" i="20"/>
  <c r="AU587"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U454" i="20"/>
  <c r="AU458" i="20"/>
  <c r="AU463" i="20"/>
  <c r="AU466" i="20"/>
  <c r="AU465" i="20"/>
  <c r="AU462" i="20"/>
  <c r="AU457" i="20"/>
  <c r="AU461" i="20"/>
  <c r="AU452" i="20"/>
  <c r="AU496" i="20"/>
  <c r="AU614" i="20"/>
  <c r="AU593" i="20"/>
  <c r="AU605" i="20"/>
  <c r="AU613" i="20"/>
  <c r="AU603" i="20"/>
  <c r="AU602" i="20"/>
  <c r="AU618" i="20"/>
  <c r="AU694" i="20"/>
  <c r="AU847" i="20"/>
  <c r="AU779" i="20"/>
  <c r="AU772" i="20"/>
  <c r="AU1111" i="20"/>
  <c r="AU845" i="20"/>
  <c r="AU1112" i="20"/>
  <c r="AU1110" i="20"/>
  <c r="AU1108" i="20"/>
  <c r="AU1109" i="20"/>
  <c r="AU841" i="20"/>
  <c r="AU774" i="20"/>
  <c r="AU771" i="20"/>
  <c r="AU727" i="20"/>
  <c r="AU698" i="20"/>
  <c r="AU826" i="20"/>
  <c r="AU827" i="20"/>
  <c r="AU850" i="20"/>
  <c r="AU846" i="20"/>
  <c r="AU699" i="20"/>
  <c r="AU843" i="20"/>
  <c r="AU778" i="20"/>
  <c r="AU561" i="20"/>
  <c r="AU528" i="20"/>
  <c r="AU824" i="20"/>
  <c r="AU729" i="20"/>
  <c r="AU820" i="20"/>
  <c r="AU514" i="20"/>
  <c r="AU726" i="20"/>
  <c r="AU776" i="20"/>
  <c r="AU700" i="20"/>
  <c r="AU834" i="20"/>
  <c r="AU825" i="20"/>
  <c r="AU831" i="20"/>
  <c r="AU848" i="20"/>
  <c r="AU572" i="20"/>
  <c r="AU849" i="20"/>
  <c r="AU573" i="20"/>
  <c r="AU733" i="20"/>
  <c r="AU565" i="20"/>
  <c r="AU450" i="20"/>
  <c r="AU685" i="20"/>
  <c r="AU447" i="20"/>
  <c r="AU805" i="20"/>
  <c r="AU562" i="20"/>
  <c r="AU810" i="20"/>
  <c r="AU524" i="20"/>
  <c r="AU506" i="20"/>
  <c r="AU628" i="20"/>
  <c r="AU809" i="20"/>
  <c r="AU518" i="20"/>
  <c r="AU630" i="20"/>
  <c r="AU812" i="20"/>
  <c r="AU576" i="20"/>
  <c r="AU806" i="20"/>
  <c r="AU549" i="20"/>
  <c r="AU571" i="20"/>
  <c r="AU807" i="20"/>
  <c r="AU548" i="20"/>
  <c r="AU804" i="20"/>
  <c r="AU544" i="20"/>
  <c r="AU802" i="20"/>
  <c r="AU546" i="20"/>
  <c r="AU803" i="20"/>
  <c r="AU533" i="20"/>
  <c r="AU813" i="20"/>
  <c r="AU543" i="20"/>
  <c r="AU633" i="20"/>
  <c r="AU800" i="20"/>
  <c r="AU567" i="20"/>
  <c r="AU801" i="20"/>
  <c r="AU569" i="20"/>
  <c r="AU811" i="20"/>
  <c r="AU526" i="20"/>
  <c r="AU722" i="20"/>
  <c r="AU527" i="20"/>
  <c r="AU721" i="20"/>
  <c r="AU525" i="20"/>
  <c r="AU552" i="20"/>
  <c r="AU720" i="20"/>
  <c r="AU564" i="20"/>
  <c r="AU471" i="20"/>
  <c r="AU472" i="20"/>
  <c r="AU770" i="20"/>
  <c r="AU470" i="20"/>
  <c r="AU769" i="20"/>
  <c r="AU842" i="20"/>
  <c r="AU838" i="20"/>
  <c r="AU828" i="20"/>
  <c r="AU832" i="20"/>
  <c r="AU836" i="20"/>
  <c r="AU835" i="20"/>
  <c r="AU830" i="20"/>
  <c r="AU693" i="20"/>
  <c r="AU851" i="20"/>
  <c r="AU837" i="20"/>
  <c r="AU577" i="20"/>
  <c r="AU451" i="20"/>
  <c r="AU696" i="20"/>
  <c r="AU508" i="20"/>
  <c r="AU515" i="20"/>
  <c r="AU446" i="20"/>
  <c r="AU867" i="20"/>
  <c r="AU574" i="20"/>
  <c r="AU868" i="20"/>
  <c r="AU539" i="20"/>
  <c r="AU529" i="20"/>
  <c r="AU449" i="20"/>
  <c r="AU865" i="20"/>
  <c r="AU519" i="20"/>
  <c r="AU866" i="20"/>
  <c r="AU516" i="20"/>
  <c r="AU512" i="20"/>
  <c r="AU553" i="20"/>
  <c r="AU495" i="20"/>
  <c r="AU492" i="20"/>
  <c r="AU520" i="20"/>
  <c r="AU863" i="20"/>
  <c r="AU490" i="20"/>
  <c r="AU491" i="20"/>
  <c r="AU510" i="20"/>
  <c r="AU551" i="20"/>
  <c r="AU494" i="20"/>
  <c r="AU723" i="20"/>
  <c r="AU541" i="20"/>
  <c r="AU725" i="20"/>
  <c r="AU536" i="20"/>
  <c r="AU542" i="20"/>
  <c r="AU493" i="20"/>
  <c r="AU545" i="20"/>
  <c r="AU821" i="20"/>
  <c r="AU697" i="20"/>
  <c r="AU701" i="20"/>
  <c r="AU823" i="20"/>
  <c r="AU815" i="20"/>
  <c r="AU781" i="20"/>
  <c r="AU818" i="20"/>
  <c r="AU782" i="20"/>
  <c r="AU833" i="20"/>
  <c r="AU819" i="20"/>
  <c r="AU783" i="20"/>
  <c r="AU844" i="20"/>
  <c r="AU816" i="20"/>
  <c r="AU840" i="20"/>
  <c r="AU839" i="20"/>
  <c r="AU814" i="20"/>
  <c r="AU780" i="20"/>
  <c r="AU695" i="20"/>
  <c r="AU817" i="20"/>
  <c r="AU822" i="20"/>
  <c r="AU829" i="20"/>
  <c r="AU557" i="20"/>
  <c r="AU634" i="20"/>
  <c r="AU534" i="20"/>
  <c r="AU687" i="20"/>
  <c r="AU522" i="20"/>
  <c r="AU538" i="20"/>
  <c r="AU704" i="20"/>
  <c r="AU473" i="20"/>
  <c r="AU505" i="20"/>
  <c r="AU517" i="20"/>
  <c r="AU523" i="20"/>
  <c r="AU556" i="20"/>
  <c r="AU570" i="20"/>
  <c r="AU575" i="20"/>
  <c r="AU791" i="20"/>
  <c r="AU550" i="20"/>
  <c r="AU547" i="20"/>
  <c r="AU537" i="20"/>
  <c r="AU535" i="20"/>
  <c r="AU540" i="20"/>
  <c r="AU509" i="20"/>
  <c r="AU566" i="20"/>
  <c r="AU568" i="20"/>
  <c r="AU785" i="20"/>
  <c r="AU786" i="20"/>
  <c r="AU787" i="20"/>
  <c r="AU788" i="20"/>
  <c r="AU789" i="20"/>
  <c r="AU790" i="20"/>
  <c r="AU793" i="20"/>
  <c r="AU794" i="20"/>
  <c r="AU795" i="20"/>
  <c r="AU796" i="20"/>
  <c r="AU797" i="20"/>
  <c r="AU798" i="20"/>
  <c r="AU799" i="20"/>
  <c r="AU792" i="20"/>
  <c r="AU530" i="20"/>
  <c r="AU531" i="20"/>
  <c r="AU532" i="20"/>
  <c r="AU555" i="20"/>
  <c r="AU558" i="20"/>
  <c r="AU559" i="20"/>
  <c r="AU560" i="20"/>
  <c r="S197"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3" i="37"/>
  <c r="M14" i="37"/>
  <c r="L13" i="37"/>
  <c r="L14" i="37"/>
  <c r="K13" i="37"/>
  <c r="K14" i="37"/>
  <c r="C3" i="77"/>
  <c r="C2" i="77"/>
  <c r="S169" i="14"/>
  <c r="S121" i="14"/>
  <c r="B16" i="37"/>
  <c r="C16" i="37"/>
  <c r="F15" i="36"/>
  <c r="G15" i="36"/>
  <c r="H15" i="36"/>
  <c r="I15" i="36"/>
  <c r="J15" i="36"/>
  <c r="S195" i="14"/>
  <c r="S194" i="14"/>
  <c r="S193" i="14"/>
  <c r="S192" i="14"/>
  <c r="S190" i="14"/>
  <c r="S67" i="14"/>
  <c r="S188" i="14"/>
  <c r="S187" i="14"/>
  <c r="S186" i="14"/>
  <c r="S185" i="14"/>
  <c r="S184" i="14"/>
  <c r="S61" i="14"/>
  <c r="S161" i="14"/>
  <c r="S148" i="14"/>
  <c r="S177" i="14"/>
  <c r="S178" i="14"/>
  <c r="S117" i="14"/>
  <c r="S52" i="14"/>
  <c r="S21" i="14"/>
  <c r="S10" i="14"/>
  <c r="S85" i="14"/>
  <c r="S84" i="14"/>
  <c r="S74" i="14"/>
  <c r="S179" i="14"/>
  <c r="S162" i="14"/>
  <c r="S50" i="14"/>
  <c r="S133" i="14"/>
  <c r="S132" i="14"/>
  <c r="S182" i="14"/>
  <c r="S38" i="14"/>
  <c r="S39" i="14"/>
  <c r="S48" i="14"/>
  <c r="S86" i="14"/>
  <c r="S87" i="14"/>
  <c r="S88" i="14"/>
  <c r="S89" i="14"/>
  <c r="S90" i="14"/>
  <c r="S91" i="14"/>
  <c r="S93" i="14"/>
  <c r="S94" i="14"/>
  <c r="S95" i="14"/>
  <c r="S96" i="14"/>
  <c r="S97" i="14"/>
  <c r="S98" i="14"/>
  <c r="S99" i="14"/>
  <c r="S100" i="14"/>
  <c r="S101" i="14"/>
  <c r="S102" i="14"/>
  <c r="S103" i="14"/>
  <c r="S105" i="14"/>
  <c r="S107" i="14"/>
  <c r="S108" i="14"/>
  <c r="S109" i="14"/>
  <c r="S111" i="14"/>
  <c r="S114" i="14"/>
  <c r="S118" i="14"/>
  <c r="S134" i="14"/>
  <c r="S76" i="14"/>
  <c r="S146" i="14"/>
  <c r="S147" i="14"/>
  <c r="S149" i="14"/>
  <c r="S151" i="14"/>
  <c r="S154" i="14"/>
  <c r="S164" i="14"/>
  <c r="S176" i="14"/>
  <c r="S214" i="14"/>
  <c r="S77" i="14"/>
  <c r="D16" i="43"/>
  <c r="D18" i="43"/>
  <c r="C9" i="37"/>
  <c r="C11" i="37"/>
  <c r="C13" i="37"/>
  <c r="C14" i="37"/>
  <c r="C15" i="37"/>
  <c r="C17" i="37"/>
  <c r="C18" i="37"/>
  <c r="C19" i="37"/>
  <c r="C20" i="37"/>
  <c r="C21" i="37"/>
  <c r="C22" i="37"/>
  <c r="C24" i="37"/>
  <c r="C25" i="37"/>
  <c r="C26" i="37"/>
  <c r="C27" i="37"/>
  <c r="C28" i="37"/>
  <c r="C29" i="37"/>
  <c r="C8" i="37"/>
  <c r="B9" i="37"/>
  <c r="B10" i="37"/>
  <c r="B11" i="37"/>
  <c r="B13" i="37"/>
  <c r="B14" i="37"/>
  <c r="B15" i="37"/>
  <c r="B17" i="37"/>
  <c r="B18" i="37"/>
  <c r="B19" i="37"/>
  <c r="B20" i="37"/>
  <c r="B21" i="37"/>
  <c r="B22" i="37"/>
  <c r="B23" i="37"/>
  <c r="B24" i="37"/>
  <c r="B25" i="37"/>
  <c r="B26" i="37"/>
  <c r="B27" i="37"/>
  <c r="B28" i="37"/>
  <c r="B29" i="37"/>
  <c r="B8" i="37"/>
  <c r="B10" i="36"/>
  <c r="B12" i="36"/>
  <c r="B14" i="36"/>
  <c r="B16" i="36"/>
  <c r="B17" i="36"/>
  <c r="B18" i="36"/>
  <c r="B19" i="36"/>
  <c r="B20" i="36"/>
  <c r="B21" i="36"/>
  <c r="B22" i="36"/>
  <c r="B23" i="36"/>
  <c r="B24" i="36"/>
  <c r="B25" i="36"/>
  <c r="B26" i="36"/>
  <c r="B27" i="36"/>
  <c r="B28" i="36"/>
  <c r="N54" i="37"/>
  <c r="M54" i="37"/>
  <c r="J54" i="37"/>
  <c r="I54" i="37"/>
  <c r="F54" i="37"/>
  <c r="E54" i="37"/>
  <c r="C54" i="37"/>
  <c r="B54" i="37"/>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B48" i="37"/>
  <c r="N47" i="37"/>
  <c r="M47" i="37"/>
  <c r="J47" i="37"/>
  <c r="I47" i="37"/>
  <c r="F47" i="37"/>
  <c r="E47" i="37"/>
  <c r="C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L40" i="37"/>
  <c r="J40" i="37"/>
  <c r="I40" i="37"/>
  <c r="H40" i="37"/>
  <c r="F40" i="37"/>
  <c r="E40" i="37"/>
  <c r="D40" i="37"/>
  <c r="C40" i="37"/>
  <c r="B40" i="37"/>
  <c r="N39" i="37"/>
  <c r="M39" i="37"/>
  <c r="L39" i="37"/>
  <c r="J39" i="37"/>
  <c r="I39" i="37"/>
  <c r="H39" i="37"/>
  <c r="F39" i="37"/>
  <c r="E39" i="37"/>
  <c r="D39" i="37"/>
  <c r="C39" i="37"/>
  <c r="B39" i="37"/>
  <c r="N38" i="37"/>
  <c r="M38" i="37"/>
  <c r="J38" i="37"/>
  <c r="I38" i="37"/>
  <c r="F38" i="37"/>
  <c r="E38" i="37"/>
  <c r="C38" i="37"/>
  <c r="B38" i="37"/>
  <c r="N37" i="37"/>
  <c r="M37" i="37"/>
  <c r="J37" i="37"/>
  <c r="I37" i="37"/>
  <c r="F37" i="37"/>
  <c r="E37" i="37"/>
  <c r="B37" i="37"/>
  <c r="N36" i="37"/>
  <c r="M36" i="37"/>
  <c r="J36" i="37"/>
  <c r="I36" i="37"/>
  <c r="F36" i="37"/>
  <c r="E36" i="37"/>
  <c r="C36" i="37"/>
  <c r="B36" i="37"/>
  <c r="N35" i="37"/>
  <c r="M35" i="37"/>
  <c r="J35" i="37"/>
  <c r="I35" i="37"/>
  <c r="I55" i="37" s="1"/>
  <c r="F35" i="37"/>
  <c r="E35" i="37"/>
  <c r="C35" i="37"/>
  <c r="B35" i="37"/>
  <c r="D13" i="37"/>
  <c r="F13" i="37"/>
  <c r="G13" i="37"/>
  <c r="H13" i="37"/>
  <c r="I13" i="37"/>
  <c r="J13" i="37"/>
  <c r="D14" i="37"/>
  <c r="F14" i="37"/>
  <c r="G14" i="37"/>
  <c r="H14" i="37"/>
  <c r="I14" i="37"/>
  <c r="J14" i="37"/>
  <c r="F8" i="36"/>
  <c r="H8" i="36"/>
  <c r="I8" i="36"/>
  <c r="J8" i="36"/>
  <c r="F9" i="36"/>
  <c r="H9" i="36"/>
  <c r="I9" i="36"/>
  <c r="J9" i="36"/>
  <c r="G10" i="36"/>
  <c r="H10" i="36"/>
  <c r="I10" i="36"/>
  <c r="J10" i="36"/>
  <c r="F12" i="36"/>
  <c r="G12" i="36"/>
  <c r="H12" i="36"/>
  <c r="I12" i="36"/>
  <c r="J12" i="36"/>
  <c r="F13" i="36"/>
  <c r="G13" i="36"/>
  <c r="H13" i="36"/>
  <c r="I13" i="36"/>
  <c r="J13" i="36"/>
  <c r="F14" i="36"/>
  <c r="H14" i="36"/>
  <c r="I14" i="36"/>
  <c r="J14" i="36"/>
  <c r="F16" i="36"/>
  <c r="H16" i="36"/>
  <c r="I16" i="36"/>
  <c r="J16" i="36"/>
  <c r="F17" i="36"/>
  <c r="H17" i="36"/>
  <c r="I17" i="36"/>
  <c r="J17" i="36"/>
  <c r="F18" i="36"/>
  <c r="H18" i="36"/>
  <c r="I18" i="36"/>
  <c r="J18" i="36"/>
  <c r="F19" i="36"/>
  <c r="G19" i="36"/>
  <c r="H19" i="36"/>
  <c r="I19" i="36"/>
  <c r="J19" i="36"/>
  <c r="F20" i="36"/>
  <c r="H20" i="36"/>
  <c r="I20" i="36"/>
  <c r="J20" i="36"/>
  <c r="F21" i="36"/>
  <c r="G21" i="36"/>
  <c r="H21" i="36"/>
  <c r="I21" i="36"/>
  <c r="J21" i="36"/>
  <c r="F22" i="36"/>
  <c r="G22" i="36"/>
  <c r="H22" i="36"/>
  <c r="I22" i="36"/>
  <c r="J22" i="36"/>
  <c r="F23" i="36"/>
  <c r="H23" i="36"/>
  <c r="I23" i="36"/>
  <c r="J23" i="36"/>
  <c r="F24" i="36"/>
  <c r="G24" i="36"/>
  <c r="H24" i="36"/>
  <c r="I24" i="36"/>
  <c r="J24" i="36"/>
  <c r="F25" i="36"/>
  <c r="G25" i="36"/>
  <c r="H25" i="36"/>
  <c r="I25" i="36"/>
  <c r="J25" i="36"/>
  <c r="F26" i="36"/>
  <c r="H26" i="36"/>
  <c r="I26" i="36"/>
  <c r="J26" i="36"/>
  <c r="F27" i="36"/>
  <c r="G27" i="36"/>
  <c r="H27" i="36"/>
  <c r="I27" i="36"/>
  <c r="J27" i="36"/>
  <c r="F28" i="36"/>
  <c r="H28" i="36"/>
  <c r="I28" i="36"/>
  <c r="J28" i="36"/>
  <c r="S153" i="14"/>
  <c r="AO43" i="40"/>
  <c r="AE24" i="66"/>
  <c r="AF24" i="66"/>
  <c r="D15" i="43"/>
  <c r="D14" i="43"/>
  <c r="D13" i="43"/>
  <c r="J7" i="36"/>
  <c r="I7" i="36"/>
  <c r="AO46" i="40"/>
  <c r="S156" i="14"/>
  <c r="F80" i="86"/>
  <c r="S180" i="14"/>
  <c r="F126" i="86"/>
  <c r="C23" i="37"/>
  <c r="C48" i="37"/>
  <c r="S203" i="14"/>
  <c r="AT1223" i="20"/>
  <c r="E55" i="37"/>
  <c r="AP381" i="20"/>
  <c r="AO222" i="20"/>
  <c r="J55" i="37"/>
  <c r="F55" i="37"/>
  <c r="N55" i="37"/>
  <c r="AC46" i="20"/>
  <c r="AN46" i="20"/>
  <c r="AI112" i="20"/>
  <c r="Y130" i="20"/>
  <c r="AN808" i="20"/>
  <c r="AH1338" i="20"/>
  <c r="AD67" i="20"/>
  <c r="AF1048" i="20"/>
  <c r="AF45" i="20"/>
  <c r="AJ67" i="20"/>
  <c r="AA1048" i="20"/>
  <c r="AD913" i="20"/>
  <c r="AK222" i="20"/>
  <c r="AC1042" i="20"/>
  <c r="AL1042" i="20"/>
  <c r="AC1110" i="20"/>
  <c r="AD1095" i="20"/>
  <c r="Y1066" i="20"/>
  <c r="AN1058" i="20"/>
  <c r="AC1017" i="20"/>
  <c r="AC1010" i="20"/>
  <c r="AH974" i="20"/>
  <c r="AK974" i="20"/>
  <c r="AN946" i="20"/>
  <c r="AL940" i="20"/>
  <c r="AF921" i="20"/>
  <c r="Z905" i="20"/>
  <c r="AD878" i="20"/>
  <c r="AB871" i="20"/>
  <c r="AF844" i="20"/>
  <c r="AN846" i="20"/>
  <c r="Z836" i="20"/>
  <c r="AB819" i="20"/>
  <c r="AN621" i="20"/>
  <c r="AC532" i="20"/>
  <c r="AF425" i="20"/>
  <c r="AI292" i="20"/>
  <c r="AJ292" i="20"/>
  <c r="AD285" i="20"/>
  <c r="Z281" i="20"/>
  <c r="AI281" i="20"/>
  <c r="AF277" i="20"/>
  <c r="AB272" i="20"/>
  <c r="AG272" i="20"/>
  <c r="AJ274" i="20"/>
  <c r="AA265" i="20"/>
  <c r="AC265" i="20"/>
  <c r="AB261" i="20"/>
  <c r="AE257" i="20"/>
  <c r="AF254" i="20"/>
  <c r="AN249" i="20"/>
  <c r="AA249" i="20"/>
  <c r="AC245" i="20"/>
  <c r="AH241" i="20"/>
  <c r="AD237" i="20"/>
  <c r="AG237" i="20"/>
  <c r="AE222" i="20"/>
  <c r="Z218" i="20"/>
  <c r="AK215" i="20"/>
  <c r="AN210" i="20"/>
  <c r="AF210" i="20"/>
  <c r="AG206" i="20"/>
  <c r="AF206" i="20"/>
  <c r="AE201" i="20"/>
  <c r="AF201" i="20"/>
  <c r="AG197" i="20"/>
  <c r="AN194" i="20"/>
  <c r="AA194" i="20"/>
  <c r="AB191" i="20"/>
  <c r="AJ176" i="20"/>
  <c r="AF176" i="20"/>
  <c r="AF172" i="20"/>
  <c r="AF166" i="20"/>
  <c r="AA166" i="20"/>
  <c r="AC161" i="20"/>
  <c r="AF161" i="20"/>
  <c r="AB156" i="20"/>
  <c r="AH156" i="20"/>
  <c r="AJ136" i="20"/>
  <c r="AN126" i="20"/>
  <c r="AC121" i="20"/>
  <c r="Z121" i="20"/>
  <c r="AG116" i="20"/>
  <c r="AK109" i="20"/>
  <c r="AB109" i="20"/>
  <c r="AL1058" i="20"/>
  <c r="AH1070" i="20"/>
  <c r="AH532" i="20"/>
  <c r="AH966" i="20"/>
  <c r="AG858" i="20"/>
  <c r="AK838" i="20"/>
  <c r="AD1031" i="20"/>
  <c r="AK281" i="20"/>
  <c r="AL453" i="20"/>
  <c r="AL1022" i="20"/>
  <c r="AH871" i="20"/>
  <c r="AD553" i="20"/>
  <c r="AD846" i="20"/>
  <c r="AA913" i="20"/>
  <c r="AE430" i="20"/>
  <c r="AN116" i="20"/>
  <c r="AT487" i="20"/>
  <c r="AG1120" i="20"/>
  <c r="AN31" i="20"/>
  <c r="AD804" i="20"/>
  <c r="AB804" i="20"/>
  <c r="AA787" i="20"/>
  <c r="AK787" i="20"/>
  <c r="AB772" i="20"/>
  <c r="AF772" i="20"/>
  <c r="AF763" i="20"/>
  <c r="AN751" i="20"/>
  <c r="AB747" i="20"/>
  <c r="AE747" i="20"/>
  <c r="AL742" i="20"/>
  <c r="AA731" i="20"/>
  <c r="Z731" i="20"/>
  <c r="Z724" i="20"/>
  <c r="Y352" i="20"/>
  <c r="AK344" i="20"/>
  <c r="AN328" i="20"/>
  <c r="AL312" i="20"/>
  <c r="AC295" i="20"/>
  <c r="AD287" i="20"/>
  <c r="AN1155" i="20"/>
  <c r="AE1155" i="20"/>
  <c r="AD1155" i="20"/>
  <c r="AK1147" i="20"/>
  <c r="AL1147" i="20"/>
  <c r="AD1147" i="20"/>
  <c r="AI1167" i="20"/>
  <c r="Y1167" i="20"/>
  <c r="AD1167" i="20"/>
  <c r="AA1175" i="20"/>
  <c r="AH1175" i="20"/>
  <c r="AI1175" i="20"/>
  <c r="AC1183" i="20"/>
  <c r="AL1183" i="20"/>
  <c r="AH1183" i="20"/>
  <c r="AL1191" i="20"/>
  <c r="AG1191" i="20"/>
  <c r="AB1191" i="20"/>
  <c r="AB1199" i="20"/>
  <c r="AI1199" i="20"/>
  <c r="AE1207" i="20"/>
  <c r="AJ1207" i="20"/>
  <c r="AK1207" i="20"/>
  <c r="AJ1215" i="20"/>
  <c r="AK1215" i="20"/>
  <c r="AF1219" i="20"/>
  <c r="AE1219" i="20"/>
  <c r="AH1219" i="20"/>
  <c r="Y1227" i="20"/>
  <c r="AG1227" i="20"/>
  <c r="AE1227" i="20"/>
  <c r="AE1235" i="20"/>
  <c r="AI1235" i="20"/>
  <c r="AB1243" i="20"/>
  <c r="AD1243" i="20"/>
  <c r="AI1251" i="20"/>
  <c r="AC1251" i="20"/>
  <c r="AK1259" i="20"/>
  <c r="AB1259" i="20"/>
  <c r="AD1259" i="20"/>
  <c r="AJ1267" i="20"/>
  <c r="AI1267" i="20"/>
  <c r="AH1267" i="20"/>
  <c r="AC1275" i="20"/>
  <c r="AJ1275" i="20"/>
  <c r="AH1283" i="20"/>
  <c r="AG1283" i="20"/>
  <c r="AL1283" i="20"/>
  <c r="AN1283" i="20"/>
  <c r="AN1291" i="20"/>
  <c r="AK1291" i="20"/>
  <c r="AF1291" i="20"/>
  <c r="AI1291" i="20"/>
  <c r="AB1299" i="20"/>
  <c r="AC1299" i="20"/>
  <c r="AN1299" i="20"/>
  <c r="AA1307" i="20"/>
  <c r="AH1307" i="20"/>
  <c r="Y1307" i="20"/>
  <c r="AF1307" i="20"/>
  <c r="AF1315" i="20"/>
  <c r="AI1315" i="20"/>
  <c r="AK1315" i="20"/>
  <c r="AG1315" i="20"/>
  <c r="Y1323" i="20"/>
  <c r="AE1323" i="20"/>
  <c r="AJ1323" i="20"/>
  <c r="AL1323" i="20"/>
  <c r="AE1335" i="20"/>
  <c r="AJ1335" i="20"/>
  <c r="AI1335" i="20"/>
  <c r="AG1335" i="20"/>
  <c r="AH360" i="20"/>
  <c r="AF800" i="20"/>
  <c r="AN793" i="20"/>
  <c r="AG793" i="20"/>
  <c r="AE784" i="20"/>
  <c r="AN776" i="20"/>
  <c r="AD776" i="20"/>
  <c r="AE766" i="20"/>
  <c r="AH766" i="20"/>
  <c r="AN760" i="20"/>
  <c r="AK760" i="20"/>
  <c r="AG754" i="20"/>
  <c r="AA739" i="20"/>
  <c r="AN736" i="20"/>
  <c r="Z736" i="20"/>
  <c r="AG728" i="20"/>
  <c r="AJ728" i="20"/>
  <c r="AK720" i="20"/>
  <c r="AI720" i="20"/>
  <c r="AA356" i="20"/>
  <c r="AJ348" i="20"/>
  <c r="AJ340" i="20"/>
  <c r="AE332" i="20"/>
  <c r="AG324" i="20"/>
  <c r="AI316" i="20"/>
  <c r="AA308" i="20"/>
  <c r="AK301" i="20"/>
  <c r="AN1159" i="20"/>
  <c r="AF1159" i="20"/>
  <c r="AI1159" i="20"/>
  <c r="AL1159" i="20"/>
  <c r="AJ1151" i="20"/>
  <c r="AE1151" i="20"/>
  <c r="AL1151" i="20"/>
  <c r="AB1151" i="20"/>
  <c r="AN1163" i="20"/>
  <c r="Z1163" i="20"/>
  <c r="AC1163" i="20"/>
  <c r="AC1171" i="20"/>
  <c r="Z1171" i="20"/>
  <c r="AK1171" i="20"/>
  <c r="AI1171" i="20"/>
  <c r="AI1179" i="20"/>
  <c r="AD1179" i="20"/>
  <c r="AL1179" i="20"/>
  <c r="Z1187" i="20"/>
  <c r="AF1187" i="20"/>
  <c r="AE1187" i="20"/>
  <c r="AG1187" i="20"/>
  <c r="AC1195" i="20"/>
  <c r="AF1195" i="20"/>
  <c r="AJ1195" i="20"/>
  <c r="AB1195" i="20"/>
  <c r="AG1203" i="20"/>
  <c r="AE1203" i="20"/>
  <c r="AA1203" i="20"/>
  <c r="AC1203" i="20"/>
  <c r="AE1211" i="20"/>
  <c r="Y1211" i="20"/>
  <c r="AJ1211" i="20"/>
  <c r="AC1211" i="20"/>
  <c r="AL1223" i="20"/>
  <c r="AF1223" i="20"/>
  <c r="AK1223" i="20"/>
  <c r="AB1223" i="20"/>
  <c r="AI1223" i="20"/>
  <c r="AJ1231" i="20"/>
  <c r="AD1231" i="20"/>
  <c r="Y1231" i="20"/>
  <c r="AD1239" i="20"/>
  <c r="AB1239" i="20"/>
  <c r="AA1239" i="20"/>
  <c r="AN1239" i="20"/>
  <c r="AB1247" i="20"/>
  <c r="AH1247" i="20"/>
  <c r="AJ1247" i="20"/>
  <c r="Y1247" i="20"/>
  <c r="AD1255" i="20"/>
  <c r="AK1255" i="20"/>
  <c r="AN1255" i="20"/>
  <c r="AH1255" i="20"/>
  <c r="AD1263" i="20"/>
  <c r="Z1263" i="20"/>
  <c r="AH1263" i="20"/>
  <c r="Y1263" i="20"/>
  <c r="AN1263" i="20"/>
  <c r="AK1271" i="20"/>
  <c r="AJ1271" i="20"/>
  <c r="AF1271" i="20"/>
  <c r="AA1279" i="20"/>
  <c r="AK1279" i="20"/>
  <c r="AF1279" i="20"/>
  <c r="AI1279" i="20"/>
  <c r="AL1279" i="20"/>
  <c r="AK1287" i="20"/>
  <c r="AH1287" i="20"/>
  <c r="AF1287" i="20"/>
  <c r="AL1287" i="20"/>
  <c r="AK1295" i="20"/>
  <c r="Y1295" i="20"/>
  <c r="AL1295" i="20"/>
  <c r="AG1303" i="20"/>
  <c r="AH1303" i="20"/>
  <c r="AA1303" i="20"/>
  <c r="AI1303" i="20"/>
  <c r="AL1311" i="20"/>
  <c r="AF1311" i="20"/>
  <c r="AG1311" i="20"/>
  <c r="AN1311" i="20"/>
  <c r="AK1311" i="20"/>
  <c r="AL1319" i="20"/>
  <c r="AC1319" i="20"/>
  <c r="AA1319" i="20"/>
  <c r="AG1319" i="20"/>
  <c r="AJ1327" i="20"/>
  <c r="AG1327" i="20"/>
  <c r="AA1327" i="20"/>
  <c r="AF1327" i="20"/>
  <c r="AB1331" i="20"/>
  <c r="Z1331" i="20"/>
  <c r="AL1331" i="20"/>
  <c r="AD1331" i="20"/>
  <c r="Y1287" i="20"/>
  <c r="AL751" i="20"/>
  <c r="AD766" i="20"/>
  <c r="AC800" i="20"/>
  <c r="AT653" i="20"/>
  <c r="AT1006" i="20"/>
  <c r="AJ24" i="20"/>
  <c r="AT418" i="20"/>
  <c r="AT911" i="20"/>
  <c r="AT380" i="20"/>
  <c r="AC24" i="20"/>
  <c r="AT882" i="20"/>
  <c r="AT1056" i="20"/>
  <c r="AT705" i="20"/>
  <c r="AC27" i="20"/>
  <c r="AT877" i="20"/>
  <c r="AT379" i="20"/>
  <c r="AT515" i="20"/>
  <c r="AG1151" i="20"/>
  <c r="AG1147" i="20"/>
  <c r="AE1163" i="20"/>
  <c r="AK1179" i="20"/>
  <c r="AE1191" i="20"/>
  <c r="AD1191" i="20"/>
  <c r="AN1207" i="20"/>
  <c r="AN1215" i="20"/>
  <c r="AK1219" i="20"/>
  <c r="AI1231" i="20"/>
  <c r="AA1235" i="20"/>
  <c r="AK1235" i="20"/>
  <c r="AJ1243" i="20"/>
  <c r="AH1251" i="20"/>
  <c r="AN1259" i="20"/>
  <c r="AA1275" i="20"/>
  <c r="AE1283" i="20"/>
  <c r="AG1291" i="20"/>
  <c r="AJ1299" i="20"/>
  <c r="AI1323" i="20"/>
  <c r="AT897" i="20"/>
  <c r="AC54" i="20"/>
  <c r="AE55" i="20"/>
  <c r="AT663" i="20"/>
  <c r="AA1144" i="20"/>
  <c r="Z31" i="20"/>
  <c r="AD924" i="20"/>
  <c r="AC1049" i="20"/>
  <c r="AB1049" i="20"/>
  <c r="Z109" i="20"/>
  <c r="AT1295" i="20"/>
  <c r="Y201" i="20"/>
  <c r="AK197" i="20"/>
  <c r="AB197" i="20"/>
  <c r="AI197" i="20"/>
  <c r="AF194" i="20"/>
  <c r="AC191" i="20"/>
  <c r="AC176" i="20"/>
  <c r="Z172" i="20"/>
  <c r="AE172" i="20"/>
  <c r="AJ166" i="20"/>
  <c r="AJ161" i="20"/>
  <c r="Z156" i="20"/>
  <c r="Y156" i="20"/>
  <c r="AA136" i="20"/>
  <c r="AK126" i="20"/>
  <c r="AK121" i="20"/>
  <c r="AB121" i="20"/>
  <c r="AF116" i="20"/>
  <c r="AT1110" i="20"/>
  <c r="AT1159" i="20"/>
  <c r="AT1155" i="20"/>
  <c r="AT851" i="20"/>
  <c r="AT341" i="20"/>
  <c r="AT678" i="20"/>
  <c r="AT782" i="20"/>
  <c r="AT795" i="20"/>
  <c r="AA1128" i="20"/>
  <c r="AT307" i="20"/>
  <c r="AT300" i="20"/>
  <c r="AT501" i="20"/>
  <c r="AT848" i="20"/>
  <c r="AT931" i="20"/>
  <c r="AT265" i="20"/>
  <c r="AT255" i="20"/>
  <c r="AT87" i="20"/>
  <c r="AT1025" i="20"/>
  <c r="F55" i="86"/>
  <c r="C10" i="37"/>
  <c r="AM12" i="40"/>
  <c r="AJ49" i="40"/>
  <c r="AM49" i="40"/>
  <c r="AJ12" i="40"/>
  <c r="C37" i="37"/>
  <c r="AL12" i="40"/>
  <c r="AK12" i="40"/>
  <c r="D18" i="40"/>
  <c r="Y5" i="66" s="1"/>
  <c r="AN48" i="40"/>
  <c r="AL49" i="40"/>
  <c r="S26" i="14"/>
  <c r="AK49" i="40"/>
  <c r="AF555" i="20"/>
  <c r="AP1207" i="20"/>
  <c r="AP1211" i="20"/>
  <c r="AP1223" i="20"/>
  <c r="AP1287" i="20"/>
  <c r="AP1319" i="20"/>
  <c r="AP1335" i="20"/>
  <c r="AO274" i="20"/>
  <c r="AT1081" i="20"/>
  <c r="AT775" i="20"/>
  <c r="AL1118" i="20"/>
  <c r="AN1040" i="20"/>
  <c r="AT732" i="20"/>
  <c r="AT564" i="20"/>
  <c r="AT789" i="20"/>
  <c r="AT602" i="20"/>
  <c r="AT524" i="20"/>
  <c r="AT843" i="20"/>
  <c r="AT632" i="20"/>
  <c r="AO527" i="20"/>
  <c r="AO1191" i="20"/>
  <c r="AP1275" i="20"/>
  <c r="AP1311" i="20"/>
  <c r="AB226" i="20"/>
  <c r="AD226" i="20"/>
  <c r="AJ179" i="20"/>
  <c r="AI1040" i="20"/>
  <c r="AO546" i="20"/>
  <c r="AT907" i="20"/>
  <c r="AT1109" i="20"/>
  <c r="AT970" i="20"/>
  <c r="AT866" i="20"/>
  <c r="AT572" i="20"/>
  <c r="AT411" i="20"/>
  <c r="AT368" i="20"/>
  <c r="AT806" i="20"/>
  <c r="AP631" i="20"/>
  <c r="Y255" i="20"/>
  <c r="AT924" i="20"/>
  <c r="AT1029" i="20"/>
  <c r="Y1114" i="20"/>
  <c r="AE1138" i="20"/>
  <c r="AO1151" i="20"/>
  <c r="AP1175" i="20"/>
  <c r="AO1195" i="20"/>
  <c r="AP1219" i="20"/>
  <c r="AO1231" i="20"/>
  <c r="AO1239" i="20"/>
  <c r="AO1279" i="20"/>
  <c r="AP1283" i="20"/>
  <c r="AP1295" i="20"/>
  <c r="AP1323" i="20"/>
  <c r="AT1267" i="20"/>
  <c r="AT722" i="20"/>
  <c r="AT585" i="20"/>
  <c r="AT1061" i="20"/>
  <c r="AT596" i="20"/>
  <c r="AH1138" i="20"/>
  <c r="AK1130" i="20"/>
  <c r="AD1130" i="20"/>
  <c r="AP1118" i="20"/>
  <c r="AH1118" i="20"/>
  <c r="AE62" i="20"/>
  <c r="AB62" i="20"/>
  <c r="Y62" i="20"/>
  <c r="AH62" i="20"/>
  <c r="AK62" i="20"/>
  <c r="AA62" i="20"/>
  <c r="AJ58" i="20"/>
  <c r="AF58" i="20"/>
  <c r="Z1009" i="20"/>
  <c r="AN1009" i="20"/>
  <c r="AC1009" i="20"/>
  <c r="AH1009" i="20"/>
  <c r="AO1040" i="20"/>
  <c r="AC1040" i="20"/>
  <c r="AL1040" i="20"/>
  <c r="AB872" i="20"/>
  <c r="AL83" i="20"/>
  <c r="AD92" i="20"/>
  <c r="AC177" i="20"/>
  <c r="AN177" i="20"/>
  <c r="AP162" i="20"/>
  <c r="AH964" i="20"/>
  <c r="AI1028" i="20"/>
  <c r="AJ228" i="20"/>
  <c r="AE228" i="20"/>
  <c r="AT763" i="20"/>
  <c r="AJ1040" i="20"/>
  <c r="AG1122" i="20"/>
  <c r="Y1122" i="20"/>
  <c r="AT913" i="20"/>
  <c r="AT608" i="20"/>
  <c r="AO1142" i="20"/>
  <c r="AB1134" i="20"/>
  <c r="AA1134" i="20"/>
  <c r="AL1126" i="20"/>
  <c r="AO1114" i="20"/>
  <c r="AT397" i="20"/>
  <c r="AT560" i="20"/>
  <c r="AT917" i="20"/>
  <c r="AT900" i="20"/>
  <c r="Y1009" i="20"/>
  <c r="AP1167" i="20"/>
  <c r="AO1183" i="20"/>
  <c r="AT1331" i="20"/>
  <c r="AC228" i="20"/>
  <c r="AL228" i="20"/>
  <c r="AK58" i="20"/>
  <c r="AP58" i="20"/>
  <c r="AH58" i="20"/>
  <c r="AT174" i="20"/>
  <c r="AO962" i="20"/>
  <c r="AP1028" i="20"/>
  <c r="AN228" i="20"/>
  <c r="Z228" i="20"/>
  <c r="AB228" i="20"/>
  <c r="AD228" i="20"/>
  <c r="Z95" i="20"/>
  <c r="AT958" i="20"/>
  <c r="AN1028" i="20"/>
  <c r="AO228" i="20"/>
  <c r="AT1071" i="20"/>
  <c r="AT647" i="20"/>
  <c r="AT821" i="20"/>
  <c r="AT547" i="20"/>
  <c r="AE964" i="20"/>
  <c r="AF228" i="20"/>
  <c r="AO23" i="20"/>
  <c r="AT84" i="20"/>
  <c r="AL960" i="20"/>
  <c r="AH815" i="20"/>
  <c r="AT464" i="20"/>
  <c r="AI982" i="20"/>
  <c r="AT1143" i="20"/>
  <c r="AB39" i="20"/>
  <c r="AL39" i="20"/>
  <c r="AG6" i="20"/>
  <c r="AO1088" i="20"/>
  <c r="AK923" i="20"/>
  <c r="AT274" i="20"/>
  <c r="AT399" i="20"/>
  <c r="AT549" i="20"/>
  <c r="AA6" i="20"/>
  <c r="AL1033" i="20"/>
  <c r="AI928" i="20"/>
  <c r="AA848" i="20"/>
  <c r="AD718" i="20"/>
  <c r="AT719" i="20"/>
  <c r="AT127" i="20"/>
  <c r="AI350" i="20"/>
  <c r="AC1256" i="20"/>
  <c r="AB1228" i="20"/>
  <c r="AO1154" i="20"/>
  <c r="AL1164" i="20"/>
  <c r="AO1180" i="20"/>
  <c r="AA1200" i="20"/>
  <c r="AE1200" i="20"/>
  <c r="Z1208" i="20"/>
  <c r="AO1224" i="20"/>
  <c r="AI1236" i="20"/>
  <c r="AK1240" i="20"/>
  <c r="Z1252" i="20"/>
  <c r="AO1268" i="20"/>
  <c r="Z1272" i="20"/>
  <c r="AI1288" i="20"/>
  <c r="AO1292" i="20"/>
  <c r="AG1300" i="20"/>
  <c r="AP1316" i="20"/>
  <c r="AJ1320" i="20"/>
  <c r="AO1328" i="20"/>
  <c r="AG1332" i="20"/>
  <c r="AN1336" i="20"/>
  <c r="Y1296" i="20"/>
  <c r="AH1264" i="20"/>
  <c r="AF1248" i="20"/>
  <c r="AD1268" i="20"/>
  <c r="AB1284" i="20"/>
  <c r="AB1224" i="20"/>
  <c r="AJ1172" i="20"/>
  <c r="AH1184" i="20"/>
  <c r="AL1332" i="20"/>
  <c r="AN1296" i="20"/>
  <c r="AG1188" i="20"/>
  <c r="AB1188" i="20"/>
  <c r="Y1260" i="20"/>
  <c r="AL1184" i="20"/>
  <c r="Z1320" i="20"/>
  <c r="AJ1316" i="20"/>
  <c r="AN1292" i="20"/>
  <c r="AA1276" i="20"/>
  <c r="AJ1192" i="20"/>
  <c r="AC1150" i="20"/>
  <c r="AG1172" i="20"/>
  <c r="AB1232" i="20"/>
  <c r="AF1292" i="20"/>
  <c r="AF1212" i="20"/>
  <c r="AP1009" i="20"/>
  <c r="AH1035" i="20"/>
  <c r="AT941" i="20"/>
  <c r="AT1064" i="20"/>
  <c r="AT519" i="20"/>
  <c r="AT993" i="20"/>
  <c r="AT500" i="20"/>
  <c r="AT1074" i="20"/>
  <c r="AT611" i="20"/>
  <c r="AT425" i="20"/>
  <c r="AJ130" i="20"/>
  <c r="AB130" i="20"/>
  <c r="AE46" i="20"/>
  <c r="AK46" i="20"/>
  <c r="Z46" i="20"/>
  <c r="AO130" i="20"/>
  <c r="AO171" i="20"/>
  <c r="AC130" i="20"/>
  <c r="AH130" i="20"/>
  <c r="AA46" i="20"/>
  <c r="Y46" i="20"/>
  <c r="AD46" i="20"/>
  <c r="AT919" i="20"/>
  <c r="AT859" i="20"/>
  <c r="AT327" i="20"/>
  <c r="AT1066" i="20"/>
  <c r="AT744" i="20"/>
  <c r="AT581" i="20"/>
  <c r="AT373" i="20"/>
  <c r="AT489" i="20"/>
  <c r="AT243" i="20"/>
  <c r="AT442" i="20"/>
  <c r="AT534" i="20"/>
  <c r="AT827" i="20"/>
  <c r="AT542" i="20"/>
  <c r="AT1087" i="20"/>
  <c r="AT990" i="20"/>
  <c r="AT576" i="20"/>
  <c r="AT712" i="20"/>
  <c r="AT590" i="20"/>
  <c r="AT423" i="20"/>
  <c r="AT1019" i="20"/>
  <c r="AT927" i="20"/>
  <c r="AT1045" i="20"/>
  <c r="AT212" i="20"/>
  <c r="AT640" i="20"/>
  <c r="AT1023" i="20"/>
  <c r="AT520" i="20"/>
  <c r="AT1078" i="20"/>
  <c r="AT964" i="20"/>
  <c r="E13" i="43"/>
  <c r="AT741" i="20"/>
  <c r="AT727" i="20"/>
  <c r="AT671" i="20"/>
  <c r="AT1098" i="20"/>
  <c r="AT1014" i="20"/>
  <c r="AT1090" i="20"/>
  <c r="AT667" i="20"/>
  <c r="AT659" i="20"/>
  <c r="AT693" i="20"/>
  <c r="AT347" i="20"/>
  <c r="AT1094" i="20"/>
  <c r="AT889" i="20"/>
  <c r="AT536" i="20"/>
  <c r="AT400" i="20"/>
  <c r="AT351" i="20"/>
  <c r="AT552" i="20"/>
  <c r="AT830" i="20"/>
  <c r="AT429" i="20"/>
  <c r="AT339" i="20"/>
  <c r="E15" i="43"/>
  <c r="E18" i="43"/>
  <c r="AT986" i="20"/>
  <c r="AT998" i="20"/>
  <c r="AT754" i="20"/>
  <c r="AT122" i="20"/>
  <c r="AT953" i="20"/>
  <c r="CH4" i="62"/>
  <c r="CH8" i="62"/>
  <c r="CH9" i="62"/>
  <c r="CH5" i="62"/>
  <c r="C46" i="40"/>
  <c r="C47" i="40"/>
  <c r="D48" i="40"/>
  <c r="D46" i="40"/>
  <c r="CH7" i="62"/>
  <c r="CH10" i="62"/>
  <c r="D47" i="40"/>
  <c r="C48" i="40"/>
  <c r="H12" i="43"/>
  <c r="H15" i="43"/>
  <c r="Q12" i="43"/>
  <c r="H14" i="43"/>
  <c r="AB19" i="43"/>
  <c r="AB14" i="43"/>
  <c r="AB13" i="43"/>
  <c r="H17" i="43"/>
  <c r="Q13" i="43"/>
  <c r="AB16" i="43"/>
  <c r="AB18" i="43"/>
  <c r="AB12" i="43"/>
  <c r="H18" i="43"/>
  <c r="H13" i="43"/>
  <c r="Q14" i="43"/>
  <c r="AB21" i="43"/>
  <c r="H16" i="43"/>
  <c r="AB17" i="43"/>
  <c r="AB15" i="43"/>
  <c r="AB20" i="43"/>
  <c r="AC362" i="20" l="1"/>
  <c r="AA827" i="20"/>
  <c r="Y811" i="20"/>
  <c r="AJ6" i="20"/>
  <c r="AO338" i="20"/>
  <c r="AD1116" i="20"/>
  <c r="AC782" i="20"/>
  <c r="AP749" i="20"/>
  <c r="AF749" i="20"/>
  <c r="AN952" i="20"/>
  <c r="AP789" i="20"/>
  <c r="AB6" i="20"/>
  <c r="AN1144" i="20"/>
  <c r="AF1132" i="20"/>
  <c r="AI785" i="20"/>
  <c r="AF1100" i="20"/>
  <c r="AB830" i="20"/>
  <c r="AN990" i="20"/>
  <c r="AH6" i="20"/>
  <c r="AD1087" i="20"/>
  <c r="AJ1116" i="20"/>
  <c r="AI1025" i="20"/>
  <c r="Q1" i="86"/>
  <c r="AT711" i="20"/>
  <c r="AF279" i="14"/>
  <c r="AH279" i="14" s="1"/>
  <c r="AT842" i="20"/>
  <c r="AT833" i="20"/>
  <c r="AT701" i="20"/>
  <c r="AT406" i="20"/>
  <c r="AT957" i="20"/>
  <c r="AT599" i="20"/>
  <c r="AT1104" i="20"/>
  <c r="AT1049" i="20"/>
  <c r="AT1086" i="20"/>
  <c r="AT1220" i="20"/>
  <c r="M55" i="37"/>
  <c r="AP650" i="20"/>
  <c r="AD650" i="20"/>
  <c r="AF1273" i="20"/>
  <c r="AE1273" i="20"/>
  <c r="AE58" i="20"/>
  <c r="AC58" i="20"/>
  <c r="AO62" i="20"/>
  <c r="AP1199" i="20"/>
  <c r="AO611" i="20"/>
  <c r="AG1009" i="20"/>
  <c r="AF1009" i="20"/>
  <c r="AI58" i="20"/>
  <c r="AD62" i="20"/>
  <c r="AP1303" i="20"/>
  <c r="AP1279" i="20"/>
  <c r="AP1239" i="20"/>
  <c r="AO1215" i="20"/>
  <c r="AP1151" i="20"/>
  <c r="AO1275" i="20"/>
  <c r="AP1191" i="20"/>
  <c r="AO1335" i="20"/>
  <c r="AO1243" i="20"/>
  <c r="AO1207" i="20"/>
  <c r="AK635" i="20"/>
  <c r="AK116" i="20"/>
  <c r="AH126" i="20"/>
  <c r="AN136" i="20"/>
  <c r="Y166" i="20"/>
  <c r="AB176" i="20"/>
  <c r="AD197" i="20"/>
  <c r="AN201" i="20"/>
  <c r="Z1299" i="20"/>
  <c r="AI1275" i="20"/>
  <c r="AJ1259" i="20"/>
  <c r="AI1243" i="20"/>
  <c r="AA1231" i="20"/>
  <c r="Z1219" i="20"/>
  <c r="AE1199" i="20"/>
  <c r="AH1179" i="20"/>
  <c r="AB1163" i="20"/>
  <c r="AK1151" i="20"/>
  <c r="AA1331" i="20"/>
  <c r="AH1327" i="20"/>
  <c r="Y1319" i="20"/>
  <c r="AH1319" i="20"/>
  <c r="AD1311" i="20"/>
  <c r="AE1303" i="20"/>
  <c r="AI1295" i="20"/>
  <c r="AA1287" i="20"/>
  <c r="AD1279" i="20"/>
  <c r="AG1271" i="20"/>
  <c r="AF1263" i="20"/>
  <c r="AF1255" i="20"/>
  <c r="AG1247" i="20"/>
  <c r="AG1239" i="20"/>
  <c r="AG1231" i="20"/>
  <c r="AG1223" i="20"/>
  <c r="AG1211" i="20"/>
  <c r="AL1203" i="20"/>
  <c r="AE1195" i="20"/>
  <c r="AK1187" i="20"/>
  <c r="AG1179" i="20"/>
  <c r="AD1163" i="20"/>
  <c r="AD1151" i="20"/>
  <c r="AE1159" i="20"/>
  <c r="AL1335" i="20"/>
  <c r="AD1323" i="20"/>
  <c r="AA1315" i="20"/>
  <c r="AD1315" i="20"/>
  <c r="AK1307" i="20"/>
  <c r="AL1299" i="20"/>
  <c r="AA1291" i="20"/>
  <c r="AN1267" i="20"/>
  <c r="AN1251" i="20"/>
  <c r="AH1215" i="20"/>
  <c r="AA1183" i="20"/>
  <c r="AE1167" i="20"/>
  <c r="AF1155" i="20"/>
  <c r="AC437" i="20"/>
  <c r="AI274" i="20"/>
  <c r="AB397" i="20"/>
  <c r="AK581" i="20"/>
  <c r="AF924" i="20"/>
  <c r="AB67" i="20"/>
  <c r="Z710" i="20"/>
  <c r="AN710" i="20"/>
  <c r="AI694" i="20"/>
  <c r="AC694" i="20"/>
  <c r="Y685" i="20"/>
  <c r="AH685" i="20"/>
  <c r="AE677" i="20"/>
  <c r="AD677" i="20"/>
  <c r="Z669" i="20"/>
  <c r="AJ669" i="20"/>
  <c r="AL669" i="20"/>
  <c r="AA648" i="20"/>
  <c r="AK648" i="20"/>
  <c r="Y641" i="20"/>
  <c r="AK641" i="20"/>
  <c r="AE605" i="20"/>
  <c r="Y605" i="20"/>
  <c r="AE597" i="20"/>
  <c r="AF597" i="20"/>
  <c r="Z571" i="20"/>
  <c r="AF571" i="20"/>
  <c r="AJ550" i="20"/>
  <c r="AF550" i="20"/>
  <c r="AN521" i="20"/>
  <c r="AA521" i="20"/>
  <c r="AO516" i="20"/>
  <c r="AL516" i="20"/>
  <c r="AB501" i="20"/>
  <c r="AK501" i="20"/>
  <c r="AC493" i="20"/>
  <c r="AI493" i="20"/>
  <c r="AE489" i="20"/>
  <c r="AL489" i="20"/>
  <c r="AD441" i="20"/>
  <c r="AI441" i="20"/>
  <c r="AI425" i="20"/>
  <c r="AG425" i="20"/>
  <c r="AA405" i="20"/>
  <c r="AI405" i="20"/>
  <c r="AD381" i="20"/>
  <c r="AF381" i="20"/>
  <c r="AP292" i="20"/>
  <c r="AO292" i="20"/>
  <c r="AB292" i="20"/>
  <c r="AF292" i="20"/>
  <c r="AC292" i="20"/>
  <c r="AH292" i="20"/>
  <c r="AD292" i="20"/>
  <c r="AA292" i="20"/>
  <c r="Y292" i="20"/>
  <c r="AN292" i="20"/>
  <c r="AE292" i="20"/>
  <c r="AG292" i="20"/>
  <c r="Z292" i="20"/>
  <c r="AL292" i="20"/>
  <c r="AF285" i="20"/>
  <c r="Z285" i="20"/>
  <c r="AI285" i="20"/>
  <c r="AC285" i="20"/>
  <c r="AK285" i="20"/>
  <c r="AJ285" i="20"/>
  <c r="AA285" i="20"/>
  <c r="AB285" i="20"/>
  <c r="AN285" i="20"/>
  <c r="AG285" i="20"/>
  <c r="AE285" i="20"/>
  <c r="AH285" i="20"/>
  <c r="AC281" i="20"/>
  <c r="AE281" i="20"/>
  <c r="AA281" i="20"/>
  <c r="Y281" i="20"/>
  <c r="AJ281" i="20"/>
  <c r="AN281" i="20"/>
  <c r="AF281" i="20"/>
  <c r="AG281" i="20"/>
  <c r="AB281" i="20"/>
  <c r="AL281" i="20"/>
  <c r="AP277" i="20"/>
  <c r="AH277" i="20"/>
  <c r="AN277" i="20"/>
  <c r="AA277" i="20"/>
  <c r="Z277" i="20"/>
  <c r="AI277" i="20"/>
  <c r="AC277" i="20"/>
  <c r="Y277" i="20"/>
  <c r="AK277" i="20"/>
  <c r="AJ277" i="20"/>
  <c r="AO277" i="20"/>
  <c r="AG277" i="20"/>
  <c r="AB277" i="20"/>
  <c r="AD277" i="20"/>
  <c r="AC272" i="20"/>
  <c r="AA272" i="20"/>
  <c r="AJ272" i="20"/>
  <c r="AN272" i="20"/>
  <c r="AI272" i="20"/>
  <c r="AK272" i="20"/>
  <c r="AL272" i="20"/>
  <c r="AF272" i="20"/>
  <c r="Z272" i="20"/>
  <c r="AH272" i="20"/>
  <c r="AD272" i="20"/>
  <c r="AG274" i="20"/>
  <c r="AL274" i="20"/>
  <c r="AN274" i="20"/>
  <c r="AC274" i="20"/>
  <c r="AA274" i="20"/>
  <c r="AE274" i="20"/>
  <c r="AH274" i="20"/>
  <c r="Y274" i="20"/>
  <c r="AF274" i="20"/>
  <c r="AP274" i="20"/>
  <c r="AK274" i="20"/>
  <c r="AD274" i="20"/>
  <c r="Z265" i="20"/>
  <c r="AD265" i="20"/>
  <c r="AE265" i="20"/>
  <c r="AN265" i="20"/>
  <c r="AK265" i="20"/>
  <c r="AL265" i="20"/>
  <c r="AG265" i="20"/>
  <c r="AF265" i="20"/>
  <c r="AJ265" i="20"/>
  <c r="AI265" i="20"/>
  <c r="AB265" i="20"/>
  <c r="Y265" i="20"/>
  <c r="AN261" i="20"/>
  <c r="AI261" i="20"/>
  <c r="AF261" i="20"/>
  <c r="AG261" i="20"/>
  <c r="AD261" i="20"/>
  <c r="AJ261" i="20"/>
  <c r="Y261" i="20"/>
  <c r="AA261" i="20"/>
  <c r="AH261" i="20"/>
  <c r="AC261" i="20"/>
  <c r="Z261" i="20"/>
  <c r="AJ257" i="20"/>
  <c r="AN257" i="20"/>
  <c r="AK257" i="20"/>
  <c r="AI257" i="20"/>
  <c r="AG257" i="20"/>
  <c r="AL257" i="20"/>
  <c r="AD257" i="20"/>
  <c r="Y257" i="20"/>
  <c r="AH257" i="20"/>
  <c r="Z257" i="20"/>
  <c r="AB257" i="20"/>
  <c r="AF257" i="20"/>
  <c r="AK254" i="20"/>
  <c r="AI254" i="20"/>
  <c r="Z254" i="20"/>
  <c r="AC254" i="20"/>
  <c r="Y254" i="20"/>
  <c r="AH254" i="20"/>
  <c r="AA254" i="20"/>
  <c r="AN254" i="20"/>
  <c r="AE254" i="20"/>
  <c r="AG254" i="20"/>
  <c r="AL254" i="20"/>
  <c r="AB254" i="20"/>
  <c r="AJ254" i="20"/>
  <c r="AF249" i="20"/>
  <c r="AK249" i="20"/>
  <c r="AB249" i="20"/>
  <c r="AE249" i="20"/>
  <c r="AJ249" i="20"/>
  <c r="AI249" i="20"/>
  <c r="Y249" i="20"/>
  <c r="AC249" i="20"/>
  <c r="AH249" i="20"/>
  <c r="Z249" i="20"/>
  <c r="AL249" i="20"/>
  <c r="AG249" i="20"/>
  <c r="AO245" i="20"/>
  <c r="AP245" i="20"/>
  <c r="AI245" i="20"/>
  <c r="AG245" i="20"/>
  <c r="AA245" i="20"/>
  <c r="AN245" i="20"/>
  <c r="AH245" i="20"/>
  <c r="AJ245" i="20"/>
  <c r="AF245" i="20"/>
  <c r="AE245" i="20"/>
  <c r="AK245" i="20"/>
  <c r="AL245" i="20"/>
  <c r="Y245" i="20"/>
  <c r="AD245" i="20"/>
  <c r="AB245" i="20"/>
  <c r="AD241" i="20"/>
  <c r="AI241" i="20"/>
  <c r="AE241" i="20"/>
  <c r="AA241" i="20"/>
  <c r="AL241" i="20"/>
  <c r="AB241" i="20"/>
  <c r="AN241" i="20"/>
  <c r="AK241" i="20"/>
  <c r="Y241" i="20"/>
  <c r="AC241" i="20"/>
  <c r="AJ241" i="20"/>
  <c r="AG241" i="20"/>
  <c r="AB237" i="20"/>
  <c r="AC237" i="20"/>
  <c r="AH237" i="20"/>
  <c r="AN237" i="20"/>
  <c r="AA237" i="20"/>
  <c r="AE237" i="20"/>
  <c r="AF237" i="20"/>
  <c r="AK237" i="20"/>
  <c r="AC222" i="20"/>
  <c r="AI222" i="20"/>
  <c r="AJ222" i="20"/>
  <c r="AN222" i="20"/>
  <c r="AG222" i="20"/>
  <c r="Y222" i="20"/>
  <c r="AD222" i="20"/>
  <c r="AA222" i="20"/>
  <c r="Z222" i="20"/>
  <c r="AF222" i="20"/>
  <c r="AL222" i="20"/>
  <c r="AP218" i="20"/>
  <c r="AC218" i="20"/>
  <c r="AJ218" i="20"/>
  <c r="AK218" i="20"/>
  <c r="AB218" i="20"/>
  <c r="AF218" i="20"/>
  <c r="AN218" i="20"/>
  <c r="AE218" i="20"/>
  <c r="AI218" i="20"/>
  <c r="AD218" i="20"/>
  <c r="AG218" i="20"/>
  <c r="Y218" i="20"/>
  <c r="AP215" i="20"/>
  <c r="AA215" i="20"/>
  <c r="AI215" i="20"/>
  <c r="AG215" i="20"/>
  <c r="AC215" i="20"/>
  <c r="AB215" i="20"/>
  <c r="AJ215" i="20"/>
  <c r="AN215" i="20"/>
  <c r="Z215" i="20"/>
  <c r="AE215" i="20"/>
  <c r="AH215" i="20"/>
  <c r="AF215" i="20"/>
  <c r="AL215" i="20"/>
  <c r="AH210" i="20"/>
  <c r="AK210" i="20"/>
  <c r="AC210" i="20"/>
  <c r="AA210" i="20"/>
  <c r="AG210" i="20"/>
  <c r="AJ210" i="20"/>
  <c r="Y210" i="20"/>
  <c r="AD210" i="20"/>
  <c r="AL210" i="20"/>
  <c r="Z210" i="20"/>
  <c r="AE210" i="20"/>
  <c r="AI206" i="20"/>
  <c r="AH206" i="20"/>
  <c r="AK206" i="20"/>
  <c r="AB206" i="20"/>
  <c r="AL206" i="20"/>
  <c r="AD206" i="20"/>
  <c r="AN206" i="20"/>
  <c r="Z206" i="20"/>
  <c r="AE206" i="20"/>
  <c r="AA206" i="20"/>
  <c r="AJ206" i="20"/>
  <c r="AK201" i="20"/>
  <c r="AJ201" i="20"/>
  <c r="AA201" i="20"/>
  <c r="AD201" i="20"/>
  <c r="AB201" i="20"/>
  <c r="AL201" i="20"/>
  <c r="AC201" i="20"/>
  <c r="AI201" i="20"/>
  <c r="AG201" i="20"/>
  <c r="AH201" i="20"/>
  <c r="AP197" i="20"/>
  <c r="AA197" i="20"/>
  <c r="AH197" i="20"/>
  <c r="AO197" i="20"/>
  <c r="Y197" i="20"/>
  <c r="AE197" i="20"/>
  <c r="AL197" i="20"/>
  <c r="AF197" i="20"/>
  <c r="AC197" i="20"/>
  <c r="Z194" i="20"/>
  <c r="AK194" i="20"/>
  <c r="AH194" i="20"/>
  <c r="AI194" i="20"/>
  <c r="AL194" i="20"/>
  <c r="AC194" i="20"/>
  <c r="AD194" i="20"/>
  <c r="AE194" i="20"/>
  <c r="Y194" i="20"/>
  <c r="AO191" i="20"/>
  <c r="AP191" i="20"/>
  <c r="AF191" i="20"/>
  <c r="AI191" i="20"/>
  <c r="Y191" i="20"/>
  <c r="AJ191" i="20"/>
  <c r="AL191" i="20"/>
  <c r="AA191" i="20"/>
  <c r="AG191" i="20"/>
  <c r="AN191" i="20"/>
  <c r="AK191" i="20"/>
  <c r="Z191" i="20"/>
  <c r="AH176" i="20"/>
  <c r="AD176" i="20"/>
  <c r="AI176" i="20"/>
  <c r="AK176" i="20"/>
  <c r="AE176" i="20"/>
  <c r="AL176" i="20"/>
  <c r="Z176" i="20"/>
  <c r="AN176" i="20"/>
  <c r="AA176" i="20"/>
  <c r="AG176" i="20"/>
  <c r="AO172" i="20"/>
  <c r="AI172" i="20"/>
  <c r="AC172" i="20"/>
  <c r="AG172" i="20"/>
  <c r="AA172" i="20"/>
  <c r="AK172" i="20"/>
  <c r="Y172" i="20"/>
  <c r="AB172" i="20"/>
  <c r="AH172" i="20"/>
  <c r="AD172" i="20"/>
  <c r="AI166" i="20"/>
  <c r="AN166" i="20"/>
  <c r="AE166" i="20"/>
  <c r="Z166" i="20"/>
  <c r="AB166" i="20"/>
  <c r="AL166" i="20"/>
  <c r="AG166" i="20"/>
  <c r="AH166" i="20"/>
  <c r="AK166" i="20"/>
  <c r="Z161" i="20"/>
  <c r="AA161" i="20"/>
  <c r="AE161" i="20"/>
  <c r="AN161" i="20"/>
  <c r="Y161" i="20"/>
  <c r="AD161" i="20"/>
  <c r="AG161" i="20"/>
  <c r="AB161" i="20"/>
  <c r="AH161" i="20"/>
  <c r="AP156" i="20"/>
  <c r="AD156" i="20"/>
  <c r="AK156" i="20"/>
  <c r="AE156" i="20"/>
  <c r="AL156" i="20"/>
  <c r="AC156" i="20"/>
  <c r="AA156" i="20"/>
  <c r="AG156" i="20"/>
  <c r="AF156" i="20"/>
  <c r="AO136" i="20"/>
  <c r="AF136" i="20"/>
  <c r="AL136" i="20"/>
  <c r="AE136" i="20"/>
  <c r="AC136" i="20"/>
  <c r="AI136" i="20"/>
  <c r="Z136" i="20"/>
  <c r="AD136" i="20"/>
  <c r="AB136" i="20"/>
  <c r="AG136" i="20"/>
  <c r="AP126" i="20"/>
  <c r="AO126" i="20"/>
  <c r="Z126" i="20"/>
  <c r="AG126" i="20"/>
  <c r="AD126" i="20"/>
  <c r="AF126" i="20"/>
  <c r="Y126" i="20"/>
  <c r="AA126" i="20"/>
  <c r="AC126" i="20"/>
  <c r="AJ126" i="20"/>
  <c r="AB126" i="20"/>
  <c r="AI126" i="20"/>
  <c r="AI121" i="20"/>
  <c r="AA121" i="20"/>
  <c r="AN121" i="20"/>
  <c r="AD121" i="20"/>
  <c r="AL121" i="20"/>
  <c r="AH121" i="20"/>
  <c r="Y121" i="20"/>
  <c r="AJ121" i="20"/>
  <c r="AG121" i="20"/>
  <c r="AD116" i="20"/>
  <c r="AE116" i="20"/>
  <c r="AA116" i="20"/>
  <c r="Y116" i="20"/>
  <c r="Z116" i="20"/>
  <c r="AH116" i="20"/>
  <c r="AL116" i="20"/>
  <c r="AI116" i="20"/>
  <c r="AD109" i="20"/>
  <c r="AE109" i="20"/>
  <c r="AH109" i="20"/>
  <c r="AC109" i="20"/>
  <c r="AF109" i="20"/>
  <c r="AN109" i="20"/>
  <c r="AJ109" i="20"/>
  <c r="AG109" i="20"/>
  <c r="AA109" i="20"/>
  <c r="AL109" i="20"/>
  <c r="Z1159" i="20"/>
  <c r="AH1159" i="20"/>
  <c r="AA1159" i="20"/>
  <c r="AD1159" i="20"/>
  <c r="AO1159" i="20"/>
  <c r="Y1159" i="20"/>
  <c r="AB1159" i="20"/>
  <c r="AG1159" i="20"/>
  <c r="AB1155" i="20"/>
  <c r="Y1155" i="20"/>
  <c r="AI1155" i="20"/>
  <c r="AC1155" i="20"/>
  <c r="AG1155" i="20"/>
  <c r="AL1155" i="20"/>
  <c r="Z1155" i="20"/>
  <c r="AO1155" i="20"/>
  <c r="AJ1155" i="20"/>
  <c r="AH1155" i="20"/>
  <c r="AN1151" i="20"/>
  <c r="AC1151" i="20"/>
  <c r="AA1151" i="20"/>
  <c r="Y1151" i="20"/>
  <c r="AF1151" i="20"/>
  <c r="AH1151" i="20"/>
  <c r="AP1147" i="20"/>
  <c r="AN1147" i="20"/>
  <c r="AA1147" i="20"/>
  <c r="AC1147" i="20"/>
  <c r="AI1147" i="20"/>
  <c r="AF1147" i="20"/>
  <c r="AO1147" i="20"/>
  <c r="AJ1147" i="20"/>
  <c r="AB1147" i="20"/>
  <c r="AO1163" i="20"/>
  <c r="AG1163" i="20"/>
  <c r="AH1163" i="20"/>
  <c r="AK1163" i="20"/>
  <c r="AF1163" i="20"/>
  <c r="AL1163" i="20"/>
  <c r="AA1163" i="20"/>
  <c r="AL1167" i="20"/>
  <c r="AC1167" i="20"/>
  <c r="AA1167" i="20"/>
  <c r="AF1167" i="20"/>
  <c r="AB1167" i="20"/>
  <c r="AN1167" i="20"/>
  <c r="AJ1167" i="20"/>
  <c r="AO1167" i="20"/>
  <c r="AK1167" i="20"/>
  <c r="AG1167" i="20"/>
  <c r="AO1171" i="20"/>
  <c r="Y1171" i="20"/>
  <c r="AF1171" i="20"/>
  <c r="AN1171" i="20"/>
  <c r="AG1171" i="20"/>
  <c r="AL1171" i="20"/>
  <c r="AD1171" i="20"/>
  <c r="AA1171" i="20"/>
  <c r="AK1175" i="20"/>
  <c r="AJ1175" i="20"/>
  <c r="AF1175" i="20"/>
  <c r="Z1175" i="20"/>
  <c r="Y1175" i="20"/>
  <c r="AB1175" i="20"/>
  <c r="AG1175" i="20"/>
  <c r="AO1175" i="20"/>
  <c r="AN1175" i="20"/>
  <c r="AC1175" i="20"/>
  <c r="AP1179" i="20"/>
  <c r="AC1179" i="20"/>
  <c r="AE1179" i="20"/>
  <c r="AF1179" i="20"/>
  <c r="AN1179" i="20"/>
  <c r="Y1179" i="20"/>
  <c r="AA1179" i="20"/>
  <c r="AF1183" i="20"/>
  <c r="Y1183" i="20"/>
  <c r="AE1183" i="20"/>
  <c r="AG1183" i="20"/>
  <c r="AJ1183" i="20"/>
  <c r="AN1183" i="20"/>
  <c r="AD1183" i="20"/>
  <c r="AI1183" i="20"/>
  <c r="AB1183" i="20"/>
  <c r="AA1187" i="20"/>
  <c r="AC1187" i="20"/>
  <c r="AJ1187" i="20"/>
  <c r="AH1187" i="20"/>
  <c r="AN1187" i="20"/>
  <c r="Y1187" i="20"/>
  <c r="AI1187" i="20"/>
  <c r="AB1187" i="20"/>
  <c r="AJ1191" i="20"/>
  <c r="AK1191" i="20"/>
  <c r="AF1191" i="20"/>
  <c r="AN1191" i="20"/>
  <c r="Y1191" i="20"/>
  <c r="AH1191" i="20"/>
  <c r="AA1191" i="20"/>
  <c r="AN1195" i="20"/>
  <c r="Y1195" i="20"/>
  <c r="AD1195" i="20"/>
  <c r="Z1195" i="20"/>
  <c r="AL1195" i="20"/>
  <c r="AG1195" i="20"/>
  <c r="AA1199" i="20"/>
  <c r="AJ1199" i="20"/>
  <c r="AC1199" i="20"/>
  <c r="AG1199" i="20"/>
  <c r="AH1199" i="20"/>
  <c r="AF1199" i="20"/>
  <c r="AO1199" i="20"/>
  <c r="AN1199" i="20"/>
  <c r="AL1199" i="20"/>
  <c r="Z1199" i="20"/>
  <c r="Z1203" i="20"/>
  <c r="AJ1203" i="20"/>
  <c r="AB1203" i="20"/>
  <c r="AI1203" i="20"/>
  <c r="AH1203" i="20"/>
  <c r="Y1203" i="20"/>
  <c r="AF1203" i="20"/>
  <c r="AI1207" i="20"/>
  <c r="AA1207" i="20"/>
  <c r="AL1207" i="20"/>
  <c r="Y1207" i="20"/>
  <c r="AF1207" i="20"/>
  <c r="AG1207" i="20"/>
  <c r="AH1207" i="20"/>
  <c r="AD1207" i="20"/>
  <c r="AB1207" i="20"/>
  <c r="AO1211" i="20"/>
  <c r="AH1211" i="20"/>
  <c r="AL1211" i="20"/>
  <c r="AF1211" i="20"/>
  <c r="AN1211" i="20"/>
  <c r="AB1211" i="20"/>
  <c r="AD1211" i="20"/>
  <c r="AK1211" i="20"/>
  <c r="AI1215" i="20"/>
  <c r="AB1215" i="20"/>
  <c r="AE1215" i="20"/>
  <c r="AF1215" i="20"/>
  <c r="AA1215" i="20"/>
  <c r="AL1215" i="20"/>
  <c r="AP1215" i="20"/>
  <c r="Y1215" i="20"/>
  <c r="Z1215" i="20"/>
  <c r="AI1219" i="20"/>
  <c r="AC1219" i="20"/>
  <c r="AA1219" i="20"/>
  <c r="AL1219" i="20"/>
  <c r="AJ1219" i="20"/>
  <c r="AG1219" i="20"/>
  <c r="Y1219" i="20"/>
  <c r="AJ1223" i="20"/>
  <c r="Z1223" i="20"/>
  <c r="Y1223" i="20"/>
  <c r="AN1223" i="20"/>
  <c r="AD1223" i="20"/>
  <c r="AA1223" i="20"/>
  <c r="AN1227" i="20"/>
  <c r="AF1227" i="20"/>
  <c r="AL1227" i="20"/>
  <c r="AB1227" i="20"/>
  <c r="AD1227" i="20"/>
  <c r="AI1227" i="20"/>
  <c r="AH1227" i="20"/>
  <c r="AK1227" i="20"/>
  <c r="AC1227" i="20"/>
  <c r="AE1231" i="20"/>
  <c r="AL1231" i="20"/>
  <c r="AC1231" i="20"/>
  <c r="AK1231" i="20"/>
  <c r="AP1231" i="20"/>
  <c r="AB1231" i="20"/>
  <c r="AF1231" i="20"/>
  <c r="AH1235" i="20"/>
  <c r="AF1235" i="20"/>
  <c r="Y1235" i="20"/>
  <c r="AJ1235" i="20"/>
  <c r="Z1235" i="20"/>
  <c r="AD1235" i="20"/>
  <c r="AN1235" i="20"/>
  <c r="AC1235" i="20"/>
  <c r="AC1239" i="20"/>
  <c r="Z1239" i="20"/>
  <c r="AJ1239" i="20"/>
  <c r="AF1239" i="20"/>
  <c r="Y1239" i="20"/>
  <c r="AL1239" i="20"/>
  <c r="AK1239" i="20"/>
  <c r="AP1243" i="20"/>
  <c r="Z1243" i="20"/>
  <c r="AL1243" i="20"/>
  <c r="Y1243" i="20"/>
  <c r="AH1243" i="20"/>
  <c r="AF1243" i="20"/>
  <c r="AK1243" i="20"/>
  <c r="AC1243" i="20"/>
  <c r="AA1243" i="20"/>
  <c r="AI1247" i="20"/>
  <c r="AF1247" i="20"/>
  <c r="AD1247" i="20"/>
  <c r="AE1247" i="20"/>
  <c r="AA1247" i="20"/>
  <c r="AL1247" i="20"/>
  <c r="Z1247" i="20"/>
  <c r="AA1251" i="20"/>
  <c r="AG1251" i="20"/>
  <c r="AF1251" i="20"/>
  <c r="Y1251" i="20"/>
  <c r="Z1251" i="20"/>
  <c r="AB1251" i="20"/>
  <c r="AP1251" i="20"/>
  <c r="AD1251" i="20"/>
  <c r="AL1251" i="20"/>
  <c r="AJ1251" i="20"/>
  <c r="AP1255" i="20"/>
  <c r="AO1255" i="20"/>
  <c r="AA1255" i="20"/>
  <c r="Y1255" i="20"/>
  <c r="AB1255" i="20"/>
  <c r="AJ1255" i="20"/>
  <c r="AL1255" i="20"/>
  <c r="AE1255" i="20"/>
  <c r="AC1255" i="20"/>
  <c r="AA1259" i="20"/>
  <c r="AI1259" i="20"/>
  <c r="Y1259" i="20"/>
  <c r="AC1259" i="20"/>
  <c r="AF1259" i="20"/>
  <c r="AL1259" i="20"/>
  <c r="AO1259" i="20"/>
  <c r="AE1259" i="20"/>
  <c r="AH1259" i="20"/>
  <c r="AE1263" i="20"/>
  <c r="AL1263" i="20"/>
  <c r="AI1263" i="20"/>
  <c r="AA1263" i="20"/>
  <c r="AB1263" i="20"/>
  <c r="AC1263" i="20"/>
  <c r="AA1267" i="20"/>
  <c r="Y1267" i="20"/>
  <c r="AB1267" i="20"/>
  <c r="AL1267" i="20"/>
  <c r="AC1267" i="20"/>
  <c r="AG1267" i="20"/>
  <c r="AF1267" i="20"/>
  <c r="AE1267" i="20"/>
  <c r="AP1271" i="20"/>
  <c r="AL1271" i="20"/>
  <c r="Y1271" i="20"/>
  <c r="AB1271" i="20"/>
  <c r="AI1271" i="20"/>
  <c r="AN1271" i="20"/>
  <c r="AD1271" i="20"/>
  <c r="AC1271" i="20"/>
  <c r="AA1271" i="20"/>
  <c r="AE1275" i="20"/>
  <c r="AG1275" i="20"/>
  <c r="Z1275" i="20"/>
  <c r="AL1275" i="20"/>
  <c r="AN1275" i="20"/>
  <c r="Y1275" i="20"/>
  <c r="AH1275" i="20"/>
  <c r="AD1275" i="20"/>
  <c r="AN1279" i="20"/>
  <c r="AC1279" i="20"/>
  <c r="AE1279" i="20"/>
  <c r="AH1279" i="20"/>
  <c r="Y1279" i="20"/>
  <c r="AG1279" i="20"/>
  <c r="AB1283" i="20"/>
  <c r="AA1283" i="20"/>
  <c r="Z1283" i="20"/>
  <c r="Y1283" i="20"/>
  <c r="AO1283" i="20"/>
  <c r="AF1283" i="20"/>
  <c r="AJ1283" i="20"/>
  <c r="AK1283" i="20"/>
  <c r="AG1287" i="20"/>
  <c r="AN1287" i="20"/>
  <c r="AC1287" i="20"/>
  <c r="AB1287" i="20"/>
  <c r="AE1287" i="20"/>
  <c r="AD1287" i="20"/>
  <c r="AH1291" i="20"/>
  <c r="AE1291" i="20"/>
  <c r="Y1291" i="20"/>
  <c r="AB1291" i="20"/>
  <c r="AD1291" i="20"/>
  <c r="AF1295" i="20"/>
  <c r="AJ1295" i="20"/>
  <c r="Z1295" i="20"/>
  <c r="AC1295" i="20"/>
  <c r="AA1295" i="20"/>
  <c r="AH1295" i="20"/>
  <c r="AD1295" i="20"/>
  <c r="AB1295" i="20"/>
  <c r="AP1299" i="20"/>
  <c r="AD1299" i="20"/>
  <c r="AE1299" i="20"/>
  <c r="AH1299" i="20"/>
  <c r="AO1299" i="20"/>
  <c r="AA1299" i="20"/>
  <c r="AF1299" i="20"/>
  <c r="AK1299" i="20"/>
  <c r="AC1303" i="20"/>
  <c r="AB1303" i="20"/>
  <c r="AN1303" i="20"/>
  <c r="AK1303" i="20"/>
  <c r="AO1303" i="20"/>
  <c r="AF1303" i="20"/>
  <c r="Z1303" i="20"/>
  <c r="Y1303" i="20"/>
  <c r="AC1307" i="20"/>
  <c r="AN1307" i="20"/>
  <c r="AG1307" i="20"/>
  <c r="AI1307" i="20"/>
  <c r="Z1307" i="20"/>
  <c r="AD1307" i="20"/>
  <c r="AJ1307" i="20"/>
  <c r="Y1311" i="20"/>
  <c r="Z1311" i="20"/>
  <c r="AI1311" i="20"/>
  <c r="AH1311" i="20"/>
  <c r="AO1311" i="20"/>
  <c r="AA1311" i="20"/>
  <c r="AE1311" i="20"/>
  <c r="AP1315" i="20"/>
  <c r="AN1315" i="20"/>
  <c r="AL1315" i="20"/>
  <c r="AB1315" i="20"/>
  <c r="AC1315" i="20"/>
  <c r="AH1315" i="20"/>
  <c r="Y1315" i="20"/>
  <c r="AJ1319" i="20"/>
  <c r="AN1319" i="20"/>
  <c r="AB1319" i="20"/>
  <c r="AO1319" i="20"/>
  <c r="Z1319" i="20"/>
  <c r="AE1319" i="20"/>
  <c r="AF1319" i="20"/>
  <c r="AC1323" i="20"/>
  <c r="AK1323" i="20"/>
  <c r="AH1323" i="20"/>
  <c r="AG1323" i="20"/>
  <c r="AB1323" i="20"/>
  <c r="AF1323" i="20"/>
  <c r="AA1323" i="20"/>
  <c r="AO1327" i="20"/>
  <c r="AC1327" i="20"/>
  <c r="Z1327" i="20"/>
  <c r="AD1327" i="20"/>
  <c r="AL1327" i="20"/>
  <c r="AB1327" i="20"/>
  <c r="AK1327" i="20"/>
  <c r="AI1327" i="20"/>
  <c r="AH1331" i="20"/>
  <c r="AN1331" i="20"/>
  <c r="AG1331" i="20"/>
  <c r="AI1331" i="20"/>
  <c r="AJ1331" i="20"/>
  <c r="Y1331" i="20"/>
  <c r="AK1331" i="20"/>
  <c r="AN1335" i="20"/>
  <c r="AD1335" i="20"/>
  <c r="Z1335" i="20"/>
  <c r="AH1335" i="20"/>
  <c r="AC1335" i="20"/>
  <c r="AB1335" i="20"/>
  <c r="Z62" i="20"/>
  <c r="AG62" i="20"/>
  <c r="AN62" i="20"/>
  <c r="AF62" i="20"/>
  <c r="AP62" i="20"/>
  <c r="Y1338" i="20"/>
  <c r="AO1338" i="20"/>
  <c r="AD1338" i="20"/>
  <c r="AN1338" i="20"/>
  <c r="AE1338" i="20"/>
  <c r="AA1338" i="20"/>
  <c r="AN58" i="20"/>
  <c r="AA58" i="20"/>
  <c r="Z58" i="20"/>
  <c r="AL58" i="20"/>
  <c r="Y58" i="20"/>
  <c r="AP67" i="20"/>
  <c r="AI67" i="20"/>
  <c r="AL67" i="20"/>
  <c r="AH67" i="20"/>
  <c r="AA67" i="20"/>
  <c r="AE67" i="20"/>
  <c r="Z67" i="20"/>
  <c r="AK67" i="20"/>
  <c r="AG67" i="20"/>
  <c r="AC67" i="20"/>
  <c r="Y67" i="20"/>
  <c r="AA1009" i="20"/>
  <c r="AD1009" i="20"/>
  <c r="AJ1009" i="20"/>
  <c r="AK1009" i="20"/>
  <c r="AP1048" i="20"/>
  <c r="Z1048" i="20"/>
  <c r="AH1048" i="20"/>
  <c r="AD1048" i="20"/>
  <c r="AK1048" i="20"/>
  <c r="AI1048" i="20"/>
  <c r="AN1048" i="20"/>
  <c r="AG1048" i="20"/>
  <c r="AB1048" i="20"/>
  <c r="AO1048" i="20"/>
  <c r="AL1048" i="20"/>
  <c r="Y1048" i="20"/>
  <c r="AJ1048" i="20"/>
  <c r="AE1048" i="20"/>
  <c r="AC1048" i="20"/>
  <c r="AL924" i="20"/>
  <c r="AB924" i="20"/>
  <c r="AP924" i="20"/>
  <c r="AE924" i="20"/>
  <c r="AP1042" i="20"/>
  <c r="AO1042" i="20"/>
  <c r="Z1042" i="20"/>
  <c r="AD1042" i="20"/>
  <c r="AB1042" i="20"/>
  <c r="AA1042" i="20"/>
  <c r="Y1042" i="20"/>
  <c r="AJ1042" i="20"/>
  <c r="AK1042" i="20"/>
  <c r="AE1042" i="20"/>
  <c r="AN1042" i="20"/>
  <c r="AF1042" i="20"/>
  <c r="AG1042" i="20"/>
  <c r="AI1042" i="20"/>
  <c r="AE1040" i="20"/>
  <c r="Z1040" i="20"/>
  <c r="AP1040" i="20"/>
  <c r="Y1040" i="20"/>
  <c r="AH1040" i="20"/>
  <c r="AD1040" i="20"/>
  <c r="AP59" i="20"/>
  <c r="AI59" i="20"/>
  <c r="AI171" i="20"/>
  <c r="AJ171" i="20"/>
  <c r="AO1009" i="20"/>
  <c r="AJ110" i="20"/>
  <c r="AD58" i="20"/>
  <c r="AG58" i="20"/>
  <c r="AP1183" i="20"/>
  <c r="AF1040" i="20"/>
  <c r="AA1040" i="20"/>
  <c r="AG1040" i="20"/>
  <c r="AL1009" i="20"/>
  <c r="AB1009" i="20"/>
  <c r="AB58" i="20"/>
  <c r="AL62" i="20"/>
  <c r="AI62" i="20"/>
  <c r="AJ62" i="20"/>
  <c r="AO1323" i="20"/>
  <c r="AO1295" i="20"/>
  <c r="AP1259" i="20"/>
  <c r="AO1219" i="20"/>
  <c r="AP1195" i="20"/>
  <c r="AP1155" i="20"/>
  <c r="AI1009" i="20"/>
  <c r="AP470" i="20"/>
  <c r="AB1040" i="20"/>
  <c r="AO1251" i="20"/>
  <c r="AP1171" i="20"/>
  <c r="AO1287" i="20"/>
  <c r="AO1223" i="20"/>
  <c r="AP1159" i="20"/>
  <c r="AB116" i="20"/>
  <c r="AF121" i="20"/>
  <c r="AK136" i="20"/>
  <c r="AN156" i="20"/>
  <c r="AL161" i="20"/>
  <c r="AN172" i="20"/>
  <c r="AE191" i="20"/>
  <c r="AJ194" i="20"/>
  <c r="Z197" i="20"/>
  <c r="AC924" i="20"/>
  <c r="Z1315" i="20"/>
  <c r="AJ1291" i="20"/>
  <c r="AB1275" i="20"/>
  <c r="AE1243" i="20"/>
  <c r="AL1235" i="20"/>
  <c r="AJ1227" i="20"/>
  <c r="AC1215" i="20"/>
  <c r="Z1191" i="20"/>
  <c r="AH1171" i="20"/>
  <c r="Y1147" i="20"/>
  <c r="AC1331" i="20"/>
  <c r="AE1331" i="20"/>
  <c r="AN1327" i="20"/>
  <c r="Y1327" i="20"/>
  <c r="AK1319" i="20"/>
  <c r="AI1319" i="20"/>
  <c r="AJ1311" i="20"/>
  <c r="AB1311" i="20"/>
  <c r="AL1303" i="20"/>
  <c r="AD1303" i="20"/>
  <c r="AE1295" i="20"/>
  <c r="AN1295" i="20"/>
  <c r="AJ1287" i="20"/>
  <c r="Z1287" i="20"/>
  <c r="AB1279" i="20"/>
  <c r="AJ1279" i="20"/>
  <c r="Z1271" i="20"/>
  <c r="AH1271" i="20"/>
  <c r="AJ1263" i="20"/>
  <c r="AK1263" i="20"/>
  <c r="AI1255" i="20"/>
  <c r="AG1255" i="20"/>
  <c r="AK1247" i="20"/>
  <c r="AN1247" i="20"/>
  <c r="AE1239" i="20"/>
  <c r="AI1239" i="20"/>
  <c r="Z1231" i="20"/>
  <c r="AN1231" i="20"/>
  <c r="AE1223" i="20"/>
  <c r="AC1223" i="20"/>
  <c r="AI1211" i="20"/>
  <c r="Z1211" i="20"/>
  <c r="AK1203" i="20"/>
  <c r="AD1203" i="20"/>
  <c r="AK1195" i="20"/>
  <c r="AH1195" i="20"/>
  <c r="AI1195" i="20"/>
  <c r="AL1187" i="20"/>
  <c r="AJ1179" i="20"/>
  <c r="AB1179" i="20"/>
  <c r="AJ1171" i="20"/>
  <c r="AB1171" i="20"/>
  <c r="Y1163" i="20"/>
  <c r="AI1163" i="20"/>
  <c r="AI1151" i="20"/>
  <c r="AC1159" i="20"/>
  <c r="AJ1159" i="20"/>
  <c r="AF1335" i="20"/>
  <c r="AA1335" i="20"/>
  <c r="Y1335" i="20"/>
  <c r="AN1323" i="20"/>
  <c r="AJ1315" i="20"/>
  <c r="AE1315" i="20"/>
  <c r="AE1307" i="20"/>
  <c r="AB1307" i="20"/>
  <c r="Y1299" i="20"/>
  <c r="AG1299" i="20"/>
  <c r="AL1291" i="20"/>
  <c r="AC1291" i="20"/>
  <c r="AD1283" i="20"/>
  <c r="AI1283" i="20"/>
  <c r="AF1275" i="20"/>
  <c r="AK1267" i="20"/>
  <c r="AD1267" i="20"/>
  <c r="Z1259" i="20"/>
  <c r="AE1251" i="20"/>
  <c r="AG1243" i="20"/>
  <c r="AG1235" i="20"/>
  <c r="AA1227" i="20"/>
  <c r="AN1219" i="20"/>
  <c r="AD1219" i="20"/>
  <c r="AG1215" i="20"/>
  <c r="AC1207" i="20"/>
  <c r="AD1199" i="20"/>
  <c r="Y1199" i="20"/>
  <c r="AI1191" i="20"/>
  <c r="Z1183" i="20"/>
  <c r="AD1175" i="20"/>
  <c r="AL1175" i="20"/>
  <c r="AH1167" i="20"/>
  <c r="AE1147" i="20"/>
  <c r="Z1147" i="20"/>
  <c r="AA1155" i="20"/>
  <c r="AG710" i="20"/>
  <c r="AL218" i="20"/>
  <c r="AH218" i="20"/>
  <c r="Y109" i="20"/>
  <c r="AJ116" i="20"/>
  <c r="AE121" i="20"/>
  <c r="AE126" i="20"/>
  <c r="AI156" i="20"/>
  <c r="AK161" i="20"/>
  <c r="AD166" i="20"/>
  <c r="AL172" i="20"/>
  <c r="AH191" i="20"/>
  <c r="AG194" i="20"/>
  <c r="AJ197" i="20"/>
  <c r="Y206" i="20"/>
  <c r="AB210" i="20"/>
  <c r="AD215" i="20"/>
  <c r="AA218" i="20"/>
  <c r="Y237" i="20"/>
  <c r="AF241" i="20"/>
  <c r="AD249" i="20"/>
  <c r="AA257" i="20"/>
  <c r="AE261" i="20"/>
  <c r="AB274" i="20"/>
  <c r="Y272" i="20"/>
  <c r="AL277" i="20"/>
  <c r="Y285" i="20"/>
  <c r="AK292" i="20"/>
  <c r="AD461" i="20"/>
  <c r="Y710" i="20"/>
  <c r="AH1042" i="20"/>
  <c r="AJ1338" i="20"/>
  <c r="AP1327" i="20"/>
  <c r="AT612" i="20"/>
  <c r="AH667" i="20"/>
  <c r="Z200" i="20"/>
  <c r="AO545" i="20"/>
  <c r="AP675" i="20"/>
  <c r="AJ94" i="20"/>
  <c r="AJ322" i="20"/>
  <c r="AE326" i="20"/>
  <c r="AL821" i="20"/>
  <c r="AI876" i="20"/>
  <c r="AN942" i="20"/>
  <c r="AJ1016" i="20"/>
  <c r="AB1112" i="20"/>
  <c r="AH902" i="20"/>
  <c r="AN6" i="20"/>
  <c r="AB690" i="20"/>
  <c r="AE411" i="20"/>
  <c r="AK611" i="20"/>
  <c r="AG687" i="20"/>
  <c r="AI431" i="20"/>
  <c r="AL619" i="20"/>
  <c r="AO94" i="20"/>
  <c r="AP451" i="20"/>
  <c r="AP568" i="20"/>
  <c r="AC695" i="20"/>
  <c r="Y614" i="20"/>
  <c r="N12" i="36"/>
  <c r="AA7" i="66" s="1"/>
  <c r="AJ20" i="20"/>
  <c r="AE20" i="20"/>
  <c r="AO20" i="20"/>
  <c r="AB20" i="20"/>
  <c r="AJ1076" i="20"/>
  <c r="AH1076" i="20"/>
  <c r="Z1076" i="20"/>
  <c r="AL1072" i="20"/>
  <c r="AC1072" i="20"/>
  <c r="AB1072" i="20"/>
  <c r="Y1063" i="20"/>
  <c r="AP1063" i="20"/>
  <c r="Z1063" i="20"/>
  <c r="AD1063" i="20"/>
  <c r="AI1063" i="20"/>
  <c r="Y1064" i="20"/>
  <c r="AK1064" i="20"/>
  <c r="AB1033" i="20"/>
  <c r="AO1033" i="20"/>
  <c r="AJ1033" i="20"/>
  <c r="AK1033" i="20"/>
  <c r="AC1019" i="20"/>
  <c r="AI1019" i="20"/>
  <c r="AB1019" i="20"/>
  <c r="AE1019" i="20"/>
  <c r="AD1012" i="20"/>
  <c r="AA1012" i="20"/>
  <c r="AK1012" i="20"/>
  <c r="AH1003" i="20"/>
  <c r="AN1003" i="20"/>
  <c r="AP1003" i="20"/>
  <c r="AB1003" i="20"/>
  <c r="Y993" i="20"/>
  <c r="AE993" i="20"/>
  <c r="AC993" i="20"/>
  <c r="AO986" i="20"/>
  <c r="AI986" i="20"/>
  <c r="AH986" i="20"/>
  <c r="Z986" i="20"/>
  <c r="AK978" i="20"/>
  <c r="AB978" i="20"/>
  <c r="Z978" i="20"/>
  <c r="AF978" i="20"/>
  <c r="Y968" i="20"/>
  <c r="AC968" i="20"/>
  <c r="AP956" i="20"/>
  <c r="AD956" i="20"/>
  <c r="AE956" i="20"/>
  <c r="Y956" i="20"/>
  <c r="AK956" i="20"/>
  <c r="AB948" i="20"/>
  <c r="AJ948" i="20"/>
  <c r="AG948" i="20"/>
  <c r="Y948" i="20"/>
  <c r="AF939" i="20"/>
  <c r="AC939" i="20"/>
  <c r="AA939" i="20"/>
  <c r="AJ939" i="20"/>
  <c r="AJ932" i="20"/>
  <c r="Z932" i="20"/>
  <c r="AA932" i="20"/>
  <c r="AF923" i="20"/>
  <c r="AG923" i="20"/>
  <c r="Y923" i="20"/>
  <c r="AE923" i="20"/>
  <c r="AP915" i="20"/>
  <c r="AB915" i="20"/>
  <c r="AK907" i="20"/>
  <c r="Y907" i="20"/>
  <c r="Z907" i="20"/>
  <c r="AB907" i="20"/>
  <c r="AO898" i="20"/>
  <c r="AK898" i="20"/>
  <c r="AE894" i="20"/>
  <c r="AL894" i="20"/>
  <c r="Z894" i="20"/>
  <c r="AG894" i="20"/>
  <c r="AO880" i="20"/>
  <c r="AE880" i="20"/>
  <c r="AG869" i="20"/>
  <c r="AP869" i="20"/>
  <c r="AC869" i="20"/>
  <c r="AH869" i="20"/>
  <c r="AP860" i="20"/>
  <c r="AA860" i="20"/>
  <c r="AD851" i="20"/>
  <c r="AA851" i="20"/>
  <c r="Z851" i="20"/>
  <c r="AL843" i="20"/>
  <c r="AI843" i="20"/>
  <c r="AE843" i="20"/>
  <c r="AB839" i="20"/>
  <c r="Z839" i="20"/>
  <c r="Y839" i="20"/>
  <c r="AF825" i="20"/>
  <c r="AP825" i="20"/>
  <c r="AC825" i="20"/>
  <c r="AA825" i="20"/>
  <c r="AO818" i="20"/>
  <c r="AD818" i="20"/>
  <c r="Y818" i="20"/>
  <c r="Z818" i="20"/>
  <c r="AH806" i="20"/>
  <c r="AG806" i="20"/>
  <c r="AI806" i="20"/>
  <c r="AG778" i="20"/>
  <c r="AO778" i="20"/>
  <c r="AP778" i="20"/>
  <c r="AJ770" i="20"/>
  <c r="AF770" i="20"/>
  <c r="AP770" i="20"/>
  <c r="AG770" i="20"/>
  <c r="Y749" i="20"/>
  <c r="AD749" i="20"/>
  <c r="AK749" i="20"/>
  <c r="Z746" i="20"/>
  <c r="Y746" i="20"/>
  <c r="AL746" i="20"/>
  <c r="AE746" i="20"/>
  <c r="AO746" i="20"/>
  <c r="AP744" i="20"/>
  <c r="AK744" i="20"/>
  <c r="AE744" i="20"/>
  <c r="Z741" i="20"/>
  <c r="AP741" i="20"/>
  <c r="AG741" i="20"/>
  <c r="AG729" i="20"/>
  <c r="AK729" i="20"/>
  <c r="AF722" i="20"/>
  <c r="Y722" i="20"/>
  <c r="AN722" i="20"/>
  <c r="AB722" i="20"/>
  <c r="AC718" i="20"/>
  <c r="AN718" i="20"/>
  <c r="AB718" i="20"/>
  <c r="AI718" i="20"/>
  <c r="AF330" i="20"/>
  <c r="Z330" i="20"/>
  <c r="AE293" i="20"/>
  <c r="AI293" i="20"/>
  <c r="Y293" i="20"/>
  <c r="AK1112" i="20"/>
  <c r="AJ785" i="20"/>
  <c r="AK758" i="20"/>
  <c r="AF718" i="20"/>
  <c r="AG338" i="20"/>
  <c r="AB299" i="20"/>
  <c r="AL758" i="20"/>
  <c r="AG789" i="20"/>
  <c r="AP729" i="20"/>
  <c r="AD785" i="20"/>
  <c r="AC821" i="20"/>
  <c r="AK821" i="20"/>
  <c r="AL848" i="20"/>
  <c r="AB860" i="20"/>
  <c r="AC876" i="20"/>
  <c r="AB898" i="20"/>
  <c r="AN915" i="20"/>
  <c r="Y928" i="20"/>
  <c r="AF942" i="20"/>
  <c r="Z952" i="20"/>
  <c r="AE968" i="20"/>
  <c r="AJ986" i="20"/>
  <c r="AO1000" i="20"/>
  <c r="AD1033" i="20"/>
  <c r="AL1076" i="20"/>
  <c r="Z744" i="20"/>
  <c r="AP330" i="20"/>
  <c r="AK778" i="20"/>
  <c r="AN818" i="20"/>
  <c r="AO851" i="20"/>
  <c r="AP890" i="20"/>
  <c r="AA923" i="20"/>
  <c r="AO939" i="20"/>
  <c r="AE990" i="20"/>
  <c r="AO1019" i="20"/>
  <c r="AI322" i="20"/>
  <c r="AB770" i="20"/>
  <c r="AN839" i="20"/>
  <c r="Y869" i="20"/>
  <c r="AO894" i="20"/>
  <c r="AF932" i="20"/>
  <c r="Z1012" i="20"/>
  <c r="AI1087" i="20"/>
  <c r="AL963" i="20"/>
  <c r="AK963" i="20"/>
  <c r="Z856" i="20"/>
  <c r="AP856" i="20"/>
  <c r="AH80" i="20"/>
  <c r="AK80" i="20"/>
  <c r="AH179" i="20"/>
  <c r="Z179" i="20"/>
  <c r="AH41" i="20"/>
  <c r="AP41" i="20"/>
  <c r="AR302" i="20"/>
  <c r="AT302" i="20"/>
  <c r="AR413" i="20"/>
  <c r="AT413" i="20"/>
  <c r="AR685" i="20"/>
  <c r="AT685" i="20"/>
  <c r="AR836" i="20"/>
  <c r="AT836" i="20"/>
  <c r="Z898" i="20"/>
  <c r="AD806" i="20"/>
  <c r="AK770" i="20"/>
  <c r="AA741" i="20"/>
  <c r="AB354" i="20"/>
  <c r="AH718" i="20"/>
  <c r="AK785" i="20"/>
  <c r="AE729" i="20"/>
  <c r="AC758" i="20"/>
  <c r="AO785" i="20"/>
  <c r="AF860" i="20"/>
  <c r="AE898" i="20"/>
  <c r="AK915" i="20"/>
  <c r="Z968" i="20"/>
  <c r="AO1076" i="20"/>
  <c r="AI20" i="20"/>
  <c r="AJ722" i="20"/>
  <c r="AH749" i="20"/>
  <c r="AH746" i="20"/>
  <c r="AI939" i="20"/>
  <c r="AA978" i="20"/>
  <c r="AP1019" i="20"/>
  <c r="AO1063" i="20"/>
  <c r="AG346" i="20"/>
  <c r="AH729" i="20"/>
  <c r="Y733" i="20"/>
  <c r="AK825" i="20"/>
  <c r="AK843" i="20"/>
  <c r="AN880" i="20"/>
  <c r="AC1003" i="20"/>
  <c r="AG1064" i="20"/>
  <c r="AA1105" i="20"/>
  <c r="AL741" i="20"/>
  <c r="AI12" i="20"/>
  <c r="AF12" i="20"/>
  <c r="AB35" i="20"/>
  <c r="AI35" i="20"/>
  <c r="AD35" i="20"/>
  <c r="AJ35" i="20"/>
  <c r="AK35" i="20"/>
  <c r="AI32" i="20"/>
  <c r="AA32" i="20"/>
  <c r="AJ1112" i="20"/>
  <c r="AP1112" i="20"/>
  <c r="AE1112" i="20"/>
  <c r="AC1112" i="20"/>
  <c r="AC1108" i="20"/>
  <c r="Z1108" i="20"/>
  <c r="AA1108" i="20"/>
  <c r="AL1108" i="20"/>
  <c r="AB1108" i="20"/>
  <c r="AO1100" i="20"/>
  <c r="AJ1100" i="20"/>
  <c r="AG1100" i="20"/>
  <c r="AH1100" i="20"/>
  <c r="AB1096" i="20"/>
  <c r="Z1096" i="20"/>
  <c r="AA1096" i="20"/>
  <c r="AF1092" i="20"/>
  <c r="AK1092" i="20"/>
  <c r="AG1092" i="20"/>
  <c r="AP1088" i="20"/>
  <c r="AD1088" i="20"/>
  <c r="AG1088" i="20"/>
  <c r="AL1088" i="20"/>
  <c r="AO1080" i="20"/>
  <c r="AJ1080" i="20"/>
  <c r="Y1080" i="20"/>
  <c r="AA1080" i="20"/>
  <c r="Z1068" i="20"/>
  <c r="AA1068" i="20"/>
  <c r="AE1056" i="20"/>
  <c r="AI1056" i="20"/>
  <c r="AL1056" i="20"/>
  <c r="AJ1056" i="20"/>
  <c r="AP1052" i="20"/>
  <c r="AC1052" i="20"/>
  <c r="AF1052" i="20"/>
  <c r="AC1029" i="20"/>
  <c r="AF1029" i="20"/>
  <c r="AI1029" i="20"/>
  <c r="AO1029" i="20"/>
  <c r="AO1016" i="20"/>
  <c r="AH1016" i="20"/>
  <c r="AF1016" i="20"/>
  <c r="AP1007" i="20"/>
  <c r="AK1007" i="20"/>
  <c r="AA1007" i="20"/>
  <c r="AI1007" i="20"/>
  <c r="AL1007" i="20"/>
  <c r="AH1000" i="20"/>
  <c r="Z1000" i="20"/>
  <c r="AG1000" i="20"/>
  <c r="AN1000" i="20"/>
  <c r="AK990" i="20"/>
  <c r="AF990" i="20"/>
  <c r="AL990" i="20"/>
  <c r="AC990" i="20"/>
  <c r="AK982" i="20"/>
  <c r="AL982" i="20"/>
  <c r="AB982" i="20"/>
  <c r="AJ982" i="20"/>
  <c r="AJ972" i="20"/>
  <c r="AG972" i="20"/>
  <c r="AC972" i="20"/>
  <c r="AJ960" i="20"/>
  <c r="AK960" i="20"/>
  <c r="AP960" i="20"/>
  <c r="AE952" i="20"/>
  <c r="AG952" i="20"/>
  <c r="AK942" i="20"/>
  <c r="AP942" i="20"/>
  <c r="AG942" i="20"/>
  <c r="AD935" i="20"/>
  <c r="AG935" i="20"/>
  <c r="AI935" i="20"/>
  <c r="AL935" i="20"/>
  <c r="AO928" i="20"/>
  <c r="AF928" i="20"/>
  <c r="AO919" i="20"/>
  <c r="Z919" i="20"/>
  <c r="AD919" i="20"/>
  <c r="AA911" i="20"/>
  <c r="AP911" i="20"/>
  <c r="AK911" i="20"/>
  <c r="AD911" i="20"/>
  <c r="AJ911" i="20"/>
  <c r="AF902" i="20"/>
  <c r="AL902" i="20"/>
  <c r="AG902" i="20"/>
  <c r="AD902" i="20"/>
  <c r="AO890" i="20"/>
  <c r="AC890" i="20"/>
  <c r="AA890" i="20"/>
  <c r="AH890" i="20"/>
  <c r="Z876" i="20"/>
  <c r="AA876" i="20"/>
  <c r="AK876" i="20"/>
  <c r="AF865" i="20"/>
  <c r="AN865" i="20"/>
  <c r="AE865" i="20"/>
  <c r="AA865" i="20"/>
  <c r="Z865" i="20"/>
  <c r="AJ854" i="20"/>
  <c r="AB854" i="20"/>
  <c r="AE854" i="20"/>
  <c r="AI854" i="20"/>
  <c r="Z848" i="20"/>
  <c r="AK848" i="20"/>
  <c r="AN830" i="20"/>
  <c r="AL830" i="20"/>
  <c r="AI830" i="20"/>
  <c r="AC830" i="20"/>
  <c r="AK830" i="20"/>
  <c r="AF827" i="20"/>
  <c r="AO827" i="20"/>
  <c r="AH827" i="20"/>
  <c r="AH821" i="20"/>
  <c r="AI821" i="20"/>
  <c r="AI815" i="20"/>
  <c r="AC815" i="20"/>
  <c r="AB815" i="20"/>
  <c r="AO811" i="20"/>
  <c r="AF811" i="20"/>
  <c r="AL811" i="20"/>
  <c r="AD802" i="20"/>
  <c r="AP802" i="20"/>
  <c r="Y802" i="20"/>
  <c r="AG799" i="20"/>
  <c r="AO799" i="20"/>
  <c r="AH799" i="20"/>
  <c r="AJ795" i="20"/>
  <c r="AN795" i="20"/>
  <c r="AI795" i="20"/>
  <c r="AK789" i="20"/>
  <c r="AJ789" i="20"/>
  <c r="AG782" i="20"/>
  <c r="AJ782" i="20"/>
  <c r="AB782" i="20"/>
  <c r="AD774" i="20"/>
  <c r="AG774" i="20"/>
  <c r="Z774" i="20"/>
  <c r="AI774" i="20"/>
  <c r="AE768" i="20"/>
  <c r="AJ768" i="20"/>
  <c r="Z767" i="20"/>
  <c r="AG767" i="20"/>
  <c r="Y767" i="20"/>
  <c r="AB750" i="20"/>
  <c r="AP750" i="20"/>
  <c r="AK750" i="20"/>
  <c r="AN750" i="20"/>
  <c r="AC750" i="20"/>
  <c r="AN726" i="20"/>
  <c r="AC726" i="20"/>
  <c r="AO726" i="20"/>
  <c r="AJ362" i="20"/>
  <c r="AD362" i="20"/>
  <c r="AO350" i="20"/>
  <c r="AB350" i="20"/>
  <c r="AL350" i="20"/>
  <c r="AA350" i="20"/>
  <c r="AE350" i="20"/>
  <c r="AL334" i="20"/>
  <c r="AK334" i="20"/>
  <c r="AA334" i="20"/>
  <c r="AJ326" i="20"/>
  <c r="AL326" i="20"/>
  <c r="Z310" i="20"/>
  <c r="AP310" i="20"/>
  <c r="AO306" i="20"/>
  <c r="Z306" i="20"/>
  <c r="AD306" i="20"/>
  <c r="AC1043" i="20"/>
  <c r="AB1043" i="20"/>
  <c r="AB223" i="20"/>
  <c r="AC223" i="20"/>
  <c r="Y149" i="20"/>
  <c r="AH149" i="20"/>
  <c r="AB149" i="20"/>
  <c r="AA151" i="20"/>
  <c r="AF151" i="20"/>
  <c r="AP71" i="20"/>
  <c r="AH71" i="20"/>
  <c r="AA95" i="20"/>
  <c r="AC95" i="20"/>
  <c r="AL95" i="20"/>
  <c r="AD95" i="20"/>
  <c r="AJ95" i="20"/>
  <c r="AI95" i="20"/>
  <c r="AF95" i="20"/>
  <c r="AR270" i="20"/>
  <c r="AT270" i="20"/>
  <c r="AR673" i="20"/>
  <c r="AT673" i="20"/>
  <c r="AR811" i="20"/>
  <c r="AT811" i="20"/>
  <c r="AR857" i="20"/>
  <c r="AT857" i="20"/>
  <c r="AR1007" i="20"/>
  <c r="AT1007" i="20"/>
  <c r="AT588" i="20"/>
  <c r="AT1036" i="20"/>
  <c r="AT720" i="20"/>
  <c r="AT846" i="20"/>
  <c r="AT984" i="20"/>
  <c r="AT730" i="20"/>
  <c r="AT909" i="20"/>
  <c r="AT206" i="20"/>
  <c r="AB894" i="20"/>
  <c r="Z799" i="20"/>
  <c r="AF767" i="20"/>
  <c r="AH726" i="20"/>
  <c r="AC338" i="20"/>
  <c r="AH306" i="20"/>
  <c r="AD726" i="20"/>
  <c r="AH758" i="20"/>
  <c r="AO346" i="20"/>
  <c r="AD729" i="20"/>
  <c r="AJ758" i="20"/>
  <c r="AF806" i="20"/>
  <c r="AF821" i="20"/>
  <c r="Y827" i="20"/>
  <c r="AP848" i="20"/>
  <c r="AK860" i="20"/>
  <c r="Y876" i="20"/>
  <c r="AP898" i="20"/>
  <c r="AO915" i="20"/>
  <c r="AG928" i="20"/>
  <c r="Y952" i="20"/>
  <c r="AP952" i="20"/>
  <c r="AK986" i="20"/>
  <c r="AD1000" i="20"/>
  <c r="AP1016" i="20"/>
  <c r="AB1056" i="20"/>
  <c r="Y1092" i="20"/>
  <c r="AP1100" i="20"/>
  <c r="AL20" i="20"/>
  <c r="AE795" i="20"/>
  <c r="Y346" i="20"/>
  <c r="AI767" i="20"/>
  <c r="AD767" i="20"/>
  <c r="AK818" i="20"/>
  <c r="AC851" i="20"/>
  <c r="AL890" i="20"/>
  <c r="AH911" i="20"/>
  <c r="Z939" i="20"/>
  <c r="AN978" i="20"/>
  <c r="AJ1007" i="20"/>
  <c r="AI1052" i="20"/>
  <c r="AH1080" i="20"/>
  <c r="Y1108" i="20"/>
  <c r="AD770" i="20"/>
  <c r="AG306" i="20"/>
  <c r="AG744" i="20"/>
  <c r="AN799" i="20"/>
  <c r="AH825" i="20"/>
  <c r="AH854" i="20"/>
  <c r="AI880" i="20"/>
  <c r="AC919" i="20"/>
  <c r="AI948" i="20"/>
  <c r="Z972" i="20"/>
  <c r="AJ1003" i="20"/>
  <c r="AH1068" i="20"/>
  <c r="AB1105" i="20"/>
  <c r="AI303" i="20"/>
  <c r="AK134" i="20"/>
  <c r="AT267" i="20"/>
  <c r="AF146" i="20"/>
  <c r="Z758" i="20"/>
  <c r="AT49" i="20"/>
  <c r="AT370" i="20"/>
  <c r="AT1067" i="20"/>
  <c r="AE230" i="20"/>
  <c r="AI27" i="20"/>
  <c r="AT554" i="20"/>
  <c r="AP716" i="20"/>
  <c r="AF114" i="20"/>
  <c r="AO114" i="20"/>
  <c r="AB123" i="20"/>
  <c r="AD123" i="20"/>
  <c r="AG1145" i="20"/>
  <c r="AN1145" i="20"/>
  <c r="Z1138" i="20"/>
  <c r="AO1138" i="20"/>
  <c r="AN1114" i="20"/>
  <c r="AL1114" i="20"/>
  <c r="Y39" i="20"/>
  <c r="AE39" i="20"/>
  <c r="AK39" i="20"/>
  <c r="AC8" i="20"/>
  <c r="Y8" i="20"/>
  <c r="AL1085" i="20"/>
  <c r="AH1085" i="20"/>
  <c r="AN1082" i="20"/>
  <c r="AE1082" i="20"/>
  <c r="Z1022" i="20"/>
  <c r="AC1022" i="20"/>
  <c r="AD966" i="20"/>
  <c r="AA966" i="20"/>
  <c r="Z937" i="20"/>
  <c r="Y937" i="20"/>
  <c r="AC937" i="20"/>
  <c r="AA917" i="20"/>
  <c r="AJ917" i="20"/>
  <c r="AK909" i="20"/>
  <c r="AG909" i="20"/>
  <c r="AH844" i="20"/>
  <c r="AG844" i="20"/>
  <c r="Y846" i="20"/>
  <c r="Z846" i="20"/>
  <c r="AF838" i="20"/>
  <c r="AJ838" i="20"/>
  <c r="AD838" i="20"/>
  <c r="AN813" i="20"/>
  <c r="AB813" i="20"/>
  <c r="AH804" i="20"/>
  <c r="Z804" i="20"/>
  <c r="AH787" i="20"/>
  <c r="Y787" i="20"/>
  <c r="Y780" i="20"/>
  <c r="AC780" i="20"/>
  <c r="AC776" i="20"/>
  <c r="AE776" i="20"/>
  <c r="AJ776" i="20"/>
  <c r="Y772" i="20"/>
  <c r="AH772" i="20"/>
  <c r="Y760" i="20"/>
  <c r="AC760" i="20"/>
  <c r="AH760" i="20"/>
  <c r="AH751" i="20"/>
  <c r="AI751" i="20"/>
  <c r="Y747" i="20"/>
  <c r="Z747" i="20"/>
  <c r="AG747" i="20"/>
  <c r="AI724" i="20"/>
  <c r="AD724" i="20"/>
  <c r="AF705" i="20"/>
  <c r="Y705" i="20"/>
  <c r="AB705" i="20"/>
  <c r="AG688" i="20"/>
  <c r="AL688" i="20"/>
  <c r="AC681" i="20"/>
  <c r="AG681" i="20"/>
  <c r="AC645" i="20"/>
  <c r="AK645" i="20"/>
  <c r="AK637" i="20"/>
  <c r="AG637" i="20"/>
  <c r="AG621" i="20"/>
  <c r="AA621" i="20"/>
  <c r="AK608" i="20"/>
  <c r="AD608" i="20"/>
  <c r="AI589" i="20"/>
  <c r="AC589" i="20"/>
  <c r="AJ585" i="20"/>
  <c r="AC585" i="20"/>
  <c r="AE565" i="20"/>
  <c r="AK565" i="20"/>
  <c r="Z561" i="20"/>
  <c r="AD561" i="20"/>
  <c r="AI553" i="20"/>
  <c r="AJ553" i="20"/>
  <c r="AH548" i="20"/>
  <c r="AC548" i="20"/>
  <c r="AG548" i="20"/>
  <c r="AN540" i="20"/>
  <c r="AF540" i="20"/>
  <c r="AA528" i="20"/>
  <c r="AG528" i="20"/>
  <c r="AI528" i="20"/>
  <c r="AB512" i="20"/>
  <c r="AN512" i="20"/>
  <c r="AF512" i="20"/>
  <c r="AE497" i="20"/>
  <c r="AA497" i="20"/>
  <c r="AC497" i="20"/>
  <c r="AH477" i="20"/>
  <c r="AB477" i="20"/>
  <c r="AK477" i="20"/>
  <c r="AG465" i="20"/>
  <c r="AL465" i="20"/>
  <c r="AI457" i="20"/>
  <c r="AJ457" i="20"/>
  <c r="Y409" i="20"/>
  <c r="AN409" i="20"/>
  <c r="AH409" i="20"/>
  <c r="AC385" i="20"/>
  <c r="Z385" i="20"/>
  <c r="AA365" i="20"/>
  <c r="AG365" i="20"/>
  <c r="AO358" i="20"/>
  <c r="AC358" i="20"/>
  <c r="Y350" i="20"/>
  <c r="AJ350" i="20"/>
  <c r="AE342" i="20"/>
  <c r="AD342" i="20"/>
  <c r="AJ342" i="20"/>
  <c r="AG342" i="20"/>
  <c r="AC342" i="20"/>
  <c r="AD338" i="20"/>
  <c r="AN338" i="20"/>
  <c r="AK322" i="20"/>
  <c r="AO322" i="20"/>
  <c r="AC322" i="20"/>
  <c r="AG318" i="20"/>
  <c r="AD318" i="20"/>
  <c r="AF318" i="20"/>
  <c r="AP314" i="20"/>
  <c r="AE314" i="20"/>
  <c r="AG310" i="20"/>
  <c r="AD310" i="20"/>
  <c r="AO310" i="20"/>
  <c r="AC310" i="20"/>
  <c r="Y310" i="20"/>
  <c r="AN310" i="20"/>
  <c r="AF303" i="20"/>
  <c r="AG303" i="20"/>
  <c r="AP303" i="20"/>
  <c r="AG293" i="20"/>
  <c r="AD293" i="20"/>
  <c r="Z1118" i="20"/>
  <c r="AK1118" i="20"/>
  <c r="AE1118" i="20"/>
  <c r="AH13" i="20"/>
  <c r="Z13" i="20"/>
  <c r="AC13" i="20"/>
  <c r="AJ1102" i="20"/>
  <c r="Y1102" i="20"/>
  <c r="AI1060" i="20"/>
  <c r="AA1060" i="20"/>
  <c r="AE980" i="20"/>
  <c r="AB980" i="20"/>
  <c r="AE950" i="20"/>
  <c r="AI950" i="20"/>
  <c r="AH950" i="20"/>
  <c r="AN892" i="20"/>
  <c r="AH892" i="20"/>
  <c r="AN852" i="20"/>
  <c r="AL852" i="20"/>
  <c r="AN819" i="20"/>
  <c r="AE819" i="20"/>
  <c r="AK797" i="20"/>
  <c r="AF797" i="20"/>
  <c r="AN525" i="20"/>
  <c r="AE525" i="20"/>
  <c r="AA525" i="20"/>
  <c r="AN537" i="20"/>
  <c r="AH537" i="20"/>
  <c r="AD505" i="20"/>
  <c r="AN505" i="20"/>
  <c r="AE485" i="20"/>
  <c r="AL485" i="20"/>
  <c r="AI445" i="20"/>
  <c r="AC445" i="20"/>
  <c r="AF433" i="20"/>
  <c r="AE433" i="20"/>
  <c r="AN421" i="20"/>
  <c r="Y421" i="20"/>
  <c r="AC421" i="20"/>
  <c r="Y415" i="20"/>
  <c r="AD415" i="20"/>
  <c r="Y401" i="20"/>
  <c r="AK401" i="20"/>
  <c r="AJ401" i="20"/>
  <c r="AN373" i="20"/>
  <c r="AB373" i="20"/>
  <c r="AG369" i="20"/>
  <c r="AD369" i="20"/>
  <c r="AN362" i="20"/>
  <c r="AP362" i="20"/>
  <c r="AH362" i="20"/>
  <c r="AF354" i="20"/>
  <c r="AC354" i="20"/>
  <c r="AJ346" i="20"/>
  <c r="AL346" i="20"/>
  <c r="AP326" i="20"/>
  <c r="Z326" i="20"/>
  <c r="AN326" i="20"/>
  <c r="AL299" i="20"/>
  <c r="AN299" i="20"/>
  <c r="AI299" i="20"/>
  <c r="AB289" i="20"/>
  <c r="AI289" i="20"/>
  <c r="AA289" i="20"/>
  <c r="AG289" i="20"/>
  <c r="AF1046" i="20"/>
  <c r="AE1046" i="20"/>
  <c r="AK976" i="20"/>
  <c r="Z976" i="20"/>
  <c r="Y78" i="20"/>
  <c r="AG78" i="20"/>
  <c r="AL231" i="20"/>
  <c r="AH231" i="20"/>
  <c r="Y154" i="20"/>
  <c r="Z154" i="20"/>
  <c r="AB104" i="20"/>
  <c r="AH104" i="20"/>
  <c r="AJ178" i="20"/>
  <c r="Z178" i="20"/>
  <c r="AN178" i="20"/>
  <c r="AP84" i="20"/>
  <c r="AO84" i="20"/>
  <c r="AN84" i="20"/>
  <c r="AH84" i="20"/>
  <c r="AP95" i="20"/>
  <c r="AN95" i="20"/>
  <c r="AK95" i="20"/>
  <c r="AE95" i="20"/>
  <c r="AH95" i="20"/>
  <c r="AP179" i="20"/>
  <c r="AF179" i="20"/>
  <c r="AK179" i="20"/>
  <c r="AL179" i="20"/>
  <c r="AA179" i="20"/>
  <c r="AP27" i="20"/>
  <c r="AF27" i="20"/>
  <c r="AO41" i="20"/>
  <c r="AA41" i="20"/>
  <c r="AB41" i="20"/>
  <c r="AI41" i="20"/>
  <c r="AO68" i="20"/>
  <c r="Y68" i="20"/>
  <c r="AN68" i="20"/>
  <c r="AE68" i="20"/>
  <c r="AJ21" i="20"/>
  <c r="Y21" i="20"/>
  <c r="AR1289" i="20"/>
  <c r="AT1289" i="20"/>
  <c r="AR1129" i="20"/>
  <c r="AT1129" i="20"/>
  <c r="AR112" i="20"/>
  <c r="AT112" i="20"/>
  <c r="AR249" i="20"/>
  <c r="AT249" i="20"/>
  <c r="AR364" i="20"/>
  <c r="AT364" i="20"/>
  <c r="AR382" i="20"/>
  <c r="AT382" i="20"/>
  <c r="AR432" i="20"/>
  <c r="AT432" i="20"/>
  <c r="AR457" i="20"/>
  <c r="AT457" i="20"/>
  <c r="AR558" i="20"/>
  <c r="AT558" i="20"/>
  <c r="AR636" i="20"/>
  <c r="AT636" i="20"/>
  <c r="AR777" i="20"/>
  <c r="AT777" i="20"/>
  <c r="AR864" i="20"/>
  <c r="AT864" i="20"/>
  <c r="AR872" i="20"/>
  <c r="AT872" i="20"/>
  <c r="AR972" i="20"/>
  <c r="AT972" i="20"/>
  <c r="AR1052" i="20"/>
  <c r="AT1052" i="20"/>
  <c r="AR1054" i="20"/>
  <c r="AT1054" i="20"/>
  <c r="AR1083" i="20"/>
  <c r="AT1083" i="20"/>
  <c r="AR1101" i="20"/>
  <c r="AT1101" i="20"/>
  <c r="AT736" i="20"/>
  <c r="AT420" i="20"/>
  <c r="AT1076" i="20"/>
  <c r="AT768" i="20"/>
  <c r="AT880" i="20"/>
  <c r="AT955" i="20"/>
  <c r="AT713" i="20"/>
  <c r="Z358" i="20"/>
  <c r="AE346" i="20"/>
  <c r="AE334" i="20"/>
  <c r="AB318" i="20"/>
  <c r="AB303" i="20"/>
  <c r="AJ289" i="20"/>
  <c r="AP318" i="20"/>
  <c r="AI358" i="20"/>
  <c r="Y338" i="20"/>
  <c r="Y314" i="20"/>
  <c r="AC306" i="20"/>
  <c r="AL289" i="20"/>
  <c r="AH322" i="20"/>
  <c r="AH330" i="20"/>
  <c r="AP354" i="20"/>
  <c r="AL358" i="20"/>
  <c r="AE338" i="20"/>
  <c r="AJ318" i="20"/>
  <c r="AN303" i="20"/>
  <c r="AE330" i="20"/>
  <c r="AP289" i="20"/>
  <c r="AD322" i="20"/>
  <c r="AP1122" i="20"/>
  <c r="AB95" i="20"/>
  <c r="AO963" i="20"/>
  <c r="AH1130" i="20"/>
  <c r="Y289" i="20"/>
  <c r="AG133" i="20"/>
  <c r="AC350" i="20"/>
  <c r="AC1114" i="20"/>
  <c r="AO1126" i="20"/>
  <c r="AE1142" i="20"/>
  <c r="AG95" i="20"/>
  <c r="AJ100" i="20"/>
  <c r="AO154" i="20"/>
  <c r="AC326" i="20"/>
  <c r="AG354" i="20"/>
  <c r="AF1122" i="20"/>
  <c r="AC1138" i="20"/>
  <c r="Y1134" i="20"/>
  <c r="AT1069" i="20"/>
  <c r="AD1142" i="20"/>
  <c r="AC68" i="20"/>
  <c r="AT544" i="20"/>
  <c r="AT902" i="20"/>
  <c r="AO415" i="20"/>
  <c r="AT1044" i="20"/>
  <c r="AT317" i="20"/>
  <c r="AE41" i="20"/>
  <c r="Z147" i="20"/>
  <c r="AA227" i="20"/>
  <c r="AD227" i="20"/>
  <c r="Y27" i="20"/>
  <c r="AH33" i="20"/>
  <c r="Z763" i="20"/>
  <c r="AJ754" i="20"/>
  <c r="AA728" i="20"/>
  <c r="AL736" i="20"/>
  <c r="AF739" i="20"/>
  <c r="AA754" i="20"/>
  <c r="AJ760" i="20"/>
  <c r="AI776" i="20"/>
  <c r="AA784" i="20"/>
  <c r="AA793" i="20"/>
  <c r="AB800" i="20"/>
  <c r="AK724" i="20"/>
  <c r="AE731" i="20"/>
  <c r="AA742" i="20"/>
  <c r="AN747" i="20"/>
  <c r="AE763" i="20"/>
  <c r="AD780" i="20"/>
  <c r="AC787" i="20"/>
  <c r="AE804" i="20"/>
  <c r="AF917" i="20"/>
  <c r="AB508" i="20"/>
  <c r="AF453" i="20"/>
  <c r="AH566" i="20"/>
  <c r="AJ694" i="20"/>
  <c r="AJ988" i="20"/>
  <c r="AC481" i="20"/>
  <c r="Z461" i="20"/>
  <c r="AG694" i="20"/>
  <c r="AB1082" i="20"/>
  <c r="AJ417" i="20"/>
  <c r="AA373" i="20"/>
  <c r="AB393" i="20"/>
  <c r="AN405" i="20"/>
  <c r="Z430" i="20"/>
  <c r="AC449" i="20"/>
  <c r="AF469" i="20"/>
  <c r="AH493" i="20"/>
  <c r="AI512" i="20"/>
  <c r="AB532" i="20"/>
  <c r="AA561" i="20"/>
  <c r="Z589" i="20"/>
  <c r="AA605" i="20"/>
  <c r="AE658" i="20"/>
  <c r="Y681" i="20"/>
  <c r="AC701" i="20"/>
  <c r="Z809" i="20"/>
  <c r="AL838" i="20"/>
  <c r="AB858" i="20"/>
  <c r="AI926" i="20"/>
  <c r="AG954" i="20"/>
  <c r="AC994" i="20"/>
  <c r="AJ1047" i="20"/>
  <c r="Y179" i="20"/>
  <c r="AP68" i="20"/>
  <c r="AT808" i="20"/>
  <c r="AT371" i="20"/>
  <c r="AT886" i="20"/>
  <c r="AT210" i="20"/>
  <c r="AT780" i="20"/>
  <c r="AT742" i="20"/>
  <c r="AT853" i="20"/>
  <c r="AA358" i="20"/>
  <c r="AF346" i="20"/>
  <c r="AC330" i="20"/>
  <c r="Z314" i="20"/>
  <c r="AK303" i="20"/>
  <c r="AG213" i="20"/>
  <c r="AA322" i="20"/>
  <c r="AA326" i="20"/>
  <c r="AO334" i="20"/>
  <c r="AI354" i="20"/>
  <c r="Z338" i="20"/>
  <c r="AB314" i="20"/>
  <c r="Y299" i="20"/>
  <c r="AJ330" i="20"/>
  <c r="AO314" i="20"/>
  <c r="AD354" i="20"/>
  <c r="AJ334" i="20"/>
  <c r="AI314" i="20"/>
  <c r="AK299" i="20"/>
  <c r="AH350" i="20"/>
  <c r="AO293" i="20"/>
  <c r="AP322" i="20"/>
  <c r="AT700" i="20"/>
  <c r="Y95" i="20"/>
  <c r="AJ1122" i="20"/>
  <c r="AJ134" i="20"/>
  <c r="AJ358" i="20"/>
  <c r="AF1114" i="20"/>
  <c r="AP1126" i="20"/>
  <c r="Y1142" i="20"/>
  <c r="Y146" i="20"/>
  <c r="AI154" i="20"/>
  <c r="AO95" i="20"/>
  <c r="AK133" i="20"/>
  <c r="AA299" i="20"/>
  <c r="AI326" i="20"/>
  <c r="AN354" i="20"/>
  <c r="AD1118" i="20"/>
  <c r="AD1122" i="20"/>
  <c r="Y1138" i="20"/>
  <c r="AB1114" i="20"/>
  <c r="AT216" i="20"/>
  <c r="AT388" i="20"/>
  <c r="AT995" i="20"/>
  <c r="AN1126" i="20"/>
  <c r="AG179" i="20"/>
  <c r="AT817" i="20"/>
  <c r="AN41" i="20"/>
  <c r="AT1249" i="20"/>
  <c r="AT1153" i="20"/>
  <c r="AB71" i="20"/>
  <c r="AK41" i="20"/>
  <c r="Z74" i="20"/>
  <c r="AN74" i="20"/>
  <c r="AL27" i="20"/>
  <c r="AB27" i="20"/>
  <c r="AL8" i="20"/>
  <c r="AL763" i="20"/>
  <c r="AL739" i="20"/>
  <c r="AC720" i="20"/>
  <c r="AD728" i="20"/>
  <c r="AD736" i="20"/>
  <c r="AD739" i="20"/>
  <c r="AD754" i="20"/>
  <c r="AF766" i="20"/>
  <c r="AL776" i="20"/>
  <c r="AC784" i="20"/>
  <c r="AC793" i="20"/>
  <c r="AL724" i="20"/>
  <c r="AF731" i="20"/>
  <c r="Z742" i="20"/>
  <c r="Y751" i="20"/>
  <c r="AI772" i="20"/>
  <c r="AE787" i="20"/>
  <c r="AJ797" i="20"/>
  <c r="AD41" i="20"/>
  <c r="AC147" i="20"/>
  <c r="AD532" i="20"/>
  <c r="AD1082" i="20"/>
  <c r="AL846" i="20"/>
  <c r="Z389" i="20"/>
  <c r="AK537" i="20"/>
  <c r="AH809" i="20"/>
  <c r="AG485" i="20"/>
  <c r="AJ381" i="20"/>
  <c r="AE397" i="20"/>
  <c r="AL415" i="20"/>
  <c r="AK437" i="20"/>
  <c r="AB453" i="20"/>
  <c r="AD473" i="20"/>
  <c r="Y537" i="20"/>
  <c r="AN532" i="20"/>
  <c r="AJ565" i="20"/>
  <c r="AG593" i="20"/>
  <c r="AN608" i="20"/>
  <c r="AE637" i="20"/>
  <c r="AD661" i="20"/>
  <c r="AA708" i="20"/>
  <c r="Y817" i="20"/>
  <c r="AN841" i="20"/>
  <c r="AE863" i="20"/>
  <c r="AN966" i="20"/>
  <c r="AA999" i="20"/>
  <c r="AB1090" i="20"/>
  <c r="AN80" i="20"/>
  <c r="AE179" i="20"/>
  <c r="AG68" i="20"/>
  <c r="AA1070" i="20"/>
  <c r="AB1070" i="20"/>
  <c r="Z1054" i="20"/>
  <c r="AL1054" i="20"/>
  <c r="AH999" i="20"/>
  <c r="AE999" i="20"/>
  <c r="AF930" i="20"/>
  <c r="AL930" i="20"/>
  <c r="AI917" i="20"/>
  <c r="AG917" i="20"/>
  <c r="AI817" i="20"/>
  <c r="AB817" i="20"/>
  <c r="Y694" i="20"/>
  <c r="AD694" i="20"/>
  <c r="AC673" i="20"/>
  <c r="Z673" i="20"/>
  <c r="Y665" i="20"/>
  <c r="AF665" i="20"/>
  <c r="AH648" i="20"/>
  <c r="AN648" i="20"/>
  <c r="Z629" i="20"/>
  <c r="AN629" i="20"/>
  <c r="AN616" i="20"/>
  <c r="AD616" i="20"/>
  <c r="AF585" i="20"/>
  <c r="AK585" i="20"/>
  <c r="AD89" i="20"/>
  <c r="AH53" i="20"/>
  <c r="AE960" i="20"/>
  <c r="Y789" i="20"/>
  <c r="AN749" i="20"/>
  <c r="AB729" i="20"/>
  <c r="AI789" i="20"/>
  <c r="AI782" i="20"/>
  <c r="AC729" i="20"/>
  <c r="AI749" i="20"/>
  <c r="AP758" i="20"/>
  <c r="AP785" i="20"/>
  <c r="AO806" i="20"/>
  <c r="AN821" i="20"/>
  <c r="AN827" i="20"/>
  <c r="AI827" i="20"/>
  <c r="AC848" i="20"/>
  <c r="AJ848" i="20"/>
  <c r="Z860" i="20"/>
  <c r="AO860" i="20"/>
  <c r="AO876" i="20"/>
  <c r="AP876" i="20"/>
  <c r="AL898" i="20"/>
  <c r="AC915" i="20"/>
  <c r="Y915" i="20"/>
  <c r="AL928" i="20"/>
  <c r="AP928" i="20"/>
  <c r="AL942" i="20"/>
  <c r="AL952" i="20"/>
  <c r="AC952" i="20"/>
  <c r="AD968" i="20"/>
  <c r="AL968" i="20"/>
  <c r="AN986" i="20"/>
  <c r="AJ1000" i="20"/>
  <c r="AK1000" i="20"/>
  <c r="AI1016" i="20"/>
  <c r="AK1016" i="20"/>
  <c r="AA1033" i="20"/>
  <c r="Z1033" i="20"/>
  <c r="AN1056" i="20"/>
  <c r="AO1056" i="20"/>
  <c r="AK1076" i="20"/>
  <c r="AN1092" i="20"/>
  <c r="AP1092" i="20"/>
  <c r="AC1100" i="20"/>
  <c r="AI1112" i="20"/>
  <c r="AF1112" i="20"/>
  <c r="AG20" i="20"/>
  <c r="AP20" i="20"/>
  <c r="AF778" i="20"/>
  <c r="AB744" i="20"/>
  <c r="AJ750" i="20"/>
  <c r="AF768" i="20"/>
  <c r="AF741" i="20"/>
  <c r="AG746" i="20"/>
  <c r="AA778" i="20"/>
  <c r="AE789" i="20"/>
  <c r="AL802" i="20"/>
  <c r="AF818" i="20"/>
  <c r="AP818" i="20"/>
  <c r="AH830" i="20"/>
  <c r="Y851" i="20"/>
  <c r="AJ851" i="20"/>
  <c r="AC865" i="20"/>
  <c r="AO865" i="20"/>
  <c r="AD890" i="20"/>
  <c r="Z902" i="20"/>
  <c r="AB902" i="20"/>
  <c r="Y911" i="20"/>
  <c r="AG911" i="20"/>
  <c r="AN923" i="20"/>
  <c r="AP923" i="20"/>
  <c r="AK939" i="20"/>
  <c r="AA956" i="20"/>
  <c r="AF956" i="20"/>
  <c r="AI978" i="20"/>
  <c r="AP978" i="20"/>
  <c r="AD990" i="20"/>
  <c r="AG990" i="20"/>
  <c r="AF1007" i="20"/>
  <c r="AL1019" i="20"/>
  <c r="AA1019" i="20"/>
  <c r="Z1052" i="20"/>
  <c r="Y1052" i="20"/>
  <c r="AE1063" i="20"/>
  <c r="AB1063" i="20"/>
  <c r="AK1080" i="20"/>
  <c r="AI1080" i="20"/>
  <c r="AN1088" i="20"/>
  <c r="AH1108" i="20"/>
  <c r="AJ1108" i="20"/>
  <c r="AG35" i="20"/>
  <c r="AD6" i="20"/>
  <c r="AK6" i="20"/>
  <c r="AH1105" i="20"/>
  <c r="AF785" i="20"/>
  <c r="AG718" i="20"/>
  <c r="AL733" i="20"/>
  <c r="AL749" i="20"/>
  <c r="AJ744" i="20"/>
  <c r="AP795" i="20"/>
  <c r="AN811" i="20"/>
  <c r="AA843" i="20"/>
  <c r="AC880" i="20"/>
  <c r="Y919" i="20"/>
  <c r="AG960" i="20"/>
  <c r="AH993" i="20"/>
  <c r="AG1096" i="20"/>
  <c r="AO663" i="20"/>
  <c r="AC778" i="20"/>
  <c r="AF744" i="20"/>
  <c r="AO398" i="20"/>
  <c r="AP603" i="20"/>
  <c r="AO646" i="20"/>
  <c r="AP635" i="20"/>
  <c r="AO431" i="20"/>
  <c r="AF595" i="20"/>
  <c r="Y7" i="20"/>
  <c r="Z158" i="20"/>
  <c r="AL340" i="20"/>
  <c r="Z295" i="20"/>
  <c r="AD328" i="20"/>
  <c r="AP518" i="20"/>
  <c r="AJ518" i="20"/>
  <c r="AI808" i="20"/>
  <c r="AH808" i="20"/>
  <c r="AO112" i="20"/>
  <c r="AC112" i="20"/>
  <c r="Y473" i="20"/>
  <c r="AL525" i="20"/>
  <c r="Y365" i="20"/>
  <c r="AA512" i="20"/>
  <c r="AB537" i="20"/>
  <c r="Y94" i="20"/>
  <c r="AC94" i="20"/>
  <c r="AE216" i="20"/>
  <c r="AN216" i="20"/>
  <c r="AI75" i="20"/>
  <c r="AL75" i="20"/>
  <c r="AF90" i="20"/>
  <c r="AL90" i="20"/>
  <c r="Z94" i="20"/>
  <c r="AG94" i="20"/>
  <c r="AC123" i="20"/>
  <c r="AL139" i="20"/>
  <c r="AD94" i="20"/>
  <c r="AF47" i="20"/>
  <c r="AL140" i="20"/>
  <c r="AF94" i="20"/>
  <c r="AO14" i="20"/>
  <c r="AD1124" i="20"/>
  <c r="AL170" i="20"/>
  <c r="AA592" i="20"/>
  <c r="AC383" i="20"/>
  <c r="AK1140" i="20"/>
  <c r="AI1140" i="20"/>
  <c r="Z1116" i="20"/>
  <c r="AH1116" i="20"/>
  <c r="AG12" i="20"/>
  <c r="AD12" i="20"/>
  <c r="AB32" i="20"/>
  <c r="AL32" i="20"/>
  <c r="Y1105" i="20"/>
  <c r="AK1105" i="20"/>
  <c r="AO1087" i="20"/>
  <c r="AP1087" i="20"/>
  <c r="AE1072" i="20"/>
  <c r="AP1072" i="20"/>
  <c r="AF1068" i="20"/>
  <c r="AN1068" i="20"/>
  <c r="AI1068" i="20"/>
  <c r="AL1064" i="20"/>
  <c r="AH1064" i="20"/>
  <c r="AE1029" i="20"/>
  <c r="Y1029" i="20"/>
  <c r="AO1012" i="20"/>
  <c r="AJ1012" i="20"/>
  <c r="Z1003" i="20"/>
  <c r="AO1003" i="20"/>
  <c r="Y1003" i="20"/>
  <c r="AD993" i="20"/>
  <c r="AO993" i="20"/>
  <c r="AF993" i="20"/>
  <c r="AC982" i="20"/>
  <c r="AE982" i="20"/>
  <c r="Y982" i="20"/>
  <c r="AP972" i="20"/>
  <c r="AA972" i="20"/>
  <c r="AK972" i="20"/>
  <c r="Y960" i="20"/>
  <c r="AB960" i="20"/>
  <c r="AP948" i="20"/>
  <c r="Z948" i="20"/>
  <c r="AH948" i="20"/>
  <c r="Z935" i="20"/>
  <c r="AB935" i="20"/>
  <c r="AJ935" i="20"/>
  <c r="AN932" i="20"/>
  <c r="AL932" i="20"/>
  <c r="AK932" i="20"/>
  <c r="AG919" i="20"/>
  <c r="AK919" i="20"/>
  <c r="AG907" i="20"/>
  <c r="AP907" i="20"/>
  <c r="AH907" i="20"/>
  <c r="AP894" i="20"/>
  <c r="AI894" i="20"/>
  <c r="AN894" i="20"/>
  <c r="AP880" i="20"/>
  <c r="AK880" i="20"/>
  <c r="AB880" i="20"/>
  <c r="AK869" i="20"/>
  <c r="AF869" i="20"/>
  <c r="AK854" i="20"/>
  <c r="AP854" i="20"/>
  <c r="AG854" i="20"/>
  <c r="AC843" i="20"/>
  <c r="AD843" i="20"/>
  <c r="AJ843" i="20"/>
  <c r="AE839" i="20"/>
  <c r="AL839" i="20"/>
  <c r="AD839" i="20"/>
  <c r="AJ825" i="20"/>
  <c r="AL825" i="20"/>
  <c r="AO815" i="20"/>
  <c r="AG815" i="20"/>
  <c r="Z815" i="20"/>
  <c r="AE811" i="20"/>
  <c r="AI811" i="20"/>
  <c r="AD811" i="20"/>
  <c r="Y799" i="20"/>
  <c r="AB799" i="20"/>
  <c r="AK799" i="20"/>
  <c r="AF782" i="20"/>
  <c r="AP782" i="20"/>
  <c r="AC774" i="20"/>
  <c r="AJ774" i="20"/>
  <c r="AA774" i="20"/>
  <c r="Y770" i="20"/>
  <c r="AA770" i="20"/>
  <c r="AD768" i="20"/>
  <c r="AI768" i="20"/>
  <c r="AO750" i="20"/>
  <c r="AD750" i="20"/>
  <c r="AH733" i="20"/>
  <c r="AI733" i="20"/>
  <c r="AP726" i="20"/>
  <c r="AG726" i="20"/>
  <c r="AI699" i="20"/>
  <c r="AF699" i="20"/>
  <c r="AL683" i="20"/>
  <c r="AD683" i="20"/>
  <c r="AL667" i="20"/>
  <c r="AP667" i="20"/>
  <c r="AB577" i="20"/>
  <c r="AC577" i="20"/>
  <c r="AP530" i="20"/>
  <c r="AN530" i="20"/>
  <c r="AG514" i="20"/>
  <c r="AB514" i="20"/>
  <c r="AP413" i="20"/>
  <c r="AO413" i="20"/>
  <c r="AO371" i="20"/>
  <c r="AC371" i="20"/>
  <c r="AN360" i="20"/>
  <c r="Y360" i="20"/>
  <c r="AI352" i="20"/>
  <c r="AB352" i="20"/>
  <c r="Y320" i="20"/>
  <c r="AA320" i="20"/>
  <c r="AH308" i="20"/>
  <c r="AB308" i="20"/>
  <c r="AB287" i="20"/>
  <c r="AH287" i="20"/>
  <c r="AL42" i="20"/>
  <c r="AD68" i="20"/>
  <c r="Z41" i="20"/>
  <c r="AC41" i="20"/>
  <c r="AL41" i="20"/>
  <c r="AF44" i="20"/>
  <c r="AJ27" i="20"/>
  <c r="AE27" i="20"/>
  <c r="AA27" i="20"/>
  <c r="AN27" i="20"/>
  <c r="AN8" i="20"/>
  <c r="AI8" i="20"/>
  <c r="Y41" i="20"/>
  <c r="AL80" i="20"/>
  <c r="AB84" i="20"/>
  <c r="AI68" i="20"/>
  <c r="AH68" i="20"/>
  <c r="AP21" i="20"/>
  <c r="AK75" i="20"/>
  <c r="AN39" i="20"/>
  <c r="AP39" i="20"/>
  <c r="AG75" i="20"/>
  <c r="AF39" i="20"/>
  <c r="AD39" i="20"/>
  <c r="AG42" i="20"/>
  <c r="AF68" i="20"/>
  <c r="AJ41" i="20"/>
  <c r="AG27" i="20"/>
  <c r="AK27" i="20"/>
  <c r="Z27" i="20"/>
  <c r="AD27" i="20"/>
  <c r="AF18" i="20"/>
  <c r="AG41" i="20"/>
  <c r="AF41" i="20"/>
  <c r="AI80" i="20"/>
  <c r="AL84" i="20"/>
  <c r="AK68" i="20"/>
  <c r="Z68" i="20"/>
  <c r="AO27" i="20"/>
  <c r="AO263" i="20"/>
  <c r="AI263" i="20"/>
  <c r="AP263" i="20"/>
  <c r="AA189" i="20"/>
  <c r="Y189" i="20"/>
  <c r="AO189" i="20"/>
  <c r="AH75" i="20"/>
  <c r="AP200" i="20"/>
  <c r="AN1201" i="20"/>
  <c r="AE1221" i="20"/>
  <c r="AP1138" i="20"/>
  <c r="AF1138" i="20"/>
  <c r="AN1138" i="20"/>
  <c r="AA1130" i="20"/>
  <c r="AP1130" i="20"/>
  <c r="AO1122" i="20"/>
  <c r="AE1122" i="20"/>
  <c r="AC1122" i="20"/>
  <c r="AC31" i="20"/>
  <c r="AL31" i="20"/>
  <c r="Y31" i="20"/>
  <c r="AF13" i="20"/>
  <c r="AN13" i="20"/>
  <c r="AD1098" i="20"/>
  <c r="AJ1098" i="20"/>
  <c r="AK1098" i="20"/>
  <c r="AJ1082" i="20"/>
  <c r="Z1082" i="20"/>
  <c r="AI1066" i="20"/>
  <c r="AL1066" i="20"/>
  <c r="AJ1066" i="20"/>
  <c r="AE1054" i="20"/>
  <c r="Y1054" i="20"/>
  <c r="AC1054" i="20"/>
  <c r="AN1060" i="20"/>
  <c r="AC1060" i="20"/>
  <c r="AJ1060" i="20"/>
  <c r="AC1047" i="20"/>
  <c r="AN1047" i="20"/>
  <c r="AB1031" i="20"/>
  <c r="AC1031" i="20"/>
  <c r="AA1031" i="20"/>
  <c r="AI1022" i="20"/>
  <c r="AJ1022" i="20"/>
  <c r="AE1022" i="20"/>
  <c r="AK1022" i="20"/>
  <c r="AC996" i="20"/>
  <c r="AG996" i="20"/>
  <c r="AH996" i="20"/>
  <c r="Y988" i="20"/>
  <c r="AI988" i="20"/>
  <c r="AB988" i="20"/>
  <c r="AH988" i="20"/>
  <c r="AA980" i="20"/>
  <c r="AF980" i="20"/>
  <c r="Y980" i="20"/>
  <c r="Y974" i="20"/>
  <c r="AF974" i="20"/>
  <c r="Y966" i="20"/>
  <c r="AG966" i="20"/>
  <c r="AF957" i="20"/>
  <c r="AG957" i="20"/>
  <c r="AH957" i="20"/>
  <c r="AN957" i="20"/>
  <c r="Z950" i="20"/>
  <c r="AA950" i="20"/>
  <c r="Y950" i="20"/>
  <c r="AA940" i="20"/>
  <c r="AB940" i="20"/>
  <c r="AE937" i="20"/>
  <c r="AG937" i="20"/>
  <c r="AA937" i="20"/>
  <c r="AJ930" i="20"/>
  <c r="AI930" i="20"/>
  <c r="Y926" i="20"/>
  <c r="AN926" i="20"/>
  <c r="Z926" i="20"/>
  <c r="AC917" i="20"/>
  <c r="AB917" i="20"/>
  <c r="AN917" i="20"/>
  <c r="AB909" i="20"/>
  <c r="AI909" i="20"/>
  <c r="AF909" i="20"/>
  <c r="AI905" i="20"/>
  <c r="AG905" i="20"/>
  <c r="AE905" i="20"/>
  <c r="Y896" i="20"/>
  <c r="AB896" i="20"/>
  <c r="AL896" i="20"/>
  <c r="AJ896" i="20"/>
  <c r="AA892" i="20"/>
  <c r="AI892" i="20"/>
  <c r="AC892" i="20"/>
  <c r="Z882" i="20"/>
  <c r="AD882" i="20"/>
  <c r="AG878" i="20"/>
  <c r="AA878" i="20"/>
  <c r="AC878" i="20"/>
  <c r="AN871" i="20"/>
  <c r="AC871" i="20"/>
  <c r="AL871" i="20"/>
  <c r="Z867" i="20"/>
  <c r="Y867" i="20"/>
  <c r="AE867" i="20"/>
  <c r="AN863" i="20"/>
  <c r="AI863" i="20"/>
  <c r="AK852" i="20"/>
  <c r="AD852" i="20"/>
  <c r="AE852" i="20"/>
  <c r="AL844" i="20"/>
  <c r="AD844" i="20"/>
  <c r="AG846" i="20"/>
  <c r="AH846" i="20"/>
  <c r="Y831" i="20"/>
  <c r="AD831" i="20"/>
  <c r="Z841" i="20"/>
  <c r="AJ841" i="20"/>
  <c r="AH836" i="20"/>
  <c r="AI836" i="20"/>
  <c r="AK836" i="20"/>
  <c r="AG836" i="20"/>
  <c r="AG809" i="20"/>
  <c r="AD809" i="20"/>
  <c r="AN804" i="20"/>
  <c r="Y804" i="20"/>
  <c r="AJ804" i="20"/>
  <c r="Z797" i="20"/>
  <c r="AL797" i="20"/>
  <c r="AJ787" i="20"/>
  <c r="AF787" i="20"/>
  <c r="AN742" i="20"/>
  <c r="AE742" i="20"/>
  <c r="AD731" i="20"/>
  <c r="Y731" i="20"/>
  <c r="AN728" i="20"/>
  <c r="Z728" i="20"/>
  <c r="AE720" i="20"/>
  <c r="Z720" i="20"/>
  <c r="AB710" i="20"/>
  <c r="AA710" i="20"/>
  <c r="AA705" i="20"/>
  <c r="AD705" i="20"/>
  <c r="AN688" i="20"/>
  <c r="AC688" i="20"/>
  <c r="AL681" i="20"/>
  <c r="AB681" i="20"/>
  <c r="AE681" i="20"/>
  <c r="AI677" i="20"/>
  <c r="AC677" i="20"/>
  <c r="AN669" i="20"/>
  <c r="AK669" i="20"/>
  <c r="AA665" i="20"/>
  <c r="AE665" i="20"/>
  <c r="Y658" i="20"/>
  <c r="AK658" i="20"/>
  <c r="AH658" i="20"/>
  <c r="Y656" i="20"/>
  <c r="AF656" i="20"/>
  <c r="Y645" i="20"/>
  <c r="AD645" i="20"/>
  <c r="AE645" i="20"/>
  <c r="AE625" i="20"/>
  <c r="AC625" i="20"/>
  <c r="Z625" i="20"/>
  <c r="AI608" i="20"/>
  <c r="AF608" i="20"/>
  <c r="AH608" i="20"/>
  <c r="AE600" i="20"/>
  <c r="AB600" i="20"/>
  <c r="AF600" i="20"/>
  <c r="AD571" i="20"/>
  <c r="AE571" i="20"/>
  <c r="Y557" i="20"/>
  <c r="AN557" i="20"/>
  <c r="AB557" i="20"/>
  <c r="AL553" i="20"/>
  <c r="AE553" i="20"/>
  <c r="AG550" i="20"/>
  <c r="AL550" i="20"/>
  <c r="AN548" i="20"/>
  <c r="AB548" i="20"/>
  <c r="AK548" i="20"/>
  <c r="AD540" i="20"/>
  <c r="AB540" i="20"/>
  <c r="AF521" i="20"/>
  <c r="AJ521" i="20"/>
  <c r="AH516" i="20"/>
  <c r="AG516" i="20"/>
  <c r="AI516" i="20"/>
  <c r="AC508" i="20"/>
  <c r="AN508" i="20"/>
  <c r="AC505" i="20"/>
  <c r="AF505" i="20"/>
  <c r="AE501" i="20"/>
  <c r="Z501" i="20"/>
  <c r="Y497" i="20"/>
  <c r="AG497" i="20"/>
  <c r="Z489" i="20"/>
  <c r="AF489" i="20"/>
  <c r="AI481" i="20"/>
  <c r="AK481" i="20"/>
  <c r="AL477" i="20"/>
  <c r="AG477" i="20"/>
  <c r="AB469" i="20"/>
  <c r="AD469" i="20"/>
  <c r="AO469" i="20"/>
  <c r="AF465" i="20"/>
  <c r="AH465" i="20"/>
  <c r="AG457" i="20"/>
  <c r="Z457" i="20"/>
  <c r="AF449" i="20"/>
  <c r="Y449" i="20"/>
  <c r="AI449" i="20"/>
  <c r="AK441" i="20"/>
  <c r="AC441" i="20"/>
  <c r="AF441" i="20"/>
  <c r="AI433" i="20"/>
  <c r="AH433" i="20"/>
  <c r="Z433" i="20"/>
  <c r="AC415" i="20"/>
  <c r="AF415" i="20"/>
  <c r="AK415" i="20"/>
  <c r="AE401" i="20"/>
  <c r="AH401" i="20"/>
  <c r="Z401" i="20"/>
  <c r="AN397" i="20"/>
  <c r="AG397" i="20"/>
  <c r="Y397" i="20"/>
  <c r="AB389" i="20"/>
  <c r="AN389" i="20"/>
  <c r="AA385" i="20"/>
  <c r="Y385" i="20"/>
  <c r="AE385" i="20"/>
  <c r="AE377" i="20"/>
  <c r="AG377" i="20"/>
  <c r="AG373" i="20"/>
  <c r="Z373" i="20"/>
  <c r="Y369" i="20"/>
  <c r="AC369" i="20"/>
  <c r="AK330" i="20"/>
  <c r="Y330" i="20"/>
  <c r="AD65" i="20"/>
  <c r="AE65" i="20"/>
  <c r="AJ961" i="20"/>
  <c r="AK961" i="20"/>
  <c r="AC225" i="20"/>
  <c r="AK225" i="20"/>
  <c r="AG100" i="20"/>
  <c r="AH100" i="20"/>
  <c r="AO100" i="20"/>
  <c r="AO80" i="20"/>
  <c r="AC80" i="20"/>
  <c r="AJ80" i="20"/>
  <c r="AG80" i="20"/>
  <c r="AE80" i="20"/>
  <c r="AD80" i="20"/>
  <c r="AF80" i="20"/>
  <c r="AC84" i="20"/>
  <c r="AF84" i="20"/>
  <c r="AI84" i="20"/>
  <c r="Z84" i="20"/>
  <c r="AK84" i="20"/>
  <c r="AE84" i="20"/>
  <c r="AG84" i="20"/>
  <c r="AE1245" i="20"/>
  <c r="AD1245" i="20"/>
  <c r="AC86" i="20"/>
  <c r="AN86" i="20"/>
  <c r="AC137" i="20"/>
  <c r="AP137" i="20"/>
  <c r="AE77" i="20"/>
  <c r="AD77" i="20"/>
  <c r="Z89" i="20"/>
  <c r="AB89" i="20"/>
  <c r="AF75" i="20"/>
  <c r="AH94" i="20"/>
  <c r="AA693" i="20"/>
  <c r="AF168" i="20"/>
  <c r="AL124" i="20"/>
  <c r="AH1142" i="20"/>
  <c r="AC1142" i="20"/>
  <c r="AP1134" i="20"/>
  <c r="AH1134" i="20"/>
  <c r="AC1126" i="20"/>
  <c r="Z1126" i="20"/>
  <c r="AD1126" i="20"/>
  <c r="AC1118" i="20"/>
  <c r="AN1118" i="20"/>
  <c r="AI33" i="20"/>
  <c r="AD33" i="20"/>
  <c r="AB24" i="20"/>
  <c r="AA24" i="20"/>
  <c r="AL24" i="20"/>
  <c r="AJ1104" i="20"/>
  <c r="AK1104" i="20"/>
  <c r="AJ1085" i="20"/>
  <c r="AI1085" i="20"/>
  <c r="AG1085" i="20"/>
  <c r="AI1078" i="20"/>
  <c r="AE1078" i="20"/>
  <c r="AH1078" i="20"/>
  <c r="AD1074" i="20"/>
  <c r="AL1074" i="20"/>
  <c r="AB1074" i="20"/>
  <c r="AD1058" i="20"/>
  <c r="AG1058" i="20"/>
  <c r="Z1058" i="20"/>
  <c r="AI1014" i="20"/>
  <c r="AE1014" i="20"/>
  <c r="AB1010" i="20"/>
  <c r="AK1010" i="20"/>
  <c r="AI1010" i="20"/>
  <c r="Z1005" i="20"/>
  <c r="AA1005" i="20"/>
  <c r="Y1005" i="20"/>
  <c r="Y994" i="20"/>
  <c r="AA994" i="20"/>
  <c r="AA984" i="20"/>
  <c r="AE984" i="20"/>
  <c r="AI970" i="20"/>
  <c r="AB970" i="20"/>
  <c r="AK970" i="20"/>
  <c r="AC954" i="20"/>
  <c r="AO954" i="20"/>
  <c r="AH954" i="20"/>
  <c r="AL954" i="20"/>
  <c r="AI954" i="20"/>
  <c r="AK954" i="20"/>
  <c r="AG946" i="20"/>
  <c r="AI946" i="20"/>
  <c r="AK946" i="20"/>
  <c r="AE934" i="20"/>
  <c r="AA934" i="20"/>
  <c r="AI934" i="20"/>
  <c r="AC921" i="20"/>
  <c r="AI921" i="20"/>
  <c r="Z913" i="20"/>
  <c r="AN913" i="20"/>
  <c r="Y913" i="20"/>
  <c r="AB900" i="20"/>
  <c r="AG900" i="20"/>
  <c r="AC900" i="20"/>
  <c r="AH823" i="20"/>
  <c r="Y823" i="20"/>
  <c r="AB823" i="20"/>
  <c r="AD819" i="20"/>
  <c r="AA819" i="20"/>
  <c r="Z813" i="20"/>
  <c r="AA813" i="20"/>
  <c r="AH800" i="20"/>
  <c r="AK800" i="20"/>
  <c r="AA800" i="20"/>
  <c r="AF793" i="20"/>
  <c r="AH793" i="20"/>
  <c r="AI784" i="20"/>
  <c r="AH784" i="20"/>
  <c r="AI780" i="20"/>
  <c r="AG780" i="20"/>
  <c r="AN772" i="20"/>
  <c r="AG772" i="20"/>
  <c r="AN766" i="20"/>
  <c r="Z766" i="20"/>
  <c r="AG766" i="20"/>
  <c r="AA763" i="20"/>
  <c r="AD763" i="20"/>
  <c r="AK763" i="20"/>
  <c r="AJ751" i="20"/>
  <c r="AF751" i="20"/>
  <c r="AD751" i="20"/>
  <c r="AN754" i="20"/>
  <c r="AH754" i="20"/>
  <c r="Z739" i="20"/>
  <c r="AE739" i="20"/>
  <c r="AO736" i="20"/>
  <c r="AJ736" i="20"/>
  <c r="AF736" i="20"/>
  <c r="AN724" i="20"/>
  <c r="AB724" i="20"/>
  <c r="Y724" i="20"/>
  <c r="AE716" i="20"/>
  <c r="AL716" i="20"/>
  <c r="AE708" i="20"/>
  <c r="AB708" i="20"/>
  <c r="AL701" i="20"/>
  <c r="AI701" i="20"/>
  <c r="AA697" i="20"/>
  <c r="AL697" i="20"/>
  <c r="AC697" i="20"/>
  <c r="AK685" i="20"/>
  <c r="AG685" i="20"/>
  <c r="Z685" i="20"/>
  <c r="AG641" i="20"/>
  <c r="AE641" i="20"/>
  <c r="AG633" i="20"/>
  <c r="Z633" i="20"/>
  <c r="AN612" i="20"/>
  <c r="AC612" i="20"/>
  <c r="AJ612" i="20"/>
  <c r="AK605" i="20"/>
  <c r="AI605" i="20"/>
  <c r="AI597" i="20"/>
  <c r="AK597" i="20"/>
  <c r="AN593" i="20"/>
  <c r="AH593" i="20"/>
  <c r="AF593" i="20"/>
  <c r="AD589" i="20"/>
  <c r="AE589" i="20"/>
  <c r="AF581" i="20"/>
  <c r="AN581" i="20"/>
  <c r="Z575" i="20"/>
  <c r="AG575" i="20"/>
  <c r="Z565" i="20"/>
  <c r="Y565" i="20"/>
  <c r="AD525" i="20"/>
  <c r="AK525" i="20"/>
  <c r="AA566" i="20"/>
  <c r="AI566" i="20"/>
  <c r="AF493" i="20"/>
  <c r="Z493" i="20"/>
  <c r="AE493" i="20"/>
  <c r="AN485" i="20"/>
  <c r="AA485" i="20"/>
  <c r="AF473" i="20"/>
  <c r="AN473" i="20"/>
  <c r="AK461" i="20"/>
  <c r="AG461" i="20"/>
  <c r="AA461" i="20"/>
  <c r="AG453" i="20"/>
  <c r="AH453" i="20"/>
  <c r="AL445" i="20"/>
  <c r="AG445" i="20"/>
  <c r="AN437" i="20"/>
  <c r="AA437" i="20"/>
  <c r="AK430" i="20"/>
  <c r="AG430" i="20"/>
  <c r="AA425" i="20"/>
  <c r="AB425" i="20"/>
  <c r="AG405" i="20"/>
  <c r="AB405" i="20"/>
  <c r="AH405" i="20"/>
  <c r="Z393" i="20"/>
  <c r="AC393" i="20"/>
  <c r="AG381" i="20"/>
  <c r="AK381" i="20"/>
  <c r="AA75" i="20"/>
  <c r="AB94" i="20"/>
  <c r="AK94" i="20"/>
  <c r="AI94" i="20"/>
  <c r="AG825" i="20"/>
  <c r="AK806" i="20"/>
  <c r="AB795" i="20"/>
  <c r="Y782" i="20"/>
  <c r="AK767" i="20"/>
  <c r="AC749" i="20"/>
  <c r="Z733" i="20"/>
  <c r="Y718" i="20"/>
  <c r="AK362" i="20"/>
  <c r="Z354" i="20"/>
  <c r="AB346" i="20"/>
  <c r="AB342" i="20"/>
  <c r="AB334" i="20"/>
  <c r="AF326" i="20"/>
  <c r="AC314" i="20"/>
  <c r="AB306" i="20"/>
  <c r="Z299" i="20"/>
  <c r="AK293" i="20"/>
  <c r="Z173" i="20"/>
  <c r="AA726" i="20"/>
  <c r="AL729" i="20"/>
  <c r="AE758" i="20"/>
  <c r="AD782" i="20"/>
  <c r="AF729" i="20"/>
  <c r="AG758" i="20"/>
  <c r="Y774" i="20"/>
  <c r="AE785" i="20"/>
  <c r="Z806" i="20"/>
  <c r="AA821" i="20"/>
  <c r="AE827" i="20"/>
  <c r="AJ827" i="20"/>
  <c r="AI848" i="20"/>
  <c r="AH860" i="20"/>
  <c r="AL860" i="20"/>
  <c r="AD876" i="20"/>
  <c r="AA898" i="20"/>
  <c r="AG915" i="20"/>
  <c r="AE915" i="20"/>
  <c r="AC928" i="20"/>
  <c r="AE942" i="20"/>
  <c r="AO942" i="20"/>
  <c r="AB952" i="20"/>
  <c r="AI968" i="20"/>
  <c r="AF968" i="20"/>
  <c r="Y986" i="20"/>
  <c r="AL1000" i="20"/>
  <c r="AL1016" i="20"/>
  <c r="AA1016" i="20"/>
  <c r="AI1033" i="20"/>
  <c r="AC1056" i="20"/>
  <c r="AC1076" i="20"/>
  <c r="AD1076" i="20"/>
  <c r="AP1076" i="20"/>
  <c r="AI1092" i="20"/>
  <c r="AL1100" i="20"/>
  <c r="Y1100" i="20"/>
  <c r="Y1112" i="20"/>
  <c r="AA20" i="20"/>
  <c r="AB802" i="20"/>
  <c r="AN778" i="20"/>
  <c r="AG750" i="20"/>
  <c r="AD733" i="20"/>
  <c r="Y362" i="20"/>
  <c r="AL354" i="20"/>
  <c r="AL342" i="20"/>
  <c r="AB330" i="20"/>
  <c r="Z318" i="20"/>
  <c r="AF310" i="20"/>
  <c r="AA303" i="20"/>
  <c r="AH293" i="20"/>
  <c r="AG286" i="20"/>
  <c r="AH334" i="20"/>
  <c r="AB726" i="20"/>
  <c r="AJ726" i="20"/>
  <c r="AO342" i="20"/>
  <c r="AC722" i="20"/>
  <c r="AE741" i="20"/>
  <c r="AB746" i="20"/>
  <c r="AB767" i="20"/>
  <c r="AK802" i="20"/>
  <c r="AG818" i="20"/>
  <c r="AA818" i="20"/>
  <c r="AP830" i="20"/>
  <c r="AL851" i="20"/>
  <c r="AB865" i="20"/>
  <c r="AE890" i="20"/>
  <c r="Y890" i="20"/>
  <c r="AK902" i="20"/>
  <c r="AI911" i="20"/>
  <c r="AL923" i="20"/>
  <c r="AJ923" i="20"/>
  <c r="AH939" i="20"/>
  <c r="AG956" i="20"/>
  <c r="AB956" i="20"/>
  <c r="AC978" i="20"/>
  <c r="AA990" i="20"/>
  <c r="AB1007" i="20"/>
  <c r="Y1007" i="20"/>
  <c r="Z1019" i="20"/>
  <c r="AK1052" i="20"/>
  <c r="AK1063" i="20"/>
  <c r="AD1080" i="20"/>
  <c r="Z1080" i="20"/>
  <c r="AE1088" i="20"/>
  <c r="AN35" i="20"/>
  <c r="AH35" i="20"/>
  <c r="AE6" i="20"/>
  <c r="AH39" i="20"/>
  <c r="AG39" i="20"/>
  <c r="AG843" i="20"/>
  <c r="AI799" i="20"/>
  <c r="AF774" i="20"/>
  <c r="Z750" i="20"/>
  <c r="Z726" i="20"/>
  <c r="AG362" i="20"/>
  <c r="AK350" i="20"/>
  <c r="Z342" i="20"/>
  <c r="AG330" i="20"/>
  <c r="AK318" i="20"/>
  <c r="AN306" i="20"/>
  <c r="AG299" i="20"/>
  <c r="AH785" i="20"/>
  <c r="AH722" i="20"/>
  <c r="AA782" i="20"/>
  <c r="AE774" i="20"/>
  <c r="AO782" i="20"/>
  <c r="AH811" i="20"/>
  <c r="AL815" i="20"/>
  <c r="AN815" i="20"/>
  <c r="Z825" i="20"/>
  <c r="AI839" i="20"/>
  <c r="AN843" i="20"/>
  <c r="AN854" i="20"/>
  <c r="Y854" i="20"/>
  <c r="AL869" i="20"/>
  <c r="AJ880" i="20"/>
  <c r="AF880" i="20"/>
  <c r="AF894" i="20"/>
  <c r="AI907" i="20"/>
  <c r="AE919" i="20"/>
  <c r="AB932" i="20"/>
  <c r="AI932" i="20"/>
  <c r="AK935" i="20"/>
  <c r="AK948" i="20"/>
  <c r="AD948" i="20"/>
  <c r="AN960" i="20"/>
  <c r="AF972" i="20"/>
  <c r="Z982" i="20"/>
  <c r="Z993" i="20"/>
  <c r="AG993" i="20"/>
  <c r="AL1003" i="20"/>
  <c r="AF1012" i="20"/>
  <c r="AL1012" i="20"/>
  <c r="AB1064" i="20"/>
  <c r="AC1068" i="20"/>
  <c r="AB1087" i="20"/>
  <c r="AH12" i="20"/>
  <c r="AB12" i="20"/>
  <c r="AJ75" i="20"/>
  <c r="AP467" i="20"/>
  <c r="AO579" i="20"/>
  <c r="AO439" i="20"/>
  <c r="AJ1134" i="20"/>
  <c r="AF746" i="20"/>
  <c r="AB77" i="20"/>
  <c r="AI1114" i="20"/>
  <c r="AE1114" i="20"/>
  <c r="AA1126" i="20"/>
  <c r="AD1134" i="20"/>
  <c r="AI1142" i="20"/>
  <c r="AA1142" i="20"/>
  <c r="Y303" i="20"/>
  <c r="AL1043" i="20"/>
  <c r="AL65" i="20"/>
  <c r="AI330" i="20"/>
  <c r="AF1118" i="20"/>
  <c r="Z1122" i="20"/>
  <c r="Y1130" i="20"/>
  <c r="AD1138" i="20"/>
  <c r="AB1142" i="20"/>
  <c r="AC746" i="20"/>
  <c r="AO200" i="20"/>
  <c r="AO427" i="20"/>
  <c r="AP491" i="20"/>
  <c r="AF545" i="20"/>
  <c r="AO695" i="20"/>
  <c r="AA663" i="20"/>
  <c r="AO687" i="20"/>
  <c r="Z75" i="20"/>
  <c r="AH31" i="20"/>
  <c r="AH1132" i="20"/>
  <c r="Z7" i="20"/>
  <c r="AL1128" i="20"/>
  <c r="Y856" i="20"/>
  <c r="AC1015" i="20"/>
  <c r="AJ189" i="20"/>
  <c r="H46" i="86" s="1"/>
  <c r="K46" i="86" s="1"/>
  <c r="AG24" i="20"/>
  <c r="AD14" i="20"/>
  <c r="AD124" i="20"/>
  <c r="AG198" i="20"/>
  <c r="AN24" i="20"/>
  <c r="Z14" i="20"/>
  <c r="AA780" i="20"/>
  <c r="AA340" i="20"/>
  <c r="AJ720" i="20"/>
  <c r="AF728" i="20"/>
  <c r="AG736" i="20"/>
  <c r="AA736" i="20"/>
  <c r="AH739" i="20"/>
  <c r="AF754" i="20"/>
  <c r="AC754" i="20"/>
  <c r="AB760" i="20"/>
  <c r="AL766" i="20"/>
  <c r="AA766" i="20"/>
  <c r="AB776" i="20"/>
  <c r="AB784" i="20"/>
  <c r="AG784" i="20"/>
  <c r="Y793" i="20"/>
  <c r="AD800" i="20"/>
  <c r="Y800" i="20"/>
  <c r="AN1132" i="20"/>
  <c r="Y297" i="20"/>
  <c r="AC320" i="20"/>
  <c r="AC724" i="20"/>
  <c r="AC731" i="20"/>
  <c r="AH742" i="20"/>
  <c r="AF742" i="20"/>
  <c r="AF747" i="20"/>
  <c r="AA751" i="20"/>
  <c r="AB751" i="20"/>
  <c r="AB763" i="20"/>
  <c r="AE772" i="20"/>
  <c r="AH780" i="20"/>
  <c r="AB780" i="20"/>
  <c r="AL787" i="20"/>
  <c r="AH797" i="20"/>
  <c r="AB797" i="20"/>
  <c r="AA804" i="20"/>
  <c r="AA31" i="20"/>
  <c r="AL1136" i="20"/>
  <c r="AC550" i="20"/>
  <c r="AG385" i="20"/>
  <c r="AD389" i="20"/>
  <c r="AB950" i="20"/>
  <c r="AA600" i="20"/>
  <c r="AD710" i="20"/>
  <c r="AA1085" i="20"/>
  <c r="Z525" i="20"/>
  <c r="AE836" i="20"/>
  <c r="Y516" i="20"/>
  <c r="AH377" i="20"/>
  <c r="AH705" i="20"/>
  <c r="AL633" i="20"/>
  <c r="AH525" i="20"/>
  <c r="AL377" i="20"/>
  <c r="AL512" i="20"/>
  <c r="AJ473" i="20"/>
  <c r="AI681" i="20"/>
  <c r="AI937" i="20"/>
  <c r="AG481" i="20"/>
  <c r="AJ493" i="20"/>
  <c r="Z437" i="20"/>
  <c r="Z621" i="20"/>
  <c r="AA1014" i="20"/>
  <c r="AC705" i="20"/>
  <c r="AD1060" i="20"/>
  <c r="AK505" i="20"/>
  <c r="AH697" i="20"/>
  <c r="AH581" i="20"/>
  <c r="AH561" i="20"/>
  <c r="AL809" i="20"/>
  <c r="AJ433" i="20"/>
  <c r="AL566" i="20"/>
  <c r="AI871" i="20"/>
  <c r="AI437" i="20"/>
  <c r="AI369" i="20"/>
  <c r="AI485" i="20"/>
  <c r="AD365" i="20"/>
  <c r="AF373" i="20"/>
  <c r="Y377" i="20"/>
  <c r="Z381" i="20"/>
  <c r="AJ389" i="20"/>
  <c r="AI393" i="20"/>
  <c r="AI401" i="20"/>
  <c r="Z405" i="20"/>
  <c r="AF417" i="20"/>
  <c r="AB421" i="20"/>
  <c r="AD425" i="20"/>
  <c r="AL433" i="20"/>
  <c r="AB437" i="20"/>
  <c r="AF445" i="20"/>
  <c r="AL449" i="20"/>
  <c r="AD453" i="20"/>
  <c r="AN457" i="20"/>
  <c r="AD465" i="20"/>
  <c r="Y477" i="20"/>
  <c r="AK489" i="20"/>
  <c r="AK493" i="20"/>
  <c r="AN501" i="20"/>
  <c r="Z566" i="20"/>
  <c r="AA508" i="20"/>
  <c r="AN516" i="20"/>
  <c r="AC521" i="20"/>
  <c r="AH528" i="20"/>
  <c r="AL540" i="20"/>
  <c r="AD550" i="20"/>
  <c r="AC557" i="20"/>
  <c r="AL565" i="20"/>
  <c r="AA571" i="20"/>
  <c r="AG581" i="20"/>
  <c r="Y589" i="20"/>
  <c r="AC593" i="20"/>
  <c r="AI600" i="20"/>
  <c r="AE608" i="20"/>
  <c r="AH612" i="20"/>
  <c r="AA616" i="20"/>
  <c r="AD629" i="20"/>
  <c r="AL645" i="20"/>
  <c r="Z656" i="20"/>
  <c r="AJ661" i="20"/>
  <c r="AG669" i="20"/>
  <c r="AK677" i="20"/>
  <c r="AD685" i="20"/>
  <c r="AD688" i="20"/>
  <c r="AI697" i="20"/>
  <c r="AI705" i="20"/>
  <c r="AE710" i="20"/>
  <c r="AD716" i="20"/>
  <c r="AC809" i="20"/>
  <c r="AE817" i="20"/>
  <c r="AK823" i="20"/>
  <c r="AN838" i="20"/>
  <c r="AI831" i="20"/>
  <c r="AC844" i="20"/>
  <c r="AF858" i="20"/>
  <c r="AG867" i="20"/>
  <c r="AF878" i="20"/>
  <c r="AD892" i="20"/>
  <c r="AN900" i="20"/>
  <c r="AI913" i="20"/>
  <c r="AB921" i="20"/>
  <c r="AN930" i="20"/>
  <c r="AK940" i="20"/>
  <c r="AC950" i="20"/>
  <c r="AB957" i="20"/>
  <c r="AF970" i="20"/>
  <c r="AH984" i="20"/>
  <c r="AG994" i="20"/>
  <c r="AN1005" i="20"/>
  <c r="AD1017" i="20"/>
  <c r="AH1031" i="20"/>
  <c r="AE1060" i="20"/>
  <c r="AG1066" i="20"/>
  <c r="AC1074" i="20"/>
  <c r="AF1090" i="20"/>
  <c r="AE1102" i="20"/>
  <c r="Z44" i="20"/>
  <c r="AA427" i="20"/>
  <c r="AC518" i="20"/>
  <c r="AI639" i="20"/>
  <c r="Z1337" i="20"/>
  <c r="AJ409" i="20"/>
  <c r="AA397" i="20"/>
  <c r="AK1144" i="20"/>
  <c r="AC1144" i="20"/>
  <c r="AD1144" i="20"/>
  <c r="AN1124" i="20"/>
  <c r="AJ1124" i="20"/>
  <c r="AL1120" i="20"/>
  <c r="AA1120" i="20"/>
  <c r="AN32" i="20"/>
  <c r="Y32" i="20"/>
  <c r="AE1105" i="20"/>
  <c r="AD1105" i="20"/>
  <c r="AP1096" i="20"/>
  <c r="AF1096" i="20"/>
  <c r="AE1087" i="20"/>
  <c r="AA1087" i="20"/>
  <c r="AI1072" i="20"/>
  <c r="AA1072" i="20"/>
  <c r="AO1064" i="20"/>
  <c r="AN1064" i="20"/>
  <c r="AP1029" i="20"/>
  <c r="AL1029" i="20"/>
  <c r="AJ1029" i="20"/>
  <c r="AL717" i="20"/>
  <c r="AP717" i="20"/>
  <c r="AC709" i="20"/>
  <c r="AH709" i="20"/>
  <c r="AA709" i="20"/>
  <c r="AJ679" i="20"/>
  <c r="AA679" i="20"/>
  <c r="AO679" i="20"/>
  <c r="AL653" i="20"/>
  <c r="AG653" i="20"/>
  <c r="AO650" i="20"/>
  <c r="AH650" i="20"/>
  <c r="AP627" i="20"/>
  <c r="AL627" i="20"/>
  <c r="AN627" i="20"/>
  <c r="AJ607" i="20"/>
  <c r="AO607" i="20"/>
  <c r="AA595" i="20"/>
  <c r="AI595" i="20"/>
  <c r="AC573" i="20"/>
  <c r="AJ573" i="20"/>
  <c r="AP573" i="20"/>
  <c r="AL563" i="20"/>
  <c r="AF563" i="20"/>
  <c r="AK563" i="20"/>
  <c r="AB563" i="20"/>
  <c r="AO563" i="20"/>
  <c r="AP543" i="20"/>
  <c r="AF543" i="20"/>
  <c r="AB535" i="20"/>
  <c r="AF535" i="20"/>
  <c r="AO535" i="20"/>
  <c r="AG568" i="20"/>
  <c r="AO568" i="20"/>
  <c r="AE499" i="20"/>
  <c r="AI499" i="20"/>
  <c r="AK487" i="20"/>
  <c r="AO487" i="20"/>
  <c r="AO479" i="20"/>
  <c r="AF479" i="20"/>
  <c r="AI475" i="20"/>
  <c r="G26" i="86" s="1"/>
  <c r="J26" i="86" s="1"/>
  <c r="AO475" i="20"/>
  <c r="AO451" i="20"/>
  <c r="Y451" i="20"/>
  <c r="AJ395" i="20"/>
  <c r="Y395" i="20"/>
  <c r="AI395" i="20"/>
  <c r="AP371" i="20"/>
  <c r="AB371" i="20"/>
  <c r="Z360" i="20"/>
  <c r="AB360" i="20"/>
  <c r="AD356" i="20"/>
  <c r="AJ356" i="20"/>
  <c r="AI348" i="20"/>
  <c r="AH348" i="20"/>
  <c r="AK336" i="20"/>
  <c r="AL336" i="20"/>
  <c r="AC332" i="20"/>
  <c r="AK332" i="20"/>
  <c r="AA324" i="20"/>
  <c r="Y324" i="20"/>
  <c r="Y316" i="20"/>
  <c r="AG316" i="20"/>
  <c r="Z312" i="20"/>
  <c r="AG312" i="20"/>
  <c r="Y301" i="20"/>
  <c r="Z301" i="20"/>
  <c r="AK1123" i="20"/>
  <c r="Y1123" i="20"/>
  <c r="AF554" i="20"/>
  <c r="AG554" i="20"/>
  <c r="AI538" i="20"/>
  <c r="AL538" i="20"/>
  <c r="AL517" i="20"/>
  <c r="AG517" i="20"/>
  <c r="AP567" i="20"/>
  <c r="AH567" i="20"/>
  <c r="AH366" i="20"/>
  <c r="AO366" i="20"/>
  <c r="Y290" i="20"/>
  <c r="Z290" i="20"/>
  <c r="AI290" i="20"/>
  <c r="AF290" i="20"/>
  <c r="AA290" i="20"/>
  <c r="AP290" i="20"/>
  <c r="AN290" i="20"/>
  <c r="AD290" i="20"/>
  <c r="AB290" i="20"/>
  <c r="AO290" i="20"/>
  <c r="AE294" i="20"/>
  <c r="AO294" i="20"/>
  <c r="AB283" i="20"/>
  <c r="AI283" i="20"/>
  <c r="AG283" i="20"/>
  <c r="AC275" i="20"/>
  <c r="AH275" i="20"/>
  <c r="AB275" i="20"/>
  <c r="AL270" i="20"/>
  <c r="AD270" i="20"/>
  <c r="AO270" i="20"/>
  <c r="AL267" i="20"/>
  <c r="AA267" i="20"/>
  <c r="AC259" i="20"/>
  <c r="Y259" i="20"/>
  <c r="AD259" i="20"/>
  <c r="AL255" i="20"/>
  <c r="AA255" i="20"/>
  <c r="AA251" i="20"/>
  <c r="AL251" i="20"/>
  <c r="Y251" i="20"/>
  <c r="AI247" i="20"/>
  <c r="AG247" i="20"/>
  <c r="AO247" i="20"/>
  <c r="Z243" i="20"/>
  <c r="AF243" i="20"/>
  <c r="AI240" i="20"/>
  <c r="AJ240" i="20"/>
  <c r="AK240" i="20"/>
  <c r="AO240" i="20"/>
  <c r="AH240" i="20"/>
  <c r="AE235" i="20"/>
  <c r="AL235" i="20"/>
  <c r="Z235" i="20"/>
  <c r="AN220" i="20"/>
  <c r="AF220" i="20"/>
  <c r="AA220" i="20"/>
  <c r="AB220" i="20"/>
  <c r="AO220" i="20"/>
  <c r="AJ216" i="20"/>
  <c r="Z216" i="20"/>
  <c r="AK216" i="20"/>
  <c r="AB212" i="20"/>
  <c r="AK212" i="20"/>
  <c r="AL212" i="20"/>
  <c r="AH212" i="20"/>
  <c r="AN208" i="20"/>
  <c r="Z208" i="20"/>
  <c r="AO208" i="20"/>
  <c r="Y208" i="20"/>
  <c r="AI204" i="20"/>
  <c r="AE204" i="20"/>
  <c r="AC204" i="20"/>
  <c r="AO204" i="20"/>
  <c r="AD204" i="20"/>
  <c r="AK200" i="20"/>
  <c r="AD200" i="20"/>
  <c r="AE198" i="20"/>
  <c r="AA198" i="20"/>
  <c r="Z198" i="20"/>
  <c r="AK198" i="20"/>
  <c r="AK190" i="20"/>
  <c r="AA190" i="20"/>
  <c r="AC190" i="20"/>
  <c r="AJ190" i="20"/>
  <c r="Z189" i="20"/>
  <c r="AL189" i="20"/>
  <c r="AN189" i="20"/>
  <c r="AP189" i="20"/>
  <c r="AD170" i="20"/>
  <c r="AO170" i="20"/>
  <c r="AE170" i="20"/>
  <c r="Z170" i="20"/>
  <c r="AI170" i="20"/>
  <c r="AP168" i="20"/>
  <c r="AH168" i="20"/>
  <c r="AD168" i="20"/>
  <c r="AC168" i="20"/>
  <c r="AL168" i="20"/>
  <c r="AO168" i="20"/>
  <c r="Z167" i="20"/>
  <c r="AH167" i="20"/>
  <c r="AE167" i="20"/>
  <c r="AF167" i="20"/>
  <c r="AK167" i="20"/>
  <c r="AI167" i="20"/>
  <c r="AO158" i="20"/>
  <c r="AI158" i="20"/>
  <c r="AK158" i="20"/>
  <c r="AH158" i="20"/>
  <c r="AG158" i="20"/>
  <c r="AO139" i="20"/>
  <c r="AJ139" i="20"/>
  <c r="AF139" i="20"/>
  <c r="AI128" i="20"/>
  <c r="Z128" i="20"/>
  <c r="Y128" i="20"/>
  <c r="AC128" i="20"/>
  <c r="AP128" i="20"/>
  <c r="AK128" i="20"/>
  <c r="AO128" i="20"/>
  <c r="AI124" i="20"/>
  <c r="AE124" i="20"/>
  <c r="AA124" i="20"/>
  <c r="AJ124" i="20"/>
  <c r="AP119" i="20"/>
  <c r="AD119" i="20"/>
  <c r="Y119" i="20"/>
  <c r="AC119" i="20"/>
  <c r="AG119" i="20"/>
  <c r="Z119" i="20"/>
  <c r="AG114" i="20"/>
  <c r="AA114" i="20"/>
  <c r="AI114" i="20"/>
  <c r="AH114" i="20"/>
  <c r="AP114" i="20"/>
  <c r="AB114" i="20"/>
  <c r="AD114" i="20"/>
  <c r="AE123" i="20"/>
  <c r="AN123" i="20"/>
  <c r="Z123" i="20"/>
  <c r="AJ123" i="20"/>
  <c r="AF123" i="20"/>
  <c r="AO584" i="20"/>
  <c r="AO555" i="20"/>
  <c r="AO375" i="20"/>
  <c r="AP527" i="20"/>
  <c r="AO623" i="20"/>
  <c r="AO363" i="20"/>
  <c r="AC535" i="20"/>
  <c r="AP623" i="20"/>
  <c r="AE679" i="20"/>
  <c r="AH7" i="20"/>
  <c r="AK7" i="20"/>
  <c r="AB1140" i="20"/>
  <c r="AH1144" i="20"/>
  <c r="AD1128" i="20"/>
  <c r="AC189" i="20"/>
  <c r="AH363" i="20"/>
  <c r="AC411" i="20"/>
  <c r="Y443" i="20"/>
  <c r="AH470" i="20"/>
  <c r="AD568" i="20"/>
  <c r="AG523" i="20"/>
  <c r="AI546" i="20"/>
  <c r="AE623" i="20"/>
  <c r="Y643" i="20"/>
  <c r="Z667" i="20"/>
  <c r="AF691" i="20"/>
  <c r="AB717" i="20"/>
  <c r="AL546" i="20"/>
  <c r="AH279" i="20"/>
  <c r="AJ398" i="20"/>
  <c r="AJ454" i="20"/>
  <c r="AH495" i="20"/>
  <c r="AL595" i="20"/>
  <c r="Y653" i="20"/>
  <c r="AL470" i="20"/>
  <c r="Y198" i="20"/>
  <c r="AN294" i="20"/>
  <c r="AO1144" i="20"/>
  <c r="Z1144" i="20"/>
  <c r="AF1144" i="20"/>
  <c r="AB1144" i="20"/>
  <c r="Y1144" i="20"/>
  <c r="AE1144" i="20"/>
  <c r="AJ1144" i="20"/>
  <c r="AP1144" i="20"/>
  <c r="AI1144" i="20"/>
  <c r="AG1144" i="20"/>
  <c r="AA1140" i="20"/>
  <c r="AE1140" i="20"/>
  <c r="AJ1140" i="20"/>
  <c r="AD1140" i="20"/>
  <c r="AL1140" i="20"/>
  <c r="AF1140" i="20"/>
  <c r="Z1140" i="20"/>
  <c r="AC1140" i="20"/>
  <c r="AN1140" i="20"/>
  <c r="AG1140" i="20"/>
  <c r="Y1140" i="20"/>
  <c r="AH1140" i="20"/>
  <c r="AB1136" i="20"/>
  <c r="Z1136" i="20"/>
  <c r="AG1136" i="20"/>
  <c r="AD1136" i="20"/>
  <c r="AI1136" i="20"/>
  <c r="AK1136" i="20"/>
  <c r="AJ1136" i="20"/>
  <c r="AF1136" i="20"/>
  <c r="AN1136" i="20"/>
  <c r="AE1136" i="20"/>
  <c r="AC1136" i="20"/>
  <c r="Y1136" i="20"/>
  <c r="AH1136" i="20"/>
  <c r="AO1132" i="20"/>
  <c r="AP1132" i="20"/>
  <c r="AD1132" i="20"/>
  <c r="AK1132" i="20"/>
  <c r="AI1132" i="20"/>
  <c r="AJ1132" i="20"/>
  <c r="AB1132" i="20"/>
  <c r="Y1132" i="20"/>
  <c r="AC1132" i="20"/>
  <c r="Z1132" i="20"/>
  <c r="AL1132" i="20"/>
  <c r="AG1132" i="20"/>
  <c r="AE1132" i="20"/>
  <c r="AP1128" i="20"/>
  <c r="AJ1128" i="20"/>
  <c r="AB1128" i="20"/>
  <c r="Y1128" i="20"/>
  <c r="Z1128" i="20"/>
  <c r="AH1128" i="20"/>
  <c r="AG1128" i="20"/>
  <c r="AC1128" i="20"/>
  <c r="AK1128" i="20"/>
  <c r="AF1128" i="20"/>
  <c r="AI1128" i="20"/>
  <c r="AE1128" i="20"/>
  <c r="AO1124" i="20"/>
  <c r="AP1124" i="20"/>
  <c r="AC1124" i="20"/>
  <c r="AK1124" i="20"/>
  <c r="Y1124" i="20"/>
  <c r="Z1124" i="20"/>
  <c r="AI1124" i="20"/>
  <c r="AH1124" i="20"/>
  <c r="AE1124" i="20"/>
  <c r="AG1124" i="20"/>
  <c r="AB1124" i="20"/>
  <c r="AF1124" i="20"/>
  <c r="AA1124" i="20"/>
  <c r="AK1120" i="20"/>
  <c r="AB1120" i="20"/>
  <c r="Z1120" i="20"/>
  <c r="AH1120" i="20"/>
  <c r="Y1120" i="20"/>
  <c r="AJ1120" i="20"/>
  <c r="AC1120" i="20"/>
  <c r="AD1120" i="20"/>
  <c r="AI1120" i="20"/>
  <c r="AN1120" i="20"/>
  <c r="AE1120" i="20"/>
  <c r="AL1116" i="20"/>
  <c r="AK1116" i="20"/>
  <c r="AI1116" i="20"/>
  <c r="AB1116" i="20"/>
  <c r="AF1116" i="20"/>
  <c r="Y1116" i="20"/>
  <c r="AA1116" i="20"/>
  <c r="AG1116" i="20"/>
  <c r="AE1116" i="20"/>
  <c r="AC1116" i="20"/>
  <c r="AA7" i="20"/>
  <c r="AE7" i="20"/>
  <c r="AF7" i="20"/>
  <c r="AJ7" i="20"/>
  <c r="AB7" i="20"/>
  <c r="AL7" i="20"/>
  <c r="AD7" i="20"/>
  <c r="AG7" i="20"/>
  <c r="AC7" i="20"/>
  <c r="AN7" i="20"/>
  <c r="AG14" i="20"/>
  <c r="Y14" i="20"/>
  <c r="AJ14" i="20"/>
  <c r="AB14" i="20"/>
  <c r="AI14" i="20"/>
  <c r="AN14" i="20"/>
  <c r="AK14" i="20"/>
  <c r="AE14" i="20"/>
  <c r="AA14" i="20"/>
  <c r="AP14" i="20"/>
  <c r="AF14" i="20"/>
  <c r="AP6" i="20"/>
  <c r="Y6" i="20"/>
  <c r="AC6" i="20"/>
  <c r="Z6" i="20"/>
  <c r="AO6" i="20"/>
  <c r="AF6" i="20"/>
  <c r="AL6" i="20"/>
  <c r="AP12" i="20"/>
  <c r="AN12" i="20"/>
  <c r="AL12" i="20"/>
  <c r="AE12" i="20"/>
  <c r="Z12" i="20"/>
  <c r="AO12" i="20"/>
  <c r="AJ12" i="20"/>
  <c r="AK12" i="20"/>
  <c r="AC12" i="20"/>
  <c r="AA12" i="20"/>
  <c r="AN20" i="20"/>
  <c r="AF20" i="20"/>
  <c r="AK20" i="20"/>
  <c r="AD20" i="20"/>
  <c r="AC20" i="20"/>
  <c r="Y20" i="20"/>
  <c r="AH20" i="20"/>
  <c r="Z20" i="20"/>
  <c r="AF35" i="20"/>
  <c r="AP35" i="20"/>
  <c r="AC35" i="20"/>
  <c r="AA35" i="20"/>
  <c r="AL35" i="20"/>
  <c r="AO35" i="20"/>
  <c r="AE35" i="20"/>
  <c r="Z35" i="20"/>
  <c r="Z32" i="20"/>
  <c r="AD32" i="20"/>
  <c r="AC32" i="20"/>
  <c r="AH32" i="20"/>
  <c r="AP32" i="20"/>
  <c r="AF32" i="20"/>
  <c r="AK32" i="20"/>
  <c r="AJ32" i="20"/>
  <c r="AO32" i="20"/>
  <c r="AG32" i="20"/>
  <c r="AE32" i="20"/>
  <c r="AH1112" i="20"/>
  <c r="AA1112" i="20"/>
  <c r="AN1112" i="20"/>
  <c r="Z1112" i="20"/>
  <c r="AO1112" i="20"/>
  <c r="AG1112" i="20"/>
  <c r="AL1112" i="20"/>
  <c r="AP1108" i="20"/>
  <c r="AG1108" i="20"/>
  <c r="AD1108" i="20"/>
  <c r="AN1108" i="20"/>
  <c r="AK1108" i="20"/>
  <c r="AO1108" i="20"/>
  <c r="AI1108" i="20"/>
  <c r="AE1108" i="20"/>
  <c r="AF1108" i="20"/>
  <c r="AL1105" i="20"/>
  <c r="AP1105" i="20"/>
  <c r="AI1105" i="20"/>
  <c r="AG1105" i="20"/>
  <c r="AN1105" i="20"/>
  <c r="AO1105" i="20"/>
  <c r="AF1105" i="20"/>
  <c r="Z1105" i="20"/>
  <c r="AJ1105" i="20"/>
  <c r="AI1100" i="20"/>
  <c r="Z1100" i="20"/>
  <c r="AN1100" i="20"/>
  <c r="AD1100" i="20"/>
  <c r="AB1100" i="20"/>
  <c r="AK1100" i="20"/>
  <c r="AE1100" i="20"/>
  <c r="AK1096" i="20"/>
  <c r="AJ1096" i="20"/>
  <c r="AI1096" i="20"/>
  <c r="AC1096" i="20"/>
  <c r="AD1096" i="20"/>
  <c r="AL1096" i="20"/>
  <c r="AH1096" i="20"/>
  <c r="Y1096" i="20"/>
  <c r="AO1096" i="20"/>
  <c r="AE1096" i="20"/>
  <c r="AN1096" i="20"/>
  <c r="AH1092" i="20"/>
  <c r="AA1092" i="20"/>
  <c r="AE1092" i="20"/>
  <c r="AO1092" i="20"/>
  <c r="AB1092" i="20"/>
  <c r="AJ1092" i="20"/>
  <c r="AC1092" i="20"/>
  <c r="Z1092" i="20"/>
  <c r="AD1092" i="20"/>
  <c r="AK1088" i="20"/>
  <c r="AH1088" i="20"/>
  <c r="AF1088" i="20"/>
  <c r="AI1088" i="20"/>
  <c r="AB1088" i="20"/>
  <c r="AJ1088" i="20"/>
  <c r="AC1088" i="20"/>
  <c r="Y1088" i="20"/>
  <c r="AA1088" i="20"/>
  <c r="AN1087" i="20"/>
  <c r="Y1087" i="20"/>
  <c r="AK1087" i="20"/>
  <c r="Z1087" i="20"/>
  <c r="AL1087" i="20"/>
  <c r="AJ1087" i="20"/>
  <c r="AF1087" i="20"/>
  <c r="AG1087" i="20"/>
  <c r="AH1087" i="20"/>
  <c r="AB1080" i="20"/>
  <c r="AC1080" i="20"/>
  <c r="AN1080" i="20"/>
  <c r="AL1080" i="20"/>
  <c r="AE1080" i="20"/>
  <c r="AG1080" i="20"/>
  <c r="AF1080" i="20"/>
  <c r="AN1076" i="20"/>
  <c r="AF1076" i="20"/>
  <c r="AI1076" i="20"/>
  <c r="AG1076" i="20"/>
  <c r="Y1076" i="20"/>
  <c r="AA1076" i="20"/>
  <c r="AE1076" i="20"/>
  <c r="AO1072" i="20"/>
  <c r="Z1072" i="20"/>
  <c r="AF1072" i="20"/>
  <c r="AG1072" i="20"/>
  <c r="AH1072" i="20"/>
  <c r="Y1072" i="20"/>
  <c r="AK1072" i="20"/>
  <c r="AD1072" i="20"/>
  <c r="AN1072" i="20"/>
  <c r="AJ1072" i="20"/>
  <c r="AP1068" i="20"/>
  <c r="AJ1068" i="20"/>
  <c r="AE1068" i="20"/>
  <c r="AD1068" i="20"/>
  <c r="AB1068" i="20"/>
  <c r="AO1068" i="20"/>
  <c r="Y1068" i="20"/>
  <c r="AG1068" i="20"/>
  <c r="AK1068" i="20"/>
  <c r="AL1068" i="20"/>
  <c r="AN1063" i="20"/>
  <c r="AA1063" i="20"/>
  <c r="AJ1063" i="20"/>
  <c r="AF1063" i="20"/>
  <c r="AL1063" i="20"/>
  <c r="AG1063" i="20"/>
  <c r="AH1063" i="20"/>
  <c r="AP1056" i="20"/>
  <c r="AF1056" i="20"/>
  <c r="AA1056" i="20"/>
  <c r="Z1056" i="20"/>
  <c r="AD1056" i="20"/>
  <c r="Y1056" i="20"/>
  <c r="AG1056" i="20"/>
  <c r="AK1056" i="20"/>
  <c r="AF1064" i="20"/>
  <c r="Z1064" i="20"/>
  <c r="AC1064" i="20"/>
  <c r="AI1064" i="20"/>
  <c r="AP1064" i="20"/>
  <c r="AA1064" i="20"/>
  <c r="AD1064" i="20"/>
  <c r="AJ1064" i="20"/>
  <c r="AE1064" i="20"/>
  <c r="AN1052" i="20"/>
  <c r="AO1052" i="20"/>
  <c r="AE1052" i="20"/>
  <c r="AJ1052" i="20"/>
  <c r="AL1052" i="20"/>
  <c r="AH1052" i="20"/>
  <c r="AD1052" i="20"/>
  <c r="AA1052" i="20"/>
  <c r="AG1052" i="20"/>
  <c r="AP1033" i="20"/>
  <c r="AC1033" i="20"/>
  <c r="AE1033" i="20"/>
  <c r="AF1033" i="20"/>
  <c r="AN1033" i="20"/>
  <c r="AG1033" i="20"/>
  <c r="AH1033" i="20"/>
  <c r="Y1033" i="20"/>
  <c r="AH1029" i="20"/>
  <c r="AG1029" i="20"/>
  <c r="AN1029" i="20"/>
  <c r="AB1029" i="20"/>
  <c r="AK1029" i="20"/>
  <c r="Z1029" i="20"/>
  <c r="AA1029" i="20"/>
  <c r="Y1019" i="20"/>
  <c r="AN1019" i="20"/>
  <c r="AJ1019" i="20"/>
  <c r="AD1019" i="20"/>
  <c r="AG1019" i="20"/>
  <c r="AH1019" i="20"/>
  <c r="AF1019" i="20"/>
  <c r="AC1016" i="20"/>
  <c r="AE1016" i="20"/>
  <c r="AD1016" i="20"/>
  <c r="AG1016" i="20"/>
  <c r="AN1016" i="20"/>
  <c r="Z1016" i="20"/>
  <c r="AB1016" i="20"/>
  <c r="AC1012" i="20"/>
  <c r="AG1012" i="20"/>
  <c r="AE1012" i="20"/>
  <c r="AN1012" i="20"/>
  <c r="AH1012" i="20"/>
  <c r="Y1012" i="20"/>
  <c r="AI1012" i="20"/>
  <c r="AB1012" i="20"/>
  <c r="AH1007" i="20"/>
  <c r="AO1007" i="20"/>
  <c r="Z1007" i="20"/>
  <c r="AN1007" i="20"/>
  <c r="AE1007" i="20"/>
  <c r="AC1007" i="20"/>
  <c r="AD1007" i="20"/>
  <c r="AG1007" i="20"/>
  <c r="AG1003" i="20"/>
  <c r="AI1003" i="20"/>
  <c r="AD1003" i="20"/>
  <c r="AE1003" i="20"/>
  <c r="AK1003" i="20"/>
  <c r="AF1003" i="20"/>
  <c r="AA1003" i="20"/>
  <c r="Y1000" i="20"/>
  <c r="AA1000" i="20"/>
  <c r="AF1000" i="20"/>
  <c r="AB1000" i="20"/>
  <c r="AP1000" i="20"/>
  <c r="AC1000" i="20"/>
  <c r="AI1000" i="20"/>
  <c r="AP993" i="20"/>
  <c r="AB993" i="20"/>
  <c r="AL993" i="20"/>
  <c r="AJ993" i="20"/>
  <c r="AN993" i="20"/>
  <c r="AK993" i="20"/>
  <c r="AA993" i="20"/>
  <c r="AO990" i="20"/>
  <c r="AH990" i="20"/>
  <c r="AB990" i="20"/>
  <c r="AI990" i="20"/>
  <c r="Z990" i="20"/>
  <c r="Y990" i="20"/>
  <c r="AJ990" i="20"/>
  <c r="AD986" i="20"/>
  <c r="AC986" i="20"/>
  <c r="AF986" i="20"/>
  <c r="AG986" i="20"/>
  <c r="AP986" i="20"/>
  <c r="AE986" i="20"/>
  <c r="AA986" i="20"/>
  <c r="AL986" i="20"/>
  <c r="AP982" i="20"/>
  <c r="AH982" i="20"/>
  <c r="AF982" i="20"/>
  <c r="AN982" i="20"/>
  <c r="AG982" i="20"/>
  <c r="AD982" i="20"/>
  <c r="AA982" i="20"/>
  <c r="AO978" i="20"/>
  <c r="AL978" i="20"/>
  <c r="AG978" i="20"/>
  <c r="AD978" i="20"/>
  <c r="Y978" i="20"/>
  <c r="AH978" i="20"/>
  <c r="AJ978" i="20"/>
  <c r="AE978" i="20"/>
  <c r="AO972" i="20"/>
  <c r="AE972" i="20"/>
  <c r="AI972" i="20"/>
  <c r="AB972" i="20"/>
  <c r="Y972" i="20"/>
  <c r="AD972" i="20"/>
  <c r="AL972" i="20"/>
  <c r="AH972" i="20"/>
  <c r="AP968" i="20"/>
  <c r="AO968" i="20"/>
  <c r="AH968" i="20"/>
  <c r="AG968" i="20"/>
  <c r="AJ968" i="20"/>
  <c r="AN968" i="20"/>
  <c r="AK968" i="20"/>
  <c r="AB968" i="20"/>
  <c r="AH960" i="20"/>
  <c r="AF960" i="20"/>
  <c r="AA960" i="20"/>
  <c r="AI960" i="20"/>
  <c r="AO960" i="20"/>
  <c r="AC960" i="20"/>
  <c r="Z960" i="20"/>
  <c r="AC956" i="20"/>
  <c r="Z956" i="20"/>
  <c r="AL956" i="20"/>
  <c r="AJ956" i="20"/>
  <c r="AO956" i="20"/>
  <c r="AI956" i="20"/>
  <c r="AN956" i="20"/>
  <c r="AF952" i="20"/>
  <c r="AJ952" i="20"/>
  <c r="AA952" i="20"/>
  <c r="AH952" i="20"/>
  <c r="AK952" i="20"/>
  <c r="AI952" i="20"/>
  <c r="AD952" i="20"/>
  <c r="AF948" i="20"/>
  <c r="AN948" i="20"/>
  <c r="AE948" i="20"/>
  <c r="AC948" i="20"/>
  <c r="AO948" i="20"/>
  <c r="AA948" i="20"/>
  <c r="AL948" i="20"/>
  <c r="AI942" i="20"/>
  <c r="AJ942" i="20"/>
  <c r="Z942" i="20"/>
  <c r="AA942" i="20"/>
  <c r="Y942" i="20"/>
  <c r="AC942" i="20"/>
  <c r="AD942" i="20"/>
  <c r="AH942" i="20"/>
  <c r="Y939" i="20"/>
  <c r="AB939" i="20"/>
  <c r="AE939" i="20"/>
  <c r="AG939" i="20"/>
  <c r="AP939" i="20"/>
  <c r="AN939" i="20"/>
  <c r="AL939" i="20"/>
  <c r="AD939" i="20"/>
  <c r="AC935" i="20"/>
  <c r="AE935" i="20"/>
  <c r="AH935" i="20"/>
  <c r="Y935" i="20"/>
  <c r="AP935" i="20"/>
  <c r="AA935" i="20"/>
  <c r="AF935" i="20"/>
  <c r="AN935" i="20"/>
  <c r="AP932" i="20"/>
  <c r="AG932" i="20"/>
  <c r="AE932" i="20"/>
  <c r="Y932" i="20"/>
  <c r="AC932" i="20"/>
  <c r="AD932" i="20"/>
  <c r="AH932" i="20"/>
  <c r="AD928" i="20"/>
  <c r="AH928" i="20"/>
  <c r="AB928" i="20"/>
  <c r="Z928" i="20"/>
  <c r="AA928" i="20"/>
  <c r="AJ928" i="20"/>
  <c r="AN928" i="20"/>
  <c r="AK928" i="20"/>
  <c r="AO923" i="20"/>
  <c r="Z923" i="20"/>
  <c r="AC923" i="20"/>
  <c r="AI923" i="20"/>
  <c r="AD923" i="20"/>
  <c r="AH923" i="20"/>
  <c r="AB923" i="20"/>
  <c r="AP919" i="20"/>
  <c r="AL919" i="20"/>
  <c r="AF919" i="20"/>
  <c r="AH919" i="20"/>
  <c r="AJ919" i="20"/>
  <c r="AA919" i="20"/>
  <c r="AN919" i="20"/>
  <c r="AB919" i="20"/>
  <c r="AI915" i="20"/>
  <c r="AL915" i="20"/>
  <c r="AF915" i="20"/>
  <c r="Z915" i="20"/>
  <c r="AD915" i="20"/>
  <c r="AH915" i="20"/>
  <c r="AJ915" i="20"/>
  <c r="AO911" i="20"/>
  <c r="Z911" i="20"/>
  <c r="AB911" i="20"/>
  <c r="AC911" i="20"/>
  <c r="AF911" i="20"/>
  <c r="AL911" i="20"/>
  <c r="AE911" i="20"/>
  <c r="AN911" i="20"/>
  <c r="AO907" i="20"/>
  <c r="AC907" i="20"/>
  <c r="AE907" i="20"/>
  <c r="AN907" i="20"/>
  <c r="AL907" i="20"/>
  <c r="AJ907" i="20"/>
  <c r="AF907" i="20"/>
  <c r="AA907" i="20"/>
  <c r="AE902" i="20"/>
  <c r="AN902" i="20"/>
  <c r="AA902" i="20"/>
  <c r="AJ902" i="20"/>
  <c r="Y902" i="20"/>
  <c r="AO902" i="20"/>
  <c r="AI902" i="20"/>
  <c r="AC902" i="20"/>
  <c r="AF898" i="20"/>
  <c r="AJ898" i="20"/>
  <c r="AI898" i="20"/>
  <c r="AH898" i="20"/>
  <c r="AD898" i="20"/>
  <c r="AC898" i="20"/>
  <c r="AG898" i="20"/>
  <c r="Y898" i="20"/>
  <c r="Y894" i="20"/>
  <c r="AK894" i="20"/>
  <c r="AC894" i="20"/>
  <c r="AH894" i="20"/>
  <c r="AA894" i="20"/>
  <c r="AD894" i="20"/>
  <c r="AJ894" i="20"/>
  <c r="AB890" i="20"/>
  <c r="AJ890" i="20"/>
  <c r="Z890" i="20"/>
  <c r="AK890" i="20"/>
  <c r="AG890" i="20"/>
  <c r="AN890" i="20"/>
  <c r="AF890" i="20"/>
  <c r="AD880" i="20"/>
  <c r="Y880" i="20"/>
  <c r="AL880" i="20"/>
  <c r="Z880" i="20"/>
  <c r="AH880" i="20"/>
  <c r="AA880" i="20"/>
  <c r="AG880" i="20"/>
  <c r="AH876" i="20"/>
  <c r="AG876" i="20"/>
  <c r="AN876" i="20"/>
  <c r="AB876" i="20"/>
  <c r="AJ876" i="20"/>
  <c r="AL876" i="20"/>
  <c r="AF876" i="20"/>
  <c r="AI869" i="20"/>
  <c r="AD869" i="20"/>
  <c r="AA869" i="20"/>
  <c r="Z869" i="20"/>
  <c r="AE869" i="20"/>
  <c r="AO869" i="20"/>
  <c r="AJ869" i="20"/>
  <c r="AN869" i="20"/>
  <c r="AD865" i="20"/>
  <c r="AL865" i="20"/>
  <c r="Y865" i="20"/>
  <c r="AH865" i="20"/>
  <c r="AK865" i="20"/>
  <c r="AP865" i="20"/>
  <c r="AG865" i="20"/>
  <c r="AI865" i="20"/>
  <c r="AJ860" i="20"/>
  <c r="AD860" i="20"/>
  <c r="AC860" i="20"/>
  <c r="AI860" i="20"/>
  <c r="AN860" i="20"/>
  <c r="AE860" i="20"/>
  <c r="Y860" i="20"/>
  <c r="AC854" i="20"/>
  <c r="AD854" i="20"/>
  <c r="AA854" i="20"/>
  <c r="AF854" i="20"/>
  <c r="AO854" i="20"/>
  <c r="Z854" i="20"/>
  <c r="AL854" i="20"/>
  <c r="AF851" i="20"/>
  <c r="AB851" i="20"/>
  <c r="AN851" i="20"/>
  <c r="AE851" i="20"/>
  <c r="AI851" i="20"/>
  <c r="AP851" i="20"/>
  <c r="AK851" i="20"/>
  <c r="AG851" i="20"/>
  <c r="AH851" i="20"/>
  <c r="Y848" i="20"/>
  <c r="AO848" i="20"/>
  <c r="AF848" i="20"/>
  <c r="AH848" i="20"/>
  <c r="AG848" i="20"/>
  <c r="AN848" i="20"/>
  <c r="AD848" i="20"/>
  <c r="AE848" i="20"/>
  <c r="AO843" i="20"/>
  <c r="AF843" i="20"/>
  <c r="Z843" i="20"/>
  <c r="AB843" i="20"/>
  <c r="AP843" i="20"/>
  <c r="AH843" i="20"/>
  <c r="Y843" i="20"/>
  <c r="AO830" i="20"/>
  <c r="AG830" i="20"/>
  <c r="AA830" i="20"/>
  <c r="Y830" i="20"/>
  <c r="AF830" i="20"/>
  <c r="Z830" i="20"/>
  <c r="AE830" i="20"/>
  <c r="AJ830" i="20"/>
  <c r="AO839" i="20"/>
  <c r="AG839" i="20"/>
  <c r="AJ839" i="20"/>
  <c r="AH839" i="20"/>
  <c r="AP839" i="20"/>
  <c r="AC839" i="20"/>
  <c r="AA839" i="20"/>
  <c r="AF839" i="20"/>
  <c r="AP827" i="20"/>
  <c r="AD827" i="20"/>
  <c r="AK827" i="20"/>
  <c r="AB827" i="20"/>
  <c r="Z827" i="20"/>
  <c r="AG827" i="20"/>
  <c r="AL827" i="20"/>
  <c r="AO825" i="20"/>
  <c r="AN825" i="20"/>
  <c r="AD825" i="20"/>
  <c r="AE825" i="20"/>
  <c r="Y825" i="20"/>
  <c r="AI825" i="20"/>
  <c r="AB825" i="20"/>
  <c r="AP821" i="20"/>
  <c r="AB821" i="20"/>
  <c r="AD821" i="20"/>
  <c r="AG821" i="20"/>
  <c r="Y821" i="20"/>
  <c r="AO821" i="20"/>
  <c r="AJ821" i="20"/>
  <c r="Z821" i="20"/>
  <c r="AE818" i="20"/>
  <c r="AC818" i="20"/>
  <c r="AB818" i="20"/>
  <c r="AL818" i="20"/>
  <c r="AH818" i="20"/>
  <c r="AI818" i="20"/>
  <c r="AJ818" i="20"/>
  <c r="AE815" i="20"/>
  <c r="AP815" i="20"/>
  <c r="AD815" i="20"/>
  <c r="AJ815" i="20"/>
  <c r="AA815" i="20"/>
  <c r="AK815" i="20"/>
  <c r="AF815" i="20"/>
  <c r="Y815" i="20"/>
  <c r="AP811" i="20"/>
  <c r="AG811" i="20"/>
  <c r="AA811" i="20"/>
  <c r="AB811" i="20"/>
  <c r="Z811" i="20"/>
  <c r="AK811" i="20"/>
  <c r="AC811" i="20"/>
  <c r="AJ806" i="20"/>
  <c r="AB806" i="20"/>
  <c r="AC806" i="20"/>
  <c r="AA806" i="20"/>
  <c r="AN806" i="20"/>
  <c r="AL806" i="20"/>
  <c r="Y806" i="20"/>
  <c r="AP806" i="20"/>
  <c r="AE806" i="20"/>
  <c r="AJ802" i="20"/>
  <c r="AE802" i="20"/>
  <c r="AF802" i="20"/>
  <c r="AG802" i="20"/>
  <c r="AC802" i="20"/>
  <c r="AN802" i="20"/>
  <c r="AA802" i="20"/>
  <c r="AO802" i="20"/>
  <c r="AI802" i="20"/>
  <c r="Z802" i="20"/>
  <c r="AP799" i="20"/>
  <c r="AL799" i="20"/>
  <c r="AD799" i="20"/>
  <c r="AF799" i="20"/>
  <c r="AJ799" i="20"/>
  <c r="AE799" i="20"/>
  <c r="AC799" i="20"/>
  <c r="AA799" i="20"/>
  <c r="Y795" i="20"/>
  <c r="AD795" i="20"/>
  <c r="AL795" i="20"/>
  <c r="AG795" i="20"/>
  <c r="AF795" i="20"/>
  <c r="Z795" i="20"/>
  <c r="AA795" i="20"/>
  <c r="AO795" i="20"/>
  <c r="AC795" i="20"/>
  <c r="AH795" i="20"/>
  <c r="AF789" i="20"/>
  <c r="AA789" i="20"/>
  <c r="AN789" i="20"/>
  <c r="AB789" i="20"/>
  <c r="AL789" i="20"/>
  <c r="AO789" i="20"/>
  <c r="AC789" i="20"/>
  <c r="Z789" i="20"/>
  <c r="AH789" i="20"/>
  <c r="Y785" i="20"/>
  <c r="AL785" i="20"/>
  <c r="AB785" i="20"/>
  <c r="AG785" i="20"/>
  <c r="AN785" i="20"/>
  <c r="Z785" i="20"/>
  <c r="AA785" i="20"/>
  <c r="AL782" i="20"/>
  <c r="AH782" i="20"/>
  <c r="AN782" i="20"/>
  <c r="AK782" i="20"/>
  <c r="AE782" i="20"/>
  <c r="AL778" i="20"/>
  <c r="Y778" i="20"/>
  <c r="AB778" i="20"/>
  <c r="Z778" i="20"/>
  <c r="AJ778" i="20"/>
  <c r="AI778" i="20"/>
  <c r="AH778" i="20"/>
  <c r="AE778" i="20"/>
  <c r="AD778" i="20"/>
  <c r="AH774" i="20"/>
  <c r="AN774" i="20"/>
  <c r="AP774" i="20"/>
  <c r="AB774" i="20"/>
  <c r="AK774" i="20"/>
  <c r="AO774" i="20"/>
  <c r="AL774" i="20"/>
  <c r="AC770" i="20"/>
  <c r="AO770" i="20"/>
  <c r="AE770" i="20"/>
  <c r="AI770" i="20"/>
  <c r="Z770" i="20"/>
  <c r="AN770" i="20"/>
  <c r="AH770" i="20"/>
  <c r="AN768" i="20"/>
  <c r="AO768" i="20"/>
  <c r="AB768" i="20"/>
  <c r="AC768" i="20"/>
  <c r="AH768" i="20"/>
  <c r="AL768" i="20"/>
  <c r="AA768" i="20"/>
  <c r="AP768" i="20"/>
  <c r="AK768" i="20"/>
  <c r="Z768" i="20"/>
  <c r="Y768" i="20"/>
  <c r="AE767" i="20"/>
  <c r="AJ767" i="20"/>
  <c r="AC767" i="20"/>
  <c r="AP767" i="20"/>
  <c r="AH767" i="20"/>
  <c r="AN767" i="20"/>
  <c r="AO767" i="20"/>
  <c r="AA767" i="20"/>
  <c r="AL767" i="20"/>
  <c r="AI758" i="20"/>
  <c r="AD758" i="20"/>
  <c r="AA758" i="20"/>
  <c r="Y758" i="20"/>
  <c r="AO758" i="20"/>
  <c r="AB758" i="20"/>
  <c r="AN758" i="20"/>
  <c r="AH750" i="20"/>
  <c r="AE750" i="20"/>
  <c r="AI750" i="20"/>
  <c r="AF750" i="20"/>
  <c r="Y750" i="20"/>
  <c r="AL750" i="20"/>
  <c r="AA750" i="20"/>
  <c r="AA749" i="20"/>
  <c r="AG749" i="20"/>
  <c r="AO749" i="20"/>
  <c r="Z749" i="20"/>
  <c r="AE749" i="20"/>
  <c r="AJ749" i="20"/>
  <c r="AI746" i="20"/>
  <c r="AP746" i="20"/>
  <c r="AN746" i="20"/>
  <c r="AA746" i="20"/>
  <c r="AJ746" i="20"/>
  <c r="AK746" i="20"/>
  <c r="AD746" i="20"/>
  <c r="AC744" i="20"/>
  <c r="AI744" i="20"/>
  <c r="AH744" i="20"/>
  <c r="AN744" i="20"/>
  <c r="AL744" i="20"/>
  <c r="AD744" i="20"/>
  <c r="AO744" i="20"/>
  <c r="AA744" i="20"/>
  <c r="AB741" i="20"/>
  <c r="AI741" i="20"/>
  <c r="AO741" i="20"/>
  <c r="AK741" i="20"/>
  <c r="AC741" i="20"/>
  <c r="AJ741" i="20"/>
  <c r="Y741" i="20"/>
  <c r="AN741" i="20"/>
  <c r="AH741" i="20"/>
  <c r="AE733" i="20"/>
  <c r="AP733" i="20"/>
  <c r="AJ733" i="20"/>
  <c r="AK733" i="20"/>
  <c r="AG733" i="20"/>
  <c r="AA733" i="20"/>
  <c r="AB733" i="20"/>
  <c r="AO733" i="20"/>
  <c r="AC733" i="20"/>
  <c r="AF733" i="20"/>
  <c r="Z729" i="20"/>
  <c r="Y729" i="20"/>
  <c r="AO729" i="20"/>
  <c r="AN729" i="20"/>
  <c r="AA729" i="20"/>
  <c r="AJ729" i="20"/>
  <c r="AI729" i="20"/>
  <c r="Y726" i="20"/>
  <c r="AK726" i="20"/>
  <c r="AF726" i="20"/>
  <c r="AL726" i="20"/>
  <c r="AE726" i="20"/>
  <c r="AI726" i="20"/>
  <c r="AG722" i="20"/>
  <c r="AK722" i="20"/>
  <c r="AA722" i="20"/>
  <c r="AI722" i="20"/>
  <c r="AL722" i="20"/>
  <c r="AD722" i="20"/>
  <c r="AO722" i="20"/>
  <c r="Z722" i="20"/>
  <c r="AE722" i="20"/>
  <c r="Z718" i="20"/>
  <c r="AA718" i="20"/>
  <c r="AK718" i="20"/>
  <c r="AJ718" i="20"/>
  <c r="AL718" i="20"/>
  <c r="AO718" i="20"/>
  <c r="AP718" i="20"/>
  <c r="AE718" i="20"/>
  <c r="AE717" i="20"/>
  <c r="AA717" i="20"/>
  <c r="AN717" i="20"/>
  <c r="AJ717" i="20"/>
  <c r="AC717" i="20"/>
  <c r="Y717" i="20"/>
  <c r="AH717" i="20"/>
  <c r="AG717" i="20"/>
  <c r="AO717" i="20"/>
  <c r="AI717" i="20"/>
  <c r="AK717" i="20"/>
  <c r="AF717" i="20"/>
  <c r="Z717" i="20"/>
  <c r="AD717" i="20"/>
  <c r="AF709" i="20"/>
  <c r="AI709" i="20"/>
  <c r="AL709" i="20"/>
  <c r="AD709" i="20"/>
  <c r="AP709" i="20"/>
  <c r="Z709" i="20"/>
  <c r="AO709" i="20"/>
  <c r="AN709" i="20"/>
  <c r="AJ709" i="20"/>
  <c r="Y709" i="20"/>
  <c r="AK707" i="20"/>
  <c r="AA707" i="20"/>
  <c r="AI707" i="20"/>
  <c r="Y707" i="20"/>
  <c r="AN707" i="20"/>
  <c r="AG707" i="20"/>
  <c r="AJ707" i="20"/>
  <c r="AF707" i="20"/>
  <c r="AC707" i="20"/>
  <c r="Z707" i="20"/>
  <c r="AE707" i="20"/>
  <c r="AP707" i="20"/>
  <c r="AL707" i="20"/>
  <c r="AB707" i="20"/>
  <c r="AD707" i="20"/>
  <c r="AH707" i="20"/>
  <c r="AB703" i="20"/>
  <c r="Z703" i="20"/>
  <c r="AH703" i="20"/>
  <c r="AJ703" i="20"/>
  <c r="AN703" i="20"/>
  <c r="AD703" i="20"/>
  <c r="AP703" i="20"/>
  <c r="AE703" i="20"/>
  <c r="AL703" i="20"/>
  <c r="AK703" i="20"/>
  <c r="Y703" i="20"/>
  <c r="AO703" i="20"/>
  <c r="Z699" i="20"/>
  <c r="AA699" i="20"/>
  <c r="AE699" i="20"/>
  <c r="AG699" i="20"/>
  <c r="AH699" i="20"/>
  <c r="AK699" i="20"/>
  <c r="AB699" i="20"/>
  <c r="AC699" i="20"/>
  <c r="Y699" i="20"/>
  <c r="AJ699" i="20"/>
  <c r="AD699" i="20"/>
  <c r="AN695" i="20"/>
  <c r="AK695" i="20"/>
  <c r="AA695" i="20"/>
  <c r="AD695" i="20"/>
  <c r="AL695" i="20"/>
  <c r="AE695" i="20"/>
  <c r="AF695" i="20"/>
  <c r="Z695" i="20"/>
  <c r="AJ695" i="20"/>
  <c r="AB695" i="20"/>
  <c r="AO691" i="20"/>
  <c r="AB691" i="20"/>
  <c r="AD691" i="20"/>
  <c r="Y691" i="20"/>
  <c r="AN691" i="20"/>
  <c r="AL691" i="20"/>
  <c r="AI691" i="20"/>
  <c r="AJ691" i="20"/>
  <c r="AA691" i="20"/>
  <c r="AG691" i="20"/>
  <c r="AE691" i="20"/>
  <c r="Z691" i="20"/>
  <c r="AH691" i="20"/>
  <c r="AK691" i="20"/>
  <c r="AP691" i="20"/>
  <c r="AA687" i="20"/>
  <c r="AB687" i="20"/>
  <c r="AH687" i="20"/>
  <c r="AF687" i="20"/>
  <c r="AK687" i="20"/>
  <c r="AP687" i="20"/>
  <c r="AJ687" i="20"/>
  <c r="AD687" i="20"/>
  <c r="AE687" i="20"/>
  <c r="AA683" i="20"/>
  <c r="AH683" i="20"/>
  <c r="AE683" i="20"/>
  <c r="Y683" i="20"/>
  <c r="Z683" i="20"/>
  <c r="AF683" i="20"/>
  <c r="AI683" i="20"/>
  <c r="AN683" i="20"/>
  <c r="AP683" i="20"/>
  <c r="AB683" i="20"/>
  <c r="AO683" i="20"/>
  <c r="AG683" i="20"/>
  <c r="AK683" i="20"/>
  <c r="AC683" i="20"/>
  <c r="AJ683" i="20"/>
  <c r="AN679" i="20"/>
  <c r="AF679" i="20"/>
  <c r="AD679" i="20"/>
  <c r="AB679" i="20"/>
  <c r="Z679" i="20"/>
  <c r="AL679" i="20"/>
  <c r="AP679" i="20"/>
  <c r="AF675" i="20"/>
  <c r="AH675" i="20"/>
  <c r="AL675" i="20"/>
  <c r="AN675" i="20"/>
  <c r="AC675" i="20"/>
  <c r="Z675" i="20"/>
  <c r="AK675" i="20"/>
  <c r="AD675" i="20"/>
  <c r="AE675" i="20"/>
  <c r="AJ675" i="20"/>
  <c r="Y675" i="20"/>
  <c r="AB675" i="20"/>
  <c r="AO675" i="20"/>
  <c r="AI675" i="20"/>
  <c r="AA675" i="20"/>
  <c r="Y671" i="20"/>
  <c r="AG671" i="20"/>
  <c r="AI671" i="20"/>
  <c r="AA671" i="20"/>
  <c r="AE671" i="20"/>
  <c r="Z671" i="20"/>
  <c r="AD671" i="20"/>
  <c r="AB671" i="20"/>
  <c r="AP671" i="20"/>
  <c r="AN671" i="20"/>
  <c r="AL671" i="20"/>
  <c r="AH671" i="20"/>
  <c r="AG667" i="20"/>
  <c r="AE667" i="20"/>
  <c r="AI667" i="20"/>
  <c r="AD667" i="20"/>
  <c r="AF667" i="20"/>
  <c r="AA667" i="20"/>
  <c r="AJ667" i="20"/>
  <c r="Y667" i="20"/>
  <c r="AC667" i="20"/>
  <c r="AB667" i="20"/>
  <c r="AN667" i="20"/>
  <c r="AK667" i="20"/>
  <c r="AB663" i="20"/>
  <c r="AL663" i="20"/>
  <c r="AI663" i="20"/>
  <c r="Z663" i="20"/>
  <c r="AN663" i="20"/>
  <c r="AC663" i="20"/>
  <c r="AP663" i="20"/>
  <c r="AK663" i="20"/>
  <c r="Y663" i="20"/>
  <c r="AD659" i="20"/>
  <c r="AG659" i="20"/>
  <c r="AA659" i="20"/>
  <c r="AL659" i="20"/>
  <c r="Z659" i="20"/>
  <c r="AN659" i="20"/>
  <c r="AK659" i="20"/>
  <c r="AE659" i="20"/>
  <c r="AP659" i="20"/>
  <c r="AI659" i="20"/>
  <c r="AF659" i="20"/>
  <c r="AJ659" i="20"/>
  <c r="AH659" i="20"/>
  <c r="Y659" i="20"/>
  <c r="AB659" i="20"/>
  <c r="AE653" i="20"/>
  <c r="AK653" i="20"/>
  <c r="AN653" i="20"/>
  <c r="AJ653" i="20"/>
  <c r="AP653" i="20"/>
  <c r="AC653" i="20"/>
  <c r="Z653" i="20"/>
  <c r="AO653" i="20"/>
  <c r="AF650" i="20"/>
  <c r="AB650" i="20"/>
  <c r="AN650" i="20"/>
  <c r="AI650" i="20"/>
  <c r="AA650" i="20"/>
  <c r="AJ650" i="20"/>
  <c r="Y650" i="20"/>
  <c r="AE650" i="20"/>
  <c r="AK650" i="20"/>
  <c r="AC650" i="20"/>
  <c r="AL650" i="20"/>
  <c r="AG650" i="20"/>
  <c r="Z650" i="20"/>
  <c r="AH646" i="20"/>
  <c r="AK646" i="20"/>
  <c r="AJ646" i="20"/>
  <c r="Z646" i="20"/>
  <c r="AI646" i="20"/>
  <c r="AG646" i="20"/>
  <c r="AE646" i="20"/>
  <c r="AP646" i="20"/>
  <c r="Y646" i="20"/>
  <c r="AF646" i="20"/>
  <c r="AC646" i="20"/>
  <c r="AD646" i="20"/>
  <c r="AD643" i="20"/>
  <c r="AJ643" i="20"/>
  <c r="AB643" i="20"/>
  <c r="AF643" i="20"/>
  <c r="AK643" i="20"/>
  <c r="AC643" i="20"/>
  <c r="AL643" i="20"/>
  <c r="AI643" i="20"/>
  <c r="AA643" i="20"/>
  <c r="AP643" i="20"/>
  <c r="AH643" i="20"/>
  <c r="AG643" i="20"/>
  <c r="AN643" i="20"/>
  <c r="Z643" i="20"/>
  <c r="AO643" i="20"/>
  <c r="AP639" i="20"/>
  <c r="AN639" i="20"/>
  <c r="AL639" i="20"/>
  <c r="AC639" i="20"/>
  <c r="AJ639" i="20"/>
  <c r="AB639" i="20"/>
  <c r="AD639" i="20"/>
  <c r="AH639" i="20"/>
  <c r="AG639" i="20"/>
  <c r="Z639" i="20"/>
  <c r="AF639" i="20"/>
  <c r="AO639" i="20"/>
  <c r="AA639" i="20"/>
  <c r="AK639" i="20"/>
  <c r="AE639" i="20"/>
  <c r="AA635" i="20"/>
  <c r="AF635" i="20"/>
  <c r="AN635" i="20"/>
  <c r="Z635" i="20"/>
  <c r="AJ635" i="20"/>
  <c r="AE635" i="20"/>
  <c r="AG635" i="20"/>
  <c r="AC635" i="20"/>
  <c r="AO635" i="20"/>
  <c r="AL635" i="20"/>
  <c r="AI635" i="20"/>
  <c r="AG631" i="20"/>
  <c r="Y631" i="20"/>
  <c r="AI631" i="20"/>
  <c r="AC631" i="20"/>
  <c r="Z631" i="20"/>
  <c r="AA631" i="20"/>
  <c r="AB631" i="20"/>
  <c r="AN631" i="20"/>
  <c r="AF631" i="20"/>
  <c r="AL631" i="20"/>
  <c r="AD631" i="20"/>
  <c r="AO631" i="20"/>
  <c r="AK631" i="20"/>
  <c r="AJ631" i="20"/>
  <c r="AE631" i="20"/>
  <c r="AH631" i="20"/>
  <c r="AF627" i="20"/>
  <c r="AH627" i="20"/>
  <c r="AB627" i="20"/>
  <c r="AE627" i="20"/>
  <c r="AC627" i="20"/>
  <c r="AD627" i="20"/>
  <c r="AK627" i="20"/>
  <c r="Z627" i="20"/>
  <c r="AJ627" i="20"/>
  <c r="AG627" i="20"/>
  <c r="AA627" i="20"/>
  <c r="AC623" i="20"/>
  <c r="AD623" i="20"/>
  <c r="Z623" i="20"/>
  <c r="AF623" i="20"/>
  <c r="AH623" i="20"/>
  <c r="AK623" i="20"/>
  <c r="AA623" i="20"/>
  <c r="AL623" i="20"/>
  <c r="AN623" i="20"/>
  <c r="AJ623" i="20"/>
  <c r="Y623" i="20"/>
  <c r="AI623" i="20"/>
  <c r="AB623" i="20"/>
  <c r="AN619" i="20"/>
  <c r="AG619" i="20"/>
  <c r="AJ619" i="20"/>
  <c r="AA619" i="20"/>
  <c r="AE619" i="20"/>
  <c r="AD619" i="20"/>
  <c r="AB619" i="20"/>
  <c r="AK619" i="20"/>
  <c r="AF619" i="20"/>
  <c r="AP619" i="20"/>
  <c r="Y619" i="20"/>
  <c r="AO619" i="20"/>
  <c r="AN614" i="20"/>
  <c r="AA614" i="20"/>
  <c r="AK614" i="20"/>
  <c r="AB614" i="20"/>
  <c r="AG614" i="20"/>
  <c r="AH614" i="20"/>
  <c r="AC614" i="20"/>
  <c r="AE614" i="20"/>
  <c r="AJ614" i="20"/>
  <c r="AO614" i="20"/>
  <c r="AL614" i="20"/>
  <c r="AP614" i="20"/>
  <c r="AF614" i="20"/>
  <c r="AD614" i="20"/>
  <c r="Z614" i="20"/>
  <c r="AI611" i="20"/>
  <c r="AG611" i="20"/>
  <c r="AC611" i="20"/>
  <c r="AJ611" i="20"/>
  <c r="AL611" i="20"/>
  <c r="Z611" i="20"/>
  <c r="AF611" i="20"/>
  <c r="AH611" i="20"/>
  <c r="Y611" i="20"/>
  <c r="AB611" i="20"/>
  <c r="AA611" i="20"/>
  <c r="AP611" i="20"/>
  <c r="AG607" i="20"/>
  <c r="AC607" i="20"/>
  <c r="AL607" i="20"/>
  <c r="AI607" i="20"/>
  <c r="Z607" i="20"/>
  <c r="AD607" i="20"/>
  <c r="AF607" i="20"/>
  <c r="AK607" i="20"/>
  <c r="AN607" i="20"/>
  <c r="AE607" i="20"/>
  <c r="AA607" i="20"/>
  <c r="Y607" i="20"/>
  <c r="AH607" i="20"/>
  <c r="AB607" i="20"/>
  <c r="AP607" i="20"/>
  <c r="AG603" i="20"/>
  <c r="AC603" i="20"/>
  <c r="AN603" i="20"/>
  <c r="AL603" i="20"/>
  <c r="AE603" i="20"/>
  <c r="Y603" i="20"/>
  <c r="AA603" i="20"/>
  <c r="AO603" i="20"/>
  <c r="AB603" i="20"/>
  <c r="AF603" i="20"/>
  <c r="AI603" i="20"/>
  <c r="AJ603" i="20"/>
  <c r="AP599" i="20"/>
  <c r="AD599" i="20"/>
  <c r="AE599" i="20"/>
  <c r="AK599" i="20"/>
  <c r="AI599" i="20"/>
  <c r="AJ599" i="20"/>
  <c r="AG599" i="20"/>
  <c r="AN599" i="20"/>
  <c r="Y599" i="20"/>
  <c r="Z599" i="20"/>
  <c r="AL599" i="20"/>
  <c r="AH599" i="20"/>
  <c r="AB599" i="20"/>
  <c r="AA599" i="20"/>
  <c r="AF599" i="20"/>
  <c r="AO599" i="20"/>
  <c r="AB595" i="20"/>
  <c r="AE595" i="20"/>
  <c r="AK595" i="20"/>
  <c r="AD595" i="20"/>
  <c r="AC595" i="20"/>
  <c r="AN595" i="20"/>
  <c r="AH595" i="20"/>
  <c r="AJ595" i="20"/>
  <c r="AO595" i="20"/>
  <c r="Z595" i="20"/>
  <c r="AF592" i="20"/>
  <c r="AC592" i="20"/>
  <c r="AD592" i="20"/>
  <c r="AH592" i="20"/>
  <c r="AJ592" i="20"/>
  <c r="AK592" i="20"/>
  <c r="Y592" i="20"/>
  <c r="AI592" i="20"/>
  <c r="AO592" i="20"/>
  <c r="Z592" i="20"/>
  <c r="AL592" i="20"/>
  <c r="AN592" i="20"/>
  <c r="AE592" i="20"/>
  <c r="AE587" i="20"/>
  <c r="Z587" i="20"/>
  <c r="AG587" i="20"/>
  <c r="AI587" i="20"/>
  <c r="AL587" i="20"/>
  <c r="AD587" i="20"/>
  <c r="AA587" i="20"/>
  <c r="AO587" i="20"/>
  <c r="AH587" i="20"/>
  <c r="AJ587" i="20"/>
  <c r="AC587" i="20"/>
  <c r="AB587" i="20"/>
  <c r="Y587" i="20"/>
  <c r="AH584" i="20"/>
  <c r="AB584" i="20"/>
  <c r="AI584" i="20"/>
  <c r="AD584" i="20"/>
  <c r="AE584" i="20"/>
  <c r="AN584" i="20"/>
  <c r="AL584" i="20"/>
  <c r="AF584" i="20"/>
  <c r="AK584" i="20"/>
  <c r="AC584" i="20"/>
  <c r="AP584" i="20"/>
  <c r="AJ584" i="20"/>
  <c r="Y584" i="20"/>
  <c r="AA584" i="20"/>
  <c r="AG584" i="20"/>
  <c r="Z579" i="20"/>
  <c r="AD579" i="20"/>
  <c r="AL579" i="20"/>
  <c r="AH579" i="20"/>
  <c r="AA579" i="20"/>
  <c r="AF579" i="20"/>
  <c r="AB579" i="20"/>
  <c r="AN579" i="20"/>
  <c r="AE579" i="20"/>
  <c r="AJ579" i="20"/>
  <c r="AI579" i="20"/>
  <c r="AC579" i="20"/>
  <c r="Y579" i="20"/>
  <c r="AN577" i="20"/>
  <c r="AI577" i="20"/>
  <c r="AH577" i="20"/>
  <c r="AL577" i="20"/>
  <c r="AD577" i="20"/>
  <c r="AE577" i="20"/>
  <c r="AK577" i="20"/>
  <c r="AF577" i="20"/>
  <c r="AO577" i="20"/>
  <c r="Y577" i="20"/>
  <c r="Z577" i="20"/>
  <c r="Z573" i="20"/>
  <c r="AI573" i="20"/>
  <c r="Y573" i="20"/>
  <c r="AK573" i="20"/>
  <c r="AG573" i="20"/>
  <c r="AE573" i="20"/>
  <c r="AA573" i="20"/>
  <c r="AN573" i="20"/>
  <c r="AD573" i="20"/>
  <c r="AO573" i="20"/>
  <c r="AF573" i="20"/>
  <c r="AH573" i="20"/>
  <c r="AB573" i="20"/>
  <c r="AL573" i="20"/>
  <c r="AN563" i="20"/>
  <c r="AH563" i="20"/>
  <c r="Y563" i="20"/>
  <c r="AE563" i="20"/>
  <c r="AA563" i="20"/>
  <c r="AG563" i="20"/>
  <c r="AC563" i="20"/>
  <c r="AP563" i="20"/>
  <c r="AI563" i="20"/>
  <c r="Z563" i="20"/>
  <c r="AF559" i="20"/>
  <c r="AC559" i="20"/>
  <c r="AL559" i="20"/>
  <c r="Y559" i="20"/>
  <c r="AP559" i="20"/>
  <c r="AA559" i="20"/>
  <c r="AE555" i="20"/>
  <c r="AB555" i="20"/>
  <c r="Y555" i="20"/>
  <c r="Z555" i="20"/>
  <c r="AL555" i="20"/>
  <c r="AH555" i="20"/>
  <c r="AN555" i="20"/>
  <c r="AP555" i="20"/>
  <c r="AK555" i="20"/>
  <c r="AA555" i="20"/>
  <c r="AP546" i="20"/>
  <c r="Z546" i="20"/>
  <c r="AA546" i="20"/>
  <c r="AC546" i="20"/>
  <c r="AN546" i="20"/>
  <c r="AB546" i="20"/>
  <c r="AD546" i="20"/>
  <c r="AJ546" i="20"/>
  <c r="AF546" i="20"/>
  <c r="AH546" i="20"/>
  <c r="AE546" i="20"/>
  <c r="AK546" i="20"/>
  <c r="Y546" i="20"/>
  <c r="AG545" i="20"/>
  <c r="AJ545" i="20"/>
  <c r="AB545" i="20"/>
  <c r="Y545" i="20"/>
  <c r="AD545" i="20"/>
  <c r="AI545" i="20"/>
  <c r="AP545" i="20"/>
  <c r="AC545" i="20"/>
  <c r="AN545" i="20"/>
  <c r="AE545" i="20"/>
  <c r="AH545" i="20"/>
  <c r="Z545" i="20"/>
  <c r="Y543" i="20"/>
  <c r="AC543" i="20"/>
  <c r="AH543" i="20"/>
  <c r="AJ543" i="20"/>
  <c r="AI543" i="20"/>
  <c r="AN543" i="20"/>
  <c r="AK543" i="20"/>
  <c r="AA543" i="20"/>
  <c r="AG543" i="20"/>
  <c r="Z543" i="20"/>
  <c r="AL543" i="20"/>
  <c r="AB543" i="20"/>
  <c r="AD543" i="20"/>
  <c r="AE543" i="20"/>
  <c r="AL535" i="20"/>
  <c r="Y535" i="20"/>
  <c r="AA535" i="20"/>
  <c r="AG535" i="20"/>
  <c r="AJ535" i="20"/>
  <c r="AH535" i="20"/>
  <c r="AN535" i="20"/>
  <c r="AD535" i="20"/>
  <c r="AK535" i="20"/>
  <c r="AI535" i="20"/>
  <c r="AG530" i="20"/>
  <c r="AB530" i="20"/>
  <c r="AF530" i="20"/>
  <c r="AJ530" i="20"/>
  <c r="AE530" i="20"/>
  <c r="AK530" i="20"/>
  <c r="AA530" i="20"/>
  <c r="AC530" i="20"/>
  <c r="Z530" i="20"/>
  <c r="AH530" i="20"/>
  <c r="AL530" i="20"/>
  <c r="AD530" i="20"/>
  <c r="Y530" i="20"/>
  <c r="AI530" i="20"/>
  <c r="AO530" i="20"/>
  <c r="AJ527" i="20"/>
  <c r="Y527" i="20"/>
  <c r="AF527" i="20"/>
  <c r="AC527" i="20"/>
  <c r="AH527" i="20"/>
  <c r="AL527" i="20"/>
  <c r="AI527" i="20"/>
  <c r="AA527" i="20"/>
  <c r="AE527" i="20"/>
  <c r="Z527" i="20"/>
  <c r="AJ523" i="20"/>
  <c r="Y523" i="20"/>
  <c r="AH523" i="20"/>
  <c r="AN523" i="20"/>
  <c r="AL523" i="20"/>
  <c r="AK523" i="20"/>
  <c r="AB523" i="20"/>
  <c r="AA523" i="20"/>
  <c r="AI523" i="20"/>
  <c r="AP523" i="20"/>
  <c r="AD523" i="20"/>
  <c r="AO523" i="20"/>
  <c r="AF523" i="20"/>
  <c r="AE523" i="20"/>
  <c r="AC523" i="20"/>
  <c r="AJ539" i="20"/>
  <c r="AC539" i="20"/>
  <c r="AB539" i="20"/>
  <c r="AN539" i="20"/>
  <c r="AA539" i="20"/>
  <c r="AL539" i="20"/>
  <c r="AG539" i="20"/>
  <c r="AE539" i="20"/>
  <c r="AO539" i="20"/>
  <c r="AH539" i="20"/>
  <c r="AD539" i="20"/>
  <c r="AK539" i="20"/>
  <c r="Z539" i="20"/>
  <c r="AP539" i="20"/>
  <c r="AL518" i="20"/>
  <c r="AG518" i="20"/>
  <c r="Z518" i="20"/>
  <c r="AF518" i="20"/>
  <c r="AK518" i="20"/>
  <c r="AD518" i="20"/>
  <c r="Y518" i="20"/>
  <c r="AN518" i="20"/>
  <c r="AI518" i="20"/>
  <c r="AA518" i="20"/>
  <c r="AE518" i="20"/>
  <c r="AO518" i="20"/>
  <c r="AH518" i="20"/>
  <c r="AB518" i="20"/>
  <c r="AI514" i="20"/>
  <c r="AC514" i="20"/>
  <c r="AE514" i="20"/>
  <c r="AH514" i="20"/>
  <c r="AL514" i="20"/>
  <c r="AF514" i="20"/>
  <c r="AN514" i="20"/>
  <c r="AO514" i="20"/>
  <c r="AK514" i="20"/>
  <c r="AP514" i="20"/>
  <c r="AD514" i="20"/>
  <c r="AD510" i="20"/>
  <c r="AB510" i="20"/>
  <c r="Z510" i="20"/>
  <c r="AG510" i="20"/>
  <c r="AL510" i="20"/>
  <c r="AN510" i="20"/>
  <c r="AA510" i="20"/>
  <c r="AC510" i="20"/>
  <c r="AF510" i="20"/>
  <c r="AP510" i="20"/>
  <c r="AH510" i="20"/>
  <c r="AK510" i="20"/>
  <c r="AE510" i="20"/>
  <c r="Y510" i="20"/>
  <c r="AJ510" i="20"/>
  <c r="AI510" i="20"/>
  <c r="AC507" i="20"/>
  <c r="AJ507" i="20"/>
  <c r="AF507" i="20"/>
  <c r="AI507" i="20"/>
  <c r="Y507" i="20"/>
  <c r="AA507" i="20"/>
  <c r="AG507" i="20"/>
  <c r="Z507" i="20"/>
  <c r="AH507" i="20"/>
  <c r="AN507" i="20"/>
  <c r="AK507" i="20"/>
  <c r="AB507" i="20"/>
  <c r="AN568" i="20"/>
  <c r="AF568" i="20"/>
  <c r="AB568" i="20"/>
  <c r="Z568" i="20"/>
  <c r="AC568" i="20"/>
  <c r="AH568" i="20"/>
  <c r="AK568" i="20"/>
  <c r="AA568" i="20"/>
  <c r="AL568" i="20"/>
  <c r="AE568" i="20"/>
  <c r="AJ568" i="20"/>
  <c r="Y568" i="20"/>
  <c r="AN503" i="20"/>
  <c r="AG503" i="20"/>
  <c r="AJ503" i="20"/>
  <c r="AK503" i="20"/>
  <c r="AA503" i="20"/>
  <c r="AE503" i="20"/>
  <c r="AB503" i="20"/>
  <c r="AC503" i="20"/>
  <c r="AL503" i="20"/>
  <c r="Y503" i="20"/>
  <c r="AI503" i="20"/>
  <c r="AB499" i="20"/>
  <c r="AD499" i="20"/>
  <c r="AG499" i="20"/>
  <c r="AA499" i="20"/>
  <c r="Y499" i="20"/>
  <c r="AC499" i="20"/>
  <c r="AF499" i="20"/>
  <c r="AL499" i="20"/>
  <c r="Z499" i="20"/>
  <c r="AH499" i="20"/>
  <c r="AO499" i="20"/>
  <c r="AN499" i="20"/>
  <c r="AK499" i="20"/>
  <c r="AP499" i="20"/>
  <c r="AJ499" i="20"/>
  <c r="Z495" i="20"/>
  <c r="AF495" i="20"/>
  <c r="Y495" i="20"/>
  <c r="AB495" i="20"/>
  <c r="AC495" i="20"/>
  <c r="AG495" i="20"/>
  <c r="AL495" i="20"/>
  <c r="AD495" i="20"/>
  <c r="AE495" i="20"/>
  <c r="AO495" i="20"/>
  <c r="AK495" i="20"/>
  <c r="AH491" i="20"/>
  <c r="AL491" i="20"/>
  <c r="Y491" i="20"/>
  <c r="AJ491" i="20"/>
  <c r="AB491" i="20"/>
  <c r="AK491" i="20"/>
  <c r="AI491" i="20"/>
  <c r="AC491" i="20"/>
  <c r="Z491" i="20"/>
  <c r="AO491" i="20"/>
  <c r="AD491" i="20"/>
  <c r="AN491" i="20"/>
  <c r="AF491" i="20"/>
  <c r="AA491" i="20"/>
  <c r="AG491" i="20"/>
  <c r="AI487" i="20"/>
  <c r="AF487" i="20"/>
  <c r="Z487" i="20"/>
  <c r="AH487" i="20"/>
  <c r="AE487" i="20"/>
  <c r="Y487" i="20"/>
  <c r="AL487" i="20"/>
  <c r="AA487" i="20"/>
  <c r="AB487" i="20"/>
  <c r="AD487" i="20"/>
  <c r="AC487" i="20"/>
  <c r="AN487" i="20"/>
  <c r="AJ487" i="20"/>
  <c r="AG487" i="20"/>
  <c r="AJ483" i="20"/>
  <c r="AH483" i="20"/>
  <c r="AB483" i="20"/>
  <c r="AF483" i="20"/>
  <c r="AN483" i="20"/>
  <c r="AG483" i="20"/>
  <c r="AA483" i="20"/>
  <c r="AL483" i="20"/>
  <c r="AC483" i="20"/>
  <c r="AD483" i="20"/>
  <c r="AI483" i="20"/>
  <c r="AO483" i="20"/>
  <c r="AJ479" i="20"/>
  <c r="AA479" i="20"/>
  <c r="Y479" i="20"/>
  <c r="AK479" i="20"/>
  <c r="AN479" i="20"/>
  <c r="AL479" i="20"/>
  <c r="AB479" i="20"/>
  <c r="AC479" i="20"/>
  <c r="AH479" i="20"/>
  <c r="AG479" i="20"/>
  <c r="AI479" i="20"/>
  <c r="AP479" i="20"/>
  <c r="AE479" i="20"/>
  <c r="AD479" i="20"/>
  <c r="Z475" i="20"/>
  <c r="AB475" i="20"/>
  <c r="AH475" i="20"/>
  <c r="AA475" i="20"/>
  <c r="Y475" i="20"/>
  <c r="AF475" i="20"/>
  <c r="AE475" i="20"/>
  <c r="AJ475" i="20"/>
  <c r="AP475" i="20"/>
  <c r="AC475" i="20"/>
  <c r="AK475" i="20"/>
  <c r="I26" i="86" s="1"/>
  <c r="AL475" i="20"/>
  <c r="Z470" i="20"/>
  <c r="AN470" i="20"/>
  <c r="AD470" i="20"/>
  <c r="AG470" i="20"/>
  <c r="AA470" i="20"/>
  <c r="AK470" i="20"/>
  <c r="AI470" i="20"/>
  <c r="AJ470" i="20"/>
  <c r="AO470" i="20"/>
  <c r="AC470" i="20"/>
  <c r="AF470" i="20"/>
  <c r="AB470" i="20"/>
  <c r="AE470" i="20"/>
  <c r="AB467" i="20"/>
  <c r="AL467" i="20"/>
  <c r="AC467" i="20"/>
  <c r="Y467" i="20"/>
  <c r="AI467" i="20"/>
  <c r="AJ467" i="20"/>
  <c r="AE467" i="20"/>
  <c r="AD467" i="20"/>
  <c r="Z467" i="20"/>
  <c r="AN463" i="20"/>
  <c r="AI463" i="20"/>
  <c r="AH463" i="20"/>
  <c r="AE463" i="20"/>
  <c r="AC463" i="20"/>
  <c r="Y463" i="20"/>
  <c r="AF463" i="20"/>
  <c r="AO463" i="20"/>
  <c r="AG463" i="20"/>
  <c r="AB463" i="20"/>
  <c r="AL463" i="20"/>
  <c r="AD463" i="20"/>
  <c r="Z463" i="20"/>
  <c r="AP463" i="20"/>
  <c r="AO459" i="20"/>
  <c r="AA459" i="20"/>
  <c r="AN459" i="20"/>
  <c r="AB459" i="20"/>
  <c r="Y459" i="20"/>
  <c r="AK459" i="20"/>
  <c r="AD459" i="20"/>
  <c r="AJ459" i="20"/>
  <c r="AH459" i="20"/>
  <c r="AE459" i="20"/>
  <c r="Z459" i="20"/>
  <c r="AP459" i="20"/>
  <c r="AC459" i="20"/>
  <c r="AL459" i="20"/>
  <c r="AF459" i="20"/>
  <c r="AI459" i="20"/>
  <c r="AG459" i="20"/>
  <c r="Z454" i="20"/>
  <c r="AL454" i="20"/>
  <c r="AC454" i="20"/>
  <c r="Y454" i="20"/>
  <c r="AB454" i="20"/>
  <c r="AG454" i="20"/>
  <c r="AE454" i="20"/>
  <c r="AO454" i="20"/>
  <c r="AA454" i="20"/>
  <c r="AI454" i="20"/>
  <c r="AP454" i="20"/>
  <c r="AC451" i="20"/>
  <c r="AA451" i="20"/>
  <c r="AD451" i="20"/>
  <c r="AN451" i="20"/>
  <c r="AJ451" i="20"/>
  <c r="AG451" i="20"/>
  <c r="AL451" i="20"/>
  <c r="Z451" i="20"/>
  <c r="AE451" i="20"/>
  <c r="AB451" i="20"/>
  <c r="AK451" i="20"/>
  <c r="AI451" i="20"/>
  <c r="AH451" i="20"/>
  <c r="Z447" i="20"/>
  <c r="AA447" i="20"/>
  <c r="AJ447" i="20"/>
  <c r="AN447" i="20"/>
  <c r="AK447" i="20"/>
  <c r="AD447" i="20"/>
  <c r="AL447" i="20"/>
  <c r="AE447" i="20"/>
  <c r="AO447" i="20"/>
  <c r="AI447" i="20"/>
  <c r="AP447" i="20"/>
  <c r="AH447" i="20"/>
  <c r="AG447" i="20"/>
  <c r="AK443" i="20"/>
  <c r="AB443" i="20"/>
  <c r="AA443" i="20"/>
  <c r="AH443" i="20"/>
  <c r="AI443" i="20"/>
  <c r="AF443" i="20"/>
  <c r="AG443" i="20"/>
  <c r="AC443" i="20"/>
  <c r="AE443" i="20"/>
  <c r="AO443" i="20"/>
  <c r="AN443" i="20"/>
  <c r="AD443" i="20"/>
  <c r="AP443" i="20"/>
  <c r="AL443" i="20"/>
  <c r="Z443" i="20"/>
  <c r="AB439" i="20"/>
  <c r="AL439" i="20"/>
  <c r="AE439" i="20"/>
  <c r="AJ439" i="20"/>
  <c r="Y439" i="20"/>
  <c r="AI439" i="20"/>
  <c r="AA439" i="20"/>
  <c r="AC439" i="20"/>
  <c r="AP439" i="20"/>
  <c r="AH439" i="20"/>
  <c r="AD439" i="20"/>
  <c r="AO435" i="20"/>
  <c r="AK435" i="20"/>
  <c r="Z435" i="20"/>
  <c r="AL435" i="20"/>
  <c r="AD435" i="20"/>
  <c r="AE435" i="20"/>
  <c r="AB435" i="20"/>
  <c r="AG435" i="20"/>
  <c r="AA435" i="20"/>
  <c r="AC435" i="20"/>
  <c r="AP435" i="20"/>
  <c r="Y435" i="20"/>
  <c r="AJ435" i="20"/>
  <c r="AH435" i="20"/>
  <c r="AI435" i="20"/>
  <c r="AN435" i="20"/>
  <c r="Y431" i="20"/>
  <c r="AC431" i="20"/>
  <c r="AA431" i="20"/>
  <c r="AD431" i="20"/>
  <c r="AB431" i="20"/>
  <c r="AE431" i="20"/>
  <c r="AG431" i="20"/>
  <c r="Z431" i="20"/>
  <c r="AL431" i="20"/>
  <c r="AH431" i="20"/>
  <c r="AP431" i="20"/>
  <c r="AE427" i="20"/>
  <c r="AD427" i="20"/>
  <c r="AB427" i="20"/>
  <c r="AF427" i="20"/>
  <c r="AI427" i="20"/>
  <c r="AN427" i="20"/>
  <c r="Y427" i="20"/>
  <c r="AP427" i="20"/>
  <c r="Z422" i="20"/>
  <c r="AK422" i="20"/>
  <c r="AG422" i="20"/>
  <c r="AP422" i="20"/>
  <c r="AF419" i="20"/>
  <c r="AG419" i="20"/>
  <c r="Y419" i="20"/>
  <c r="AD419" i="20"/>
  <c r="AH419" i="20"/>
  <c r="AP419" i="20"/>
  <c r="AE419" i="20"/>
  <c r="AO419" i="20"/>
  <c r="AI419" i="20"/>
  <c r="AK419" i="20"/>
  <c r="AJ419" i="20"/>
  <c r="Y413" i="20"/>
  <c r="AH413" i="20"/>
  <c r="AB413" i="20"/>
  <c r="AJ413" i="20"/>
  <c r="AL413" i="20"/>
  <c r="AG413" i="20"/>
  <c r="AA411" i="20"/>
  <c r="AI411" i="20"/>
  <c r="AL411" i="20"/>
  <c r="Z411" i="20"/>
  <c r="AP411" i="20"/>
  <c r="AH411" i="20"/>
  <c r="AO411" i="20"/>
  <c r="Z404" i="20"/>
  <c r="AG404" i="20"/>
  <c r="AL404" i="20"/>
  <c r="AI404" i="20"/>
  <c r="AK404" i="20"/>
  <c r="AL403" i="20"/>
  <c r="AF403" i="20"/>
  <c r="AG403" i="20"/>
  <c r="AD403" i="20"/>
  <c r="Z403" i="20"/>
  <c r="AN403" i="20"/>
  <c r="Y403" i="20"/>
  <c r="AC403" i="20"/>
  <c r="AJ403" i="20"/>
  <c r="AO403" i="20"/>
  <c r="AA398" i="20"/>
  <c r="AF398" i="20"/>
  <c r="AL398" i="20"/>
  <c r="AG398" i="20"/>
  <c r="AD398" i="20"/>
  <c r="AC398" i="20"/>
  <c r="Z398" i="20"/>
  <c r="AP398" i="20"/>
  <c r="AE398" i="20"/>
  <c r="AO395" i="20"/>
  <c r="AB395" i="20"/>
  <c r="AC395" i="20"/>
  <c r="AH395" i="20"/>
  <c r="AN395" i="20"/>
  <c r="AG395" i="20"/>
  <c r="AF395" i="20"/>
  <c r="AK395" i="20"/>
  <c r="AD395" i="20"/>
  <c r="Z395" i="20"/>
  <c r="AL395" i="20"/>
  <c r="AP395" i="20"/>
  <c r="AA395" i="20"/>
  <c r="AE395" i="20"/>
  <c r="AA391" i="20"/>
  <c r="AG391" i="20"/>
  <c r="AF391" i="20"/>
  <c r="AB391" i="20"/>
  <c r="Y391" i="20"/>
  <c r="AL391" i="20"/>
  <c r="AH391" i="20"/>
  <c r="AN391" i="20"/>
  <c r="AO391" i="20"/>
  <c r="AE391" i="20"/>
  <c r="AK391" i="20"/>
  <c r="AC391" i="20"/>
  <c r="AJ391" i="20"/>
  <c r="AK387" i="20"/>
  <c r="AE387" i="20"/>
  <c r="AC387" i="20"/>
  <c r="AF387" i="20"/>
  <c r="Y387" i="20"/>
  <c r="AD387" i="20"/>
  <c r="AL387" i="20"/>
  <c r="Z387" i="20"/>
  <c r="AG387" i="20"/>
  <c r="AP387" i="20"/>
  <c r="AJ387" i="20"/>
  <c r="AH387" i="20"/>
  <c r="AA387" i="20"/>
  <c r="AN387" i="20"/>
  <c r="Z383" i="20"/>
  <c r="AI383" i="20"/>
  <c r="AE383" i="20"/>
  <c r="AL383" i="20"/>
  <c r="AJ383" i="20"/>
  <c r="AD383" i="20"/>
  <c r="AN383" i="20"/>
  <c r="AA383" i="20"/>
  <c r="AG383" i="20"/>
  <c r="AO383" i="20"/>
  <c r="Y383" i="20"/>
  <c r="AN379" i="20"/>
  <c r="AB379" i="20"/>
  <c r="AA379" i="20"/>
  <c r="AK379" i="20"/>
  <c r="AH379" i="20"/>
  <c r="AI379" i="20"/>
  <c r="Z379" i="20"/>
  <c r="AE379" i="20"/>
  <c r="AL379" i="20"/>
  <c r="AP379" i="20"/>
  <c r="AJ379" i="20"/>
  <c r="AC379" i="20"/>
  <c r="AD379" i="20"/>
  <c r="Y379" i="20"/>
  <c r="AF379" i="20"/>
  <c r="AO379" i="20"/>
  <c r="Z375" i="20"/>
  <c r="AK375" i="20"/>
  <c r="AE375" i="20"/>
  <c r="AH375" i="20"/>
  <c r="AF375" i="20"/>
  <c r="AN375" i="20"/>
  <c r="AC375" i="20"/>
  <c r="AJ375" i="20"/>
  <c r="AP375" i="20"/>
  <c r="Y375" i="20"/>
  <c r="AK371" i="20"/>
  <c r="AH371" i="20"/>
  <c r="AN371" i="20"/>
  <c r="Y371" i="20"/>
  <c r="AD371" i="20"/>
  <c r="AG371" i="20"/>
  <c r="Z371" i="20"/>
  <c r="AE371" i="20"/>
  <c r="AI371" i="20"/>
  <c r="AJ371" i="20"/>
  <c r="AA371" i="20"/>
  <c r="AF371" i="20"/>
  <c r="AL371" i="20"/>
  <c r="AB367" i="20"/>
  <c r="AD367" i="20"/>
  <c r="AG367" i="20"/>
  <c r="Z367" i="20"/>
  <c r="AA367" i="20"/>
  <c r="AF367" i="20"/>
  <c r="AO367" i="20"/>
  <c r="AN367" i="20"/>
  <c r="AP367" i="20"/>
  <c r="AK367" i="20"/>
  <c r="AC367" i="20"/>
  <c r="Y367" i="20"/>
  <c r="AL363" i="20"/>
  <c r="AN363" i="20"/>
  <c r="AG363" i="20"/>
  <c r="Y363" i="20"/>
  <c r="AJ363" i="20"/>
  <c r="AD363" i="20"/>
  <c r="Z363" i="20"/>
  <c r="AE363" i="20"/>
  <c r="AB363" i="20"/>
  <c r="AI363" i="20"/>
  <c r="AF363" i="20"/>
  <c r="AK363" i="20"/>
  <c r="AA363" i="20"/>
  <c r="AP363" i="20"/>
  <c r="AC360" i="20"/>
  <c r="AI360" i="20"/>
  <c r="AG360" i="20"/>
  <c r="AA360" i="20"/>
  <c r="AL360" i="20"/>
  <c r="AD360" i="20"/>
  <c r="AE360" i="20"/>
  <c r="AJ360" i="20"/>
  <c r="AF360" i="20"/>
  <c r="AK360" i="20"/>
  <c r="AF356" i="20"/>
  <c r="AC356" i="20"/>
  <c r="Y356" i="20"/>
  <c r="AK356" i="20"/>
  <c r="AL356" i="20"/>
  <c r="AB356" i="20"/>
  <c r="AI356" i="20"/>
  <c r="AN356" i="20"/>
  <c r="AE356" i="20"/>
  <c r="AG356" i="20"/>
  <c r="AH356" i="20"/>
  <c r="AE352" i="20"/>
  <c r="AK352" i="20"/>
  <c r="AL352" i="20"/>
  <c r="AN352" i="20"/>
  <c r="AD352" i="20"/>
  <c r="AG352" i="20"/>
  <c r="AA352" i="20"/>
  <c r="AJ352" i="20"/>
  <c r="AF352" i="20"/>
  <c r="Z352" i="20"/>
  <c r="AH352" i="20"/>
  <c r="AC352" i="20"/>
  <c r="AO348" i="20"/>
  <c r="AP348" i="20"/>
  <c r="AN348" i="20"/>
  <c r="AD348" i="20"/>
  <c r="AK348" i="20"/>
  <c r="AL348" i="20"/>
  <c r="AC348" i="20"/>
  <c r="AB348" i="20"/>
  <c r="Y348" i="20"/>
  <c r="AE348" i="20"/>
  <c r="AG348" i="20"/>
  <c r="AF348" i="20"/>
  <c r="Z348" i="20"/>
  <c r="AN344" i="20"/>
  <c r="AA344" i="20"/>
  <c r="AG344" i="20"/>
  <c r="AF344" i="20"/>
  <c r="AE344" i="20"/>
  <c r="AC344" i="20"/>
  <c r="Y344" i="20"/>
  <c r="AD344" i="20"/>
  <c r="Z344" i="20"/>
  <c r="AL344" i="20"/>
  <c r="AI344" i="20"/>
  <c r="AO340" i="20"/>
  <c r="AP340" i="20"/>
  <c r="AE340" i="20"/>
  <c r="AI340" i="20"/>
  <c r="AC340" i="20"/>
  <c r="AB340" i="20"/>
  <c r="AN340" i="20"/>
  <c r="AD340" i="20"/>
  <c r="AG340" i="20"/>
  <c r="AF340" i="20"/>
  <c r="Y340" i="20"/>
  <c r="Z340" i="20"/>
  <c r="AH340" i="20"/>
  <c r="AI336" i="20"/>
  <c r="AN336" i="20"/>
  <c r="AE336" i="20"/>
  <c r="AB336" i="20"/>
  <c r="AG336" i="20"/>
  <c r="AJ336" i="20"/>
  <c r="Z336" i="20"/>
  <c r="AH336" i="20"/>
  <c r="AF336" i="20"/>
  <c r="AC336" i="20"/>
  <c r="Y336" i="20"/>
  <c r="AD336" i="20"/>
  <c r="AN332" i="20"/>
  <c r="AA332" i="20"/>
  <c r="AL332" i="20"/>
  <c r="AJ332" i="20"/>
  <c r="AF332" i="20"/>
  <c r="AB332" i="20"/>
  <c r="AH332" i="20"/>
  <c r="AD332" i="20"/>
  <c r="AG332" i="20"/>
  <c r="Y332" i="20"/>
  <c r="AI332" i="20"/>
  <c r="AJ328" i="20"/>
  <c r="AK328" i="20"/>
  <c r="AB328" i="20"/>
  <c r="AI328" i="20"/>
  <c r="AA328" i="20"/>
  <c r="AG328" i="20"/>
  <c r="AC328" i="20"/>
  <c r="AL328" i="20"/>
  <c r="AF328" i="20"/>
  <c r="Z328" i="20"/>
  <c r="AH328" i="20"/>
  <c r="Y328" i="20"/>
  <c r="AN324" i="20"/>
  <c r="AC324" i="20"/>
  <c r="AB324" i="20"/>
  <c r="AE324" i="20"/>
  <c r="AI324" i="20"/>
  <c r="AF324" i="20"/>
  <c r="AH324" i="20"/>
  <c r="AK324" i="20"/>
  <c r="AD324" i="20"/>
  <c r="AJ324" i="20"/>
  <c r="Z324" i="20"/>
  <c r="AN320" i="20"/>
  <c r="AJ320" i="20"/>
  <c r="AE320" i="20"/>
  <c r="AL320" i="20"/>
  <c r="AH320" i="20"/>
  <c r="AG320" i="20"/>
  <c r="Z320" i="20"/>
  <c r="AI320" i="20"/>
  <c r="AB320" i="20"/>
  <c r="AD320" i="20"/>
  <c r="AF320" i="20"/>
  <c r="AK320" i="20"/>
  <c r="AP316" i="20"/>
  <c r="AO316" i="20"/>
  <c r="AA316" i="20"/>
  <c r="AJ316" i="20"/>
  <c r="AF316" i="20"/>
  <c r="AE316" i="20"/>
  <c r="AH316" i="20"/>
  <c r="AL316" i="20"/>
  <c r="AC316" i="20"/>
  <c r="AN316" i="20"/>
  <c r="AD316" i="20"/>
  <c r="AB316" i="20"/>
  <c r="AK316" i="20"/>
  <c r="AP312" i="20"/>
  <c r="AN312" i="20"/>
  <c r="Y312" i="20"/>
  <c r="AC312" i="20"/>
  <c r="AE312" i="20"/>
  <c r="AK312" i="20"/>
  <c r="AI312" i="20"/>
  <c r="AH312" i="20"/>
  <c r="AA312" i="20"/>
  <c r="AD312" i="20"/>
  <c r="AJ312" i="20"/>
  <c r="AF312" i="20"/>
  <c r="AB312" i="20"/>
  <c r="AF308" i="20"/>
  <c r="AG308" i="20"/>
  <c r="AE308" i="20"/>
  <c r="AD308" i="20"/>
  <c r="AI308" i="20"/>
  <c r="AC308" i="20"/>
  <c r="AJ308" i="20"/>
  <c r="AN308" i="20"/>
  <c r="Z308" i="20"/>
  <c r="AG295" i="20"/>
  <c r="AH295" i="20"/>
  <c r="AF295" i="20"/>
  <c r="Y295" i="20"/>
  <c r="AK295" i="20"/>
  <c r="AB295" i="20"/>
  <c r="AN295" i="20"/>
  <c r="AD295" i="20"/>
  <c r="AA295" i="20"/>
  <c r="AL295" i="20"/>
  <c r="AJ295" i="20"/>
  <c r="AN301" i="20"/>
  <c r="AC301" i="20"/>
  <c r="AL301" i="20"/>
  <c r="AF301" i="20"/>
  <c r="AE301" i="20"/>
  <c r="AG301" i="20"/>
  <c r="AA301" i="20"/>
  <c r="AH301" i="20"/>
  <c r="AI301" i="20"/>
  <c r="AJ301" i="20"/>
  <c r="AD301" i="20"/>
  <c r="AF297" i="20"/>
  <c r="AN297" i="20"/>
  <c r="AE297" i="20"/>
  <c r="AD297" i="20"/>
  <c r="AJ297" i="20"/>
  <c r="AL297" i="20"/>
  <c r="AK297" i="20"/>
  <c r="AB297" i="20"/>
  <c r="AA297" i="20"/>
  <c r="AH297" i="20"/>
  <c r="Z297" i="20"/>
  <c r="AI297" i="20"/>
  <c r="AC297" i="20"/>
  <c r="AO287" i="20"/>
  <c r="AP287" i="20"/>
  <c r="AG287" i="20"/>
  <c r="AA287" i="20"/>
  <c r="AL287" i="20"/>
  <c r="AJ287" i="20"/>
  <c r="Y287" i="20"/>
  <c r="AK287" i="20"/>
  <c r="AF287" i="20"/>
  <c r="AN287" i="20"/>
  <c r="AC287" i="20"/>
  <c r="AE287" i="20"/>
  <c r="Z287" i="20"/>
  <c r="AI287" i="20"/>
  <c r="AA94" i="20"/>
  <c r="AE94" i="20"/>
  <c r="AN1161" i="20"/>
  <c r="Y1161" i="20"/>
  <c r="AB1157" i="20"/>
  <c r="AP1157" i="20"/>
  <c r="AA1157" i="20"/>
  <c r="Y1157" i="20"/>
  <c r="AL1157" i="20"/>
  <c r="Z1157" i="20"/>
  <c r="AB1153" i="20"/>
  <c r="AA1153" i="20"/>
  <c r="AI1153" i="20"/>
  <c r="Y1149" i="20"/>
  <c r="AH1149" i="20"/>
  <c r="AE1149" i="20"/>
  <c r="AG1149" i="20"/>
  <c r="AH1145" i="20"/>
  <c r="AC1145" i="20"/>
  <c r="AF1165" i="20"/>
  <c r="AJ1165" i="20"/>
  <c r="Z1165" i="20"/>
  <c r="AH1165" i="20"/>
  <c r="AH1169" i="20"/>
  <c r="AJ1169" i="20"/>
  <c r="AI1169" i="20"/>
  <c r="AB1169" i="20"/>
  <c r="AO1173" i="20"/>
  <c r="AC1173" i="20"/>
  <c r="AA1173" i="20"/>
  <c r="AF1173" i="20"/>
  <c r="AN1173" i="20"/>
  <c r="AH1173" i="20"/>
  <c r="AG1173" i="20"/>
  <c r="Z1177" i="20"/>
  <c r="AC1177" i="20"/>
  <c r="Y1177" i="20"/>
  <c r="AD1181" i="20"/>
  <c r="AE1181" i="20"/>
  <c r="AH1185" i="20"/>
  <c r="AN1185" i="20"/>
  <c r="AA1185" i="20"/>
  <c r="Z1185" i="20"/>
  <c r="Z1189" i="20"/>
  <c r="Y1189" i="20"/>
  <c r="AE1189" i="20"/>
  <c r="AF1189" i="20"/>
  <c r="AL1189" i="20"/>
  <c r="AF1193" i="20"/>
  <c r="AA1193" i="20"/>
  <c r="AB1193" i="20"/>
  <c r="AN1197" i="20"/>
  <c r="AC1197" i="20"/>
  <c r="AF1197" i="20"/>
  <c r="AG1201" i="20"/>
  <c r="AH1201" i="20"/>
  <c r="AD1201" i="20"/>
  <c r="AL1201" i="20"/>
  <c r="AE1201" i="20"/>
  <c r="AK1205" i="20"/>
  <c r="AB1205" i="20"/>
  <c r="AH1205" i="20"/>
  <c r="Z1209" i="20"/>
  <c r="AH1209" i="20"/>
  <c r="AO1209" i="20"/>
  <c r="AJ1209" i="20"/>
  <c r="AF1209" i="20"/>
  <c r="AD1213" i="20"/>
  <c r="AJ1213" i="20"/>
  <c r="AA1213" i="20"/>
  <c r="AC1213" i="20"/>
  <c r="AE1217" i="20"/>
  <c r="AI1217" i="20"/>
  <c r="AL1217" i="20"/>
  <c r="AG1221" i="20"/>
  <c r="AJ1221" i="20"/>
  <c r="AB1221" i="20"/>
  <c r="AF1221" i="20"/>
  <c r="AI1225" i="20"/>
  <c r="AC1225" i="20"/>
  <c r="AL1229" i="20"/>
  <c r="AD1229" i="20"/>
  <c r="AC1229" i="20"/>
  <c r="Z1229" i="20"/>
  <c r="AE1233" i="20"/>
  <c r="AG1233" i="20"/>
  <c r="AN1237" i="20"/>
  <c r="AL1237" i="20"/>
  <c r="Y1237" i="20"/>
  <c r="AA1237" i="20"/>
  <c r="AJ1237" i="20"/>
  <c r="Z1237" i="20"/>
  <c r="Z1241" i="20"/>
  <c r="AO1241" i="20"/>
  <c r="AI1241" i="20"/>
  <c r="AH1241" i="20"/>
  <c r="AE1241" i="20"/>
  <c r="AN1245" i="20"/>
  <c r="AI1245" i="20"/>
  <c r="AJ1245" i="20"/>
  <c r="AN1249" i="20"/>
  <c r="AC1249" i="20"/>
  <c r="AI1249" i="20"/>
  <c r="AA1249" i="20"/>
  <c r="AG1253" i="20"/>
  <c r="AN1253" i="20"/>
  <c r="Z1253" i="20"/>
  <c r="AH1253" i="20"/>
  <c r="AB1253" i="20"/>
  <c r="AJ1257" i="20"/>
  <c r="AF1257" i="20"/>
  <c r="Z1257" i="20"/>
  <c r="AA1261" i="20"/>
  <c r="AJ1261" i="20"/>
  <c r="AN1261" i="20"/>
  <c r="AK1261" i="20"/>
  <c r="AP1265" i="20"/>
  <c r="AL1265" i="20"/>
  <c r="AB1269" i="20"/>
  <c r="AA1269" i="20"/>
  <c r="AF1269" i="20"/>
  <c r="AG1269" i="20"/>
  <c r="AE1269" i="20"/>
  <c r="AL1273" i="20"/>
  <c r="AC1273" i="20"/>
  <c r="AJ1273" i="20"/>
  <c r="AK1277" i="20"/>
  <c r="AB1277" i="20"/>
  <c r="Z1277" i="20"/>
  <c r="AC1277" i="20"/>
  <c r="AD1277" i="20"/>
  <c r="AE1277" i="20"/>
  <c r="AO1281" i="20"/>
  <c r="AB1281" i="20"/>
  <c r="AL1281" i="20"/>
  <c r="AH1285" i="20"/>
  <c r="AD1285" i="20"/>
  <c r="AK1285" i="20"/>
  <c r="AC1285" i="20"/>
  <c r="AG1289" i="20"/>
  <c r="AC1289" i="20"/>
  <c r="AJ1289" i="20"/>
  <c r="Z1289" i="20"/>
  <c r="AN1293" i="20"/>
  <c r="Z1293" i="20"/>
  <c r="AA1293" i="20"/>
  <c r="Y1293" i="20"/>
  <c r="AE1293" i="20"/>
  <c r="AK1293" i="20"/>
  <c r="AB1293" i="20"/>
  <c r="AO1297" i="20"/>
  <c r="AG1297" i="20"/>
  <c r="AL1297" i="20"/>
  <c r="AJ1301" i="20"/>
  <c r="Y1301" i="20"/>
  <c r="AB1301" i="20"/>
  <c r="AN1305" i="20"/>
  <c r="AB1305" i="20"/>
  <c r="AA1309" i="20"/>
  <c r="AJ1309" i="20"/>
  <c r="AI1309" i="20"/>
  <c r="AE1309" i="20"/>
  <c r="AN1313" i="20"/>
  <c r="AK1313" i="20"/>
  <c r="AB1313" i="20"/>
  <c r="Z1313" i="20"/>
  <c r="AA1317" i="20"/>
  <c r="AG1317" i="20"/>
  <c r="AJ1321" i="20"/>
  <c r="Y1321" i="20"/>
  <c r="AN1321" i="20"/>
  <c r="AL1321" i="20"/>
  <c r="Z1321" i="20"/>
  <c r="AI1325" i="20"/>
  <c r="Y1325" i="20"/>
  <c r="AF1325" i="20"/>
  <c r="AG1325" i="20"/>
  <c r="AE1329" i="20"/>
  <c r="AF1329" i="20"/>
  <c r="AH1333" i="20"/>
  <c r="AD1333" i="20"/>
  <c r="Z1333" i="20"/>
  <c r="AC1333" i="20"/>
  <c r="AL1337" i="20"/>
  <c r="AG1337" i="20"/>
  <c r="AB1337" i="20"/>
  <c r="AP1337" i="20"/>
  <c r="Y75" i="20"/>
  <c r="AD75" i="20"/>
  <c r="AB75" i="20"/>
  <c r="AA888" i="20"/>
  <c r="Z888" i="20"/>
  <c r="AN140" i="20"/>
  <c r="Y140" i="20"/>
  <c r="AN47" i="20"/>
  <c r="Z47" i="20"/>
  <c r="Z1161" i="20"/>
  <c r="AI1181" i="20"/>
  <c r="AK1217" i="20"/>
  <c r="AB1317" i="20"/>
  <c r="AA1285" i="20"/>
  <c r="AH1261" i="20"/>
  <c r="AI1213" i="20"/>
  <c r="AJ1149" i="20"/>
  <c r="AN1297" i="20"/>
  <c r="AA1313" i="20"/>
  <c r="AF1265" i="20"/>
  <c r="AA1209" i="20"/>
  <c r="AL1161" i="20"/>
  <c r="AF1205" i="20"/>
  <c r="AI1289" i="20"/>
  <c r="AC1181" i="20"/>
  <c r="AP1305" i="20"/>
  <c r="AE1237" i="20"/>
  <c r="Z1142" i="20"/>
  <c r="AK1142" i="20"/>
  <c r="AJ1142" i="20"/>
  <c r="AN1142" i="20"/>
  <c r="AJ1138" i="20"/>
  <c r="AA1138" i="20"/>
  <c r="AK1138" i="20"/>
  <c r="AB1138" i="20"/>
  <c r="AI1138" i="20"/>
  <c r="AG1134" i="20"/>
  <c r="AF1134" i="20"/>
  <c r="AN1134" i="20"/>
  <c r="AK1134" i="20"/>
  <c r="AE1134" i="20"/>
  <c r="AI1134" i="20"/>
  <c r="AF1130" i="20"/>
  <c r="AI1130" i="20"/>
  <c r="AG1130" i="20"/>
  <c r="AL1130" i="20"/>
  <c r="AJ1130" i="20"/>
  <c r="AO1130" i="20"/>
  <c r="AK1126" i="20"/>
  <c r="AJ1126" i="20"/>
  <c r="AG1126" i="20"/>
  <c r="AH1126" i="20"/>
  <c r="AA1122" i="20"/>
  <c r="AH1122" i="20"/>
  <c r="AB1122" i="20"/>
  <c r="AA1118" i="20"/>
  <c r="AO1118" i="20"/>
  <c r="AB1118" i="20"/>
  <c r="AI1118" i="20"/>
  <c r="AH1114" i="20"/>
  <c r="AD1114" i="20"/>
  <c r="AP1114" i="20"/>
  <c r="AA1114" i="20"/>
  <c r="Z1114" i="20"/>
  <c r="AG1114" i="20"/>
  <c r="Z39" i="20"/>
  <c r="AO39" i="20"/>
  <c r="AJ39" i="20"/>
  <c r="AA39" i="20"/>
  <c r="AD31" i="20"/>
  <c r="AK31" i="20"/>
  <c r="AF31" i="20"/>
  <c r="AE31" i="20"/>
  <c r="AI31" i="20"/>
  <c r="AH8" i="20"/>
  <c r="AB8" i="20"/>
  <c r="Z8" i="20"/>
  <c r="AJ8" i="20"/>
  <c r="AD8" i="20"/>
  <c r="Y13" i="20"/>
  <c r="AI13" i="20"/>
  <c r="AG13" i="20"/>
  <c r="AD13" i="20"/>
  <c r="AB13" i="20"/>
  <c r="AJ18" i="20"/>
  <c r="AG18" i="20"/>
  <c r="Y18" i="20"/>
  <c r="AD18" i="20"/>
  <c r="AA33" i="20"/>
  <c r="AB33" i="20"/>
  <c r="Y33" i="20"/>
  <c r="AF33" i="20"/>
  <c r="AE33" i="20"/>
  <c r="AE24" i="20"/>
  <c r="AF24" i="20"/>
  <c r="AO24" i="20"/>
  <c r="AH24" i="20"/>
  <c r="AB1110" i="20"/>
  <c r="AI1110" i="20"/>
  <c r="AD1110" i="20"/>
  <c r="AL1110" i="20"/>
  <c r="AG1110" i="20"/>
  <c r="AN1104" i="20"/>
  <c r="AB1104" i="20"/>
  <c r="AA1104" i="20"/>
  <c r="AI1104" i="20"/>
  <c r="AG1104" i="20"/>
  <c r="AH1102" i="20"/>
  <c r="AB1102" i="20"/>
  <c r="AG1102" i="20"/>
  <c r="AC1102" i="20"/>
  <c r="AN1102" i="20"/>
  <c r="AG1098" i="20"/>
  <c r="AE1098" i="20"/>
  <c r="AA1098" i="20"/>
  <c r="AF1098" i="20"/>
  <c r="AC1095" i="20"/>
  <c r="AI1095" i="20"/>
  <c r="AB1095" i="20"/>
  <c r="AL1095" i="20"/>
  <c r="Z1095" i="20"/>
  <c r="AC1090" i="20"/>
  <c r="AH1090" i="20"/>
  <c r="AG1090" i="20"/>
  <c r="AI1090" i="20"/>
  <c r="AL1090" i="20"/>
  <c r="AN1090" i="20"/>
  <c r="AK1090" i="20"/>
  <c r="Y1085" i="20"/>
  <c r="AK1085" i="20"/>
  <c r="Z1085" i="20"/>
  <c r="AB1085" i="20"/>
  <c r="AE1085" i="20"/>
  <c r="AI1082" i="20"/>
  <c r="Y1082" i="20"/>
  <c r="AL1082" i="20"/>
  <c r="AH1082" i="20"/>
  <c r="AC1082" i="20"/>
  <c r="AN1078" i="20"/>
  <c r="AK1078" i="20"/>
  <c r="AB1078" i="20"/>
  <c r="AL1078" i="20"/>
  <c r="AF1078" i="20"/>
  <c r="AJ1074" i="20"/>
  <c r="Z1074" i="20"/>
  <c r="AH1074" i="20"/>
  <c r="AA1074" i="20"/>
  <c r="AK1074" i="20"/>
  <c r="AD1070" i="20"/>
  <c r="AN1070" i="20"/>
  <c r="Y1070" i="20"/>
  <c r="AF1070" i="20"/>
  <c r="AG1070" i="20"/>
  <c r="AF1066" i="20"/>
  <c r="Z1066" i="20"/>
  <c r="AK1066" i="20"/>
  <c r="AB1066" i="20"/>
  <c r="AD1066" i="20"/>
  <c r="Y1058" i="20"/>
  <c r="AB1058" i="20"/>
  <c r="AC1058" i="20"/>
  <c r="AE1058" i="20"/>
  <c r="AJ1058" i="20"/>
  <c r="AK1058" i="20"/>
  <c r="AF1058" i="20"/>
  <c r="AF1054" i="20"/>
  <c r="AA1054" i="20"/>
  <c r="AH1054" i="20"/>
  <c r="AD1054" i="20"/>
  <c r="AI1054" i="20"/>
  <c r="AB1054" i="20"/>
  <c r="AN1054" i="20"/>
  <c r="AG1060" i="20"/>
  <c r="Z1060" i="20"/>
  <c r="AH1060" i="20"/>
  <c r="AF1060" i="20"/>
  <c r="AB1060" i="20"/>
  <c r="AA1047" i="20"/>
  <c r="Z1047" i="20"/>
  <c r="AE1047" i="20"/>
  <c r="AF1047" i="20"/>
  <c r="AG1047" i="20"/>
  <c r="AF1031" i="20"/>
  <c r="AK1031" i="20"/>
  <c r="Y1031" i="20"/>
  <c r="AN1031" i="20"/>
  <c r="AG1031" i="20"/>
  <c r="Z1031" i="20"/>
  <c r="AH1022" i="20"/>
  <c r="AA1022" i="20"/>
  <c r="AF1022" i="20"/>
  <c r="Y1022" i="20"/>
  <c r="AN1022" i="20"/>
  <c r="AG1022" i="20"/>
  <c r="AA1017" i="20"/>
  <c r="AL1017" i="20"/>
  <c r="AB1017" i="20"/>
  <c r="AF1017" i="20"/>
  <c r="Y1017" i="20"/>
  <c r="AJ1017" i="20"/>
  <c r="Z1017" i="20"/>
  <c r="AN1014" i="20"/>
  <c r="Y1014" i="20"/>
  <c r="Z1014" i="20"/>
  <c r="AB1014" i="20"/>
  <c r="AJ1010" i="20"/>
  <c r="AN1010" i="20"/>
  <c r="AF1010" i="20"/>
  <c r="AE1010" i="20"/>
  <c r="Y1010" i="20"/>
  <c r="AA1010" i="20"/>
  <c r="AK1005" i="20"/>
  <c r="AB1005" i="20"/>
  <c r="AD1005" i="20"/>
  <c r="AI1005" i="20"/>
  <c r="AE1005" i="20"/>
  <c r="AL1005" i="20"/>
  <c r="AC1005" i="20"/>
  <c r="AO999" i="20"/>
  <c r="Z999" i="20"/>
  <c r="AN999" i="20"/>
  <c r="AC999" i="20"/>
  <c r="AD999" i="20"/>
  <c r="AF999" i="20"/>
  <c r="AF996" i="20"/>
  <c r="AD996" i="20"/>
  <c r="AE996" i="20"/>
  <c r="AL996" i="20"/>
  <c r="AK996" i="20"/>
  <c r="AD994" i="20"/>
  <c r="AK994" i="20"/>
  <c r="Z994" i="20"/>
  <c r="AE994" i="20"/>
  <c r="AB994" i="20"/>
  <c r="AF994" i="20"/>
  <c r="AK988" i="20"/>
  <c r="AN988" i="20"/>
  <c r="AE988" i="20"/>
  <c r="AL988" i="20"/>
  <c r="Z988" i="20"/>
  <c r="AF988" i="20"/>
  <c r="AG988" i="20"/>
  <c r="AA988" i="20"/>
  <c r="AO984" i="20"/>
  <c r="AD984" i="20"/>
  <c r="AK984" i="20"/>
  <c r="AI984" i="20"/>
  <c r="Z984" i="20"/>
  <c r="AF984" i="20"/>
  <c r="AL984" i="20"/>
  <c r="AC980" i="20"/>
  <c r="AH980" i="20"/>
  <c r="AG980" i="20"/>
  <c r="AI980" i="20"/>
  <c r="Z980" i="20"/>
  <c r="AK980" i="20"/>
  <c r="AL980" i="20"/>
  <c r="AD980" i="20"/>
  <c r="AD974" i="20"/>
  <c r="AC974" i="20"/>
  <c r="AB974" i="20"/>
  <c r="Z974" i="20"/>
  <c r="AN974" i="20"/>
  <c r="AA974" i="20"/>
  <c r="AC970" i="20"/>
  <c r="AL970" i="20"/>
  <c r="AH970" i="20"/>
  <c r="AE970" i="20"/>
  <c r="Y970" i="20"/>
  <c r="AA970" i="20"/>
  <c r="AD970" i="20"/>
  <c r="Z970" i="20"/>
  <c r="AL966" i="20"/>
  <c r="AB966" i="20"/>
  <c r="AF966" i="20"/>
  <c r="AK966" i="20"/>
  <c r="AJ957" i="20"/>
  <c r="AA957" i="20"/>
  <c r="AI957" i="20"/>
  <c r="Z957" i="20"/>
  <c r="Y957" i="20"/>
  <c r="AD957" i="20"/>
  <c r="AD954" i="20"/>
  <c r="Y954" i="20"/>
  <c r="AE954" i="20"/>
  <c r="AA954" i="20"/>
  <c r="AB954" i="20"/>
  <c r="AF954" i="20"/>
  <c r="AG950" i="20"/>
  <c r="AN950" i="20"/>
  <c r="AK950" i="20"/>
  <c r="AL950" i="20"/>
  <c r="AJ946" i="20"/>
  <c r="AE946" i="20"/>
  <c r="Z946" i="20"/>
  <c r="AA946" i="20"/>
  <c r="AH946" i="20"/>
  <c r="AB946" i="20"/>
  <c r="AD946" i="20"/>
  <c r="AC946" i="20"/>
  <c r="AE940" i="20"/>
  <c r="AD940" i="20"/>
  <c r="Z940" i="20"/>
  <c r="AN940" i="20"/>
  <c r="AJ940" i="20"/>
  <c r="AF940" i="20"/>
  <c r="Y940" i="20"/>
  <c r="AN937" i="20"/>
  <c r="AF937" i="20"/>
  <c r="AD937" i="20"/>
  <c r="AL937" i="20"/>
  <c r="AJ937" i="20"/>
  <c r="AG934" i="20"/>
  <c r="AK934" i="20"/>
  <c r="AJ934" i="20"/>
  <c r="AN934" i="20"/>
  <c r="AO934" i="20"/>
  <c r="AC934" i="20"/>
  <c r="AH934" i="20"/>
  <c r="Y934" i="20"/>
  <c r="AK930" i="20"/>
  <c r="AG930" i="20"/>
  <c r="AC930" i="20"/>
  <c r="AB930" i="20"/>
  <c r="Z930" i="20"/>
  <c r="AL926" i="20"/>
  <c r="AJ926" i="20"/>
  <c r="AF926" i="20"/>
  <c r="AK926" i="20"/>
  <c r="AE926" i="20"/>
  <c r="AG926" i="20"/>
  <c r="AB926" i="20"/>
  <c r="AP921" i="20"/>
  <c r="AK921" i="20"/>
  <c r="AN921" i="20"/>
  <c r="Z921" i="20"/>
  <c r="Y921" i="20"/>
  <c r="AD921" i="20"/>
  <c r="AG921" i="20"/>
  <c r="AP917" i="20"/>
  <c r="AE917" i="20"/>
  <c r="Z917" i="20"/>
  <c r="AD917" i="20"/>
  <c r="Y917" i="20"/>
  <c r="AH917" i="20"/>
  <c r="AC913" i="20"/>
  <c r="AE913" i="20"/>
  <c r="AG913" i="20"/>
  <c r="AH913" i="20"/>
  <c r="AJ913" i="20"/>
  <c r="AL913" i="20"/>
  <c r="AL909" i="20"/>
  <c r="AE909" i="20"/>
  <c r="Y909" i="20"/>
  <c r="AA909" i="20"/>
  <c r="Z909" i="20"/>
  <c r="AH909" i="20"/>
  <c r="AO905" i="20"/>
  <c r="Y905" i="20"/>
  <c r="AF905" i="20"/>
  <c r="AL905" i="20"/>
  <c r="AD905" i="20"/>
  <c r="AA905" i="20"/>
  <c r="AC905" i="20"/>
  <c r="Z900" i="20"/>
  <c r="AI900" i="20"/>
  <c r="AJ900" i="20"/>
  <c r="AD900" i="20"/>
  <c r="AA900" i="20"/>
  <c r="AF896" i="20"/>
  <c r="AO896" i="20"/>
  <c r="AN896" i="20"/>
  <c r="AA896" i="20"/>
  <c r="AK896" i="20"/>
  <c r="AD896" i="20"/>
  <c r="AO892" i="20"/>
  <c r="AF892" i="20"/>
  <c r="AK892" i="20"/>
  <c r="AE892" i="20"/>
  <c r="Z892" i="20"/>
  <c r="AJ892" i="20"/>
  <c r="AL892" i="20"/>
  <c r="AG892" i="20"/>
  <c r="AP882" i="20"/>
  <c r="AA882" i="20"/>
  <c r="AH882" i="20"/>
  <c r="AC882" i="20"/>
  <c r="AN882" i="20"/>
  <c r="AF882" i="20"/>
  <c r="AB882" i="20"/>
  <c r="AG882" i="20"/>
  <c r="AP878" i="20"/>
  <c r="AN878" i="20"/>
  <c r="AB878" i="20"/>
  <c r="AJ878" i="20"/>
  <c r="Y878" i="20"/>
  <c r="AE878" i="20"/>
  <c r="AK878" i="20"/>
  <c r="AA871" i="20"/>
  <c r="AJ871" i="20"/>
  <c r="AF871" i="20"/>
  <c r="AE871" i="20"/>
  <c r="Z871" i="20"/>
  <c r="AK871" i="20"/>
  <c r="AL867" i="20"/>
  <c r="AA867" i="20"/>
  <c r="AB867" i="20"/>
  <c r="AI867" i="20"/>
  <c r="AC867" i="20"/>
  <c r="AL863" i="20"/>
  <c r="AJ863" i="20"/>
  <c r="AF863" i="20"/>
  <c r="AA863" i="20"/>
  <c r="AD863" i="20"/>
  <c r="Y863" i="20"/>
  <c r="AK863" i="20"/>
  <c r="AD858" i="20"/>
  <c r="AE858" i="20"/>
  <c r="Y858" i="20"/>
  <c r="AI858" i="20"/>
  <c r="AK858" i="20"/>
  <c r="AL858" i="20"/>
  <c r="AJ858" i="20"/>
  <c r="AA858" i="20"/>
  <c r="AP852" i="20"/>
  <c r="AI852" i="20"/>
  <c r="AF852" i="20"/>
  <c r="AG852" i="20"/>
  <c r="AJ852" i="20"/>
  <c r="AC852" i="20"/>
  <c r="AI844" i="20"/>
  <c r="AB844" i="20"/>
  <c r="AN844" i="20"/>
  <c r="AE844" i="20"/>
  <c r="Z844" i="20"/>
  <c r="AO846" i="20"/>
  <c r="AB846" i="20"/>
  <c r="AI846" i="20"/>
  <c r="AF846" i="20"/>
  <c r="AK846" i="20"/>
  <c r="AL831" i="20"/>
  <c r="AA831" i="20"/>
  <c r="AJ831" i="20"/>
  <c r="AC831" i="20"/>
  <c r="AN831" i="20"/>
  <c r="AF831" i="20"/>
  <c r="AG841" i="20"/>
  <c r="AH841" i="20"/>
  <c r="AA841" i="20"/>
  <c r="AK841" i="20"/>
  <c r="AF841" i="20"/>
  <c r="AI841" i="20"/>
  <c r="AB841" i="20"/>
  <c r="Y841" i="20"/>
  <c r="AH838" i="20"/>
  <c r="AB838" i="20"/>
  <c r="AA838" i="20"/>
  <c r="AE838" i="20"/>
  <c r="Y838" i="20"/>
  <c r="AC838" i="20"/>
  <c r="AG838" i="20"/>
  <c r="AD836" i="20"/>
  <c r="AC836" i="20"/>
  <c r="AF836" i="20"/>
  <c r="AL836" i="20"/>
  <c r="AD823" i="20"/>
  <c r="AJ823" i="20"/>
  <c r="AE823" i="20"/>
  <c r="AN823" i="20"/>
  <c r="AI823" i="20"/>
  <c r="AO819" i="20"/>
  <c r="AI819" i="20"/>
  <c r="Z819" i="20"/>
  <c r="AJ819" i="20"/>
  <c r="AL819" i="20"/>
  <c r="Y819" i="20"/>
  <c r="AF819" i="20"/>
  <c r="AC819" i="20"/>
  <c r="AH819" i="20"/>
  <c r="AO817" i="20"/>
  <c r="Z817" i="20"/>
  <c r="AC817" i="20"/>
  <c r="AK817" i="20"/>
  <c r="AJ817" i="20"/>
  <c r="AG817" i="20"/>
  <c r="AD817" i="20"/>
  <c r="AH817" i="20"/>
  <c r="AP813" i="20"/>
  <c r="Y813" i="20"/>
  <c r="AH813" i="20"/>
  <c r="AF813" i="20"/>
  <c r="AG813" i="20"/>
  <c r="AJ813" i="20"/>
  <c r="AE813" i="20"/>
  <c r="AD813" i="20"/>
  <c r="AO809" i="20"/>
  <c r="AK809" i="20"/>
  <c r="AF809" i="20"/>
  <c r="AA809" i="20"/>
  <c r="AI809" i="20"/>
  <c r="Y809" i="20"/>
  <c r="AG804" i="20"/>
  <c r="AC804" i="20"/>
  <c r="AF804" i="20"/>
  <c r="AP800" i="20"/>
  <c r="AE800" i="20"/>
  <c r="AL800" i="20"/>
  <c r="AI800" i="20"/>
  <c r="AJ800" i="20"/>
  <c r="AN797" i="20"/>
  <c r="AA797" i="20"/>
  <c r="AG797" i="20"/>
  <c r="AJ793" i="20"/>
  <c r="AI793" i="20"/>
  <c r="Z793" i="20"/>
  <c r="AE793" i="20"/>
  <c r="AP787" i="20"/>
  <c r="AN787" i="20"/>
  <c r="AI787" i="20"/>
  <c r="AG787" i="20"/>
  <c r="Z787" i="20"/>
  <c r="AL784" i="20"/>
  <c r="AK784" i="20"/>
  <c r="Z784" i="20"/>
  <c r="AJ784" i="20"/>
  <c r="AF780" i="20"/>
  <c r="AE780" i="20"/>
  <c r="Z780" i="20"/>
  <c r="AA776" i="20"/>
  <c r="AH776" i="20"/>
  <c r="AG776" i="20"/>
  <c r="Y776" i="20"/>
  <c r="Z772" i="20"/>
  <c r="AK772" i="20"/>
  <c r="AL772" i="20"/>
  <c r="AD772" i="20"/>
  <c r="AI766" i="20"/>
  <c r="Y766" i="20"/>
  <c r="AK766" i="20"/>
  <c r="AO763" i="20"/>
  <c r="AI763" i="20"/>
  <c r="Y763" i="20"/>
  <c r="AJ763" i="20"/>
  <c r="Z760" i="20"/>
  <c r="AE760" i="20"/>
  <c r="AA760" i="20"/>
  <c r="AD760" i="20"/>
  <c r="AG751" i="20"/>
  <c r="AC751" i="20"/>
  <c r="AK751" i="20"/>
  <c r="AE754" i="20"/>
  <c r="Z754" i="20"/>
  <c r="Y754" i="20"/>
  <c r="AI754" i="20"/>
  <c r="AL747" i="20"/>
  <c r="AD747" i="20"/>
  <c r="AA747" i="20"/>
  <c r="AK747" i="20"/>
  <c r="Y739" i="20"/>
  <c r="AK739" i="20"/>
  <c r="AC739" i="20"/>
  <c r="AB739" i="20"/>
  <c r="AP742" i="20"/>
  <c r="AB742" i="20"/>
  <c r="AC742" i="20"/>
  <c r="AD742" i="20"/>
  <c r="AK742" i="20"/>
  <c r="AP736" i="20"/>
  <c r="AB736" i="20"/>
  <c r="AH736" i="20"/>
  <c r="AC736" i="20"/>
  <c r="AP731" i="20"/>
  <c r="AI731" i="20"/>
  <c r="AJ731" i="20"/>
  <c r="AK731" i="20"/>
  <c r="AB731" i="20"/>
  <c r="AP728" i="20"/>
  <c r="AB728" i="20"/>
  <c r="AI728" i="20"/>
  <c r="AE728" i="20"/>
  <c r="AL728" i="20"/>
  <c r="AA724" i="20"/>
  <c r="AG724" i="20"/>
  <c r="AJ724" i="20"/>
  <c r="AH724" i="20"/>
  <c r="AL720" i="20"/>
  <c r="AA720" i="20"/>
  <c r="AB720" i="20"/>
  <c r="Y720" i="20"/>
  <c r="AH716" i="20"/>
  <c r="AA716" i="20"/>
  <c r="AF716" i="20"/>
  <c r="Y716" i="20"/>
  <c r="AC716" i="20"/>
  <c r="AK716" i="20"/>
  <c r="AG716" i="20"/>
  <c r="Z716" i="20"/>
  <c r="AH710" i="20"/>
  <c r="AF710" i="20"/>
  <c r="AC710" i="20"/>
  <c r="AK710" i="20"/>
  <c r="AJ710" i="20"/>
  <c r="AL710" i="20"/>
  <c r="AL708" i="20"/>
  <c r="AK708" i="20"/>
  <c r="Y708" i="20"/>
  <c r="AN708" i="20"/>
  <c r="AF708" i="20"/>
  <c r="AJ708" i="20"/>
  <c r="AL705" i="20"/>
  <c r="AE705" i="20"/>
  <c r="AK705" i="20"/>
  <c r="AN705" i="20"/>
  <c r="AJ705" i="20"/>
  <c r="AK701" i="20"/>
  <c r="AA701" i="20"/>
  <c r="Z701" i="20"/>
  <c r="Y701" i="20"/>
  <c r="AN701" i="20"/>
  <c r="AE701" i="20"/>
  <c r="AE697" i="20"/>
  <c r="AJ697" i="20"/>
  <c r="Z697" i="20"/>
  <c r="AD697" i="20"/>
  <c r="AK697" i="20"/>
  <c r="AF697" i="20"/>
  <c r="AH694" i="20"/>
  <c r="AF694" i="20"/>
  <c r="Z694" i="20"/>
  <c r="AE694" i="20"/>
  <c r="AN694" i="20"/>
  <c r="AA694" i="20"/>
  <c r="AL694" i="20"/>
  <c r="AH688" i="20"/>
  <c r="AJ688" i="20"/>
  <c r="AE688" i="20"/>
  <c r="AI688" i="20"/>
  <c r="Y688" i="20"/>
  <c r="AE685" i="20"/>
  <c r="AA685" i="20"/>
  <c r="AJ685" i="20"/>
  <c r="AN685" i="20"/>
  <c r="AC685" i="20"/>
  <c r="Z681" i="20"/>
  <c r="AN681" i="20"/>
  <c r="AK681" i="20"/>
  <c r="AA681" i="20"/>
  <c r="AJ681" i="20"/>
  <c r="AD681" i="20"/>
  <c r="AF681" i="20"/>
  <c r="AO677" i="20"/>
  <c r="AF677" i="20"/>
  <c r="AA677" i="20"/>
  <c r="AH677" i="20"/>
  <c r="Y677" i="20"/>
  <c r="AG677" i="20"/>
  <c r="AB677" i="20"/>
  <c r="AJ673" i="20"/>
  <c r="Y673" i="20"/>
  <c r="AG673" i="20"/>
  <c r="AE673" i="20"/>
  <c r="AK673" i="20"/>
  <c r="AN673" i="20"/>
  <c r="AB673" i="20"/>
  <c r="AE669" i="20"/>
  <c r="AI669" i="20"/>
  <c r="AB669" i="20"/>
  <c r="AH669" i="20"/>
  <c r="AA669" i="20"/>
  <c r="AB665" i="20"/>
  <c r="AN665" i="20"/>
  <c r="AK665" i="20"/>
  <c r="AI665" i="20"/>
  <c r="AG665" i="20"/>
  <c r="AD665" i="20"/>
  <c r="AH665" i="20"/>
  <c r="AO661" i="20"/>
  <c r="AC661" i="20"/>
  <c r="AL661" i="20"/>
  <c r="AB661" i="20"/>
  <c r="AA661" i="20"/>
  <c r="Z661" i="20"/>
  <c r="Y661" i="20"/>
  <c r="AF661" i="20"/>
  <c r="AH661" i="20"/>
  <c r="AA658" i="20"/>
  <c r="AD658" i="20"/>
  <c r="AN658" i="20"/>
  <c r="AH656" i="20"/>
  <c r="AE656" i="20"/>
  <c r="AB656" i="20"/>
  <c r="AC656" i="20"/>
  <c r="AD656" i="20"/>
  <c r="AN656" i="20"/>
  <c r="AG656" i="20"/>
  <c r="AP648" i="20"/>
  <c r="AG648" i="20"/>
  <c r="AI648" i="20"/>
  <c r="AE648" i="20"/>
  <c r="AD648" i="20"/>
  <c r="Z645" i="20"/>
  <c r="AB645" i="20"/>
  <c r="AJ645" i="20"/>
  <c r="AF645" i="20"/>
  <c r="AF641" i="20"/>
  <c r="AA641" i="20"/>
  <c r="AH641" i="20"/>
  <c r="AI641" i="20"/>
  <c r="AJ641" i="20"/>
  <c r="AN641" i="20"/>
  <c r="AB641" i="20"/>
  <c r="AN637" i="20"/>
  <c r="AB637" i="20"/>
  <c r="AI637" i="20"/>
  <c r="Z637" i="20"/>
  <c r="AF637" i="20"/>
  <c r="AO633" i="20"/>
  <c r="AA633" i="20"/>
  <c r="AD633" i="20"/>
  <c r="AC633" i="20"/>
  <c r="AB633" i="20"/>
  <c r="AO629" i="20"/>
  <c r="AE629" i="20"/>
  <c r="AL629" i="20"/>
  <c r="AK629" i="20"/>
  <c r="AG629" i="20"/>
  <c r="AA629" i="20"/>
  <c r="AK625" i="20"/>
  <c r="AD625" i="20"/>
  <c r="AG625" i="20"/>
  <c r="AH625" i="20"/>
  <c r="AJ625" i="20"/>
  <c r="AN625" i="20"/>
  <c r="Y625" i="20"/>
  <c r="AD621" i="20"/>
  <c r="AE621" i="20"/>
  <c r="Y621" i="20"/>
  <c r="AF621" i="20"/>
  <c r="AB621" i="20"/>
  <c r="AL616" i="20"/>
  <c r="AI616" i="20"/>
  <c r="AJ616" i="20"/>
  <c r="AE616" i="20"/>
  <c r="AG616" i="20"/>
  <c r="AF612" i="20"/>
  <c r="AI612" i="20"/>
  <c r="Y612" i="20"/>
  <c r="AA612" i="20"/>
  <c r="AL612" i="20"/>
  <c r="AC608" i="20"/>
  <c r="Z608" i="20"/>
  <c r="AA608" i="20"/>
  <c r="AG608" i="20"/>
  <c r="Y608" i="20"/>
  <c r="AB608" i="20"/>
  <c r="AO605" i="20"/>
  <c r="AC605" i="20"/>
  <c r="AD605" i="20"/>
  <c r="AB605" i="20"/>
  <c r="AL605" i="20"/>
  <c r="Z605" i="20"/>
  <c r="AN605" i="20"/>
  <c r="AN600" i="20"/>
  <c r="AL600" i="20"/>
  <c r="AG600" i="20"/>
  <c r="AH600" i="20"/>
  <c r="Z600" i="20"/>
  <c r="AJ600" i="20"/>
  <c r="AO597" i="20"/>
  <c r="AG597" i="20"/>
  <c r="AC597" i="20"/>
  <c r="Y597" i="20"/>
  <c r="AN597" i="20"/>
  <c r="AD597" i="20"/>
  <c r="Z597" i="20"/>
  <c r="AH597" i="20"/>
  <c r="AB593" i="20"/>
  <c r="Z593" i="20"/>
  <c r="AE593" i="20"/>
  <c r="AA593" i="20"/>
  <c r="Y593" i="20"/>
  <c r="AN589" i="20"/>
  <c r="AF589" i="20"/>
  <c r="AA589" i="20"/>
  <c r="AH589" i="20"/>
  <c r="AK589" i="20"/>
  <c r="AL589" i="20"/>
  <c r="AG585" i="20"/>
  <c r="Z585" i="20"/>
  <c r="Y585" i="20"/>
  <c r="AL585" i="20"/>
  <c r="AN585" i="20"/>
  <c r="AB585" i="20"/>
  <c r="AI585" i="20"/>
  <c r="AA581" i="20"/>
  <c r="AJ581" i="20"/>
  <c r="AL581" i="20"/>
  <c r="AI581" i="20"/>
  <c r="AC581" i="20"/>
  <c r="Y571" i="20"/>
  <c r="AI571" i="20"/>
  <c r="AL571" i="20"/>
  <c r="AC571" i="20"/>
  <c r="AN571" i="20"/>
  <c r="AK571" i="20"/>
  <c r="AJ571" i="20"/>
  <c r="AH575" i="20"/>
  <c r="AA575" i="20"/>
  <c r="AI575" i="20"/>
  <c r="Y575" i="20"/>
  <c r="AD575" i="20"/>
  <c r="AE575" i="20"/>
  <c r="AN575" i="20"/>
  <c r="AB575" i="20"/>
  <c r="AC575" i="20"/>
  <c r="AJ575" i="20"/>
  <c r="AH565" i="20"/>
  <c r="AC565" i="20"/>
  <c r="AF565" i="20"/>
  <c r="AD565" i="20"/>
  <c r="AI565" i="20"/>
  <c r="AG565" i="20"/>
  <c r="AB565" i="20"/>
  <c r="Y561" i="20"/>
  <c r="AK561" i="20"/>
  <c r="AB561" i="20"/>
  <c r="AE561" i="20"/>
  <c r="AJ561" i="20"/>
  <c r="AF561" i="20"/>
  <c r="Z557" i="20"/>
  <c r="AI557" i="20"/>
  <c r="AE557" i="20"/>
  <c r="AH557" i="20"/>
  <c r="AK557" i="20"/>
  <c r="AJ557" i="20"/>
  <c r="AL557" i="20"/>
  <c r="AA553" i="20"/>
  <c r="AN553" i="20"/>
  <c r="Y553" i="20"/>
  <c r="AG553" i="20"/>
  <c r="AB553" i="20"/>
  <c r="Z553" i="20"/>
  <c r="AK553" i="20"/>
  <c r="AB550" i="20"/>
  <c r="AN550" i="20"/>
  <c r="AK550" i="20"/>
  <c r="Z550" i="20"/>
  <c r="AH550" i="20"/>
  <c r="AA550" i="20"/>
  <c r="AF548" i="20"/>
  <c r="AJ548" i="20"/>
  <c r="AE548" i="20"/>
  <c r="AA548" i="20"/>
  <c r="Z548" i="20"/>
  <c r="Y548" i="20"/>
  <c r="AI548" i="20"/>
  <c r="AG540" i="20"/>
  <c r="AI540" i="20"/>
  <c r="AA540" i="20"/>
  <c r="AK540" i="20"/>
  <c r="Z540" i="20"/>
  <c r="Y540" i="20"/>
  <c r="AJ540" i="20"/>
  <c r="AH540" i="20"/>
  <c r="Y532" i="20"/>
  <c r="AE532" i="20"/>
  <c r="AI532" i="20"/>
  <c r="AF532" i="20"/>
  <c r="AL532" i="20"/>
  <c r="AL528" i="20"/>
  <c r="Z528" i="20"/>
  <c r="AE528" i="20"/>
  <c r="AC528" i="20"/>
  <c r="AF528" i="20"/>
  <c r="AB528" i="20"/>
  <c r="Y528" i="20"/>
  <c r="AO528" i="20"/>
  <c r="AK528" i="20"/>
  <c r="AJ528" i="20"/>
  <c r="AB525" i="20"/>
  <c r="AC525" i="20"/>
  <c r="Y525" i="20"/>
  <c r="AI525" i="20"/>
  <c r="AJ525" i="20"/>
  <c r="AP521" i="20"/>
  <c r="Y521" i="20"/>
  <c r="AE521" i="20"/>
  <c r="Z521" i="20"/>
  <c r="AB521" i="20"/>
  <c r="AL521" i="20"/>
  <c r="AH521" i="20"/>
  <c r="AF537" i="20"/>
  <c r="AL537" i="20"/>
  <c r="AE537" i="20"/>
  <c r="AI537" i="20"/>
  <c r="Z537" i="20"/>
  <c r="AJ537" i="20"/>
  <c r="AC537" i="20"/>
  <c r="AD516" i="20"/>
  <c r="AA516" i="20"/>
  <c r="AC516" i="20"/>
  <c r="AK516" i="20"/>
  <c r="AJ516" i="20"/>
  <c r="AF516" i="20"/>
  <c r="Z516" i="20"/>
  <c r="AK512" i="20"/>
  <c r="AG512" i="20"/>
  <c r="AD512" i="20"/>
  <c r="AJ512" i="20"/>
  <c r="AI508" i="20"/>
  <c r="Z508" i="20"/>
  <c r="AK508" i="20"/>
  <c r="AJ508" i="20"/>
  <c r="AE508" i="20"/>
  <c r="AL508" i="20"/>
  <c r="AP505" i="20"/>
  <c r="AG505" i="20"/>
  <c r="AE505" i="20"/>
  <c r="AB505" i="20"/>
  <c r="AI505" i="20"/>
  <c r="AJ505" i="20"/>
  <c r="AL505" i="20"/>
  <c r="AH505" i="20"/>
  <c r="AD566" i="20"/>
  <c r="AC566" i="20"/>
  <c r="AE566" i="20"/>
  <c r="AJ566" i="20"/>
  <c r="AN566" i="20"/>
  <c r="AB566" i="20"/>
  <c r="AG566" i="20"/>
  <c r="AL501" i="20"/>
  <c r="AI501" i="20"/>
  <c r="AC501" i="20"/>
  <c r="AG501" i="20"/>
  <c r="Y501" i="20"/>
  <c r="AD501" i="20"/>
  <c r="AJ501" i="20"/>
  <c r="AN497" i="20"/>
  <c r="Z497" i="20"/>
  <c r="AB497" i="20"/>
  <c r="AK497" i="20"/>
  <c r="AD497" i="20"/>
  <c r="Y493" i="20"/>
  <c r="AG493" i="20"/>
  <c r="AN493" i="20"/>
  <c r="AL493" i="20"/>
  <c r="AD493" i="20"/>
  <c r="AP489" i="20"/>
  <c r="AN489" i="20"/>
  <c r="AB489" i="20"/>
  <c r="AC489" i="20"/>
  <c r="AA489" i="20"/>
  <c r="AG489" i="20"/>
  <c r="AI489" i="20"/>
  <c r="AH489" i="20"/>
  <c r="AJ485" i="20"/>
  <c r="AB485" i="20"/>
  <c r="AH485" i="20"/>
  <c r="AK485" i="20"/>
  <c r="AF485" i="20"/>
  <c r="AD485" i="20"/>
  <c r="AC485" i="20"/>
  <c r="Y485" i="20"/>
  <c r="AD481" i="20"/>
  <c r="AH481" i="20"/>
  <c r="Z481" i="20"/>
  <c r="AN481" i="20"/>
  <c r="AL481" i="20"/>
  <c r="AJ481" i="20"/>
  <c r="Z477" i="20"/>
  <c r="AN477" i="20"/>
  <c r="AC477" i="20"/>
  <c r="AI477" i="20"/>
  <c r="AE477" i="20"/>
  <c r="AJ477" i="20"/>
  <c r="AD477" i="20"/>
  <c r="AF477" i="20"/>
  <c r="Z473" i="20"/>
  <c r="AB473" i="20"/>
  <c r="AL473" i="20"/>
  <c r="AG473" i="20"/>
  <c r="AA469" i="20"/>
  <c r="AK469" i="20"/>
  <c r="AJ469" i="20"/>
  <c r="AN469" i="20"/>
  <c r="AC469" i="20"/>
  <c r="AL469" i="20"/>
  <c r="AH469" i="20"/>
  <c r="AP469" i="20"/>
  <c r="AJ465" i="20"/>
  <c r="AK465" i="20"/>
  <c r="AC465" i="20"/>
  <c r="Z465" i="20"/>
  <c r="AB465" i="20"/>
  <c r="AA465" i="20"/>
  <c r="AI461" i="20"/>
  <c r="AF461" i="20"/>
  <c r="AE461" i="20"/>
  <c r="AJ461" i="20"/>
  <c r="AC461" i="20"/>
  <c r="AB457" i="20"/>
  <c r="AE457" i="20"/>
  <c r="AA457" i="20"/>
  <c r="Y457" i="20"/>
  <c r="AC457" i="20"/>
  <c r="Y453" i="20"/>
  <c r="AK453" i="20"/>
  <c r="AE453" i="20"/>
  <c r="AN453" i="20"/>
  <c r="AA453" i="20"/>
  <c r="AH449" i="20"/>
  <c r="AA449" i="20"/>
  <c r="AB449" i="20"/>
  <c r="AE449" i="20"/>
  <c r="AN449" i="20"/>
  <c r="Z449" i="20"/>
  <c r="AK449" i="20"/>
  <c r="AO445" i="20"/>
  <c r="AP445" i="20"/>
  <c r="Y445" i="20"/>
  <c r="AA445" i="20"/>
  <c r="AH445" i="20"/>
  <c r="Z445" i="20"/>
  <c r="AK445" i="20"/>
  <c r="AB445" i="20"/>
  <c r="AN445" i="20"/>
  <c r="AN441" i="20"/>
  <c r="AL441" i="20"/>
  <c r="Y441" i="20"/>
  <c r="AB441" i="20"/>
  <c r="Z441" i="20"/>
  <c r="AE441" i="20"/>
  <c r="AJ441" i="20"/>
  <c r="AA441" i="20"/>
  <c r="AL437" i="20"/>
  <c r="AG437" i="20"/>
  <c r="AD437" i="20"/>
  <c r="AH437" i="20"/>
  <c r="AF437" i="20"/>
  <c r="AA433" i="20"/>
  <c r="AC433" i="20"/>
  <c r="AD433" i="20"/>
  <c r="AN433" i="20"/>
  <c r="AK433" i="20"/>
  <c r="AB433" i="20"/>
  <c r="AA430" i="20"/>
  <c r="AN430" i="20"/>
  <c r="AJ430" i="20"/>
  <c r="AH430" i="20"/>
  <c r="AD430" i="20"/>
  <c r="AF430" i="20"/>
  <c r="AI430" i="20"/>
  <c r="Y425" i="20"/>
  <c r="AN425" i="20"/>
  <c r="AC425" i="20"/>
  <c r="AH425" i="20"/>
  <c r="Z425" i="20"/>
  <c r="AK425" i="20"/>
  <c r="AJ421" i="20"/>
  <c r="AH421" i="20"/>
  <c r="AK421" i="20"/>
  <c r="AG421" i="20"/>
  <c r="AE421" i="20"/>
  <c r="AA421" i="20"/>
  <c r="AF421" i="20"/>
  <c r="Z415" i="20"/>
  <c r="AE415" i="20"/>
  <c r="AH415" i="20"/>
  <c r="AJ415" i="20"/>
  <c r="AG415" i="20"/>
  <c r="AA415" i="20"/>
  <c r="AC417" i="20"/>
  <c r="AN417" i="20"/>
  <c r="AE417" i="20"/>
  <c r="AH417" i="20"/>
  <c r="AA417" i="20"/>
  <c r="AI417" i="20"/>
  <c r="Y417" i="20"/>
  <c r="AG417" i="20"/>
  <c r="AD409" i="20"/>
  <c r="AG409" i="20"/>
  <c r="AK409" i="20"/>
  <c r="Z409" i="20"/>
  <c r="AI409" i="20"/>
  <c r="AB409" i="20"/>
  <c r="AE409" i="20"/>
  <c r="AK405" i="20"/>
  <c r="AE405" i="20"/>
  <c r="Y405" i="20"/>
  <c r="AJ405" i="20"/>
  <c r="H119" i="86" s="1"/>
  <c r="K119" i="86" s="1"/>
  <c r="AF405" i="20"/>
  <c r="AD405" i="20"/>
  <c r="AB401" i="20"/>
  <c r="AA401" i="20"/>
  <c r="AL401" i="20"/>
  <c r="AF401" i="20"/>
  <c r="AC401" i="20"/>
  <c r="AJ397" i="20"/>
  <c r="AL397" i="20"/>
  <c r="AF397" i="20"/>
  <c r="AI397" i="20"/>
  <c r="AD397" i="20"/>
  <c r="AK397" i="20"/>
  <c r="AH393" i="20"/>
  <c r="AD393" i="20"/>
  <c r="AF393" i="20"/>
  <c r="AA393" i="20"/>
  <c r="AN393" i="20"/>
  <c r="AK393" i="20"/>
  <c r="AL393" i="20"/>
  <c r="AA389" i="20"/>
  <c r="AE389" i="20"/>
  <c r="AG389" i="20"/>
  <c r="AC389" i="20"/>
  <c r="AL389" i="20"/>
  <c r="AH385" i="20"/>
  <c r="AK385" i="20"/>
  <c r="AB385" i="20"/>
  <c r="AI385" i="20"/>
  <c r="AJ385" i="20"/>
  <c r="AF385" i="20"/>
  <c r="AL385" i="20"/>
  <c r="AO381" i="20"/>
  <c r="AI381" i="20"/>
  <c r="AC381" i="20"/>
  <c r="AA381" i="20"/>
  <c r="AL381" i="20"/>
  <c r="AH381" i="20"/>
  <c r="AE381" i="20"/>
  <c r="Y381" i="20"/>
  <c r="AK377" i="20"/>
  <c r="AN377" i="20"/>
  <c r="AB377" i="20"/>
  <c r="AD377" i="20"/>
  <c r="AI377" i="20"/>
  <c r="AF377" i="20"/>
  <c r="Z377" i="20"/>
  <c r="AJ377" i="20"/>
  <c r="AO373" i="20"/>
  <c r="AL373" i="20"/>
  <c r="AD373" i="20"/>
  <c r="AC373" i="20"/>
  <c r="AJ373" i="20"/>
  <c r="AK373" i="20"/>
  <c r="Y373" i="20"/>
  <c r="AP369" i="20"/>
  <c r="AA369" i="20"/>
  <c r="AF369" i="20"/>
  <c r="AK369" i="20"/>
  <c r="Z369" i="20"/>
  <c r="AB369" i="20"/>
  <c r="AL369" i="20"/>
  <c r="AO365" i="20"/>
  <c r="AF365" i="20"/>
  <c r="AN365" i="20"/>
  <c r="AL365" i="20"/>
  <c r="AJ365" i="20"/>
  <c r="AB365" i="20"/>
  <c r="AI365" i="20"/>
  <c r="AB362" i="20"/>
  <c r="AF362" i="20"/>
  <c r="AL362" i="20"/>
  <c r="Z362" i="20"/>
  <c r="AE358" i="20"/>
  <c r="AK358" i="20"/>
  <c r="AB358" i="20"/>
  <c r="AD358" i="20"/>
  <c r="Y354" i="20"/>
  <c r="AO354" i="20"/>
  <c r="AJ354" i="20"/>
  <c r="Z350" i="20"/>
  <c r="AP350" i="20"/>
  <c r="AN350" i="20"/>
  <c r="AF350" i="20"/>
  <c r="Z346" i="20"/>
  <c r="AK346" i="20"/>
  <c r="AA346" i="20"/>
  <c r="AP346" i="20"/>
  <c r="AA342" i="20"/>
  <c r="AF342" i="20"/>
  <c r="AI342" i="20"/>
  <c r="AJ338" i="20"/>
  <c r="AI338" i="20"/>
  <c r="AH338" i="20"/>
  <c r="AK338" i="20"/>
  <c r="AB338" i="20"/>
  <c r="AN334" i="20"/>
  <c r="AC334" i="20"/>
  <c r="AF334" i="20"/>
  <c r="AG334" i="20"/>
  <c r="AP334" i="20"/>
  <c r="AA330" i="20"/>
  <c r="AL330" i="20"/>
  <c r="Y326" i="20"/>
  <c r="AO326" i="20"/>
  <c r="AB326" i="20"/>
  <c r="AK326" i="20"/>
  <c r="AE322" i="20"/>
  <c r="AB322" i="20"/>
  <c r="AF322" i="20"/>
  <c r="AH318" i="20"/>
  <c r="AA318" i="20"/>
  <c r="AN318" i="20"/>
  <c r="AC318" i="20"/>
  <c r="AI318" i="20"/>
  <c r="AA314" i="20"/>
  <c r="AJ314" i="20"/>
  <c r="AD314" i="20"/>
  <c r="AF314" i="20"/>
  <c r="AG314" i="20"/>
  <c r="AK314" i="20"/>
  <c r="AA310" i="20"/>
  <c r="AI310" i="20"/>
  <c r="AH310" i="20"/>
  <c r="AK310" i="20"/>
  <c r="AL310" i="20"/>
  <c r="AJ306" i="20"/>
  <c r="AP306" i="20"/>
  <c r="AF306" i="20"/>
  <c r="AA306" i="20"/>
  <c r="AL306" i="20"/>
  <c r="AD303" i="20"/>
  <c r="AC303" i="20"/>
  <c r="AO303" i="20"/>
  <c r="AL303" i="20"/>
  <c r="AC299" i="20"/>
  <c r="AF299" i="20"/>
  <c r="AO299" i="20"/>
  <c r="AJ299" i="20"/>
  <c r="AB293" i="20"/>
  <c r="AF293" i="20"/>
  <c r="AA293" i="20"/>
  <c r="AL293" i="20"/>
  <c r="AN293" i="20"/>
  <c r="AF289" i="20"/>
  <c r="AD289" i="20"/>
  <c r="AO289" i="20"/>
  <c r="Z289" i="20"/>
  <c r="AE289" i="20"/>
  <c r="AH289" i="20"/>
  <c r="AH269" i="20"/>
  <c r="AC269" i="20"/>
  <c r="AO211" i="20"/>
  <c r="AB211" i="20"/>
  <c r="AT884" i="20"/>
  <c r="AT1131" i="20"/>
  <c r="AT459" i="20"/>
  <c r="AT511" i="20"/>
  <c r="AT390" i="20"/>
  <c r="AT473" i="20"/>
  <c r="AT330" i="20"/>
  <c r="AT95" i="20"/>
  <c r="AT949" i="20"/>
  <c r="AT660" i="20"/>
  <c r="AT766" i="20"/>
  <c r="AT614" i="20"/>
  <c r="AT476" i="20"/>
  <c r="AT226" i="20"/>
  <c r="AT622" i="20"/>
  <c r="AJ46" i="20"/>
  <c r="AK130" i="20"/>
  <c r="AF46" i="20"/>
  <c r="AT465" i="20"/>
  <c r="AT311" i="20"/>
  <c r="AE75" i="20"/>
  <c r="AO75" i="20"/>
  <c r="AH1228" i="20"/>
  <c r="AE1180" i="20"/>
  <c r="AN1212" i="20"/>
  <c r="AG1260" i="20"/>
  <c r="AC1308" i="20"/>
  <c r="AK1328" i="20"/>
  <c r="AD1308" i="20"/>
  <c r="AE1276" i="20"/>
  <c r="AJ1248" i="20"/>
  <c r="AJ1220" i="20"/>
  <c r="AO1184" i="20"/>
  <c r="AN94" i="20"/>
  <c r="AG1228" i="20"/>
  <c r="Z322" i="20"/>
  <c r="Y358" i="20"/>
  <c r="AA354" i="20"/>
  <c r="AG350" i="20"/>
  <c r="Y342" i="20"/>
  <c r="AA338" i="20"/>
  <c r="AD334" i="20"/>
  <c r="AH326" i="20"/>
  <c r="AL318" i="20"/>
  <c r="AB310" i="20"/>
  <c r="AE306" i="20"/>
  <c r="AE303" i="20"/>
  <c r="AJ293" i="20"/>
  <c r="AK289" i="20"/>
  <c r="AL118" i="20"/>
  <c r="AH358" i="20"/>
  <c r="AI362" i="20"/>
  <c r="AH354" i="20"/>
  <c r="AT358" i="20"/>
  <c r="AO318" i="20"/>
  <c r="AD346" i="20"/>
  <c r="AG358" i="20"/>
  <c r="AD350" i="20"/>
  <c r="AK342" i="20"/>
  <c r="Z334" i="20"/>
  <c r="AG326" i="20"/>
  <c r="AH314" i="20"/>
  <c r="AJ310" i="20"/>
  <c r="Z303" i="20"/>
  <c r="AD299" i="20"/>
  <c r="AN289" i="20"/>
  <c r="AK138" i="20"/>
  <c r="AP299" i="20"/>
  <c r="AO330" i="20"/>
  <c r="AP342" i="20"/>
  <c r="AC39" i="20"/>
  <c r="AI39" i="20"/>
  <c r="AT491" i="20"/>
  <c r="AN322" i="20"/>
  <c r="AA362" i="20"/>
  <c r="AE354" i="20"/>
  <c r="AN346" i="20"/>
  <c r="AF338" i="20"/>
  <c r="AD330" i="20"/>
  <c r="AE318" i="20"/>
  <c r="AL314" i="20"/>
  <c r="AI306" i="20"/>
  <c r="AH303" i="20"/>
  <c r="AC293" i="20"/>
  <c r="AC289" i="20"/>
  <c r="AI334" i="20"/>
  <c r="AT855" i="20"/>
  <c r="AP293" i="20"/>
  <c r="Y322" i="20"/>
  <c r="AL322" i="20"/>
  <c r="AP338" i="20"/>
  <c r="AP358" i="20"/>
  <c r="AF964" i="20"/>
  <c r="Y228" i="20"/>
  <c r="AT979" i="20"/>
  <c r="AP75" i="20"/>
  <c r="AF1142" i="20"/>
  <c r="Z1130" i="20"/>
  <c r="AI346" i="20"/>
  <c r="AT626" i="20"/>
  <c r="AN342" i="20"/>
  <c r="AN358" i="20"/>
  <c r="AK1114" i="20"/>
  <c r="AJ1114" i="20"/>
  <c r="AB1126" i="20"/>
  <c r="AI1126" i="20"/>
  <c r="AL1134" i="20"/>
  <c r="AC1134" i="20"/>
  <c r="AO1134" i="20"/>
  <c r="AL1142" i="20"/>
  <c r="AP1142" i="20"/>
  <c r="AT799" i="20"/>
  <c r="AE1130" i="20"/>
  <c r="AT366" i="20"/>
  <c r="AH177" i="20"/>
  <c r="AB888" i="20"/>
  <c r="AN75" i="20"/>
  <c r="AL94" i="20"/>
  <c r="AE299" i="20"/>
  <c r="AK306" i="20"/>
  <c r="Y318" i="20"/>
  <c r="AN330" i="20"/>
  <c r="Y334" i="20"/>
  <c r="AC346" i="20"/>
  <c r="AE362" i="20"/>
  <c r="Y1118" i="20"/>
  <c r="AJ1118" i="20"/>
  <c r="AN1122" i="20"/>
  <c r="AK1122" i="20"/>
  <c r="AC1130" i="20"/>
  <c r="AB1130" i="20"/>
  <c r="AG1138" i="20"/>
  <c r="AL1138" i="20"/>
  <c r="AT779" i="20"/>
  <c r="Y1126" i="20"/>
  <c r="AT944" i="20"/>
  <c r="AF1126" i="20"/>
  <c r="AT810" i="20"/>
  <c r="AT449" i="20"/>
  <c r="AL1122" i="20"/>
  <c r="AT495" i="20"/>
  <c r="AG1118" i="20"/>
  <c r="AT785" i="20"/>
  <c r="AT651" i="20"/>
  <c r="AT480" i="20"/>
  <c r="AT714" i="20"/>
  <c r="AT1050" i="20"/>
  <c r="AP415" i="20"/>
  <c r="AT1037" i="20"/>
  <c r="AT1115" i="20"/>
  <c r="AT687" i="20"/>
  <c r="AT699" i="20"/>
  <c r="AT981" i="20"/>
  <c r="AJ31" i="20"/>
  <c r="AT1255" i="20"/>
  <c r="AB31" i="20"/>
  <c r="AG1037" i="20"/>
  <c r="AT769" i="20"/>
  <c r="AE8" i="20"/>
  <c r="AH18" i="20"/>
  <c r="AG33" i="20"/>
  <c r="AT898" i="20"/>
  <c r="Z24" i="20"/>
  <c r="AC18" i="20"/>
  <c r="AE13" i="20"/>
  <c r="AT684" i="20"/>
  <c r="AK793" i="20"/>
  <c r="AI804" i="20"/>
  <c r="AA772" i="20"/>
  <c r="AF720" i="20"/>
  <c r="AD720" i="20"/>
  <c r="AN720" i="20"/>
  <c r="AC728" i="20"/>
  <c r="AH728" i="20"/>
  <c r="Y736" i="20"/>
  <c r="AI736" i="20"/>
  <c r="AK736" i="20"/>
  <c r="AI739" i="20"/>
  <c r="AG739" i="20"/>
  <c r="AN739" i="20"/>
  <c r="AB754" i="20"/>
  <c r="AL754" i="20"/>
  <c r="AL760" i="20"/>
  <c r="AG760" i="20"/>
  <c r="AF760" i="20"/>
  <c r="AB766" i="20"/>
  <c r="AC766" i="20"/>
  <c r="AK776" i="20"/>
  <c r="AF776" i="20"/>
  <c r="Z776" i="20"/>
  <c r="AF784" i="20"/>
  <c r="AD784" i="20"/>
  <c r="AN784" i="20"/>
  <c r="AB793" i="20"/>
  <c r="AL793" i="20"/>
  <c r="AG800" i="20"/>
  <c r="Z800" i="20"/>
  <c r="AH747" i="20"/>
  <c r="AF724" i="20"/>
  <c r="AE724" i="20"/>
  <c r="AG731" i="20"/>
  <c r="AL731" i="20"/>
  <c r="AN731" i="20"/>
  <c r="AI742" i="20"/>
  <c r="AG742" i="20"/>
  <c r="AJ747" i="20"/>
  <c r="AC747" i="20"/>
  <c r="AI747" i="20"/>
  <c r="AE751" i="20"/>
  <c r="Z751" i="20"/>
  <c r="AC763" i="20"/>
  <c r="AG763" i="20"/>
  <c r="AN763" i="20"/>
  <c r="AC772" i="20"/>
  <c r="AJ772" i="20"/>
  <c r="AK780" i="20"/>
  <c r="AL780" i="20"/>
  <c r="AN780" i="20"/>
  <c r="AD787" i="20"/>
  <c r="AB787" i="20"/>
  <c r="Y797" i="20"/>
  <c r="AD797" i="20"/>
  <c r="AE797" i="20"/>
  <c r="AL804" i="20"/>
  <c r="AK804" i="20"/>
  <c r="Z512" i="20"/>
  <c r="AJ1070" i="20"/>
  <c r="Y430" i="20"/>
  <c r="AB461" i="20"/>
  <c r="Y461" i="20"/>
  <c r="AE1017" i="20"/>
  <c r="AK905" i="20"/>
  <c r="AF1082" i="20"/>
  <c r="AK1017" i="20"/>
  <c r="Y984" i="20"/>
  <c r="Z658" i="20"/>
  <c r="AF633" i="20"/>
  <c r="AG819" i="20"/>
  <c r="AF525" i="20"/>
  <c r="AK694" i="20"/>
  <c r="AE1031" i="20"/>
  <c r="Z858" i="20"/>
  <c r="AF508" i="20"/>
  <c r="AH831" i="20"/>
  <c r="AH863" i="20"/>
  <c r="AH645" i="20"/>
  <c r="AC409" i="20"/>
  <c r="AH930" i="20"/>
  <c r="AH852" i="20"/>
  <c r="AJ369" i="20"/>
  <c r="AL946" i="20"/>
  <c r="AJ629" i="20"/>
  <c r="AJ846" i="20"/>
  <c r="AI497" i="20"/>
  <c r="AL841" i="20"/>
  <c r="AJ677" i="20"/>
  <c r="AF481" i="20"/>
  <c r="AB481" i="20"/>
  <c r="AC863" i="20"/>
  <c r="AE437" i="20"/>
  <c r="AD489" i="20"/>
  <c r="AD581" i="20"/>
  <c r="Y550" i="20"/>
  <c r="Y1078" i="20"/>
  <c r="AF669" i="20"/>
  <c r="AE512" i="20"/>
  <c r="AF673" i="20"/>
  <c r="AE921" i="20"/>
  <c r="AG984" i="20"/>
  <c r="AB831" i="20"/>
  <c r="AC841" i="20"/>
  <c r="AD557" i="20"/>
  <c r="AK813" i="20"/>
  <c r="AH673" i="20"/>
  <c r="AL685" i="20"/>
  <c r="AH994" i="20"/>
  <c r="AL999" i="20"/>
  <c r="AL409" i="20"/>
  <c r="AJ882" i="20"/>
  <c r="AL1014" i="20"/>
  <c r="AJ1014" i="20"/>
  <c r="AL1047" i="20"/>
  <c r="Z485" i="20"/>
  <c r="AK365" i="20"/>
  <c r="AC365" i="20"/>
  <c r="AE369" i="20"/>
  <c r="AH373" i="20"/>
  <c r="AI373" i="20"/>
  <c r="AC377" i="20"/>
  <c r="AA377" i="20"/>
  <c r="AB381" i="20"/>
  <c r="AN381" i="20"/>
  <c r="AD385" i="20"/>
  <c r="AF389" i="20"/>
  <c r="AK389" i="20"/>
  <c r="Y393" i="20"/>
  <c r="AJ393" i="20"/>
  <c r="AC397" i="20"/>
  <c r="AN401" i="20"/>
  <c r="AG401" i="20"/>
  <c r="AC405" i="20"/>
  <c r="AL405" i="20"/>
  <c r="AA409" i="20"/>
  <c r="AK417" i="20"/>
  <c r="AB415" i="20"/>
  <c r="Z421" i="20"/>
  <c r="AD421" i="20"/>
  <c r="AE425" i="20"/>
  <c r="AB430" i="20"/>
  <c r="AL430" i="20"/>
  <c r="Y433" i="20"/>
  <c r="AG433" i="20"/>
  <c r="Y437" i="20"/>
  <c r="AH441" i="20"/>
  <c r="AG441" i="20"/>
  <c r="AD445" i="20"/>
  <c r="AJ445" i="20"/>
  <c r="AJ449" i="20"/>
  <c r="AD449" i="20"/>
  <c r="Z453" i="20"/>
  <c r="AH457" i="20"/>
  <c r="AD457" i="20"/>
  <c r="AH461" i="20"/>
  <c r="AE465" i="20"/>
  <c r="AN465" i="20"/>
  <c r="AE473" i="20"/>
  <c r="AK473" i="20"/>
  <c r="AA477" i="20"/>
  <c r="AJ489" i="20"/>
  <c r="Y489" i="20"/>
  <c r="AB493" i="20"/>
  <c r="AA493" i="20"/>
  <c r="AL497" i="20"/>
  <c r="AF497" i="20"/>
  <c r="AF501" i="20"/>
  <c r="AF566" i="20"/>
  <c r="AK566" i="20"/>
  <c r="Z505" i="20"/>
  <c r="Y508" i="20"/>
  <c r="AC512" i="20"/>
  <c r="AE516" i="20"/>
  <c r="AD537" i="20"/>
  <c r="AI521" i="20"/>
  <c r="AD521" i="20"/>
  <c r="AG525" i="20"/>
  <c r="AN528" i="20"/>
  <c r="AG532" i="20"/>
  <c r="AE540" i="20"/>
  <c r="AC540" i="20"/>
  <c r="AD548" i="20"/>
  <c r="AE550" i="20"/>
  <c r="AI550" i="20"/>
  <c r="AC553" i="20"/>
  <c r="AG561" i="20"/>
  <c r="AC561" i="20"/>
  <c r="AA565" i="20"/>
  <c r="AN565" i="20"/>
  <c r="AK575" i="20"/>
  <c r="AG571" i="20"/>
  <c r="AE581" i="20"/>
  <c r="AA585" i="20"/>
  <c r="AB589" i="20"/>
  <c r="AG589" i="20"/>
  <c r="AL593" i="20"/>
  <c r="AD593" i="20"/>
  <c r="AA597" i="20"/>
  <c r="AB597" i="20"/>
  <c r="AC600" i="20"/>
  <c r="AF605" i="20"/>
  <c r="AG605" i="20"/>
  <c r="AJ608" i="20"/>
  <c r="AD612" i="20"/>
  <c r="AE612" i="20"/>
  <c r="AF616" i="20"/>
  <c r="AK616" i="20"/>
  <c r="AI625" i="20"/>
  <c r="Y629" i="20"/>
  <c r="AI633" i="20"/>
  <c r="AN633" i="20"/>
  <c r="AD637" i="20"/>
  <c r="Z641" i="20"/>
  <c r="AN645" i="20"/>
  <c r="AJ648" i="20"/>
  <c r="AK656" i="20"/>
  <c r="AC658" i="20"/>
  <c r="AE661" i="20"/>
  <c r="AN661" i="20"/>
  <c r="AL665" i="20"/>
  <c r="AD669" i="20"/>
  <c r="AI673" i="20"/>
  <c r="Z677" i="20"/>
  <c r="AN677" i="20"/>
  <c r="AH681" i="20"/>
  <c r="AF685" i="20"/>
  <c r="AA688" i="20"/>
  <c r="Z688" i="20"/>
  <c r="AB694" i="20"/>
  <c r="AN697" i="20"/>
  <c r="AH701" i="20"/>
  <c r="AB701" i="20"/>
  <c r="AG705" i="20"/>
  <c r="AG708" i="20"/>
  <c r="AI708" i="20"/>
  <c r="AI710" i="20"/>
  <c r="AB716" i="20"/>
  <c r="AJ716" i="20"/>
  <c r="AE809" i="20"/>
  <c r="AN809" i="20"/>
  <c r="AI813" i="20"/>
  <c r="AA817" i="20"/>
  <c r="AK819" i="20"/>
  <c r="AF823" i="20"/>
  <c r="AA836" i="20"/>
  <c r="Y836" i="20"/>
  <c r="AI838" i="20"/>
  <c r="AD841" i="20"/>
  <c r="AG831" i="20"/>
  <c r="Z831" i="20"/>
  <c r="AC846" i="20"/>
  <c r="AK844" i="20"/>
  <c r="AB852" i="20"/>
  <c r="AH858" i="20"/>
  <c r="AN858" i="20"/>
  <c r="Z863" i="20"/>
  <c r="AK867" i="20"/>
  <c r="AN867" i="20"/>
  <c r="AD871" i="20"/>
  <c r="AL878" i="20"/>
  <c r="Z878" i="20"/>
  <c r="AI882" i="20"/>
  <c r="Y892" i="20"/>
  <c r="AG896" i="20"/>
  <c r="AI896" i="20"/>
  <c r="AF900" i="20"/>
  <c r="AN905" i="20"/>
  <c r="AC909" i="20"/>
  <c r="AN909" i="20"/>
  <c r="AB913" i="20"/>
  <c r="AK917" i="20"/>
  <c r="AJ921" i="20"/>
  <c r="AA926" i="20"/>
  <c r="AC926" i="20"/>
  <c r="Y930" i="20"/>
  <c r="AD934" i="20"/>
  <c r="Z934" i="20"/>
  <c r="AB937" i="20"/>
  <c r="AI940" i="20"/>
  <c r="AG940" i="20"/>
  <c r="Y946" i="20"/>
  <c r="AD950" i="20"/>
  <c r="AF950" i="20"/>
  <c r="Z954" i="20"/>
  <c r="AK957" i="20"/>
  <c r="AC957" i="20"/>
  <c r="AC966" i="20"/>
  <c r="AG970" i="20"/>
  <c r="AN970" i="20"/>
  <c r="AE974" i="20"/>
  <c r="AN980" i="20"/>
  <c r="AC984" i="20"/>
  <c r="AD988" i="20"/>
  <c r="AJ994" i="20"/>
  <c r="AN994" i="20"/>
  <c r="AN996" i="20"/>
  <c r="AB999" i="20"/>
  <c r="AF1005" i="20"/>
  <c r="Z1010" i="20"/>
  <c r="AF1014" i="20"/>
  <c r="AD1014" i="20"/>
  <c r="AN1017" i="20"/>
  <c r="AD1022" i="20"/>
  <c r="AL1031" i="20"/>
  <c r="AD1047" i="20"/>
  <c r="Y1047" i="20"/>
  <c r="Y1060" i="20"/>
  <c r="AG1054" i="20"/>
  <c r="AH1058" i="20"/>
  <c r="AA1058" i="20"/>
  <c r="AC1066" i="20"/>
  <c r="AN1066" i="20"/>
  <c r="AI1070" i="20"/>
  <c r="AN1074" i="20"/>
  <c r="AG1078" i="20"/>
  <c r="AF1085" i="20"/>
  <c r="Y1090" i="20"/>
  <c r="Y1095" i="20"/>
  <c r="AH1098" i="20"/>
  <c r="AI1102" i="20"/>
  <c r="AE1104" i="20"/>
  <c r="Y1110" i="20"/>
  <c r="Z33" i="20"/>
  <c r="AL18" i="20"/>
  <c r="AL1289" i="20"/>
  <c r="AN1169" i="20"/>
  <c r="AG1333" i="20"/>
  <c r="AL1309" i="20"/>
  <c r="AJ1277" i="20"/>
  <c r="AE1253" i="20"/>
  <c r="AG1229" i="20"/>
  <c r="AG1205" i="20"/>
  <c r="AL1149" i="20"/>
  <c r="AL1257" i="20"/>
  <c r="AE1305" i="20"/>
  <c r="AH1265" i="20"/>
  <c r="AL1185" i="20"/>
  <c r="AA481" i="20"/>
  <c r="Y882" i="20"/>
  <c r="AI621" i="20"/>
  <c r="AA673" i="20"/>
  <c r="AH605" i="20"/>
  <c r="AB112" i="20"/>
  <c r="AO1165" i="20"/>
  <c r="AP1153" i="20"/>
  <c r="AK83" i="20"/>
  <c r="AJ83" i="20"/>
  <c r="AO83" i="20"/>
  <c r="AL92" i="20"/>
  <c r="AJ92" i="20"/>
  <c r="AL160" i="20"/>
  <c r="AJ160" i="20"/>
  <c r="AD181" i="20"/>
  <c r="AL181" i="20"/>
  <c r="AA187" i="20"/>
  <c r="AK187" i="20"/>
  <c r="AN964" i="20"/>
  <c r="AO964" i="20"/>
  <c r="AB962" i="20"/>
  <c r="AD962" i="20"/>
  <c r="AG808" i="20"/>
  <c r="AL808" i="20"/>
  <c r="AJ808" i="20"/>
  <c r="AC808" i="20"/>
  <c r="AE808" i="20"/>
  <c r="AK808" i="20"/>
  <c r="AB808" i="20"/>
  <c r="AD808" i="20"/>
  <c r="AO808" i="20"/>
  <c r="AG228" i="20"/>
  <c r="AA228" i="20"/>
  <c r="AP228" i="20"/>
  <c r="AK228" i="20"/>
  <c r="AH228" i="20"/>
  <c r="AJ226" i="20"/>
  <c r="AO226" i="20"/>
  <c r="AL226" i="20"/>
  <c r="AA226" i="20"/>
  <c r="AI226" i="20"/>
  <c r="AH226" i="20"/>
  <c r="AG226" i="20"/>
  <c r="Y226" i="20"/>
  <c r="AP130" i="20"/>
  <c r="AD130" i="20"/>
  <c r="AA130" i="20"/>
  <c r="AF130" i="20"/>
  <c r="AI130" i="20"/>
  <c r="AN130" i="20"/>
  <c r="AD112" i="20"/>
  <c r="Z112" i="20"/>
  <c r="AJ112" i="20"/>
  <c r="AG112" i="20"/>
  <c r="AN112" i="20"/>
  <c r="AL112" i="20"/>
  <c r="Y112" i="20"/>
  <c r="AH112" i="20"/>
  <c r="AB46" i="20"/>
  <c r="AI46" i="20"/>
  <c r="AH46" i="20"/>
  <c r="AG46" i="20"/>
  <c r="AR69" i="20"/>
  <c r="AT69" i="20"/>
  <c r="AR111" i="20"/>
  <c r="AT111" i="20"/>
  <c r="AR170" i="20"/>
  <c r="AT170" i="20"/>
  <c r="AR178" i="20"/>
  <c r="AT178" i="20"/>
  <c r="AR296" i="20"/>
  <c r="AT296" i="20"/>
  <c r="AR334" i="20"/>
  <c r="AT334" i="20"/>
  <c r="AR356" i="20"/>
  <c r="AT356" i="20"/>
  <c r="AR361" i="20"/>
  <c r="AT361" i="20"/>
  <c r="AR386" i="20"/>
  <c r="AT386" i="20"/>
  <c r="AR405" i="20"/>
  <c r="AT405" i="20"/>
  <c r="AR415" i="20"/>
  <c r="AT415" i="20"/>
  <c r="AR440" i="20"/>
  <c r="AT440" i="20"/>
  <c r="AR447" i="20"/>
  <c r="AT447" i="20"/>
  <c r="AR454" i="20"/>
  <c r="AT454" i="20"/>
  <c r="AR485" i="20"/>
  <c r="AT485" i="20"/>
  <c r="AR568" i="20"/>
  <c r="AT568" i="20"/>
  <c r="AR556" i="20"/>
  <c r="AT556" i="20"/>
  <c r="AR531" i="20"/>
  <c r="AT531" i="20"/>
  <c r="AR578" i="20"/>
  <c r="AT578" i="20"/>
  <c r="AR600" i="20"/>
  <c r="AT600" i="20"/>
  <c r="AR607" i="20"/>
  <c r="AT607" i="20"/>
  <c r="AR628" i="20"/>
  <c r="AT628" i="20"/>
  <c r="AR642" i="20"/>
  <c r="AT642" i="20"/>
  <c r="AR691" i="20"/>
  <c r="AT691" i="20"/>
  <c r="AR703" i="20"/>
  <c r="AT703" i="20"/>
  <c r="AR734" i="20"/>
  <c r="AT734" i="20"/>
  <c r="AR746" i="20"/>
  <c r="AT746" i="20"/>
  <c r="AR760" i="20"/>
  <c r="AT760" i="20"/>
  <c r="AR802" i="20"/>
  <c r="AT802" i="20"/>
  <c r="AR839" i="20"/>
  <c r="AT839" i="20"/>
  <c r="AR825" i="20"/>
  <c r="AT825" i="20"/>
  <c r="AR818" i="20"/>
  <c r="AT818" i="20"/>
  <c r="AR815" i="20"/>
  <c r="AT815" i="20"/>
  <c r="AR861" i="20"/>
  <c r="AT861" i="20"/>
  <c r="AR922" i="20"/>
  <c r="AT922" i="20"/>
  <c r="AR938" i="20"/>
  <c r="AT938" i="20"/>
  <c r="AR966" i="20"/>
  <c r="AT966" i="20"/>
  <c r="AR974" i="20"/>
  <c r="AT974" i="20"/>
  <c r="AR1004" i="20"/>
  <c r="AT1004" i="20"/>
  <c r="AR1010" i="20"/>
  <c r="AT1010" i="20"/>
  <c r="AR1035" i="20"/>
  <c r="AT1035" i="20"/>
  <c r="AR1042" i="20"/>
  <c r="AT1042" i="20"/>
  <c r="AR1106" i="20"/>
  <c r="AT1106" i="20"/>
  <c r="AP294" i="20"/>
  <c r="Y294" i="20"/>
  <c r="AI294" i="20"/>
  <c r="AO283" i="20"/>
  <c r="AN283" i="20"/>
  <c r="AJ283" i="20"/>
  <c r="AH283" i="20"/>
  <c r="AD283" i="20"/>
  <c r="AN279" i="20"/>
  <c r="AI279" i="20"/>
  <c r="Y279" i="20"/>
  <c r="AK275" i="20"/>
  <c r="Z275" i="20"/>
  <c r="AE275" i="20"/>
  <c r="AD275" i="20"/>
  <c r="AB270" i="20"/>
  <c r="AG270" i="20"/>
  <c r="AC270" i="20"/>
  <c r="AB267" i="20"/>
  <c r="Y267" i="20"/>
  <c r="AH267" i="20"/>
  <c r="AC267" i="20"/>
  <c r="AF263" i="20"/>
  <c r="Y263" i="20"/>
  <c r="AO259" i="20"/>
  <c r="AE259" i="20"/>
  <c r="AF259" i="20"/>
  <c r="AH259" i="20"/>
  <c r="AL259" i="20"/>
  <c r="AG255" i="20"/>
  <c r="AE255" i="20"/>
  <c r="AK255" i="20"/>
  <c r="AC251" i="20"/>
  <c r="AF251" i="20"/>
  <c r="Z251" i="20"/>
  <c r="AP247" i="20"/>
  <c r="AH247" i="20"/>
  <c r="AA247" i="20"/>
  <c r="AK247" i="20"/>
  <c r="AB247" i="20"/>
  <c r="Z247" i="20"/>
  <c r="AP243" i="20"/>
  <c r="AC243" i="20"/>
  <c r="Y243" i="20"/>
  <c r="AN243" i="20"/>
  <c r="AL243" i="20"/>
  <c r="AP240" i="20"/>
  <c r="AE240" i="20"/>
  <c r="AD240" i="20"/>
  <c r="AO235" i="20"/>
  <c r="AC235" i="20"/>
  <c r="AA235" i="20"/>
  <c r="AJ235" i="20"/>
  <c r="AD216" i="20"/>
  <c r="Y216" i="20"/>
  <c r="AG216" i="20"/>
  <c r="AG208" i="20"/>
  <c r="AE208" i="20"/>
  <c r="AF208" i="20"/>
  <c r="AJ208" i="20"/>
  <c r="AN200" i="20"/>
  <c r="AE200" i="20"/>
  <c r="AO190" i="20"/>
  <c r="AB190" i="20"/>
  <c r="AG170" i="20"/>
  <c r="AN170" i="20"/>
  <c r="AJ170" i="20"/>
  <c r="AH128" i="20"/>
  <c r="AE128" i="20"/>
  <c r="AP1161" i="20"/>
  <c r="AB1161" i="20"/>
  <c r="AI1161" i="20"/>
  <c r="AF1161" i="20"/>
  <c r="AA1161" i="20"/>
  <c r="AC1161" i="20"/>
  <c r="AG1161" i="20"/>
  <c r="AO1161" i="20"/>
  <c r="AK1161" i="20"/>
  <c r="AD1161" i="20"/>
  <c r="AN1157" i="20"/>
  <c r="AO1157" i="20"/>
  <c r="AK1157" i="20"/>
  <c r="AE1157" i="20"/>
  <c r="AD1157" i="20"/>
  <c r="AG1157" i="20"/>
  <c r="AC1157" i="20"/>
  <c r="AI1157" i="20"/>
  <c r="AF1157" i="20"/>
  <c r="AO1153" i="20"/>
  <c r="Z1153" i="20"/>
  <c r="AK1153" i="20"/>
  <c r="AG1153" i="20"/>
  <c r="AH1153" i="20"/>
  <c r="AL1153" i="20"/>
  <c r="AC1153" i="20"/>
  <c r="AN1153" i="20"/>
  <c r="AD1153" i="20"/>
  <c r="AE1153" i="20"/>
  <c r="AF1153" i="20"/>
  <c r="AJ1153" i="20"/>
  <c r="Y1153" i="20"/>
  <c r="AP1149" i="20"/>
  <c r="AF1149" i="20"/>
  <c r="AB1149" i="20"/>
  <c r="AC1149" i="20"/>
  <c r="Z1149" i="20"/>
  <c r="AI1149" i="20"/>
  <c r="AN1149" i="20"/>
  <c r="AD1149" i="20"/>
  <c r="AA1149" i="20"/>
  <c r="AE1145" i="20"/>
  <c r="Y1145" i="20"/>
  <c r="AL1145" i="20"/>
  <c r="Z1145" i="20"/>
  <c r="AJ1145" i="20"/>
  <c r="AD1145" i="20"/>
  <c r="AB1145" i="20"/>
  <c r="AO1145" i="20"/>
  <c r="AA1145" i="20"/>
  <c r="AI1145" i="20"/>
  <c r="AP1165" i="20"/>
  <c r="AK1165" i="20"/>
  <c r="AL1165" i="20"/>
  <c r="AD1165" i="20"/>
  <c r="AC1165" i="20"/>
  <c r="AB1165" i="20"/>
  <c r="AE1165" i="20"/>
  <c r="AN1165" i="20"/>
  <c r="AA1165" i="20"/>
  <c r="AI1165" i="20"/>
  <c r="Y1165" i="20"/>
  <c r="AP1169" i="20"/>
  <c r="AO1169" i="20"/>
  <c r="AG1169" i="20"/>
  <c r="AE1169" i="20"/>
  <c r="AF1169" i="20"/>
  <c r="AL1169" i="20"/>
  <c r="AA1169" i="20"/>
  <c r="AD1169" i="20"/>
  <c r="AC1169" i="20"/>
  <c r="Z1169" i="20"/>
  <c r="Y1169" i="20"/>
  <c r="AP1173" i="20"/>
  <c r="AJ1173" i="20"/>
  <c r="AE1173" i="20"/>
  <c r="AI1173" i="20"/>
  <c r="AK1173" i="20"/>
  <c r="Z1173" i="20"/>
  <c r="AL1173" i="20"/>
  <c r="AB1173" i="20"/>
  <c r="AP1177" i="20"/>
  <c r="AL1177" i="20"/>
  <c r="AJ1177" i="20"/>
  <c r="AK1177" i="20"/>
  <c r="AO1177" i="20"/>
  <c r="AF1177" i="20"/>
  <c r="AA1177" i="20"/>
  <c r="AD1177" i="20"/>
  <c r="AN1177" i="20"/>
  <c r="AB1177" i="20"/>
  <c r="AH1177" i="20"/>
  <c r="AG1177" i="20"/>
  <c r="AE1177" i="20"/>
  <c r="AA1181" i="20"/>
  <c r="AK1181" i="20"/>
  <c r="AL1181" i="20"/>
  <c r="AN1181" i="20"/>
  <c r="Z1181" i="20"/>
  <c r="AJ1181" i="20"/>
  <c r="AH1181" i="20"/>
  <c r="Y1181" i="20"/>
  <c r="AF1181" i="20"/>
  <c r="AE1185" i="20"/>
  <c r="AG1185" i="20"/>
  <c r="Y1185" i="20"/>
  <c r="AC1185" i="20"/>
  <c r="AP1185" i="20"/>
  <c r="AI1185" i="20"/>
  <c r="AF1185" i="20"/>
  <c r="AB1185" i="20"/>
  <c r="AJ1185" i="20"/>
  <c r="AO1185" i="20"/>
  <c r="AD1185" i="20"/>
  <c r="AI1189" i="20"/>
  <c r="AK1189" i="20"/>
  <c r="AN1189" i="20"/>
  <c r="AC1189" i="20"/>
  <c r="AA1189" i="20"/>
  <c r="AD1189" i="20"/>
  <c r="AJ1189" i="20"/>
  <c r="AB1189" i="20"/>
  <c r="AP1193" i="20"/>
  <c r="AO1193" i="20"/>
  <c r="AE1193" i="20"/>
  <c r="AK1193" i="20"/>
  <c r="AJ1193" i="20"/>
  <c r="AG1193" i="20"/>
  <c r="AC1193" i="20"/>
  <c r="AD1193" i="20"/>
  <c r="AN1193" i="20"/>
  <c r="AH1193" i="20"/>
  <c r="Y1193" i="20"/>
  <c r="AL1193" i="20"/>
  <c r="AI1193" i="20"/>
  <c r="AD1197" i="20"/>
  <c r="AK1197" i="20"/>
  <c r="Y1197" i="20"/>
  <c r="AL1197" i="20"/>
  <c r="AE1197" i="20"/>
  <c r="AB1197" i="20"/>
  <c r="AJ1197" i="20"/>
  <c r="AH1197" i="20"/>
  <c r="AI1197" i="20"/>
  <c r="AG1197" i="20"/>
  <c r="AB1201" i="20"/>
  <c r="AJ1201" i="20"/>
  <c r="AI1201" i="20"/>
  <c r="Z1201" i="20"/>
  <c r="AA1201" i="20"/>
  <c r="AP1201" i="20"/>
  <c r="AO1201" i="20"/>
  <c r="AK1201" i="20"/>
  <c r="AF1201" i="20"/>
  <c r="AL1205" i="20"/>
  <c r="AA1205" i="20"/>
  <c r="AI1205" i="20"/>
  <c r="Y1205" i="20"/>
  <c r="AC1205" i="20"/>
  <c r="Z1205" i="20"/>
  <c r="AJ1205" i="20"/>
  <c r="AE1205" i="20"/>
  <c r="AN1205" i="20"/>
  <c r="AP1209" i="20"/>
  <c r="AE1209" i="20"/>
  <c r="AC1209" i="20"/>
  <c r="AN1209" i="20"/>
  <c r="AG1209" i="20"/>
  <c r="AL1209" i="20"/>
  <c r="AI1209" i="20"/>
  <c r="AK1209" i="20"/>
  <c r="AE1213" i="20"/>
  <c r="AK1213" i="20"/>
  <c r="AB1213" i="20"/>
  <c r="Z1213" i="20"/>
  <c r="AN1213" i="20"/>
  <c r="AG1213" i="20"/>
  <c r="AL1213" i="20"/>
  <c r="AH1213" i="20"/>
  <c r="AA1217" i="20"/>
  <c r="AN1217" i="20"/>
  <c r="AO1217" i="20"/>
  <c r="Y1217" i="20"/>
  <c r="AC1217" i="20"/>
  <c r="AG1217" i="20"/>
  <c r="AJ1217" i="20"/>
  <c r="AB1217" i="20"/>
  <c r="AH1217" i="20"/>
  <c r="AD1221" i="20"/>
  <c r="Y1221" i="20"/>
  <c r="Z1221" i="20"/>
  <c r="AC1221" i="20"/>
  <c r="AH1221" i="20"/>
  <c r="AI1221" i="20"/>
  <c r="AA1221" i="20"/>
  <c r="AP1225" i="20"/>
  <c r="AO1225" i="20"/>
  <c r="AF1225" i="20"/>
  <c r="AD1225" i="20"/>
  <c r="Y1225" i="20"/>
  <c r="AE1225" i="20"/>
  <c r="AG1225" i="20"/>
  <c r="Z1225" i="20"/>
  <c r="AK1225" i="20"/>
  <c r="AA1225" i="20"/>
  <c r="AB1225" i="20"/>
  <c r="AJ1225" i="20"/>
  <c r="AO1229" i="20"/>
  <c r="AJ1229" i="20"/>
  <c r="Y1229" i="20"/>
  <c r="AI1229" i="20"/>
  <c r="AK1229" i="20"/>
  <c r="AA1229" i="20"/>
  <c r="AP1229" i="20"/>
  <c r="AB1229" i="20"/>
  <c r="AE1229" i="20"/>
  <c r="AH1229" i="20"/>
  <c r="AP1233" i="20"/>
  <c r="AH1233" i="20"/>
  <c r="AA1233" i="20"/>
  <c r="AL1233" i="20"/>
  <c r="AC1233" i="20"/>
  <c r="AF1233" i="20"/>
  <c r="Y1233" i="20"/>
  <c r="AJ1233" i="20"/>
  <c r="AK1233" i="20"/>
  <c r="AB1233" i="20"/>
  <c r="AN1233" i="20"/>
  <c r="Z1233" i="20"/>
  <c r="AB1237" i="20"/>
  <c r="AD1237" i="20"/>
  <c r="AF1237" i="20"/>
  <c r="AK1237" i="20"/>
  <c r="AI1237" i="20"/>
  <c r="AC1237" i="20"/>
  <c r="AJ1241" i="20"/>
  <c r="AK1241" i="20"/>
  <c r="AB1241" i="20"/>
  <c r="AL1241" i="20"/>
  <c r="Y1241" i="20"/>
  <c r="AG1241" i="20"/>
  <c r="AF1241" i="20"/>
  <c r="AL1245" i="20"/>
  <c r="AA1245" i="20"/>
  <c r="AC1245" i="20"/>
  <c r="AH1245" i="20"/>
  <c r="AP1249" i="20"/>
  <c r="AG1249" i="20"/>
  <c r="AH1249" i="20"/>
  <c r="AD1249" i="20"/>
  <c r="Y1249" i="20"/>
  <c r="AO1249" i="20"/>
  <c r="AK1249" i="20"/>
  <c r="Z1249" i="20"/>
  <c r="AL1249" i="20"/>
  <c r="AF1249" i="20"/>
  <c r="AJ1249" i="20"/>
  <c r="AE1249" i="20"/>
  <c r="AD1253" i="20"/>
  <c r="AF1253" i="20"/>
  <c r="AI1253" i="20"/>
  <c r="Y1253" i="20"/>
  <c r="AK1253" i="20"/>
  <c r="AL1253" i="20"/>
  <c r="AP1257" i="20"/>
  <c r="AO1257" i="20"/>
  <c r="AE1257" i="20"/>
  <c r="AB1257" i="20"/>
  <c r="AD1257" i="20"/>
  <c r="Y1257" i="20"/>
  <c r="AI1257" i="20"/>
  <c r="AA1257" i="20"/>
  <c r="AC1257" i="20"/>
  <c r="AG1257" i="20"/>
  <c r="AK1257" i="20"/>
  <c r="AH1257" i="20"/>
  <c r="AD1261" i="20"/>
  <c r="AF1261" i="20"/>
  <c r="AE1261" i="20"/>
  <c r="AL1261" i="20"/>
  <c r="AI1261" i="20"/>
  <c r="AC1261" i="20"/>
  <c r="AG1261" i="20"/>
  <c r="Y1261" i="20"/>
  <c r="AC1265" i="20"/>
  <c r="AK1265" i="20"/>
  <c r="AO1265" i="20"/>
  <c r="Y1265" i="20"/>
  <c r="AA1265" i="20"/>
  <c r="AB1265" i="20"/>
  <c r="AG1265" i="20"/>
  <c r="AE1265" i="20"/>
  <c r="Z1265" i="20"/>
  <c r="AC1269" i="20"/>
  <c r="AJ1269" i="20"/>
  <c r="Z1269" i="20"/>
  <c r="AN1269" i="20"/>
  <c r="AK1269" i="20"/>
  <c r="AL1269" i="20"/>
  <c r="AD1269" i="20"/>
  <c r="AN1273" i="20"/>
  <c r="AI1273" i="20"/>
  <c r="Y1273" i="20"/>
  <c r="AB1273" i="20"/>
  <c r="AO1273" i="20"/>
  <c r="AG1273" i="20"/>
  <c r="AD1273" i="20"/>
  <c r="Z1273" i="20"/>
  <c r="AH1277" i="20"/>
  <c r="AA1277" i="20"/>
  <c r="AF1277" i="20"/>
  <c r="AN1277" i="20"/>
  <c r="AL1277" i="20"/>
  <c r="AG1277" i="20"/>
  <c r="AN1281" i="20"/>
  <c r="AG1281" i="20"/>
  <c r="AF1281" i="20"/>
  <c r="AC1281" i="20"/>
  <c r="AA1281" i="20"/>
  <c r="AK1281" i="20"/>
  <c r="AD1281" i="20"/>
  <c r="Z1281" i="20"/>
  <c r="Y1281" i="20"/>
  <c r="Y1285" i="20"/>
  <c r="AG1285" i="20"/>
  <c r="AL1285" i="20"/>
  <c r="AB1285" i="20"/>
  <c r="AE1285" i="20"/>
  <c r="AI1285" i="20"/>
  <c r="AN1285" i="20"/>
  <c r="AF1285" i="20"/>
  <c r="AJ1285" i="20"/>
  <c r="AO1289" i="20"/>
  <c r="AB1289" i="20"/>
  <c r="AF1289" i="20"/>
  <c r="AK1289" i="20"/>
  <c r="AE1289" i="20"/>
  <c r="AD1289" i="20"/>
  <c r="AH1289" i="20"/>
  <c r="AN1289" i="20"/>
  <c r="AO1293" i="20"/>
  <c r="AP1293" i="20"/>
  <c r="AG1293" i="20"/>
  <c r="AJ1293" i="20"/>
  <c r="AH1293" i="20"/>
  <c r="AF1293" i="20"/>
  <c r="AD1293" i="20"/>
  <c r="AC1293" i="20"/>
  <c r="AP1297" i="20"/>
  <c r="AF1297" i="20"/>
  <c r="Y1297" i="20"/>
  <c r="AC1297" i="20"/>
  <c r="AK1297" i="20"/>
  <c r="AD1297" i="20"/>
  <c r="Z1297" i="20"/>
  <c r="AJ1297" i="20"/>
  <c r="AB1297" i="20"/>
  <c r="AA1297" i="20"/>
  <c r="AI1297" i="20"/>
  <c r="AI1301" i="20"/>
  <c r="AE1301" i="20"/>
  <c r="AD1301" i="20"/>
  <c r="AF1301" i="20"/>
  <c r="AA1301" i="20"/>
  <c r="AC1301" i="20"/>
  <c r="AG1301" i="20"/>
  <c r="AK1305" i="20"/>
  <c r="AO1305" i="20"/>
  <c r="AD1305" i="20"/>
  <c r="AC1305" i="20"/>
  <c r="AJ1305" i="20"/>
  <c r="AI1305" i="20"/>
  <c r="AH1305" i="20"/>
  <c r="Z1305" i="20"/>
  <c r="AF1305" i="20"/>
  <c r="AL1305" i="20"/>
  <c r="AG1305" i="20"/>
  <c r="AP1309" i="20"/>
  <c r="AD1309" i="20"/>
  <c r="Y1309" i="20"/>
  <c r="AG1309" i="20"/>
  <c r="Z1309" i="20"/>
  <c r="AN1309" i="20"/>
  <c r="AO1309" i="20"/>
  <c r="AK1309" i="20"/>
  <c r="AP1313" i="20"/>
  <c r="AO1313" i="20"/>
  <c r="Y1313" i="20"/>
  <c r="AJ1313" i="20"/>
  <c r="AI1313" i="20"/>
  <c r="AC1313" i="20"/>
  <c r="AG1313" i="20"/>
  <c r="AD1313" i="20"/>
  <c r="AL1313" i="20"/>
  <c r="AH1313" i="20"/>
  <c r="AK1317" i="20"/>
  <c r="Z1317" i="20"/>
  <c r="AC1317" i="20"/>
  <c r="Y1317" i="20"/>
  <c r="AH1317" i="20"/>
  <c r="AL1317" i="20"/>
  <c r="AI1317" i="20"/>
  <c r="AJ1317" i="20"/>
  <c r="AE1317" i="20"/>
  <c r="AD1317" i="20"/>
  <c r="AN1317" i="20"/>
  <c r="AP1321" i="20"/>
  <c r="AB1321" i="20"/>
  <c r="AE1321" i="20"/>
  <c r="AA1321" i="20"/>
  <c r="AG1321" i="20"/>
  <c r="AH1321" i="20"/>
  <c r="AC1321" i="20"/>
  <c r="AK1321" i="20"/>
  <c r="AD1321" i="20"/>
  <c r="AF1321" i="20"/>
  <c r="AI1321" i="20"/>
  <c r="AH1325" i="20"/>
  <c r="AE1325" i="20"/>
  <c r="AB1325" i="20"/>
  <c r="AL1325" i="20"/>
  <c r="AP1325" i="20"/>
  <c r="AO1325" i="20"/>
  <c r="AA1325" i="20"/>
  <c r="AC1325" i="20"/>
  <c r="AN1325" i="20"/>
  <c r="Z1325" i="20"/>
  <c r="AP1329" i="20"/>
  <c r="AO1329" i="20"/>
  <c r="AK1329" i="20"/>
  <c r="AD1329" i="20"/>
  <c r="AJ1329" i="20"/>
  <c r="Z1329" i="20"/>
  <c r="AL1329" i="20"/>
  <c r="AH1329" i="20"/>
  <c r="AA1329" i="20"/>
  <c r="AI1329" i="20"/>
  <c r="AN1329" i="20"/>
  <c r="AG1329" i="20"/>
  <c r="AK1333" i="20"/>
  <c r="AE1333" i="20"/>
  <c r="AI1333" i="20"/>
  <c r="Y1333" i="20"/>
  <c r="AB1333" i="20"/>
  <c r="AJ1333" i="20"/>
  <c r="AN1333" i="20"/>
  <c r="AL1333" i="20"/>
  <c r="AA1333" i="20"/>
  <c r="AO1337" i="20"/>
  <c r="AJ1337" i="20"/>
  <c r="AE1337" i="20"/>
  <c r="AA1337" i="20"/>
  <c r="AN1337" i="20"/>
  <c r="AI1337" i="20"/>
  <c r="AC1337" i="20"/>
  <c r="AK1337" i="20"/>
  <c r="AF1337" i="20"/>
  <c r="Y1337" i="20"/>
  <c r="AC450" i="20"/>
  <c r="Z652" i="20"/>
  <c r="Y235" i="20"/>
  <c r="AJ243" i="20"/>
  <c r="Y123" i="20"/>
  <c r="AH123" i="20"/>
  <c r="AE114" i="20"/>
  <c r="AN114" i="20"/>
  <c r="AK119" i="20"/>
  <c r="Z124" i="20"/>
  <c r="AH124" i="20"/>
  <c r="AC124" i="20"/>
  <c r="AE139" i="20"/>
  <c r="AN158" i="20"/>
  <c r="AB158" i="20"/>
  <c r="AD167" i="20"/>
  <c r="AE168" i="20"/>
  <c r="AG168" i="20"/>
  <c r="AH189" i="20"/>
  <c r="AD189" i="20"/>
  <c r="AD198" i="20"/>
  <c r="AL204" i="20"/>
  <c r="Y204" i="20"/>
  <c r="AN204" i="20"/>
  <c r="AJ204" i="20"/>
  <c r="AN212" i="20"/>
  <c r="AJ212" i="20"/>
  <c r="AC212" i="20"/>
  <c r="AK220" i="20"/>
  <c r="AE220" i="20"/>
  <c r="AJ220" i="20"/>
  <c r="AF240" i="20"/>
  <c r="AG240" i="20"/>
  <c r="Z240" i="20"/>
  <c r="AE247" i="20"/>
  <c r="AL247" i="20"/>
  <c r="AD247" i="20"/>
  <c r="AC255" i="20"/>
  <c r="AI255" i="20"/>
  <c r="AN255" i="20"/>
  <c r="AK263" i="20"/>
  <c r="AJ275" i="20"/>
  <c r="AG275" i="20"/>
  <c r="AF275" i="20"/>
  <c r="AF283" i="20"/>
  <c r="AC283" i="20"/>
  <c r="AB235" i="20"/>
  <c r="AH251" i="20"/>
  <c r="AB128" i="20"/>
  <c r="AH170" i="20"/>
  <c r="AN190" i="20"/>
  <c r="AI200" i="20"/>
  <c r="AB200" i="20"/>
  <c r="AD208" i="20"/>
  <c r="AL208" i="20"/>
  <c r="AB216" i="20"/>
  <c r="AC216" i="20"/>
  <c r="AN235" i="20"/>
  <c r="AH235" i="20"/>
  <c r="AE243" i="20"/>
  <c r="AG243" i="20"/>
  <c r="AI251" i="20"/>
  <c r="AD251" i="20"/>
  <c r="AJ251" i="20"/>
  <c r="Z259" i="20"/>
  <c r="AK259" i="20"/>
  <c r="AE267" i="20"/>
  <c r="AK267" i="20"/>
  <c r="AF267" i="20"/>
  <c r="Y270" i="20"/>
  <c r="AA270" i="20"/>
  <c r="Z279" i="20"/>
  <c r="AE279" i="20"/>
  <c r="AC294" i="20"/>
  <c r="AJ294" i="20"/>
  <c r="AG294" i="20"/>
  <c r="AH450" i="20"/>
  <c r="AO602" i="20"/>
  <c r="AA690" i="20"/>
  <c r="AP283" i="20"/>
  <c r="AP212" i="20"/>
  <c r="AO123" i="20"/>
  <c r="AP124" i="20"/>
  <c r="AP167" i="20"/>
  <c r="AO198" i="20"/>
  <c r="AH204" i="20"/>
  <c r="AP208" i="20"/>
  <c r="AO255" i="20"/>
  <c r="AP267" i="20"/>
  <c r="AO279" i="20"/>
  <c r="AP190" i="20"/>
  <c r="AO251" i="20"/>
  <c r="AL275" i="20"/>
  <c r="AB119" i="20"/>
  <c r="AF158" i="20"/>
  <c r="AG139" i="20"/>
  <c r="AE158" i="20"/>
  <c r="AL198" i="20"/>
  <c r="AH139" i="20"/>
  <c r="AN128" i="20"/>
  <c r="Z204" i="20"/>
  <c r="AL123" i="20"/>
  <c r="AK123" i="20"/>
  <c r="AK114" i="20"/>
  <c r="AJ119" i="20"/>
  <c r="AF119" i="20"/>
  <c r="AK124" i="20"/>
  <c r="AJ128" i="20"/>
  <c r="AI139" i="20"/>
  <c r="AN139" i="20"/>
  <c r="AJ158" i="20"/>
  <c r="AB167" i="20"/>
  <c r="Z168" i="20"/>
  <c r="Y168" i="20"/>
  <c r="AK170" i="20"/>
  <c r="Y170" i="20"/>
  <c r="AI189" i="20"/>
  <c r="G46" i="86" s="1"/>
  <c r="J46" i="86" s="1"/>
  <c r="Z190" i="20"/>
  <c r="AH190" i="20"/>
  <c r="AN198" i="20"/>
  <c r="AG200" i="20"/>
  <c r="AC200" i="20"/>
  <c r="AH216" i="20"/>
  <c r="AI390" i="20"/>
  <c r="AF702" i="20"/>
  <c r="AJ529" i="20"/>
  <c r="AO450" i="20"/>
  <c r="AB482" i="20"/>
  <c r="AP139" i="20"/>
  <c r="AO243" i="20"/>
  <c r="AE649" i="20"/>
  <c r="AP123" i="20"/>
  <c r="AO124" i="20"/>
  <c r="AO167" i="20"/>
  <c r="AP198" i="20"/>
  <c r="AP204" i="20"/>
  <c r="AP220" i="20"/>
  <c r="AP255" i="20"/>
  <c r="AO267" i="20"/>
  <c r="AP279" i="20"/>
  <c r="AO119" i="20"/>
  <c r="AP158" i="20"/>
  <c r="AO275" i="20"/>
  <c r="AP251" i="20"/>
  <c r="AP275" i="20"/>
  <c r="AN167" i="20"/>
  <c r="AG167" i="20"/>
  <c r="AC198" i="20"/>
  <c r="Z139" i="20"/>
  <c r="AL216" i="20"/>
  <c r="AH198" i="20"/>
  <c r="AL190" i="20"/>
  <c r="Y212" i="20"/>
  <c r="AG123" i="20"/>
  <c r="Y114" i="20"/>
  <c r="AJ114" i="20"/>
  <c r="AH119" i="20"/>
  <c r="AL119" i="20"/>
  <c r="AF128" i="20"/>
  <c r="AD128" i="20"/>
  <c r="Y139" i="20"/>
  <c r="AC158" i="20"/>
  <c r="AA158" i="20"/>
  <c r="AA167" i="20"/>
  <c r="AJ168" i="20"/>
  <c r="AB168" i="20"/>
  <c r="AF170" i="20"/>
  <c r="AB170" i="20"/>
  <c r="AK189" i="20"/>
  <c r="I46" i="86" s="1"/>
  <c r="L46" i="86" s="1"/>
  <c r="AE190" i="20"/>
  <c r="Y190" i="20"/>
  <c r="AF198" i="20"/>
  <c r="AA200" i="20"/>
  <c r="AF200" i="20"/>
  <c r="AA216" i="20"/>
  <c r="AJ259" i="20"/>
  <c r="AI123" i="20"/>
  <c r="AL114" i="20"/>
  <c r="Z114" i="20"/>
  <c r="AE119" i="20"/>
  <c r="AI119" i="20"/>
  <c r="AB124" i="20"/>
  <c r="Y124" i="20"/>
  <c r="AD139" i="20"/>
  <c r="AB139" i="20"/>
  <c r="Y158" i="20"/>
  <c r="AL167" i="20"/>
  <c r="Y167" i="20"/>
  <c r="AK168" i="20"/>
  <c r="AN168" i="20"/>
  <c r="AG189" i="20"/>
  <c r="AE189" i="20"/>
  <c r="AI198" i="20"/>
  <c r="AG204" i="20"/>
  <c r="AK204" i="20"/>
  <c r="AB204" i="20"/>
  <c r="AG212" i="20"/>
  <c r="AA212" i="20"/>
  <c r="Z212" i="20"/>
  <c r="AI212" i="20"/>
  <c r="AC220" i="20"/>
  <c r="AI220" i="20"/>
  <c r="AH220" i="20"/>
  <c r="AA240" i="20"/>
  <c r="Y240" i="20"/>
  <c r="AL240" i="20"/>
  <c r="AJ247" i="20"/>
  <c r="AF247" i="20"/>
  <c r="AN247" i="20"/>
  <c r="Z255" i="20"/>
  <c r="AJ255" i="20"/>
  <c r="AA263" i="20"/>
  <c r="AE263" i="20"/>
  <c r="AA275" i="20"/>
  <c r="Y275" i="20"/>
  <c r="AE283" i="20"/>
  <c r="AK283" i="20"/>
  <c r="Z283" i="20"/>
  <c r="AG220" i="20"/>
  <c r="AA128" i="20"/>
  <c r="AL128" i="20"/>
  <c r="AC170" i="20"/>
  <c r="AD190" i="20"/>
  <c r="AH200" i="20"/>
  <c r="AL200" i="20"/>
  <c r="AH208" i="20"/>
  <c r="AA208" i="20"/>
  <c r="AI216" i="20"/>
  <c r="AG235" i="20"/>
  <c r="AD235" i="20"/>
  <c r="AI243" i="20"/>
  <c r="AH243" i="20"/>
  <c r="AD243" i="20"/>
  <c r="AG251" i="20"/>
  <c r="AB251" i="20"/>
  <c r="AN251" i="20"/>
  <c r="AI259" i="20"/>
  <c r="AA259" i="20"/>
  <c r="AI267" i="20"/>
  <c r="AJ267" i="20"/>
  <c r="AN267" i="20"/>
  <c r="AK270" i="20"/>
  <c r="Z270" i="20"/>
  <c r="AD279" i="20"/>
  <c r="AJ279" i="20"/>
  <c r="AL294" i="20"/>
  <c r="AD294" i="20"/>
  <c r="AJ1157" i="20"/>
  <c r="AH1301" i="20"/>
  <c r="AD1217" i="20"/>
  <c r="AI1265" i="20"/>
  <c r="AF1245" i="20"/>
  <c r="AH1337" i="20"/>
  <c r="Z1301" i="20"/>
  <c r="AL1225" i="20"/>
  <c r="AD1241" i="20"/>
  <c r="AI1269" i="20"/>
  <c r="AN1229" i="20"/>
  <c r="AI1281" i="20"/>
  <c r="AD1325" i="20"/>
  <c r="AK1325" i="20"/>
  <c r="AH1309" i="20"/>
  <c r="AB1309" i="20"/>
  <c r="AL1301" i="20"/>
  <c r="AL1293" i="20"/>
  <c r="Z1285" i="20"/>
  <c r="AI1277" i="20"/>
  <c r="Y1269" i="20"/>
  <c r="AB1261" i="20"/>
  <c r="Z1261" i="20"/>
  <c r="AA1253" i="20"/>
  <c r="AG1245" i="20"/>
  <c r="AG1237" i="20"/>
  <c r="AH1237" i="20"/>
  <c r="AF1229" i="20"/>
  <c r="AL1221" i="20"/>
  <c r="AF1213" i="20"/>
  <c r="Y1213" i="20"/>
  <c r="AD1205" i="20"/>
  <c r="Z1197" i="20"/>
  <c r="AG1189" i="20"/>
  <c r="AG1181" i="20"/>
  <c r="AD1173" i="20"/>
  <c r="AG1165" i="20"/>
  <c r="AK1149" i="20"/>
  <c r="AH1157" i="20"/>
  <c r="AE1161" i="20"/>
  <c r="AN1301" i="20"/>
  <c r="AB1209" i="20"/>
  <c r="AA1305" i="20"/>
  <c r="AD1265" i="20"/>
  <c r="Y1209" i="20"/>
  <c r="AF1333" i="20"/>
  <c r="AC1329" i="20"/>
  <c r="AE1313" i="20"/>
  <c r="AF1313" i="20"/>
  <c r="Y1305" i="20"/>
  <c r="AA1289" i="20"/>
  <c r="AH1281" i="20"/>
  <c r="AA1273" i="20"/>
  <c r="AN1265" i="20"/>
  <c r="AN1257" i="20"/>
  <c r="AB1249" i="20"/>
  <c r="AI1233" i="20"/>
  <c r="AN1225" i="20"/>
  <c r="AF1217" i="20"/>
  <c r="Y1201" i="20"/>
  <c r="AK1185" i="20"/>
  <c r="AI1177" i="20"/>
  <c r="AF1145" i="20"/>
  <c r="AK1145" i="20"/>
  <c r="AJ1161" i="20"/>
  <c r="AB1245" i="20"/>
  <c r="AC1253" i="20"/>
  <c r="AJ1253" i="20"/>
  <c r="AH1297" i="20"/>
  <c r="Z1193" i="20"/>
  <c r="AF1309" i="20"/>
  <c r="AC1241" i="20"/>
  <c r="AH1189" i="20"/>
  <c r="AC1309" i="20"/>
  <c r="Y1329" i="20"/>
  <c r="AO1321" i="20"/>
  <c r="AO1233" i="20"/>
  <c r="AO1149" i="20"/>
  <c r="AP1145" i="20"/>
  <c r="AI235" i="20"/>
  <c r="AA123" i="20"/>
  <c r="AC114" i="20"/>
  <c r="AN119" i="20"/>
  <c r="AG124" i="20"/>
  <c r="AN124" i="20"/>
  <c r="AA139" i="20"/>
  <c r="AC139" i="20"/>
  <c r="AD158" i="20"/>
  <c r="AJ167" i="20"/>
  <c r="AA168" i="20"/>
  <c r="AB189" i="20"/>
  <c r="AB198" i="20"/>
  <c r="AF204" i="20"/>
  <c r="AA204" i="20"/>
  <c r="AF212" i="20"/>
  <c r="AE212" i="20"/>
  <c r="AD212" i="20"/>
  <c r="AD220" i="20"/>
  <c r="Y220" i="20"/>
  <c r="AB240" i="20"/>
  <c r="AN240" i="20"/>
  <c r="AC240" i="20"/>
  <c r="Y247" i="20"/>
  <c r="AC247" i="20"/>
  <c r="AH255" i="20"/>
  <c r="AB255" i="20"/>
  <c r="AF255" i="20"/>
  <c r="AL263" i="20"/>
  <c r="AD263" i="20"/>
  <c r="AN275" i="20"/>
  <c r="AI275" i="20"/>
  <c r="AL283" i="20"/>
  <c r="AA283" i="20"/>
  <c r="Y283" i="20"/>
  <c r="AG128" i="20"/>
  <c r="AA170" i="20"/>
  <c r="AF190" i="20"/>
  <c r="AG190" i="20"/>
  <c r="AJ200" i="20"/>
  <c r="AI208" i="20"/>
  <c r="AC208" i="20"/>
  <c r="AB208" i="20"/>
  <c r="AF216" i="20"/>
  <c r="AF235" i="20"/>
  <c r="AK235" i="20"/>
  <c r="AK243" i="20"/>
  <c r="AA243" i="20"/>
  <c r="AB243" i="20"/>
  <c r="AK251" i="20"/>
  <c r="AE251" i="20"/>
  <c r="AG259" i="20"/>
  <c r="AN259" i="20"/>
  <c r="AB259" i="20"/>
  <c r="AD267" i="20"/>
  <c r="AG267" i="20"/>
  <c r="Z267" i="20"/>
  <c r="AJ270" i="20"/>
  <c r="AH270" i="20"/>
  <c r="AC279" i="20"/>
  <c r="AF279" i="20"/>
  <c r="AA294" i="20"/>
  <c r="AB294" i="20"/>
  <c r="AP1116" i="20"/>
  <c r="AO1116" i="20"/>
  <c r="AP7" i="20"/>
  <c r="AO7" i="20"/>
  <c r="AP592" i="20"/>
  <c r="AG592" i="20"/>
  <c r="AC404" i="20"/>
  <c r="AD404" i="20"/>
  <c r="AP332" i="20"/>
  <c r="AO332" i="20"/>
  <c r="AL308" i="20"/>
  <c r="Y308" i="20"/>
  <c r="AT214" i="20"/>
  <c r="AT128" i="20"/>
  <c r="AT167" i="20"/>
  <c r="AT352" i="20"/>
  <c r="AT1187" i="20"/>
  <c r="AT1303" i="20"/>
  <c r="AT1327" i="20"/>
  <c r="AT242" i="20"/>
  <c r="AT186" i="20"/>
  <c r="AT94" i="20"/>
  <c r="AT1279" i="20"/>
  <c r="AT1283" i="20"/>
  <c r="AT160" i="20"/>
  <c r="AT1291" i="20"/>
  <c r="AT1195" i="20"/>
  <c r="AT22" i="20"/>
  <c r="AT208" i="20"/>
  <c r="AT679" i="20"/>
  <c r="AT157" i="20"/>
  <c r="AT201" i="20"/>
  <c r="AT1171" i="20"/>
  <c r="AT235" i="20"/>
  <c r="AT1183" i="20"/>
  <c r="AT198" i="20"/>
  <c r="AT115" i="20"/>
  <c r="AT88" i="20"/>
  <c r="AT315" i="20"/>
  <c r="AT322" i="20"/>
  <c r="AT229" i="20"/>
  <c r="AT294" i="20"/>
  <c r="AT290" i="20"/>
  <c r="AT241" i="20"/>
  <c r="AT774" i="20"/>
  <c r="AT272" i="20"/>
  <c r="AT37" i="20"/>
  <c r="AT1167" i="20"/>
  <c r="AT194" i="20"/>
  <c r="AT76" i="20"/>
  <c r="AT193" i="20"/>
  <c r="AT259" i="20"/>
  <c r="AT277" i="20"/>
  <c r="AT147" i="20"/>
  <c r="AT304" i="20"/>
  <c r="AT319" i="20"/>
  <c r="AT1127" i="20"/>
  <c r="AT1263" i="20"/>
  <c r="AT1307" i="20"/>
  <c r="AT282" i="20"/>
  <c r="AT1259" i="20"/>
  <c r="AT42" i="20"/>
  <c r="AT247" i="20"/>
  <c r="AT899" i="20"/>
  <c r="AT634" i="20"/>
  <c r="AT526" i="20"/>
  <c r="AT662" i="20"/>
  <c r="AT1111" i="20"/>
  <c r="AT1039" i="20"/>
  <c r="AT735" i="20"/>
  <c r="AT474" i="20"/>
  <c r="AT566" i="20"/>
  <c r="AT739" i="20"/>
  <c r="AT841" i="20"/>
  <c r="AT467" i="20"/>
  <c r="AT658" i="20"/>
  <c r="AT1113" i="20"/>
  <c r="AT321" i="20"/>
  <c r="AT960" i="20"/>
  <c r="AT831" i="20"/>
  <c r="AT819" i="20"/>
  <c r="AT926" i="20"/>
  <c r="AT236" i="20"/>
  <c r="AT860" i="20"/>
  <c r="AT749" i="20"/>
  <c r="AT1028" i="20"/>
  <c r="AT903" i="20"/>
  <c r="AT930" i="20"/>
  <c r="AT1011" i="20"/>
  <c r="AT1319" i="20"/>
  <c r="AT1251" i="20"/>
  <c r="AT1235" i="20"/>
  <c r="AT58" i="20"/>
  <c r="AT422" i="20"/>
  <c r="AT753" i="20"/>
  <c r="AT211" i="20"/>
  <c r="AT702" i="20"/>
  <c r="AT36" i="20"/>
  <c r="AT1203" i="20"/>
  <c r="AT20" i="20"/>
  <c r="AT812" i="20"/>
  <c r="AT1215" i="20"/>
  <c r="AT1163" i="20"/>
  <c r="AT983" i="20"/>
  <c r="AT1135" i="20"/>
  <c r="AT726" i="20"/>
  <c r="AT1231" i="20"/>
  <c r="AT605" i="20"/>
  <c r="AT991" i="20"/>
  <c r="AT879" i="20"/>
  <c r="AT1060" i="20"/>
  <c r="AT1114" i="20"/>
  <c r="AT130" i="20"/>
  <c r="AT135" i="20"/>
  <c r="AT1139" i="20"/>
  <c r="AT218" i="20"/>
  <c r="AT1191" i="20"/>
  <c r="AT6" i="20"/>
  <c r="AT140" i="20"/>
  <c r="AT1211" i="20"/>
  <c r="AT12" i="20"/>
  <c r="AT164" i="20"/>
  <c r="AT1147" i="20"/>
  <c r="AT1151" i="20"/>
  <c r="AT150" i="20"/>
  <c r="AT1119" i="20"/>
  <c r="AT55" i="20"/>
  <c r="AT1299" i="20"/>
  <c r="AT1275" i="20"/>
  <c r="AT1123" i="20"/>
  <c r="AT1219" i="20"/>
  <c r="AT102" i="20"/>
  <c r="AT143" i="20"/>
  <c r="AT62" i="20"/>
  <c r="AT182" i="20"/>
  <c r="AT47" i="20"/>
  <c r="E14" i="43"/>
  <c r="AC14" i="43" s="1"/>
  <c r="AT674" i="20"/>
  <c r="AT589" i="20"/>
  <c r="AT404" i="20"/>
  <c r="AT263" i="20"/>
  <c r="AT1080" i="20"/>
  <c r="AT1112" i="20"/>
  <c r="AT142" i="20"/>
  <c r="AT24" i="20"/>
  <c r="AT824" i="20"/>
  <c r="AT772" i="20"/>
  <c r="AT439" i="20"/>
  <c r="AT1047" i="20"/>
  <c r="AT635" i="20"/>
  <c r="AT1001" i="20"/>
  <c r="AT965" i="20"/>
  <c r="CH22" i="62"/>
  <c r="AT1100" i="20"/>
  <c r="AT1304" i="20"/>
  <c r="AT865" i="20"/>
  <c r="AT433" i="20"/>
  <c r="AT971" i="20"/>
  <c r="AT869" i="20"/>
  <c r="AT901" i="20"/>
  <c r="AT1268" i="20"/>
  <c r="AT805" i="20"/>
  <c r="AT557" i="20"/>
  <c r="AT172" i="20"/>
  <c r="AT239" i="20"/>
  <c r="AT603" i="20"/>
  <c r="AT621" i="20"/>
  <c r="AT1103" i="20"/>
  <c r="AT1099" i="20"/>
  <c r="AT757" i="20"/>
  <c r="AT1030" i="20"/>
  <c r="AT1168" i="20"/>
  <c r="AT610" i="20"/>
  <c r="AT550" i="20"/>
  <c r="AT1032" i="20"/>
  <c r="L15" i="36"/>
  <c r="O15" i="36" s="1"/>
  <c r="AT21" i="20"/>
  <c r="CH29" i="62"/>
  <c r="CH27" i="62"/>
  <c r="E16" i="43"/>
  <c r="AC16" i="43" s="1"/>
  <c r="P28" i="36"/>
  <c r="P9" i="36"/>
  <c r="M27" i="36"/>
  <c r="E17" i="43"/>
  <c r="I17" i="43" s="1"/>
  <c r="N13" i="36"/>
  <c r="AA8" i="66" s="1"/>
  <c r="P22" i="36"/>
  <c r="P7" i="36"/>
  <c r="P12" i="36"/>
  <c r="L12" i="36" s="1"/>
  <c r="O12" i="36" s="1"/>
  <c r="M12" i="36"/>
  <c r="K40" i="37"/>
  <c r="P24" i="36"/>
  <c r="P20" i="36"/>
  <c r="P16" i="36"/>
  <c r="AO47" i="40"/>
  <c r="AO58" i="40"/>
  <c r="P27" i="36"/>
  <c r="L27" i="36" s="1"/>
  <c r="O27" i="36" s="1"/>
  <c r="P23" i="36"/>
  <c r="P19" i="36"/>
  <c r="P8" i="36"/>
  <c r="N12" i="43"/>
  <c r="R12" i="43" s="1"/>
  <c r="AO52" i="40"/>
  <c r="C29" i="36"/>
  <c r="P25" i="36"/>
  <c r="P21" i="36"/>
  <c r="P17" i="36"/>
  <c r="P10" i="36"/>
  <c r="AO62" i="40"/>
  <c r="AO56" i="40"/>
  <c r="E41" i="40"/>
  <c r="AK67" i="40"/>
  <c r="I34" i="40" s="1"/>
  <c r="AJ41" i="40"/>
  <c r="H35" i="40" s="1"/>
  <c r="P14" i="36"/>
  <c r="M15" i="36"/>
  <c r="C32" i="40"/>
  <c r="O40" i="37"/>
  <c r="P26" i="36"/>
  <c r="P18" i="36"/>
  <c r="M11" i="36"/>
  <c r="N15" i="36"/>
  <c r="AA10" i="66" s="1"/>
  <c r="L11" i="36"/>
  <c r="O11" i="36" s="1"/>
  <c r="N11" i="36"/>
  <c r="G29" i="36"/>
  <c r="F29" i="36"/>
  <c r="J29" i="36"/>
  <c r="H29" i="36"/>
  <c r="D29" i="36"/>
  <c r="I29" i="36"/>
  <c r="E29" i="36"/>
  <c r="AF7" i="14"/>
  <c r="AH7" i="14" s="1"/>
  <c r="AF110" i="14"/>
  <c r="AH110" i="14" s="1"/>
  <c r="AF14" i="14"/>
  <c r="AH14" i="14" s="1"/>
  <c r="K17" i="36"/>
  <c r="M17" i="36" s="1"/>
  <c r="AF642" i="20"/>
  <c r="AJ642" i="20"/>
  <c r="AK630" i="20"/>
  <c r="AP630" i="20"/>
  <c r="AE598" i="20"/>
  <c r="AG598" i="20"/>
  <c r="Z572" i="20"/>
  <c r="AD572" i="20"/>
  <c r="AA558" i="20"/>
  <c r="AH558" i="20"/>
  <c r="AA544" i="20"/>
  <c r="AK544" i="20"/>
  <c r="AB502" i="20"/>
  <c r="AK502" i="20"/>
  <c r="AD478" i="20"/>
  <c r="AL478" i="20"/>
  <c r="AA458" i="20"/>
  <c r="AC458" i="20"/>
  <c r="AI410" i="20"/>
  <c r="AF410" i="20"/>
  <c r="AL406" i="20"/>
  <c r="AO406" i="20"/>
  <c r="AG399" i="20"/>
  <c r="AE399" i="20"/>
  <c r="AC370" i="20"/>
  <c r="AG370" i="20"/>
  <c r="AB370" i="20"/>
  <c r="AJ278" i="20"/>
  <c r="AO278" i="20"/>
  <c r="AG250" i="20"/>
  <c r="AH250" i="20"/>
  <c r="AB219" i="20"/>
  <c r="AE219" i="20"/>
  <c r="AP192" i="20"/>
  <c r="AI192" i="20"/>
  <c r="AK185" i="20"/>
  <c r="Z185" i="20"/>
  <c r="Z66" i="20"/>
  <c r="AI66" i="20"/>
  <c r="AK712" i="20"/>
  <c r="Y712" i="20"/>
  <c r="AG674" i="20"/>
  <c r="AN674" i="20"/>
  <c r="AK666" i="20"/>
  <c r="AJ666" i="20"/>
  <c r="AO494" i="20"/>
  <c r="AJ494" i="20"/>
  <c r="Y494" i="20"/>
  <c r="AA434" i="20"/>
  <c r="AI434" i="20"/>
  <c r="AD423" i="20"/>
  <c r="AG423" i="20"/>
  <c r="AN262" i="20"/>
  <c r="AH262" i="20"/>
  <c r="AB1194" i="20"/>
  <c r="AD1194" i="20"/>
  <c r="AL1198" i="20"/>
  <c r="Y1198" i="20"/>
  <c r="AE1202" i="20"/>
  <c r="AO1202" i="20"/>
  <c r="AH1202" i="20"/>
  <c r="AB1234" i="20"/>
  <c r="AD1234" i="20"/>
  <c r="AK1250" i="20"/>
  <c r="AD1250" i="20"/>
  <c r="AA1278" i="20"/>
  <c r="AO1278" i="20"/>
  <c r="AP1282" i="20"/>
  <c r="AG1282" i="20"/>
  <c r="AH1282" i="20"/>
  <c r="AF1290" i="20"/>
  <c r="AI1290" i="20"/>
  <c r="AK1298" i="20"/>
  <c r="AC1298" i="20"/>
  <c r="AN1310" i="20"/>
  <c r="AG1310" i="20"/>
  <c r="AE1310" i="20"/>
  <c r="AD1314" i="20"/>
  <c r="AK1314" i="20"/>
  <c r="AK1318" i="20"/>
  <c r="AJ1318" i="20"/>
  <c r="AE1318" i="20"/>
  <c r="Z1318" i="20"/>
  <c r="AA1318" i="20"/>
  <c r="AF1322" i="20"/>
  <c r="AD1322" i="20"/>
  <c r="AP1326" i="20"/>
  <c r="AG1326" i="20"/>
  <c r="AC1326" i="20"/>
  <c r="Z1326" i="20"/>
  <c r="AN1326" i="20"/>
  <c r="AH1330" i="20"/>
  <c r="AL1330" i="20"/>
  <c r="AI1330" i="20"/>
  <c r="Y1334" i="20"/>
  <c r="AI1334" i="20"/>
  <c r="AF1334" i="20"/>
  <c r="AN43" i="20"/>
  <c r="AK43" i="20"/>
  <c r="Y93" i="20"/>
  <c r="AC93" i="20"/>
  <c r="AB65" i="20"/>
  <c r="AO65" i="20"/>
  <c r="AK65" i="20"/>
  <c r="AL56" i="20"/>
  <c r="AJ56" i="20"/>
  <c r="AC56" i="20"/>
  <c r="AE1024" i="20"/>
  <c r="AH1024" i="20"/>
  <c r="AG1024" i="20"/>
  <c r="Z1024" i="20"/>
  <c r="AF1024" i="20"/>
  <c r="AI1024" i="20"/>
  <c r="AJ1024" i="20"/>
  <c r="AD1024" i="20"/>
  <c r="AA1024" i="20"/>
  <c r="AC1024" i="20"/>
  <c r="Y1024" i="20"/>
  <c r="AB1024" i="20"/>
  <c r="AD42" i="20"/>
  <c r="Z42" i="20"/>
  <c r="AF42" i="20"/>
  <c r="AK42" i="20"/>
  <c r="AF1041" i="20"/>
  <c r="AB1041" i="20"/>
  <c r="AN1041" i="20"/>
  <c r="AO1041" i="20"/>
  <c r="AE1041" i="20"/>
  <c r="AO961" i="20"/>
  <c r="AB961" i="20"/>
  <c r="AC961" i="20"/>
  <c r="AF961" i="20"/>
  <c r="AN961" i="20"/>
  <c r="AJ1043" i="20"/>
  <c r="AD1043" i="20"/>
  <c r="AI1043" i="20"/>
  <c r="AE1043" i="20"/>
  <c r="AP1043" i="20"/>
  <c r="AO1046" i="20"/>
  <c r="AK1046" i="20"/>
  <c r="AJ1046" i="20"/>
  <c r="AD1046" i="20"/>
  <c r="AH976" i="20"/>
  <c r="AE976" i="20"/>
  <c r="AA976" i="20"/>
  <c r="AN976" i="20"/>
  <c r="AF976" i="20"/>
  <c r="AB976" i="20"/>
  <c r="AG976" i="20"/>
  <c r="AD976" i="20"/>
  <c r="AI976" i="20"/>
  <c r="Y976" i="20"/>
  <c r="AG963" i="20"/>
  <c r="AI963" i="20"/>
  <c r="AN963" i="20"/>
  <c r="AJ963" i="20"/>
  <c r="AA1027" i="20"/>
  <c r="AN1027" i="20"/>
  <c r="AI1027" i="20"/>
  <c r="AB1027" i="20"/>
  <c r="AC1027" i="20"/>
  <c r="AF1027" i="20"/>
  <c r="AO1025" i="20"/>
  <c r="AD1025" i="20"/>
  <c r="AH1025" i="20"/>
  <c r="AL1025" i="20"/>
  <c r="AN1026" i="20"/>
  <c r="AC1026" i="20"/>
  <c r="AB1026" i="20"/>
  <c r="AJ1026" i="20"/>
  <c r="AA1026" i="20"/>
  <c r="AD873" i="20"/>
  <c r="AA873" i="20"/>
  <c r="Y873" i="20"/>
  <c r="AB873" i="20"/>
  <c r="AE873" i="20"/>
  <c r="Z873" i="20"/>
  <c r="AH873" i="20"/>
  <c r="AF873" i="20"/>
  <c r="AK873" i="20"/>
  <c r="AG873" i="20"/>
  <c r="AC873" i="20"/>
  <c r="AN873" i="20"/>
  <c r="AE856" i="20"/>
  <c r="AH856" i="20"/>
  <c r="AJ856" i="20"/>
  <c r="AI856" i="20"/>
  <c r="AN856" i="20"/>
  <c r="AC856" i="20"/>
  <c r="AE232" i="20"/>
  <c r="AJ232" i="20"/>
  <c r="AL232" i="20"/>
  <c r="AD232" i="20"/>
  <c r="AN232" i="20"/>
  <c r="AP232" i="20"/>
  <c r="AG232" i="20"/>
  <c r="AO155" i="20"/>
  <c r="Z155" i="20"/>
  <c r="AL155" i="20"/>
  <c r="AD155" i="20"/>
  <c r="AI155" i="20"/>
  <c r="AP155" i="20"/>
  <c r="Y155" i="20"/>
  <c r="AJ155" i="20"/>
  <c r="AC155" i="20"/>
  <c r="AF155" i="20"/>
  <c r="AE155" i="20"/>
  <c r="AN155" i="20"/>
  <c r="AB155" i="20"/>
  <c r="AG155" i="20"/>
  <c r="AH155" i="20"/>
  <c r="Y74" i="20"/>
  <c r="AB74" i="20"/>
  <c r="AF74" i="20"/>
  <c r="AO74" i="20"/>
  <c r="AG74" i="20"/>
  <c r="AI133" i="20"/>
  <c r="Z133" i="20"/>
  <c r="AE133" i="20"/>
  <c r="AD133" i="20"/>
  <c r="AD131" i="20"/>
  <c r="AI131" i="20"/>
  <c r="AJ131" i="20"/>
  <c r="AP131" i="20"/>
  <c r="AG131" i="20"/>
  <c r="AB131" i="20"/>
  <c r="AK861" i="20"/>
  <c r="Y861" i="20"/>
  <c r="Z861" i="20"/>
  <c r="AF861" i="20"/>
  <c r="AL861" i="20"/>
  <c r="AJ861" i="20"/>
  <c r="AI134" i="20"/>
  <c r="AH134" i="20"/>
  <c r="AB134" i="20"/>
  <c r="AE134" i="20"/>
  <c r="AD134" i="20"/>
  <c r="AF79" i="20"/>
  <c r="AI79" i="20"/>
  <c r="AE79" i="20"/>
  <c r="AG79" i="20"/>
  <c r="AB79" i="20"/>
  <c r="Z79" i="20"/>
  <c r="AH79" i="20"/>
  <c r="AP227" i="20"/>
  <c r="AC227" i="20"/>
  <c r="AG227" i="20"/>
  <c r="AL227" i="20"/>
  <c r="AI227" i="20"/>
  <c r="AL225" i="20"/>
  <c r="AB225" i="20"/>
  <c r="Z225" i="20"/>
  <c r="AD225" i="20"/>
  <c r="AF225" i="20"/>
  <c r="AN225" i="20"/>
  <c r="AJ225" i="20"/>
  <c r="Y225" i="20"/>
  <c r="AI225" i="20"/>
  <c r="AE225" i="20"/>
  <c r="AK146" i="20"/>
  <c r="AI146" i="20"/>
  <c r="AH146" i="20"/>
  <c r="AB146" i="20"/>
  <c r="AL146" i="20"/>
  <c r="AA229" i="20"/>
  <c r="AF229" i="20"/>
  <c r="AB229" i="20"/>
  <c r="AK229" i="20"/>
  <c r="AN229" i="20"/>
  <c r="AC229" i="20"/>
  <c r="AG229" i="20"/>
  <c r="AH229" i="20"/>
  <c r="AF76" i="20"/>
  <c r="AJ76" i="20"/>
  <c r="Z76" i="20"/>
  <c r="AL76" i="20"/>
  <c r="AG76" i="20"/>
  <c r="Y76" i="20"/>
  <c r="AD76" i="20"/>
  <c r="AN76" i="20"/>
  <c r="AK76" i="20"/>
  <c r="AH76" i="20"/>
  <c r="AC76" i="20"/>
  <c r="AA76" i="20"/>
  <c r="AB76" i="20"/>
  <c r="AA223" i="20"/>
  <c r="AO223" i="20"/>
  <c r="AE223" i="20"/>
  <c r="AF223" i="20"/>
  <c r="AB87" i="20"/>
  <c r="AI87" i="20"/>
  <c r="Y87" i="20"/>
  <c r="AD87" i="20"/>
  <c r="AF87" i="20"/>
  <c r="AO230" i="20"/>
  <c r="AD230" i="20"/>
  <c r="AG230" i="20"/>
  <c r="AB230" i="20"/>
  <c r="Z230" i="20"/>
  <c r="AG145" i="20"/>
  <c r="Z145" i="20"/>
  <c r="AD145" i="20"/>
  <c r="AB145" i="20"/>
  <c r="AP233" i="20"/>
  <c r="AF233" i="20"/>
  <c r="AJ233" i="20"/>
  <c r="AN233" i="20"/>
  <c r="Y233" i="20"/>
  <c r="AD233" i="20"/>
  <c r="Z233" i="20"/>
  <c r="AG233" i="20"/>
  <c r="AK233" i="20"/>
  <c r="AB233" i="20"/>
  <c r="Z78" i="20"/>
  <c r="AP78" i="20"/>
  <c r="AO78" i="20"/>
  <c r="AF78" i="20"/>
  <c r="AI78" i="20"/>
  <c r="AK78" i="20"/>
  <c r="AH78" i="20"/>
  <c r="AD78" i="20"/>
  <c r="AB224" i="20"/>
  <c r="AC224" i="20"/>
  <c r="AK224" i="20"/>
  <c r="AG224" i="20"/>
  <c r="AH224" i="20"/>
  <c r="Y224" i="20"/>
  <c r="AB231" i="20"/>
  <c r="AD231" i="20"/>
  <c r="Y231" i="20"/>
  <c r="AL154" i="20"/>
  <c r="AN154" i="20"/>
  <c r="AD154" i="20"/>
  <c r="AG154" i="20"/>
  <c r="AI129" i="20"/>
  <c r="AB129" i="20"/>
  <c r="AA129" i="20"/>
  <c r="AF129" i="20"/>
  <c r="AJ129" i="20"/>
  <c r="AD129" i="20"/>
  <c r="AK129" i="20"/>
  <c r="AJ147" i="20"/>
  <c r="AN147" i="20"/>
  <c r="AL147" i="20"/>
  <c r="AH147" i="20"/>
  <c r="AK148" i="20"/>
  <c r="AH148" i="20"/>
  <c r="AP148" i="20"/>
  <c r="AL148" i="20"/>
  <c r="AO60" i="20"/>
  <c r="AL60" i="20"/>
  <c r="AE60" i="20"/>
  <c r="Y60" i="20"/>
  <c r="AG60" i="20"/>
  <c r="AF60" i="20"/>
  <c r="Z60" i="20"/>
  <c r="AA60" i="20"/>
  <c r="AD60" i="20"/>
  <c r="AH60" i="20"/>
  <c r="AN60" i="20"/>
  <c r="AJ149" i="20"/>
  <c r="AE149" i="20"/>
  <c r="AC149" i="20"/>
  <c r="AI149" i="20"/>
  <c r="AA149" i="20"/>
  <c r="AN149" i="20"/>
  <c r="AC151" i="20"/>
  <c r="AB151" i="20"/>
  <c r="AH151" i="20"/>
  <c r="AJ151" i="20"/>
  <c r="AN151" i="20"/>
  <c r="AD151" i="20"/>
  <c r="AH150" i="20"/>
  <c r="AN150" i="20"/>
  <c r="AK150" i="20"/>
  <c r="AA150" i="20"/>
  <c r="AI150" i="20"/>
  <c r="Y150" i="20"/>
  <c r="AJ150" i="20"/>
  <c r="AF150" i="20"/>
  <c r="AE150" i="20"/>
  <c r="AB150" i="20"/>
  <c r="AF69" i="20"/>
  <c r="AA69" i="20"/>
  <c r="AL69" i="20"/>
  <c r="AP44" i="20"/>
  <c r="AE44" i="20"/>
  <c r="AL44" i="20"/>
  <c r="AH44" i="20"/>
  <c r="AJ44" i="20"/>
  <c r="Y44" i="20"/>
  <c r="AG44" i="20"/>
  <c r="AO104" i="20"/>
  <c r="AC104" i="20"/>
  <c r="AK104" i="20"/>
  <c r="AP104" i="20"/>
  <c r="AE104" i="20"/>
  <c r="AL104" i="20"/>
  <c r="AF178" i="20"/>
  <c r="AH178" i="20"/>
  <c r="AG178" i="20"/>
  <c r="AI178" i="20"/>
  <c r="AE178" i="20"/>
  <c r="AP48" i="20"/>
  <c r="AD48" i="20"/>
  <c r="AN48" i="20"/>
  <c r="AC48" i="20"/>
  <c r="AH48" i="20"/>
  <c r="AA48" i="20"/>
  <c r="AB48" i="20"/>
  <c r="AJ71" i="20"/>
  <c r="AN71" i="20"/>
  <c r="AE71" i="20"/>
  <c r="AK71" i="20"/>
  <c r="AG71" i="20"/>
  <c r="AC71" i="20"/>
  <c r="AA71" i="20"/>
  <c r="Z71" i="20"/>
  <c r="AD100" i="20"/>
  <c r="AE100" i="20"/>
  <c r="Y100" i="20"/>
  <c r="AK100" i="20"/>
  <c r="AP100" i="20"/>
  <c r="Y107" i="20"/>
  <c r="AA107" i="20"/>
  <c r="AC107" i="20"/>
  <c r="AD107" i="20"/>
  <c r="AL107" i="20"/>
  <c r="AH107" i="20"/>
  <c r="AK107" i="20"/>
  <c r="AN107" i="20"/>
  <c r="AB107" i="20"/>
  <c r="AI107" i="20"/>
  <c r="AJ107" i="20"/>
  <c r="AO98" i="20"/>
  <c r="AC98" i="20"/>
  <c r="Y98" i="20"/>
  <c r="AG98" i="20"/>
  <c r="AK98" i="20"/>
  <c r="AN98" i="20"/>
  <c r="AI98" i="20"/>
  <c r="AE98" i="20"/>
  <c r="AL98" i="20"/>
  <c r="AB98" i="20"/>
  <c r="AF98" i="20"/>
  <c r="AO883" i="20"/>
  <c r="AH883" i="20"/>
  <c r="AI883" i="20"/>
  <c r="AN883" i="20"/>
  <c r="AK883" i="20"/>
  <c r="AA883" i="20"/>
  <c r="AJ883" i="20"/>
  <c r="AE883" i="20"/>
  <c r="AC883" i="20"/>
  <c r="AD883" i="20"/>
  <c r="AF883" i="20"/>
  <c r="AP883" i="20"/>
  <c r="AL883" i="20"/>
  <c r="Y883" i="20"/>
  <c r="AH886" i="20"/>
  <c r="Z886" i="20"/>
  <c r="AK886" i="20"/>
  <c r="AC886" i="20"/>
  <c r="AI886" i="20"/>
  <c r="AD886" i="20"/>
  <c r="AN886" i="20"/>
  <c r="Y886" i="20"/>
  <c r="AR1320" i="20"/>
  <c r="AT1320" i="20"/>
  <c r="AR1288" i="20"/>
  <c r="AT1288" i="20"/>
  <c r="AR1264" i="20"/>
  <c r="AT1264" i="20"/>
  <c r="AR1236" i="20"/>
  <c r="AT1236" i="20"/>
  <c r="AR1224" i="20"/>
  <c r="AT1224" i="20"/>
  <c r="AR1192" i="20"/>
  <c r="AT1192" i="20"/>
  <c r="AR1148" i="20"/>
  <c r="AT1148" i="20"/>
  <c r="AR44" i="20"/>
  <c r="AT44" i="20"/>
  <c r="AR81" i="20"/>
  <c r="AT81" i="20"/>
  <c r="AR103" i="20"/>
  <c r="AT103" i="20"/>
  <c r="AR148" i="20"/>
  <c r="AT148" i="20"/>
  <c r="AR199" i="20"/>
  <c r="AT199" i="20"/>
  <c r="AR230" i="20"/>
  <c r="AT230" i="20"/>
  <c r="AR269" i="20"/>
  <c r="AT269" i="20"/>
  <c r="AR312" i="20"/>
  <c r="AT312" i="20"/>
  <c r="AR362" i="20"/>
  <c r="AT362" i="20"/>
  <c r="AR365" i="20"/>
  <c r="AT365" i="20"/>
  <c r="AR369" i="20"/>
  <c r="AT369" i="20"/>
  <c r="AR387" i="20"/>
  <c r="AT387" i="20"/>
  <c r="AR412" i="20"/>
  <c r="AT412" i="20"/>
  <c r="AR430" i="20"/>
  <c r="AT430" i="20"/>
  <c r="AR443" i="20"/>
  <c r="AT443" i="20"/>
  <c r="AR456" i="20"/>
  <c r="AT456" i="20"/>
  <c r="AR481" i="20"/>
  <c r="AT481" i="20"/>
  <c r="AR553" i="20"/>
  <c r="AT553" i="20"/>
  <c r="AR537" i="20"/>
  <c r="AT537" i="20"/>
  <c r="AR654" i="20"/>
  <c r="AT654" i="20"/>
  <c r="AR648" i="20"/>
  <c r="AT648" i="20"/>
  <c r="AR709" i="20"/>
  <c r="AT709" i="20"/>
  <c r="AR748" i="20"/>
  <c r="AT748" i="20"/>
  <c r="AR796" i="20"/>
  <c r="AT796" i="20"/>
  <c r="AR801" i="20"/>
  <c r="AT801" i="20"/>
  <c r="AR816" i="20"/>
  <c r="AT816" i="20"/>
  <c r="AR890" i="20"/>
  <c r="AT890" i="20"/>
  <c r="AR969" i="20"/>
  <c r="AT969" i="20"/>
  <c r="AR1005" i="20"/>
  <c r="AT1005" i="20"/>
  <c r="AR1009" i="20"/>
  <c r="AT1009" i="20"/>
  <c r="AR1053" i="20"/>
  <c r="AT1053" i="20"/>
  <c r="AR1072" i="20"/>
  <c r="AT1072" i="20"/>
  <c r="AR1073" i="20"/>
  <c r="AT1073" i="20"/>
  <c r="AT1038" i="20"/>
  <c r="AT809" i="20"/>
  <c r="AT401" i="20"/>
  <c r="AT792" i="20"/>
  <c r="AT460" i="20"/>
  <c r="AT1124" i="20"/>
  <c r="AT840" i="20"/>
  <c r="AT939" i="20"/>
  <c r="AT776" i="20"/>
  <c r="AT521" i="20"/>
  <c r="AT232" i="20"/>
  <c r="AT291" i="20"/>
  <c r="AO29" i="20"/>
  <c r="AT1057" i="20"/>
  <c r="AT893" i="20"/>
  <c r="AF65" i="20"/>
  <c r="AT1332" i="20"/>
  <c r="AT1300" i="20"/>
  <c r="AT1256" i="20"/>
  <c r="AT1212" i="20"/>
  <c r="AF66" i="20"/>
  <c r="Y690" i="20"/>
  <c r="AF634" i="20"/>
  <c r="AK562" i="20"/>
  <c r="Y498" i="20"/>
  <c r="AE428" i="20"/>
  <c r="AB382" i="20"/>
  <c r="AF207" i="20"/>
  <c r="AT573" i="20"/>
  <c r="Z442" i="20"/>
  <c r="AO517" i="20"/>
  <c r="AP610" i="20"/>
  <c r="AA622" i="20"/>
  <c r="AE538" i="20"/>
  <c r="AE199" i="20"/>
  <c r="AC117" i="20"/>
  <c r="AB455" i="20"/>
  <c r="D16" i="37" s="1"/>
  <c r="AO598" i="20"/>
  <c r="AP712" i="20"/>
  <c r="AE674" i="20"/>
  <c r="Y163" i="20"/>
  <c r="AD410" i="20"/>
  <c r="AH594" i="20"/>
  <c r="AT188" i="20"/>
  <c r="AT905" i="20"/>
  <c r="AP963" i="20"/>
  <c r="Y576" i="20"/>
  <c r="AJ517" i="20"/>
  <c r="AD223" i="20"/>
  <c r="Z134" i="20"/>
  <c r="AL134" i="20"/>
  <c r="AO134" i="20"/>
  <c r="AH133" i="20"/>
  <c r="AC100" i="20"/>
  <c r="AL100" i="20"/>
  <c r="AD178" i="20"/>
  <c r="AA178" i="20"/>
  <c r="AP154" i="20"/>
  <c r="AH154" i="20"/>
  <c r="AJ223" i="20"/>
  <c r="Z223" i="20"/>
  <c r="AD146" i="20"/>
  <c r="AG146" i="20"/>
  <c r="AP146" i="20"/>
  <c r="AJ133" i="20"/>
  <c r="AN133" i="20"/>
  <c r="AL133" i="20"/>
  <c r="AE963" i="20"/>
  <c r="Y963" i="20"/>
  <c r="AA963" i="20"/>
  <c r="AH1043" i="20"/>
  <c r="AF1043" i="20"/>
  <c r="AG1043" i="20"/>
  <c r="AN42" i="20"/>
  <c r="Y42" i="20"/>
  <c r="AI42" i="20"/>
  <c r="AJ65" i="20"/>
  <c r="Y462" i="20"/>
  <c r="AT123" i="20"/>
  <c r="AT260" i="20"/>
  <c r="AI48" i="20"/>
  <c r="AO231" i="20"/>
  <c r="AC146" i="20"/>
  <c r="AT381" i="20"/>
  <c r="AC178" i="20"/>
  <c r="AI961" i="20"/>
  <c r="AT1026" i="20"/>
  <c r="AT1089" i="20"/>
  <c r="AT324" i="20"/>
  <c r="AT738" i="20"/>
  <c r="AI71" i="20"/>
  <c r="Y71" i="20"/>
  <c r="AD98" i="20"/>
  <c r="AE107" i="20"/>
  <c r="AE1026" i="20"/>
  <c r="AC1041" i="20"/>
  <c r="AL151" i="20"/>
  <c r="AE147" i="20"/>
  <c r="AA78" i="20"/>
  <c r="AE227" i="20"/>
  <c r="AI74" i="20"/>
  <c r="AD961" i="20"/>
  <c r="AB44" i="20"/>
  <c r="AD147" i="20"/>
  <c r="AE78" i="20"/>
  <c r="AI861" i="20"/>
  <c r="AN1025" i="20"/>
  <c r="AF104" i="20"/>
  <c r="AI44" i="20"/>
  <c r="Z151" i="20"/>
  <c r="AD149" i="20"/>
  <c r="AK147" i="20"/>
  <c r="Y147" i="20"/>
  <c r="AE231" i="20"/>
  <c r="AB78" i="20"/>
  <c r="AH230" i="20"/>
  <c r="AN227" i="20"/>
  <c r="AE861" i="20"/>
  <c r="AC74" i="20"/>
  <c r="AG856" i="20"/>
  <c r="AB856" i="20"/>
  <c r="Y1025" i="20"/>
  <c r="AH961" i="20"/>
  <c r="Y1062" i="20"/>
  <c r="Y961" i="20"/>
  <c r="AC231" i="20"/>
  <c r="AL873" i="20"/>
  <c r="AL1024" i="20"/>
  <c r="AL233" i="20"/>
  <c r="AC233" i="20"/>
  <c r="AI56" i="20"/>
  <c r="AI76" i="20"/>
  <c r="AI873" i="20"/>
  <c r="AJ976" i="20"/>
  <c r="AA155" i="20"/>
  <c r="Z1330" i="20"/>
  <c r="AL1314" i="20"/>
  <c r="AJ98" i="20"/>
  <c r="AG883" i="20"/>
  <c r="AF1025" i="20"/>
  <c r="AJ227" i="20"/>
  <c r="AK1041" i="20"/>
  <c r="Z148" i="20"/>
  <c r="AE886" i="20"/>
  <c r="AT183" i="20"/>
  <c r="AT133" i="20"/>
  <c r="AT920" i="20"/>
  <c r="AT477" i="20"/>
  <c r="AT773" i="20"/>
  <c r="AT737" i="20"/>
  <c r="AT881" i="20"/>
  <c r="AT374" i="20"/>
  <c r="AT723" i="20"/>
  <c r="AT1328" i="20"/>
  <c r="AT1284" i="20"/>
  <c r="AT1248" i="20"/>
  <c r="AT1208" i="20"/>
  <c r="AD66" i="20"/>
  <c r="AI674" i="20"/>
  <c r="Y613" i="20"/>
  <c r="AA482" i="20"/>
  <c r="Y426" i="20"/>
  <c r="AN282" i="20"/>
  <c r="Y246" i="20"/>
  <c r="AF203" i="20"/>
  <c r="AC122" i="20"/>
  <c r="AI219" i="20"/>
  <c r="AO219" i="20"/>
  <c r="AH442" i="20"/>
  <c r="Y562" i="20"/>
  <c r="AB655" i="20"/>
  <c r="AI693" i="20"/>
  <c r="AB606" i="20"/>
  <c r="Z567" i="20"/>
  <c r="AK402" i="20"/>
  <c r="AC262" i="20"/>
  <c r="AK199" i="20"/>
  <c r="AH586" i="20"/>
  <c r="AT278" i="20"/>
  <c r="AP118" i="20"/>
  <c r="AN402" i="20"/>
  <c r="AC613" i="20"/>
  <c r="AF662" i="20"/>
  <c r="AA610" i="20"/>
  <c r="Y386" i="20"/>
  <c r="AH266" i="20"/>
  <c r="AC113" i="20"/>
  <c r="AT540" i="20"/>
  <c r="AP127" i="20"/>
  <c r="AO462" i="20"/>
  <c r="AC606" i="20"/>
  <c r="AT645" i="20"/>
  <c r="AO178" i="20"/>
  <c r="AO1043" i="20"/>
  <c r="AC134" i="20"/>
  <c r="AN134" i="20"/>
  <c r="AP134" i="20"/>
  <c r="AL223" i="20"/>
  <c r="AT942" i="20"/>
  <c r="AT994" i="20"/>
  <c r="AF100" i="20"/>
  <c r="AI100" i="20"/>
  <c r="Y178" i="20"/>
  <c r="AF154" i="20"/>
  <c r="AA154" i="20"/>
  <c r="AG223" i="20"/>
  <c r="AK223" i="20"/>
  <c r="AH223" i="20"/>
  <c r="AA146" i="20"/>
  <c r="Z146" i="20"/>
  <c r="AO146" i="20"/>
  <c r="AA133" i="20"/>
  <c r="AB133" i="20"/>
  <c r="AF133" i="20"/>
  <c r="Z963" i="20"/>
  <c r="AC963" i="20"/>
  <c r="AB963" i="20"/>
  <c r="AN1043" i="20"/>
  <c r="AA1043" i="20"/>
  <c r="Z1043" i="20"/>
  <c r="AA42" i="20"/>
  <c r="AB42" i="20"/>
  <c r="AO42" i="20"/>
  <c r="Y65" i="20"/>
  <c r="AK586" i="20"/>
  <c r="AT1015" i="20"/>
  <c r="AT1077" i="20"/>
  <c r="AT985" i="20"/>
  <c r="AT935" i="20"/>
  <c r="AT508" i="20"/>
  <c r="AF48" i="20"/>
  <c r="AT1095" i="20"/>
  <c r="AT954" i="20"/>
  <c r="AK154" i="20"/>
  <c r="AI223" i="20"/>
  <c r="AA74" i="20"/>
  <c r="AP961" i="20"/>
  <c r="AT273" i="20"/>
  <c r="AT1082" i="20"/>
  <c r="AF71" i="20"/>
  <c r="AE48" i="20"/>
  <c r="AH98" i="20"/>
  <c r="Y131" i="20"/>
  <c r="AK1026" i="20"/>
  <c r="AD1041" i="20"/>
  <c r="AA104" i="20"/>
  <c r="Z149" i="20"/>
  <c r="Z231" i="20"/>
  <c r="AL230" i="20"/>
  <c r="AH861" i="20"/>
  <c r="AK856" i="20"/>
  <c r="AA961" i="20"/>
  <c r="Y151" i="20"/>
  <c r="AI147" i="20"/>
  <c r="AC230" i="20"/>
  <c r="AJ74" i="20"/>
  <c r="AK1025" i="20"/>
  <c r="AD104" i="20"/>
  <c r="Y104" i="20"/>
  <c r="AA44" i="20"/>
  <c r="AI151" i="20"/>
  <c r="AK149" i="20"/>
  <c r="AA147" i="20"/>
  <c r="AF147" i="20"/>
  <c r="AN231" i="20"/>
  <c r="AL78" i="20"/>
  <c r="Y230" i="20"/>
  <c r="AK227" i="20"/>
  <c r="AF227" i="20"/>
  <c r="AN861" i="20"/>
  <c r="AL74" i="20"/>
  <c r="AF856" i="20"/>
  <c r="AE1025" i="20"/>
  <c r="Z1025" i="20"/>
  <c r="Z961" i="20"/>
  <c r="Z850" i="20"/>
  <c r="AT999" i="20"/>
  <c r="AI104" i="20"/>
  <c r="AJ78" i="20"/>
  <c r="AB60" i="20"/>
  <c r="AJ104" i="20"/>
  <c r="AI233" i="20"/>
  <c r="AJ60" i="20"/>
  <c r="AE76" i="20"/>
  <c r="AJ873" i="20"/>
  <c r="AK1024" i="20"/>
  <c r="AL976" i="20"/>
  <c r="AJ1310" i="20"/>
  <c r="AC1334" i="20"/>
  <c r="AF107" i="20"/>
  <c r="AA98" i="20"/>
  <c r="AB883" i="20"/>
  <c r="AG961" i="20"/>
  <c r="AN69" i="20"/>
  <c r="AA87" i="20"/>
  <c r="AO87" i="20"/>
  <c r="AP886" i="20"/>
  <c r="AT962" i="20"/>
  <c r="AT598" i="20"/>
  <c r="AT697" i="20"/>
  <c r="AT822" i="20"/>
  <c r="AT213" i="20"/>
  <c r="AT349" i="20"/>
  <c r="AT248" i="20"/>
  <c r="AT565" i="20"/>
  <c r="AT209" i="20"/>
  <c r="AT987" i="20"/>
  <c r="AT1312" i="20"/>
  <c r="AT1280" i="20"/>
  <c r="AT1240" i="20"/>
  <c r="AT1184" i="20"/>
  <c r="AN66" i="20"/>
  <c r="AF674" i="20"/>
  <c r="AB594" i="20"/>
  <c r="AF522" i="20"/>
  <c r="AK471" i="20"/>
  <c r="AN399" i="20"/>
  <c r="AL282" i="20"/>
  <c r="AF173" i="20"/>
  <c r="AI113" i="20"/>
  <c r="AL554" i="20"/>
  <c r="AE246" i="20"/>
  <c r="AF471" i="20"/>
  <c r="AF690" i="20"/>
  <c r="AB576" i="20"/>
  <c r="AG386" i="20"/>
  <c r="AC246" i="20"/>
  <c r="AC406" i="20"/>
  <c r="AK598" i="20"/>
  <c r="AT1085" i="20"/>
  <c r="AO199" i="20"/>
  <c r="AG522" i="20"/>
  <c r="AP649" i="20"/>
  <c r="AA517" i="20"/>
  <c r="Z246" i="20"/>
  <c r="AD502" i="20"/>
  <c r="AB622" i="20"/>
  <c r="AT1065" i="20"/>
  <c r="AT629" i="20"/>
  <c r="AP178" i="20"/>
  <c r="AT873" i="20"/>
  <c r="AH65" i="20"/>
  <c r="AT862" i="20"/>
  <c r="AT724" i="20"/>
  <c r="AJ154" i="20"/>
  <c r="AT332" i="20"/>
  <c r="AA134" i="20"/>
  <c r="AF134" i="20"/>
  <c r="AN113" i="20"/>
  <c r="AD551" i="20"/>
  <c r="AT416" i="20"/>
  <c r="AT733" i="20"/>
  <c r="AT569" i="20"/>
  <c r="AT1020" i="20"/>
  <c r="Z100" i="20"/>
  <c r="AN100" i="20"/>
  <c r="AB100" i="20"/>
  <c r="AB178" i="20"/>
  <c r="AK178" i="20"/>
  <c r="AE154" i="20"/>
  <c r="AC154" i="20"/>
  <c r="AB154" i="20"/>
  <c r="AN223" i="20"/>
  <c r="Y223" i="20"/>
  <c r="AP223" i="20"/>
  <c r="AJ146" i="20"/>
  <c r="AN146" i="20"/>
  <c r="AC133" i="20"/>
  <c r="Y133" i="20"/>
  <c r="AO133" i="20"/>
  <c r="AH963" i="20"/>
  <c r="AD963" i="20"/>
  <c r="AF963" i="20"/>
  <c r="AK1043" i="20"/>
  <c r="Y1043" i="20"/>
  <c r="AE42" i="20"/>
  <c r="AH42" i="20"/>
  <c r="AC42" i="20"/>
  <c r="AP42" i="20"/>
  <c r="AG65" i="20"/>
  <c r="AT532" i="20"/>
  <c r="AG134" i="20"/>
  <c r="AT502" i="20"/>
  <c r="AT435" i="20"/>
  <c r="AP74" i="20"/>
  <c r="AT672" i="20"/>
  <c r="AE74" i="20"/>
  <c r="AG93" i="20"/>
  <c r="AT932" i="20"/>
  <c r="AT1058" i="20"/>
  <c r="AT1116" i="20"/>
  <c r="AT908" i="20"/>
  <c r="AL71" i="20"/>
  <c r="AK48" i="20"/>
  <c r="AG107" i="20"/>
  <c r="Z131" i="20"/>
  <c r="AC1046" i="20"/>
  <c r="AT894" i="20"/>
  <c r="Z104" i="20"/>
  <c r="AF149" i="20"/>
  <c r="AK231" i="20"/>
  <c r="AA230" i="20"/>
  <c r="AC861" i="20"/>
  <c r="AJ1025" i="20"/>
  <c r="AG104" i="20"/>
  <c r="AG151" i="20"/>
  <c r="AA231" i="20"/>
  <c r="AB227" i="20"/>
  <c r="AD74" i="20"/>
  <c r="AE961" i="20"/>
  <c r="AN104" i="20"/>
  <c r="AK44" i="20"/>
  <c r="AK151" i="20"/>
  <c r="AE151" i="20"/>
  <c r="AG149" i="20"/>
  <c r="AB147" i="20"/>
  <c r="AG231" i="20"/>
  <c r="AF231" i="20"/>
  <c r="AN78" i="20"/>
  <c r="AN230" i="20"/>
  <c r="Y227" i="20"/>
  <c r="AG861" i="20"/>
  <c r="AK74" i="20"/>
  <c r="AL856" i="20"/>
  <c r="AB1025" i="20"/>
  <c r="AC44" i="20"/>
  <c r="AH225" i="20"/>
  <c r="AN44" i="20"/>
  <c r="AA233" i="20"/>
  <c r="AK60" i="20"/>
  <c r="AI60" i="20"/>
  <c r="AA225" i="20"/>
  <c r="AC976" i="20"/>
  <c r="AN1024" i="20"/>
  <c r="AJ231" i="20"/>
  <c r="Z1314" i="20"/>
  <c r="Z883" i="20"/>
  <c r="Z1041" i="20"/>
  <c r="AG1041" i="20"/>
  <c r="AH145" i="20"/>
  <c r="Z365" i="20"/>
  <c r="AH571" i="20"/>
  <c r="AJ701" i="20"/>
  <c r="AI999" i="20"/>
  <c r="AA537" i="20"/>
  <c r="Y996" i="20"/>
  <c r="AF913" i="20"/>
  <c r="AL417" i="20"/>
  <c r="AI1058" i="20"/>
  <c r="AG393" i="20"/>
  <c r="AG661" i="20"/>
  <c r="AJ999" i="20"/>
  <c r="AJ497" i="20"/>
  <c r="AH369" i="20"/>
  <c r="AG521" i="20"/>
  <c r="AH878" i="20"/>
  <c r="AO218" i="20"/>
  <c r="AO800" i="20"/>
  <c r="AO489" i="20"/>
  <c r="AO369" i="20"/>
  <c r="AO215" i="20"/>
  <c r="AO156" i="20"/>
  <c r="AP172" i="20"/>
  <c r="AP497" i="20"/>
  <c r="AF8" i="20"/>
  <c r="AA8" i="20"/>
  <c r="AJ13" i="20"/>
  <c r="AK13" i="20"/>
  <c r="AB18" i="20"/>
  <c r="AN18" i="20"/>
  <c r="AJ33" i="20"/>
  <c r="AL33" i="20"/>
  <c r="AD24" i="20"/>
  <c r="Y24" i="20"/>
  <c r="AH1110" i="20"/>
  <c r="AJ1110" i="20"/>
  <c r="Z1110" i="20"/>
  <c r="AC1104" i="20"/>
  <c r="Z1104" i="20"/>
  <c r="AH1104" i="20"/>
  <c r="Z1102" i="20"/>
  <c r="AL1102" i="20"/>
  <c r="AB1098" i="20"/>
  <c r="AI1098" i="20"/>
  <c r="Z1098" i="20"/>
  <c r="AK1095" i="20"/>
  <c r="AH1095" i="20"/>
  <c r="AF1095" i="20"/>
  <c r="AA1090" i="20"/>
  <c r="AE1090" i="20"/>
  <c r="Z1090" i="20"/>
  <c r="AJ1090" i="20"/>
  <c r="AN1085" i="20"/>
  <c r="AC1085" i="20"/>
  <c r="AD1085" i="20"/>
  <c r="AG1082" i="20"/>
  <c r="AA1082" i="20"/>
  <c r="AK1082" i="20"/>
  <c r="Z1078" i="20"/>
  <c r="AJ1078" i="20"/>
  <c r="AD1078" i="20"/>
  <c r="AO1074" i="20"/>
  <c r="AE1074" i="20"/>
  <c r="AF1074" i="20"/>
  <c r="AE1070" i="20"/>
  <c r="AL1070" i="20"/>
  <c r="AC1070" i="20"/>
  <c r="Z1070" i="20"/>
  <c r="AP1054" i="20"/>
  <c r="AJ1054" i="20"/>
  <c r="AI1047" i="20"/>
  <c r="AB1047" i="20"/>
  <c r="AK1047" i="20"/>
  <c r="AP1010" i="20"/>
  <c r="AG1010" i="20"/>
  <c r="AJ966" i="20"/>
  <c r="AI966" i="20"/>
  <c r="AO966" i="20"/>
  <c r="AD930" i="20"/>
  <c r="AA930" i="20"/>
  <c r="AA921" i="20"/>
  <c r="AH921" i="20"/>
  <c r="AK900" i="20"/>
  <c r="AH900" i="20"/>
  <c r="Y900" i="20"/>
  <c r="AJ867" i="20"/>
  <c r="AD867" i="20"/>
  <c r="Y852" i="20"/>
  <c r="AA852" i="20"/>
  <c r="AO823" i="20"/>
  <c r="AG823" i="20"/>
  <c r="AI797" i="20"/>
  <c r="AC797" i="20"/>
  <c r="AP766" i="20"/>
  <c r="AO766" i="20"/>
  <c r="AP760" i="20"/>
  <c r="AI760" i="20"/>
  <c r="AO728" i="20"/>
  <c r="Y728" i="20"/>
  <c r="AO708" i="20"/>
  <c r="Z708" i="20"/>
  <c r="AH708" i="20"/>
  <c r="AG697" i="20"/>
  <c r="Y697" i="20"/>
  <c r="AO688" i="20"/>
  <c r="AB688" i="20"/>
  <c r="AC669" i="20"/>
  <c r="Y669" i="20"/>
  <c r="AO665" i="20"/>
  <c r="AC665" i="20"/>
  <c r="AO585" i="20"/>
  <c r="AD585" i="20"/>
  <c r="AB581" i="20"/>
  <c r="Y581" i="20"/>
  <c r="AO557" i="20"/>
  <c r="AA557" i="20"/>
  <c r="AO550" i="20"/>
  <c r="AP550" i="20"/>
  <c r="AO532" i="20"/>
  <c r="AJ532" i="20"/>
  <c r="AP516" i="20"/>
  <c r="AB516" i="20"/>
  <c r="AO508" i="20"/>
  <c r="AH508" i="20"/>
  <c r="AO501" i="20"/>
  <c r="AH501" i="20"/>
  <c r="AP465" i="20"/>
  <c r="AO465" i="20"/>
  <c r="AP457" i="20"/>
  <c r="AO457" i="20"/>
  <c r="AL457" i="20"/>
  <c r="AF457" i="20"/>
  <c r="AO453" i="20"/>
  <c r="AI453" i="20"/>
  <c r="AO425" i="20"/>
  <c r="AL425" i="20"/>
  <c r="AN415" i="20"/>
  <c r="AI415" i="20"/>
  <c r="AO417" i="20"/>
  <c r="AP417" i="20"/>
  <c r="AD417" i="20"/>
  <c r="AB417" i="20"/>
  <c r="AP401" i="20"/>
  <c r="AO401" i="20"/>
  <c r="AD401" i="20"/>
  <c r="AG290" i="20"/>
  <c r="AL290" i="20"/>
  <c r="AC290" i="20"/>
  <c r="AP285" i="20"/>
  <c r="AO285" i="20"/>
  <c r="AP261" i="20"/>
  <c r="AL261" i="20"/>
  <c r="AP257" i="20"/>
  <c r="AO257" i="20"/>
  <c r="AI237" i="20"/>
  <c r="AJ237" i="20"/>
  <c r="AP161" i="20"/>
  <c r="AO161" i="20"/>
  <c r="AP136" i="20"/>
  <c r="AH136" i="20"/>
  <c r="AG45" i="20"/>
  <c r="AT91" i="20"/>
  <c r="Y171" i="20"/>
  <c r="AF1312" i="20"/>
  <c r="AB1184" i="20"/>
  <c r="Z1180" i="20"/>
  <c r="AC1320" i="20"/>
  <c r="AA1320" i="20"/>
  <c r="AC1200" i="20"/>
  <c r="Z1304" i="20"/>
  <c r="AL1276" i="20"/>
  <c r="AE1336" i="20"/>
  <c r="AP1324" i="20"/>
  <c r="AC1284" i="20"/>
  <c r="AO1260" i="20"/>
  <c r="AP1240" i="20"/>
  <c r="AH1212" i="20"/>
  <c r="AO1188" i="20"/>
  <c r="AC1146" i="20"/>
  <c r="AB1212" i="20"/>
  <c r="AH1028" i="20"/>
  <c r="AN962" i="20"/>
  <c r="AC964" i="20"/>
  <c r="AC92" i="20"/>
  <c r="Z962" i="20"/>
  <c r="AP177" i="20"/>
  <c r="Y177" i="20"/>
  <c r="AG160" i="20"/>
  <c r="AB92" i="20"/>
  <c r="AG83" i="20"/>
  <c r="AL149" i="20"/>
  <c r="AK230" i="20"/>
  <c r="AC1025" i="20"/>
  <c r="AH233" i="20"/>
  <c r="AC1222" i="20"/>
  <c r="AI1326" i="20"/>
  <c r="AF1270" i="20"/>
  <c r="AH1262" i="20"/>
  <c r="Y148" i="20"/>
  <c r="AD1027" i="20"/>
  <c r="AG69" i="20"/>
  <c r="AE229" i="20"/>
  <c r="AI229" i="20"/>
  <c r="AN1046" i="20"/>
  <c r="AL961" i="20"/>
  <c r="AF131" i="20"/>
  <c r="AL229" i="20"/>
  <c r="AN87" i="20"/>
  <c r="AI148" i="20"/>
  <c r="AL48" i="20"/>
  <c r="AB1046" i="20"/>
  <c r="AA79" i="20"/>
  <c r="AG148" i="20"/>
  <c r="AI69" i="20"/>
  <c r="AH1027" i="20"/>
  <c r="AL131" i="20"/>
  <c r="AC145" i="20"/>
  <c r="AA148" i="20"/>
  <c r="AD71" i="20"/>
  <c r="Z1027" i="20"/>
  <c r="Z232" i="20"/>
  <c r="AA145" i="20"/>
  <c r="AJ148" i="20"/>
  <c r="AB91" i="20"/>
  <c r="AG48" i="20"/>
  <c r="AO233" i="20"/>
  <c r="AO71" i="20"/>
  <c r="AO44" i="20"/>
  <c r="AP98" i="20"/>
  <c r="AI1041" i="20"/>
  <c r="AJ1041" i="20"/>
  <c r="AO1026" i="20"/>
  <c r="Y1026" i="20"/>
  <c r="AO856" i="20"/>
  <c r="AD856" i="20"/>
  <c r="Y79" i="20"/>
  <c r="AL79" i="20"/>
  <c r="AK79" i="20"/>
  <c r="AJ87" i="20"/>
  <c r="AC87" i="20"/>
  <c r="Z87" i="20"/>
  <c r="AK145" i="20"/>
  <c r="AL145" i="20"/>
  <c r="AJ224" i="20"/>
  <c r="Z224" i="20"/>
  <c r="AL129" i="20"/>
  <c r="Z129" i="20"/>
  <c r="Y129" i="20"/>
  <c r="Y69" i="20"/>
  <c r="AD69" i="20"/>
  <c r="AB69" i="20"/>
  <c r="AC69" i="20"/>
  <c r="Z69" i="20"/>
  <c r="AO886" i="20"/>
  <c r="AL886" i="20"/>
  <c r="AG886" i="20"/>
  <c r="AA886" i="20"/>
  <c r="AP962" i="20"/>
  <c r="AE1028" i="20"/>
  <c r="AK1028" i="20"/>
  <c r="AN160" i="20"/>
  <c r="AD110" i="20"/>
  <c r="AE962" i="20"/>
  <c r="AD1228" i="20"/>
  <c r="AO181" i="20"/>
  <c r="AA1066" i="20"/>
  <c r="AO1066" i="20"/>
  <c r="AB984" i="20"/>
  <c r="AJ984" i="20"/>
  <c r="AP720" i="20"/>
  <c r="AO720" i="20"/>
  <c r="AH720" i="20"/>
  <c r="AP681" i="20"/>
  <c r="AO681" i="20"/>
  <c r="AP540" i="20"/>
  <c r="AO540" i="20"/>
  <c r="AP449" i="20"/>
  <c r="AO449" i="20"/>
  <c r="AP437" i="20"/>
  <c r="AO437" i="20"/>
  <c r="AO433" i="20"/>
  <c r="AP433" i="20"/>
  <c r="AP210" i="20"/>
  <c r="AO210" i="20"/>
  <c r="AP1227" i="20"/>
  <c r="AO1227" i="20"/>
  <c r="AO1307" i="20"/>
  <c r="AP1307" i="20"/>
  <c r="Z924" i="20"/>
  <c r="AJ924" i="20"/>
  <c r="AP80" i="20"/>
  <c r="Z80" i="20"/>
  <c r="Y80" i="20"/>
  <c r="AB80" i="20"/>
  <c r="AA80" i="20"/>
  <c r="AD84" i="20"/>
  <c r="Y84" i="20"/>
  <c r="AA84" i="20"/>
  <c r="AO179" i="20"/>
  <c r="AB179" i="20"/>
  <c r="AN179" i="20"/>
  <c r="AI179" i="20"/>
  <c r="AD179" i="20"/>
  <c r="AC179" i="20"/>
  <c r="AJ68" i="20"/>
  <c r="AL68" i="20"/>
  <c r="AA68" i="20"/>
  <c r="AR1179" i="20"/>
  <c r="AT1179" i="20"/>
  <c r="Y83" i="20"/>
  <c r="AH83" i="20"/>
  <c r="AN83" i="20"/>
  <c r="AD83" i="20"/>
  <c r="AA83" i="20"/>
  <c r="AK92" i="20"/>
  <c r="AP92" i="20"/>
  <c r="AA92" i="20"/>
  <c r="AO92" i="20"/>
  <c r="AE92" i="20"/>
  <c r="AA160" i="20"/>
  <c r="AP160" i="20"/>
  <c r="AH160" i="20"/>
  <c r="AI160" i="20"/>
  <c r="AD160" i="20"/>
  <c r="Y160" i="20"/>
  <c r="AG177" i="20"/>
  <c r="AO177" i="20"/>
  <c r="AD177" i="20"/>
  <c r="AK177" i="20"/>
  <c r="AB177" i="20"/>
  <c r="AP64" i="20"/>
  <c r="AC64" i="20"/>
  <c r="AH64" i="20"/>
  <c r="AJ64" i="20"/>
  <c r="AD64" i="20"/>
  <c r="AO64" i="20"/>
  <c r="AN64" i="20"/>
  <c r="AK64" i="20"/>
  <c r="Y64" i="20"/>
  <c r="AL64" i="20"/>
  <c r="AI64" i="20"/>
  <c r="AB64" i="20"/>
  <c r="AG64" i="20"/>
  <c r="AE64" i="20"/>
  <c r="AP54" i="20"/>
  <c r="Z54" i="20"/>
  <c r="AI54" i="20"/>
  <c r="AA54" i="20"/>
  <c r="AN54" i="20"/>
  <c r="AD54" i="20"/>
  <c r="AO54" i="20"/>
  <c r="AO187" i="20"/>
  <c r="AD187" i="20"/>
  <c r="Y187" i="20"/>
  <c r="AH187" i="20"/>
  <c r="AL187" i="20"/>
  <c r="AP55" i="20"/>
  <c r="AI55" i="20"/>
  <c r="AA55" i="20"/>
  <c r="AN55" i="20"/>
  <c r="AK55" i="20"/>
  <c r="AO55" i="20"/>
  <c r="AK1164" i="20"/>
  <c r="AC1164" i="20"/>
  <c r="AP1172" i="20"/>
  <c r="AC1172" i="20"/>
  <c r="AG1192" i="20"/>
  <c r="AO1192" i="20"/>
  <c r="Y1204" i="20"/>
  <c r="AJ1204" i="20"/>
  <c r="AO1208" i="20"/>
  <c r="AG1208" i="20"/>
  <c r="AF1232" i="20"/>
  <c r="AC1232" i="20"/>
  <c r="AJ1244" i="20"/>
  <c r="AO1244" i="20"/>
  <c r="AN1256" i="20"/>
  <c r="Z1256" i="20"/>
  <c r="AB1268" i="20"/>
  <c r="AJ1268" i="20"/>
  <c r="AA1280" i="20"/>
  <c r="AB1280" i="20"/>
  <c r="Z1288" i="20"/>
  <c r="AB1288" i="20"/>
  <c r="AB1296" i="20"/>
  <c r="AK1296" i="20"/>
  <c r="AL1300" i="20"/>
  <c r="AI1300" i="20"/>
  <c r="AO1304" i="20"/>
  <c r="AB1304" i="20"/>
  <c r="AP91" i="20"/>
  <c r="AF91" i="20"/>
  <c r="AN91" i="20"/>
  <c r="AI91" i="20"/>
  <c r="AJ91" i="20"/>
  <c r="Z91" i="20"/>
  <c r="AA91" i="20"/>
  <c r="AO91" i="20"/>
  <c r="AD91" i="20"/>
  <c r="AE91" i="20"/>
  <c r="Y91" i="20"/>
  <c r="AH91" i="20"/>
  <c r="AL91" i="20"/>
  <c r="AA45" i="20"/>
  <c r="AB45" i="20"/>
  <c r="AL45" i="20"/>
  <c r="AJ45" i="20"/>
  <c r="AI45" i="20"/>
  <c r="AC45" i="20"/>
  <c r="AE45" i="20"/>
  <c r="AP45" i="20"/>
  <c r="AN45" i="20"/>
  <c r="Z45" i="20"/>
  <c r="AK45" i="20"/>
  <c r="AP184" i="20"/>
  <c r="AF184" i="20"/>
  <c r="AD184" i="20"/>
  <c r="AK184" i="20"/>
  <c r="Y184" i="20"/>
  <c r="AA184" i="20"/>
  <c r="AC184" i="20"/>
  <c r="AJ184" i="20"/>
  <c r="AO184" i="20"/>
  <c r="AL184" i="20"/>
  <c r="AG184" i="20"/>
  <c r="AH184" i="20"/>
  <c r="AJ181" i="20"/>
  <c r="Z181" i="20"/>
  <c r="AK181" i="20"/>
  <c r="Y181" i="20"/>
  <c r="AP181" i="20"/>
  <c r="AE181" i="20"/>
  <c r="AA181" i="20"/>
  <c r="AH181" i="20"/>
  <c r="AN181" i="20"/>
  <c r="AB181" i="20"/>
  <c r="AG181" i="20"/>
  <c r="AC181" i="20"/>
  <c r="AP1049" i="20"/>
  <c r="AO1049" i="20"/>
  <c r="Y1049" i="20"/>
  <c r="Z1049" i="20"/>
  <c r="AA1049" i="20"/>
  <c r="AF1049" i="20"/>
  <c r="AP964" i="20"/>
  <c r="AI964" i="20"/>
  <c r="AB964" i="20"/>
  <c r="Y964" i="20"/>
  <c r="AL964" i="20"/>
  <c r="AG962" i="20"/>
  <c r="AH962" i="20"/>
  <c r="AI962" i="20"/>
  <c r="AF1028" i="20"/>
  <c r="AG1028" i="20"/>
  <c r="AO1028" i="20"/>
  <c r="AD21" i="20"/>
  <c r="AE21" i="20"/>
  <c r="AA1272" i="20"/>
  <c r="AA1324" i="20"/>
  <c r="AH1252" i="20"/>
  <c r="AF1164" i="20"/>
  <c r="AH1248" i="20"/>
  <c r="AN1188" i="20"/>
  <c r="AN1228" i="20"/>
  <c r="AA1220" i="20"/>
  <c r="AE1256" i="20"/>
  <c r="AK1232" i="20"/>
  <c r="Z1150" i="20"/>
  <c r="Y1240" i="20"/>
  <c r="AD1328" i="20"/>
  <c r="AA1204" i="20"/>
  <c r="AN1284" i="20"/>
  <c r="AD1304" i="20"/>
  <c r="AF1332" i="20"/>
  <c r="AG1324" i="20"/>
  <c r="AO1312" i="20"/>
  <c r="AL1296" i="20"/>
  <c r="AO1280" i="20"/>
  <c r="AP1264" i="20"/>
  <c r="AG1248" i="20"/>
  <c r="AI1228" i="20"/>
  <c r="AG1212" i="20"/>
  <c r="AO1196" i="20"/>
  <c r="AJ1168" i="20"/>
  <c r="AJ1288" i="20"/>
  <c r="Z1028" i="20"/>
  <c r="AG964" i="20"/>
  <c r="Y1028" i="20"/>
  <c r="AB1028" i="20"/>
  <c r="AC160" i="20"/>
  <c r="AP83" i="20"/>
  <c r="AF962" i="20"/>
  <c r="AK964" i="20"/>
  <c r="AF160" i="20"/>
  <c r="AH1260" i="20"/>
  <c r="AD1028" i="20"/>
  <c r="AA962" i="20"/>
  <c r="AK962" i="20"/>
  <c r="Z964" i="20"/>
  <c r="AI177" i="20"/>
  <c r="AA177" i="20"/>
  <c r="Z177" i="20"/>
  <c r="AB160" i="20"/>
  <c r="Z160" i="20"/>
  <c r="AH92" i="20"/>
  <c r="AF92" i="20"/>
  <c r="Z92" i="20"/>
  <c r="AI83" i="20"/>
  <c r="AC83" i="20"/>
  <c r="AB83" i="20"/>
  <c r="AF1328" i="20"/>
  <c r="AJ1184" i="20"/>
  <c r="AI1049" i="20"/>
  <c r="AD1049" i="20"/>
  <c r="Y55" i="20"/>
  <c r="AB187" i="20"/>
  <c r="AJ187" i="20"/>
  <c r="Z55" i="20"/>
  <c r="AG187" i="20"/>
  <c r="Y54" i="20"/>
  <c r="AN187" i="20"/>
  <c r="AF55" i="20"/>
  <c r="AF64" i="20"/>
  <c r="AC91" i="20"/>
  <c r="AE184" i="20"/>
  <c r="AG91" i="20"/>
  <c r="AP187" i="20"/>
  <c r="AD964" i="20"/>
  <c r="AC1028" i="20"/>
  <c r="AJ1028" i="20"/>
  <c r="AO160" i="20"/>
  <c r="AJ962" i="20"/>
  <c r="Y92" i="20"/>
  <c r="AL1028" i="20"/>
  <c r="AL962" i="20"/>
  <c r="AC962" i="20"/>
  <c r="AA964" i="20"/>
  <c r="AL177" i="20"/>
  <c r="AE177" i="20"/>
  <c r="AJ177" i="20"/>
  <c r="AK160" i="20"/>
  <c r="AN92" i="20"/>
  <c r="AI92" i="20"/>
  <c r="AE83" i="20"/>
  <c r="Z83" i="20"/>
  <c r="AJ1276" i="20"/>
  <c r="AF83" i="20"/>
  <c r="AN1049" i="20"/>
  <c r="AE1049" i="20"/>
  <c r="AK1049" i="20"/>
  <c r="AC55" i="20"/>
  <c r="AC187" i="20"/>
  <c r="AH55" i="20"/>
  <c r="Z187" i="20"/>
  <c r="AF187" i="20"/>
  <c r="AH54" i="20"/>
  <c r="AI187" i="20"/>
  <c r="AF54" i="20"/>
  <c r="AA64" i="20"/>
  <c r="AD45" i="20"/>
  <c r="Z184" i="20"/>
  <c r="AB184" i="20"/>
  <c r="AI184" i="20"/>
  <c r="AF181" i="20"/>
  <c r="AF1252" i="20"/>
  <c r="AG92" i="20"/>
  <c r="AJ1049" i="20"/>
  <c r="AL1049" i="20"/>
  <c r="AG1049" i="20"/>
  <c r="AG55" i="20"/>
  <c r="AL54" i="20"/>
  <c r="AB55" i="20"/>
  <c r="AG54" i="20"/>
  <c r="AD55" i="20"/>
  <c r="AJ55" i="20"/>
  <c r="AE187" i="20"/>
  <c r="AK54" i="20"/>
  <c r="AJ54" i="20"/>
  <c r="AE54" i="20"/>
  <c r="Z64" i="20"/>
  <c r="AH45" i="20"/>
  <c r="AI181" i="20"/>
  <c r="AN184" i="20"/>
  <c r="AO45" i="20"/>
  <c r="AT975" i="20"/>
  <c r="AT885" i="20"/>
  <c r="AN1113" i="20"/>
  <c r="AG1117" i="20"/>
  <c r="AA464" i="20"/>
  <c r="AN981" i="20"/>
  <c r="AP1141" i="20"/>
  <c r="AI36" i="20"/>
  <c r="AD899" i="20"/>
  <c r="Y1248" i="20"/>
  <c r="AB1328" i="20"/>
  <c r="AG1280" i="20"/>
  <c r="AD1248" i="20"/>
  <c r="AI1146" i="20"/>
  <c r="AL1200" i="20"/>
  <c r="AC1324" i="20"/>
  <c r="Y1312" i="20"/>
  <c r="AD1200" i="20"/>
  <c r="AI1200" i="20"/>
  <c r="AF1284" i="20"/>
  <c r="AJ1328" i="20"/>
  <c r="AN1200" i="20"/>
  <c r="AK1252" i="20"/>
  <c r="AG1236" i="20"/>
  <c r="AF1324" i="20"/>
  <c r="AJ1324" i="20"/>
  <c r="AD1192" i="20"/>
  <c r="AF1236" i="20"/>
  <c r="AI1272" i="20"/>
  <c r="AC1312" i="20"/>
  <c r="Y1184" i="20"/>
  <c r="AI1308" i="20"/>
  <c r="Y1236" i="20"/>
  <c r="Y1284" i="20"/>
  <c r="AO1324" i="20"/>
  <c r="AA1288" i="20"/>
  <c r="AD1284" i="20"/>
  <c r="AL1252" i="20"/>
  <c r="AP1248" i="20"/>
  <c r="AA1240" i="20"/>
  <c r="AO1228" i="20"/>
  <c r="AH1192" i="20"/>
  <c r="AN1146" i="20"/>
  <c r="AP1158" i="20"/>
  <c r="AD1260" i="20"/>
  <c r="AD1288" i="20"/>
  <c r="AJ1240" i="20"/>
  <c r="Z1192" i="20"/>
  <c r="AD280" i="20"/>
  <c r="AD1057" i="20"/>
  <c r="Y357" i="20"/>
  <c r="AG1137" i="20"/>
  <c r="AD1137" i="20"/>
  <c r="AH983" i="20"/>
  <c r="AP983" i="20"/>
  <c r="AI953" i="20"/>
  <c r="AP953" i="20"/>
  <c r="AO816" i="20"/>
  <c r="AN816" i="20"/>
  <c r="AG604" i="20"/>
  <c r="AL604" i="20"/>
  <c r="Z590" i="20"/>
  <c r="AJ590" i="20"/>
  <c r="AJ524" i="20"/>
  <c r="AK524" i="20"/>
  <c r="AG1150" i="20"/>
  <c r="AK1150" i="20"/>
  <c r="AD1164" i="20"/>
  <c r="AB1164" i="20"/>
  <c r="AE1164" i="20"/>
  <c r="AN1164" i="20"/>
  <c r="AG1168" i="20"/>
  <c r="AA1168" i="20"/>
  <c r="AC1168" i="20"/>
  <c r="AI1176" i="20"/>
  <c r="AK1176" i="20"/>
  <c r="AA1176" i="20"/>
  <c r="AF1176" i="20"/>
  <c r="AF1180" i="20"/>
  <c r="AK1180" i="20"/>
  <c r="AL1180" i="20"/>
  <c r="AN1180" i="20"/>
  <c r="Y1180" i="20"/>
  <c r="AA1184" i="20"/>
  <c r="AE1184" i="20"/>
  <c r="AD1184" i="20"/>
  <c r="Z1188" i="20"/>
  <c r="AL1188" i="20"/>
  <c r="AA1196" i="20"/>
  <c r="AJ1196" i="20"/>
  <c r="AI1196" i="20"/>
  <c r="AD1196" i="20"/>
  <c r="AG1196" i="20"/>
  <c r="AE1196" i="20"/>
  <c r="AF1196" i="20"/>
  <c r="AF1200" i="20"/>
  <c r="Y1200" i="20"/>
  <c r="AD1204" i="20"/>
  <c r="AH1204" i="20"/>
  <c r="AC1204" i="20"/>
  <c r="AL1208" i="20"/>
  <c r="AE1208" i="20"/>
  <c r="AD1212" i="20"/>
  <c r="Y1212" i="20"/>
  <c r="AI1216" i="20"/>
  <c r="AP1216" i="20"/>
  <c r="Y1216" i="20"/>
  <c r="AD1216" i="20"/>
  <c r="AH1220" i="20"/>
  <c r="AC1220" i="20"/>
  <c r="AP1220" i="20"/>
  <c r="Y1220" i="20"/>
  <c r="AB1220" i="20"/>
  <c r="AN1224" i="20"/>
  <c r="AH1224" i="20"/>
  <c r="Z1224" i="20"/>
  <c r="AI1224" i="20"/>
  <c r="AE1232" i="20"/>
  <c r="AA1232" i="20"/>
  <c r="Z1232" i="20"/>
  <c r="AD1232" i="20"/>
  <c r="AE1236" i="20"/>
  <c r="AC1236" i="20"/>
  <c r="AE1244" i="20"/>
  <c r="Z1244" i="20"/>
  <c r="AC1244" i="20"/>
  <c r="AK1244" i="20"/>
  <c r="AC1248" i="20"/>
  <c r="AI1248" i="20"/>
  <c r="AG1256" i="20"/>
  <c r="AI1256" i="20"/>
  <c r="AA1256" i="20"/>
  <c r="AK1256" i="20"/>
  <c r="AI1264" i="20"/>
  <c r="AO1264" i="20"/>
  <c r="AD1264" i="20"/>
  <c r="AI1268" i="20"/>
  <c r="AN1268" i="20"/>
  <c r="AE1272" i="20"/>
  <c r="AB1272" i="20"/>
  <c r="AF1272" i="20"/>
  <c r="AL1272" i="20"/>
  <c r="AP1276" i="20"/>
  <c r="AH1276" i="20"/>
  <c r="AF1280" i="20"/>
  <c r="AD1280" i="20"/>
  <c r="AI1280" i="20"/>
  <c r="AE1280" i="20"/>
  <c r="AG1292" i="20"/>
  <c r="AK1292" i="20"/>
  <c r="AE1292" i="20"/>
  <c r="AA1292" i="20"/>
  <c r="AL1292" i="20"/>
  <c r="AI1292" i="20"/>
  <c r="AG1296" i="20"/>
  <c r="AC1296" i="20"/>
  <c r="AN1300" i="20"/>
  <c r="AJ1300" i="20"/>
  <c r="Z1300" i="20"/>
  <c r="AE1304" i="20"/>
  <c r="AK1304" i="20"/>
  <c r="AF1308" i="20"/>
  <c r="AJ1308" i="20"/>
  <c r="Z1308" i="20"/>
  <c r="AL1312" i="20"/>
  <c r="AB1312" i="20"/>
  <c r="Z1316" i="20"/>
  <c r="AB1316" i="20"/>
  <c r="AO1316" i="20"/>
  <c r="AC1316" i="20"/>
  <c r="AI1316" i="20"/>
  <c r="AO1320" i="20"/>
  <c r="AF1320" i="20"/>
  <c r="Y1320" i="20"/>
  <c r="AI1320" i="20"/>
  <c r="AN1320" i="20"/>
  <c r="AB1324" i="20"/>
  <c r="AL1324" i="20"/>
  <c r="AL1328" i="20"/>
  <c r="AC1328" i="20"/>
  <c r="AI1328" i="20"/>
  <c r="AK1332" i="20"/>
  <c r="AB1332" i="20"/>
  <c r="Z1332" i="20"/>
  <c r="AH1332" i="20"/>
  <c r="AP1336" i="20"/>
  <c r="AF1336" i="20"/>
  <c r="AD99" i="20"/>
  <c r="AI99" i="20"/>
  <c r="AA101" i="20"/>
  <c r="Z101" i="20"/>
  <c r="AA106" i="20"/>
  <c r="AJ106" i="20"/>
  <c r="AC97" i="20"/>
  <c r="AN97" i="20"/>
  <c r="AC183" i="20"/>
  <c r="AE183" i="20"/>
  <c r="AR1316" i="20"/>
  <c r="AT1316" i="20"/>
  <c r="AR1296" i="20"/>
  <c r="AT1296" i="20"/>
  <c r="AR1272" i="20"/>
  <c r="AT1272" i="20"/>
  <c r="AR1252" i="20"/>
  <c r="AT1252" i="20"/>
  <c r="AR1232" i="20"/>
  <c r="AT1232" i="20"/>
  <c r="AR1196" i="20"/>
  <c r="AT1196" i="20"/>
  <c r="AK995" i="20"/>
  <c r="Z995" i="20"/>
  <c r="AH803" i="20"/>
  <c r="AP803" i="20"/>
  <c r="AI792" i="20"/>
  <c r="AG792" i="20"/>
  <c r="AG580" i="20"/>
  <c r="AD580" i="20"/>
  <c r="AB504" i="20"/>
  <c r="Y504" i="20"/>
  <c r="AF236" i="20"/>
  <c r="AL236" i="20"/>
  <c r="AK1154" i="20"/>
  <c r="AP1154" i="20"/>
  <c r="AA1188" i="20"/>
  <c r="AF1220" i="20"/>
  <c r="AA1300" i="20"/>
  <c r="AK1216" i="20"/>
  <c r="AE1204" i="20"/>
  <c r="AG1184" i="20"/>
  <c r="AD1224" i="20"/>
  <c r="AN1252" i="20"/>
  <c r="AI1304" i="20"/>
  <c r="AA1180" i="20"/>
  <c r="AE1264" i="20"/>
  <c r="AN1280" i="20"/>
  <c r="Y1252" i="20"/>
  <c r="Y1150" i="20"/>
  <c r="AD1312" i="20"/>
  <c r="AG1304" i="20"/>
  <c r="AB1180" i="20"/>
  <c r="AJ1284" i="20"/>
  <c r="AJ1176" i="20"/>
  <c r="Z1248" i="20"/>
  <c r="AI1212" i="20"/>
  <c r="AD1168" i="20"/>
  <c r="AA1208" i="20"/>
  <c r="AK1248" i="20"/>
  <c r="AJ1292" i="20"/>
  <c r="AK1336" i="20"/>
  <c r="AE1332" i="20"/>
  <c r="AL1264" i="20"/>
  <c r="AG1220" i="20"/>
  <c r="Y1316" i="20"/>
  <c r="AK1260" i="20"/>
  <c r="Y1332" i="20"/>
  <c r="AO1332" i="20"/>
  <c r="AP1328" i="20"/>
  <c r="AD1320" i="20"/>
  <c r="AL1316" i="20"/>
  <c r="AP1312" i="20"/>
  <c r="Y1304" i="20"/>
  <c r="AO1300" i="20"/>
  <c r="AB1292" i="20"/>
  <c r="AP1288" i="20"/>
  <c r="Y1280" i="20"/>
  <c r="AO1276" i="20"/>
  <c r="AP1268" i="20"/>
  <c r="AJ1260" i="20"/>
  <c r="AP1256" i="20"/>
  <c r="AN1248" i="20"/>
  <c r="AP1244" i="20"/>
  <c r="AB1236" i="20"/>
  <c r="AO1232" i="20"/>
  <c r="AP1224" i="20"/>
  <c r="AB1216" i="20"/>
  <c r="Y1208" i="20"/>
  <c r="AP1204" i="20"/>
  <c r="AH1196" i="20"/>
  <c r="Y1188" i="20"/>
  <c r="AP1184" i="20"/>
  <c r="AA1172" i="20"/>
  <c r="AO1164" i="20"/>
  <c r="AD1154" i="20"/>
  <c r="AH1172" i="20"/>
  <c r="AK1316" i="20"/>
  <c r="AK1308" i="20"/>
  <c r="AN1304" i="20"/>
  <c r="AC1125" i="20"/>
  <c r="AC1121" i="20"/>
  <c r="AE1296" i="20"/>
  <c r="AL59" i="20"/>
  <c r="AA1312" i="20"/>
  <c r="AK1264" i="20"/>
  <c r="AE1220" i="20"/>
  <c r="AO796" i="20"/>
  <c r="AN175" i="20"/>
  <c r="AD560" i="20"/>
  <c r="AH1182" i="20"/>
  <c r="AC1182" i="20"/>
  <c r="AN1214" i="20"/>
  <c r="AF1214" i="20"/>
  <c r="Y1314" i="20"/>
  <c r="AB1314" i="20"/>
  <c r="AF1314" i="20"/>
  <c r="AN1314" i="20"/>
  <c r="AI1314" i="20"/>
  <c r="AC1314" i="20"/>
  <c r="AJ1314" i="20"/>
  <c r="AK1326" i="20"/>
  <c r="AJ1326" i="20"/>
  <c r="AL1326" i="20"/>
  <c r="AD1326" i="20"/>
  <c r="Y1326" i="20"/>
  <c r="AF1326" i="20"/>
  <c r="Z1334" i="20"/>
  <c r="AA1334" i="20"/>
  <c r="AL1334" i="20"/>
  <c r="AD1334" i="20"/>
  <c r="AK1334" i="20"/>
  <c r="AH1334" i="20"/>
  <c r="AG1190" i="20"/>
  <c r="AC1190" i="20"/>
  <c r="AL1230" i="20"/>
  <c r="AK1230" i="20"/>
  <c r="AC1230" i="20"/>
  <c r="AB1246" i="20"/>
  <c r="AE1246" i="20"/>
  <c r="AF1266" i="20"/>
  <c r="AG1266" i="20"/>
  <c r="AO1306" i="20"/>
  <c r="AD1306" i="20"/>
  <c r="AP1310" i="20"/>
  <c r="AF1310" i="20"/>
  <c r="Z1310" i="20"/>
  <c r="AI1310" i="20"/>
  <c r="AL1310" i="20"/>
  <c r="AA1310" i="20"/>
  <c r="AC1310" i="20"/>
  <c r="AK1310" i="20"/>
  <c r="AP1318" i="20"/>
  <c r="AO1318" i="20"/>
  <c r="AG1318" i="20"/>
  <c r="AH1318" i="20"/>
  <c r="AI1318" i="20"/>
  <c r="AF1318" i="20"/>
  <c r="AB1318" i="20"/>
  <c r="Z1322" i="20"/>
  <c r="AB1322" i="20"/>
  <c r="AN1322" i="20"/>
  <c r="AL1322" i="20"/>
  <c r="AA1322" i="20"/>
  <c r="AG1322" i="20"/>
  <c r="AH1322" i="20"/>
  <c r="AI1322" i="20"/>
  <c r="AK1322" i="20"/>
  <c r="Y1322" i="20"/>
  <c r="AP1330" i="20"/>
  <c r="AN1330" i="20"/>
  <c r="AG1330" i="20"/>
  <c r="AB1330" i="20"/>
  <c r="AC1330" i="20"/>
  <c r="AO1330" i="20"/>
  <c r="Y1330" i="20"/>
  <c r="AD1330" i="20"/>
  <c r="AT623" i="20"/>
  <c r="AT586" i="20"/>
  <c r="AT593" i="20"/>
  <c r="AT342" i="20"/>
  <c r="AT426" i="20"/>
  <c r="AT383" i="20"/>
  <c r="AT1120" i="20"/>
  <c r="AT1132" i="20"/>
  <c r="AT179" i="20"/>
  <c r="AT982" i="20"/>
  <c r="AT205" i="20"/>
  <c r="AT852" i="20"/>
  <c r="Z65" i="20"/>
  <c r="AC586" i="20"/>
  <c r="AC567" i="20"/>
  <c r="AC478" i="20"/>
  <c r="AL442" i="20"/>
  <c r="AB406" i="20"/>
  <c r="AN370" i="20"/>
  <c r="AE195" i="20"/>
  <c r="AK462" i="20"/>
  <c r="AG655" i="20"/>
  <c r="AP702" i="20"/>
  <c r="AK702" i="20"/>
  <c r="AA652" i="20"/>
  <c r="AN598" i="20"/>
  <c r="AC522" i="20"/>
  <c r="AE478" i="20"/>
  <c r="AC638" i="20"/>
  <c r="AT458" i="20"/>
  <c r="AE386" i="20"/>
  <c r="Z576" i="20"/>
  <c r="AF712" i="20"/>
  <c r="AT144" i="20"/>
  <c r="AF366" i="20"/>
  <c r="AN199" i="20"/>
  <c r="AI402" i="20"/>
  <c r="AF655" i="20"/>
  <c r="AT512" i="20"/>
  <c r="AT505" i="20"/>
  <c r="AT561" i="20"/>
  <c r="AO47" i="20"/>
  <c r="AA65" i="20"/>
  <c r="AT878" i="20"/>
  <c r="AT925" i="20"/>
  <c r="AT161" i="20"/>
  <c r="AT923" i="20"/>
  <c r="AT73" i="20"/>
  <c r="AA89" i="20"/>
  <c r="AT755" i="20"/>
  <c r="AT928" i="20"/>
  <c r="AT1046" i="20"/>
  <c r="AT117" i="20"/>
  <c r="AT30" i="20"/>
  <c r="AT253" i="20"/>
  <c r="AL820" i="20"/>
  <c r="AE814" i="20"/>
  <c r="AF1330" i="20"/>
  <c r="AG1242" i="20"/>
  <c r="AA1330" i="20"/>
  <c r="AE1330" i="20"/>
  <c r="AE1322" i="20"/>
  <c r="AD1310" i="20"/>
  <c r="Y1310" i="20"/>
  <c r="AL1210" i="20"/>
  <c r="AN1334" i="20"/>
  <c r="AA1326" i="20"/>
  <c r="AB1326" i="20"/>
  <c r="AE1314" i="20"/>
  <c r="AK1302" i="20"/>
  <c r="AN1258" i="20"/>
  <c r="AF1202" i="20"/>
  <c r="AE1334" i="20"/>
  <c r="AJ1334" i="20"/>
  <c r="AN1318" i="20"/>
  <c r="AD1318" i="20"/>
  <c r="AA1314" i="20"/>
  <c r="AG1334" i="20"/>
  <c r="AO1326" i="20"/>
  <c r="G48" i="86"/>
  <c r="J48" i="86" s="1"/>
  <c r="AT158" i="20"/>
  <c r="AT169" i="20"/>
  <c r="AT89" i="20"/>
  <c r="Z1182" i="20"/>
  <c r="AK1330" i="20"/>
  <c r="AJ1330" i="20"/>
  <c r="AC1322" i="20"/>
  <c r="AJ1322" i="20"/>
  <c r="AH1310" i="20"/>
  <c r="Z1242" i="20"/>
  <c r="AE1326" i="20"/>
  <c r="AH1326" i="20"/>
  <c r="AG1314" i="20"/>
  <c r="AH1314" i="20"/>
  <c r="AL1282" i="20"/>
  <c r="Y1318" i="20"/>
  <c r="AB1334" i="20"/>
  <c r="AC1318" i="20"/>
  <c r="AL1318" i="20"/>
  <c r="AH1206" i="20"/>
  <c r="AB1310" i="20"/>
  <c r="AO1310" i="20"/>
  <c r="AP1190" i="20"/>
  <c r="AP1140" i="20"/>
  <c r="AO1140" i="20"/>
  <c r="AP1120" i="20"/>
  <c r="AO1120" i="20"/>
  <c r="AL14" i="20"/>
  <c r="AC14" i="20"/>
  <c r="AK709" i="20"/>
  <c r="AE709" i="20"/>
  <c r="AB709" i="20"/>
  <c r="AC703" i="20"/>
  <c r="AA703" i="20"/>
  <c r="AG703" i="20"/>
  <c r="AF703" i="20"/>
  <c r="AP699" i="20"/>
  <c r="AO699" i="20"/>
  <c r="AL699" i="20"/>
  <c r="AI695" i="20"/>
  <c r="AG695" i="20"/>
  <c r="AH695" i="20"/>
  <c r="Y695" i="20"/>
  <c r="AN687" i="20"/>
  <c r="Y687" i="20"/>
  <c r="AL687" i="20"/>
  <c r="AC687" i="20"/>
  <c r="Z687" i="20"/>
  <c r="Y679" i="20"/>
  <c r="AC679" i="20"/>
  <c r="AK679" i="20"/>
  <c r="AH679" i="20"/>
  <c r="AG679" i="20"/>
  <c r="AF671" i="20"/>
  <c r="AK671" i="20"/>
  <c r="AC671" i="20"/>
  <c r="AJ671" i="20"/>
  <c r="AF663" i="20"/>
  <c r="AJ663" i="20"/>
  <c r="AD663" i="20"/>
  <c r="AH663" i="20"/>
  <c r="AG663" i="20"/>
  <c r="AO659" i="20"/>
  <c r="AC659" i="20"/>
  <c r="AF653" i="20"/>
  <c r="AI653" i="20"/>
  <c r="AA653" i="20"/>
  <c r="AH653" i="20"/>
  <c r="AB653" i="20"/>
  <c r="AB646" i="20"/>
  <c r="AN646" i="20"/>
  <c r="AL646" i="20"/>
  <c r="AH635" i="20"/>
  <c r="Y635" i="20"/>
  <c r="AB635" i="20"/>
  <c r="Y627" i="20"/>
  <c r="AI627" i="20"/>
  <c r="AC619" i="20"/>
  <c r="Z619" i="20"/>
  <c r="AH619" i="20"/>
  <c r="AE611" i="20"/>
  <c r="AN611" i="20"/>
  <c r="AH603" i="20"/>
  <c r="Z603" i="20"/>
  <c r="AD603" i="20"/>
  <c r="AG595" i="20"/>
  <c r="Y595" i="20"/>
  <c r="AN587" i="20"/>
  <c r="AF587" i="20"/>
  <c r="AK587" i="20"/>
  <c r="AP579" i="20"/>
  <c r="AK579" i="20"/>
  <c r="AG577" i="20"/>
  <c r="AJ577" i="20"/>
  <c r="AA577" i="20"/>
  <c r="AD563" i="20"/>
  <c r="AJ563" i="20"/>
  <c r="AG555" i="20"/>
  <c r="AC555" i="20"/>
  <c r="AJ555" i="20"/>
  <c r="AD555" i="20"/>
  <c r="AL545" i="20"/>
  <c r="AA545" i="20"/>
  <c r="AE535" i="20"/>
  <c r="Z535" i="20"/>
  <c r="AN527" i="20"/>
  <c r="AG527" i="20"/>
  <c r="AD527" i="20"/>
  <c r="AK527" i="20"/>
  <c r="AF539" i="20"/>
  <c r="Y539" i="20"/>
  <c r="AJ514" i="20"/>
  <c r="AA514" i="20"/>
  <c r="Z514" i="20"/>
  <c r="Y514" i="20"/>
  <c r="AO507" i="20"/>
  <c r="AE507" i="20"/>
  <c r="AD507" i="20"/>
  <c r="AL507" i="20"/>
  <c r="AO503" i="20"/>
  <c r="AF503" i="20"/>
  <c r="AD503" i="20"/>
  <c r="Z503" i="20"/>
  <c r="AH503" i="20"/>
  <c r="AP495" i="20"/>
  <c r="AJ495" i="20"/>
  <c r="AI495" i="20"/>
  <c r="AA495" i="20"/>
  <c r="AE483" i="20"/>
  <c r="Z483" i="20"/>
  <c r="Y483" i="20"/>
  <c r="AK483" i="20"/>
  <c r="AN475" i="20"/>
  <c r="AD475" i="20"/>
  <c r="AG475" i="20"/>
  <c r="AH467" i="20"/>
  <c r="AA467" i="20"/>
  <c r="AK467" i="20"/>
  <c r="AF467" i="20"/>
  <c r="AJ463" i="20"/>
  <c r="AK463" i="20"/>
  <c r="AA463" i="20"/>
  <c r="AD454" i="20"/>
  <c r="AK454" i="20"/>
  <c r="AH454" i="20"/>
  <c r="AN454" i="20"/>
  <c r="AF447" i="20"/>
  <c r="Y447" i="20"/>
  <c r="AC447" i="20"/>
  <c r="AB447" i="20"/>
  <c r="AN439" i="20"/>
  <c r="AF439" i="20"/>
  <c r="AG439" i="20"/>
  <c r="Z439" i="20"/>
  <c r="AK431" i="20"/>
  <c r="AF431" i="20"/>
  <c r="AJ431" i="20"/>
  <c r="AI422" i="20"/>
  <c r="AJ422" i="20"/>
  <c r="AI398" i="20"/>
  <c r="AK398" i="20"/>
  <c r="AH398" i="20"/>
  <c r="AB398" i="20"/>
  <c r="Y398" i="20"/>
  <c r="AI391" i="20"/>
  <c r="Z391" i="20"/>
  <c r="AD391" i="20"/>
  <c r="AP383" i="20"/>
  <c r="AB383" i="20"/>
  <c r="AH383" i="20"/>
  <c r="AF383" i="20"/>
  <c r="AD375" i="20"/>
  <c r="AA375" i="20"/>
  <c r="AG375" i="20"/>
  <c r="AL375" i="20"/>
  <c r="AB375" i="20"/>
  <c r="AI367" i="20"/>
  <c r="AE367" i="20"/>
  <c r="AJ367" i="20"/>
  <c r="AL367" i="20"/>
  <c r="AP360" i="20"/>
  <c r="AO360" i="20"/>
  <c r="AP344" i="20"/>
  <c r="AJ344" i="20"/>
  <c r="AO324" i="20"/>
  <c r="AP324" i="20"/>
  <c r="AO295" i="20"/>
  <c r="AE295" i="20"/>
  <c r="AP301" i="20"/>
  <c r="AO301" i="20"/>
  <c r="AF294" i="20"/>
  <c r="Z294" i="20"/>
  <c r="AK294" i="20"/>
  <c r="AH294" i="20"/>
  <c r="AA279" i="20"/>
  <c r="AL279" i="20"/>
  <c r="AG279" i="20"/>
  <c r="AK279" i="20"/>
  <c r="AF270" i="20"/>
  <c r="AI270" i="20"/>
  <c r="AN270" i="20"/>
  <c r="AE270" i="20"/>
  <c r="AL220" i="20"/>
  <c r="Z220" i="20"/>
  <c r="I48" i="86"/>
  <c r="L48" i="86" s="1"/>
  <c r="G16" i="86"/>
  <c r="J16" i="86" s="1"/>
  <c r="I49" i="86"/>
  <c r="L49" i="86" s="1"/>
  <c r="H138" i="86"/>
  <c r="K138" i="86" s="1"/>
  <c r="G49" i="86"/>
  <c r="J49" i="86" s="1"/>
  <c r="I161" i="86"/>
  <c r="L161" i="86" s="1"/>
  <c r="I86" i="86"/>
  <c r="L86" i="86" s="1"/>
  <c r="AE17" i="20"/>
  <c r="AO17" i="20"/>
  <c r="AE16" i="20"/>
  <c r="AB16" i="20"/>
  <c r="AN10" i="20"/>
  <c r="AJ10" i="20"/>
  <c r="AP11" i="20"/>
  <c r="AI11" i="20"/>
  <c r="AJ19" i="20"/>
  <c r="AL19" i="20"/>
  <c r="Y1107" i="20"/>
  <c r="AG1107" i="20"/>
  <c r="AF1099" i="20"/>
  <c r="AI1099" i="20"/>
  <c r="AO1094" i="20"/>
  <c r="AJ1094" i="20"/>
  <c r="Y1086" i="20"/>
  <c r="AH1086" i="20"/>
  <c r="AE1086" i="20"/>
  <c r="AB1075" i="20"/>
  <c r="Y1075" i="20"/>
  <c r="AI1075" i="20"/>
  <c r="AD1055" i="20"/>
  <c r="AL1055" i="20"/>
  <c r="AE1023" i="20"/>
  <c r="AI1023" i="20"/>
  <c r="AH1011" i="20"/>
  <c r="AD1011" i="20"/>
  <c r="AE971" i="20"/>
  <c r="AH971" i="20"/>
  <c r="Y938" i="20"/>
  <c r="AN938" i="20"/>
  <c r="AB910" i="20"/>
  <c r="AL910" i="20"/>
  <c r="AN910" i="20"/>
  <c r="AK901" i="20"/>
  <c r="AE901" i="20"/>
  <c r="Z893" i="20"/>
  <c r="AB893" i="20"/>
  <c r="AC853" i="20"/>
  <c r="AN853" i="20"/>
  <c r="AN826" i="20"/>
  <c r="Y826" i="20"/>
  <c r="AA832" i="20"/>
  <c r="AH832" i="20"/>
  <c r="AI810" i="20"/>
  <c r="Y810" i="20"/>
  <c r="AE769" i="20"/>
  <c r="AC769" i="20"/>
  <c r="AF714" i="20"/>
  <c r="AL714" i="20"/>
  <c r="AC714" i="20"/>
  <c r="Y706" i="20"/>
  <c r="AD706" i="20"/>
  <c r="AB706" i="20"/>
  <c r="AO698" i="20"/>
  <c r="AC698" i="20"/>
  <c r="AD698" i="20"/>
  <c r="AO693" i="20"/>
  <c r="AN693" i="20"/>
  <c r="AP693" i="20"/>
  <c r="AP686" i="20"/>
  <c r="AH686" i="20"/>
  <c r="AJ686" i="20"/>
  <c r="AF682" i="20"/>
  <c r="AA682" i="20"/>
  <c r="AJ682" i="20"/>
  <c r="Y682" i="20"/>
  <c r="AH678" i="20"/>
  <c r="AE678" i="20"/>
  <c r="AD678" i="20"/>
  <c r="AJ678" i="20"/>
  <c r="AK670" i="20"/>
  <c r="AN670" i="20"/>
  <c r="Y670" i="20"/>
  <c r="AL670" i="20"/>
  <c r="AO670" i="20"/>
  <c r="AA666" i="20"/>
  <c r="AD666" i="20"/>
  <c r="Y662" i="20"/>
  <c r="AP662" i="20"/>
  <c r="Z662" i="20"/>
  <c r="AD652" i="20"/>
  <c r="AP652" i="20"/>
  <c r="AI652" i="20"/>
  <c r="Y649" i="20"/>
  <c r="Z649" i="20"/>
  <c r="AC657" i="20"/>
  <c r="Y657" i="20"/>
  <c r="AB657" i="20"/>
  <c r="AI657" i="20"/>
  <c r="AC642" i="20"/>
  <c r="AP642" i="20"/>
  <c r="AE638" i="20"/>
  <c r="AI638" i="20"/>
  <c r="AJ638" i="20"/>
  <c r="AA634" i="20"/>
  <c r="AK634" i="20"/>
  <c r="AJ634" i="20"/>
  <c r="AN626" i="20"/>
  <c r="AE626" i="20"/>
  <c r="AK626" i="20"/>
  <c r="AJ626" i="20"/>
  <c r="AI626" i="20"/>
  <c r="AL622" i="20"/>
  <c r="AP622" i="20"/>
  <c r="AH622" i="20"/>
  <c r="AA618" i="20"/>
  <c r="AI618" i="20"/>
  <c r="AO618" i="20"/>
  <c r="AH618" i="20"/>
  <c r="Z618" i="20"/>
  <c r="AP613" i="20"/>
  <c r="AE613" i="20"/>
  <c r="AJ610" i="20"/>
  <c r="AE610" i="20"/>
  <c r="AH602" i="20"/>
  <c r="AD602" i="20"/>
  <c r="AA602" i="20"/>
  <c r="AL598" i="20"/>
  <c r="AF598" i="20"/>
  <c r="AA598" i="20"/>
  <c r="AO591" i="20"/>
  <c r="AB591" i="20"/>
  <c r="AP586" i="20"/>
  <c r="AG586" i="20"/>
  <c r="AA586" i="20"/>
  <c r="AO582" i="20"/>
  <c r="AB582" i="20"/>
  <c r="AF582" i="20"/>
  <c r="AF578" i="20"/>
  <c r="AG578" i="20"/>
  <c r="AH572" i="20"/>
  <c r="AE572" i="20"/>
  <c r="AC558" i="20"/>
  <c r="AI558" i="20"/>
  <c r="AL558" i="20"/>
  <c r="AL551" i="20"/>
  <c r="AE551" i="20"/>
  <c r="AC551" i="20"/>
  <c r="AJ544" i="20"/>
  <c r="AL544" i="20"/>
  <c r="AP544" i="20"/>
  <c r="AK541" i="20"/>
  <c r="AF541" i="20"/>
  <c r="AN533" i="20"/>
  <c r="AB533" i="20"/>
  <c r="AK529" i="20"/>
  <c r="AH529" i="20"/>
  <c r="AI529" i="20"/>
  <c r="AN529" i="20"/>
  <c r="AD526" i="20"/>
  <c r="AO526" i="20"/>
  <c r="AB526" i="20"/>
  <c r="AF538" i="20"/>
  <c r="AP538" i="20"/>
  <c r="AC513" i="20"/>
  <c r="AL513" i="20"/>
  <c r="AH513" i="20"/>
  <c r="AN509" i="20"/>
  <c r="AP509" i="20"/>
  <c r="AH509" i="20"/>
  <c r="AK509" i="20"/>
  <c r="AD506" i="20"/>
  <c r="AJ506" i="20"/>
  <c r="Z506" i="20"/>
  <c r="AP506" i="20"/>
  <c r="AN506" i="20"/>
  <c r="AG498" i="20"/>
  <c r="AH498" i="20"/>
  <c r="AE490" i="20"/>
  <c r="AD490" i="20"/>
  <c r="AG490" i="20"/>
  <c r="AN490" i="20"/>
  <c r="AI486" i="20"/>
  <c r="AF486" i="20"/>
  <c r="Z486" i="20"/>
  <c r="AO486" i="20"/>
  <c r="AD482" i="20"/>
  <c r="AI482" i="20"/>
  <c r="AO474" i="20"/>
  <c r="Z474" i="20"/>
  <c r="AF474" i="20"/>
  <c r="AH474" i="20"/>
  <c r="AL466" i="20"/>
  <c r="AA466" i="20"/>
  <c r="AJ466" i="20"/>
  <c r="AP466" i="20"/>
  <c r="AJ458" i="20"/>
  <c r="AF458" i="20"/>
  <c r="AL458" i="20"/>
  <c r="AG455" i="20"/>
  <c r="AE455" i="20"/>
  <c r="Y455" i="20"/>
  <c r="AB450" i="20"/>
  <c r="AL450" i="20"/>
  <c r="AP446" i="20"/>
  <c r="AB446" i="20"/>
  <c r="AK446" i="20"/>
  <c r="AI446" i="20"/>
  <c r="AA438" i="20"/>
  <c r="AD438" i="20"/>
  <c r="AJ434" i="20"/>
  <c r="AC434" i="20"/>
  <c r="AG434" i="20"/>
  <c r="AA428" i="20"/>
  <c r="AL428" i="20"/>
  <c r="AP426" i="20"/>
  <c r="AA426" i="20"/>
  <c r="AB423" i="20"/>
  <c r="Y423" i="20"/>
  <c r="AO423" i="20"/>
  <c r="AK418" i="20"/>
  <c r="AE418" i="20"/>
  <c r="AP418" i="20"/>
  <c r="AC412" i="20"/>
  <c r="AL412" i="20"/>
  <c r="Y410" i="20"/>
  <c r="AJ410" i="20"/>
  <c r="AN410" i="20"/>
  <c r="AK406" i="20"/>
  <c r="AE406" i="20"/>
  <c r="AC399" i="20"/>
  <c r="AD399" i="20"/>
  <c r="AL394" i="20"/>
  <c r="Y394" i="20"/>
  <c r="AD390" i="20"/>
  <c r="Y390" i="20"/>
  <c r="AK390" i="20"/>
  <c r="Z378" i="20"/>
  <c r="AO378" i="20"/>
  <c r="AJ378" i="20"/>
  <c r="AA378" i="20"/>
  <c r="AH374" i="20"/>
  <c r="Y374" i="20"/>
  <c r="AN374" i="20"/>
  <c r="AP374" i="20"/>
  <c r="AK374" i="20"/>
  <c r="AO370" i="20"/>
  <c r="AD370" i="20"/>
  <c r="AH370" i="20"/>
  <c r="AO319" i="20"/>
  <c r="AN319" i="20"/>
  <c r="AG291" i="20"/>
  <c r="AB291" i="20"/>
  <c r="AO286" i="20"/>
  <c r="AA286" i="20"/>
  <c r="AI286" i="20"/>
  <c r="Z282" i="20"/>
  <c r="Y282" i="20"/>
  <c r="AG278" i="20"/>
  <c r="AF278" i="20"/>
  <c r="AL273" i="20"/>
  <c r="AA273" i="20"/>
  <c r="AK273" i="20"/>
  <c r="AJ269" i="20"/>
  <c r="AP269" i="20"/>
  <c r="AL269" i="20"/>
  <c r="AB269" i="20"/>
  <c r="AG269" i="20"/>
  <c r="AC266" i="20"/>
  <c r="AP266" i="20"/>
  <c r="AO262" i="20"/>
  <c r="AA262" i="20"/>
  <c r="AF258" i="20"/>
  <c r="AC258" i="20"/>
  <c r="AH258" i="20"/>
  <c r="AN252" i="20"/>
  <c r="AI252" i="20"/>
  <c r="AJ250" i="20"/>
  <c r="AI250" i="20"/>
  <c r="AK250" i="20"/>
  <c r="AC242" i="20"/>
  <c r="AG242" i="20"/>
  <c r="AJ242" i="20"/>
  <c r="Z242" i="20"/>
  <c r="AF239" i="20"/>
  <c r="AO239" i="20"/>
  <c r="AO234" i="20"/>
  <c r="Y234" i="20"/>
  <c r="AK234" i="20"/>
  <c r="AJ234" i="20"/>
  <c r="AF213" i="20"/>
  <c r="AI213" i="20"/>
  <c r="AD213" i="20"/>
  <c r="AG211" i="20"/>
  <c r="AJ211" i="20"/>
  <c r="AI211" i="20"/>
  <c r="AP207" i="20"/>
  <c r="AC207" i="20"/>
  <c r="AK207" i="20"/>
  <c r="AJ203" i="20"/>
  <c r="AC203" i="20"/>
  <c r="AN192" i="20"/>
  <c r="AE192" i="20"/>
  <c r="AI185" i="20"/>
  <c r="AJ185" i="20"/>
  <c r="L11" i="37" s="1"/>
  <c r="AN185" i="20"/>
  <c r="AJ173" i="20"/>
  <c r="AK173" i="20"/>
  <c r="AG173" i="20"/>
  <c r="AO173" i="20"/>
  <c r="AH163" i="20"/>
  <c r="AP163" i="20"/>
  <c r="AG164" i="20"/>
  <c r="AF164" i="20"/>
  <c r="Z164" i="20"/>
  <c r="AE164" i="20"/>
  <c r="AL157" i="20"/>
  <c r="AC157" i="20"/>
  <c r="AP138" i="20"/>
  <c r="Y138" i="20"/>
  <c r="AD127" i="20"/>
  <c r="AB127" i="20"/>
  <c r="AI117" i="20"/>
  <c r="Z117" i="20"/>
  <c r="AE117" i="20"/>
  <c r="Y117" i="20"/>
  <c r="AJ118" i="20"/>
  <c r="AG118" i="20"/>
  <c r="Z213" i="20"/>
  <c r="AA1224" i="20"/>
  <c r="AI239" i="20"/>
  <c r="AH446" i="20"/>
  <c r="Y610" i="20"/>
  <c r="AG690" i="20"/>
  <c r="AC486" i="20"/>
  <c r="AJ138" i="20"/>
  <c r="AH1304" i="20"/>
  <c r="AB567" i="20"/>
  <c r="AJ630" i="20"/>
  <c r="AI572" i="20"/>
  <c r="AP738" i="20"/>
  <c r="Z217" i="20"/>
  <c r="Y38" i="20"/>
  <c r="Y1018" i="20"/>
  <c r="AF864" i="20"/>
  <c r="AG9" i="20"/>
  <c r="AF392" i="20"/>
  <c r="AG564" i="20"/>
  <c r="Y929" i="20"/>
  <c r="Y840" i="20"/>
  <c r="AD1053" i="20"/>
  <c r="AC719" i="20"/>
  <c r="AO719" i="20"/>
  <c r="Y700" i="20"/>
  <c r="AI700" i="20"/>
  <c r="AE692" i="20"/>
  <c r="AJ692" i="20"/>
  <c r="AB689" i="20"/>
  <c r="AG689" i="20"/>
  <c r="Z676" i="20"/>
  <c r="AH676" i="20"/>
  <c r="AI676" i="20"/>
  <c r="AC664" i="20"/>
  <c r="AA664" i="20"/>
  <c r="AL654" i="20"/>
  <c r="Y654" i="20"/>
  <c r="AI654" i="20"/>
  <c r="Y640" i="20"/>
  <c r="AD640" i="20"/>
  <c r="AN624" i="20"/>
  <c r="AF624" i="20"/>
  <c r="Y615" i="20"/>
  <c r="AL615" i="20"/>
  <c r="AE615" i="20"/>
  <c r="AD609" i="20"/>
  <c r="AA609" i="20"/>
  <c r="AH601" i="20"/>
  <c r="AF601" i="20"/>
  <c r="AP588" i="20"/>
  <c r="AJ588" i="20"/>
  <c r="AG583" i="20"/>
  <c r="AE583" i="20"/>
  <c r="AE570" i="20"/>
  <c r="Z570" i="20"/>
  <c r="AB570" i="20"/>
  <c r="AP560" i="20"/>
  <c r="AO560" i="20"/>
  <c r="AJ560" i="20"/>
  <c r="AG560" i="20"/>
  <c r="AB560" i="20"/>
  <c r="AF560" i="20"/>
  <c r="AE560" i="20"/>
  <c r="AN560" i="20"/>
  <c r="Z560" i="20"/>
  <c r="AA560" i="20"/>
  <c r="AL560" i="20"/>
  <c r="AI560" i="20"/>
  <c r="AC560" i="20"/>
  <c r="AH560" i="20"/>
  <c r="Z556" i="20"/>
  <c r="AG556" i="20"/>
  <c r="AE549" i="20"/>
  <c r="AG549" i="20"/>
  <c r="AB536" i="20"/>
  <c r="AE536" i="20"/>
  <c r="AD542" i="20"/>
  <c r="AC542" i="20"/>
  <c r="AD515" i="20"/>
  <c r="AH515" i="20"/>
  <c r="AB511" i="20"/>
  <c r="AD511" i="20"/>
  <c r="AH534" i="20"/>
  <c r="AL534" i="20"/>
  <c r="AG534" i="20"/>
  <c r="AB496" i="20"/>
  <c r="AG496" i="20"/>
  <c r="AK488" i="20"/>
  <c r="AB488" i="20"/>
  <c r="AG480" i="20"/>
  <c r="AL480" i="20"/>
  <c r="Z472" i="20"/>
  <c r="AA472" i="20"/>
  <c r="AE468" i="20"/>
  <c r="AJ468" i="20"/>
  <c r="AK456" i="20"/>
  <c r="AC456" i="20"/>
  <c r="AL452" i="20"/>
  <c r="Z452" i="20"/>
  <c r="Y448" i="20"/>
  <c r="AB448" i="20"/>
  <c r="AG448" i="20"/>
  <c r="AC432" i="20"/>
  <c r="Y432" i="20"/>
  <c r="AF429" i="20"/>
  <c r="AA429" i="20"/>
  <c r="AA424" i="20"/>
  <c r="AK424" i="20"/>
  <c r="AA414" i="20"/>
  <c r="AN414" i="20"/>
  <c r="AG408" i="20"/>
  <c r="Y408" i="20"/>
  <c r="AI400" i="20"/>
  <c r="AL400" i="20"/>
  <c r="AE400" i="20"/>
  <c r="AD380" i="20"/>
  <c r="Y380" i="20"/>
  <c r="AN380" i="20"/>
  <c r="AF376" i="20"/>
  <c r="AP376" i="20"/>
  <c r="AD376" i="20"/>
  <c r="AH372" i="20"/>
  <c r="AN372" i="20"/>
  <c r="AF264" i="20"/>
  <c r="AD264" i="20"/>
  <c r="AG205" i="20"/>
  <c r="AB205" i="20"/>
  <c r="AL202" i="20"/>
  <c r="Z202" i="20"/>
  <c r="AA202" i="20"/>
  <c r="AB188" i="20"/>
  <c r="AL188" i="20"/>
  <c r="AF188" i="20"/>
  <c r="AK144" i="20"/>
  <c r="AE144" i="20"/>
  <c r="AK125" i="20"/>
  <c r="AB125" i="20"/>
  <c r="AK1158" i="20"/>
  <c r="Y1158" i="20"/>
  <c r="AA1158" i="20"/>
  <c r="Z1154" i="20"/>
  <c r="AJ1154" i="20"/>
  <c r="AB1150" i="20"/>
  <c r="AA1150" i="20"/>
  <c r="AA1146" i="20"/>
  <c r="Z1146" i="20"/>
  <c r="AH1146" i="20"/>
  <c r="AJ1146" i="20"/>
  <c r="AH1164" i="20"/>
  <c r="AG1164" i="20"/>
  <c r="AK1168" i="20"/>
  <c r="AN1168" i="20"/>
  <c r="AL1168" i="20"/>
  <c r="AL1172" i="20"/>
  <c r="AF1172" i="20"/>
  <c r="AD1180" i="20"/>
  <c r="AH1180" i="20"/>
  <c r="AI1180" i="20"/>
  <c r="AK1184" i="20"/>
  <c r="AC1184" i="20"/>
  <c r="AI1184" i="20"/>
  <c r="AF1188" i="20"/>
  <c r="AC1188" i="20"/>
  <c r="AE1188" i="20"/>
  <c r="AP1188" i="20"/>
  <c r="AE1192" i="20"/>
  <c r="AL1192" i="20"/>
  <c r="AC1192" i="20"/>
  <c r="AN1192" i="20"/>
  <c r="AI1192" i="20"/>
  <c r="AB1192" i="20"/>
  <c r="AP1192" i="20"/>
  <c r="AK1196" i="20"/>
  <c r="AL1196" i="20"/>
  <c r="AP1196" i="20"/>
  <c r="AC1196" i="20"/>
  <c r="AK1200" i="20"/>
  <c r="AH1200" i="20"/>
  <c r="AP1200" i="20"/>
  <c r="AI1204" i="20"/>
  <c r="AG1204" i="20"/>
  <c r="AL1204" i="20"/>
  <c r="AO1204" i="20"/>
  <c r="Z1204" i="20"/>
  <c r="AF1208" i="20"/>
  <c r="AD1208" i="20"/>
  <c r="AK1208" i="20"/>
  <c r="AB1208" i="20"/>
  <c r="AI1208" i="20"/>
  <c r="AH1208" i="20"/>
  <c r="AE1212" i="20"/>
  <c r="AJ1212" i="20"/>
  <c r="AL1212" i="20"/>
  <c r="AP1212" i="20"/>
  <c r="Z1212" i="20"/>
  <c r="AH1216" i="20"/>
  <c r="AL1216" i="20"/>
  <c r="AJ1216" i="20"/>
  <c r="AO1216" i="20"/>
  <c r="Z1216" i="20"/>
  <c r="AN1220" i="20"/>
  <c r="AL1220" i="20"/>
  <c r="AI1220" i="20"/>
  <c r="AK1220" i="20"/>
  <c r="AD1220" i="20"/>
  <c r="AE1224" i="20"/>
  <c r="AK1224" i="20"/>
  <c r="AJ1224" i="20"/>
  <c r="AL1224" i="20"/>
  <c r="AF1224" i="20"/>
  <c r="Z1228" i="20"/>
  <c r="AJ1228" i="20"/>
  <c r="Y1228" i="20"/>
  <c r="AL1228" i="20"/>
  <c r="AC1228" i="20"/>
  <c r="AH1232" i="20"/>
  <c r="AL1232" i="20"/>
  <c r="AN1232" i="20"/>
  <c r="Y1232" i="20"/>
  <c r="AG1232" i="20"/>
  <c r="Z1236" i="20"/>
  <c r="AK1236" i="20"/>
  <c r="AN1236" i="20"/>
  <c r="AP1236" i="20"/>
  <c r="AJ1236" i="20"/>
  <c r="AI1240" i="20"/>
  <c r="AB1240" i="20"/>
  <c r="AC1240" i="20"/>
  <c r="Z1240" i="20"/>
  <c r="AG1240" i="20"/>
  <c r="AD1240" i="20"/>
  <c r="AO1240" i="20"/>
  <c r="AF1240" i="20"/>
  <c r="AD1244" i="20"/>
  <c r="Y1244" i="20"/>
  <c r="AN1244" i="20"/>
  <c r="AG1244" i="20"/>
  <c r="AH1244" i="20"/>
  <c r="AF1244" i="20"/>
  <c r="AI1244" i="20"/>
  <c r="AA1244" i="20"/>
  <c r="AB1248" i="20"/>
  <c r="AO1248" i="20"/>
  <c r="AA1248" i="20"/>
  <c r="AG1252" i="20"/>
  <c r="AI1252" i="20"/>
  <c r="AP1252" i="20"/>
  <c r="AC1252" i="20"/>
  <c r="AH1256" i="20"/>
  <c r="Y1256" i="20"/>
  <c r="AJ1256" i="20"/>
  <c r="AL1256" i="20"/>
  <c r="AB1256" i="20"/>
  <c r="AE1260" i="20"/>
  <c r="AA1260" i="20"/>
  <c r="AF1260" i="20"/>
  <c r="AC1260" i="20"/>
  <c r="AI1260" i="20"/>
  <c r="AB1260" i="20"/>
  <c r="AF1264" i="20"/>
  <c r="AB1264" i="20"/>
  <c r="AJ1264" i="20"/>
  <c r="AG1264" i="20"/>
  <c r="AA1264" i="20"/>
  <c r="AC1268" i="20"/>
  <c r="AA1268" i="20"/>
  <c r="AE1268" i="20"/>
  <c r="Y1268" i="20"/>
  <c r="Y1272" i="20"/>
  <c r="AD1272" i="20"/>
  <c r="AN1272" i="20"/>
  <c r="AJ1272" i="20"/>
  <c r="AH1272" i="20"/>
  <c r="AC1272" i="20"/>
  <c r="AP1272" i="20"/>
  <c r="AK1272" i="20"/>
  <c r="AN1276" i="20"/>
  <c r="AC1276" i="20"/>
  <c r="AD1276" i="20"/>
  <c r="AB1276" i="20"/>
  <c r="AK1276" i="20"/>
  <c r="Z1276" i="20"/>
  <c r="AJ1280" i="20"/>
  <c r="AC1280" i="20"/>
  <c r="Z1280" i="20"/>
  <c r="AP1280" i="20"/>
  <c r="AH1280" i="20"/>
  <c r="AG1284" i="20"/>
  <c r="AL1284" i="20"/>
  <c r="Z1284" i="20"/>
  <c r="AA1284" i="20"/>
  <c r="AE1284" i="20"/>
  <c r="AP1284" i="20"/>
  <c r="AG1288" i="20"/>
  <c r="Y1288" i="20"/>
  <c r="AH1288" i="20"/>
  <c r="AF1288" i="20"/>
  <c r="AO1288" i="20"/>
  <c r="AK1288" i="20"/>
  <c r="AH1292" i="20"/>
  <c r="Z1292" i="20"/>
  <c r="AD1292" i="20"/>
  <c r="AD1296" i="20"/>
  <c r="AA1296" i="20"/>
  <c r="AP1296" i="20"/>
  <c r="AF1296" i="20"/>
  <c r="AH1300" i="20"/>
  <c r="AK1300" i="20"/>
  <c r="AP1300" i="20"/>
  <c r="AJ1304" i="20"/>
  <c r="AA1304" i="20"/>
  <c r="AC1304" i="20"/>
  <c r="AP1304" i="20"/>
  <c r="AL1308" i="20"/>
  <c r="AH1308" i="20"/>
  <c r="AG1308" i="20"/>
  <c r="Y1308" i="20"/>
  <c r="AE1308" i="20"/>
  <c r="AJ1312" i="20"/>
  <c r="AI1312" i="20"/>
  <c r="AG1312" i="20"/>
  <c r="AK1312" i="20"/>
  <c r="AF1316" i="20"/>
  <c r="AA1316" i="20"/>
  <c r="AN1316" i="20"/>
  <c r="AH1320" i="20"/>
  <c r="AK1320" i="20"/>
  <c r="AE1320" i="20"/>
  <c r="AH1324" i="20"/>
  <c r="AN1324" i="20"/>
  <c r="Y1324" i="20"/>
  <c r="AG1328" i="20"/>
  <c r="AH1328" i="20"/>
  <c r="AC1332" i="20"/>
  <c r="AI1332" i="20"/>
  <c r="AJ1332" i="20"/>
  <c r="AN1332" i="20"/>
  <c r="Y1336" i="20"/>
  <c r="AI1336" i="20"/>
  <c r="AG1336" i="20"/>
  <c r="AJ1336" i="20"/>
  <c r="AL1336" i="20"/>
  <c r="AD1336" i="20"/>
  <c r="AB1336" i="20"/>
  <c r="AO57" i="20"/>
  <c r="AH57" i="20"/>
  <c r="AI57" i="20"/>
  <c r="AB57" i="20"/>
  <c r="AF57" i="20"/>
  <c r="AJ57" i="20"/>
  <c r="AA57" i="20"/>
  <c r="AE57" i="20"/>
  <c r="AK57" i="20"/>
  <c r="AL57" i="20"/>
  <c r="AP57" i="20"/>
  <c r="AN57" i="20"/>
  <c r="Y57" i="20"/>
  <c r="AC57" i="20"/>
  <c r="Z57" i="20"/>
  <c r="AG57" i="20"/>
  <c r="AD57" i="20"/>
  <c r="AN872" i="20"/>
  <c r="AF872" i="20"/>
  <c r="AL904" i="20"/>
  <c r="AC904" i="20"/>
  <c r="AK1035" i="20"/>
  <c r="AN1035" i="20"/>
  <c r="Y1035" i="20"/>
  <c r="Z59" i="20"/>
  <c r="AA59" i="20"/>
  <c r="AO59" i="20"/>
  <c r="Y180" i="20"/>
  <c r="AG180" i="20"/>
  <c r="AL1141" i="20"/>
  <c r="AN1141" i="20"/>
  <c r="AJ1141" i="20"/>
  <c r="Y1141" i="20"/>
  <c r="Y1137" i="20"/>
  <c r="AH1137" i="20"/>
  <c r="AB1137" i="20"/>
  <c r="AI1137" i="20"/>
  <c r="AI1133" i="20"/>
  <c r="AA1133" i="20"/>
  <c r="AC1133" i="20"/>
  <c r="AE1133" i="20"/>
  <c r="AL1129" i="20"/>
  <c r="AG1129" i="20"/>
  <c r="Z1129" i="20"/>
  <c r="AH1129" i="20"/>
  <c r="Y1129" i="20"/>
  <c r="AG1125" i="20"/>
  <c r="AN1125" i="20"/>
  <c r="AJ1125" i="20"/>
  <c r="AA1125" i="20"/>
  <c r="AN1121" i="20"/>
  <c r="Z1121" i="20"/>
  <c r="AG1121" i="20"/>
  <c r="AB1121" i="20"/>
  <c r="AF1117" i="20"/>
  <c r="AL1117" i="20"/>
  <c r="AI1117" i="20"/>
  <c r="Z1113" i="20"/>
  <c r="AC1113" i="20"/>
  <c r="AB1113" i="20"/>
  <c r="AI30" i="20"/>
  <c r="AD30" i="20"/>
  <c r="AP30" i="20"/>
  <c r="AF15" i="20"/>
  <c r="Z15" i="20"/>
  <c r="Y15" i="20"/>
  <c r="Y37" i="20"/>
  <c r="AK37" i="20"/>
  <c r="AO37" i="20"/>
  <c r="AO1109" i="20"/>
  <c r="AI1109" i="20"/>
  <c r="AA1101" i="20"/>
  <c r="Y1101" i="20"/>
  <c r="AH1089" i="20"/>
  <c r="AC1089" i="20"/>
  <c r="AA1084" i="20"/>
  <c r="AC1084" i="20"/>
  <c r="AN1081" i="20"/>
  <c r="AL1081" i="20"/>
  <c r="AN1077" i="20"/>
  <c r="AF1077" i="20"/>
  <c r="AJ1065" i="20"/>
  <c r="AG1065" i="20"/>
  <c r="AI1059" i="20"/>
  <c r="AB1059" i="20"/>
  <c r="AJ1045" i="20"/>
  <c r="AP1045" i="20"/>
  <c r="AF1045" i="20"/>
  <c r="AH1030" i="20"/>
  <c r="AG1030" i="20"/>
  <c r="Z1008" i="20"/>
  <c r="AN1008" i="20"/>
  <c r="AO1008" i="20"/>
  <c r="AA991" i="20"/>
  <c r="AB991" i="20"/>
  <c r="AJ979" i="20"/>
  <c r="AB979" i="20"/>
  <c r="AO979" i="20"/>
  <c r="AC973" i="20"/>
  <c r="AH973" i="20"/>
  <c r="AO973" i="20"/>
  <c r="AP958" i="20"/>
  <c r="AE958" i="20"/>
  <c r="AN943" i="20"/>
  <c r="AP943" i="20"/>
  <c r="AD943" i="20"/>
  <c r="AP933" i="20"/>
  <c r="AA933" i="20"/>
  <c r="AO920" i="20"/>
  <c r="AI920" i="20"/>
  <c r="Z912" i="20"/>
  <c r="Y912" i="20"/>
  <c r="AO903" i="20"/>
  <c r="Z903" i="20"/>
  <c r="AP903" i="20"/>
  <c r="Y895" i="20"/>
  <c r="AO895" i="20"/>
  <c r="AO891" i="20"/>
  <c r="AA891" i="20"/>
  <c r="AF877" i="20"/>
  <c r="AO877" i="20"/>
  <c r="AJ877" i="20"/>
  <c r="AN877" i="20"/>
  <c r="AO870" i="20"/>
  <c r="AJ870" i="20"/>
  <c r="AL866" i="20"/>
  <c r="AD866" i="20"/>
  <c r="Z862" i="20"/>
  <c r="AD862" i="20"/>
  <c r="AH857" i="20"/>
  <c r="AC857" i="20"/>
  <c r="AF822" i="20"/>
  <c r="AJ822" i="20"/>
  <c r="AE833" i="20"/>
  <c r="AG833" i="20"/>
  <c r="AA812" i="20"/>
  <c r="AO812" i="20"/>
  <c r="AJ783" i="20"/>
  <c r="AC783" i="20"/>
  <c r="AC759" i="20"/>
  <c r="AO759" i="20"/>
  <c r="AD737" i="20"/>
  <c r="AO737" i="20"/>
  <c r="AD735" i="20"/>
  <c r="AO735" i="20"/>
  <c r="Z325" i="20"/>
  <c r="AA325" i="20"/>
  <c r="AK317" i="20"/>
  <c r="AF317" i="20"/>
  <c r="AP298" i="20"/>
  <c r="AG298" i="20"/>
  <c r="AD271" i="20"/>
  <c r="AH271" i="20"/>
  <c r="AI268" i="20"/>
  <c r="Y268" i="20"/>
  <c r="AG256" i="20"/>
  <c r="AE256" i="20"/>
  <c r="AD244" i="20"/>
  <c r="AB244" i="20"/>
  <c r="AI221" i="20"/>
  <c r="AJ221" i="20"/>
  <c r="AN209" i="20"/>
  <c r="AL209" i="20"/>
  <c r="AF196" i="20"/>
  <c r="AA196" i="20"/>
  <c r="AI196" i="20"/>
  <c r="AE165" i="20"/>
  <c r="AI165" i="20"/>
  <c r="AA165" i="20"/>
  <c r="AB115" i="20"/>
  <c r="AJ115" i="20"/>
  <c r="Y105" i="20"/>
  <c r="AI105" i="20"/>
  <c r="Y1172" i="20"/>
  <c r="AD1252" i="20"/>
  <c r="AF1192" i="20"/>
  <c r="AD1256" i="20"/>
  <c r="AI1296" i="20"/>
  <c r="AA1328" i="20"/>
  <c r="AG1200" i="20"/>
  <c r="AG1268" i="20"/>
  <c r="AB1200" i="20"/>
  <c r="AI1276" i="20"/>
  <c r="AE1154" i="20"/>
  <c r="AD1172" i="20"/>
  <c r="Z1196" i="20"/>
  <c r="AG1216" i="20"/>
  <c r="AH1240" i="20"/>
  <c r="AL1260" i="20"/>
  <c r="AL1288" i="20"/>
  <c r="Z1312" i="20"/>
  <c r="AH1336" i="20"/>
  <c r="AC1292" i="20"/>
  <c r="Z1328" i="20"/>
  <c r="AB1300" i="20"/>
  <c r="AD1324" i="20"/>
  <c r="AD1316" i="20"/>
  <c r="Z1176" i="20"/>
  <c r="Z1200" i="20"/>
  <c r="Y1224" i="20"/>
  <c r="AC1208" i="20"/>
  <c r="AH1188" i="20"/>
  <c r="AE1168" i="20"/>
  <c r="AN1328" i="20"/>
  <c r="AA1212" i="20"/>
  <c r="Z1264" i="20"/>
  <c r="AC1300" i="20"/>
  <c r="AI1164" i="20"/>
  <c r="AN1208" i="20"/>
  <c r="AL1268" i="20"/>
  <c r="AL1244" i="20"/>
  <c r="AK1188" i="20"/>
  <c r="AI1150" i="20"/>
  <c r="AF1184" i="20"/>
  <c r="AN1204" i="20"/>
  <c r="AI1232" i="20"/>
  <c r="AJ1252" i="20"/>
  <c r="AK1280" i="20"/>
  <c r="AE1300" i="20"/>
  <c r="AK1324" i="20"/>
  <c r="AE1216" i="20"/>
  <c r="AN1308" i="20"/>
  <c r="AA1308" i="20"/>
  <c r="AJ1188" i="20"/>
  <c r="AC1224" i="20"/>
  <c r="AB1320" i="20"/>
  <c r="AC1264" i="20"/>
  <c r="AA1228" i="20"/>
  <c r="AA1236" i="20"/>
  <c r="AC1288" i="20"/>
  <c r="AA1336" i="20"/>
  <c r="AO1336" i="20"/>
  <c r="AA1332" i="20"/>
  <c r="AP1332" i="20"/>
  <c r="Y1328" i="20"/>
  <c r="AI1324" i="20"/>
  <c r="AL1320" i="20"/>
  <c r="AG1320" i="20"/>
  <c r="AH1316" i="20"/>
  <c r="AH1312" i="20"/>
  <c r="AB1308" i="20"/>
  <c r="AP1308" i="20"/>
  <c r="AL1304" i="20"/>
  <c r="Y1300" i="20"/>
  <c r="AH1296" i="20"/>
  <c r="AO1296" i="20"/>
  <c r="AP1292" i="20"/>
  <c r="AN1288" i="20"/>
  <c r="AO1284" i="20"/>
  <c r="AL1280" i="20"/>
  <c r="Y1276" i="20"/>
  <c r="AG1272" i="20"/>
  <c r="Z1268" i="20"/>
  <c r="AN1264" i="20"/>
  <c r="Z1260" i="20"/>
  <c r="AF1256" i="20"/>
  <c r="AO1256" i="20"/>
  <c r="AO1252" i="20"/>
  <c r="AL1248" i="20"/>
  <c r="AB1244" i="20"/>
  <c r="AE1240" i="20"/>
  <c r="AD1236" i="20"/>
  <c r="AL1236" i="20"/>
  <c r="AP1232" i="20"/>
  <c r="AP1228" i="20"/>
  <c r="Z1220" i="20"/>
  <c r="AF1216" i="20"/>
  <c r="AK1212" i="20"/>
  <c r="AO1212" i="20"/>
  <c r="AP1208" i="20"/>
  <c r="AB1204" i="20"/>
  <c r="AJ1200" i="20"/>
  <c r="Y1196" i="20"/>
  <c r="AK1192" i="20"/>
  <c r="AI1188" i="20"/>
  <c r="AN1184" i="20"/>
  <c r="AP1180" i="20"/>
  <c r="AN1172" i="20"/>
  <c r="AI1168" i="20"/>
  <c r="AP1164" i="20"/>
  <c r="AP1146" i="20"/>
  <c r="AN1154" i="20"/>
  <c r="AO1158" i="20"/>
  <c r="AC1216" i="20"/>
  <c r="AE1252" i="20"/>
  <c r="Z1296" i="20"/>
  <c r="AH1268" i="20"/>
  <c r="AJ1180" i="20"/>
  <c r="AF1228" i="20"/>
  <c r="AG1316" i="20"/>
  <c r="AN1196" i="20"/>
  <c r="AD1300" i="20"/>
  <c r="AK1268" i="20"/>
  <c r="AN712" i="20"/>
  <c r="AE686" i="20"/>
  <c r="AC626" i="20"/>
  <c r="AN602" i="20"/>
  <c r="AG572" i="20"/>
  <c r="AD541" i="20"/>
  <c r="AG513" i="20"/>
  <c r="AB486" i="20"/>
  <c r="AN462" i="20"/>
  <c r="Z438" i="20"/>
  <c r="AH412" i="20"/>
  <c r="AL386" i="20"/>
  <c r="AK366" i="20"/>
  <c r="AF269" i="20"/>
  <c r="AA258" i="20"/>
  <c r="AL239" i="20"/>
  <c r="AE207" i="20"/>
  <c r="AI195" i="20"/>
  <c r="AE163" i="20"/>
  <c r="AN127" i="20"/>
  <c r="AE118" i="20"/>
  <c r="AH246" i="20"/>
  <c r="AA698" i="20"/>
  <c r="AI602" i="20"/>
  <c r="AJ538" i="20"/>
  <c r="AC572" i="20"/>
  <c r="AL567" i="20"/>
  <c r="AA529" i="20"/>
  <c r="AK578" i="20"/>
  <c r="AD378" i="20"/>
  <c r="AN418" i="20"/>
  <c r="AP458" i="20"/>
  <c r="AA567" i="20"/>
  <c r="AP529" i="20"/>
  <c r="AF591" i="20"/>
  <c r="AL630" i="20"/>
  <c r="AB670" i="20"/>
  <c r="AD1113" i="20"/>
  <c r="AF1125" i="20"/>
  <c r="AE594" i="20"/>
  <c r="AI533" i="20"/>
  <c r="AD498" i="20"/>
  <c r="AA462" i="20"/>
  <c r="AI412" i="20"/>
  <c r="AD382" i="20"/>
  <c r="AL278" i="20"/>
  <c r="Z250" i="20"/>
  <c r="AD211" i="20"/>
  <c r="AA195" i="20"/>
  <c r="Y157" i="20"/>
  <c r="AE113" i="20"/>
  <c r="AJ462" i="20"/>
  <c r="Z558" i="20"/>
  <c r="AP122" i="20"/>
  <c r="AP273" i="20"/>
  <c r="AB402" i="20"/>
  <c r="AJ438" i="20"/>
  <c r="AP478" i="20"/>
  <c r="AO513" i="20"/>
  <c r="AP576" i="20"/>
  <c r="AG638" i="20"/>
  <c r="AG682" i="20"/>
  <c r="AP1121" i="20"/>
  <c r="AC712" i="20"/>
  <c r="AG591" i="20"/>
  <c r="AE502" i="20"/>
  <c r="AC423" i="20"/>
  <c r="AI269" i="20"/>
  <c r="AA211" i="20"/>
  <c r="AH127" i="20"/>
  <c r="AL410" i="20"/>
  <c r="AO242" i="20"/>
  <c r="Z382" i="20"/>
  <c r="AL455" i="20"/>
  <c r="AL509" i="20"/>
  <c r="AK582" i="20"/>
  <c r="AO634" i="20"/>
  <c r="Z698" i="20"/>
  <c r="AO1129" i="20"/>
  <c r="AO790" i="20"/>
  <c r="AO998" i="20"/>
  <c r="AO1020" i="20"/>
  <c r="AK1284" i="20"/>
  <c r="AH122" i="20"/>
  <c r="AC282" i="20"/>
  <c r="AE366" i="20"/>
  <c r="Z517" i="20"/>
  <c r="AA712" i="20"/>
  <c r="AI872" i="20"/>
  <c r="G81" i="86" s="1"/>
  <c r="J81" i="86" s="1"/>
  <c r="AH1236" i="20"/>
  <c r="AG872" i="20"/>
  <c r="Z1336" i="20"/>
  <c r="AE1324" i="20"/>
  <c r="AE1312" i="20"/>
  <c r="AJ1296" i="20"/>
  <c r="AI1284" i="20"/>
  <c r="AF1276" i="20"/>
  <c r="AN1260" i="20"/>
  <c r="AB1252" i="20"/>
  <c r="AL1240" i="20"/>
  <c r="AK1228" i="20"/>
  <c r="AN1216" i="20"/>
  <c r="AK1204" i="20"/>
  <c r="Y1192" i="20"/>
  <c r="AC1180" i="20"/>
  <c r="AH390" i="20"/>
  <c r="AK678" i="20"/>
  <c r="AP16" i="20"/>
  <c r="AP1013" i="20"/>
  <c r="Y1154" i="20"/>
  <c r="AP855" i="20"/>
  <c r="AE719" i="20"/>
  <c r="AK120" i="20"/>
  <c r="AI875" i="20"/>
  <c r="AF906" i="20"/>
  <c r="AD256" i="20"/>
  <c r="AL440" i="20"/>
  <c r="AG520" i="20"/>
  <c r="AI609" i="20"/>
  <c r="AN849" i="20"/>
  <c r="AA159" i="20"/>
  <c r="Y560" i="20"/>
  <c r="AJ620" i="20"/>
  <c r="AN769" i="20"/>
  <c r="AP1174" i="20"/>
  <c r="AO1174" i="20"/>
  <c r="AG1174" i="20"/>
  <c r="Z1174" i="20"/>
  <c r="AF1174" i="20"/>
  <c r="AH1174" i="20"/>
  <c r="AK1174" i="20"/>
  <c r="AB1174" i="20"/>
  <c r="Y1174" i="20"/>
  <c r="AA1174" i="20"/>
  <c r="AI1174" i="20"/>
  <c r="AD1174" i="20"/>
  <c r="AE1174" i="20"/>
  <c r="AN1174" i="20"/>
  <c r="AJ1182" i="20"/>
  <c r="AG1182" i="20"/>
  <c r="AE1182" i="20"/>
  <c r="Y1182" i="20"/>
  <c r="AF1182" i="20"/>
  <c r="AP1182" i="20"/>
  <c r="AO1182" i="20"/>
  <c r="AI1182" i="20"/>
  <c r="AL1182" i="20"/>
  <c r="AK1182" i="20"/>
  <c r="AD1182" i="20"/>
  <c r="AN1182" i="20"/>
  <c r="AP1186" i="20"/>
  <c r="AD1186" i="20"/>
  <c r="AI1186" i="20"/>
  <c r="Z1186" i="20"/>
  <c r="AK1186" i="20"/>
  <c r="AE1186" i="20"/>
  <c r="AL1186" i="20"/>
  <c r="AO1186" i="20"/>
  <c r="AJ1186" i="20"/>
  <c r="AG1186" i="20"/>
  <c r="AF1186" i="20"/>
  <c r="AC1186" i="20"/>
  <c r="Y1186" i="20"/>
  <c r="AB1186" i="20"/>
  <c r="AN1186" i="20"/>
  <c r="AD1190" i="20"/>
  <c r="Y1190" i="20"/>
  <c r="AE1190" i="20"/>
  <c r="AH1190" i="20"/>
  <c r="Z1190" i="20"/>
  <c r="AK1190" i="20"/>
  <c r="AA1190" i="20"/>
  <c r="AN1190" i="20"/>
  <c r="AF1190" i="20"/>
  <c r="AI1190" i="20"/>
  <c r="AH1194" i="20"/>
  <c r="AN1194" i="20"/>
  <c r="AJ1194" i="20"/>
  <c r="AE1194" i="20"/>
  <c r="AG1194" i="20"/>
  <c r="Z1194" i="20"/>
  <c r="AP1194" i="20"/>
  <c r="AK1194" i="20"/>
  <c r="Y1194" i="20"/>
  <c r="AC1194" i="20"/>
  <c r="AF1194" i="20"/>
  <c r="AA1194" i="20"/>
  <c r="AI1194" i="20"/>
  <c r="AP1198" i="20"/>
  <c r="AF1198" i="20"/>
  <c r="AN1198" i="20"/>
  <c r="AA1198" i="20"/>
  <c r="AB1198" i="20"/>
  <c r="AE1198" i="20"/>
  <c r="AD1198" i="20"/>
  <c r="AG1198" i="20"/>
  <c r="Z1198" i="20"/>
  <c r="AH1198" i="20"/>
  <c r="AJ1198" i="20"/>
  <c r="AO1198" i="20"/>
  <c r="AC1198" i="20"/>
  <c r="AK1198" i="20"/>
  <c r="AP1202" i="20"/>
  <c r="AC1202" i="20"/>
  <c r="AJ1202" i="20"/>
  <c r="AA1202" i="20"/>
  <c r="AL1202" i="20"/>
  <c r="AB1202" i="20"/>
  <c r="AK1202" i="20"/>
  <c r="AI1202" i="20"/>
  <c r="AN1202" i="20"/>
  <c r="Z1202" i="20"/>
  <c r="Y1202" i="20"/>
  <c r="AD1202" i="20"/>
  <c r="AP1206" i="20"/>
  <c r="AF1206" i="20"/>
  <c r="AD1206" i="20"/>
  <c r="Y1206" i="20"/>
  <c r="AI1206" i="20"/>
  <c r="AL1206" i="20"/>
  <c r="AC1206" i="20"/>
  <c r="AN1206" i="20"/>
  <c r="AO1206" i="20"/>
  <c r="AE1206" i="20"/>
  <c r="AB1206" i="20"/>
  <c r="Z1206" i="20"/>
  <c r="AA1206" i="20"/>
  <c r="AK1206" i="20"/>
  <c r="AP1210" i="20"/>
  <c r="AO1210" i="20"/>
  <c r="AK1210" i="20"/>
  <c r="AE1210" i="20"/>
  <c r="AC1210" i="20"/>
  <c r="AB1210" i="20"/>
  <c r="Z1210" i="20"/>
  <c r="AN1210" i="20"/>
  <c r="AH1210" i="20"/>
  <c r="AI1210" i="20"/>
  <c r="AD1210" i="20"/>
  <c r="AA1210" i="20"/>
  <c r="AO1214" i="20"/>
  <c r="AP1214" i="20"/>
  <c r="AC1214" i="20"/>
  <c r="AB1214" i="20"/>
  <c r="AD1214" i="20"/>
  <c r="AI1214" i="20"/>
  <c r="AL1214" i="20"/>
  <c r="AE1214" i="20"/>
  <c r="AA1214" i="20"/>
  <c r="AK1214" i="20"/>
  <c r="Y1214" i="20"/>
  <c r="AJ1214" i="20"/>
  <c r="AH1214" i="20"/>
  <c r="AG1214" i="20"/>
  <c r="AP1218" i="20"/>
  <c r="AG1218" i="20"/>
  <c r="AI1218" i="20"/>
  <c r="AH1218" i="20"/>
  <c r="AK1218" i="20"/>
  <c r="AN1218" i="20"/>
  <c r="AD1218" i="20"/>
  <c r="Z1218" i="20"/>
  <c r="AB1218" i="20"/>
  <c r="AO1218" i="20"/>
  <c r="Y1218" i="20"/>
  <c r="AE1218" i="20"/>
  <c r="AJ1218" i="20"/>
  <c r="AA1218" i="20"/>
  <c r="AO1222" i="20"/>
  <c r="AG1222" i="20"/>
  <c r="AD1222" i="20"/>
  <c r="Z1222" i="20"/>
  <c r="AK1222" i="20"/>
  <c r="AI1222" i="20"/>
  <c r="AB1222" i="20"/>
  <c r="AH1222" i="20"/>
  <c r="AJ1222" i="20"/>
  <c r="Y1222" i="20"/>
  <c r="AP1222" i="20"/>
  <c r="AL1222" i="20"/>
  <c r="AN1222" i="20"/>
  <c r="AP1226" i="20"/>
  <c r="AE1226" i="20"/>
  <c r="Z1226" i="20"/>
  <c r="AC1226" i="20"/>
  <c r="AN1226" i="20"/>
  <c r="AO1226" i="20"/>
  <c r="AD1226" i="20"/>
  <c r="AK1226" i="20"/>
  <c r="Y1226" i="20"/>
  <c r="AF1226" i="20"/>
  <c r="AL1226" i="20"/>
  <c r="AI1226" i="20"/>
  <c r="AB1226" i="20"/>
  <c r="AH1226" i="20"/>
  <c r="AO1230" i="20"/>
  <c r="Z1230" i="20"/>
  <c r="AD1230" i="20"/>
  <c r="AN1230" i="20"/>
  <c r="AF1230" i="20"/>
  <c r="AP1230" i="20"/>
  <c r="AG1230" i="20"/>
  <c r="AH1230" i="20"/>
  <c r="AE1230" i="20"/>
  <c r="Y1230" i="20"/>
  <c r="AB1230" i="20"/>
  <c r="AA1230" i="20"/>
  <c r="AP1234" i="20"/>
  <c r="AO1234" i="20"/>
  <c r="AH1234" i="20"/>
  <c r="AK1234" i="20"/>
  <c r="Y1234" i="20"/>
  <c r="AL1234" i="20"/>
  <c r="AJ1234" i="20"/>
  <c r="AF1234" i="20"/>
  <c r="AG1234" i="20"/>
  <c r="AC1234" i="20"/>
  <c r="AI1234" i="20"/>
  <c r="AE1234" i="20"/>
  <c r="AA1234" i="20"/>
  <c r="Z1234" i="20"/>
  <c r="AD1238" i="20"/>
  <c r="AE1238" i="20"/>
  <c r="Y1238" i="20"/>
  <c r="AG1238" i="20"/>
  <c r="AF1238" i="20"/>
  <c r="AC1238" i="20"/>
  <c r="AH1238" i="20"/>
  <c r="AI1238" i="20"/>
  <c r="AK1238" i="20"/>
  <c r="AN1238" i="20"/>
  <c r="AO1238" i="20"/>
  <c r="AB1238" i="20"/>
  <c r="AA1238" i="20"/>
  <c r="AP1242" i="20"/>
  <c r="AE1242" i="20"/>
  <c r="AC1242" i="20"/>
  <c r="AA1242" i="20"/>
  <c r="AL1242" i="20"/>
  <c r="AI1242" i="20"/>
  <c r="AO1242" i="20"/>
  <c r="AH1242" i="20"/>
  <c r="Y1242" i="20"/>
  <c r="AF1242" i="20"/>
  <c r="AN1242" i="20"/>
  <c r="AP1246" i="20"/>
  <c r="AJ1246" i="20"/>
  <c r="AI1246" i="20"/>
  <c r="AL1246" i="20"/>
  <c r="AC1246" i="20"/>
  <c r="AN1246" i="20"/>
  <c r="AG1246" i="20"/>
  <c r="AK1246" i="20"/>
  <c r="AO1246" i="20"/>
  <c r="AH1246" i="20"/>
  <c r="AF1246" i="20"/>
  <c r="Y1246" i="20"/>
  <c r="AA1246" i="20"/>
  <c r="Z1246" i="20"/>
  <c r="AO1250" i="20"/>
  <c r="AB1250" i="20"/>
  <c r="AA1250" i="20"/>
  <c r="AC1250" i="20"/>
  <c r="AL1250" i="20"/>
  <c r="Y1250" i="20"/>
  <c r="AF1250" i="20"/>
  <c r="AP1250" i="20"/>
  <c r="AI1250" i="20"/>
  <c r="AG1250" i="20"/>
  <c r="AN1250" i="20"/>
  <c r="AH1250" i="20"/>
  <c r="AJ1250" i="20"/>
  <c r="AP1254" i="20"/>
  <c r="AO1254" i="20"/>
  <c r="AH1254" i="20"/>
  <c r="AK1254" i="20"/>
  <c r="AE1254" i="20"/>
  <c r="AI1254" i="20"/>
  <c r="AA1254" i="20"/>
  <c r="AL1254" i="20"/>
  <c r="Z1254" i="20"/>
  <c r="AD1254" i="20"/>
  <c r="AN1254" i="20"/>
  <c r="AC1254" i="20"/>
  <c r="AB1254" i="20"/>
  <c r="AP1258" i="20"/>
  <c r="AO1258" i="20"/>
  <c r="AJ1258" i="20"/>
  <c r="AE1258" i="20"/>
  <c r="AA1258" i="20"/>
  <c r="AG1258" i="20"/>
  <c r="Y1258" i="20"/>
  <c r="AK1258" i="20"/>
  <c r="AD1258" i="20"/>
  <c r="AL1258" i="20"/>
  <c r="Z1258" i="20"/>
  <c r="AF1258" i="20"/>
  <c r="AH1258" i="20"/>
  <c r="AO1262" i="20"/>
  <c r="AA1262" i="20"/>
  <c r="AC1262" i="20"/>
  <c r="AD1262" i="20"/>
  <c r="AJ1262" i="20"/>
  <c r="AK1262" i="20"/>
  <c r="AL1262" i="20"/>
  <c r="AE1262" i="20"/>
  <c r="AI1262" i="20"/>
  <c r="Y1262" i="20"/>
  <c r="AP1262" i="20"/>
  <c r="AG1262" i="20"/>
  <c r="AF1262" i="20"/>
  <c r="Z1262" i="20"/>
  <c r="AL1266" i="20"/>
  <c r="AC1266" i="20"/>
  <c r="Y1266" i="20"/>
  <c r="Z1266" i="20"/>
  <c r="AP1266" i="20"/>
  <c r="AH1266" i="20"/>
  <c r="AN1266" i="20"/>
  <c r="AA1266" i="20"/>
  <c r="AE1266" i="20"/>
  <c r="AO1266" i="20"/>
  <c r="AJ1266" i="20"/>
  <c r="AB1266" i="20"/>
  <c r="AD1266" i="20"/>
  <c r="AK1266" i="20"/>
  <c r="AP1270" i="20"/>
  <c r="AJ1270" i="20"/>
  <c r="AD1270" i="20"/>
  <c r="AN1270" i="20"/>
  <c r="AH1270" i="20"/>
  <c r="AO1270" i="20"/>
  <c r="Y1270" i="20"/>
  <c r="Z1270" i="20"/>
  <c r="AL1270" i="20"/>
  <c r="AA1270" i="20"/>
  <c r="AE1270" i="20"/>
  <c r="AK1270" i="20"/>
  <c r="AG1270" i="20"/>
  <c r="AP1274" i="20"/>
  <c r="AO1274" i="20"/>
  <c r="AL1274" i="20"/>
  <c r="AE1274" i="20"/>
  <c r="AK1274" i="20"/>
  <c r="AH1274" i="20"/>
  <c r="Y1274" i="20"/>
  <c r="AN1274" i="20"/>
  <c r="AD1274" i="20"/>
  <c r="AJ1274" i="20"/>
  <c r="AI1274" i="20"/>
  <c r="AF1274" i="20"/>
  <c r="AP1278" i="20"/>
  <c r="AJ1278" i="20"/>
  <c r="AF1278" i="20"/>
  <c r="AE1278" i="20"/>
  <c r="AK1278" i="20"/>
  <c r="Y1278" i="20"/>
  <c r="AN1278" i="20"/>
  <c r="AB1278" i="20"/>
  <c r="AL1278" i="20"/>
  <c r="AH1278" i="20"/>
  <c r="Z1278" i="20"/>
  <c r="AD1278" i="20"/>
  <c r="AI1278" i="20"/>
  <c r="AO1282" i="20"/>
  <c r="AJ1282" i="20"/>
  <c r="AF1282" i="20"/>
  <c r="AB1282" i="20"/>
  <c r="AK1282" i="20"/>
  <c r="AE1282" i="20"/>
  <c r="AC1282" i="20"/>
  <c r="AI1282" i="20"/>
  <c r="AN1282" i="20"/>
  <c r="AD1282" i="20"/>
  <c r="AA1282" i="20"/>
  <c r="AO1286" i="20"/>
  <c r="AA1286" i="20"/>
  <c r="Z1286" i="20"/>
  <c r="AG1286" i="20"/>
  <c r="AD1286" i="20"/>
  <c r="AC1286" i="20"/>
  <c r="AK1286" i="20"/>
  <c r="AE1286" i="20"/>
  <c r="Y1286" i="20"/>
  <c r="AP1286" i="20"/>
  <c r="AI1286" i="20"/>
  <c r="AB1286" i="20"/>
  <c r="AF1286" i="20"/>
  <c r="AJ1286" i="20"/>
  <c r="AP1290" i="20"/>
  <c r="AK1290" i="20"/>
  <c r="AC1290" i="20"/>
  <c r="AD1290" i="20"/>
  <c r="AN1290" i="20"/>
  <c r="AB1290" i="20"/>
  <c r="AE1290" i="20"/>
  <c r="AO1290" i="20"/>
  <c r="AH1290" i="20"/>
  <c r="AJ1290" i="20"/>
  <c r="Z1290" i="20"/>
  <c r="AA1290" i="20"/>
  <c r="Y1290" i="20"/>
  <c r="AO1294" i="20"/>
  <c r="AG1294" i="20"/>
  <c r="AN1294" i="20"/>
  <c r="AE1294" i="20"/>
  <c r="AL1294" i="20"/>
  <c r="AI1294" i="20"/>
  <c r="AK1294" i="20"/>
  <c r="AA1294" i="20"/>
  <c r="AH1294" i="20"/>
  <c r="Z1294" i="20"/>
  <c r="AD1294" i="20"/>
  <c r="AC1294" i="20"/>
  <c r="AP1294" i="20"/>
  <c r="AB1294" i="20"/>
  <c r="AF1294" i="20"/>
  <c r="AP1298" i="20"/>
  <c r="AO1298" i="20"/>
  <c r="AB1298" i="20"/>
  <c r="AA1298" i="20"/>
  <c r="AE1298" i="20"/>
  <c r="AH1298" i="20"/>
  <c r="Z1298" i="20"/>
  <c r="AF1298" i="20"/>
  <c r="AD1298" i="20"/>
  <c r="Y1298" i="20"/>
  <c r="AI1298" i="20"/>
  <c r="AN1298" i="20"/>
  <c r="AG1298" i="20"/>
  <c r="AP1302" i="20"/>
  <c r="AJ1302" i="20"/>
  <c r="AL1302" i="20"/>
  <c r="AE1302" i="20"/>
  <c r="AB1302" i="20"/>
  <c r="AF1302" i="20"/>
  <c r="AA1302" i="20"/>
  <c r="AD1302" i="20"/>
  <c r="Y1302" i="20"/>
  <c r="AH1302" i="20"/>
  <c r="Z1302" i="20"/>
  <c r="AN1302" i="20"/>
  <c r="AE1306" i="20"/>
  <c r="AK1306" i="20"/>
  <c r="AL1306" i="20"/>
  <c r="AH1306" i="20"/>
  <c r="AF1306" i="20"/>
  <c r="AJ1306" i="20"/>
  <c r="AP1306" i="20"/>
  <c r="AC1306" i="20"/>
  <c r="AG1306" i="20"/>
  <c r="Z1306" i="20"/>
  <c r="AN1306" i="20"/>
  <c r="AA1306" i="20"/>
  <c r="AB1306" i="20"/>
  <c r="AO43" i="20"/>
  <c r="AD43" i="20"/>
  <c r="Z43" i="20"/>
  <c r="AL43" i="20"/>
  <c r="AI43" i="20"/>
  <c r="AG43" i="20"/>
  <c r="AA43" i="20"/>
  <c r="AE43" i="20"/>
  <c r="AC43" i="20"/>
  <c r="AF43" i="20"/>
  <c r="AB43" i="20"/>
  <c r="AL93" i="20"/>
  <c r="AN93" i="20"/>
  <c r="AJ93" i="20"/>
  <c r="Z93" i="20"/>
  <c r="AF93" i="20"/>
  <c r="AH93" i="20"/>
  <c r="AE93" i="20"/>
  <c r="AB93" i="20"/>
  <c r="AP93" i="20"/>
  <c r="AK93" i="20"/>
  <c r="AA93" i="20"/>
  <c r="AN65" i="20"/>
  <c r="AI65" i="20"/>
  <c r="AC65" i="20"/>
  <c r="AP56" i="20"/>
  <c r="AO56" i="20"/>
  <c r="AE56" i="20"/>
  <c r="AG56" i="20"/>
  <c r="AA56" i="20"/>
  <c r="Z56" i="20"/>
  <c r="AF56" i="20"/>
  <c r="AK56" i="20"/>
  <c r="AB56" i="20"/>
  <c r="AD56" i="20"/>
  <c r="AH56" i="20"/>
  <c r="AN56" i="20"/>
  <c r="AP1002" i="20"/>
  <c r="AO1002" i="20"/>
  <c r="AD1002" i="20"/>
  <c r="AF1002" i="20"/>
  <c r="Y1002" i="20"/>
  <c r="AJ1002" i="20"/>
  <c r="AG1002" i="20"/>
  <c r="AC1002" i="20"/>
  <c r="Z1002" i="20"/>
  <c r="AB1002" i="20"/>
  <c r="AI1002" i="20"/>
  <c r="AH1002" i="20"/>
  <c r="AE1002" i="20"/>
  <c r="AA1002" i="20"/>
  <c r="Y888" i="20"/>
  <c r="AN888" i="20"/>
  <c r="AK140" i="20"/>
  <c r="AO140" i="20"/>
  <c r="AI85" i="20"/>
  <c r="AL85" i="20"/>
  <c r="AJ90" i="20"/>
  <c r="AI90" i="20"/>
  <c r="AG884" i="20"/>
  <c r="AD884" i="20"/>
  <c r="Y110" i="20"/>
  <c r="AE110" i="20"/>
  <c r="AK1002" i="20"/>
  <c r="Y43" i="20"/>
  <c r="AG1274" i="20"/>
  <c r="AL1298" i="20"/>
  <c r="AG1278" i="20"/>
  <c r="AF1254" i="20"/>
  <c r="AB1242" i="20"/>
  <c r="AA1222" i="20"/>
  <c r="AF1210" i="20"/>
  <c r="AI1198" i="20"/>
  <c r="AA1182" i="20"/>
  <c r="AB1274" i="20"/>
  <c r="AH1286" i="20"/>
  <c r="AI1302" i="20"/>
  <c r="AL1290" i="20"/>
  <c r="Y1282" i="20"/>
  <c r="AI1270" i="20"/>
  <c r="AC1258" i="20"/>
  <c r="Z1250" i="20"/>
  <c r="AL1238" i="20"/>
  <c r="AL1218" i="20"/>
  <c r="AG1202" i="20"/>
  <c r="AB1190" i="20"/>
  <c r="Y1306" i="20"/>
  <c r="AJ1294" i="20"/>
  <c r="AC1274" i="20"/>
  <c r="AD1246" i="20"/>
  <c r="AA1226" i="20"/>
  <c r="Z1214" i="20"/>
  <c r="AL1194" i="20"/>
  <c r="AC1174" i="20"/>
  <c r="AD93" i="20"/>
  <c r="AI93" i="20"/>
  <c r="AP43" i="20"/>
  <c r="AK52" i="20"/>
  <c r="AO52" i="20"/>
  <c r="AG106" i="20"/>
  <c r="AN106" i="20"/>
  <c r="AF106" i="20"/>
  <c r="AJ97" i="20"/>
  <c r="AD97" i="20"/>
  <c r="AO183" i="20"/>
  <c r="AH183" i="20"/>
  <c r="Z162" i="20"/>
  <c r="AJ162" i="20"/>
  <c r="AK162" i="20"/>
  <c r="AK29" i="20"/>
  <c r="AN29" i="20"/>
  <c r="AR1140" i="20"/>
  <c r="AT1140" i="20"/>
  <c r="Y52" i="20"/>
  <c r="AA162" i="20"/>
  <c r="AP183" i="20"/>
  <c r="Z97" i="20"/>
  <c r="AC52" i="20"/>
  <c r="AJ43" i="20"/>
  <c r="AH43" i="20"/>
  <c r="AN1002" i="20"/>
  <c r="Y56" i="20"/>
  <c r="AJ1298" i="20"/>
  <c r="AJ1230" i="20"/>
  <c r="AC1278" i="20"/>
  <c r="AI1266" i="20"/>
  <c r="Y1254" i="20"/>
  <c r="AJ1242" i="20"/>
  <c r="AE1222" i="20"/>
  <c r="AG1210" i="20"/>
  <c r="AB1182" i="20"/>
  <c r="AI1258" i="20"/>
  <c r="Y1210" i="20"/>
  <c r="AC1302" i="20"/>
  <c r="AG1290" i="20"/>
  <c r="Z1282" i="20"/>
  <c r="AC1270" i="20"/>
  <c r="AE1250" i="20"/>
  <c r="AJ1238" i="20"/>
  <c r="AI1230" i="20"/>
  <c r="AF1218" i="20"/>
  <c r="AJ1190" i="20"/>
  <c r="AL1190" i="20"/>
  <c r="AI1306" i="20"/>
  <c r="AL1286" i="20"/>
  <c r="AB1262" i="20"/>
  <c r="AN1234" i="20"/>
  <c r="AG1226" i="20"/>
  <c r="AJ1206" i="20"/>
  <c r="AA1186" i="20"/>
  <c r="AJ1174" i="20"/>
  <c r="Z1274" i="20"/>
  <c r="AJ1254" i="20"/>
  <c r="AD1242" i="20"/>
  <c r="AO1194" i="20"/>
  <c r="AO1302" i="20"/>
  <c r="AP1238" i="20"/>
  <c r="AT320" i="20"/>
  <c r="AT328" i="20"/>
  <c r="AP31" i="20"/>
  <c r="AO31" i="20"/>
  <c r="AL13" i="20"/>
  <c r="AA13" i="20"/>
  <c r="AP18" i="20"/>
  <c r="Z18" i="20"/>
  <c r="AA18" i="20"/>
  <c r="AC33" i="20"/>
  <c r="AK33" i="20"/>
  <c r="AA1110" i="20"/>
  <c r="AK1110" i="20"/>
  <c r="AF1110" i="20"/>
  <c r="AE1110" i="20"/>
  <c r="AP1104" i="20"/>
  <c r="AF1104" i="20"/>
  <c r="Y1104" i="20"/>
  <c r="AL1104" i="20"/>
  <c r="AF1102" i="20"/>
  <c r="AD1102" i="20"/>
  <c r="AK1102" i="20"/>
  <c r="AA1102" i="20"/>
  <c r="AC1098" i="20"/>
  <c r="Y1098" i="20"/>
  <c r="AN1098" i="20"/>
  <c r="AL1098" i="20"/>
  <c r="AN1095" i="20"/>
  <c r="AE1095" i="20"/>
  <c r="AJ1095" i="20"/>
  <c r="AA1095" i="20"/>
  <c r="AP1085" i="20"/>
  <c r="AO1085" i="20"/>
  <c r="AO1078" i="20"/>
  <c r="AP1078" i="20"/>
  <c r="AA1078" i="20"/>
  <c r="AP1047" i="20"/>
  <c r="AO1047" i="20"/>
  <c r="AH1017" i="20"/>
  <c r="AG1017" i="20"/>
  <c r="AO1010" i="20"/>
  <c r="AH1010" i="20"/>
  <c r="AL1010" i="20"/>
  <c r="AO1005" i="20"/>
  <c r="AJ1005" i="20"/>
  <c r="AI996" i="20"/>
  <c r="AB996" i="20"/>
  <c r="AP994" i="20"/>
  <c r="AI994" i="20"/>
  <c r="AO974" i="20"/>
  <c r="AG974" i="20"/>
  <c r="AL974" i="20"/>
  <c r="AI974" i="20"/>
  <c r="AE966" i="20"/>
  <c r="Z966" i="20"/>
  <c r="AO957" i="20"/>
  <c r="AP957" i="20"/>
  <c r="AL957" i="20"/>
  <c r="AE957" i="20"/>
  <c r="AP954" i="20"/>
  <c r="AJ954" i="20"/>
  <c r="AP946" i="20"/>
  <c r="AO946" i="20"/>
  <c r="AH940" i="20"/>
  <c r="AO940" i="20"/>
  <c r="AO937" i="20"/>
  <c r="AK937" i="20"/>
  <c r="AH937" i="20"/>
  <c r="AL917" i="20"/>
  <c r="AO917" i="20"/>
  <c r="AO909" i="20"/>
  <c r="AD909" i="20"/>
  <c r="AP905" i="20"/>
  <c r="AJ905" i="20"/>
  <c r="AC896" i="20"/>
  <c r="AP896" i="20"/>
  <c r="Z896" i="20"/>
  <c r="AP871" i="20"/>
  <c r="AO871" i="20"/>
  <c r="AG871" i="20"/>
  <c r="AP863" i="20"/>
  <c r="AO863" i="20"/>
  <c r="AG863" i="20"/>
  <c r="AO858" i="20"/>
  <c r="AP858" i="20"/>
  <c r="AA844" i="20"/>
  <c r="Y844" i="20"/>
  <c r="AP846" i="20"/>
  <c r="AA846" i="20"/>
  <c r="AE846" i="20"/>
  <c r="AK831" i="20"/>
  <c r="AO831" i="20"/>
  <c r="AO836" i="20"/>
  <c r="AP836" i="20"/>
  <c r="AA823" i="20"/>
  <c r="Z823" i="20"/>
  <c r="AC823" i="20"/>
  <c r="AO813" i="20"/>
  <c r="AC813" i="20"/>
  <c r="AL813" i="20"/>
  <c r="AP809" i="20"/>
  <c r="AJ809" i="20"/>
  <c r="AP804" i="20"/>
  <c r="AO804" i="20"/>
  <c r="AP784" i="20"/>
  <c r="AO784" i="20"/>
  <c r="AJ780" i="20"/>
  <c r="AP780" i="20"/>
  <c r="AO780" i="20"/>
  <c r="AO776" i="20"/>
  <c r="AP776" i="20"/>
  <c r="AP754" i="20"/>
  <c r="AO754" i="20"/>
  <c r="AO747" i="20"/>
  <c r="AP747" i="20"/>
  <c r="AP739" i="20"/>
  <c r="AO739" i="20"/>
  <c r="AO716" i="20"/>
  <c r="AI716" i="20"/>
  <c r="AP705" i="20"/>
  <c r="AO705" i="20"/>
  <c r="Z705" i="20"/>
  <c r="AP697" i="20"/>
  <c r="AO697" i="20"/>
  <c r="AI685" i="20"/>
  <c r="AP685" i="20"/>
  <c r="AP677" i="20"/>
  <c r="AL677" i="20"/>
  <c r="AP658" i="20"/>
  <c r="AG658" i="20"/>
  <c r="AP593" i="20"/>
  <c r="AO593" i="20"/>
  <c r="AI593" i="20"/>
  <c r="AP589" i="20"/>
  <c r="AO589" i="20"/>
  <c r="AP581" i="20"/>
  <c r="AO581" i="20"/>
  <c r="AG557" i="20"/>
  <c r="AF557" i="20"/>
  <c r="AP553" i="20"/>
  <c r="AH553" i="20"/>
  <c r="AO553" i="20"/>
  <c r="AP548" i="20"/>
  <c r="AO548" i="20"/>
  <c r="AL548" i="20"/>
  <c r="AP532" i="20"/>
  <c r="AA532" i="20"/>
  <c r="Z532" i="20"/>
  <c r="AP528" i="20"/>
  <c r="AD528" i="20"/>
  <c r="AP525" i="20"/>
  <c r="AO525" i="20"/>
  <c r="AO521" i="20"/>
  <c r="AK521" i="20"/>
  <c r="AP537" i="20"/>
  <c r="AO537" i="20"/>
  <c r="AG537" i="20"/>
  <c r="AP512" i="20"/>
  <c r="AO512" i="20"/>
  <c r="Y512" i="20"/>
  <c r="AH512" i="20"/>
  <c r="AP508" i="20"/>
  <c r="AG508" i="20"/>
  <c r="AO505" i="20"/>
  <c r="Y505" i="20"/>
  <c r="AP566" i="20"/>
  <c r="AO566" i="20"/>
  <c r="AP501" i="20"/>
  <c r="AA501" i="20"/>
  <c r="AO497" i="20"/>
  <c r="AH497" i="20"/>
  <c r="AP493" i="20"/>
  <c r="AO493" i="20"/>
  <c r="AP485" i="20"/>
  <c r="AO485" i="20"/>
  <c r="AP481" i="20"/>
  <c r="AO481" i="20"/>
  <c r="AE481" i="20"/>
  <c r="AP461" i="20"/>
  <c r="AO461" i="20"/>
  <c r="AL461" i="20"/>
  <c r="AP453" i="20"/>
  <c r="AJ453" i="20"/>
  <c r="AP441" i="20"/>
  <c r="AO441" i="20"/>
  <c r="AO430" i="20"/>
  <c r="AP430" i="20"/>
  <c r="AP425" i="20"/>
  <c r="AJ425" i="20"/>
  <c r="AP421" i="20"/>
  <c r="AO421" i="20"/>
  <c r="AI421" i="20"/>
  <c r="AO409" i="20"/>
  <c r="AP409" i="20"/>
  <c r="AF409" i="20"/>
  <c r="AP405" i="20"/>
  <c r="AO405" i="20"/>
  <c r="AP397" i="20"/>
  <c r="AO397" i="20"/>
  <c r="AH397" i="20"/>
  <c r="AP389" i="20"/>
  <c r="AO389" i="20"/>
  <c r="AH389" i="20"/>
  <c r="AI389" i="20"/>
  <c r="AP385" i="20"/>
  <c r="AO385" i="20"/>
  <c r="AP377" i="20"/>
  <c r="AO377" i="20"/>
  <c r="AP373" i="20"/>
  <c r="AE373" i="20"/>
  <c r="AP365" i="20"/>
  <c r="AH365" i="20"/>
  <c r="AK290" i="20"/>
  <c r="AE290" i="20"/>
  <c r="AJ290" i="20"/>
  <c r="AH290" i="20"/>
  <c r="AP281" i="20"/>
  <c r="AO281" i="20"/>
  <c r="AH281" i="20"/>
  <c r="AP272" i="20"/>
  <c r="AO272" i="20"/>
  <c r="AE272" i="20"/>
  <c r="AO265" i="20"/>
  <c r="AP265" i="20"/>
  <c r="AO261" i="20"/>
  <c r="AK261" i="20"/>
  <c r="AP254" i="20"/>
  <c r="AO254" i="20"/>
  <c r="AP249" i="20"/>
  <c r="AO249" i="20"/>
  <c r="AO241" i="20"/>
  <c r="AP241" i="20"/>
  <c r="AP237" i="20"/>
  <c r="AO237" i="20"/>
  <c r="AL237" i="20"/>
  <c r="Z237" i="20"/>
  <c r="AP222" i="20"/>
  <c r="AH222" i="20"/>
  <c r="AO206" i="20"/>
  <c r="AP206" i="20"/>
  <c r="AP201" i="20"/>
  <c r="AO201" i="20"/>
  <c r="AP194" i="20"/>
  <c r="AO194" i="20"/>
  <c r="AO176" i="20"/>
  <c r="AP176" i="20"/>
  <c r="AP166" i="20"/>
  <c r="AO166" i="20"/>
  <c r="AO121" i="20"/>
  <c r="AP121" i="20"/>
  <c r="AP116" i="20"/>
  <c r="AO116" i="20"/>
  <c r="AP109" i="20"/>
  <c r="AO109" i="20"/>
  <c r="AT1017" i="20"/>
  <c r="AO994" i="20"/>
  <c r="AP819" i="20"/>
  <c r="AP966" i="20"/>
  <c r="AP1187" i="20"/>
  <c r="AO1187" i="20"/>
  <c r="AP1203" i="20"/>
  <c r="AO1203" i="20"/>
  <c r="AP1235" i="20"/>
  <c r="AO1235" i="20"/>
  <c r="AO1263" i="20"/>
  <c r="AP1263" i="20"/>
  <c r="AP1267" i="20"/>
  <c r="AO1267" i="20"/>
  <c r="AP1291" i="20"/>
  <c r="AO1291" i="20"/>
  <c r="AP1331" i="20"/>
  <c r="AO1331" i="20"/>
  <c r="AP1338" i="20"/>
  <c r="AB1338" i="20"/>
  <c r="AL1338" i="20"/>
  <c r="AG1338" i="20"/>
  <c r="AO924" i="20"/>
  <c r="AK924" i="20"/>
  <c r="Y924" i="20"/>
  <c r="AA924" i="20"/>
  <c r="AG924" i="20"/>
  <c r="AO1024" i="20"/>
  <c r="AP1024" i="20"/>
  <c r="AP1041" i="20"/>
  <c r="AL1041" i="20"/>
  <c r="AP1046" i="20"/>
  <c r="AH1046" i="20"/>
  <c r="AA1046" i="20"/>
  <c r="AI1046" i="20"/>
  <c r="Z1046" i="20"/>
  <c r="AP976" i="20"/>
  <c r="AO976" i="20"/>
  <c r="AP1027" i="20"/>
  <c r="AO1027" i="20"/>
  <c r="Y1027" i="20"/>
  <c r="AG1027" i="20"/>
  <c r="AJ1027" i="20"/>
  <c r="AP1025" i="20"/>
  <c r="AA1025" i="20"/>
  <c r="AP1026" i="20"/>
  <c r="AF1026" i="20"/>
  <c r="AL1026" i="20"/>
  <c r="AD1026" i="20"/>
  <c r="AP873" i="20"/>
  <c r="AO873" i="20"/>
  <c r="AH232" i="20"/>
  <c r="AC232" i="20"/>
  <c r="AI232" i="20"/>
  <c r="AA232" i="20"/>
  <c r="AF232" i="20"/>
  <c r="AO131" i="20"/>
  <c r="AH131" i="20"/>
  <c r="AN131" i="20"/>
  <c r="AE131" i="20"/>
  <c r="AK131" i="20"/>
  <c r="AO861" i="20"/>
  <c r="AP861" i="20"/>
  <c r="AD861" i="20"/>
  <c r="AP79" i="20"/>
  <c r="AO79" i="20"/>
  <c r="AC79" i="20"/>
  <c r="AJ79" i="20"/>
  <c r="AN79" i="20"/>
  <c r="AP225" i="20"/>
  <c r="AO225" i="20"/>
  <c r="AP229" i="20"/>
  <c r="AO229" i="20"/>
  <c r="Z229" i="20"/>
  <c r="AD229" i="20"/>
  <c r="AJ229" i="20"/>
  <c r="AP76" i="20"/>
  <c r="AO76" i="20"/>
  <c r="AG87" i="20"/>
  <c r="AK87" i="20"/>
  <c r="AE87" i="20"/>
  <c r="AH87" i="20"/>
  <c r="AP230" i="20"/>
  <c r="AI230" i="20"/>
  <c r="AO145" i="20"/>
  <c r="AP145" i="20"/>
  <c r="Y145" i="20"/>
  <c r="AF145" i="20"/>
  <c r="AJ145" i="20"/>
  <c r="AI145" i="20"/>
  <c r="AP224" i="20"/>
  <c r="AO224" i="20"/>
  <c r="AA224" i="20"/>
  <c r="AL224" i="20"/>
  <c r="AN224" i="20"/>
  <c r="AD224" i="20"/>
  <c r="AE224" i="20"/>
  <c r="AF224" i="20"/>
  <c r="AP231" i="20"/>
  <c r="AI231" i="20"/>
  <c r="AP129" i="20"/>
  <c r="AE129" i="20"/>
  <c r="AH129" i="20"/>
  <c r="AN129" i="20"/>
  <c r="AP147" i="20"/>
  <c r="AO147" i="20"/>
  <c r="AO148" i="20"/>
  <c r="AB148" i="20"/>
  <c r="AC148" i="20"/>
  <c r="AE148" i="20"/>
  <c r="AF148" i="20"/>
  <c r="AN148" i="20"/>
  <c r="AP149" i="20"/>
  <c r="AO149" i="20"/>
  <c r="AO150" i="20"/>
  <c r="AP150" i="20"/>
  <c r="AG150" i="20"/>
  <c r="AD150" i="20"/>
  <c r="AC150" i="20"/>
  <c r="AL150" i="20"/>
  <c r="AK69" i="20"/>
  <c r="AE69" i="20"/>
  <c r="AJ69" i="20"/>
  <c r="AH69" i="20"/>
  <c r="AO48" i="20"/>
  <c r="Y48" i="20"/>
  <c r="AJ48" i="20"/>
  <c r="Z48" i="20"/>
  <c r="AP107" i="20"/>
  <c r="AO107" i="20"/>
  <c r="AJ886" i="20"/>
  <c r="AF886" i="20"/>
  <c r="AB886" i="20"/>
  <c r="AP808" i="20"/>
  <c r="Y808" i="20"/>
  <c r="Z808" i="20"/>
  <c r="AA808" i="20"/>
  <c r="AF808" i="20"/>
  <c r="AP226" i="20"/>
  <c r="AF226" i="20"/>
  <c r="AN226" i="20"/>
  <c r="AE226" i="20"/>
  <c r="Z226" i="20"/>
  <c r="AC226" i="20"/>
  <c r="AK226" i="20"/>
  <c r="Z130" i="20"/>
  <c r="AL130" i="20"/>
  <c r="AG130" i="20"/>
  <c r="AP112" i="20"/>
  <c r="AF112" i="20"/>
  <c r="AE112" i="20"/>
  <c r="AK112" i="20"/>
  <c r="AA112" i="20"/>
  <c r="AP46" i="20"/>
  <c r="AO46" i="20"/>
  <c r="AN67" i="20"/>
  <c r="AK1338" i="20"/>
  <c r="Y1041" i="20"/>
  <c r="AA1041" i="20"/>
  <c r="AH1041" i="20"/>
  <c r="AE1027" i="20"/>
  <c r="Z1026" i="20"/>
  <c r="AH924" i="20"/>
  <c r="AA856" i="20"/>
  <c r="AF1338" i="20"/>
  <c r="AL1027" i="20"/>
  <c r="AB232" i="20"/>
  <c r="AC1338" i="20"/>
  <c r="AG1046" i="20"/>
  <c r="AH1026" i="20"/>
  <c r="AC131" i="20"/>
  <c r="Y229" i="20"/>
  <c r="Z1338" i="20"/>
  <c r="AN924" i="20"/>
  <c r="Y1046" i="20"/>
  <c r="AG1026" i="20"/>
  <c r="Y232" i="20"/>
  <c r="AA861" i="20"/>
  <c r="AH227" i="20"/>
  <c r="AL87" i="20"/>
  <c r="AC129" i="20"/>
  <c r="AJ230" i="20"/>
  <c r="AI224" i="20"/>
  <c r="AG129" i="20"/>
  <c r="AD148" i="20"/>
  <c r="AL1046" i="20"/>
  <c r="AN145" i="20"/>
  <c r="AK232" i="20"/>
  <c r="AI1338" i="20"/>
  <c r="AO1271" i="20"/>
  <c r="AO1179" i="20"/>
  <c r="AO67" i="20"/>
  <c r="AO227" i="20"/>
  <c r="AO129" i="20"/>
  <c r="AO232" i="20"/>
  <c r="AP60" i="20"/>
  <c r="AP87" i="20"/>
  <c r="AP1163" i="20"/>
  <c r="AR1229" i="20"/>
  <c r="AT1229" i="20"/>
  <c r="AP1301" i="20"/>
  <c r="AO1301" i="20"/>
  <c r="AP1317" i="20"/>
  <c r="AO1317" i="20"/>
  <c r="AP1333" i="20"/>
  <c r="AO1333" i="20"/>
  <c r="AP1160" i="20"/>
  <c r="AO1160" i="20"/>
  <c r="AB1160" i="20"/>
  <c r="AD1160" i="20"/>
  <c r="AC1160" i="20"/>
  <c r="AH1160" i="20"/>
  <c r="Z1160" i="20"/>
  <c r="Y1160" i="20"/>
  <c r="AN1160" i="20"/>
  <c r="AE1160" i="20"/>
  <c r="AF1160" i="20"/>
  <c r="AL1160" i="20"/>
  <c r="AK1160" i="20"/>
  <c r="AA1160" i="20"/>
  <c r="AI1160" i="20"/>
  <c r="AG1160" i="20"/>
  <c r="AB1148" i="20"/>
  <c r="Y1148" i="20"/>
  <c r="AI1148" i="20"/>
  <c r="AL1148" i="20"/>
  <c r="AO1148" i="20"/>
  <c r="AK1148" i="20"/>
  <c r="AH1148" i="20"/>
  <c r="AC1148" i="20"/>
  <c r="AP1148" i="20"/>
  <c r="AE1148" i="20"/>
  <c r="Z1148" i="20"/>
  <c r="AF1148" i="20"/>
  <c r="AJ1148" i="20"/>
  <c r="AG1148" i="20"/>
  <c r="AD1148" i="20"/>
  <c r="AA1148" i="20"/>
  <c r="AN1148" i="20"/>
  <c r="AP1170" i="20"/>
  <c r="AK1170" i="20"/>
  <c r="AL1170" i="20"/>
  <c r="AD1170" i="20"/>
  <c r="AG1170" i="20"/>
  <c r="AI1170" i="20"/>
  <c r="AO1170" i="20"/>
  <c r="AE1170" i="20"/>
  <c r="AN1170" i="20"/>
  <c r="Z1170" i="20"/>
  <c r="AH1170" i="20"/>
  <c r="AB1170" i="20"/>
  <c r="AA1170" i="20"/>
  <c r="AJ1170" i="20"/>
  <c r="AF1170" i="20"/>
  <c r="AC1170" i="20"/>
  <c r="AP887" i="20"/>
  <c r="AO887" i="20"/>
  <c r="AA887" i="20"/>
  <c r="AH887" i="20"/>
  <c r="AB887" i="20"/>
  <c r="AJ887" i="20"/>
  <c r="AE887" i="20"/>
  <c r="AF887" i="20"/>
  <c r="Z887" i="20"/>
  <c r="AG887" i="20"/>
  <c r="Y887" i="20"/>
  <c r="AN887" i="20"/>
  <c r="AL887" i="20"/>
  <c r="AC887" i="20"/>
  <c r="AI887" i="20"/>
  <c r="AK887" i="20"/>
  <c r="AF888" i="20"/>
  <c r="AD888" i="20"/>
  <c r="AJ888" i="20"/>
  <c r="AC888" i="20"/>
  <c r="AK888" i="20"/>
  <c r="AI888" i="20"/>
  <c r="AG888" i="20"/>
  <c r="AP81" i="20"/>
  <c r="AO81" i="20"/>
  <c r="AD81" i="20"/>
  <c r="AF81" i="20"/>
  <c r="AI81" i="20"/>
  <c r="Y81" i="20"/>
  <c r="AB81" i="20"/>
  <c r="AG81" i="20"/>
  <c r="AL81" i="20"/>
  <c r="Z81" i="20"/>
  <c r="AK81" i="20"/>
  <c r="AJ81" i="20"/>
  <c r="AE81" i="20"/>
  <c r="AP153" i="20"/>
  <c r="AL153" i="20"/>
  <c r="Y153" i="20"/>
  <c r="AN153" i="20"/>
  <c r="AO153" i="20"/>
  <c r="AF153" i="20"/>
  <c r="Z153" i="20"/>
  <c r="AB153" i="20"/>
  <c r="AD153" i="20"/>
  <c r="AH153" i="20"/>
  <c r="AI153" i="20"/>
  <c r="AC153" i="20"/>
  <c r="AE153" i="20"/>
  <c r="AA153" i="20"/>
  <c r="AJ153" i="20"/>
  <c r="Z108" i="20"/>
  <c r="AB108" i="20"/>
  <c r="AI108" i="20"/>
  <c r="AJ108" i="20"/>
  <c r="AD108" i="20"/>
  <c r="AN108" i="20"/>
  <c r="Y108" i="20"/>
  <c r="AE108" i="20"/>
  <c r="AL108" i="20"/>
  <c r="AK108" i="20"/>
  <c r="AF108" i="20"/>
  <c r="AG108" i="20"/>
  <c r="AA108" i="20"/>
  <c r="AH108" i="20"/>
  <c r="AC108" i="20"/>
  <c r="AO186" i="20"/>
  <c r="AB186" i="20"/>
  <c r="AA186" i="20"/>
  <c r="AK186" i="20"/>
  <c r="AN186" i="20"/>
  <c r="AP186" i="20"/>
  <c r="AI186" i="20"/>
  <c r="AE186" i="20"/>
  <c r="AD186" i="20"/>
  <c r="AH186" i="20"/>
  <c r="AC186" i="20"/>
  <c r="AL186" i="20"/>
  <c r="AF186" i="20"/>
  <c r="AG186" i="20"/>
  <c r="Z186" i="20"/>
  <c r="Y186" i="20"/>
  <c r="AJ186" i="20"/>
  <c r="AG73" i="20"/>
  <c r="AD73" i="20"/>
  <c r="Z73" i="20"/>
  <c r="AP73" i="20"/>
  <c r="AO73" i="20"/>
  <c r="AN73" i="20"/>
  <c r="AH73" i="20"/>
  <c r="AF73" i="20"/>
  <c r="AI73" i="20"/>
  <c r="Y73" i="20"/>
  <c r="AB73" i="20"/>
  <c r="AC73" i="20"/>
  <c r="AA73" i="20"/>
  <c r="AK73" i="20"/>
  <c r="AJ73" i="20"/>
  <c r="AE73" i="20"/>
  <c r="AL73" i="20"/>
  <c r="AR323" i="20"/>
  <c r="AT323" i="20"/>
  <c r="AR398" i="20"/>
  <c r="AT398" i="20"/>
  <c r="AR455" i="20"/>
  <c r="AT455" i="20"/>
  <c r="AR571" i="20"/>
  <c r="AT571" i="20"/>
  <c r="AR546" i="20"/>
  <c r="AT546" i="20"/>
  <c r="AB1143" i="20"/>
  <c r="AL1143" i="20"/>
  <c r="AE1143" i="20"/>
  <c r="AI1143" i="20"/>
  <c r="Y1143" i="20"/>
  <c r="AK1143" i="20"/>
  <c r="AH1143" i="20"/>
  <c r="AF1143" i="20"/>
  <c r="AA1143" i="20"/>
  <c r="Z1143" i="20"/>
  <c r="AG1143" i="20"/>
  <c r="AC1143" i="20"/>
  <c r="AD1143" i="20"/>
  <c r="AP1143" i="20"/>
  <c r="Y1139" i="20"/>
  <c r="AG1139" i="20"/>
  <c r="AL1139" i="20"/>
  <c r="AI1139" i="20"/>
  <c r="AE1139" i="20"/>
  <c r="AP1139" i="20"/>
  <c r="AA1139" i="20"/>
  <c r="AC1139" i="20"/>
  <c r="AK1139" i="20"/>
  <c r="Z1139" i="20"/>
  <c r="AB1139" i="20"/>
  <c r="AN1139" i="20"/>
  <c r="AJ1139" i="20"/>
  <c r="AD1139" i="20"/>
  <c r="AJ1135" i="20"/>
  <c r="AF1135" i="20"/>
  <c r="AC1135" i="20"/>
  <c r="AN1135" i="20"/>
  <c r="Z1135" i="20"/>
  <c r="Y1135" i="20"/>
  <c r="AE1135" i="20"/>
  <c r="AA1135" i="20"/>
  <c r="AK1135" i="20"/>
  <c r="AP1135" i="20"/>
  <c r="AI1135" i="20"/>
  <c r="AL1135" i="20"/>
  <c r="AH1135" i="20"/>
  <c r="AG1135" i="20"/>
  <c r="AB1135" i="20"/>
  <c r="AD1135" i="20"/>
  <c r="Z1131" i="20"/>
  <c r="AH1131" i="20"/>
  <c r="AL1131" i="20"/>
  <c r="AI1131" i="20"/>
  <c r="AC1131" i="20"/>
  <c r="Y1131" i="20"/>
  <c r="AA1131" i="20"/>
  <c r="AJ1131" i="20"/>
  <c r="AN1131" i="20"/>
  <c r="AG1131" i="20"/>
  <c r="AD1131" i="20"/>
  <c r="AK1131" i="20"/>
  <c r="AP1131" i="20"/>
  <c r="AO1127" i="20"/>
  <c r="AH1127" i="20"/>
  <c r="AF1127" i="20"/>
  <c r="AE1127" i="20"/>
  <c r="AJ1127" i="20"/>
  <c r="AC1127" i="20"/>
  <c r="AB1127" i="20"/>
  <c r="AK1127" i="20"/>
  <c r="AD1127" i="20"/>
  <c r="AL1127" i="20"/>
  <c r="AA1127" i="20"/>
  <c r="Y1127" i="20"/>
  <c r="AP1127" i="20"/>
  <c r="AN1127" i="20"/>
  <c r="AB1123" i="20"/>
  <c r="AF1123" i="20"/>
  <c r="AO1123" i="20"/>
  <c r="Z1123" i="20"/>
  <c r="AN1123" i="20"/>
  <c r="AG1123" i="20"/>
  <c r="AC1123" i="20"/>
  <c r="AJ1123" i="20"/>
  <c r="AA1123" i="20"/>
  <c r="AP1123" i="20"/>
  <c r="AE1123" i="20"/>
  <c r="AH1123" i="20"/>
  <c r="AD1123" i="20"/>
  <c r="AL1123" i="20"/>
  <c r="AA1119" i="20"/>
  <c r="AI1119" i="20"/>
  <c r="AJ1119" i="20"/>
  <c r="AK1119" i="20"/>
  <c r="AG1119" i="20"/>
  <c r="Z1119" i="20"/>
  <c r="AB1119" i="20"/>
  <c r="AH1119" i="20"/>
  <c r="AP1119" i="20"/>
  <c r="AN1119" i="20"/>
  <c r="AL1119" i="20"/>
  <c r="AC1119" i="20"/>
  <c r="AO1119" i="20"/>
  <c r="AD1119" i="20"/>
  <c r="Y1119" i="20"/>
  <c r="AE1119" i="20"/>
  <c r="Z1115" i="20"/>
  <c r="AF1115" i="20"/>
  <c r="AK1115" i="20"/>
  <c r="AG1115" i="20"/>
  <c r="AH1115" i="20"/>
  <c r="AA1115" i="20"/>
  <c r="AI1115" i="20"/>
  <c r="AL1115" i="20"/>
  <c r="AB1115" i="20"/>
  <c r="AN1115" i="20"/>
  <c r="Y1115" i="20"/>
  <c r="AE1115" i="20"/>
  <c r="AJ1115" i="20"/>
  <c r="AO1115" i="20"/>
  <c r="AF17" i="20"/>
  <c r="AL17" i="20"/>
  <c r="AG17" i="20"/>
  <c r="AN17" i="20"/>
  <c r="AI17" i="20"/>
  <c r="Z17" i="20"/>
  <c r="AB17" i="20"/>
  <c r="AC17" i="20"/>
  <c r="AJ17" i="20"/>
  <c r="AK17" i="20"/>
  <c r="AH17" i="20"/>
  <c r="AA17" i="20"/>
  <c r="Y17" i="20"/>
  <c r="Y16" i="20"/>
  <c r="Z16" i="20"/>
  <c r="AK16" i="20"/>
  <c r="AI16" i="20"/>
  <c r="AC16" i="20"/>
  <c r="AN16" i="20"/>
  <c r="AJ16" i="20"/>
  <c r="AO16" i="20"/>
  <c r="AA16" i="20"/>
  <c r="AF16" i="20"/>
  <c r="AG16" i="20"/>
  <c r="AH16" i="20"/>
  <c r="AP10" i="20"/>
  <c r="AO10" i="20"/>
  <c r="AI10" i="20"/>
  <c r="AB10" i="20"/>
  <c r="Y10" i="20"/>
  <c r="AA10" i="20"/>
  <c r="AC10" i="20"/>
  <c r="AF10" i="20"/>
  <c r="Z10" i="20"/>
  <c r="AL10" i="20"/>
  <c r="AG10" i="20"/>
  <c r="AK10" i="20"/>
  <c r="AE10" i="20"/>
  <c r="AH10" i="20"/>
  <c r="AO11" i="20"/>
  <c r="Z11" i="20"/>
  <c r="AB11" i="20"/>
  <c r="AC11" i="20"/>
  <c r="AF11" i="20"/>
  <c r="AA11" i="20"/>
  <c r="AK11" i="20"/>
  <c r="AD11" i="20"/>
  <c r="AJ11" i="20"/>
  <c r="AE11" i="20"/>
  <c r="AL11" i="20"/>
  <c r="AG11" i="20"/>
  <c r="AP19" i="20"/>
  <c r="AO19" i="20"/>
  <c r="AD19" i="20"/>
  <c r="AN19" i="20"/>
  <c r="AI19" i="20"/>
  <c r="AA19" i="20"/>
  <c r="AK19" i="20"/>
  <c r="AE19" i="20"/>
  <c r="Y19" i="20"/>
  <c r="AH19" i="20"/>
  <c r="AC19" i="20"/>
  <c r="AF19" i="20"/>
  <c r="AG19" i="20"/>
  <c r="AB19" i="20"/>
  <c r="Z19" i="20"/>
  <c r="AP34" i="20"/>
  <c r="AO34" i="20"/>
  <c r="AK34" i="20"/>
  <c r="AC34" i="20"/>
  <c r="Z34" i="20"/>
  <c r="AA34" i="20"/>
  <c r="AL34" i="20"/>
  <c r="AG34" i="20"/>
  <c r="AB34" i="20"/>
  <c r="AE34" i="20"/>
  <c r="AN34" i="20"/>
  <c r="AD34" i="20"/>
  <c r="AF34" i="20"/>
  <c r="Y34" i="20"/>
  <c r="AJ34" i="20"/>
  <c r="AP38" i="20"/>
  <c r="AO38" i="20"/>
  <c r="AN38" i="20"/>
  <c r="AL38" i="20"/>
  <c r="AI38" i="20"/>
  <c r="Z38" i="20"/>
  <c r="AH38" i="20"/>
  <c r="AD38" i="20"/>
  <c r="AK38" i="20"/>
  <c r="AA38" i="20"/>
  <c r="AF38" i="20"/>
  <c r="AC38" i="20"/>
  <c r="AJ38" i="20"/>
  <c r="AP1111" i="20"/>
  <c r="AO1111" i="20"/>
  <c r="AG1111" i="20"/>
  <c r="AJ1111" i="20"/>
  <c r="AE1111" i="20"/>
  <c r="AN1111" i="20"/>
  <c r="AD1111" i="20"/>
  <c r="AA1111" i="20"/>
  <c r="Z1111" i="20"/>
  <c r="AL1111" i="20"/>
  <c r="Y1111" i="20"/>
  <c r="AH1111" i="20"/>
  <c r="AF1111" i="20"/>
  <c r="AC1111" i="20"/>
  <c r="AP1107" i="20"/>
  <c r="AO1107" i="20"/>
  <c r="AH1107" i="20"/>
  <c r="AA1107" i="20"/>
  <c r="AE1107" i="20"/>
  <c r="AC1107" i="20"/>
  <c r="AL1107" i="20"/>
  <c r="AJ1107" i="20"/>
  <c r="AB1107" i="20"/>
  <c r="AN1107" i="20"/>
  <c r="AF1107" i="20"/>
  <c r="Z1107" i="20"/>
  <c r="AD1107" i="20"/>
  <c r="AI1107" i="20"/>
  <c r="G66" i="86" s="1"/>
  <c r="AP1103" i="20"/>
  <c r="AO1103" i="20"/>
  <c r="AN1103" i="20"/>
  <c r="Z1103" i="20"/>
  <c r="AJ1103" i="20"/>
  <c r="AE1103" i="20"/>
  <c r="AF1103" i="20"/>
  <c r="AL1103" i="20"/>
  <c r="AB1103" i="20"/>
  <c r="AH1103" i="20"/>
  <c r="Y1103" i="20"/>
  <c r="AD1103" i="20"/>
  <c r="AI1103" i="20"/>
  <c r="AA1103" i="20"/>
  <c r="AP1099" i="20"/>
  <c r="AO1099" i="20"/>
  <c r="AG1099" i="20"/>
  <c r="AN1099" i="20"/>
  <c r="Y1099" i="20"/>
  <c r="Z1099" i="20"/>
  <c r="AJ1099" i="20"/>
  <c r="AK1099" i="20"/>
  <c r="AC1099" i="20"/>
  <c r="AH1099" i="20"/>
  <c r="AE1099" i="20"/>
  <c r="AA1099" i="20"/>
  <c r="AD1099" i="20"/>
  <c r="AB1099" i="20"/>
  <c r="AP1094" i="20"/>
  <c r="AG1094" i="20"/>
  <c r="Y1094" i="20"/>
  <c r="AI1094" i="20"/>
  <c r="Z1094" i="20"/>
  <c r="AA1094" i="20"/>
  <c r="AL1094" i="20"/>
  <c r="AH1094" i="20"/>
  <c r="AN1094" i="20"/>
  <c r="AE1094" i="20"/>
  <c r="AC1094" i="20"/>
  <c r="AK1094" i="20"/>
  <c r="AP1091" i="20"/>
  <c r="AO1091" i="20"/>
  <c r="AN1091" i="20"/>
  <c r="AG1091" i="20"/>
  <c r="AC1091" i="20"/>
  <c r="AK1091" i="20"/>
  <c r="AE1091" i="20"/>
  <c r="AH1091" i="20"/>
  <c r="AA1091" i="20"/>
  <c r="AB1091" i="20"/>
  <c r="AJ1091" i="20"/>
  <c r="AL1091" i="20"/>
  <c r="Z1091" i="20"/>
  <c r="AD1091" i="20"/>
  <c r="AP1086" i="20"/>
  <c r="AN1086" i="20"/>
  <c r="AA1086" i="20"/>
  <c r="AF1086" i="20"/>
  <c r="AG1086" i="20"/>
  <c r="AO1086" i="20"/>
  <c r="AB1086" i="20"/>
  <c r="AL1086" i="20"/>
  <c r="AI1086" i="20"/>
  <c r="AJ1086" i="20"/>
  <c r="AD1086" i="20"/>
  <c r="AK1086" i="20"/>
  <c r="Z1086" i="20"/>
  <c r="AP1083" i="20"/>
  <c r="AO1083" i="20"/>
  <c r="AJ1083" i="20"/>
  <c r="AI1083" i="20"/>
  <c r="AH1083" i="20"/>
  <c r="AG1083" i="20"/>
  <c r="AC1083" i="20"/>
  <c r="AN1083" i="20"/>
  <c r="AB1083" i="20"/>
  <c r="AK1083" i="20"/>
  <c r="AD1083" i="20"/>
  <c r="AF1083" i="20"/>
  <c r="AA1083" i="20"/>
  <c r="Z1083" i="20"/>
  <c r="AL1083" i="20"/>
  <c r="Y1083" i="20"/>
  <c r="AP1079" i="20"/>
  <c r="AO1079" i="20"/>
  <c r="AE1079" i="20"/>
  <c r="AN1079" i="20"/>
  <c r="Z1079" i="20"/>
  <c r="AA1079" i="20"/>
  <c r="AJ1079" i="20"/>
  <c r="AL1079" i="20"/>
  <c r="AH1079" i="20"/>
  <c r="AI1079" i="20"/>
  <c r="AK1079" i="20"/>
  <c r="AG1079" i="20"/>
  <c r="AC1079" i="20"/>
  <c r="Y1079" i="20"/>
  <c r="AD1079" i="20"/>
  <c r="AO1075" i="20"/>
  <c r="AL1075" i="20"/>
  <c r="AP1075" i="20"/>
  <c r="AE1075" i="20"/>
  <c r="AK1075" i="20"/>
  <c r="AN1075" i="20"/>
  <c r="AD1075" i="20"/>
  <c r="AF1075" i="20"/>
  <c r="AA1075" i="20"/>
  <c r="AJ1075" i="20"/>
  <c r="Z1075" i="20"/>
  <c r="AP1071" i="20"/>
  <c r="AA1071" i="20"/>
  <c r="AB1071" i="20"/>
  <c r="AC1071" i="20"/>
  <c r="AD1071" i="20"/>
  <c r="AF1071" i="20"/>
  <c r="AL1071" i="20"/>
  <c r="AO1071" i="20"/>
  <c r="AJ1071" i="20"/>
  <c r="Z1071" i="20"/>
  <c r="AK1071" i="20"/>
  <c r="AE1071" i="20"/>
  <c r="AG1071" i="20"/>
  <c r="AN1071" i="20"/>
  <c r="AH1071" i="20"/>
  <c r="AP1067" i="20"/>
  <c r="AO1067" i="20"/>
  <c r="AH1067" i="20"/>
  <c r="AA1067" i="20"/>
  <c r="AK1067" i="20"/>
  <c r="AG1067" i="20"/>
  <c r="Z1067" i="20"/>
  <c r="AE1067" i="20"/>
  <c r="AD1067" i="20"/>
  <c r="Y1067" i="20"/>
  <c r="AB1067" i="20"/>
  <c r="AL1067" i="20"/>
  <c r="AC1067" i="20"/>
  <c r="AJ1067" i="20"/>
  <c r="AF1067" i="20"/>
  <c r="AP1062" i="20"/>
  <c r="AO1062" i="20"/>
  <c r="AG1062" i="20"/>
  <c r="AC1062" i="20"/>
  <c r="AD1062" i="20"/>
  <c r="AB1062" i="20"/>
  <c r="AI1062" i="20"/>
  <c r="AF1062" i="20"/>
  <c r="AH1062" i="20"/>
  <c r="AA1062" i="20"/>
  <c r="AJ1062" i="20"/>
  <c r="AN1062" i="20"/>
  <c r="AK1062" i="20"/>
  <c r="AP1055" i="20"/>
  <c r="AO1055" i="20"/>
  <c r="AG1055" i="20"/>
  <c r="AC1055" i="20"/>
  <c r="Z1055" i="20"/>
  <c r="AE1055" i="20"/>
  <c r="AI1055" i="20"/>
  <c r="AH1055" i="20"/>
  <c r="AN1055" i="20"/>
  <c r="AB1055" i="20"/>
  <c r="AF1055" i="20"/>
  <c r="AA1055" i="20"/>
  <c r="Y1055" i="20"/>
  <c r="AJ1055" i="20"/>
  <c r="AK1055" i="20"/>
  <c r="AP1061" i="20"/>
  <c r="AK1061" i="20"/>
  <c r="AH1061" i="20"/>
  <c r="AD1061" i="20"/>
  <c r="Y1061" i="20"/>
  <c r="AA1061" i="20"/>
  <c r="AF1061" i="20"/>
  <c r="AO1061" i="20"/>
  <c r="AC1061" i="20"/>
  <c r="AI1061" i="20"/>
  <c r="AB1061" i="20"/>
  <c r="AE1061" i="20"/>
  <c r="AL1061" i="20"/>
  <c r="AP1050" i="20"/>
  <c r="AO1050" i="20"/>
  <c r="Y1050" i="20"/>
  <c r="AB1050" i="20"/>
  <c r="AF1050" i="20"/>
  <c r="AK1050" i="20"/>
  <c r="AC1050" i="20"/>
  <c r="Z1050" i="20"/>
  <c r="AN1050" i="20"/>
  <c r="AA1050" i="20"/>
  <c r="AI1050" i="20"/>
  <c r="AE1050" i="20"/>
  <c r="AJ1050" i="20"/>
  <c r="AH1050" i="20"/>
  <c r="AP1032" i="20"/>
  <c r="AO1032" i="20"/>
  <c r="AN1032" i="20"/>
  <c r="AC1032" i="20"/>
  <c r="AD1032" i="20"/>
  <c r="Y1032" i="20"/>
  <c r="AA1032" i="20"/>
  <c r="AL1032" i="20"/>
  <c r="AF1032" i="20"/>
  <c r="AJ1032" i="20"/>
  <c r="AE1032" i="20"/>
  <c r="Z1032" i="20"/>
  <c r="AG1032" i="20"/>
  <c r="AI1032" i="20"/>
  <c r="AP1023" i="20"/>
  <c r="AJ1023" i="20"/>
  <c r="AF1023" i="20"/>
  <c r="AK1023" i="20"/>
  <c r="AH1023" i="20"/>
  <c r="AL1023" i="20"/>
  <c r="AN1023" i="20"/>
  <c r="Z1023" i="20"/>
  <c r="AD1023" i="20"/>
  <c r="AB1023" i="20"/>
  <c r="AG1023" i="20"/>
  <c r="AO1023" i="20"/>
  <c r="AA1023" i="20"/>
  <c r="Y1023" i="20"/>
  <c r="AP1018" i="20"/>
  <c r="AO1018" i="20"/>
  <c r="AL1018" i="20"/>
  <c r="AG1018" i="20"/>
  <c r="AF1018" i="20"/>
  <c r="AC1018" i="20"/>
  <c r="AN1018" i="20"/>
  <c r="AE1018" i="20"/>
  <c r="AI1018" i="20"/>
  <c r="AD1018" i="20"/>
  <c r="AH1018" i="20"/>
  <c r="AB1018" i="20"/>
  <c r="AK1018" i="20"/>
  <c r="AP1015" i="20"/>
  <c r="AO1015" i="20"/>
  <c r="AD1015" i="20"/>
  <c r="AH1015" i="20"/>
  <c r="AI1015" i="20"/>
  <c r="AE1015" i="20"/>
  <c r="Z1015" i="20"/>
  <c r="AF1015" i="20"/>
  <c r="AB1015" i="20"/>
  <c r="Y1015" i="20"/>
  <c r="AG1015" i="20"/>
  <c r="AA1015" i="20"/>
  <c r="AJ1015" i="20"/>
  <c r="AL1015" i="20"/>
  <c r="AP1011" i="20"/>
  <c r="AO1011" i="20"/>
  <c r="AN1011" i="20"/>
  <c r="AB1011" i="20"/>
  <c r="AE1011" i="20"/>
  <c r="AF1011" i="20"/>
  <c r="AL1011" i="20"/>
  <c r="Y1011" i="20"/>
  <c r="Z1011" i="20"/>
  <c r="AJ1011" i="20"/>
  <c r="AG1011" i="20"/>
  <c r="AA1011" i="20"/>
  <c r="AI1011" i="20"/>
  <c r="AP1006" i="20"/>
  <c r="AC1006" i="20"/>
  <c r="AB1006" i="20"/>
  <c r="Y1006" i="20"/>
  <c r="AJ1006" i="20"/>
  <c r="Z1006" i="20"/>
  <c r="AO1006" i="20"/>
  <c r="AI1006" i="20"/>
  <c r="AL1006" i="20"/>
  <c r="AA1006" i="20"/>
  <c r="AD1006" i="20"/>
  <c r="AE1006" i="20"/>
  <c r="AN1006" i="20"/>
  <c r="AK1006" i="20"/>
  <c r="AP1001" i="20"/>
  <c r="AA1001" i="20"/>
  <c r="AK1001" i="20"/>
  <c r="AE1001" i="20"/>
  <c r="AB1001" i="20"/>
  <c r="AO1001" i="20"/>
  <c r="AJ1001" i="20"/>
  <c r="Z1001" i="20"/>
  <c r="AF1001" i="20"/>
  <c r="AC1001" i="20"/>
  <c r="AL1001" i="20"/>
  <c r="AH1001" i="20"/>
  <c r="AG1001" i="20"/>
  <c r="Y1001" i="20"/>
  <c r="AO997" i="20"/>
  <c r="AJ997" i="20"/>
  <c r="AH997" i="20"/>
  <c r="AP997" i="20"/>
  <c r="AB997" i="20"/>
  <c r="AA997" i="20"/>
  <c r="AE997" i="20"/>
  <c r="AL997" i="20"/>
  <c r="AN997" i="20"/>
  <c r="AD997" i="20"/>
  <c r="AI997" i="20"/>
  <c r="AC997" i="20"/>
  <c r="AF997" i="20"/>
  <c r="AG997" i="20"/>
  <c r="AP992" i="20"/>
  <c r="AO992" i="20"/>
  <c r="AJ992" i="20"/>
  <c r="AG992" i="20"/>
  <c r="AH992" i="20"/>
  <c r="AC992" i="20"/>
  <c r="AF992" i="20"/>
  <c r="AL992" i="20"/>
  <c r="AK992" i="20"/>
  <c r="AN992" i="20"/>
  <c r="AA992" i="20"/>
  <c r="Z992" i="20"/>
  <c r="AB992" i="20"/>
  <c r="AI992" i="20"/>
  <c r="AO989" i="20"/>
  <c r="AP989" i="20"/>
  <c r="AI989" i="20"/>
  <c r="AC989" i="20"/>
  <c r="AF989" i="20"/>
  <c r="AH989" i="20"/>
  <c r="AD989" i="20"/>
  <c r="AB989" i="20"/>
  <c r="AE989" i="20"/>
  <c r="AN989" i="20"/>
  <c r="Y989" i="20"/>
  <c r="AA989" i="20"/>
  <c r="AK989" i="20"/>
  <c r="AP985" i="20"/>
  <c r="AO985" i="20"/>
  <c r="AI985" i="20"/>
  <c r="AD985" i="20"/>
  <c r="AB985" i="20"/>
  <c r="AH985" i="20"/>
  <c r="AE985" i="20"/>
  <c r="AG985" i="20"/>
  <c r="AA985" i="20"/>
  <c r="AJ985" i="20"/>
  <c r="Z985" i="20"/>
  <c r="AL985" i="20"/>
  <c r="AF985" i="20"/>
  <c r="Y985" i="20"/>
  <c r="AP981" i="20"/>
  <c r="AA981" i="20"/>
  <c r="AO981" i="20"/>
  <c r="AI981" i="20"/>
  <c r="AF981" i="20"/>
  <c r="Y981" i="20"/>
  <c r="Z981" i="20"/>
  <c r="AD981" i="20"/>
  <c r="AH981" i="20"/>
  <c r="AJ981" i="20"/>
  <c r="AC981" i="20"/>
  <c r="AK981" i="20"/>
  <c r="AG981" i="20"/>
  <c r="AL981" i="20"/>
  <c r="AP977" i="20"/>
  <c r="AO977" i="20"/>
  <c r="Z977" i="20"/>
  <c r="AI977" i="20"/>
  <c r="AJ977" i="20"/>
  <c r="AD977" i="20"/>
  <c r="AH977" i="20"/>
  <c r="AB977" i="20"/>
  <c r="AN977" i="20"/>
  <c r="Y977" i="20"/>
  <c r="AC977" i="20"/>
  <c r="AL977" i="20"/>
  <c r="AA977" i="20"/>
  <c r="AG977" i="20"/>
  <c r="AP971" i="20"/>
  <c r="AO971" i="20"/>
  <c r="AB971" i="20"/>
  <c r="AN971" i="20"/>
  <c r="AA971" i="20"/>
  <c r="AL971" i="20"/>
  <c r="AI971" i="20"/>
  <c r="Z971" i="20"/>
  <c r="AF971" i="20"/>
  <c r="AG971" i="20"/>
  <c r="AD971" i="20"/>
  <c r="AC971" i="20"/>
  <c r="AJ971" i="20"/>
  <c r="Y971" i="20"/>
  <c r="AP967" i="20"/>
  <c r="AN967" i="20"/>
  <c r="AI967" i="20"/>
  <c r="Y967" i="20"/>
  <c r="AO967" i="20"/>
  <c r="AG967" i="20"/>
  <c r="AD967" i="20"/>
  <c r="Z967" i="20"/>
  <c r="AE967" i="20"/>
  <c r="AJ967" i="20"/>
  <c r="AC967" i="20"/>
  <c r="AF967" i="20"/>
  <c r="AB967" i="20"/>
  <c r="AP959" i="20"/>
  <c r="AO959" i="20"/>
  <c r="AD959" i="20"/>
  <c r="AC959" i="20"/>
  <c r="AG959" i="20"/>
  <c r="AE959" i="20"/>
  <c r="AL959" i="20"/>
  <c r="AN959" i="20"/>
  <c r="AH959" i="20"/>
  <c r="AA959" i="20"/>
  <c r="AF959" i="20"/>
  <c r="AJ959" i="20"/>
  <c r="Y959" i="20"/>
  <c r="AK959" i="20"/>
  <c r="AI959" i="20"/>
  <c r="AI955" i="20"/>
  <c r="AO955" i="20"/>
  <c r="AC955" i="20"/>
  <c r="AE955" i="20"/>
  <c r="AP955" i="20"/>
  <c r="Z955" i="20"/>
  <c r="AD955" i="20"/>
  <c r="AL955" i="20"/>
  <c r="AJ955" i="20"/>
  <c r="AG955" i="20"/>
  <c r="AH955" i="20"/>
  <c r="AN955" i="20"/>
  <c r="Y955" i="20"/>
  <c r="AK955" i="20"/>
  <c r="AP951" i="20"/>
  <c r="AO951" i="20"/>
  <c r="AH951" i="20"/>
  <c r="AK951" i="20"/>
  <c r="Z951" i="20"/>
  <c r="AG951" i="20"/>
  <c r="AI951" i="20"/>
  <c r="AD951" i="20"/>
  <c r="AN951" i="20"/>
  <c r="AE951" i="20"/>
  <c r="AL951" i="20"/>
  <c r="Y951" i="20"/>
  <c r="AB951" i="20"/>
  <c r="AJ951" i="20"/>
  <c r="AP947" i="20"/>
  <c r="AO947" i="20"/>
  <c r="Y947" i="20"/>
  <c r="AL947" i="20"/>
  <c r="AK947" i="20"/>
  <c r="AA947" i="20"/>
  <c r="AJ947" i="20"/>
  <c r="AC947" i="20"/>
  <c r="AF947" i="20"/>
  <c r="AD947" i="20"/>
  <c r="AI947" i="20"/>
  <c r="AN947" i="20"/>
  <c r="AE947" i="20"/>
  <c r="Z947" i="20"/>
  <c r="AG947" i="20"/>
  <c r="AP941" i="20"/>
  <c r="AO941" i="20"/>
  <c r="AN941" i="20"/>
  <c r="AI941" i="20"/>
  <c r="Y941" i="20"/>
  <c r="AB941" i="20"/>
  <c r="AK941" i="20"/>
  <c r="AL941" i="20"/>
  <c r="AD941" i="20"/>
  <c r="AA941" i="20"/>
  <c r="AF941" i="20"/>
  <c r="AG941" i="20"/>
  <c r="AC941" i="20"/>
  <c r="Z941" i="20"/>
  <c r="AP938" i="20"/>
  <c r="AL938" i="20"/>
  <c r="AE938" i="20"/>
  <c r="AB938" i="20"/>
  <c r="Z938" i="20"/>
  <c r="AK938" i="20"/>
  <c r="AI938" i="20"/>
  <c r="AO938" i="20"/>
  <c r="AD938" i="20"/>
  <c r="AC938" i="20"/>
  <c r="AA938" i="20"/>
  <c r="AG938" i="20"/>
  <c r="AH938" i="20"/>
  <c r="AO944" i="20"/>
  <c r="AP944" i="20"/>
  <c r="AN944" i="20"/>
  <c r="AF944" i="20"/>
  <c r="AH944" i="20"/>
  <c r="AG944" i="20"/>
  <c r="Y944" i="20"/>
  <c r="AC944" i="20"/>
  <c r="AK944" i="20"/>
  <c r="Z944" i="20"/>
  <c r="AB944" i="20"/>
  <c r="AI944" i="20"/>
  <c r="AE944" i="20"/>
  <c r="AD944" i="20"/>
  <c r="AP931" i="20"/>
  <c r="AO931" i="20"/>
  <c r="AA931" i="20"/>
  <c r="AC931" i="20"/>
  <c r="AB931" i="20"/>
  <c r="AN931" i="20"/>
  <c r="AE931" i="20"/>
  <c r="AF931" i="20"/>
  <c r="AH931" i="20"/>
  <c r="AD931" i="20"/>
  <c r="AL931" i="20"/>
  <c r="Y931" i="20"/>
  <c r="Z931" i="20"/>
  <c r="AP927" i="20"/>
  <c r="AO927" i="20"/>
  <c r="AF927" i="20"/>
  <c r="AJ927" i="20"/>
  <c r="AA927" i="20"/>
  <c r="Z927" i="20"/>
  <c r="AI927" i="20"/>
  <c r="AL927" i="20"/>
  <c r="AB927" i="20"/>
  <c r="AC927" i="20"/>
  <c r="AH927" i="20"/>
  <c r="AD927" i="20"/>
  <c r="AE927" i="20"/>
  <c r="AN927" i="20"/>
  <c r="Y927" i="20"/>
  <c r="AP922" i="20"/>
  <c r="AJ922" i="20"/>
  <c r="Z922" i="20"/>
  <c r="AF922" i="20"/>
  <c r="AK922" i="20"/>
  <c r="AO922" i="20"/>
  <c r="AN922" i="20"/>
  <c r="AH922" i="20"/>
  <c r="AE922" i="20"/>
  <c r="AA922" i="20"/>
  <c r="AL922" i="20"/>
  <c r="AB922" i="20"/>
  <c r="Y922" i="20"/>
  <c r="AC922" i="20"/>
  <c r="AI922" i="20"/>
  <c r="AO918" i="20"/>
  <c r="AP918" i="20"/>
  <c r="AI918" i="20"/>
  <c r="AH918" i="20"/>
  <c r="AF918" i="20"/>
  <c r="AJ918" i="20"/>
  <c r="AK918" i="20"/>
  <c r="Y918" i="20"/>
  <c r="AE918" i="20"/>
  <c r="AA918" i="20"/>
  <c r="AL918" i="20"/>
  <c r="AC918" i="20"/>
  <c r="Z918" i="20"/>
  <c r="AD918" i="20"/>
  <c r="AP914" i="20"/>
  <c r="AG914" i="20"/>
  <c r="AK914" i="20"/>
  <c r="AB914" i="20"/>
  <c r="AJ914" i="20"/>
  <c r="AO914" i="20"/>
  <c r="AA914" i="20"/>
  <c r="AF914" i="20"/>
  <c r="AL914" i="20"/>
  <c r="Y914" i="20"/>
  <c r="AI914" i="20"/>
  <c r="Z914" i="20"/>
  <c r="AH914" i="20"/>
  <c r="AE914" i="20"/>
  <c r="AD914" i="20"/>
  <c r="AO910" i="20"/>
  <c r="AI910" i="20"/>
  <c r="AD910" i="20"/>
  <c r="AC910" i="20"/>
  <c r="AJ910" i="20"/>
  <c r="AG910" i="20"/>
  <c r="Y910" i="20"/>
  <c r="AH910" i="20"/>
  <c r="AP910" i="20"/>
  <c r="AE910" i="20"/>
  <c r="AK910" i="20"/>
  <c r="AF910" i="20"/>
  <c r="Z910" i="20"/>
  <c r="AP906" i="20"/>
  <c r="AO906" i="20"/>
  <c r="AB906" i="20"/>
  <c r="AN906" i="20"/>
  <c r="AA906" i="20"/>
  <c r="AI906" i="20"/>
  <c r="AE906" i="20"/>
  <c r="Z906" i="20"/>
  <c r="AH906" i="20"/>
  <c r="AC906" i="20"/>
  <c r="Y906" i="20"/>
  <c r="AG906" i="20"/>
  <c r="AL906" i="20"/>
  <c r="AK906" i="20"/>
  <c r="AN901" i="20"/>
  <c r="Y901" i="20"/>
  <c r="AF901" i="20"/>
  <c r="AL901" i="20"/>
  <c r="AC901" i="20"/>
  <c r="AJ901" i="20"/>
  <c r="Z901" i="20"/>
  <c r="AD901" i="20"/>
  <c r="AH901" i="20"/>
  <c r="AI901" i="20"/>
  <c r="AG901" i="20"/>
  <c r="AP897" i="20"/>
  <c r="AO897" i="20"/>
  <c r="AI897" i="20"/>
  <c r="AB897" i="20"/>
  <c r="AE897" i="20"/>
  <c r="AF897" i="20"/>
  <c r="AA897" i="20"/>
  <c r="AK897" i="20"/>
  <c r="AH897" i="20"/>
  <c r="Y897" i="20"/>
  <c r="Z897" i="20"/>
  <c r="AL897" i="20"/>
  <c r="AJ897" i="20"/>
  <c r="AG897" i="20"/>
  <c r="AN897" i="20"/>
  <c r="AP893" i="20"/>
  <c r="AO893" i="20"/>
  <c r="AG893" i="20"/>
  <c r="Y893" i="20"/>
  <c r="AD893" i="20"/>
  <c r="AJ893" i="20"/>
  <c r="AF893" i="20"/>
  <c r="AA893" i="20"/>
  <c r="AI893" i="20"/>
  <c r="AN893" i="20"/>
  <c r="AH893" i="20"/>
  <c r="AK893" i="20"/>
  <c r="AE893" i="20"/>
  <c r="AP889" i="20"/>
  <c r="AO889" i="20"/>
  <c r="AL889" i="20"/>
  <c r="AG889" i="20"/>
  <c r="AD889" i="20"/>
  <c r="AC889" i="20"/>
  <c r="AI889" i="20"/>
  <c r="AN889" i="20"/>
  <c r="Z889" i="20"/>
  <c r="AK889" i="20"/>
  <c r="AA889" i="20"/>
  <c r="AB889" i="20"/>
  <c r="AE889" i="20"/>
  <c r="AJ889" i="20"/>
  <c r="AH889" i="20"/>
  <c r="AP879" i="20"/>
  <c r="AO879" i="20"/>
  <c r="AK879" i="20"/>
  <c r="I5" i="86" s="1"/>
  <c r="L5" i="86" s="1"/>
  <c r="AI879" i="20"/>
  <c r="G5" i="86" s="1"/>
  <c r="J5" i="86" s="1"/>
  <c r="AB879" i="20"/>
  <c r="AE879" i="20"/>
  <c r="AL879" i="20"/>
  <c r="AC879" i="20"/>
  <c r="AA879" i="20"/>
  <c r="AN879" i="20"/>
  <c r="AD879" i="20"/>
  <c r="Y879" i="20"/>
  <c r="AG879" i="20"/>
  <c r="Z879" i="20"/>
  <c r="AP875" i="20"/>
  <c r="AO875" i="20"/>
  <c r="AJ875" i="20"/>
  <c r="AG875" i="20"/>
  <c r="AE875" i="20"/>
  <c r="AH875" i="20"/>
  <c r="AF875" i="20"/>
  <c r="AC875" i="20"/>
  <c r="Y875" i="20"/>
  <c r="AD875" i="20"/>
  <c r="AN875" i="20"/>
  <c r="Z875" i="20"/>
  <c r="AL875" i="20"/>
  <c r="AP868" i="20"/>
  <c r="AO868" i="20"/>
  <c r="AG868" i="20"/>
  <c r="AL868" i="20"/>
  <c r="AA868" i="20"/>
  <c r="AK868" i="20"/>
  <c r="AE868" i="20"/>
  <c r="Y868" i="20"/>
  <c r="AN868" i="20"/>
  <c r="AB868" i="20"/>
  <c r="AJ868" i="20"/>
  <c r="AD868" i="20"/>
  <c r="Z868" i="20"/>
  <c r="AH868" i="20"/>
  <c r="AI868" i="20"/>
  <c r="G27" i="86" s="1"/>
  <c r="AC868" i="20"/>
  <c r="AO864" i="20"/>
  <c r="AP864" i="20"/>
  <c r="AI864" i="20"/>
  <c r="AC864" i="20"/>
  <c r="AH864" i="20"/>
  <c r="AD864" i="20"/>
  <c r="AL864" i="20"/>
  <c r="Y864" i="20"/>
  <c r="AK864" i="20"/>
  <c r="AA864" i="20"/>
  <c r="AE864" i="20"/>
  <c r="AB864" i="20"/>
  <c r="AG864" i="20"/>
  <c r="AP859" i="20"/>
  <c r="AL859" i="20"/>
  <c r="AO859" i="20"/>
  <c r="AD859" i="20"/>
  <c r="AN859" i="20"/>
  <c r="AI859" i="20"/>
  <c r="AK859" i="20"/>
  <c r="AJ859" i="20"/>
  <c r="AC859" i="20"/>
  <c r="AG859" i="20"/>
  <c r="AB859" i="20"/>
  <c r="Y859" i="20"/>
  <c r="AF859" i="20"/>
  <c r="AH859" i="20"/>
  <c r="AE859" i="20"/>
  <c r="AP853" i="20"/>
  <c r="AO853" i="20"/>
  <c r="AE853" i="20"/>
  <c r="AF853" i="20"/>
  <c r="AG853" i="20"/>
  <c r="Z853" i="20"/>
  <c r="AA853" i="20"/>
  <c r="AJ853" i="20"/>
  <c r="AL853" i="20"/>
  <c r="AI853" i="20"/>
  <c r="Y853" i="20"/>
  <c r="AB853" i="20"/>
  <c r="AH853" i="20"/>
  <c r="AD853" i="20"/>
  <c r="AP850" i="20"/>
  <c r="AO850" i="20"/>
  <c r="AI850" i="20"/>
  <c r="AD850" i="20"/>
  <c r="AB850" i="20"/>
  <c r="Y850" i="20"/>
  <c r="AL850" i="20"/>
  <c r="AG850" i="20"/>
  <c r="AA850" i="20"/>
  <c r="AC850" i="20"/>
  <c r="AE850" i="20"/>
  <c r="AN850" i="20"/>
  <c r="AH850" i="20"/>
  <c r="AK850" i="20"/>
  <c r="AP847" i="20"/>
  <c r="AA847" i="20"/>
  <c r="AN847" i="20"/>
  <c r="AF847" i="20"/>
  <c r="AK847" i="20"/>
  <c r="Y847" i="20"/>
  <c r="AJ847" i="20"/>
  <c r="AL847" i="20"/>
  <c r="AO847" i="20"/>
  <c r="AI847" i="20"/>
  <c r="Z847" i="20"/>
  <c r="AD847" i="20"/>
  <c r="AC847" i="20"/>
  <c r="AB847" i="20"/>
  <c r="AG847" i="20"/>
  <c r="AO834" i="20"/>
  <c r="AP834" i="20"/>
  <c r="AK834" i="20"/>
  <c r="AI834" i="20"/>
  <c r="AE834" i="20"/>
  <c r="Y834" i="20"/>
  <c r="AL834" i="20"/>
  <c r="AF834" i="20"/>
  <c r="Z834" i="20"/>
  <c r="AH834" i="20"/>
  <c r="AD834" i="20"/>
  <c r="AA834" i="20"/>
  <c r="AN834" i="20"/>
  <c r="AB834" i="20"/>
  <c r="AC834" i="20"/>
  <c r="AP829" i="20"/>
  <c r="AI829" i="20"/>
  <c r="AO829" i="20"/>
  <c r="AJ829" i="20"/>
  <c r="AL829" i="20"/>
  <c r="AH829" i="20"/>
  <c r="AD829" i="20"/>
  <c r="AC829" i="20"/>
  <c r="AK829" i="20"/>
  <c r="AA829" i="20"/>
  <c r="AG829" i="20"/>
  <c r="AN829" i="20"/>
  <c r="Y829" i="20"/>
  <c r="AB829" i="20"/>
  <c r="AJ828" i="20"/>
  <c r="AO828" i="20"/>
  <c r="AI828" i="20"/>
  <c r="AD828" i="20"/>
  <c r="Y828" i="20"/>
  <c r="AH828" i="20"/>
  <c r="AP828" i="20"/>
  <c r="AL828" i="20"/>
  <c r="AC828" i="20"/>
  <c r="AG828" i="20"/>
  <c r="AK828" i="20"/>
  <c r="AE828" i="20"/>
  <c r="Z828" i="20"/>
  <c r="AF828" i="20"/>
  <c r="AB828" i="20"/>
  <c r="AP826" i="20"/>
  <c r="AO826" i="20"/>
  <c r="AA826" i="20"/>
  <c r="AE826" i="20"/>
  <c r="AD826" i="20"/>
  <c r="AH826" i="20"/>
  <c r="AJ826" i="20"/>
  <c r="AK826" i="20"/>
  <c r="AL826" i="20"/>
  <c r="AI826" i="20"/>
  <c r="Z826" i="20"/>
  <c r="AB826" i="20"/>
  <c r="AC826" i="20"/>
  <c r="AG826" i="20"/>
  <c r="AP824" i="20"/>
  <c r="AO824" i="20"/>
  <c r="AG824" i="20"/>
  <c r="AI824" i="20"/>
  <c r="Z824" i="20"/>
  <c r="AJ824" i="20"/>
  <c r="AE824" i="20"/>
  <c r="AA824" i="20"/>
  <c r="AF824" i="20"/>
  <c r="AK824" i="20"/>
  <c r="AD824" i="20"/>
  <c r="AB824" i="20"/>
  <c r="AC824" i="20"/>
  <c r="AH824" i="20"/>
  <c r="AN824" i="20"/>
  <c r="AP820" i="20"/>
  <c r="AO820" i="20"/>
  <c r="AE820" i="20"/>
  <c r="AB820" i="20"/>
  <c r="AG820" i="20"/>
  <c r="AK820" i="20"/>
  <c r="AD820" i="20"/>
  <c r="AA820" i="20"/>
  <c r="AJ820" i="20"/>
  <c r="AI820" i="20"/>
  <c r="AN820" i="20"/>
  <c r="AH820" i="20"/>
  <c r="Y820" i="20"/>
  <c r="AC820" i="20"/>
  <c r="AP832" i="20"/>
  <c r="AO832" i="20"/>
  <c r="AD832" i="20"/>
  <c r="AI832" i="20"/>
  <c r="AN832" i="20"/>
  <c r="AK832" i="20"/>
  <c r="AF832" i="20"/>
  <c r="Z832" i="20"/>
  <c r="Y832" i="20"/>
  <c r="AE832" i="20"/>
  <c r="AG832" i="20"/>
  <c r="AC832" i="20"/>
  <c r="AL832" i="20"/>
  <c r="AB832" i="20"/>
  <c r="AP814" i="20"/>
  <c r="AJ814" i="20"/>
  <c r="AG814" i="20"/>
  <c r="AC814" i="20"/>
  <c r="AF814" i="20"/>
  <c r="AO814" i="20"/>
  <c r="AD814" i="20"/>
  <c r="AB814" i="20"/>
  <c r="AH814" i="20"/>
  <c r="Y814" i="20"/>
  <c r="AA814" i="20"/>
  <c r="AL814" i="20"/>
  <c r="Z814" i="20"/>
  <c r="AO810" i="20"/>
  <c r="AP810" i="20"/>
  <c r="Z810" i="20"/>
  <c r="AK810" i="20"/>
  <c r="AH810" i="20"/>
  <c r="AL810" i="20"/>
  <c r="AG810" i="20"/>
  <c r="AF810" i="20"/>
  <c r="AB810" i="20"/>
  <c r="AE810" i="20"/>
  <c r="AC810" i="20"/>
  <c r="AJ810" i="20"/>
  <c r="AD810" i="20"/>
  <c r="AP805" i="20"/>
  <c r="AO805" i="20"/>
  <c r="AJ805" i="20"/>
  <c r="AC805" i="20"/>
  <c r="AA805" i="20"/>
  <c r="AN805" i="20"/>
  <c r="AF805" i="20"/>
  <c r="AG805" i="20"/>
  <c r="AD805" i="20"/>
  <c r="Z805" i="20"/>
  <c r="AB805" i="20"/>
  <c r="Y805" i="20"/>
  <c r="AK805" i="20"/>
  <c r="AE805" i="20"/>
  <c r="AH805" i="20"/>
  <c r="AL805" i="20"/>
  <c r="AI805" i="20"/>
  <c r="AP801" i="20"/>
  <c r="AF801" i="20"/>
  <c r="AO801" i="20"/>
  <c r="AH801" i="20"/>
  <c r="AJ801" i="20"/>
  <c r="AD801" i="20"/>
  <c r="AE801" i="20"/>
  <c r="AC801" i="20"/>
  <c r="Y801" i="20"/>
  <c r="AG801" i="20"/>
  <c r="AN801" i="20"/>
  <c r="AK801" i="20"/>
  <c r="AA801" i="20"/>
  <c r="AB801" i="20"/>
  <c r="Z801" i="20"/>
  <c r="AP798" i="20"/>
  <c r="AH798" i="20"/>
  <c r="AI798" i="20"/>
  <c r="AF798" i="20"/>
  <c r="AJ798" i="20"/>
  <c r="Y798" i="20"/>
  <c r="AD798" i="20"/>
  <c r="Z798" i="20"/>
  <c r="AO798" i="20"/>
  <c r="AN798" i="20"/>
  <c r="AA798" i="20"/>
  <c r="AB798" i="20"/>
  <c r="AL798" i="20"/>
  <c r="AG798" i="20"/>
  <c r="AK798" i="20"/>
  <c r="AO794" i="20"/>
  <c r="AL794" i="20"/>
  <c r="AK794" i="20"/>
  <c r="AH794" i="20"/>
  <c r="AI794" i="20"/>
  <c r="AF794" i="20"/>
  <c r="AP794" i="20"/>
  <c r="AC794" i="20"/>
  <c r="Z794" i="20"/>
  <c r="AB794" i="20"/>
  <c r="AG794" i="20"/>
  <c r="Y794" i="20"/>
  <c r="AD794" i="20"/>
  <c r="AN794" i="20"/>
  <c r="AJ794" i="20"/>
  <c r="AP788" i="20"/>
  <c r="AH788" i="20"/>
  <c r="AN788" i="20"/>
  <c r="AK788" i="20"/>
  <c r="Z788" i="20"/>
  <c r="AL788" i="20"/>
  <c r="AG788" i="20"/>
  <c r="AD788" i="20"/>
  <c r="AB788" i="20"/>
  <c r="AC788" i="20"/>
  <c r="AA788" i="20"/>
  <c r="AE788" i="20"/>
  <c r="AF788" i="20"/>
  <c r="AJ788" i="20"/>
  <c r="AI788" i="20"/>
  <c r="Y791" i="20"/>
  <c r="AD791" i="20"/>
  <c r="AC791" i="20"/>
  <c r="AI791" i="20"/>
  <c r="AA791" i="20"/>
  <c r="AK791" i="20"/>
  <c r="AB791" i="20"/>
  <c r="AG791" i="20"/>
  <c r="AN791" i="20"/>
  <c r="AF791" i="20"/>
  <c r="AJ791" i="20"/>
  <c r="AL791" i="20"/>
  <c r="Z791" i="20"/>
  <c r="AE791" i="20"/>
  <c r="AH791" i="20"/>
  <c r="AP781" i="20"/>
  <c r="AO781" i="20"/>
  <c r="Y781" i="20"/>
  <c r="AH781" i="20"/>
  <c r="AB781" i="20"/>
  <c r="AK781" i="20"/>
  <c r="AJ781" i="20"/>
  <c r="AE781" i="20"/>
  <c r="AI781" i="20"/>
  <c r="Z781" i="20"/>
  <c r="AL781" i="20"/>
  <c r="AD781" i="20"/>
  <c r="AF781" i="20"/>
  <c r="AA781" i="20"/>
  <c r="AC781" i="20"/>
  <c r="AG781" i="20"/>
  <c r="AF777" i="20"/>
  <c r="Z777" i="20"/>
  <c r="AL777" i="20"/>
  <c r="AD777" i="20"/>
  <c r="AI777" i="20"/>
  <c r="AH777" i="20"/>
  <c r="AJ777" i="20"/>
  <c r="AA777" i="20"/>
  <c r="AN777" i="20"/>
  <c r="AG777" i="20"/>
  <c r="AK777" i="20"/>
  <c r="AE777" i="20"/>
  <c r="Y777" i="20"/>
  <c r="AC777" i="20"/>
  <c r="AP773" i="20"/>
  <c r="AL773" i="20"/>
  <c r="AH773" i="20"/>
  <c r="AO773" i="20"/>
  <c r="AG773" i="20"/>
  <c r="AE773" i="20"/>
  <c r="AF773" i="20"/>
  <c r="Y773" i="20"/>
  <c r="AJ773" i="20"/>
  <c r="AI773" i="20"/>
  <c r="Z773" i="20"/>
  <c r="AK773" i="20"/>
  <c r="AA773" i="20"/>
  <c r="AB773" i="20"/>
  <c r="AN773" i="20"/>
  <c r="AD773" i="20"/>
  <c r="AC773" i="20"/>
  <c r="AL769" i="20"/>
  <c r="AD769" i="20"/>
  <c r="AG769" i="20"/>
  <c r="AJ769" i="20"/>
  <c r="H129" i="86" s="1"/>
  <c r="AB769" i="20"/>
  <c r="Y769" i="20"/>
  <c r="AF769" i="20"/>
  <c r="AI769" i="20"/>
  <c r="AK769" i="20"/>
  <c r="I129" i="86" s="1"/>
  <c r="L129" i="86" s="1"/>
  <c r="AH769" i="20"/>
  <c r="AA769" i="20"/>
  <c r="Z769" i="20"/>
  <c r="AP764" i="20"/>
  <c r="AB764" i="20"/>
  <c r="AH764" i="20"/>
  <c r="AK764" i="20"/>
  <c r="AC764" i="20"/>
  <c r="Y764" i="20"/>
  <c r="AG764" i="20"/>
  <c r="AL764" i="20"/>
  <c r="AI764" i="20"/>
  <c r="AD764" i="20"/>
  <c r="AF764" i="20"/>
  <c r="AE764" i="20"/>
  <c r="AA764" i="20"/>
  <c r="AN764" i="20"/>
  <c r="AJ764" i="20"/>
  <c r="AK761" i="20"/>
  <c r="M18" i="37" s="1"/>
  <c r="Y761" i="20"/>
  <c r="AB761" i="20"/>
  <c r="AF761" i="20"/>
  <c r="AL761" i="20"/>
  <c r="AH761" i="20"/>
  <c r="AJ761" i="20"/>
  <c r="AC761" i="20"/>
  <c r="Z761" i="20"/>
  <c r="AN761" i="20"/>
  <c r="AI761" i="20"/>
  <c r="AG761" i="20"/>
  <c r="AA761" i="20"/>
  <c r="AE761" i="20"/>
  <c r="AD761" i="20"/>
  <c r="AP757" i="20"/>
  <c r="AJ757" i="20"/>
  <c r="AE757" i="20"/>
  <c r="AF757" i="20"/>
  <c r="AI757" i="20"/>
  <c r="AA757" i="20"/>
  <c r="AC757" i="20"/>
  <c r="Z757" i="20"/>
  <c r="AH757" i="20"/>
  <c r="AG757" i="20"/>
  <c r="Y757" i="20"/>
  <c r="AK757" i="20"/>
  <c r="AB757" i="20"/>
  <c r="AD757" i="20"/>
  <c r="AL757" i="20"/>
  <c r="Z755" i="20"/>
  <c r="AF755" i="20"/>
  <c r="AJ755" i="20"/>
  <c r="AC755" i="20"/>
  <c r="AK755" i="20"/>
  <c r="AG755" i="20"/>
  <c r="AD755" i="20"/>
  <c r="AI755" i="20"/>
  <c r="AN755" i="20"/>
  <c r="AE755" i="20"/>
  <c r="AA755" i="20"/>
  <c r="Y755" i="20"/>
  <c r="AH755" i="20"/>
  <c r="AL755" i="20"/>
  <c r="AP752" i="20"/>
  <c r="AL752" i="20"/>
  <c r="AI752" i="20"/>
  <c r="AA752" i="20"/>
  <c r="AG752" i="20"/>
  <c r="Z752" i="20"/>
  <c r="AC752" i="20"/>
  <c r="AB752" i="20"/>
  <c r="AE752" i="20"/>
  <c r="Y752" i="20"/>
  <c r="AJ752" i="20"/>
  <c r="AK752" i="20"/>
  <c r="AF752" i="20"/>
  <c r="AN752" i="20"/>
  <c r="AL745" i="20"/>
  <c r="AN745" i="20"/>
  <c r="AK745" i="20"/>
  <c r="AB745" i="20"/>
  <c r="Z745" i="20"/>
  <c r="AI745" i="20"/>
  <c r="AE745" i="20"/>
  <c r="AC745" i="20"/>
  <c r="Y745" i="20"/>
  <c r="AD745" i="20"/>
  <c r="AH745" i="20"/>
  <c r="AF745" i="20"/>
  <c r="AJ745" i="20"/>
  <c r="AG745" i="20"/>
  <c r="AA745" i="20"/>
  <c r="AP743" i="20"/>
  <c r="AJ743" i="20"/>
  <c r="AO743" i="20"/>
  <c r="AL743" i="20"/>
  <c r="AB743" i="20"/>
  <c r="Z743" i="20"/>
  <c r="AH743" i="20"/>
  <c r="AN743" i="20"/>
  <c r="AI743" i="20"/>
  <c r="AF743" i="20"/>
  <c r="Y743" i="20"/>
  <c r="AD743" i="20"/>
  <c r="AC743" i="20"/>
  <c r="AE743" i="20"/>
  <c r="AK743" i="20"/>
  <c r="AA743" i="20"/>
  <c r="AI740" i="20"/>
  <c r="Z740" i="20"/>
  <c r="AL740" i="20"/>
  <c r="AK740" i="20"/>
  <c r="AE740" i="20"/>
  <c r="AD740" i="20"/>
  <c r="AC740" i="20"/>
  <c r="AJ740" i="20"/>
  <c r="AG740" i="20"/>
  <c r="AF740" i="20"/>
  <c r="Y740" i="20"/>
  <c r="AH740" i="20"/>
  <c r="AA740" i="20"/>
  <c r="AN740" i="20"/>
  <c r="AP732" i="20"/>
  <c r="AH732" i="20"/>
  <c r="AK732" i="20"/>
  <c r="Y732" i="20"/>
  <c r="AF732" i="20"/>
  <c r="AB732" i="20"/>
  <c r="AE732" i="20"/>
  <c r="AG732" i="20"/>
  <c r="AD732" i="20"/>
  <c r="AA732" i="20"/>
  <c r="AN732" i="20"/>
  <c r="AJ732" i="20"/>
  <c r="AL732" i="20"/>
  <c r="AI732" i="20"/>
  <c r="AC732" i="20"/>
  <c r="Z732" i="20"/>
  <c r="AA734" i="20"/>
  <c r="Z734" i="20"/>
  <c r="Y734" i="20"/>
  <c r="AC734" i="20"/>
  <c r="AB734" i="20"/>
  <c r="AK734" i="20"/>
  <c r="AJ734" i="20"/>
  <c r="AE734" i="20"/>
  <c r="AF734" i="20"/>
  <c r="AD734" i="20"/>
  <c r="AG734" i="20"/>
  <c r="AL734" i="20"/>
  <c r="AI734" i="20"/>
  <c r="AH734" i="20"/>
  <c r="AO725" i="20"/>
  <c r="AL725" i="20"/>
  <c r="Z725" i="20"/>
  <c r="AN725" i="20"/>
  <c r="AF725" i="20"/>
  <c r="AD725" i="20"/>
  <c r="AK725" i="20"/>
  <c r="AJ725" i="20"/>
  <c r="AI725" i="20"/>
  <c r="AC725" i="20"/>
  <c r="AE725" i="20"/>
  <c r="AB725" i="20"/>
  <c r="AG725" i="20"/>
  <c r="AA725" i="20"/>
  <c r="AO721" i="20"/>
  <c r="AP721" i="20"/>
  <c r="AE721" i="20"/>
  <c r="AK721" i="20"/>
  <c r="AI721" i="20"/>
  <c r="AL721" i="20"/>
  <c r="AN721" i="20"/>
  <c r="Y721" i="20"/>
  <c r="AA721" i="20"/>
  <c r="AF721" i="20"/>
  <c r="Z721" i="20"/>
  <c r="AD721" i="20"/>
  <c r="AG721" i="20"/>
  <c r="AB721" i="20"/>
  <c r="AJ721" i="20"/>
  <c r="AI714" i="20"/>
  <c r="AP714" i="20"/>
  <c r="AD714" i="20"/>
  <c r="AN714" i="20"/>
  <c r="AO714" i="20"/>
  <c r="Z714" i="20"/>
  <c r="AJ712" i="20"/>
  <c r="Z712" i="20"/>
  <c r="AO712" i="20"/>
  <c r="AH712" i="20"/>
  <c r="AB712" i="20"/>
  <c r="AE712" i="20"/>
  <c r="AG706" i="20"/>
  <c r="AN706" i="20"/>
  <c r="AO706" i="20"/>
  <c r="Z706" i="20"/>
  <c r="AE706" i="20"/>
  <c r="AL706" i="20"/>
  <c r="AP706" i="20"/>
  <c r="AJ706" i="20"/>
  <c r="AD702" i="20"/>
  <c r="AJ702" i="20"/>
  <c r="AI702" i="20"/>
  <c r="Y702" i="20"/>
  <c r="AH702" i="20"/>
  <c r="AN702" i="20"/>
  <c r="AL702" i="20"/>
  <c r="AJ698" i="20"/>
  <c r="AB698" i="20"/>
  <c r="AI698" i="20"/>
  <c r="AN698" i="20"/>
  <c r="AE698" i="20"/>
  <c r="AP698" i="20"/>
  <c r="Z693" i="20"/>
  <c r="Y693" i="20"/>
  <c r="AH693" i="20"/>
  <c r="AD693" i="20"/>
  <c r="Z690" i="20"/>
  <c r="AO690" i="20"/>
  <c r="AC690" i="20"/>
  <c r="AK690" i="20"/>
  <c r="AD690" i="20"/>
  <c r="AN690" i="20"/>
  <c r="AP690" i="20"/>
  <c r="AC686" i="20"/>
  <c r="AB686" i="20"/>
  <c r="AF686" i="20"/>
  <c r="AO686" i="20"/>
  <c r="AK686" i="20"/>
  <c r="AI682" i="20"/>
  <c r="Z682" i="20"/>
  <c r="AK682" i="20"/>
  <c r="AO682" i="20"/>
  <c r="AE682" i="20"/>
  <c r="AL682" i="20"/>
  <c r="AN682" i="20"/>
  <c r="AB682" i="20"/>
  <c r="AL678" i="20"/>
  <c r="AB678" i="20"/>
  <c r="AN678" i="20"/>
  <c r="Y678" i="20"/>
  <c r="AP678" i="20"/>
  <c r="AC678" i="20"/>
  <c r="AA674" i="20"/>
  <c r="AP674" i="20"/>
  <c r="AK674" i="20"/>
  <c r="AJ674" i="20"/>
  <c r="Z674" i="20"/>
  <c r="AD674" i="20"/>
  <c r="AL674" i="20"/>
  <c r="AI670" i="20"/>
  <c r="AH670" i="20"/>
  <c r="AG670" i="20"/>
  <c r="AD670" i="20"/>
  <c r="Z670" i="20"/>
  <c r="AC670" i="20"/>
  <c r="AJ670" i="20"/>
  <c r="AG666" i="20"/>
  <c r="AP666" i="20"/>
  <c r="AH666" i="20"/>
  <c r="AB666" i="20"/>
  <c r="AC666" i="20"/>
  <c r="AE662" i="20"/>
  <c r="AJ662" i="20"/>
  <c r="AD662" i="20"/>
  <c r="AL662" i="20"/>
  <c r="AG662" i="20"/>
  <c r="AI662" i="20"/>
  <c r="AC662" i="20"/>
  <c r="AJ655" i="20"/>
  <c r="AH655" i="20"/>
  <c r="AO655" i="20"/>
  <c r="AA655" i="20"/>
  <c r="Z655" i="20"/>
  <c r="AJ652" i="20"/>
  <c r="H50" i="86" s="1"/>
  <c r="K50" i="86" s="1"/>
  <c r="AC652" i="20"/>
  <c r="AF652" i="20"/>
  <c r="AK652" i="20"/>
  <c r="AG652" i="20"/>
  <c r="AN652" i="20"/>
  <c r="AL649" i="20"/>
  <c r="AJ649" i="20"/>
  <c r="AH649" i="20"/>
  <c r="AG649" i="20"/>
  <c r="AB649" i="20"/>
  <c r="AL657" i="20"/>
  <c r="AN657" i="20"/>
  <c r="AH657" i="20"/>
  <c r="AK657" i="20"/>
  <c r="AP657" i="20"/>
  <c r="AE657" i="20"/>
  <c r="Z657" i="20"/>
  <c r="AG657" i="20"/>
  <c r="AA642" i="20"/>
  <c r="Y642" i="20"/>
  <c r="AK642" i="20"/>
  <c r="AG642" i="20"/>
  <c r="AB642" i="20"/>
  <c r="AF638" i="20"/>
  <c r="AO638" i="20"/>
  <c r="Z638" i="20"/>
  <c r="Y638" i="20"/>
  <c r="AC634" i="20"/>
  <c r="AN634" i="20"/>
  <c r="AH634" i="20"/>
  <c r="AI634" i="20"/>
  <c r="AB634" i="20"/>
  <c r="AI630" i="20"/>
  <c r="AB630" i="20"/>
  <c r="AE630" i="20"/>
  <c r="AF630" i="20"/>
  <c r="AH630" i="20"/>
  <c r="AN630" i="20"/>
  <c r="Z630" i="20"/>
  <c r="AA626" i="20"/>
  <c r="AL626" i="20"/>
  <c r="AP626" i="20"/>
  <c r="Z626" i="20"/>
  <c r="AG626" i="20"/>
  <c r="Z622" i="20"/>
  <c r="Y622" i="20"/>
  <c r="AN622" i="20"/>
  <c r="AO622" i="20"/>
  <c r="AD622" i="20"/>
  <c r="AF622" i="20"/>
  <c r="AC622" i="20"/>
  <c r="AG622" i="20"/>
  <c r="AJ618" i="20"/>
  <c r="AD618" i="20"/>
  <c r="AF618" i="20"/>
  <c r="AL618" i="20"/>
  <c r="AG618" i="20"/>
  <c r="AG613" i="20"/>
  <c r="AO613" i="20"/>
  <c r="AB613" i="20"/>
  <c r="AF613" i="20"/>
  <c r="AL613" i="20"/>
  <c r="AA613" i="20"/>
  <c r="AH613" i="20"/>
  <c r="Z610" i="20"/>
  <c r="AN610" i="20"/>
  <c r="AB610" i="20"/>
  <c r="AL610" i="20"/>
  <c r="AH606" i="20"/>
  <c r="AI606" i="20"/>
  <c r="Z606" i="20"/>
  <c r="AP606" i="20"/>
  <c r="AJ606" i="20"/>
  <c r="AL606" i="20"/>
  <c r="AA606" i="20"/>
  <c r="AE606" i="20"/>
  <c r="AO606" i="20"/>
  <c r="AG606" i="20"/>
  <c r="Y606" i="20"/>
  <c r="AC602" i="20"/>
  <c r="AG602" i="20"/>
  <c r="AJ602" i="20"/>
  <c r="AE602" i="20"/>
  <c r="AP602" i="20"/>
  <c r="AF602" i="20"/>
  <c r="AH598" i="20"/>
  <c r="AC598" i="20"/>
  <c r="Y598" i="20"/>
  <c r="AB598" i="20"/>
  <c r="Z598" i="20"/>
  <c r="AA594" i="20"/>
  <c r="Y594" i="20"/>
  <c r="AO594" i="20"/>
  <c r="AK594" i="20"/>
  <c r="Z594" i="20"/>
  <c r="AF594" i="20"/>
  <c r="AJ594" i="20"/>
  <c r="AC594" i="20"/>
  <c r="AD591" i="20"/>
  <c r="AH591" i="20"/>
  <c r="AL591" i="20"/>
  <c r="Z591" i="20"/>
  <c r="AE591" i="20"/>
  <c r="AN591" i="20"/>
  <c r="AE586" i="20"/>
  <c r="AI586" i="20"/>
  <c r="AB586" i="20"/>
  <c r="AO586" i="20"/>
  <c r="AL586" i="20"/>
  <c r="AN586" i="20"/>
  <c r="AG582" i="20"/>
  <c r="Y582" i="20"/>
  <c r="AL582" i="20"/>
  <c r="AD582" i="20"/>
  <c r="AC582" i="20"/>
  <c r="AJ582" i="20"/>
  <c r="AH582" i="20"/>
  <c r="Z582" i="20"/>
  <c r="AC578" i="20"/>
  <c r="AE578" i="20"/>
  <c r="AA578" i="20"/>
  <c r="Z578" i="20"/>
  <c r="AP578" i="20"/>
  <c r="AD578" i="20"/>
  <c r="AJ578" i="20"/>
  <c r="AO576" i="20"/>
  <c r="AK576" i="20"/>
  <c r="AD576" i="20"/>
  <c r="AE576" i="20"/>
  <c r="Y572" i="20"/>
  <c r="AN572" i="20"/>
  <c r="AJ572" i="20"/>
  <c r="AP572" i="20"/>
  <c r="AL572" i="20"/>
  <c r="AF572" i="20"/>
  <c r="AI562" i="20"/>
  <c r="AL562" i="20"/>
  <c r="AA562" i="20"/>
  <c r="AJ562" i="20"/>
  <c r="Z562" i="20"/>
  <c r="AO562" i="20"/>
  <c r="AG562" i="20"/>
  <c r="AB562" i="20"/>
  <c r="AB558" i="20"/>
  <c r="AN558" i="20"/>
  <c r="AO558" i="20"/>
  <c r="Y558" i="20"/>
  <c r="AP558" i="20"/>
  <c r="AE554" i="20"/>
  <c r="AH554" i="20"/>
  <c r="AK554" i="20"/>
  <c r="AP554" i="20"/>
  <c r="AA554" i="20"/>
  <c r="AN554" i="20"/>
  <c r="AI554" i="20"/>
  <c r="Z554" i="20"/>
  <c r="AJ551" i="20"/>
  <c r="AP551" i="20"/>
  <c r="AG551" i="20"/>
  <c r="AF551" i="20"/>
  <c r="AH551" i="20"/>
  <c r="AO551" i="20"/>
  <c r="AD544" i="20"/>
  <c r="AG544" i="20"/>
  <c r="AN544" i="20"/>
  <c r="Z544" i="20"/>
  <c r="AO544" i="20"/>
  <c r="AC544" i="20"/>
  <c r="AH544" i="20"/>
  <c r="AE544" i="20"/>
  <c r="AI544" i="20"/>
  <c r="AI541" i="20"/>
  <c r="AJ541" i="20"/>
  <c r="Z541" i="20"/>
  <c r="AP541" i="20"/>
  <c r="AE541" i="20"/>
  <c r="AA541" i="20"/>
  <c r="AC541" i="20"/>
  <c r="AB541" i="20"/>
  <c r="AJ533" i="20"/>
  <c r="AC533" i="20"/>
  <c r="AG533" i="20"/>
  <c r="AH533" i="20"/>
  <c r="Y533" i="20"/>
  <c r="AP533" i="20"/>
  <c r="AK533" i="20"/>
  <c r="AD533" i="20"/>
  <c r="AB529" i="20"/>
  <c r="AG529" i="20"/>
  <c r="AC529" i="20"/>
  <c r="AE526" i="20"/>
  <c r="AP526" i="20"/>
  <c r="Y526" i="20"/>
  <c r="AN526" i="20"/>
  <c r="AG526" i="20"/>
  <c r="AH526" i="20"/>
  <c r="AK526" i="20"/>
  <c r="AH522" i="20"/>
  <c r="AJ522" i="20"/>
  <c r="AK522" i="20"/>
  <c r="AP522" i="20"/>
  <c r="AB522" i="20"/>
  <c r="AE522" i="20"/>
  <c r="AI522" i="20"/>
  <c r="AA538" i="20"/>
  <c r="AN538" i="20"/>
  <c r="AB538" i="20"/>
  <c r="AD538" i="20"/>
  <c r="Z538" i="20"/>
  <c r="AK538" i="20"/>
  <c r="AI517" i="20"/>
  <c r="AH517" i="20"/>
  <c r="AD517" i="20"/>
  <c r="AP517" i="20"/>
  <c r="Y517" i="20"/>
  <c r="AF517" i="20"/>
  <c r="AF513" i="20"/>
  <c r="AJ513" i="20"/>
  <c r="AE513" i="20"/>
  <c r="AK513" i="20"/>
  <c r="AB513" i="20"/>
  <c r="AD513" i="20"/>
  <c r="AB509" i="20"/>
  <c r="AF509" i="20"/>
  <c r="AA509" i="20"/>
  <c r="AJ509" i="20"/>
  <c r="AK506" i="20"/>
  <c r="AB506" i="20"/>
  <c r="AO506" i="20"/>
  <c r="Y506" i="20"/>
  <c r="AI506" i="20"/>
  <c r="AH506" i="20"/>
  <c r="AE506" i="20"/>
  <c r="AI567" i="20"/>
  <c r="AF567" i="20"/>
  <c r="Y567" i="20"/>
  <c r="AK567" i="20"/>
  <c r="AN502" i="20"/>
  <c r="AL502" i="20"/>
  <c r="AO502" i="20"/>
  <c r="AF502" i="20"/>
  <c r="Z502" i="20"/>
  <c r="AA502" i="20"/>
  <c r="Y502" i="20"/>
  <c r="AC502" i="20"/>
  <c r="AP502" i="20"/>
  <c r="AE498" i="20"/>
  <c r="Z498" i="20"/>
  <c r="AJ498" i="20"/>
  <c r="AC498" i="20"/>
  <c r="AO498" i="20"/>
  <c r="AA498" i="20"/>
  <c r="AL498" i="20"/>
  <c r="AN498" i="20"/>
  <c r="AE494" i="20"/>
  <c r="AG494" i="20"/>
  <c r="AK494" i="20"/>
  <c r="AL494" i="20"/>
  <c r="AI494" i="20"/>
  <c r="AD494" i="20"/>
  <c r="AC494" i="20"/>
  <c r="AF494" i="20"/>
  <c r="Y490" i="20"/>
  <c r="AC490" i="20"/>
  <c r="AK490" i="20"/>
  <c r="AP490" i="20"/>
  <c r="AD486" i="20"/>
  <c r="AG486" i="20"/>
  <c r="AN486" i="20"/>
  <c r="AC482" i="20"/>
  <c r="AO482" i="20"/>
  <c r="Z482" i="20"/>
  <c r="AG482" i="20"/>
  <c r="AF482" i="20"/>
  <c r="AE482" i="20"/>
  <c r="AP482" i="20"/>
  <c r="Y482" i="20"/>
  <c r="AL482" i="20"/>
  <c r="Z478" i="20"/>
  <c r="AG478" i="20"/>
  <c r="AA478" i="20"/>
  <c r="Y478" i="20"/>
  <c r="AJ478" i="20"/>
  <c r="AF478" i="20"/>
  <c r="AC474" i="20"/>
  <c r="Y474" i="20"/>
  <c r="AJ474" i="20"/>
  <c r="AD474" i="20"/>
  <c r="AG474" i="20"/>
  <c r="AB474" i="20"/>
  <c r="AE474" i="20"/>
  <c r="AA474" i="20"/>
  <c r="AN471" i="20"/>
  <c r="AD471" i="20"/>
  <c r="Y471" i="20"/>
  <c r="AO471" i="20"/>
  <c r="AG471" i="20"/>
  <c r="AH471" i="20"/>
  <c r="AA471" i="20"/>
  <c r="AD466" i="20"/>
  <c r="AB466" i="20"/>
  <c r="Z466" i="20"/>
  <c r="AO466" i="20"/>
  <c r="AH466" i="20"/>
  <c r="AG466" i="20"/>
  <c r="Y466" i="20"/>
  <c r="AN466" i="20"/>
  <c r="AP462" i="20"/>
  <c r="AI462" i="20"/>
  <c r="AG462" i="20"/>
  <c r="AE462" i="20"/>
  <c r="Z462" i="20"/>
  <c r="AB462" i="20"/>
  <c r="AB458" i="20"/>
  <c r="AH458" i="20"/>
  <c r="AN458" i="20"/>
  <c r="Z455" i="20"/>
  <c r="AO455" i="20"/>
  <c r="AD455" i="20"/>
  <c r="AK455" i="20"/>
  <c r="AN455" i="20"/>
  <c r="AF455" i="20"/>
  <c r="AC455" i="20"/>
  <c r="AP455" i="20"/>
  <c r="AI455" i="20"/>
  <c r="AJ450" i="20"/>
  <c r="AE450" i="20"/>
  <c r="AD450" i="20"/>
  <c r="Y450" i="20"/>
  <c r="Z450" i="20"/>
  <c r="AD446" i="20"/>
  <c r="AL446" i="20"/>
  <c r="AC446" i="20"/>
  <c r="AJ446" i="20"/>
  <c r="AF446" i="20"/>
  <c r="AO446" i="20"/>
  <c r="AD442" i="20"/>
  <c r="AF442" i="20"/>
  <c r="AP442" i="20"/>
  <c r="AK442" i="20"/>
  <c r="AC442" i="20"/>
  <c r="AN438" i="20"/>
  <c r="AO438" i="20"/>
  <c r="AI438" i="20"/>
  <c r="Y438" i="20"/>
  <c r="AK438" i="20"/>
  <c r="AC438" i="20"/>
  <c r="AF438" i="20"/>
  <c r="AL434" i="20"/>
  <c r="AK434" i="20"/>
  <c r="AB434" i="20"/>
  <c r="AE434" i="20"/>
  <c r="AH434" i="20"/>
  <c r="AO434" i="20"/>
  <c r="AF434" i="20"/>
  <c r="AN434" i="20"/>
  <c r="AD428" i="20"/>
  <c r="AH428" i="20"/>
  <c r="AJ428" i="20"/>
  <c r="Y428" i="20"/>
  <c r="AN428" i="20"/>
  <c r="AK428" i="20"/>
  <c r="AI428" i="20"/>
  <c r="AF428" i="20"/>
  <c r="AL426" i="20"/>
  <c r="AI426" i="20"/>
  <c r="AN426" i="20"/>
  <c r="AH426" i="20"/>
  <c r="AK426" i="20"/>
  <c r="Z423" i="20"/>
  <c r="AH423" i="20"/>
  <c r="AP423" i="20"/>
  <c r="AA423" i="20"/>
  <c r="AL423" i="20"/>
  <c r="AN423" i="20"/>
  <c r="AG418" i="20"/>
  <c r="AC418" i="20"/>
  <c r="AO418" i="20"/>
  <c r="AI418" i="20"/>
  <c r="Y418" i="20"/>
  <c r="AA418" i="20"/>
  <c r="Z418" i="20"/>
  <c r="AE412" i="20"/>
  <c r="AD412" i="20"/>
  <c r="AP412" i="20"/>
  <c r="AG412" i="20"/>
  <c r="AA412" i="20"/>
  <c r="Z412" i="20"/>
  <c r="AK410" i="20"/>
  <c r="AO410" i="20"/>
  <c r="AH410" i="20"/>
  <c r="AB410" i="20"/>
  <c r="AC410" i="20"/>
  <c r="AP410" i="20"/>
  <c r="AD406" i="20"/>
  <c r="Y406" i="20"/>
  <c r="AI406" i="20"/>
  <c r="G119" i="86" s="1"/>
  <c r="J119" i="86" s="1"/>
  <c r="AG406" i="20"/>
  <c r="AN406" i="20"/>
  <c r="AE402" i="20"/>
  <c r="Z402" i="20"/>
  <c r="AD402" i="20"/>
  <c r="AL402" i="20"/>
  <c r="AF402" i="20"/>
  <c r="AC402" i="20"/>
  <c r="AG402" i="20"/>
  <c r="AK399" i="20"/>
  <c r="AF399" i="20"/>
  <c r="AL399" i="20"/>
  <c r="AJ399" i="20"/>
  <c r="AH399" i="20"/>
  <c r="AP399" i="20"/>
  <c r="Y399" i="20"/>
  <c r="AA399" i="20"/>
  <c r="AD394" i="20"/>
  <c r="AI394" i="20"/>
  <c r="AK394" i="20"/>
  <c r="Z394" i="20"/>
  <c r="AO394" i="20"/>
  <c r="AG394" i="20"/>
  <c r="AF394" i="20"/>
  <c r="AE394" i="20"/>
  <c r="AC394" i="20"/>
  <c r="AG390" i="20"/>
  <c r="AP390" i="20"/>
  <c r="AB390" i="20"/>
  <c r="AL390" i="20"/>
  <c r="AB386" i="20"/>
  <c r="AJ386" i="20"/>
  <c r="AK386" i="20"/>
  <c r="AP386" i="20"/>
  <c r="AA386" i="20"/>
  <c r="AF386" i="20"/>
  <c r="Z386" i="20"/>
  <c r="AD386" i="20"/>
  <c r="AA382" i="20"/>
  <c r="AL382" i="20"/>
  <c r="AH382" i="20"/>
  <c r="AP382" i="20"/>
  <c r="AK382" i="20"/>
  <c r="AE382" i="20"/>
  <c r="AB378" i="20"/>
  <c r="AC378" i="20"/>
  <c r="AE378" i="20"/>
  <c r="AK378" i="20"/>
  <c r="AH378" i="20"/>
  <c r="AN378" i="20"/>
  <c r="AI378" i="20"/>
  <c r="AE374" i="20"/>
  <c r="AO374" i="20"/>
  <c r="AC374" i="20"/>
  <c r="AG374" i="20"/>
  <c r="AF374" i="20"/>
  <c r="Z374" i="20"/>
  <c r="Y370" i="20"/>
  <c r="AF370" i="20"/>
  <c r="AK370" i="20"/>
  <c r="I158" i="86" s="1"/>
  <c r="L158" i="86" s="1"/>
  <c r="AL370" i="20"/>
  <c r="AI370" i="20"/>
  <c r="AG366" i="20"/>
  <c r="AA366" i="20"/>
  <c r="AI366" i="20"/>
  <c r="Z366" i="20"/>
  <c r="AC366" i="20"/>
  <c r="AN366" i="20"/>
  <c r="Y366" i="20"/>
  <c r="AE359" i="20"/>
  <c r="AA359" i="20"/>
  <c r="Z359" i="20"/>
  <c r="AK359" i="20"/>
  <c r="Y359" i="20"/>
  <c r="AG359" i="20"/>
  <c r="AB359" i="20"/>
  <c r="AH359" i="20"/>
  <c r="AP359" i="20"/>
  <c r="AF359" i="20"/>
  <c r="AI359" i="20"/>
  <c r="AL359" i="20"/>
  <c r="AO359" i="20"/>
  <c r="AD359" i="20"/>
  <c r="AJ359" i="20"/>
  <c r="AN359" i="20"/>
  <c r="AB355" i="20"/>
  <c r="AG355" i="20"/>
  <c r="AE355" i="20"/>
  <c r="AH355" i="20"/>
  <c r="AL355" i="20"/>
  <c r="AI355" i="20"/>
  <c r="G67" i="86" s="1"/>
  <c r="AC355" i="20"/>
  <c r="AK355" i="20"/>
  <c r="AA355" i="20"/>
  <c r="AD355" i="20"/>
  <c r="AF355" i="20"/>
  <c r="AN355" i="20"/>
  <c r="Y355" i="20"/>
  <c r="AJ355" i="20"/>
  <c r="Z355" i="20"/>
  <c r="AP355" i="20"/>
  <c r="AH351" i="20"/>
  <c r="AG351" i="20"/>
  <c r="AJ351" i="20"/>
  <c r="Y351" i="20"/>
  <c r="AI351" i="20"/>
  <c r="AL351" i="20"/>
  <c r="AF351" i="20"/>
  <c r="AD351" i="20"/>
  <c r="AO351" i="20"/>
  <c r="AA351" i="20"/>
  <c r="AK351" i="20"/>
  <c r="AC351" i="20"/>
  <c r="AE351" i="20"/>
  <c r="AB351" i="20"/>
  <c r="Z351" i="20"/>
  <c r="AJ347" i="20"/>
  <c r="AC347" i="20"/>
  <c r="AG347" i="20"/>
  <c r="AH347" i="20"/>
  <c r="AE347" i="20"/>
  <c r="AB347" i="20"/>
  <c r="AA347" i="20"/>
  <c r="AL347" i="20"/>
  <c r="Z347" i="20"/>
  <c r="Y347" i="20"/>
  <c r="AN347" i="20"/>
  <c r="AD347" i="20"/>
  <c r="AF347" i="20"/>
  <c r="AK347" i="20"/>
  <c r="AP347" i="20"/>
  <c r="AO343" i="20"/>
  <c r="AD343" i="20"/>
  <c r="AC343" i="20"/>
  <c r="AF343" i="20"/>
  <c r="AA343" i="20"/>
  <c r="AB343" i="20"/>
  <c r="AK343" i="20"/>
  <c r="Y343" i="20"/>
  <c r="AL343" i="20"/>
  <c r="AP343" i="20"/>
  <c r="AG343" i="20"/>
  <c r="Z343" i="20"/>
  <c r="AE343" i="20"/>
  <c r="AI343" i="20"/>
  <c r="AN343" i="20"/>
  <c r="AH343" i="20"/>
  <c r="AG339" i="20"/>
  <c r="AD339" i="20"/>
  <c r="AC339" i="20"/>
  <c r="AL339" i="20"/>
  <c r="Y339" i="20"/>
  <c r="AH339" i="20"/>
  <c r="Z339" i="20"/>
  <c r="AN339" i="20"/>
  <c r="AB339" i="20"/>
  <c r="AE339" i="20"/>
  <c r="AI339" i="20"/>
  <c r="AA339" i="20"/>
  <c r="AK339" i="20"/>
  <c r="AJ339" i="20"/>
  <c r="AP339" i="20"/>
  <c r="AF339" i="20"/>
  <c r="Z335" i="20"/>
  <c r="AB335" i="20"/>
  <c r="AF335" i="20"/>
  <c r="AC335" i="20"/>
  <c r="AK335" i="20"/>
  <c r="AN335" i="20"/>
  <c r="AG335" i="20"/>
  <c r="AE335" i="20"/>
  <c r="Y335" i="20"/>
  <c r="AH335" i="20"/>
  <c r="AI335" i="20"/>
  <c r="AL335" i="20"/>
  <c r="AP335" i="20"/>
  <c r="AD335" i="20"/>
  <c r="AA335" i="20"/>
  <c r="AJ335" i="20"/>
  <c r="Y331" i="20"/>
  <c r="AN331" i="20"/>
  <c r="AF331" i="20"/>
  <c r="AA331" i="20"/>
  <c r="AD331" i="20"/>
  <c r="AC331" i="20"/>
  <c r="Z331" i="20"/>
  <c r="AB331" i="20"/>
  <c r="AG331" i="20"/>
  <c r="AP331" i="20"/>
  <c r="AK331" i="20"/>
  <c r="AE331" i="20"/>
  <c r="AL331" i="20"/>
  <c r="AJ331" i="20"/>
  <c r="AI331" i="20"/>
  <c r="AO331" i="20"/>
  <c r="AB327" i="20"/>
  <c r="AH327" i="20"/>
  <c r="AC327" i="20"/>
  <c r="AA327" i="20"/>
  <c r="AK327" i="20"/>
  <c r="AD327" i="20"/>
  <c r="AE327" i="20"/>
  <c r="AL327" i="20"/>
  <c r="AI327" i="20"/>
  <c r="AN327" i="20"/>
  <c r="Z327" i="20"/>
  <c r="AO327" i="20"/>
  <c r="AJ327" i="20"/>
  <c r="AG327" i="20"/>
  <c r="Y327" i="20"/>
  <c r="AL323" i="20"/>
  <c r="AB323" i="20"/>
  <c r="AK323" i="20"/>
  <c r="AI323" i="20"/>
  <c r="AH323" i="20"/>
  <c r="AC323" i="20"/>
  <c r="AN323" i="20"/>
  <c r="AE323" i="20"/>
  <c r="Y323" i="20"/>
  <c r="AO323" i="20"/>
  <c r="AG323" i="20"/>
  <c r="AA323" i="20"/>
  <c r="AD323" i="20"/>
  <c r="AJ323" i="20"/>
  <c r="AF323" i="20"/>
  <c r="AP323" i="20"/>
  <c r="AB319" i="20"/>
  <c r="AE319" i="20"/>
  <c r="Z319" i="20"/>
  <c r="AC319" i="20"/>
  <c r="AJ319" i="20"/>
  <c r="AF319" i="20"/>
  <c r="AD319" i="20"/>
  <c r="AG319" i="20"/>
  <c r="AH319" i="20"/>
  <c r="AI319" i="20"/>
  <c r="AK319" i="20"/>
  <c r="Y319" i="20"/>
  <c r="AP319" i="20"/>
  <c r="AL319" i="20"/>
  <c r="AA319" i="20"/>
  <c r="AH315" i="20"/>
  <c r="AK315" i="20"/>
  <c r="I7" i="86" s="1"/>
  <c r="L7" i="86" s="1"/>
  <c r="AL315" i="20"/>
  <c r="AA315" i="20"/>
  <c r="Z315" i="20"/>
  <c r="AD315" i="20"/>
  <c r="Y315" i="20"/>
  <c r="AB315" i="20"/>
  <c r="AE315" i="20"/>
  <c r="AO315" i="20"/>
  <c r="AN315" i="20"/>
  <c r="AF315" i="20"/>
  <c r="AI315" i="20"/>
  <c r="AJ315" i="20"/>
  <c r="AC315" i="20"/>
  <c r="AG315" i="20"/>
  <c r="AG311" i="20"/>
  <c r="AB311" i="20"/>
  <c r="Z311" i="20"/>
  <c r="Y311" i="20"/>
  <c r="AI311" i="20"/>
  <c r="AL311" i="20"/>
  <c r="AF311" i="20"/>
  <c r="AJ311" i="20"/>
  <c r="AC311" i="20"/>
  <c r="AD311" i="20"/>
  <c r="AK311" i="20"/>
  <c r="AH311" i="20"/>
  <c r="AA311" i="20"/>
  <c r="AE311" i="20"/>
  <c r="AO311" i="20"/>
  <c r="AO307" i="20"/>
  <c r="AB307" i="20"/>
  <c r="AF307" i="20"/>
  <c r="AI307" i="20"/>
  <c r="AE307" i="20"/>
  <c r="AD307" i="20"/>
  <c r="AK307" i="20"/>
  <c r="AJ307" i="20"/>
  <c r="AA307" i="20"/>
  <c r="AL307" i="20"/>
  <c r="AN307" i="20"/>
  <c r="AC307" i="20"/>
  <c r="AH307" i="20"/>
  <c r="Z307" i="20"/>
  <c r="AG307" i="20"/>
  <c r="AH304" i="20"/>
  <c r="AJ304" i="20"/>
  <c r="AD304" i="20"/>
  <c r="AG304" i="20"/>
  <c r="AN304" i="20"/>
  <c r="AF304" i="20"/>
  <c r="AB304" i="20"/>
  <c r="AI304" i="20"/>
  <c r="AK304" i="20"/>
  <c r="AO304" i="20"/>
  <c r="AE304" i="20"/>
  <c r="AA304" i="20"/>
  <c r="Y304" i="20"/>
  <c r="AP304" i="20"/>
  <c r="AL304" i="20"/>
  <c r="Z304" i="20"/>
  <c r="AN300" i="20"/>
  <c r="AL300" i="20"/>
  <c r="AG300" i="20"/>
  <c r="AA300" i="20"/>
  <c r="AD300" i="20"/>
  <c r="AJ300" i="20"/>
  <c r="AF300" i="20"/>
  <c r="Y300" i="20"/>
  <c r="AC300" i="20"/>
  <c r="AP300" i="20"/>
  <c r="AB300" i="20"/>
  <c r="AK300" i="20"/>
  <c r="AO300" i="20"/>
  <c r="AE300" i="20"/>
  <c r="AH300" i="20"/>
  <c r="AI296" i="20"/>
  <c r="AC296" i="20"/>
  <c r="Z296" i="20"/>
  <c r="AB296" i="20"/>
  <c r="AG296" i="20"/>
  <c r="AF296" i="20"/>
  <c r="AE296" i="20"/>
  <c r="AK296" i="20"/>
  <c r="AA296" i="20"/>
  <c r="AL296" i="20"/>
  <c r="AH296" i="20"/>
  <c r="AN296" i="20"/>
  <c r="AJ296" i="20"/>
  <c r="Y296" i="20"/>
  <c r="AO296" i="20"/>
  <c r="AD296" i="20"/>
  <c r="AP296" i="20"/>
  <c r="AP291" i="20"/>
  <c r="AO291" i="20"/>
  <c r="AE291" i="20"/>
  <c r="Z291" i="20"/>
  <c r="AK291" i="20"/>
  <c r="AF291" i="20"/>
  <c r="AC291" i="20"/>
  <c r="AH291" i="20"/>
  <c r="AJ291" i="20"/>
  <c r="AA291" i="20"/>
  <c r="AN291" i="20"/>
  <c r="Y291" i="20"/>
  <c r="AL291" i="20"/>
  <c r="AD291" i="20"/>
  <c r="AO288" i="20"/>
  <c r="AP288" i="20"/>
  <c r="AJ288" i="20"/>
  <c r="AC288" i="20"/>
  <c r="AG288" i="20"/>
  <c r="AH288" i="20"/>
  <c r="AA288" i="20"/>
  <c r="AE288" i="20"/>
  <c r="AN288" i="20"/>
  <c r="AD288" i="20"/>
  <c r="AF288" i="20"/>
  <c r="Y288" i="20"/>
  <c r="AL288" i="20"/>
  <c r="AK288" i="20"/>
  <c r="AI288" i="20"/>
  <c r="Z288" i="20"/>
  <c r="AE286" i="20"/>
  <c r="AB286" i="20"/>
  <c r="AN286" i="20"/>
  <c r="AD286" i="20"/>
  <c r="AP286" i="20"/>
  <c r="AC286" i="20"/>
  <c r="AK286" i="20"/>
  <c r="AJ286" i="20"/>
  <c r="AF286" i="20"/>
  <c r="AG282" i="20"/>
  <c r="AB282" i="20"/>
  <c r="AK282" i="20"/>
  <c r="AO282" i="20"/>
  <c r="AI282" i="20"/>
  <c r="AE282" i="20"/>
  <c r="Y278" i="20"/>
  <c r="AB278" i="20"/>
  <c r="AK278" i="20"/>
  <c r="AE278" i="20"/>
  <c r="AD278" i="20"/>
  <c r="Z278" i="20"/>
  <c r="AG273" i="20"/>
  <c r="AB273" i="20"/>
  <c r="AE273" i="20"/>
  <c r="AO273" i="20"/>
  <c r="AC273" i="20"/>
  <c r="AI273" i="20"/>
  <c r="G77" i="86" s="1"/>
  <c r="J77" i="86" s="1"/>
  <c r="AF273" i="20"/>
  <c r="Y273" i="20"/>
  <c r="Y269" i="20"/>
  <c r="AK269" i="20"/>
  <c r="AO269" i="20"/>
  <c r="AA269" i="20"/>
  <c r="AN269" i="20"/>
  <c r="AL266" i="20"/>
  <c r="Z266" i="20"/>
  <c r="AN266" i="20"/>
  <c r="AF266" i="20"/>
  <c r="Y266" i="20"/>
  <c r="AI266" i="20"/>
  <c r="AE266" i="20"/>
  <c r="AB262" i="20"/>
  <c r="AI262" i="20"/>
  <c r="Y262" i="20"/>
  <c r="AD262" i="20"/>
  <c r="AJ262" i="20"/>
  <c r="AL262" i="20"/>
  <c r="AE262" i="20"/>
  <c r="AD258" i="20"/>
  <c r="AK258" i="20"/>
  <c r="AB258" i="20"/>
  <c r="AN258" i="20"/>
  <c r="AI258" i="20"/>
  <c r="AP258" i="20"/>
  <c r="Z258" i="20"/>
  <c r="Y252" i="20"/>
  <c r="AA252" i="20"/>
  <c r="AP252" i="20"/>
  <c r="AH252" i="20"/>
  <c r="J16" i="37" s="1"/>
  <c r="AG252" i="20"/>
  <c r="AK252" i="20"/>
  <c r="AF252" i="20"/>
  <c r="AE250" i="20"/>
  <c r="AP250" i="20"/>
  <c r="AC250" i="20"/>
  <c r="AL250" i="20"/>
  <c r="AF250" i="20"/>
  <c r="AJ246" i="20"/>
  <c r="H59" i="86" s="1"/>
  <c r="AL246" i="20"/>
  <c r="AA246" i="20"/>
  <c r="AP246" i="20"/>
  <c r="AI246" i="20"/>
  <c r="AK246" i="20"/>
  <c r="AN246" i="20"/>
  <c r="AA242" i="20"/>
  <c r="AL242" i="20"/>
  <c r="Y242" i="20"/>
  <c r="AD242" i="20"/>
  <c r="AF242" i="20"/>
  <c r="AH242" i="20"/>
  <c r="AP242" i="20"/>
  <c r="AE242" i="20"/>
  <c r="AC239" i="20"/>
  <c r="AJ239" i="20"/>
  <c r="Z239" i="20"/>
  <c r="AH239" i="20"/>
  <c r="AK239" i="20"/>
  <c r="Y239" i="20"/>
  <c r="AA239" i="20"/>
  <c r="Z234" i="20"/>
  <c r="AN234" i="20"/>
  <c r="AF234" i="20"/>
  <c r="AA234" i="20"/>
  <c r="AC234" i="20"/>
  <c r="AL234" i="20"/>
  <c r="AE234" i="20"/>
  <c r="AC219" i="20"/>
  <c r="Z219" i="20"/>
  <c r="AN219" i="20"/>
  <c r="AD219" i="20"/>
  <c r="AA219" i="20"/>
  <c r="AH219" i="20"/>
  <c r="AK213" i="20"/>
  <c r="AO213" i="20"/>
  <c r="AE213" i="20"/>
  <c r="Y213" i="20"/>
  <c r="AH213" i="20"/>
  <c r="AN213" i="20"/>
  <c r="AP213" i="20"/>
  <c r="AL211" i="20"/>
  <c r="AE211" i="20"/>
  <c r="Y211" i="20"/>
  <c r="AF211" i="20"/>
  <c r="AC211" i="20"/>
  <c r="Y207" i="20"/>
  <c r="AI207" i="20"/>
  <c r="AH207" i="20"/>
  <c r="AJ207" i="20"/>
  <c r="H8" i="86" s="1"/>
  <c r="K8" i="86" s="1"/>
  <c r="AG207" i="20"/>
  <c r="AN207" i="20"/>
  <c r="Y203" i="20"/>
  <c r="Z203" i="20"/>
  <c r="AK203" i="20"/>
  <c r="AP203" i="20"/>
  <c r="AE203" i="20"/>
  <c r="AB203" i="20"/>
  <c r="AG203" i="20"/>
  <c r="Y199" i="20"/>
  <c r="AF199" i="20"/>
  <c r="AH199" i="20"/>
  <c r="AP199" i="20"/>
  <c r="Z199" i="20"/>
  <c r="AG199" i="20"/>
  <c r="AA199" i="20"/>
  <c r="AB199" i="20"/>
  <c r="AN195" i="20"/>
  <c r="AH195" i="20"/>
  <c r="AP195" i="20"/>
  <c r="AG195" i="20"/>
  <c r="AB195" i="20"/>
  <c r="Z195" i="20"/>
  <c r="AF192" i="20"/>
  <c r="AJ192" i="20"/>
  <c r="AD192" i="20"/>
  <c r="AK192" i="20"/>
  <c r="Y192" i="20"/>
  <c r="AO192" i="20"/>
  <c r="AB192" i="20"/>
  <c r="AF185" i="20"/>
  <c r="AO185" i="20"/>
  <c r="AE185" i="20"/>
  <c r="AG185" i="20"/>
  <c r="I11" i="37" s="1"/>
  <c r="AB185" i="20"/>
  <c r="AC185" i="20"/>
  <c r="Y185" i="20"/>
  <c r="AA185" i="20"/>
  <c r="AN173" i="20"/>
  <c r="AH173" i="20"/>
  <c r="AB173" i="20"/>
  <c r="AD173" i="20"/>
  <c r="AE173" i="20"/>
  <c r="AI173" i="20"/>
  <c r="AC163" i="20"/>
  <c r="AI163" i="20"/>
  <c r="AD163" i="20"/>
  <c r="AA163" i="20"/>
  <c r="AB163" i="20"/>
  <c r="AO163" i="20"/>
  <c r="AK163" i="20"/>
  <c r="AD164" i="20"/>
  <c r="AB164" i="20"/>
  <c r="AP164" i="20"/>
  <c r="AI164" i="20"/>
  <c r="AA164" i="20"/>
  <c r="AK164" i="20"/>
  <c r="AL164" i="20"/>
  <c r="AJ157" i="20"/>
  <c r="AP157" i="20"/>
  <c r="AG157" i="20"/>
  <c r="Z157" i="20"/>
  <c r="AK157" i="20"/>
  <c r="AB157" i="20"/>
  <c r="AA157" i="20"/>
  <c r="AH157" i="20"/>
  <c r="AC138" i="20"/>
  <c r="AH138" i="20"/>
  <c r="AL138" i="20"/>
  <c r="AI138" i="20"/>
  <c r="AG138" i="20"/>
  <c r="AN138" i="20"/>
  <c r="AI127" i="20"/>
  <c r="AC127" i="20"/>
  <c r="AK127" i="20"/>
  <c r="Z127" i="20"/>
  <c r="Y127" i="20"/>
  <c r="AF127" i="20"/>
  <c r="AF122" i="20"/>
  <c r="AJ122" i="20"/>
  <c r="AN122" i="20"/>
  <c r="AO122" i="20"/>
  <c r="AI122" i="20"/>
  <c r="AL122" i="20"/>
  <c r="AE122" i="20"/>
  <c r="AN117" i="20"/>
  <c r="AO117" i="20"/>
  <c r="AK117" i="20"/>
  <c r="AF117" i="20"/>
  <c r="AL117" i="20"/>
  <c r="AP117" i="20"/>
  <c r="AA117" i="20"/>
  <c r="AL113" i="20"/>
  <c r="AA113" i="20"/>
  <c r="AG113" i="20"/>
  <c r="Z113" i="20"/>
  <c r="AD113" i="20"/>
  <c r="AH113" i="20"/>
  <c r="AF118" i="20"/>
  <c r="Y118" i="20"/>
  <c r="AB118" i="20"/>
  <c r="AD118" i="20"/>
  <c r="AI118" i="20"/>
  <c r="AO66" i="20"/>
  <c r="AP66" i="20"/>
  <c r="AJ66" i="20"/>
  <c r="AB66" i="20"/>
  <c r="AC66" i="20"/>
  <c r="Z1156" i="20"/>
  <c r="AK1156" i="20"/>
  <c r="AE1156" i="20"/>
  <c r="AP1156" i="20"/>
  <c r="AC1156" i="20"/>
  <c r="AA1156" i="20"/>
  <c r="AB1156" i="20"/>
  <c r="AO1156" i="20"/>
  <c r="AJ1156" i="20"/>
  <c r="AF1156" i="20"/>
  <c r="AH1156" i="20"/>
  <c r="AD1156" i="20"/>
  <c r="Y1156" i="20"/>
  <c r="AN1156" i="20"/>
  <c r="AG1156" i="20"/>
  <c r="AL1156" i="20"/>
  <c r="AP1152" i="20"/>
  <c r="AO1152" i="20"/>
  <c r="AK1152" i="20"/>
  <c r="AJ1152" i="20"/>
  <c r="AE1152" i="20"/>
  <c r="AD1152" i="20"/>
  <c r="AI1152" i="20"/>
  <c r="Z1152" i="20"/>
  <c r="AH1152" i="20"/>
  <c r="AA1152" i="20"/>
  <c r="AG1152" i="20"/>
  <c r="AL1152" i="20"/>
  <c r="AF1152" i="20"/>
  <c r="AB1152" i="20"/>
  <c r="AC1152" i="20"/>
  <c r="AN1152" i="20"/>
  <c r="Y1152" i="20"/>
  <c r="AP1162" i="20"/>
  <c r="AD1162" i="20"/>
  <c r="AE1162" i="20"/>
  <c r="AJ1162" i="20"/>
  <c r="AK1162" i="20"/>
  <c r="AG1162" i="20"/>
  <c r="AA1162" i="20"/>
  <c r="Z1162" i="20"/>
  <c r="AI1162" i="20"/>
  <c r="AF1162" i="20"/>
  <c r="AL1162" i="20"/>
  <c r="Y1162" i="20"/>
  <c r="AB1162" i="20"/>
  <c r="AO1162" i="20"/>
  <c r="AN1162" i="20"/>
  <c r="AC1162" i="20"/>
  <c r="AH1162" i="20"/>
  <c r="Z1166" i="20"/>
  <c r="AI1166" i="20"/>
  <c r="AD1166" i="20"/>
  <c r="AO1166" i="20"/>
  <c r="AP1166" i="20"/>
  <c r="AH1166" i="20"/>
  <c r="AJ1166" i="20"/>
  <c r="AG1166" i="20"/>
  <c r="AF1166" i="20"/>
  <c r="AC1166" i="20"/>
  <c r="AA1166" i="20"/>
  <c r="AE1166" i="20"/>
  <c r="AB1166" i="20"/>
  <c r="AN1166" i="20"/>
  <c r="AK1166" i="20"/>
  <c r="Y1166" i="20"/>
  <c r="AP1178" i="20"/>
  <c r="AG1178" i="20"/>
  <c r="AI1178" i="20"/>
  <c r="AK1178" i="20"/>
  <c r="AA1178" i="20"/>
  <c r="AO1178" i="20"/>
  <c r="AJ1178" i="20"/>
  <c r="Z1178" i="20"/>
  <c r="AF1178" i="20"/>
  <c r="AC1178" i="20"/>
  <c r="AL1178" i="20"/>
  <c r="AH1178" i="20"/>
  <c r="AE1178" i="20"/>
  <c r="Y1178" i="20"/>
  <c r="AB1178" i="20"/>
  <c r="AN1178" i="20"/>
  <c r="AD1178" i="20"/>
  <c r="AO1044" i="20"/>
  <c r="AH1044" i="20"/>
  <c r="AJ1044" i="20"/>
  <c r="AB1044" i="20"/>
  <c r="AF1044" i="20"/>
  <c r="AC1044" i="20"/>
  <c r="AK1044" i="20"/>
  <c r="AL1044" i="20"/>
  <c r="AP1044" i="20"/>
  <c r="AI1044" i="20"/>
  <c r="AN1044" i="20"/>
  <c r="AA1044" i="20"/>
  <c r="Y1044" i="20"/>
  <c r="Z1044" i="20"/>
  <c r="AG1044" i="20"/>
  <c r="AD1044" i="20"/>
  <c r="AE1037" i="20"/>
  <c r="AO1037" i="20"/>
  <c r="AD1037" i="20"/>
  <c r="AH1037" i="20"/>
  <c r="AP1037" i="20"/>
  <c r="AF1037" i="20"/>
  <c r="AL1037" i="20"/>
  <c r="Z1037" i="20"/>
  <c r="AI1037" i="20"/>
  <c r="AC1037" i="20"/>
  <c r="AN1037" i="20"/>
  <c r="AB1037" i="20"/>
  <c r="Y1037" i="20"/>
  <c r="AA1037" i="20"/>
  <c r="AJ1037" i="20"/>
  <c r="AJ86" i="20"/>
  <c r="AI86" i="20"/>
  <c r="AA86" i="20"/>
  <c r="AH86" i="20"/>
  <c r="AK86" i="20"/>
  <c r="AP86" i="20"/>
  <c r="Y86" i="20"/>
  <c r="AG86" i="20"/>
  <c r="AO82" i="20"/>
  <c r="AP82" i="20"/>
  <c r="Y82" i="20"/>
  <c r="AH82" i="20"/>
  <c r="AB82" i="20"/>
  <c r="AJ82" i="20"/>
  <c r="AD82" i="20"/>
  <c r="AE82" i="20"/>
  <c r="AN82" i="20"/>
  <c r="AL82" i="20"/>
  <c r="Z82" i="20"/>
  <c r="AC82" i="20"/>
  <c r="AG82" i="20"/>
  <c r="AA82" i="20"/>
  <c r="AI82" i="20"/>
  <c r="AF82" i="20"/>
  <c r="AK82" i="20"/>
  <c r="AP143" i="20"/>
  <c r="AE143" i="20"/>
  <c r="AO143" i="20"/>
  <c r="AC143" i="20"/>
  <c r="AA143" i="20"/>
  <c r="AG143" i="20"/>
  <c r="AH143" i="20"/>
  <c r="Z143" i="20"/>
  <c r="AI143" i="20"/>
  <c r="AK143" i="20"/>
  <c r="AB143" i="20"/>
  <c r="AF143" i="20"/>
  <c r="AD143" i="20"/>
  <c r="Y143" i="20"/>
  <c r="AL143" i="20"/>
  <c r="AJ143" i="20"/>
  <c r="AP141" i="20"/>
  <c r="AK141" i="20"/>
  <c r="AO141" i="20"/>
  <c r="AC141" i="20"/>
  <c r="AA141" i="20"/>
  <c r="AE141" i="20"/>
  <c r="AF141" i="20"/>
  <c r="AL141" i="20"/>
  <c r="AI141" i="20"/>
  <c r="AN141" i="20"/>
  <c r="AH141" i="20"/>
  <c r="AJ141" i="20"/>
  <c r="AB141" i="20"/>
  <c r="Y141" i="20"/>
  <c r="AG141" i="20"/>
  <c r="AD141" i="20"/>
  <c r="Z141" i="20"/>
  <c r="AJ137" i="20"/>
  <c r="Z137" i="20"/>
  <c r="AB137" i="20"/>
  <c r="AN137" i="20"/>
  <c r="AO137" i="20"/>
  <c r="AK137" i="20"/>
  <c r="AD137" i="20"/>
  <c r="AG137" i="20"/>
  <c r="AF137" i="20"/>
  <c r="Y137" i="20"/>
  <c r="AA137" i="20"/>
  <c r="AI137" i="20"/>
  <c r="AL137" i="20"/>
  <c r="AH137" i="20"/>
  <c r="AE137" i="20"/>
  <c r="AK77" i="20"/>
  <c r="AL77" i="20"/>
  <c r="AG77" i="20"/>
  <c r="AH77" i="20"/>
  <c r="AF77" i="20"/>
  <c r="Z77" i="20"/>
  <c r="AO77" i="20"/>
  <c r="AC77" i="20"/>
  <c r="AC140" i="20"/>
  <c r="AI140" i="20"/>
  <c r="AG140" i="20"/>
  <c r="Z140" i="20"/>
  <c r="AB140" i="20"/>
  <c r="AH140" i="20"/>
  <c r="AD140" i="20"/>
  <c r="AP85" i="20"/>
  <c r="AJ85" i="20"/>
  <c r="AN85" i="20"/>
  <c r="Z85" i="20"/>
  <c r="AK85" i="20"/>
  <c r="AB85" i="20"/>
  <c r="AE85" i="20"/>
  <c r="Y85" i="20"/>
  <c r="AF85" i="20"/>
  <c r="AA85" i="20"/>
  <c r="AH85" i="20"/>
  <c r="AC85" i="20"/>
  <c r="AD85" i="20"/>
  <c r="AO85" i="20"/>
  <c r="AG85" i="20"/>
  <c r="AP88" i="20"/>
  <c r="AO88" i="20"/>
  <c r="Y88" i="20"/>
  <c r="AF88" i="20"/>
  <c r="AJ88" i="20"/>
  <c r="AG88" i="20"/>
  <c r="AK88" i="20"/>
  <c r="AN88" i="20"/>
  <c r="AB88" i="20"/>
  <c r="AH88" i="20"/>
  <c r="Z88" i="20"/>
  <c r="AI88" i="20"/>
  <c r="AE88" i="20"/>
  <c r="AL88" i="20"/>
  <c r="AD88" i="20"/>
  <c r="AA88" i="20"/>
  <c r="AC89" i="20"/>
  <c r="AN89" i="20"/>
  <c r="AL89" i="20"/>
  <c r="AI89" i="20"/>
  <c r="AK89" i="20"/>
  <c r="AO89" i="20"/>
  <c r="AF89" i="20"/>
  <c r="AP89" i="20"/>
  <c r="AJ89" i="20"/>
  <c r="AP111" i="20"/>
  <c r="AN111" i="20"/>
  <c r="Y111" i="20"/>
  <c r="AJ111" i="20"/>
  <c r="AK111" i="20"/>
  <c r="AB111" i="20"/>
  <c r="AD111" i="20"/>
  <c r="AI111" i="20"/>
  <c r="AG111" i="20"/>
  <c r="AH111" i="20"/>
  <c r="AO111" i="20"/>
  <c r="AF111" i="20"/>
  <c r="Z111" i="20"/>
  <c r="AA111" i="20"/>
  <c r="AE111" i="20"/>
  <c r="AC111" i="20"/>
  <c r="AL111" i="20"/>
  <c r="AO132" i="20"/>
  <c r="AG132" i="20"/>
  <c r="AP132" i="20"/>
  <c r="AC132" i="20"/>
  <c r="Z132" i="20"/>
  <c r="AB132" i="20"/>
  <c r="AE132" i="20"/>
  <c r="Y132" i="20"/>
  <c r="AD132" i="20"/>
  <c r="AL132" i="20"/>
  <c r="AK132" i="20"/>
  <c r="AN132" i="20"/>
  <c r="AA132" i="20"/>
  <c r="AH132" i="20"/>
  <c r="AI132" i="20"/>
  <c r="AF132" i="20"/>
  <c r="AC90" i="20"/>
  <c r="AH90" i="20"/>
  <c r="AN90" i="20"/>
  <c r="AE90" i="20"/>
  <c r="AB90" i="20"/>
  <c r="AO90" i="20"/>
  <c r="AG90" i="20"/>
  <c r="AA90" i="20"/>
  <c r="AO50" i="20"/>
  <c r="AP50" i="20"/>
  <c r="AB50" i="20"/>
  <c r="AK50" i="20"/>
  <c r="AL50" i="20"/>
  <c r="AI50" i="20"/>
  <c r="Y50" i="20"/>
  <c r="AC50" i="20"/>
  <c r="AJ50" i="20"/>
  <c r="AF50" i="20"/>
  <c r="AN50" i="20"/>
  <c r="AH50" i="20"/>
  <c r="AD50" i="20"/>
  <c r="AA50" i="20"/>
  <c r="Z50" i="20"/>
  <c r="AG50" i="20"/>
  <c r="AB47" i="20"/>
  <c r="Y47" i="20"/>
  <c r="AG47" i="20"/>
  <c r="AE47" i="20"/>
  <c r="AI47" i="20"/>
  <c r="AA47" i="20"/>
  <c r="AD47" i="20"/>
  <c r="AJ47" i="20"/>
  <c r="AO102" i="20"/>
  <c r="AF102" i="20"/>
  <c r="AH102" i="20"/>
  <c r="Z102" i="20"/>
  <c r="AJ102" i="20"/>
  <c r="AD102" i="20"/>
  <c r="AP102" i="20"/>
  <c r="AE102" i="20"/>
  <c r="AK102" i="20"/>
  <c r="AC102" i="20"/>
  <c r="AN102" i="20"/>
  <c r="AA102" i="20"/>
  <c r="AB102" i="20"/>
  <c r="Y102" i="20"/>
  <c r="AI102" i="20"/>
  <c r="AG102" i="20"/>
  <c r="AO174" i="20"/>
  <c r="AB174" i="20"/>
  <c r="AC174" i="20"/>
  <c r="Y174" i="20"/>
  <c r="AN174" i="20"/>
  <c r="AI174" i="20"/>
  <c r="Z174" i="20"/>
  <c r="AF174" i="20"/>
  <c r="AP174" i="20"/>
  <c r="AG174" i="20"/>
  <c r="AD174" i="20"/>
  <c r="AH174" i="20"/>
  <c r="AK174" i="20"/>
  <c r="AJ174" i="20"/>
  <c r="AA174" i="20"/>
  <c r="AL174" i="20"/>
  <c r="AE174" i="20"/>
  <c r="AE96" i="20"/>
  <c r="AH96" i="20"/>
  <c r="AL96" i="20"/>
  <c r="AN96" i="20"/>
  <c r="Y96" i="20"/>
  <c r="AK96" i="20"/>
  <c r="AD96" i="20"/>
  <c r="AI96" i="20"/>
  <c r="AA96" i="20"/>
  <c r="AJ96" i="20"/>
  <c r="Z96" i="20"/>
  <c r="AF96" i="20"/>
  <c r="AB96" i="20"/>
  <c r="AP53" i="20"/>
  <c r="AL53" i="20"/>
  <c r="Y53" i="20"/>
  <c r="AD53" i="20"/>
  <c r="AI53" i="20"/>
  <c r="AK53" i="20"/>
  <c r="AO53" i="20"/>
  <c r="AE53" i="20"/>
  <c r="AC53" i="20"/>
  <c r="AB53" i="20"/>
  <c r="AG53" i="20"/>
  <c r="AF53" i="20"/>
  <c r="AN53" i="20"/>
  <c r="AJ53" i="20"/>
  <c r="AH72" i="20"/>
  <c r="AP72" i="20"/>
  <c r="AA72" i="20"/>
  <c r="AD72" i="20"/>
  <c r="AB72" i="20"/>
  <c r="AE72" i="20"/>
  <c r="AJ72" i="20"/>
  <c r="AC72" i="20"/>
  <c r="AI72" i="20"/>
  <c r="AO72" i="20"/>
  <c r="AF72" i="20"/>
  <c r="AG72" i="20"/>
  <c r="Z72" i="20"/>
  <c r="AK72" i="20"/>
  <c r="Y72" i="20"/>
  <c r="AP49" i="20"/>
  <c r="AO49" i="20"/>
  <c r="AG49" i="20"/>
  <c r="AE49" i="20"/>
  <c r="AD49" i="20"/>
  <c r="AN49" i="20"/>
  <c r="Y49" i="20"/>
  <c r="AK49" i="20"/>
  <c r="AA49" i="20"/>
  <c r="AB49" i="20"/>
  <c r="AI49" i="20"/>
  <c r="AH49" i="20"/>
  <c r="AJ49" i="20"/>
  <c r="AL49" i="20"/>
  <c r="Z49" i="20"/>
  <c r="AF49" i="20"/>
  <c r="Y70" i="20"/>
  <c r="AD70" i="20"/>
  <c r="AO70" i="20"/>
  <c r="AK70" i="20"/>
  <c r="AI70" i="20"/>
  <c r="AB70" i="20"/>
  <c r="AA70" i="20"/>
  <c r="AP70" i="20"/>
  <c r="AL70" i="20"/>
  <c r="AN70" i="20"/>
  <c r="AH70" i="20"/>
  <c r="AJ70" i="20"/>
  <c r="AC70" i="20"/>
  <c r="AG70" i="20"/>
  <c r="Z70" i="20"/>
  <c r="AF70" i="20"/>
  <c r="Y884" i="20"/>
  <c r="AL884" i="20"/>
  <c r="AN884" i="20"/>
  <c r="AP884" i="20"/>
  <c r="AO884" i="20"/>
  <c r="AC884" i="20"/>
  <c r="AH884" i="20"/>
  <c r="AE884" i="20"/>
  <c r="AB884" i="20"/>
  <c r="AK884" i="20"/>
  <c r="Z884" i="20"/>
  <c r="AF884" i="20"/>
  <c r="AI884" i="20"/>
  <c r="AJ884" i="20"/>
  <c r="AA884" i="20"/>
  <c r="AJ885" i="20"/>
  <c r="AF885" i="20"/>
  <c r="AB885" i="20"/>
  <c r="AI885" i="20"/>
  <c r="AD885" i="20"/>
  <c r="Y885" i="20"/>
  <c r="AK885" i="20"/>
  <c r="AC885" i="20"/>
  <c r="AP885" i="20"/>
  <c r="AN885" i="20"/>
  <c r="AG885" i="20"/>
  <c r="Z885" i="20"/>
  <c r="AL885" i="20"/>
  <c r="AO885" i="20"/>
  <c r="AH885" i="20"/>
  <c r="AA885" i="20"/>
  <c r="AP152" i="20"/>
  <c r="AO152" i="20"/>
  <c r="AC152" i="20"/>
  <c r="AK152" i="20"/>
  <c r="AF152" i="20"/>
  <c r="AA152" i="20"/>
  <c r="AI152" i="20"/>
  <c r="Y152" i="20"/>
  <c r="AG152" i="20"/>
  <c r="AE152" i="20"/>
  <c r="AH152" i="20"/>
  <c r="AJ152" i="20"/>
  <c r="AN152" i="20"/>
  <c r="AD152" i="20"/>
  <c r="Z152" i="20"/>
  <c r="AB152" i="20"/>
  <c r="AP142" i="20"/>
  <c r="AG142" i="20"/>
  <c r="AB142" i="20"/>
  <c r="AN142" i="20"/>
  <c r="AE142" i="20"/>
  <c r="AL142" i="20"/>
  <c r="Y142" i="20"/>
  <c r="AA142" i="20"/>
  <c r="AI142" i="20"/>
  <c r="Z142" i="20"/>
  <c r="AO142" i="20"/>
  <c r="AD142" i="20"/>
  <c r="AC142" i="20"/>
  <c r="AF142" i="20"/>
  <c r="AK142" i="20"/>
  <c r="AJ142" i="20"/>
  <c r="AH142" i="20"/>
  <c r="AO110" i="20"/>
  <c r="AC110" i="20"/>
  <c r="AI110" i="20"/>
  <c r="AP110" i="20"/>
  <c r="AK110" i="20"/>
  <c r="Z110" i="20"/>
  <c r="AL110" i="20"/>
  <c r="AA110" i="20"/>
  <c r="AP51" i="20"/>
  <c r="AN51" i="20"/>
  <c r="AI51" i="20"/>
  <c r="AL51" i="20"/>
  <c r="AO51" i="20"/>
  <c r="AG51" i="20"/>
  <c r="AD51" i="20"/>
  <c r="AK51" i="20"/>
  <c r="AA51" i="20"/>
  <c r="Y51" i="20"/>
  <c r="AF51" i="20"/>
  <c r="Z51" i="20"/>
  <c r="AJ51" i="20"/>
  <c r="AC51" i="20"/>
  <c r="AE51" i="20"/>
  <c r="AH51" i="20"/>
  <c r="AN171" i="20"/>
  <c r="AB171" i="20"/>
  <c r="AA171" i="20"/>
  <c r="AC171" i="20"/>
  <c r="AH171" i="20"/>
  <c r="AD171" i="20"/>
  <c r="AG171" i="20"/>
  <c r="AF171" i="20"/>
  <c r="AP26" i="20"/>
  <c r="AO26" i="20"/>
  <c r="AL21" i="20"/>
  <c r="AB21" i="20"/>
  <c r="AA21" i="20"/>
  <c r="AO21" i="20"/>
  <c r="AC21" i="20"/>
  <c r="AK21" i="20"/>
  <c r="Z22" i="20"/>
  <c r="AP22" i="20"/>
  <c r="AA22" i="20"/>
  <c r="Y22" i="20"/>
  <c r="AN22" i="20"/>
  <c r="AR1306" i="20"/>
  <c r="AT1306" i="20"/>
  <c r="AR101" i="20"/>
  <c r="AT101" i="20"/>
  <c r="AR190" i="20"/>
  <c r="AT190" i="20"/>
  <c r="AR228" i="20"/>
  <c r="AT228" i="20"/>
  <c r="AR262" i="20"/>
  <c r="AT262" i="20"/>
  <c r="AR310" i="20"/>
  <c r="AT310" i="20"/>
  <c r="I17" i="86"/>
  <c r="L17" i="86" s="1"/>
  <c r="G125" i="86"/>
  <c r="J125" i="86" s="1"/>
  <c r="G122" i="86"/>
  <c r="H108" i="86"/>
  <c r="K108" i="86" s="1"/>
  <c r="AN21" i="20"/>
  <c r="Z171" i="20"/>
  <c r="AP171" i="20"/>
  <c r="AF21" i="20"/>
  <c r="AE171" i="20"/>
  <c r="AT105" i="20"/>
  <c r="AH21" i="20"/>
  <c r="AE66" i="20"/>
  <c r="AH66" i="20"/>
  <c r="Y66" i="20"/>
  <c r="AH652" i="20"/>
  <c r="AB714" i="20"/>
  <c r="AK706" i="20"/>
  <c r="I143" i="86" s="1"/>
  <c r="L143" i="86" s="1"/>
  <c r="AE693" i="20"/>
  <c r="AH682" i="20"/>
  <c r="AC674" i="20"/>
  <c r="AL666" i="20"/>
  <c r="AB652" i="20"/>
  <c r="AE642" i="20"/>
  <c r="AC630" i="20"/>
  <c r="Y618" i="20"/>
  <c r="AG610" i="20"/>
  <c r="AK602" i="20"/>
  <c r="AK591" i="20"/>
  <c r="AN578" i="20"/>
  <c r="AK572" i="20"/>
  <c r="AJ554" i="20"/>
  <c r="AN541" i="20"/>
  <c r="AE529" i="20"/>
  <c r="Y538" i="20"/>
  <c r="Y509" i="20"/>
  <c r="AE567" i="20"/>
  <c r="AB494" i="20"/>
  <c r="AE486" i="20"/>
  <c r="AB478" i="20"/>
  <c r="AC466" i="20"/>
  <c r="Z458" i="20"/>
  <c r="AG446" i="20"/>
  <c r="AH438" i="20"/>
  <c r="AG428" i="20"/>
  <c r="AD418" i="20"/>
  <c r="AG410" i="20"/>
  <c r="AB399" i="20"/>
  <c r="AA390" i="20"/>
  <c r="AG378" i="20"/>
  <c r="AA370" i="20"/>
  <c r="AL366" i="20"/>
  <c r="AA282" i="20"/>
  <c r="AC278" i="20"/>
  <c r="AE269" i="20"/>
  <c r="AA266" i="20"/>
  <c r="AE258" i="20"/>
  <c r="AN250" i="20"/>
  <c r="AK242" i="20"/>
  <c r="AB239" i="20"/>
  <c r="AJ219" i="20"/>
  <c r="AK211" i="20"/>
  <c r="AB207" i="20"/>
  <c r="AC199" i="20"/>
  <c r="AD195" i="20"/>
  <c r="AG192" i="20"/>
  <c r="AC173" i="20"/>
  <c r="AL163" i="20"/>
  <c r="AF157" i="20"/>
  <c r="AA138" i="20"/>
  <c r="Y122" i="20"/>
  <c r="AJ117" i="20"/>
  <c r="AJ113" i="20"/>
  <c r="AJ567" i="20"/>
  <c r="AJ282" i="20"/>
  <c r="AL490" i="20"/>
  <c r="AH714" i="20"/>
  <c r="AG698" i="20"/>
  <c r="AD630" i="20"/>
  <c r="AJ576" i="20"/>
  <c r="AE652" i="20"/>
  <c r="AI706" i="20"/>
  <c r="AJ370" i="20"/>
  <c r="AL219" i="20"/>
  <c r="AH576" i="20"/>
  <c r="AA526" i="20"/>
  <c r="AK655" i="20"/>
  <c r="I54" i="86" s="1"/>
  <c r="L54" i="86" s="1"/>
  <c r="AC1137" i="20"/>
  <c r="AT114" i="20"/>
  <c r="AO203" i="20"/>
  <c r="AO266" i="20"/>
  <c r="AL378" i="20"/>
  <c r="AH394" i="20"/>
  <c r="AP394" i="20"/>
  <c r="AP406" i="20"/>
  <c r="AJ418" i="20"/>
  <c r="AO428" i="20"/>
  <c r="AN442" i="20"/>
  <c r="AI458" i="20"/>
  <c r="AB471" i="20"/>
  <c r="AK486" i="20"/>
  <c r="AP486" i="20"/>
  <c r="AP498" i="20"/>
  <c r="AO567" i="20"/>
  <c r="AE517" i="20"/>
  <c r="AL529" i="20"/>
  <c r="AF544" i="20"/>
  <c r="AN562" i="20"/>
  <c r="AI578" i="20"/>
  <c r="AA591" i="20"/>
  <c r="AP591" i="20"/>
  <c r="AF610" i="20"/>
  <c r="AO610" i="20"/>
  <c r="AA630" i="20"/>
  <c r="AF657" i="20"/>
  <c r="AL655" i="20"/>
  <c r="AF670" i="20"/>
  <c r="AD686" i="20"/>
  <c r="AE702" i="20"/>
  <c r="AO702" i="20"/>
  <c r="AJ1113" i="20"/>
  <c r="AI1113" i="20"/>
  <c r="AI1125" i="20"/>
  <c r="AH1125" i="20"/>
  <c r="AJ1137" i="20"/>
  <c r="AD712" i="20"/>
  <c r="Y698" i="20"/>
  <c r="AA686" i="20"/>
  <c r="AI678" i="20"/>
  <c r="Y666" i="20"/>
  <c r="AN649" i="20"/>
  <c r="AB638" i="20"/>
  <c r="AH626" i="20"/>
  <c r="AK613" i="20"/>
  <c r="AD606" i="20"/>
  <c r="AC591" i="20"/>
  <c r="AB578" i="20"/>
  <c r="AH562" i="20"/>
  <c r="AA551" i="20"/>
  <c r="AE533" i="20"/>
  <c r="AD522" i="20"/>
  <c r="AE509" i="20"/>
  <c r="AG502" i="20"/>
  <c r="AA490" i="20"/>
  <c r="AN478" i="20"/>
  <c r="AE471" i="20"/>
  <c r="AE458" i="20"/>
  <c r="Y446" i="20"/>
  <c r="AL438" i="20"/>
  <c r="Z426" i="20"/>
  <c r="AB412" i="20"/>
  <c r="Z399" i="20"/>
  <c r="AN386" i="20"/>
  <c r="AF378" i="20"/>
  <c r="AE370" i="20"/>
  <c r="Y286" i="20"/>
  <c r="AA278" i="20"/>
  <c r="Z273" i="20"/>
  <c r="AK266" i="20"/>
  <c r="AG258" i="20"/>
  <c r="AD252" i="20"/>
  <c r="AN242" i="20"/>
  <c r="AE239" i="20"/>
  <c r="AB213" i="20"/>
  <c r="Z211" i="20"/>
  <c r="AA203" i="20"/>
  <c r="AD199" i="20"/>
  <c r="AF195" i="20"/>
  <c r="AH185" i="20"/>
  <c r="AA173" i="20"/>
  <c r="AH164" i="20"/>
  <c r="AN157" i="20"/>
  <c r="AL127" i="20"/>
  <c r="AG122" i="20"/>
  <c r="AB113" i="20"/>
  <c r="AH118" i="20"/>
  <c r="AI666" i="20"/>
  <c r="AL578" i="20"/>
  <c r="AC649" i="20"/>
  <c r="AI598" i="20"/>
  <c r="AL541" i="20"/>
  <c r="AL686" i="20"/>
  <c r="AH578" i="20"/>
  <c r="AC554" i="20"/>
  <c r="AL634" i="20"/>
  <c r="AJ558" i="20"/>
  <c r="AL690" i="20"/>
  <c r="AH462" i="20"/>
  <c r="AA638" i="20"/>
  <c r="AD558" i="20"/>
  <c r="AO138" i="20"/>
  <c r="AP173" i="20"/>
  <c r="AP234" i="20"/>
  <c r="AO250" i="20"/>
  <c r="AH286" i="20"/>
  <c r="Z370" i="20"/>
  <c r="AC386" i="20"/>
  <c r="AA402" i="20"/>
  <c r="AK412" i="20"/>
  <c r="AG426" i="20"/>
  <c r="AO426" i="20"/>
  <c r="AP438" i="20"/>
  <c r="AI450" i="20"/>
  <c r="AK466" i="20"/>
  <c r="AK478" i="20"/>
  <c r="AH494" i="20"/>
  <c r="AA506" i="20"/>
  <c r="AI513" i="20"/>
  <c r="AA522" i="20"/>
  <c r="AG541" i="20"/>
  <c r="AO554" i="20"/>
  <c r="Y586" i="20"/>
  <c r="AD598" i="20"/>
  <c r="AP598" i="20"/>
  <c r="Y626" i="20"/>
  <c r="AD638" i="20"/>
  <c r="AF649" i="20"/>
  <c r="AE666" i="20"/>
  <c r="AC682" i="20"/>
  <c r="AF693" i="20"/>
  <c r="AI712" i="20"/>
  <c r="AK1121" i="20"/>
  <c r="AF1121" i="20"/>
  <c r="AF1141" i="20"/>
  <c r="AG714" i="20"/>
  <c r="AB702" i="20"/>
  <c r="AG686" i="20"/>
  <c r="AA678" i="20"/>
  <c r="Z666" i="20"/>
  <c r="AD655" i="20"/>
  <c r="AK638" i="20"/>
  <c r="AE622" i="20"/>
  <c r="AC610" i="20"/>
  <c r="AI591" i="20"/>
  <c r="AF576" i="20"/>
  <c r="AK558" i="20"/>
  <c r="Z533" i="20"/>
  <c r="AG538" i="20"/>
  <c r="AD567" i="20"/>
  <c r="AJ490" i="20"/>
  <c r="AJ482" i="20"/>
  <c r="AF466" i="20"/>
  <c r="AA446" i="20"/>
  <c r="AD434" i="20"/>
  <c r="AK423" i="20"/>
  <c r="Z406" i="20"/>
  <c r="AC390" i="20"/>
  <c r="AD374" i="20"/>
  <c r="AF282" i="20"/>
  <c r="AH273" i="20"/>
  <c r="AB266" i="20"/>
  <c r="Z252" i="20"/>
  <c r="AF246" i="20"/>
  <c r="AH234" i="20"/>
  <c r="AC213" i="20"/>
  <c r="AL207" i="20"/>
  <c r="AK195" i="20"/>
  <c r="AH192" i="20"/>
  <c r="AG163" i="20"/>
  <c r="AI157" i="20"/>
  <c r="AG127" i="20"/>
  <c r="AH117" i="20"/>
  <c r="AN118" i="20"/>
  <c r="AL642" i="20"/>
  <c r="AL418" i="20"/>
  <c r="AD509" i="20"/>
  <c r="AG458" i="20"/>
  <c r="AJ382" i="20"/>
  <c r="AJ486" i="20"/>
  <c r="Y551" i="20"/>
  <c r="AO127" i="20"/>
  <c r="AP185" i="20"/>
  <c r="AO207" i="20"/>
  <c r="AO252" i="20"/>
  <c r="AP278" i="20"/>
  <c r="AP366" i="20"/>
  <c r="AI382" i="20"/>
  <c r="AE390" i="20"/>
  <c r="AI399" i="20"/>
  <c r="Z410" i="20"/>
  <c r="Z434" i="20"/>
  <c r="Z446" i="20"/>
  <c r="AJ455" i="20"/>
  <c r="AI474" i="20"/>
  <c r="AN482" i="20"/>
  <c r="AO490" i="20"/>
  <c r="AG509" i="20"/>
  <c r="AO509" i="20"/>
  <c r="AO538" i="20"/>
  <c r="AA533" i="20"/>
  <c r="AN551" i="20"/>
  <c r="AE558" i="20"/>
  <c r="AO572" i="20"/>
  <c r="AP582" i="20"/>
  <c r="AP594" i="20"/>
  <c r="AB618" i="20"/>
  <c r="AP618" i="20"/>
  <c r="AG634" i="20"/>
  <c r="AN642" i="20"/>
  <c r="AO652" i="20"/>
  <c r="AO662" i="20"/>
  <c r="AF678" i="20"/>
  <c r="AI690" i="20"/>
  <c r="AL698" i="20"/>
  <c r="AK714" i="20"/>
  <c r="AH1117" i="20"/>
  <c r="AC1129" i="20"/>
  <c r="AH1133" i="20"/>
  <c r="AL1133" i="20"/>
  <c r="AF110" i="20"/>
  <c r="AT389" i="20"/>
  <c r="Z21" i="20"/>
  <c r="AH110" i="20"/>
  <c r="AG52" i="20"/>
  <c r="AH47" i="20"/>
  <c r="AP77" i="20"/>
  <c r="AJ426" i="20"/>
  <c r="AO478" i="20"/>
  <c r="AP1077" i="20"/>
  <c r="AO355" i="20"/>
  <c r="AO949" i="20"/>
  <c r="AP37" i="20"/>
  <c r="AD16" i="20"/>
  <c r="AN567" i="20"/>
  <c r="Z390" i="20"/>
  <c r="AC252" i="20"/>
  <c r="AC118" i="20"/>
  <c r="AH642" i="20"/>
  <c r="AA872" i="20"/>
  <c r="AB86" i="20"/>
  <c r="AG117" i="20"/>
  <c r="Z122" i="20"/>
  <c r="AL195" i="20"/>
  <c r="AN211" i="20"/>
  <c r="AD246" i="20"/>
  <c r="AL258" i="20"/>
  <c r="AJ273" i="20"/>
  <c r="H77" i="86" s="1"/>
  <c r="K77" i="86" s="1"/>
  <c r="AF406" i="20"/>
  <c r="AE423" i="20"/>
  <c r="AN446" i="20"/>
  <c r="Z490" i="20"/>
  <c r="AF506" i="20"/>
  <c r="AN522" i="20"/>
  <c r="Z551" i="20"/>
  <c r="AK610" i="20"/>
  <c r="Y630" i="20"/>
  <c r="AN655" i="20"/>
  <c r="AE655" i="20"/>
  <c r="AJ690" i="20"/>
  <c r="Y674" i="20"/>
  <c r="AA410" i="20"/>
  <c r="AN162" i="20"/>
  <c r="AJ77" i="20"/>
  <c r="Y59" i="20"/>
  <c r="AN110" i="20"/>
  <c r="AN183" i="20"/>
  <c r="AA97" i="20"/>
  <c r="AK97" i="20"/>
  <c r="AL106" i="20"/>
  <c r="AC47" i="20"/>
  <c r="AD90" i="20"/>
  <c r="AP90" i="20"/>
  <c r="AH89" i="20"/>
  <c r="AE140" i="20"/>
  <c r="AP140" i="20"/>
  <c r="AI77" i="20"/>
  <c r="AE86" i="20"/>
  <c r="Z86" i="20"/>
  <c r="AH888" i="20"/>
  <c r="AL888" i="20"/>
  <c r="AO888" i="20"/>
  <c r="AB138" i="20"/>
  <c r="AL199" i="20"/>
  <c r="AE252" i="20"/>
  <c r="AN278" i="20"/>
  <c r="AB394" i="20"/>
  <c r="AK450" i="20"/>
  <c r="AN494" i="20"/>
  <c r="AB554" i="20"/>
  <c r="AI594" i="20"/>
  <c r="AO642" i="20"/>
  <c r="Z702" i="20"/>
  <c r="AD17" i="20"/>
  <c r="AO1131" i="20"/>
  <c r="AI300" i="20"/>
  <c r="AO347" i="20"/>
  <c r="AP1059" i="20"/>
  <c r="AE1131" i="20"/>
  <c r="Y458" i="20"/>
  <c r="AD657" i="20"/>
  <c r="AL152" i="20"/>
  <c r="AP351" i="20"/>
  <c r="AD649" i="20"/>
  <c r="AC1115" i="20"/>
  <c r="AT1214" i="20"/>
  <c r="AN169" i="20"/>
  <c r="AH11" i="20"/>
  <c r="AC49" i="20"/>
  <c r="AI34" i="20"/>
  <c r="AD10" i="20"/>
  <c r="AC81" i="20"/>
  <c r="AC96" i="20"/>
  <c r="AA53" i="20"/>
  <c r="Z989" i="20"/>
  <c r="AH1006" i="20"/>
  <c r="AL893" i="20"/>
  <c r="AC1011" i="20"/>
  <c r="AJ832" i="20"/>
  <c r="AB955" i="20"/>
  <c r="AH967" i="20"/>
  <c r="AL989" i="20"/>
  <c r="Z820" i="20"/>
  <c r="AF951" i="20"/>
  <c r="Z997" i="20"/>
  <c r="AJ1018" i="20"/>
  <c r="AJ938" i="20"/>
  <c r="AA810" i="20"/>
  <c r="AK814" i="20"/>
  <c r="AF826" i="20"/>
  <c r="Z829" i="20"/>
  <c r="AJ834" i="20"/>
  <c r="AF850" i="20"/>
  <c r="Z859" i="20"/>
  <c r="AN864" i="20"/>
  <c r="AB875" i="20"/>
  <c r="AF889" i="20"/>
  <c r="AC897" i="20"/>
  <c r="AD906" i="20"/>
  <c r="AC914" i="20"/>
  <c r="AD922" i="20"/>
  <c r="AK931" i="20"/>
  <c r="AA944" i="20"/>
  <c r="AH941" i="20"/>
  <c r="AA951" i="20"/>
  <c r="Z959" i="20"/>
  <c r="AA967" i="20"/>
  <c r="AK977" i="20"/>
  <c r="AK985" i="20"/>
  <c r="Y992" i="20"/>
  <c r="AD1001" i="20"/>
  <c r="AG1006" i="20"/>
  <c r="AK1015" i="20"/>
  <c r="AC1023" i="20"/>
  <c r="AG1050" i="20"/>
  <c r="AN1061" i="20"/>
  <c r="AL1062" i="20"/>
  <c r="AI1071" i="20"/>
  <c r="AB1079" i="20"/>
  <c r="AI1091" i="20"/>
  <c r="AD1094" i="20"/>
  <c r="AL1099" i="20"/>
  <c r="AG1103" i="20"/>
  <c r="AI1111" i="20"/>
  <c r="AF1139" i="20"/>
  <c r="Z1127" i="20"/>
  <c r="AF1119" i="20"/>
  <c r="AH1139" i="20"/>
  <c r="AI291" i="20"/>
  <c r="AE38" i="20"/>
  <c r="AE798" i="20"/>
  <c r="AC721" i="20"/>
  <c r="AG743" i="20"/>
  <c r="Z764" i="20"/>
  <c r="Y788" i="20"/>
  <c r="AD887" i="20"/>
  <c r="AK153" i="20"/>
  <c r="Y307" i="20"/>
  <c r="AC359" i="20"/>
  <c r="AN311" i="20"/>
  <c r="AN351" i="20"/>
  <c r="AD992" i="20"/>
  <c r="AD752" i="20"/>
  <c r="AJ1160" i="20"/>
  <c r="AE50" i="20"/>
  <c r="AL102" i="20"/>
  <c r="AB1141" i="20"/>
  <c r="AO1141" i="20"/>
  <c r="AH1141" i="20"/>
  <c r="AE1141" i="20"/>
  <c r="AD1141" i="20"/>
  <c r="AC1141" i="20"/>
  <c r="AA1141" i="20"/>
  <c r="AO1133" i="20"/>
  <c r="Y1133" i="20"/>
  <c r="AG1133" i="20"/>
  <c r="AF1133" i="20"/>
  <c r="AP1133" i="20"/>
  <c r="AN1133" i="20"/>
  <c r="AK1133" i="20"/>
  <c r="Z1133" i="20"/>
  <c r="AO1125" i="20"/>
  <c r="AL1125" i="20"/>
  <c r="AD1125" i="20"/>
  <c r="AK1125" i="20"/>
  <c r="Z1125" i="20"/>
  <c r="AP1117" i="20"/>
  <c r="AC1117" i="20"/>
  <c r="AD1117" i="20"/>
  <c r="AN1117" i="20"/>
  <c r="AA1117" i="20"/>
  <c r="Z1117" i="20"/>
  <c r="AB1117" i="20"/>
  <c r="AO40" i="20"/>
  <c r="AP40" i="20"/>
  <c r="Z40" i="20"/>
  <c r="AG40" i="20"/>
  <c r="AE40" i="20"/>
  <c r="AJ40" i="20"/>
  <c r="AK40" i="20"/>
  <c r="AD40" i="20"/>
  <c r="AI40" i="20"/>
  <c r="AL40" i="20"/>
  <c r="AN40" i="20"/>
  <c r="AH40" i="20"/>
  <c r="AF40" i="20"/>
  <c r="Y40" i="20"/>
  <c r="AA40" i="20"/>
  <c r="AE9" i="20"/>
  <c r="AL9" i="20"/>
  <c r="Y9" i="20"/>
  <c r="AJ9" i="20"/>
  <c r="AP9" i="20"/>
  <c r="AF9" i="20"/>
  <c r="AK9" i="20"/>
  <c r="AH9" i="20"/>
  <c r="AI9" i="20"/>
  <c r="AN9" i="20"/>
  <c r="AA9" i="20"/>
  <c r="AD9" i="20"/>
  <c r="AO9" i="20"/>
  <c r="Z9" i="20"/>
  <c r="AB37" i="20"/>
  <c r="AH37" i="20"/>
  <c r="AF37" i="20"/>
  <c r="AC37" i="20"/>
  <c r="AD37" i="20"/>
  <c r="AL37" i="20"/>
  <c r="AN37" i="20"/>
  <c r="AG37" i="20"/>
  <c r="Z37" i="20"/>
  <c r="AA37" i="20"/>
  <c r="AJ37" i="20"/>
  <c r="AI37" i="20"/>
  <c r="AK28" i="20"/>
  <c r="I47" i="86" s="1"/>
  <c r="L47" i="86" s="1"/>
  <c r="AL28" i="20"/>
  <c r="AA28" i="20"/>
  <c r="Y28" i="20"/>
  <c r="AJ28" i="20"/>
  <c r="AC28" i="20"/>
  <c r="AG28" i="20"/>
  <c r="Z28" i="20"/>
  <c r="AN28" i="20"/>
  <c r="AH28" i="20"/>
  <c r="AD28" i="20"/>
  <c r="AE28" i="20"/>
  <c r="AB28" i="20"/>
  <c r="AF28" i="20"/>
  <c r="AP28" i="20"/>
  <c r="Y1106" i="20"/>
  <c r="AC1106" i="20"/>
  <c r="AN1106" i="20"/>
  <c r="AL1106" i="20"/>
  <c r="AD1106" i="20"/>
  <c r="AJ1106" i="20"/>
  <c r="AG1106" i="20"/>
  <c r="AI1106" i="20"/>
  <c r="AK1106" i="20"/>
  <c r="AP1106" i="20"/>
  <c r="AF1106" i="20"/>
  <c r="AB1106" i="20"/>
  <c r="AA1106" i="20"/>
  <c r="Z1106" i="20"/>
  <c r="AE1106" i="20"/>
  <c r="AE1097" i="20"/>
  <c r="AK1097" i="20"/>
  <c r="AA1097" i="20"/>
  <c r="AF1097" i="20"/>
  <c r="AN1097" i="20"/>
  <c r="AC1097" i="20"/>
  <c r="AP1097" i="20"/>
  <c r="Z1097" i="20"/>
  <c r="AD1097" i="20"/>
  <c r="AJ1097" i="20"/>
  <c r="Y1097" i="20"/>
  <c r="AL1097" i="20"/>
  <c r="AB1097" i="20"/>
  <c r="AI1097" i="20"/>
  <c r="AO1097" i="20"/>
  <c r="Z1089" i="20"/>
  <c r="Y1089" i="20"/>
  <c r="AI1089" i="20"/>
  <c r="AN1089" i="20"/>
  <c r="AK1089" i="20"/>
  <c r="AA1089" i="20"/>
  <c r="AE1089" i="20"/>
  <c r="AG1089" i="20"/>
  <c r="AO1089" i="20"/>
  <c r="AB1089" i="20"/>
  <c r="AL1089" i="20"/>
  <c r="AJ1089" i="20"/>
  <c r="AF1089" i="20"/>
  <c r="AD1089" i="20"/>
  <c r="AP1081" i="20"/>
  <c r="AG1081" i="20"/>
  <c r="AC1081" i="20"/>
  <c r="AH1081" i="20"/>
  <c r="AK1081" i="20"/>
  <c r="AB1081" i="20"/>
  <c r="AI1081" i="20"/>
  <c r="Y1081" i="20"/>
  <c r="AJ1081" i="20"/>
  <c r="Z1081" i="20"/>
  <c r="AA1081" i="20"/>
  <c r="AD1081" i="20"/>
  <c r="AF1081" i="20"/>
  <c r="AE1081" i="20"/>
  <c r="AO1081" i="20"/>
  <c r="AO1077" i="20"/>
  <c r="AI1077" i="20"/>
  <c r="AK1077" i="20"/>
  <c r="AE1077" i="20"/>
  <c r="AD1077" i="20"/>
  <c r="AJ1077" i="20"/>
  <c r="AA1077" i="20"/>
  <c r="Z1077" i="20"/>
  <c r="AH1077" i="20"/>
  <c r="AG1077" i="20"/>
  <c r="AB1077" i="20"/>
  <c r="AC1077" i="20"/>
  <c r="AL1077" i="20"/>
  <c r="Y1077" i="20"/>
  <c r="AP1069" i="20"/>
  <c r="AG1069" i="20"/>
  <c r="AC1069" i="20"/>
  <c r="AI1069" i="20"/>
  <c r="AD1069" i="20"/>
  <c r="Y1069" i="20"/>
  <c r="AB1069" i="20"/>
  <c r="AJ1069" i="20"/>
  <c r="AL1069" i="20"/>
  <c r="AF1069" i="20"/>
  <c r="AE1069" i="20"/>
  <c r="AA1069" i="20"/>
  <c r="AK1069" i="20"/>
  <c r="AH1069" i="20"/>
  <c r="AO1069" i="20"/>
  <c r="AO1057" i="20"/>
  <c r="AI1057" i="20"/>
  <c r="AC1057" i="20"/>
  <c r="AE1057" i="20"/>
  <c r="AJ1057" i="20"/>
  <c r="AH1057" i="20"/>
  <c r="AK1057" i="20"/>
  <c r="Z1057" i="20"/>
  <c r="AN1057" i="20"/>
  <c r="AA1057" i="20"/>
  <c r="AB1057" i="20"/>
  <c r="AF1057" i="20"/>
  <c r="Y1057" i="20"/>
  <c r="AP1057" i="20"/>
  <c r="AG1057" i="20"/>
  <c r="AJ1059" i="20"/>
  <c r="AE1059" i="20"/>
  <c r="AK1059" i="20"/>
  <c r="AG1059" i="20"/>
  <c r="AL1059" i="20"/>
  <c r="AD1059" i="20"/>
  <c r="AC1059" i="20"/>
  <c r="AA1059" i="20"/>
  <c r="AN1059" i="20"/>
  <c r="Y1059" i="20"/>
  <c r="Z1059" i="20"/>
  <c r="AH1059" i="20"/>
  <c r="AO1059" i="20"/>
  <c r="AN1030" i="20"/>
  <c r="Y1030" i="20"/>
  <c r="AJ1030" i="20"/>
  <c r="AP1030" i="20"/>
  <c r="AA1030" i="20"/>
  <c r="AI1030" i="20"/>
  <c r="AL1030" i="20"/>
  <c r="AK1030" i="20"/>
  <c r="AO1030" i="20"/>
  <c r="AB1030" i="20"/>
  <c r="AF1030" i="20"/>
  <c r="AD1030" i="20"/>
  <c r="AC1030" i="20"/>
  <c r="AE1030" i="20"/>
  <c r="Z1030" i="20"/>
  <c r="AP1021" i="20"/>
  <c r="AN1021" i="20"/>
  <c r="AF1021" i="20"/>
  <c r="AH1021" i="20"/>
  <c r="AL1021" i="20"/>
  <c r="AC1021" i="20"/>
  <c r="AB1021" i="20"/>
  <c r="Z1021" i="20"/>
  <c r="Y1021" i="20"/>
  <c r="AA1021" i="20"/>
  <c r="AJ1021" i="20"/>
  <c r="AD1021" i="20"/>
  <c r="AK1021" i="20"/>
  <c r="AG1021" i="20"/>
  <c r="AO1021" i="20"/>
  <c r="AH1008" i="20"/>
  <c r="AI1008" i="20"/>
  <c r="AL1008" i="20"/>
  <c r="AJ1008" i="20"/>
  <c r="AC1008" i="20"/>
  <c r="AK1008" i="20"/>
  <c r="AD1008" i="20"/>
  <c r="AB1008" i="20"/>
  <c r="AE1008" i="20"/>
  <c r="AG1008" i="20"/>
  <c r="Y1008" i="20"/>
  <c r="AA1008" i="20"/>
  <c r="AP1008" i="20"/>
  <c r="AF1008" i="20"/>
  <c r="AE995" i="20"/>
  <c r="Y995" i="20"/>
  <c r="AJ995" i="20"/>
  <c r="AH995" i="20"/>
  <c r="AG995" i="20"/>
  <c r="AC995" i="20"/>
  <c r="AA995" i="20"/>
  <c r="AL995" i="20"/>
  <c r="AO995" i="20"/>
  <c r="AD995" i="20"/>
  <c r="AN995" i="20"/>
  <c r="AF995" i="20"/>
  <c r="AB995" i="20"/>
  <c r="AI995" i="20"/>
  <c r="AP987" i="20"/>
  <c r="Z987" i="20"/>
  <c r="AC987" i="20"/>
  <c r="Y987" i="20"/>
  <c r="AA987" i="20"/>
  <c r="AD987" i="20"/>
  <c r="AG987" i="20"/>
  <c r="AO987" i="20"/>
  <c r="AL987" i="20"/>
  <c r="AB987" i="20"/>
  <c r="AH987" i="20"/>
  <c r="AF987" i="20"/>
  <c r="AI987" i="20"/>
  <c r="AE987" i="20"/>
  <c r="AK987" i="20"/>
  <c r="AN987" i="20"/>
  <c r="AN979" i="20"/>
  <c r="AK979" i="20"/>
  <c r="AD979" i="20"/>
  <c r="Y979" i="20"/>
  <c r="AI979" i="20"/>
  <c r="AL979" i="20"/>
  <c r="AP979" i="20"/>
  <c r="AE979" i="20"/>
  <c r="AG979" i="20"/>
  <c r="AC979" i="20"/>
  <c r="AH979" i="20"/>
  <c r="AA979" i="20"/>
  <c r="Z979" i="20"/>
  <c r="AF979" i="20"/>
  <c r="AI969" i="20"/>
  <c r="AL969" i="20"/>
  <c r="AE969" i="20"/>
  <c r="AN969" i="20"/>
  <c r="AA969" i="20"/>
  <c r="AC969" i="20"/>
  <c r="AD969" i="20"/>
  <c r="AH969" i="20"/>
  <c r="Y969" i="20"/>
  <c r="AO969" i="20"/>
  <c r="AB969" i="20"/>
  <c r="AK969" i="20"/>
  <c r="AF969" i="20"/>
  <c r="Z969" i="20"/>
  <c r="AP969" i="20"/>
  <c r="AJ969" i="20"/>
  <c r="AO965" i="20"/>
  <c r="AC965" i="20"/>
  <c r="AK965" i="20"/>
  <c r="AN965" i="20"/>
  <c r="AI965" i="20"/>
  <c r="AE965" i="20"/>
  <c r="Z965" i="20"/>
  <c r="AP965" i="20"/>
  <c r="AG965" i="20"/>
  <c r="AB965" i="20"/>
  <c r="AD965" i="20"/>
  <c r="AF965" i="20"/>
  <c r="AJ965" i="20"/>
  <c r="AL965" i="20"/>
  <c r="AA965" i="20"/>
  <c r="AC953" i="20"/>
  <c r="AE953" i="20"/>
  <c r="AB953" i="20"/>
  <c r="AD953" i="20"/>
  <c r="AL953" i="20"/>
  <c r="Y953" i="20"/>
  <c r="AA953" i="20"/>
  <c r="Z953" i="20"/>
  <c r="AH953" i="20"/>
  <c r="AN953" i="20"/>
  <c r="AK953" i="20"/>
  <c r="AF953" i="20"/>
  <c r="AG953" i="20"/>
  <c r="AO953" i="20"/>
  <c r="AG943" i="20"/>
  <c r="AC943" i="20"/>
  <c r="Y943" i="20"/>
  <c r="AO943" i="20"/>
  <c r="AF943" i="20"/>
  <c r="AE943" i="20"/>
  <c r="AL943" i="20"/>
  <c r="AH943" i="20"/>
  <c r="AA943" i="20"/>
  <c r="AB943" i="20"/>
  <c r="AK943" i="20"/>
  <c r="AJ943" i="20"/>
  <c r="Z943" i="20"/>
  <c r="AI943" i="20"/>
  <c r="AL933" i="20"/>
  <c r="AI933" i="20"/>
  <c r="AC933" i="20"/>
  <c r="AD933" i="20"/>
  <c r="AG933" i="20"/>
  <c r="AK933" i="20"/>
  <c r="AH933" i="20"/>
  <c r="Z933" i="20"/>
  <c r="AE933" i="20"/>
  <c r="AN933" i="20"/>
  <c r="Y933" i="20"/>
  <c r="AJ933" i="20"/>
  <c r="AF933" i="20"/>
  <c r="AO933" i="20"/>
  <c r="AK925" i="20"/>
  <c r="AI925" i="20"/>
  <c r="AE925" i="20"/>
  <c r="AL925" i="20"/>
  <c r="AD925" i="20"/>
  <c r="Z925" i="20"/>
  <c r="AP925" i="20"/>
  <c r="AF925" i="20"/>
  <c r="AJ925" i="20"/>
  <c r="AB925" i="20"/>
  <c r="AA925" i="20"/>
  <c r="AH925" i="20"/>
  <c r="AG925" i="20"/>
  <c r="AN925" i="20"/>
  <c r="Y925" i="20"/>
  <c r="AO925" i="20"/>
  <c r="AB916" i="20"/>
  <c r="AE916" i="20"/>
  <c r="AL916" i="20"/>
  <c r="AN916" i="20"/>
  <c r="AJ916" i="20"/>
  <c r="AK916" i="20"/>
  <c r="AI916" i="20"/>
  <c r="AA916" i="20"/>
  <c r="AP916" i="20"/>
  <c r="AD916" i="20"/>
  <c r="AC916" i="20"/>
  <c r="Y916" i="20"/>
  <c r="AH916" i="20"/>
  <c r="AG916" i="20"/>
  <c r="Z916" i="20"/>
  <c r="AI908" i="20"/>
  <c r="Y908" i="20"/>
  <c r="AG908" i="20"/>
  <c r="Z908" i="20"/>
  <c r="AE908" i="20"/>
  <c r="AP908" i="20"/>
  <c r="AH908" i="20"/>
  <c r="AJ908" i="20"/>
  <c r="AF908" i="20"/>
  <c r="AB908" i="20"/>
  <c r="AO908" i="20"/>
  <c r="AC908" i="20"/>
  <c r="AL908" i="20"/>
  <c r="AD908" i="20"/>
  <c r="AK908" i="20"/>
  <c r="AJ899" i="20"/>
  <c r="AA899" i="20"/>
  <c r="AB899" i="20"/>
  <c r="AC899" i="20"/>
  <c r="AI899" i="20"/>
  <c r="Y899" i="20"/>
  <c r="AL899" i="20"/>
  <c r="AP899" i="20"/>
  <c r="AN899" i="20"/>
  <c r="Z899" i="20"/>
  <c r="AE899" i="20"/>
  <c r="AG899" i="20"/>
  <c r="AH899" i="20"/>
  <c r="AO899" i="20"/>
  <c r="AK899" i="20"/>
  <c r="AN891" i="20"/>
  <c r="AC891" i="20"/>
  <c r="AG891" i="20"/>
  <c r="AH891" i="20"/>
  <c r="AP891" i="20"/>
  <c r="AF891" i="20"/>
  <c r="Y891" i="20"/>
  <c r="AJ891" i="20"/>
  <c r="AI891" i="20"/>
  <c r="AK891" i="20"/>
  <c r="AB891" i="20"/>
  <c r="AE891" i="20"/>
  <c r="AD891" i="20"/>
  <c r="Z891" i="20"/>
  <c r="AL877" i="20"/>
  <c r="AE877" i="20"/>
  <c r="AK877" i="20"/>
  <c r="AH877" i="20"/>
  <c r="AP877" i="20"/>
  <c r="AA877" i="20"/>
  <c r="AD877" i="20"/>
  <c r="Z877" i="20"/>
  <c r="AB877" i="20"/>
  <c r="Y877" i="20"/>
  <c r="AG877" i="20"/>
  <c r="AI877" i="20"/>
  <c r="AC877" i="20"/>
  <c r="AK866" i="20"/>
  <c r="AJ866" i="20"/>
  <c r="H22" i="86" s="1"/>
  <c r="K22" i="86" s="1"/>
  <c r="AA866" i="20"/>
  <c r="AI866" i="20"/>
  <c r="G22" i="86" s="1"/>
  <c r="AB866" i="20"/>
  <c r="Z866" i="20"/>
  <c r="AE866" i="20"/>
  <c r="AN866" i="20"/>
  <c r="Y866" i="20"/>
  <c r="AC866" i="20"/>
  <c r="AF866" i="20"/>
  <c r="AO866" i="20"/>
  <c r="AP866" i="20"/>
  <c r="AH866" i="20"/>
  <c r="AD857" i="20"/>
  <c r="Z857" i="20"/>
  <c r="AL857" i="20"/>
  <c r="AF857" i="20"/>
  <c r="AJ857" i="20"/>
  <c r="Y857" i="20"/>
  <c r="AP857" i="20"/>
  <c r="AG857" i="20"/>
  <c r="AI857" i="20"/>
  <c r="AB857" i="20"/>
  <c r="AN857" i="20"/>
  <c r="AA857" i="20"/>
  <c r="AK857" i="20"/>
  <c r="AO857" i="20"/>
  <c r="AE857" i="20"/>
  <c r="AP849" i="20"/>
  <c r="Z849" i="20"/>
  <c r="Y849" i="20"/>
  <c r="AI849" i="20"/>
  <c r="AA849" i="20"/>
  <c r="AC849" i="20"/>
  <c r="AO849" i="20"/>
  <c r="AL849" i="20"/>
  <c r="AK849" i="20"/>
  <c r="AD849" i="20"/>
  <c r="AJ849" i="20"/>
  <c r="AF849" i="20"/>
  <c r="AE849" i="20"/>
  <c r="AH849" i="20"/>
  <c r="AP842" i="20"/>
  <c r="AN842" i="20"/>
  <c r="AC842" i="20"/>
  <c r="AA842" i="20"/>
  <c r="AD842" i="20"/>
  <c r="AE842" i="20"/>
  <c r="Z842" i="20"/>
  <c r="AJ842" i="20"/>
  <c r="AO842" i="20"/>
  <c r="AB842" i="20"/>
  <c r="Y842" i="20"/>
  <c r="AK842" i="20"/>
  <c r="AH842" i="20"/>
  <c r="AG842" i="20"/>
  <c r="AI842" i="20"/>
  <c r="AL842" i="20"/>
  <c r="AI837" i="20"/>
  <c r="AB837" i="20"/>
  <c r="AE837" i="20"/>
  <c r="AO837" i="20"/>
  <c r="AK837" i="20"/>
  <c r="AG837" i="20"/>
  <c r="AF837" i="20"/>
  <c r="AP837" i="20"/>
  <c r="Z837" i="20"/>
  <c r="AC837" i="20"/>
  <c r="AJ837" i="20"/>
  <c r="AL837" i="20"/>
  <c r="AA837" i="20"/>
  <c r="AH837" i="20"/>
  <c r="AD837" i="20"/>
  <c r="AP822" i="20"/>
  <c r="AO822" i="20"/>
  <c r="AE822" i="20"/>
  <c r="AL822" i="20"/>
  <c r="Z822" i="20"/>
  <c r="AN822" i="20"/>
  <c r="AG822" i="20"/>
  <c r="AB822" i="20"/>
  <c r="Y822" i="20"/>
  <c r="AK822" i="20"/>
  <c r="AH822" i="20"/>
  <c r="AD822" i="20"/>
  <c r="AA822" i="20"/>
  <c r="AI822" i="20"/>
  <c r="AC822" i="20"/>
  <c r="AP816" i="20"/>
  <c r="AK816" i="20"/>
  <c r="AD816" i="20"/>
  <c r="AG816" i="20"/>
  <c r="Y816" i="20"/>
  <c r="AF816" i="20"/>
  <c r="AL816" i="20"/>
  <c r="AH816" i="20"/>
  <c r="AB816" i="20"/>
  <c r="AC816" i="20"/>
  <c r="AE816" i="20"/>
  <c r="AI816" i="20"/>
  <c r="AJ816" i="20"/>
  <c r="Z816" i="20"/>
  <c r="AE807" i="20"/>
  <c r="AG807" i="20"/>
  <c r="Y807" i="20"/>
  <c r="AI807" i="20"/>
  <c r="AD807" i="20"/>
  <c r="AK807" i="20"/>
  <c r="AB807" i="20"/>
  <c r="Z807" i="20"/>
  <c r="AP807" i="20"/>
  <c r="AA807" i="20"/>
  <c r="AL807" i="20"/>
  <c r="AN807" i="20"/>
  <c r="AH807" i="20"/>
  <c r="AJ807" i="20"/>
  <c r="AC807" i="20"/>
  <c r="AD792" i="20"/>
  <c r="Y792" i="20"/>
  <c r="AC792" i="20"/>
  <c r="AE792" i="20"/>
  <c r="AB792" i="20"/>
  <c r="AK792" i="20"/>
  <c r="I163" i="86" s="1"/>
  <c r="L163" i="86" s="1"/>
  <c r="AN792" i="20"/>
  <c r="AF792" i="20"/>
  <c r="Z792" i="20"/>
  <c r="AP792" i="20"/>
  <c r="AL792" i="20"/>
  <c r="AJ792" i="20"/>
  <c r="AO792" i="20"/>
  <c r="AA792" i="20"/>
  <c r="AH792" i="20"/>
  <c r="Y786" i="20"/>
  <c r="AA786" i="20"/>
  <c r="AN786" i="20"/>
  <c r="AC786" i="20"/>
  <c r="AI786" i="20"/>
  <c r="AE786" i="20"/>
  <c r="AJ786" i="20"/>
  <c r="AK786" i="20"/>
  <c r="AF786" i="20"/>
  <c r="AL786" i="20"/>
  <c r="AD786" i="20"/>
  <c r="AG786" i="20"/>
  <c r="Z786" i="20"/>
  <c r="AH786" i="20"/>
  <c r="AB786" i="20"/>
  <c r="AP786" i="20"/>
  <c r="AK783" i="20"/>
  <c r="Y783" i="20"/>
  <c r="AA783" i="20"/>
  <c r="Z783" i="20"/>
  <c r="AI783" i="20"/>
  <c r="AD783" i="20"/>
  <c r="AB783" i="20"/>
  <c r="AF783" i="20"/>
  <c r="AP783" i="20"/>
  <c r="AH783" i="20"/>
  <c r="AE783" i="20"/>
  <c r="AG783" i="20"/>
  <c r="AL783" i="20"/>
  <c r="AO783" i="20"/>
  <c r="AN783" i="20"/>
  <c r="AE775" i="20"/>
  <c r="Z775" i="20"/>
  <c r="AD775" i="20"/>
  <c r="AK775" i="20"/>
  <c r="AI775" i="20"/>
  <c r="AJ775" i="20"/>
  <c r="AP775" i="20"/>
  <c r="AC775" i="20"/>
  <c r="Y775" i="20"/>
  <c r="AL775" i="20"/>
  <c r="AN775" i="20"/>
  <c r="AA775" i="20"/>
  <c r="AB775" i="20"/>
  <c r="AH775" i="20"/>
  <c r="AF775" i="20"/>
  <c r="AG775" i="20"/>
  <c r="AE765" i="20"/>
  <c r="AK765" i="20"/>
  <c r="I45" i="86" s="1"/>
  <c r="L45" i="86" s="1"/>
  <c r="AN765" i="20"/>
  <c r="AF765" i="20"/>
  <c r="AA765" i="20"/>
  <c r="AC765" i="20"/>
  <c r="AL765" i="20"/>
  <c r="AB765" i="20"/>
  <c r="AG765" i="20"/>
  <c r="Z765" i="20"/>
  <c r="AJ765" i="20"/>
  <c r="H45" i="86" s="1"/>
  <c r="AI765" i="20"/>
  <c r="G45" i="86" s="1"/>
  <c r="J45" i="86" s="1"/>
  <c r="AO765" i="20"/>
  <c r="AD765" i="20"/>
  <c r="AP765" i="20"/>
  <c r="AE759" i="20"/>
  <c r="AD759" i="20"/>
  <c r="AA759" i="20"/>
  <c r="Y759" i="20"/>
  <c r="AJ759" i="20"/>
  <c r="H42" i="86" s="1"/>
  <c r="K42" i="86" s="1"/>
  <c r="AH759" i="20"/>
  <c r="AF759" i="20"/>
  <c r="AP759" i="20"/>
  <c r="AL759" i="20"/>
  <c r="Z759" i="20"/>
  <c r="AG759" i="20"/>
  <c r="AN759" i="20"/>
  <c r="AI759" i="20"/>
  <c r="G42" i="86" s="1"/>
  <c r="J42" i="86" s="1"/>
  <c r="AK759" i="20"/>
  <c r="I42" i="86" s="1"/>
  <c r="L42" i="86" s="1"/>
  <c r="AB759" i="20"/>
  <c r="AK753" i="20"/>
  <c r="AD753" i="20"/>
  <c r="AI753" i="20"/>
  <c r="Y753" i="20"/>
  <c r="AF753" i="20"/>
  <c r="AG753" i="20"/>
  <c r="AJ753" i="20"/>
  <c r="AE753" i="20"/>
  <c r="AC753" i="20"/>
  <c r="AB753" i="20"/>
  <c r="AN753" i="20"/>
  <c r="AO753" i="20"/>
  <c r="AA753" i="20"/>
  <c r="Z753" i="20"/>
  <c r="AP753" i="20"/>
  <c r="AC738" i="20"/>
  <c r="AE738" i="20"/>
  <c r="AH738" i="20"/>
  <c r="AI738" i="20"/>
  <c r="AF738" i="20"/>
  <c r="AB738" i="20"/>
  <c r="AL738" i="20"/>
  <c r="AO738" i="20"/>
  <c r="AG738" i="20"/>
  <c r="AN738" i="20"/>
  <c r="AD738" i="20"/>
  <c r="AK738" i="20"/>
  <c r="Z738" i="20"/>
  <c r="Y738" i="20"/>
  <c r="AA738" i="20"/>
  <c r="AP735" i="20"/>
  <c r="AK735" i="20"/>
  <c r="AA735" i="20"/>
  <c r="AJ735" i="20"/>
  <c r="AF735" i="20"/>
  <c r="Y735" i="20"/>
  <c r="AB735" i="20"/>
  <c r="AC735" i="20"/>
  <c r="AG735" i="20"/>
  <c r="Z735" i="20"/>
  <c r="AH735" i="20"/>
  <c r="AL735" i="20"/>
  <c r="AN735" i="20"/>
  <c r="AI735" i="20"/>
  <c r="AE735" i="20"/>
  <c r="AN727" i="20"/>
  <c r="AD727" i="20"/>
  <c r="AJ727" i="20"/>
  <c r="AG727" i="20"/>
  <c r="AE727" i="20"/>
  <c r="AI727" i="20"/>
  <c r="AB727" i="20"/>
  <c r="AC727" i="20"/>
  <c r="Z727" i="20"/>
  <c r="AL727" i="20"/>
  <c r="AH727" i="20"/>
  <c r="AF727" i="20"/>
  <c r="AK727" i="20"/>
  <c r="AO727" i="20"/>
  <c r="AA727" i="20"/>
  <c r="AI719" i="20"/>
  <c r="AD719" i="20"/>
  <c r="Y719" i="20"/>
  <c r="AH719" i="20"/>
  <c r="AA719" i="20"/>
  <c r="AF719" i="20"/>
  <c r="AN719" i="20"/>
  <c r="AL719" i="20"/>
  <c r="AJ719" i="20"/>
  <c r="AG719" i="20"/>
  <c r="AB719" i="20"/>
  <c r="AK719" i="20"/>
  <c r="Z719" i="20"/>
  <c r="AP719" i="20"/>
  <c r="AP713" i="20"/>
  <c r="Z713" i="20"/>
  <c r="AG713" i="20"/>
  <c r="AF713" i="20"/>
  <c r="AA713" i="20"/>
  <c r="AC713" i="20"/>
  <c r="AO713" i="20"/>
  <c r="AI713" i="20"/>
  <c r="AH713" i="20"/>
  <c r="AE713" i="20"/>
  <c r="AD713" i="20"/>
  <c r="AN713" i="20"/>
  <c r="AL713" i="20"/>
  <c r="AK713" i="20"/>
  <c r="Y713" i="20"/>
  <c r="AP704" i="20"/>
  <c r="AO704" i="20"/>
  <c r="AL704" i="20"/>
  <c r="AG704" i="20"/>
  <c r="AB704" i="20"/>
  <c r="AK704" i="20"/>
  <c r="AC704" i="20"/>
  <c r="E28" i="37" s="1"/>
  <c r="Y704" i="20"/>
  <c r="Z704" i="20"/>
  <c r="AJ704" i="20"/>
  <c r="AN704" i="20"/>
  <c r="AD704" i="20"/>
  <c r="AE704" i="20"/>
  <c r="AH704" i="20"/>
  <c r="AF704" i="20"/>
  <c r="AA704" i="20"/>
  <c r="AP696" i="20"/>
  <c r="AN696" i="20"/>
  <c r="AC696" i="20"/>
  <c r="AB696" i="20"/>
  <c r="AH696" i="20"/>
  <c r="AK696" i="20"/>
  <c r="AF696" i="20"/>
  <c r="AL696" i="20"/>
  <c r="Z696" i="20"/>
  <c r="AI696" i="20"/>
  <c r="AJ696" i="20"/>
  <c r="AO696" i="20"/>
  <c r="AG696" i="20"/>
  <c r="AE696" i="20"/>
  <c r="AD696" i="20"/>
  <c r="AP689" i="20"/>
  <c r="AO689" i="20"/>
  <c r="Z689" i="20"/>
  <c r="Y689" i="20"/>
  <c r="AL689" i="20"/>
  <c r="AC689" i="20"/>
  <c r="AA689" i="20"/>
  <c r="AI689" i="20"/>
  <c r="AD689" i="20"/>
  <c r="AH689" i="20"/>
  <c r="AF689" i="20"/>
  <c r="AE689" i="20"/>
  <c r="AK689" i="20"/>
  <c r="AJ689" i="20"/>
  <c r="AN689" i="20"/>
  <c r="AO676" i="20"/>
  <c r="AP676" i="20"/>
  <c r="AE676" i="20"/>
  <c r="AD676" i="20"/>
  <c r="AL676" i="20"/>
  <c r="AJ676" i="20"/>
  <c r="AC676" i="20"/>
  <c r="AB676" i="20"/>
  <c r="AK676" i="20"/>
  <c r="AF676" i="20"/>
  <c r="AG676" i="20"/>
  <c r="Y676" i="20"/>
  <c r="AN676" i="20"/>
  <c r="AA676" i="20"/>
  <c r="AC668" i="20"/>
  <c r="AO668" i="20"/>
  <c r="AJ668" i="20"/>
  <c r="AD668" i="20"/>
  <c r="AG668" i="20"/>
  <c r="Z668" i="20"/>
  <c r="Y668" i="20"/>
  <c r="AI668" i="20"/>
  <c r="AP668" i="20"/>
  <c r="AB668" i="20"/>
  <c r="AE668" i="20"/>
  <c r="AF668" i="20"/>
  <c r="AH668" i="20"/>
  <c r="AA668" i="20"/>
  <c r="AL668" i="20"/>
  <c r="AO660" i="20"/>
  <c r="AP660" i="20"/>
  <c r="AA660" i="20"/>
  <c r="AD660" i="20"/>
  <c r="AC660" i="20"/>
  <c r="AI660" i="20"/>
  <c r="AB660" i="20"/>
  <c r="AH660" i="20"/>
  <c r="AG660" i="20"/>
  <c r="AK660" i="20"/>
  <c r="AF660" i="20"/>
  <c r="AE660" i="20"/>
  <c r="Z660" i="20"/>
  <c r="Y660" i="20"/>
  <c r="AJ660" i="20"/>
  <c r="AN660" i="20"/>
  <c r="AO651" i="20"/>
  <c r="AP651" i="20"/>
  <c r="Z651" i="20"/>
  <c r="AN651" i="20"/>
  <c r="AJ651" i="20"/>
  <c r="AG651" i="20"/>
  <c r="AK651" i="20"/>
  <c r="AA651" i="20"/>
  <c r="AD651" i="20"/>
  <c r="AF651" i="20"/>
  <c r="AC651" i="20"/>
  <c r="AL651" i="20"/>
  <c r="AE651" i="20"/>
  <c r="AH651" i="20"/>
  <c r="AI651" i="20"/>
  <c r="AP644" i="20"/>
  <c r="AI644" i="20"/>
  <c r="AA644" i="20"/>
  <c r="Y644" i="20"/>
  <c r="AB644" i="20"/>
  <c r="AN644" i="20"/>
  <c r="Z644" i="20"/>
  <c r="AK644" i="20"/>
  <c r="AO644" i="20"/>
  <c r="AL644" i="20"/>
  <c r="AD644" i="20"/>
  <c r="AG644" i="20"/>
  <c r="AJ644" i="20"/>
  <c r="AC644" i="20"/>
  <c r="AE644" i="20"/>
  <c r="AH644" i="20"/>
  <c r="AO636" i="20"/>
  <c r="AP636" i="20"/>
  <c r="AB636" i="20"/>
  <c r="AF636" i="20"/>
  <c r="AD636" i="20"/>
  <c r="AA636" i="20"/>
  <c r="AC636" i="20"/>
  <c r="AJ636" i="20"/>
  <c r="AE636" i="20"/>
  <c r="AL636" i="20"/>
  <c r="AH636" i="20"/>
  <c r="AI636" i="20"/>
  <c r="Y636" i="20"/>
  <c r="AK636" i="20"/>
  <c r="Z636" i="20"/>
  <c r="AP628" i="20"/>
  <c r="AD628" i="20"/>
  <c r="AB628" i="20"/>
  <c r="AH628" i="20"/>
  <c r="AL628" i="20"/>
  <c r="AN628" i="20"/>
  <c r="Z628" i="20"/>
  <c r="AK628" i="20"/>
  <c r="AJ628" i="20"/>
  <c r="AI628" i="20"/>
  <c r="AA628" i="20"/>
  <c r="AC628" i="20"/>
  <c r="Y628" i="20"/>
  <c r="AE628" i="20"/>
  <c r="AG628" i="20"/>
  <c r="AO628" i="20"/>
  <c r="AP620" i="20"/>
  <c r="AO620" i="20"/>
  <c r="AE620" i="20"/>
  <c r="AD620" i="20"/>
  <c r="AL620" i="20"/>
  <c r="AG620" i="20"/>
  <c r="AA620" i="20"/>
  <c r="AH620" i="20"/>
  <c r="AC620" i="20"/>
  <c r="AN620" i="20"/>
  <c r="AB620" i="20"/>
  <c r="AI620" i="20"/>
  <c r="Z620" i="20"/>
  <c r="Y620" i="20"/>
  <c r="AF620" i="20"/>
  <c r="AO617" i="20"/>
  <c r="AI617" i="20"/>
  <c r="G85" i="86" s="1"/>
  <c r="J85" i="86" s="1"/>
  <c r="AF617" i="20"/>
  <c r="AC617" i="20"/>
  <c r="AN617" i="20"/>
  <c r="AD617" i="20"/>
  <c r="Y617" i="20"/>
  <c r="AP617" i="20"/>
  <c r="AJ617" i="20"/>
  <c r="AK617" i="20"/>
  <c r="AH617" i="20"/>
  <c r="Z617" i="20"/>
  <c r="AL617" i="20"/>
  <c r="AB617" i="20"/>
  <c r="AA617" i="20"/>
  <c r="AP604" i="20"/>
  <c r="AJ604" i="20"/>
  <c r="AO604" i="20"/>
  <c r="AN604" i="20"/>
  <c r="AC604" i="20"/>
  <c r="AE604" i="20"/>
  <c r="AI604" i="20"/>
  <c r="AD604" i="20"/>
  <c r="AF604" i="20"/>
  <c r="Y604" i="20"/>
  <c r="Z604" i="20"/>
  <c r="AA604" i="20"/>
  <c r="AK604" i="20"/>
  <c r="AH604" i="20"/>
  <c r="AB604" i="20"/>
  <c r="AP596" i="20"/>
  <c r="AO596" i="20"/>
  <c r="AN596" i="20"/>
  <c r="AG596" i="20"/>
  <c r="Z596" i="20"/>
  <c r="AH596" i="20"/>
  <c r="AK596" i="20"/>
  <c r="AC596" i="20"/>
  <c r="AE596" i="20"/>
  <c r="AD596" i="20"/>
  <c r="AA596" i="20"/>
  <c r="AJ596" i="20"/>
  <c r="AB596" i="20"/>
  <c r="Y596" i="20"/>
  <c r="AI596" i="20"/>
  <c r="AO588" i="20"/>
  <c r="AC588" i="20"/>
  <c r="AK588" i="20"/>
  <c r="AB588" i="20"/>
  <c r="AI588" i="20"/>
  <c r="AN588" i="20"/>
  <c r="Y588" i="20"/>
  <c r="AF588" i="20"/>
  <c r="AG588" i="20"/>
  <c r="AL588" i="20"/>
  <c r="AE588" i="20"/>
  <c r="AA588" i="20"/>
  <c r="AD588" i="20"/>
  <c r="AH588" i="20"/>
  <c r="Z588" i="20"/>
  <c r="AP580" i="20"/>
  <c r="AI580" i="20"/>
  <c r="Y580" i="20"/>
  <c r="AB580" i="20"/>
  <c r="AH580" i="20"/>
  <c r="AN580" i="20"/>
  <c r="AE580" i="20"/>
  <c r="AF580" i="20"/>
  <c r="AO580" i="20"/>
  <c r="AK580" i="20"/>
  <c r="AA580" i="20"/>
  <c r="AJ580" i="20"/>
  <c r="AL580" i="20"/>
  <c r="AC580" i="20"/>
  <c r="Z580" i="20"/>
  <c r="AP574" i="20"/>
  <c r="AO574" i="20"/>
  <c r="AI574" i="20"/>
  <c r="AE574" i="20"/>
  <c r="Z574" i="20"/>
  <c r="AL574" i="20"/>
  <c r="AG574" i="20"/>
  <c r="AA574" i="20"/>
  <c r="AN574" i="20"/>
  <c r="AF574" i="20"/>
  <c r="AB574" i="20"/>
  <c r="AC574" i="20"/>
  <c r="AD574" i="20"/>
  <c r="AK574" i="20"/>
  <c r="AJ574" i="20"/>
  <c r="AH574" i="20"/>
  <c r="AH556" i="20"/>
  <c r="AL556" i="20"/>
  <c r="Y556" i="20"/>
  <c r="AD556" i="20"/>
  <c r="AB556" i="20"/>
  <c r="AF556" i="20"/>
  <c r="AC556" i="20"/>
  <c r="AN556" i="20"/>
  <c r="AE556" i="20"/>
  <c r="AJ556" i="20"/>
  <c r="AA556" i="20"/>
  <c r="AK556" i="20"/>
  <c r="AO549" i="20"/>
  <c r="AN549" i="20"/>
  <c r="AB549" i="20"/>
  <c r="AK549" i="20"/>
  <c r="AD549" i="20"/>
  <c r="AI549" i="20"/>
  <c r="AC549" i="20"/>
  <c r="AF549" i="20"/>
  <c r="AH549" i="20"/>
  <c r="AL549" i="20"/>
  <c r="Z549" i="20"/>
  <c r="AA549" i="20"/>
  <c r="Y549" i="20"/>
  <c r="AP531" i="20"/>
  <c r="AO531" i="20"/>
  <c r="AJ531" i="20"/>
  <c r="AH531" i="20"/>
  <c r="AL531" i="20"/>
  <c r="AA531" i="20"/>
  <c r="Y531" i="20"/>
  <c r="AE531" i="20"/>
  <c r="AI531" i="20"/>
  <c r="AN531" i="20"/>
  <c r="AF531" i="20"/>
  <c r="AG531" i="20"/>
  <c r="AC531" i="20"/>
  <c r="Z531" i="20"/>
  <c r="AK531" i="20"/>
  <c r="AD531" i="20"/>
  <c r="AN524" i="20"/>
  <c r="AG524" i="20"/>
  <c r="Z524" i="20"/>
  <c r="AA524" i="20"/>
  <c r="AF524" i="20"/>
  <c r="AC524" i="20"/>
  <c r="AE524" i="20"/>
  <c r="Y524" i="20"/>
  <c r="AI524" i="20"/>
  <c r="AH524" i="20"/>
  <c r="AD524" i="20"/>
  <c r="AB524" i="20"/>
  <c r="AL524" i="20"/>
  <c r="AN519" i="20"/>
  <c r="AL519" i="20"/>
  <c r="AH519" i="20"/>
  <c r="AG519" i="20"/>
  <c r="AB519" i="20"/>
  <c r="AK519" i="20"/>
  <c r="AF519" i="20"/>
  <c r="Y519" i="20"/>
  <c r="AC519" i="20"/>
  <c r="AJ519" i="20"/>
  <c r="AI519" i="20"/>
  <c r="AD519" i="20"/>
  <c r="AE519" i="20"/>
  <c r="AA519" i="20"/>
  <c r="AP511" i="20"/>
  <c r="AE511" i="20"/>
  <c r="AL511" i="20"/>
  <c r="AI511" i="20"/>
  <c r="AH511" i="20"/>
  <c r="AJ511" i="20"/>
  <c r="AF511" i="20"/>
  <c r="AN511" i="20"/>
  <c r="AK511" i="20"/>
  <c r="Y511" i="20"/>
  <c r="AA511" i="20"/>
  <c r="Z511" i="20"/>
  <c r="AG511" i="20"/>
  <c r="AC511" i="20"/>
  <c r="AG569" i="20"/>
  <c r="AK569" i="20"/>
  <c r="AE569" i="20"/>
  <c r="AJ569" i="20"/>
  <c r="AH569" i="20"/>
  <c r="AN569" i="20"/>
  <c r="AD569" i="20"/>
  <c r="AA569" i="20"/>
  <c r="AF569" i="20"/>
  <c r="Y569" i="20"/>
  <c r="AI569" i="20"/>
  <c r="AB569" i="20"/>
  <c r="AL569" i="20"/>
  <c r="Z569" i="20"/>
  <c r="AI500" i="20"/>
  <c r="AA500" i="20"/>
  <c r="AF500" i="20"/>
  <c r="AJ500" i="20"/>
  <c r="AB500" i="20"/>
  <c r="AC500" i="20"/>
  <c r="AG500" i="20"/>
  <c r="AN500" i="20"/>
  <c r="Y500" i="20"/>
  <c r="AD500" i="20"/>
  <c r="AE500" i="20"/>
  <c r="AH500" i="20"/>
  <c r="AK500" i="20"/>
  <c r="AO492" i="20"/>
  <c r="AP492" i="20"/>
  <c r="AL492" i="20"/>
  <c r="AD492" i="20"/>
  <c r="AG492" i="20"/>
  <c r="AI492" i="20"/>
  <c r="AC492" i="20"/>
  <c r="Z492" i="20"/>
  <c r="AJ492" i="20"/>
  <c r="AB492" i="20"/>
  <c r="AK492" i="20"/>
  <c r="AE492" i="20"/>
  <c r="AF492" i="20"/>
  <c r="AH492" i="20"/>
  <c r="AN492" i="20"/>
  <c r="AA492" i="20"/>
  <c r="Y484" i="20"/>
  <c r="AG484" i="20"/>
  <c r="AJ484" i="20"/>
  <c r="AL484" i="20"/>
  <c r="Z484" i="20"/>
  <c r="AA484" i="20"/>
  <c r="AI484" i="20"/>
  <c r="AN484" i="20"/>
  <c r="AB484" i="20"/>
  <c r="AK484" i="20"/>
  <c r="AC484" i="20"/>
  <c r="AD484" i="20"/>
  <c r="AF484" i="20"/>
  <c r="AO476" i="20"/>
  <c r="AK476" i="20"/>
  <c r="Y476" i="20"/>
  <c r="AA476" i="20"/>
  <c r="Z476" i="20"/>
  <c r="AE476" i="20"/>
  <c r="AH476" i="20"/>
  <c r="AN476" i="20"/>
  <c r="AG476" i="20"/>
  <c r="AL476" i="20"/>
  <c r="AC476" i="20"/>
  <c r="AB476" i="20"/>
  <c r="AJ476" i="20"/>
  <c r="AI476" i="20"/>
  <c r="AF476" i="20"/>
  <c r="AP468" i="20"/>
  <c r="AO468" i="20"/>
  <c r="AI468" i="20"/>
  <c r="Z468" i="20"/>
  <c r="AD468" i="20"/>
  <c r="AN468" i="20"/>
  <c r="AG468" i="20"/>
  <c r="AF468" i="20"/>
  <c r="AH468" i="20"/>
  <c r="AL468" i="20"/>
  <c r="AC468" i="20"/>
  <c r="AK468" i="20"/>
  <c r="Y468" i="20"/>
  <c r="AA468" i="20"/>
  <c r="AB468" i="20"/>
  <c r="AP460" i="20"/>
  <c r="AO460" i="20"/>
  <c r="AN460" i="20"/>
  <c r="AH460" i="20"/>
  <c r="AK460" i="20"/>
  <c r="AA460" i="20"/>
  <c r="AD460" i="20"/>
  <c r="AC460" i="20"/>
  <c r="Z460" i="20"/>
  <c r="AB460" i="20"/>
  <c r="AJ460" i="20"/>
  <c r="AE460" i="20"/>
  <c r="Y460" i="20"/>
  <c r="AF460" i="20"/>
  <c r="AL460" i="20"/>
  <c r="AI460" i="20"/>
  <c r="AP452" i="20"/>
  <c r="AA452" i="20"/>
  <c r="Y452" i="20"/>
  <c r="AG452" i="20"/>
  <c r="AB452" i="20"/>
  <c r="AH452" i="20"/>
  <c r="AI452" i="20"/>
  <c r="AJ452" i="20"/>
  <c r="AK452" i="20"/>
  <c r="AE452" i="20"/>
  <c r="AC452" i="20"/>
  <c r="AF452" i="20"/>
  <c r="AD452" i="20"/>
  <c r="AN452" i="20"/>
  <c r="AO444" i="20"/>
  <c r="AP444" i="20"/>
  <c r="AI444" i="20"/>
  <c r="Y444" i="20"/>
  <c r="AJ444" i="20"/>
  <c r="AA444" i="20"/>
  <c r="AG444" i="20"/>
  <c r="AE444" i="20"/>
  <c r="AH444" i="20"/>
  <c r="AC444" i="20"/>
  <c r="AL444" i="20"/>
  <c r="AN444" i="20"/>
  <c r="AB444" i="20"/>
  <c r="AK444" i="20"/>
  <c r="AF444" i="20"/>
  <c r="AD444" i="20"/>
  <c r="AP436" i="20"/>
  <c r="AI436" i="20"/>
  <c r="AO436" i="20"/>
  <c r="AK436" i="20"/>
  <c r="I111" i="86" s="1"/>
  <c r="L111" i="86" s="1"/>
  <c r="AB436" i="20"/>
  <c r="AC436" i="20"/>
  <c r="AG436" i="20"/>
  <c r="AE436" i="20"/>
  <c r="AL436" i="20"/>
  <c r="AD436" i="20"/>
  <c r="AJ436" i="20"/>
  <c r="AN436" i="20"/>
  <c r="AF436" i="20"/>
  <c r="Z436" i="20"/>
  <c r="AP429" i="20"/>
  <c r="AL429" i="20"/>
  <c r="AK429" i="20"/>
  <c r="Z429" i="20"/>
  <c r="AG429" i="20"/>
  <c r="AD429" i="20"/>
  <c r="AE429" i="20"/>
  <c r="AI429" i="20"/>
  <c r="AO429" i="20"/>
  <c r="AC429" i="20"/>
  <c r="AH429" i="20"/>
  <c r="AJ429" i="20"/>
  <c r="AN429" i="20"/>
  <c r="AB429" i="20"/>
  <c r="Y429" i="20"/>
  <c r="AN420" i="20"/>
  <c r="Z420" i="20"/>
  <c r="AL420" i="20"/>
  <c r="AB420" i="20"/>
  <c r="AC420" i="20"/>
  <c r="AD420" i="20"/>
  <c r="Y420" i="20"/>
  <c r="AH420" i="20"/>
  <c r="AK420" i="20"/>
  <c r="AE420" i="20"/>
  <c r="AG420" i="20"/>
  <c r="AA420" i="20"/>
  <c r="AF420" i="20"/>
  <c r="AO416" i="20"/>
  <c r="AP416" i="20"/>
  <c r="AH416" i="20"/>
  <c r="AJ416" i="20"/>
  <c r="AG416" i="20"/>
  <c r="Z416" i="20"/>
  <c r="AI416" i="20"/>
  <c r="G123" i="86" s="1"/>
  <c r="J123" i="86" s="1"/>
  <c r="AL416" i="20"/>
  <c r="Y416" i="20"/>
  <c r="AE416" i="20"/>
  <c r="AA416" i="20"/>
  <c r="AK416" i="20"/>
  <c r="AB416" i="20"/>
  <c r="AD416" i="20"/>
  <c r="AF416" i="20"/>
  <c r="AO407" i="20"/>
  <c r="AP407" i="20"/>
  <c r="AF407" i="20"/>
  <c r="AK407" i="20"/>
  <c r="AB407" i="20"/>
  <c r="AA407" i="20"/>
  <c r="AJ407" i="20"/>
  <c r="AC407" i="20"/>
  <c r="AH407" i="20"/>
  <c r="Y407" i="20"/>
  <c r="AN407" i="20"/>
  <c r="Z407" i="20"/>
  <c r="AE407" i="20"/>
  <c r="AI407" i="20"/>
  <c r="AD407" i="20"/>
  <c r="AL407" i="20"/>
  <c r="AJ396" i="20"/>
  <c r="AC396" i="20"/>
  <c r="AE396" i="20"/>
  <c r="AH396" i="20"/>
  <c r="AF396" i="20"/>
  <c r="AD396" i="20"/>
  <c r="AN396" i="20"/>
  <c r="AG396" i="20"/>
  <c r="AL396" i="20"/>
  <c r="AK396" i="20"/>
  <c r="AI396" i="20"/>
  <c r="Y396" i="20"/>
  <c r="AB396" i="20"/>
  <c r="AO388" i="20"/>
  <c r="AH388" i="20"/>
  <c r="AD388" i="20"/>
  <c r="AF388" i="20"/>
  <c r="AA388" i="20"/>
  <c r="AJ388" i="20"/>
  <c r="AN388" i="20"/>
  <c r="AE388" i="20"/>
  <c r="Y388" i="20"/>
  <c r="Z388" i="20"/>
  <c r="AB388" i="20"/>
  <c r="AK388" i="20"/>
  <c r="AL388" i="20"/>
  <c r="AC388" i="20"/>
  <c r="AP380" i="20"/>
  <c r="AF380" i="20"/>
  <c r="AC380" i="20"/>
  <c r="AK380" i="20"/>
  <c r="AH380" i="20"/>
  <c r="AI380" i="20"/>
  <c r="AB380" i="20"/>
  <c r="AJ380" i="20"/>
  <c r="AO380" i="20"/>
  <c r="AG380" i="20"/>
  <c r="Z380" i="20"/>
  <c r="AE380" i="20"/>
  <c r="AA380" i="20"/>
  <c r="AL380" i="20"/>
  <c r="AO372" i="20"/>
  <c r="AP372" i="20"/>
  <c r="Y372" i="20"/>
  <c r="AD372" i="20"/>
  <c r="AJ372" i="20"/>
  <c r="AL372" i="20"/>
  <c r="Z372" i="20"/>
  <c r="AK372" i="20"/>
  <c r="AB372" i="20"/>
  <c r="AI372" i="20"/>
  <c r="AA372" i="20"/>
  <c r="AG372" i="20"/>
  <c r="AF372" i="20"/>
  <c r="AP364" i="20"/>
  <c r="AO364" i="20"/>
  <c r="AB364" i="20"/>
  <c r="AK364" i="20"/>
  <c r="I133" i="86" s="1"/>
  <c r="L133" i="86" s="1"/>
  <c r="AF364" i="20"/>
  <c r="AH364" i="20"/>
  <c r="AJ364" i="20"/>
  <c r="H133" i="86" s="1"/>
  <c r="K133" i="86" s="1"/>
  <c r="AC364" i="20"/>
  <c r="AG364" i="20"/>
  <c r="Y364" i="20"/>
  <c r="AA364" i="20"/>
  <c r="AE364" i="20"/>
  <c r="AN364" i="20"/>
  <c r="Z364" i="20"/>
  <c r="AL364" i="20"/>
  <c r="AP357" i="20"/>
  <c r="AO357" i="20"/>
  <c r="AA357" i="20"/>
  <c r="AC357" i="20"/>
  <c r="Z357" i="20"/>
  <c r="AG357" i="20"/>
  <c r="AE357" i="20"/>
  <c r="AD357" i="20"/>
  <c r="AB357" i="20"/>
  <c r="AF357" i="20"/>
  <c r="AK357" i="20"/>
  <c r="AH357" i="20"/>
  <c r="AL357" i="20"/>
  <c r="AI357" i="20"/>
  <c r="AP345" i="20"/>
  <c r="AO345" i="20"/>
  <c r="AI345" i="20"/>
  <c r="AN345" i="20"/>
  <c r="AC345" i="20"/>
  <c r="AE345" i="20"/>
  <c r="AK345" i="20"/>
  <c r="AF345" i="20"/>
  <c r="AG345" i="20"/>
  <c r="AH345" i="20"/>
  <c r="AD345" i="20"/>
  <c r="AB345" i="20"/>
  <c r="AA345" i="20"/>
  <c r="AJ345" i="20"/>
  <c r="AL345" i="20"/>
  <c r="AO337" i="20"/>
  <c r="AP337" i="20"/>
  <c r="AG337" i="20"/>
  <c r="AF337" i="20"/>
  <c r="AH337" i="20"/>
  <c r="Y337" i="20"/>
  <c r="AE337" i="20"/>
  <c r="AN337" i="20"/>
  <c r="AD337" i="20"/>
  <c r="Z337" i="20"/>
  <c r="AC337" i="20"/>
  <c r="AL337" i="20"/>
  <c r="AJ337" i="20"/>
  <c r="AA337" i="20"/>
  <c r="AK337" i="20"/>
  <c r="AI337" i="20"/>
  <c r="AO329" i="20"/>
  <c r="AP329" i="20"/>
  <c r="AH329" i="20"/>
  <c r="AE329" i="20"/>
  <c r="AK329" i="20"/>
  <c r="AC329" i="20"/>
  <c r="AF329" i="20"/>
  <c r="AI329" i="20"/>
  <c r="Y329" i="20"/>
  <c r="AL329" i="20"/>
  <c r="AD329" i="20"/>
  <c r="AG329" i="20"/>
  <c r="AN329" i="20"/>
  <c r="AA329" i="20"/>
  <c r="AJ329" i="20"/>
  <c r="AB329" i="20"/>
  <c r="AP321" i="20"/>
  <c r="AO321" i="20"/>
  <c r="AD321" i="20"/>
  <c r="Z321" i="20"/>
  <c r="AI321" i="20"/>
  <c r="AH321" i="20"/>
  <c r="AE321" i="20"/>
  <c r="AB321" i="20"/>
  <c r="AL321" i="20"/>
  <c r="AC321" i="20"/>
  <c r="AJ321" i="20"/>
  <c r="AN321" i="20"/>
  <c r="Y321" i="20"/>
  <c r="AK321" i="20"/>
  <c r="AG321" i="20"/>
  <c r="AA321" i="20"/>
  <c r="AP309" i="20"/>
  <c r="AO309" i="20"/>
  <c r="AK309" i="20"/>
  <c r="AB309" i="20"/>
  <c r="AE309" i="20"/>
  <c r="Z309" i="20"/>
  <c r="AJ309" i="20"/>
  <c r="AC309" i="20"/>
  <c r="AD309" i="20"/>
  <c r="AI309" i="20"/>
  <c r="Y309" i="20"/>
  <c r="AH309" i="20"/>
  <c r="AN309" i="20"/>
  <c r="AG309" i="20"/>
  <c r="AL309" i="20"/>
  <c r="AN284" i="20"/>
  <c r="Y284" i="20"/>
  <c r="AD284" i="20"/>
  <c r="AJ284" i="20"/>
  <c r="AH284" i="20"/>
  <c r="AB284" i="20"/>
  <c r="AA284" i="20"/>
  <c r="Z284" i="20"/>
  <c r="AC284" i="20"/>
  <c r="AF284" i="20"/>
  <c r="AK284" i="20"/>
  <c r="AG284" i="20"/>
  <c r="AL284" i="20"/>
  <c r="AE284" i="20"/>
  <c r="AO276" i="20"/>
  <c r="AP276" i="20"/>
  <c r="AH276" i="20"/>
  <c r="AK276" i="20"/>
  <c r="AB276" i="20"/>
  <c r="AF276" i="20"/>
  <c r="AD276" i="20"/>
  <c r="Z276" i="20"/>
  <c r="Y276" i="20"/>
  <c r="AG276" i="20"/>
  <c r="AC276" i="20"/>
  <c r="AE276" i="20"/>
  <c r="AA276" i="20"/>
  <c r="AL276" i="20"/>
  <c r="AI276" i="20"/>
  <c r="AO268" i="20"/>
  <c r="AP268" i="20"/>
  <c r="AH268" i="20"/>
  <c r="AD268" i="20"/>
  <c r="AL268" i="20"/>
  <c r="AK268" i="20"/>
  <c r="AN268" i="20"/>
  <c r="AE268" i="20"/>
  <c r="AC268" i="20"/>
  <c r="AB268" i="20"/>
  <c r="AG268" i="20"/>
  <c r="AA268" i="20"/>
  <c r="AF268" i="20"/>
  <c r="AJ268" i="20"/>
  <c r="Z268" i="20"/>
  <c r="AD260" i="20"/>
  <c r="AE260" i="20"/>
  <c r="AB260" i="20"/>
  <c r="AN260" i="20"/>
  <c r="AG260" i="20"/>
  <c r="AF260" i="20"/>
  <c r="AL260" i="20"/>
  <c r="AK260" i="20"/>
  <c r="AJ260" i="20"/>
  <c r="AC260" i="20"/>
  <c r="AI260" i="20"/>
  <c r="AA260" i="20"/>
  <c r="AH260" i="20"/>
  <c r="Y260" i="20"/>
  <c r="AP253" i="20"/>
  <c r="AO253" i="20"/>
  <c r="AN253" i="20"/>
  <c r="AG253" i="20"/>
  <c r="AE253" i="20"/>
  <c r="AI253" i="20"/>
  <c r="Z253" i="20"/>
  <c r="AJ253" i="20"/>
  <c r="AD253" i="20"/>
  <c r="Y253" i="20"/>
  <c r="AC253" i="20"/>
  <c r="AH253" i="20"/>
  <c r="AK253" i="20"/>
  <c r="AA253" i="20"/>
  <c r="AB253" i="20"/>
  <c r="AO244" i="20"/>
  <c r="AP244" i="20"/>
  <c r="AI244" i="20"/>
  <c r="Y244" i="20"/>
  <c r="Z244" i="20"/>
  <c r="AL244" i="20"/>
  <c r="AK244" i="20"/>
  <c r="AC244" i="20"/>
  <c r="AH244" i="20"/>
  <c r="AE244" i="20"/>
  <c r="AG244" i="20"/>
  <c r="AN244" i="20"/>
  <c r="AJ244" i="20"/>
  <c r="AA244" i="20"/>
  <c r="AP236" i="20"/>
  <c r="AO236" i="20"/>
  <c r="AD236" i="20"/>
  <c r="AK236" i="20"/>
  <c r="Y236" i="20"/>
  <c r="AJ236" i="20"/>
  <c r="AN236" i="20"/>
  <c r="AI236" i="20"/>
  <c r="AG236" i="20"/>
  <c r="AH236" i="20"/>
  <c r="AA236" i="20"/>
  <c r="AC236" i="20"/>
  <c r="Z236" i="20"/>
  <c r="AE236" i="20"/>
  <c r="AD217" i="20"/>
  <c r="AF217" i="20"/>
  <c r="AE217" i="20"/>
  <c r="AA217" i="20"/>
  <c r="AN217" i="20"/>
  <c r="Y217" i="20"/>
  <c r="AI217" i="20"/>
  <c r="AC217" i="20"/>
  <c r="AK217" i="20"/>
  <c r="AB217" i="20"/>
  <c r="AJ217" i="20"/>
  <c r="AH217" i="20"/>
  <c r="AO209" i="20"/>
  <c r="AP209" i="20"/>
  <c r="AK209" i="20"/>
  <c r="I145" i="86" s="1"/>
  <c r="L145" i="86" s="1"/>
  <c r="Z209" i="20"/>
  <c r="AC209" i="20"/>
  <c r="AG209" i="20"/>
  <c r="AJ209" i="20"/>
  <c r="AB209" i="20"/>
  <c r="AE209" i="20"/>
  <c r="AD209" i="20"/>
  <c r="Y209" i="20"/>
  <c r="AI209" i="20"/>
  <c r="AA209" i="20"/>
  <c r="AH209" i="20"/>
  <c r="AF209" i="20"/>
  <c r="AC202" i="20"/>
  <c r="AF202" i="20"/>
  <c r="AH202" i="20"/>
  <c r="Y202" i="20"/>
  <c r="AB202" i="20"/>
  <c r="AN202" i="20"/>
  <c r="AJ202" i="20"/>
  <c r="AE202" i="20"/>
  <c r="AD202" i="20"/>
  <c r="AI202" i="20"/>
  <c r="AG202" i="20"/>
  <c r="AK202" i="20"/>
  <c r="AF193" i="20"/>
  <c r="AH193" i="20"/>
  <c r="AE193" i="20"/>
  <c r="AL193" i="20"/>
  <c r="AK193" i="20"/>
  <c r="AN193" i="20"/>
  <c r="AA193" i="20"/>
  <c r="AJ193" i="20"/>
  <c r="AI193" i="20"/>
  <c r="AD193" i="20"/>
  <c r="AC193" i="20"/>
  <c r="Z193" i="20"/>
  <c r="AP188" i="20"/>
  <c r="AO188" i="20"/>
  <c r="AH188" i="20"/>
  <c r="AG188" i="20"/>
  <c r="Y188" i="20"/>
  <c r="Z188" i="20"/>
  <c r="AC188" i="20"/>
  <c r="AD188" i="20"/>
  <c r="AI188" i="20"/>
  <c r="AN188" i="20"/>
  <c r="AJ188" i="20"/>
  <c r="AE188" i="20"/>
  <c r="AK188" i="20"/>
  <c r="AA188" i="20"/>
  <c r="AO169" i="20"/>
  <c r="AP169" i="20"/>
  <c r="Y169" i="20"/>
  <c r="AJ169" i="20"/>
  <c r="AK169" i="20"/>
  <c r="AF169" i="20"/>
  <c r="AC169" i="20"/>
  <c r="AH169" i="20"/>
  <c r="Z169" i="20"/>
  <c r="AA169" i="20"/>
  <c r="AD169" i="20"/>
  <c r="AL169" i="20"/>
  <c r="AE169" i="20"/>
  <c r="AB169" i="20"/>
  <c r="AP165" i="20"/>
  <c r="AO165" i="20"/>
  <c r="AF165" i="20"/>
  <c r="Y165" i="20"/>
  <c r="AL165" i="20"/>
  <c r="AK165" i="20"/>
  <c r="AB165" i="20"/>
  <c r="AN165" i="20"/>
  <c r="AH165" i="20"/>
  <c r="Z165" i="20"/>
  <c r="AJ165" i="20"/>
  <c r="AD165" i="20"/>
  <c r="AC165" i="20"/>
  <c r="AG165" i="20"/>
  <c r="AP159" i="20"/>
  <c r="AO159" i="20"/>
  <c r="AE159" i="20"/>
  <c r="AC159" i="20"/>
  <c r="AI159" i="20"/>
  <c r="AF159" i="20"/>
  <c r="AG159" i="20"/>
  <c r="AN159" i="20"/>
  <c r="Y159" i="20"/>
  <c r="AD159" i="20"/>
  <c r="Z159" i="20"/>
  <c r="AB159" i="20"/>
  <c r="AH159" i="20"/>
  <c r="AK159" i="20"/>
  <c r="I43" i="86" s="1"/>
  <c r="AO144" i="20"/>
  <c r="AP144" i="20"/>
  <c r="AA144" i="20"/>
  <c r="Y144" i="20"/>
  <c r="AG144" i="20"/>
  <c r="AC144" i="20"/>
  <c r="AB144" i="20"/>
  <c r="AD144" i="20"/>
  <c r="AL144" i="20"/>
  <c r="Z144" i="20"/>
  <c r="AN144" i="20"/>
  <c r="AF144" i="20"/>
  <c r="AI144" i="20"/>
  <c r="AP135" i="20"/>
  <c r="AO135" i="20"/>
  <c r="Z135" i="20"/>
  <c r="AJ135" i="20"/>
  <c r="AI135" i="20"/>
  <c r="AF135" i="20"/>
  <c r="AH135" i="20"/>
  <c r="Y135" i="20"/>
  <c r="AD135" i="20"/>
  <c r="AA135" i="20"/>
  <c r="AE135" i="20"/>
  <c r="AL135" i="20"/>
  <c r="AC135" i="20"/>
  <c r="AG135" i="20"/>
  <c r="AB135" i="20"/>
  <c r="AN135" i="20"/>
  <c r="AD125" i="20"/>
  <c r="AI125" i="20"/>
  <c r="AE125" i="20"/>
  <c r="AL125" i="20"/>
  <c r="AN125" i="20"/>
  <c r="AC125" i="20"/>
  <c r="Z125" i="20"/>
  <c r="AH125" i="20"/>
  <c r="AA125" i="20"/>
  <c r="AG125" i="20"/>
  <c r="Y125" i="20"/>
  <c r="AJ125" i="20"/>
  <c r="AO120" i="20"/>
  <c r="AP120" i="20"/>
  <c r="AC120" i="20"/>
  <c r="Z120" i="20"/>
  <c r="AF120" i="20"/>
  <c r="AB120" i="20"/>
  <c r="AL120" i="20"/>
  <c r="AD120" i="20"/>
  <c r="AN120" i="20"/>
  <c r="AI120" i="20"/>
  <c r="AJ120" i="20"/>
  <c r="AE120" i="20"/>
  <c r="Y120" i="20"/>
  <c r="AG120" i="20"/>
  <c r="AP115" i="20"/>
  <c r="AF115" i="20"/>
  <c r="AK115" i="20"/>
  <c r="Y115" i="20"/>
  <c r="AC115" i="20"/>
  <c r="AA115" i="20"/>
  <c r="AH115" i="20"/>
  <c r="AD115" i="20"/>
  <c r="Z115" i="20"/>
  <c r="AE115" i="20"/>
  <c r="AL115" i="20"/>
  <c r="AG115" i="20"/>
  <c r="AN115" i="20"/>
  <c r="AE105" i="20"/>
  <c r="AL105" i="20"/>
  <c r="AJ105" i="20"/>
  <c r="AD105" i="20"/>
  <c r="Z105" i="20"/>
  <c r="AH105" i="20"/>
  <c r="AF105" i="20"/>
  <c r="AA105" i="20"/>
  <c r="AN105" i="20"/>
  <c r="AC105" i="20"/>
  <c r="AK105" i="20"/>
  <c r="AB105" i="20"/>
  <c r="AB1158" i="20"/>
  <c r="AN1158" i="20"/>
  <c r="AD1158" i="20"/>
  <c r="AE1158" i="20"/>
  <c r="AL1158" i="20"/>
  <c r="AH1158" i="20"/>
  <c r="AJ1158" i="20"/>
  <c r="Z1158" i="20"/>
  <c r="AC1158" i="20"/>
  <c r="AI1158" i="20"/>
  <c r="AB1154" i="20"/>
  <c r="AF1154" i="20"/>
  <c r="AG1154" i="20"/>
  <c r="AA1154" i="20"/>
  <c r="AL1154" i="20"/>
  <c r="AC1154" i="20"/>
  <c r="AJ1150" i="20"/>
  <c r="AE1150" i="20"/>
  <c r="AD1150" i="20"/>
  <c r="AO1150" i="20"/>
  <c r="AH1150" i="20"/>
  <c r="AN1150" i="20"/>
  <c r="AL1150" i="20"/>
  <c r="AK1146" i="20"/>
  <c r="AB1146" i="20"/>
  <c r="AF1146" i="20"/>
  <c r="AO1146" i="20"/>
  <c r="AE1146" i="20"/>
  <c r="Y1146" i="20"/>
  <c r="AD1146" i="20"/>
  <c r="AA1164" i="20"/>
  <c r="AJ1164" i="20"/>
  <c r="Z1164" i="20"/>
  <c r="Y1164" i="20"/>
  <c r="AB1168" i="20"/>
  <c r="Y1168" i="20"/>
  <c r="AH1168" i="20"/>
  <c r="AP1168" i="20"/>
  <c r="AF1168" i="20"/>
  <c r="Z1168" i="20"/>
  <c r="AK1172" i="20"/>
  <c r="AI1172" i="20"/>
  <c r="AO1172" i="20"/>
  <c r="AE1172" i="20"/>
  <c r="AB1172" i="20"/>
  <c r="AN1176" i="20"/>
  <c r="AD1176" i="20"/>
  <c r="AH1176" i="20"/>
  <c r="AG1176" i="20"/>
  <c r="AO1176" i="20"/>
  <c r="AB1176" i="20"/>
  <c r="AL1176" i="20"/>
  <c r="AC1176" i="20"/>
  <c r="AE1176" i="20"/>
  <c r="AO975" i="20"/>
  <c r="AP975" i="20"/>
  <c r="AC975" i="20"/>
  <c r="AD975" i="20"/>
  <c r="AI975" i="20"/>
  <c r="AB975" i="20"/>
  <c r="AF975" i="20"/>
  <c r="AG975" i="20"/>
  <c r="AL975" i="20"/>
  <c r="AN975" i="20"/>
  <c r="AA975" i="20"/>
  <c r="AK975" i="20"/>
  <c r="AJ975" i="20"/>
  <c r="AE975" i="20"/>
  <c r="Y975" i="20"/>
  <c r="AH975" i="20"/>
  <c r="AL1039" i="20"/>
  <c r="AI1039" i="20"/>
  <c r="AB1039" i="20"/>
  <c r="AG1039" i="20"/>
  <c r="AN1039" i="20"/>
  <c r="AC1039" i="20"/>
  <c r="AF1039" i="20"/>
  <c r="Z1039" i="20"/>
  <c r="AE1039" i="20"/>
  <c r="AD1039" i="20"/>
  <c r="AH1039" i="20"/>
  <c r="AK1039" i="20"/>
  <c r="Y1039" i="20"/>
  <c r="AA1039" i="20"/>
  <c r="Y872" i="20"/>
  <c r="Z872" i="20"/>
  <c r="AH872" i="20"/>
  <c r="AL872" i="20"/>
  <c r="AK872" i="20"/>
  <c r="I81" i="86" s="1"/>
  <c r="L81" i="86" s="1"/>
  <c r="AD872" i="20"/>
  <c r="AC872" i="20"/>
  <c r="AO872" i="20"/>
  <c r="AE872" i="20"/>
  <c r="AJ872" i="20"/>
  <c r="H81" i="86" s="1"/>
  <c r="K81" i="86" s="1"/>
  <c r="AB1051" i="20"/>
  <c r="AF1051" i="20"/>
  <c r="AJ1051" i="20"/>
  <c r="AA1051" i="20"/>
  <c r="AG1051" i="20"/>
  <c r="AL1051" i="20"/>
  <c r="Z1051" i="20"/>
  <c r="Y1051" i="20"/>
  <c r="AH1051" i="20"/>
  <c r="AN1051" i="20"/>
  <c r="AD1051" i="20"/>
  <c r="AC1051" i="20"/>
  <c r="AI1051" i="20"/>
  <c r="AE1051" i="20"/>
  <c r="AK1051" i="20"/>
  <c r="AC1034" i="20"/>
  <c r="AD1034" i="20"/>
  <c r="AJ1034" i="20"/>
  <c r="Z1034" i="20"/>
  <c r="Y1034" i="20"/>
  <c r="AH1034" i="20"/>
  <c r="AG1034" i="20"/>
  <c r="AI1034" i="20"/>
  <c r="AB1034" i="20"/>
  <c r="AK1034" i="20"/>
  <c r="AL1034" i="20"/>
  <c r="AN1034" i="20"/>
  <c r="AF1034" i="20"/>
  <c r="AP904" i="20"/>
  <c r="AO904" i="20"/>
  <c r="Y904" i="20"/>
  <c r="AH904" i="20"/>
  <c r="AI904" i="20"/>
  <c r="AJ904" i="20"/>
  <c r="Z904" i="20"/>
  <c r="AK904" i="20"/>
  <c r="AG904" i="20"/>
  <c r="AD904" i="20"/>
  <c r="AE904" i="20"/>
  <c r="AB904" i="20"/>
  <c r="AN904" i="20"/>
  <c r="AF904" i="20"/>
  <c r="AA904" i="20"/>
  <c r="AA1035" i="20"/>
  <c r="AD1035" i="20"/>
  <c r="AB1035" i="20"/>
  <c r="AG1035" i="20"/>
  <c r="AJ1035" i="20"/>
  <c r="AE1035" i="20"/>
  <c r="AC1035" i="20"/>
  <c r="AI1035" i="20"/>
  <c r="AO1035" i="20"/>
  <c r="AO61" i="20"/>
  <c r="AP61" i="20"/>
  <c r="AF61" i="20"/>
  <c r="AN61" i="20"/>
  <c r="AJ61" i="20"/>
  <c r="AA61" i="20"/>
  <c r="AL61" i="20"/>
  <c r="AI61" i="20"/>
  <c r="AH61" i="20"/>
  <c r="AC61" i="20"/>
  <c r="AD61" i="20"/>
  <c r="Y61" i="20"/>
  <c r="AB61" i="20"/>
  <c r="AG61" i="20"/>
  <c r="AK61" i="20"/>
  <c r="AD59" i="20"/>
  <c r="AH59" i="20"/>
  <c r="AG59" i="20"/>
  <c r="AF59" i="20"/>
  <c r="AJ59" i="20"/>
  <c r="AN59" i="20"/>
  <c r="AE59" i="20"/>
  <c r="AB59" i="20"/>
  <c r="AP99" i="20"/>
  <c r="AL99" i="20"/>
  <c r="AC99" i="20"/>
  <c r="AA99" i="20"/>
  <c r="AN99" i="20"/>
  <c r="AO99" i="20"/>
  <c r="AJ99" i="20"/>
  <c r="AG99" i="20"/>
  <c r="AK99" i="20"/>
  <c r="Y99" i="20"/>
  <c r="Z99" i="20"/>
  <c r="AB99" i="20"/>
  <c r="AE99" i="20"/>
  <c r="AF99" i="20"/>
  <c r="AG101" i="20"/>
  <c r="AO101" i="20"/>
  <c r="AK101" i="20"/>
  <c r="AE101" i="20"/>
  <c r="AL101" i="20"/>
  <c r="AF101" i="20"/>
  <c r="AB101" i="20"/>
  <c r="AI101" i="20"/>
  <c r="Y101" i="20"/>
  <c r="AC101" i="20"/>
  <c r="AN101" i="20"/>
  <c r="AH101" i="20"/>
  <c r="AD101" i="20"/>
  <c r="AJ101" i="20"/>
  <c r="AP101" i="20"/>
  <c r="AP180" i="20"/>
  <c r="AO180" i="20"/>
  <c r="AE180" i="20"/>
  <c r="AK180" i="20"/>
  <c r="AL180" i="20"/>
  <c r="AC180" i="20"/>
  <c r="AN180" i="20"/>
  <c r="AF180" i="20"/>
  <c r="AH180" i="20"/>
  <c r="AB180" i="20"/>
  <c r="AD180" i="20"/>
  <c r="AI180" i="20"/>
  <c r="Z180" i="20"/>
  <c r="AA180" i="20"/>
  <c r="AJ180" i="20"/>
  <c r="Z52" i="20"/>
  <c r="AH52" i="20"/>
  <c r="AL52" i="20"/>
  <c r="AN52" i="20"/>
  <c r="AF52" i="20"/>
  <c r="AI52" i="20"/>
  <c r="AA52" i="20"/>
  <c r="AE52" i="20"/>
  <c r="AD52" i="20"/>
  <c r="AP106" i="20"/>
  <c r="AO106" i="20"/>
  <c r="AC106" i="20"/>
  <c r="Y106" i="20"/>
  <c r="AE106" i="20"/>
  <c r="AD106" i="20"/>
  <c r="AK106" i="20"/>
  <c r="AB106" i="20"/>
  <c r="AG97" i="20"/>
  <c r="Y97" i="20"/>
  <c r="AI97" i="20"/>
  <c r="AO97" i="20"/>
  <c r="AH97" i="20"/>
  <c r="AE97" i="20"/>
  <c r="AB97" i="20"/>
  <c r="AF182" i="20"/>
  <c r="AG182" i="20"/>
  <c r="AN182" i="20"/>
  <c r="AB182" i="20"/>
  <c r="AI182" i="20"/>
  <c r="AP182" i="20"/>
  <c r="Z182" i="20"/>
  <c r="AC182" i="20"/>
  <c r="AH182" i="20"/>
  <c r="AL182" i="20"/>
  <c r="AA182" i="20"/>
  <c r="AK182" i="20"/>
  <c r="AD182" i="20"/>
  <c r="AJ182" i="20"/>
  <c r="AE182" i="20"/>
  <c r="AB183" i="20"/>
  <c r="AJ183" i="20"/>
  <c r="Y183" i="20"/>
  <c r="AA183" i="20"/>
  <c r="AL183" i="20"/>
  <c r="AG183" i="20"/>
  <c r="AK183" i="20"/>
  <c r="AL162" i="20"/>
  <c r="AC162" i="20"/>
  <c r="AG162" i="20"/>
  <c r="Y162" i="20"/>
  <c r="AI162" i="20"/>
  <c r="AH162" i="20"/>
  <c r="AO162" i="20"/>
  <c r="AE162" i="20"/>
  <c r="AD162" i="20"/>
  <c r="AE1038" i="20"/>
  <c r="AB1038" i="20"/>
  <c r="AJ1038" i="20"/>
  <c r="AG1038" i="20"/>
  <c r="AF1038" i="20"/>
  <c r="AI1038" i="20"/>
  <c r="AA1038" i="20"/>
  <c r="AD1038" i="20"/>
  <c r="Z1038" i="20"/>
  <c r="AP1038" i="20"/>
  <c r="AK1038" i="20"/>
  <c r="Y1038" i="20"/>
  <c r="AL1038" i="20"/>
  <c r="AN1038" i="20"/>
  <c r="AC1038" i="20"/>
  <c r="AH1038" i="20"/>
  <c r="AP1036" i="20"/>
  <c r="AO1036" i="20"/>
  <c r="AI1036" i="20"/>
  <c r="AF1036" i="20"/>
  <c r="AG1036" i="20"/>
  <c r="AH1036" i="20"/>
  <c r="Y1036" i="20"/>
  <c r="AK1036" i="20"/>
  <c r="AB1036" i="20"/>
  <c r="AJ1036" i="20"/>
  <c r="AC1036" i="20"/>
  <c r="AD1036" i="20"/>
  <c r="AE1036" i="20"/>
  <c r="AL1036" i="20"/>
  <c r="AN1036" i="20"/>
  <c r="Z1036" i="20"/>
  <c r="AN874" i="20"/>
  <c r="AH874" i="20"/>
  <c r="AB874" i="20"/>
  <c r="AO874" i="20"/>
  <c r="AF874" i="20"/>
  <c r="Z874" i="20"/>
  <c r="AJ874" i="20"/>
  <c r="AA874" i="20"/>
  <c r="AE874" i="20"/>
  <c r="AL874" i="20"/>
  <c r="AD874" i="20"/>
  <c r="AG874" i="20"/>
  <c r="AK874" i="20"/>
  <c r="AI874" i="20"/>
  <c r="AC874" i="20"/>
  <c r="AP874" i="20"/>
  <c r="AP63" i="20"/>
  <c r="Y63" i="20"/>
  <c r="AN63" i="20"/>
  <c r="AB63" i="20"/>
  <c r="AE63" i="20"/>
  <c r="Z63" i="20"/>
  <c r="AJ63" i="20"/>
  <c r="AD63" i="20"/>
  <c r="AK63" i="20"/>
  <c r="AH63" i="20"/>
  <c r="AI63" i="20"/>
  <c r="AC63" i="20"/>
  <c r="AO63" i="20"/>
  <c r="AF63" i="20"/>
  <c r="AA63" i="20"/>
  <c r="AG63" i="20"/>
  <c r="AC103" i="20"/>
  <c r="AK103" i="20"/>
  <c r="AH103" i="20"/>
  <c r="AD103" i="20"/>
  <c r="AJ103" i="20"/>
  <c r="AA103" i="20"/>
  <c r="Z103" i="20"/>
  <c r="AF103" i="20"/>
  <c r="AE103" i="20"/>
  <c r="Y103" i="20"/>
  <c r="AI103" i="20"/>
  <c r="AN103" i="20"/>
  <c r="AL103" i="20"/>
  <c r="AG103" i="20"/>
  <c r="AB103" i="20"/>
  <c r="AP29" i="20"/>
  <c r="AJ29" i="20"/>
  <c r="AC29" i="20"/>
  <c r="AI29" i="20"/>
  <c r="AB29" i="20"/>
  <c r="AH29" i="20"/>
  <c r="AG29" i="20"/>
  <c r="Z29" i="20"/>
  <c r="AA29" i="20"/>
  <c r="AE29" i="20"/>
  <c r="AD29" i="20"/>
  <c r="AF29" i="20"/>
  <c r="AL29" i="20"/>
  <c r="AR1336" i="20"/>
  <c r="AT1336" i="20"/>
  <c r="AR1324" i="20"/>
  <c r="AT1324" i="20"/>
  <c r="AR1308" i="20"/>
  <c r="AT1308" i="20"/>
  <c r="AR1292" i="20"/>
  <c r="AT1292" i="20"/>
  <c r="AR1276" i="20"/>
  <c r="AT1276" i="20"/>
  <c r="AR1260" i="20"/>
  <c r="AT1260" i="20"/>
  <c r="AR1244" i="20"/>
  <c r="AT1244" i="20"/>
  <c r="AR1228" i="20"/>
  <c r="AT1228" i="20"/>
  <c r="AR1204" i="20"/>
  <c r="AT1204" i="20"/>
  <c r="AR1200" i="20"/>
  <c r="AT1200" i="20"/>
  <c r="AR1188" i="20"/>
  <c r="AT1188" i="20"/>
  <c r="AR1180" i="20"/>
  <c r="AT1180" i="20"/>
  <c r="AR1176" i="20"/>
  <c r="AT1176" i="20"/>
  <c r="AR1172" i="20"/>
  <c r="AT1172" i="20"/>
  <c r="AR1164" i="20"/>
  <c r="AT1164" i="20"/>
  <c r="AR1160" i="20"/>
  <c r="AT1160" i="20"/>
  <c r="AR1156" i="20"/>
  <c r="AT1156" i="20"/>
  <c r="AR1152" i="20"/>
  <c r="AT1152" i="20"/>
  <c r="AR1144" i="20"/>
  <c r="AT1144" i="20"/>
  <c r="AR1136" i="20"/>
  <c r="AT1136" i="20"/>
  <c r="Z1137" i="20"/>
  <c r="AP1137" i="20"/>
  <c r="AF1137" i="20"/>
  <c r="AK1137" i="20"/>
  <c r="AP1129" i="20"/>
  <c r="AE1129" i="20"/>
  <c r="AK1129" i="20"/>
  <c r="AI1129" i="20"/>
  <c r="AJ1129" i="20"/>
  <c r="AD1129" i="20"/>
  <c r="AN1129" i="20"/>
  <c r="AO1121" i="20"/>
  <c r="AI1121" i="20"/>
  <c r="AE1121" i="20"/>
  <c r="AA1121" i="20"/>
  <c r="AD1121" i="20"/>
  <c r="Y1113" i="20"/>
  <c r="AP1113" i="20"/>
  <c r="AF1113" i="20"/>
  <c r="AL1113" i="20"/>
  <c r="AA1113" i="20"/>
  <c r="AH1113" i="20"/>
  <c r="AB30" i="20"/>
  <c r="AH30" i="20"/>
  <c r="AA30" i="20"/>
  <c r="Y30" i="20"/>
  <c r="AG30" i="20"/>
  <c r="AC30" i="20"/>
  <c r="AK30" i="20"/>
  <c r="Z30" i="20"/>
  <c r="AL30" i="20"/>
  <c r="AJ30" i="20"/>
  <c r="H53" i="86" s="1"/>
  <c r="K53" i="86" s="1"/>
  <c r="AE30" i="20"/>
  <c r="AF30" i="20"/>
  <c r="AN30" i="20"/>
  <c r="AO30" i="20"/>
  <c r="AJ15" i="20"/>
  <c r="AG15" i="20"/>
  <c r="AK15" i="20"/>
  <c r="AH15" i="20"/>
  <c r="AA15" i="20"/>
  <c r="AD15" i="20"/>
  <c r="AL15" i="20"/>
  <c r="AP15" i="20"/>
  <c r="AI15" i="20"/>
  <c r="AB15" i="20"/>
  <c r="AE15" i="20"/>
  <c r="AO15" i="20"/>
  <c r="AN15" i="20"/>
  <c r="AC15" i="20"/>
  <c r="AF36" i="20"/>
  <c r="Y36" i="20"/>
  <c r="AC36" i="20"/>
  <c r="AE36" i="20"/>
  <c r="AN36" i="20"/>
  <c r="Z36" i="20"/>
  <c r="AO36" i="20"/>
  <c r="AH36" i="20"/>
  <c r="AG36" i="20"/>
  <c r="AA36" i="20"/>
  <c r="AJ36" i="20"/>
  <c r="AB36" i="20"/>
  <c r="AK36" i="20"/>
  <c r="AP1109" i="20"/>
  <c r="AE1109" i="20"/>
  <c r="AL1109" i="20"/>
  <c r="Y1109" i="20"/>
  <c r="AH1109" i="20"/>
  <c r="AC1109" i="20"/>
  <c r="Z1109" i="20"/>
  <c r="AA1109" i="20"/>
  <c r="AG1109" i="20"/>
  <c r="AN1109" i="20"/>
  <c r="AF1109" i="20"/>
  <c r="AK1109" i="20"/>
  <c r="I68" i="86" s="1"/>
  <c r="L68" i="86" s="1"/>
  <c r="AB1109" i="20"/>
  <c r="AJ1109" i="20"/>
  <c r="AP1101" i="20"/>
  <c r="Z1101" i="20"/>
  <c r="AH1101" i="20"/>
  <c r="AG1101" i="20"/>
  <c r="AO1101" i="20"/>
  <c r="AE1101" i="20"/>
  <c r="AJ1101" i="20"/>
  <c r="AD1101" i="20"/>
  <c r="AB1101" i="20"/>
  <c r="AC1101" i="20"/>
  <c r="AN1101" i="20"/>
  <c r="AI1101" i="20"/>
  <c r="AF1101" i="20"/>
  <c r="AL1101" i="20"/>
  <c r="AK1101" i="20"/>
  <c r="AP1093" i="20"/>
  <c r="AF1093" i="20"/>
  <c r="AA1093" i="20"/>
  <c r="AH1093" i="20"/>
  <c r="AE1093" i="20"/>
  <c r="Z1093" i="20"/>
  <c r="AL1093" i="20"/>
  <c r="AD1093" i="20"/>
  <c r="AJ1093" i="20"/>
  <c r="Y1093" i="20"/>
  <c r="AC1093" i="20"/>
  <c r="AK1093" i="20"/>
  <c r="AG1093" i="20"/>
  <c r="AI1093" i="20"/>
  <c r="AO1084" i="20"/>
  <c r="AH1084" i="20"/>
  <c r="AG1084" i="20"/>
  <c r="AF1084" i="20"/>
  <c r="AB1084" i="20"/>
  <c r="AP1084" i="20"/>
  <c r="AK1084" i="20"/>
  <c r="AD1084" i="20"/>
  <c r="Z1084" i="20"/>
  <c r="Y1084" i="20"/>
  <c r="AE1084" i="20"/>
  <c r="AI1084" i="20"/>
  <c r="AL1084" i="20"/>
  <c r="AN1084" i="20"/>
  <c r="AJ1073" i="20"/>
  <c r="AD1073" i="20"/>
  <c r="AA1073" i="20"/>
  <c r="Y1073" i="20"/>
  <c r="AK1073" i="20"/>
  <c r="AC1073" i="20"/>
  <c r="AB1073" i="20"/>
  <c r="AN1073" i="20"/>
  <c r="Z1073" i="20"/>
  <c r="AI1073" i="20"/>
  <c r="AG1073" i="20"/>
  <c r="AH1073" i="20"/>
  <c r="AP1073" i="20"/>
  <c r="AL1073" i="20"/>
  <c r="AF1073" i="20"/>
  <c r="AP1065" i="20"/>
  <c r="AO1065" i="20"/>
  <c r="AF1065" i="20"/>
  <c r="AB1065" i="20"/>
  <c r="Z1065" i="20"/>
  <c r="AL1065" i="20"/>
  <c r="AA1065" i="20"/>
  <c r="AI1065" i="20"/>
  <c r="Y1065" i="20"/>
  <c r="AC1065" i="20"/>
  <c r="AK1065" i="20"/>
  <c r="AN1065" i="20"/>
  <c r="AH1065" i="20"/>
  <c r="AE1065" i="20"/>
  <c r="AD1065" i="20"/>
  <c r="AP1053" i="20"/>
  <c r="Y1053" i="20"/>
  <c r="AJ1053" i="20"/>
  <c r="AL1053" i="20"/>
  <c r="AI1053" i="20"/>
  <c r="AF1053" i="20"/>
  <c r="AK1053" i="20"/>
  <c r="AG1053" i="20"/>
  <c r="AB1053" i="20"/>
  <c r="AC1053" i="20"/>
  <c r="AA1053" i="20"/>
  <c r="AN1053" i="20"/>
  <c r="Z1053" i="20"/>
  <c r="AE1053" i="20"/>
  <c r="AH1053" i="20"/>
  <c r="AO1045" i="20"/>
  <c r="AN1045" i="20"/>
  <c r="AA1045" i="20"/>
  <c r="AC1045" i="20"/>
  <c r="AL1045" i="20"/>
  <c r="AB1045" i="20"/>
  <c r="AG1045" i="20"/>
  <c r="AE1045" i="20"/>
  <c r="AH1045" i="20"/>
  <c r="AI1045" i="20"/>
  <c r="Y1045" i="20"/>
  <c r="AD1045" i="20"/>
  <c r="Z1045" i="20"/>
  <c r="AI1020" i="20"/>
  <c r="AF1020" i="20"/>
  <c r="Y1020" i="20"/>
  <c r="AL1020" i="20"/>
  <c r="AC1020" i="20"/>
  <c r="AG1020" i="20"/>
  <c r="AB1020" i="20"/>
  <c r="AE1020" i="20"/>
  <c r="AJ1020" i="20"/>
  <c r="AN1020" i="20"/>
  <c r="AA1020" i="20"/>
  <c r="AK1020" i="20"/>
  <c r="AH1020" i="20"/>
  <c r="AP1020" i="20"/>
  <c r="AD1020" i="20"/>
  <c r="AO1013" i="20"/>
  <c r="AI1013" i="20"/>
  <c r="Z1013" i="20"/>
  <c r="AE1013" i="20"/>
  <c r="AF1013" i="20"/>
  <c r="AC1013" i="20"/>
  <c r="AD1013" i="20"/>
  <c r="AH1013" i="20"/>
  <c r="AA1013" i="20"/>
  <c r="AL1013" i="20"/>
  <c r="AK1013" i="20"/>
  <c r="AG1013" i="20"/>
  <c r="AJ1013" i="20"/>
  <c r="AB1013" i="20"/>
  <c r="AP1004" i="20"/>
  <c r="AB1004" i="20"/>
  <c r="AL1004" i="20"/>
  <c r="AG1004" i="20"/>
  <c r="AN1004" i="20"/>
  <c r="AC1004" i="20"/>
  <c r="AH1004" i="20"/>
  <c r="AO1004" i="20"/>
  <c r="AE1004" i="20"/>
  <c r="Y1004" i="20"/>
  <c r="AK1004" i="20"/>
  <c r="AI1004" i="20"/>
  <c r="Z1004" i="20"/>
  <c r="AA1004" i="20"/>
  <c r="AJ1004" i="20"/>
  <c r="AF1004" i="20"/>
  <c r="AP998" i="20"/>
  <c r="AC998" i="20"/>
  <c r="AG998" i="20"/>
  <c r="AK998" i="20"/>
  <c r="AB998" i="20"/>
  <c r="AN998" i="20"/>
  <c r="AE998" i="20"/>
  <c r="AJ998" i="20"/>
  <c r="AH998" i="20"/>
  <c r="AA998" i="20"/>
  <c r="AD998" i="20"/>
  <c r="AL998" i="20"/>
  <c r="AI998" i="20"/>
  <c r="Z998" i="20"/>
  <c r="AI991" i="20"/>
  <c r="AF991" i="20"/>
  <c r="AC991" i="20"/>
  <c r="Z991" i="20"/>
  <c r="AE991" i="20"/>
  <c r="AL991" i="20"/>
  <c r="AO991" i="20"/>
  <c r="AD991" i="20"/>
  <c r="Y991" i="20"/>
  <c r="AN991" i="20"/>
  <c r="AK991" i="20"/>
  <c r="AH991" i="20"/>
  <c r="AJ991" i="20"/>
  <c r="AG991" i="20"/>
  <c r="AP991" i="20"/>
  <c r="AO983" i="20"/>
  <c r="AC983" i="20"/>
  <c r="AE983" i="20"/>
  <c r="AF983" i="20"/>
  <c r="AJ983" i="20"/>
  <c r="AB983" i="20"/>
  <c r="AK983" i="20"/>
  <c r="AL983" i="20"/>
  <c r="AD983" i="20"/>
  <c r="AA983" i="20"/>
  <c r="AN983" i="20"/>
  <c r="AG983" i="20"/>
  <c r="Z983" i="20"/>
  <c r="AI983" i="20"/>
  <c r="AP973" i="20"/>
  <c r="AN973" i="20"/>
  <c r="AF973" i="20"/>
  <c r="AA973" i="20"/>
  <c r="AD973" i="20"/>
  <c r="Y973" i="20"/>
  <c r="AI973" i="20"/>
  <c r="AE973" i="20"/>
  <c r="AB973" i="20"/>
  <c r="AK973" i="20"/>
  <c r="AL973" i="20"/>
  <c r="AG973" i="20"/>
  <c r="Z973" i="20"/>
  <c r="AJ973" i="20"/>
  <c r="AN958" i="20"/>
  <c r="AJ958" i="20"/>
  <c r="AD958" i="20"/>
  <c r="AG958" i="20"/>
  <c r="AC958" i="20"/>
  <c r="AH958" i="20"/>
  <c r="AO958" i="20"/>
  <c r="AK958" i="20"/>
  <c r="AF958" i="20"/>
  <c r="AA958" i="20"/>
  <c r="Y958" i="20"/>
  <c r="AL958" i="20"/>
  <c r="Z958" i="20"/>
  <c r="AI958" i="20"/>
  <c r="AJ949" i="20"/>
  <c r="AN949" i="20"/>
  <c r="Y949" i="20"/>
  <c r="Z949" i="20"/>
  <c r="AL949" i="20"/>
  <c r="AA949" i="20"/>
  <c r="AC949" i="20"/>
  <c r="AB949" i="20"/>
  <c r="AI949" i="20"/>
  <c r="AE949" i="20"/>
  <c r="AP949" i="20"/>
  <c r="AD949" i="20"/>
  <c r="AF949" i="20"/>
  <c r="AH949" i="20"/>
  <c r="AK949" i="20"/>
  <c r="AN945" i="20"/>
  <c r="AC945" i="20"/>
  <c r="Z945" i="20"/>
  <c r="AB945" i="20"/>
  <c r="AH945" i="20"/>
  <c r="Y945" i="20"/>
  <c r="AE945" i="20"/>
  <c r="AI945" i="20"/>
  <c r="AG945" i="20"/>
  <c r="AO945" i="20"/>
  <c r="AA945" i="20"/>
  <c r="AK945" i="20"/>
  <c r="AF945" i="20"/>
  <c r="AL945" i="20"/>
  <c r="AP945" i="20"/>
  <c r="AJ945" i="20"/>
  <c r="AL936" i="20"/>
  <c r="AA936" i="20"/>
  <c r="AH936" i="20"/>
  <c r="AP936" i="20"/>
  <c r="AI936" i="20"/>
  <c r="G94" i="86" s="1"/>
  <c r="J94" i="86" s="1"/>
  <c r="AE936" i="20"/>
  <c r="AB936" i="20"/>
  <c r="AO936" i="20"/>
  <c r="AK936" i="20"/>
  <c r="I94" i="86" s="1"/>
  <c r="L94" i="86" s="1"/>
  <c r="AJ936" i="20"/>
  <c r="AC936" i="20"/>
  <c r="Y936" i="20"/>
  <c r="AD936" i="20"/>
  <c r="Z936" i="20"/>
  <c r="AG936" i="20"/>
  <c r="AE929" i="20"/>
  <c r="AB929" i="20"/>
  <c r="AN929" i="20"/>
  <c r="Z929" i="20"/>
  <c r="AC929" i="20"/>
  <c r="AJ929" i="20"/>
  <c r="AK929" i="20"/>
  <c r="AL929" i="20"/>
  <c r="AD929" i="20"/>
  <c r="AA929" i="20"/>
  <c r="AG929" i="20"/>
  <c r="AO929" i="20"/>
  <c r="AH929" i="20"/>
  <c r="AF929" i="20"/>
  <c r="AP929" i="20"/>
  <c r="AN920" i="20"/>
  <c r="AF920" i="20"/>
  <c r="AE920" i="20"/>
  <c r="AH920" i="20"/>
  <c r="AP920" i="20"/>
  <c r="AK920" i="20"/>
  <c r="AG920" i="20"/>
  <c r="Y920" i="20"/>
  <c r="AL920" i="20"/>
  <c r="AA920" i="20"/>
  <c r="Z920" i="20"/>
  <c r="AC920" i="20"/>
  <c r="AJ920" i="20"/>
  <c r="AB920" i="20"/>
  <c r="AI912" i="20"/>
  <c r="AD912" i="20"/>
  <c r="AH912" i="20"/>
  <c r="AA912" i="20"/>
  <c r="AG912" i="20"/>
  <c r="AL912" i="20"/>
  <c r="AJ912" i="20"/>
  <c r="AE912" i="20"/>
  <c r="AC912" i="20"/>
  <c r="AB912" i="20"/>
  <c r="AN912" i="20"/>
  <c r="AK912" i="20"/>
  <c r="AF912" i="20"/>
  <c r="AO912" i="20"/>
  <c r="AI903" i="20"/>
  <c r="Y903" i="20"/>
  <c r="AC903" i="20"/>
  <c r="AD903" i="20"/>
  <c r="AN903" i="20"/>
  <c r="AB903" i="20"/>
  <c r="AE903" i="20"/>
  <c r="AK903" i="20"/>
  <c r="AH903" i="20"/>
  <c r="AJ903" i="20"/>
  <c r="AA903" i="20"/>
  <c r="AG903" i="20"/>
  <c r="AL903" i="20"/>
  <c r="AP895" i="20"/>
  <c r="AN895" i="20"/>
  <c r="AD895" i="20"/>
  <c r="AI895" i="20"/>
  <c r="AC895" i="20"/>
  <c r="Z895" i="20"/>
  <c r="AK895" i="20"/>
  <c r="AJ895" i="20"/>
  <c r="AG895" i="20"/>
  <c r="AE895" i="20"/>
  <c r="AH895" i="20"/>
  <c r="AF895" i="20"/>
  <c r="AA895" i="20"/>
  <c r="AL895" i="20"/>
  <c r="AB895" i="20"/>
  <c r="AL881" i="20"/>
  <c r="AD881" i="20"/>
  <c r="AB881" i="20"/>
  <c r="AJ881" i="20"/>
  <c r="AN881" i="20"/>
  <c r="AF881" i="20"/>
  <c r="AA881" i="20"/>
  <c r="AI881" i="20"/>
  <c r="AC881" i="20"/>
  <c r="AO881" i="20"/>
  <c r="Z881" i="20"/>
  <c r="AK881" i="20"/>
  <c r="AH881" i="20"/>
  <c r="AG881" i="20"/>
  <c r="AP881" i="20"/>
  <c r="AP870" i="20"/>
  <c r="AC870" i="20"/>
  <c r="Y870" i="20"/>
  <c r="Z870" i="20"/>
  <c r="AF870" i="20"/>
  <c r="AE870" i="20"/>
  <c r="AK870" i="20"/>
  <c r="AI870" i="20"/>
  <c r="AA870" i="20"/>
  <c r="AG870" i="20"/>
  <c r="AL870" i="20"/>
  <c r="AN870" i="20"/>
  <c r="AH870" i="20"/>
  <c r="AB870" i="20"/>
  <c r="AD870" i="20"/>
  <c r="AN862" i="20"/>
  <c r="AC862" i="20"/>
  <c r="AL862" i="20"/>
  <c r="AG862" i="20"/>
  <c r="AH862" i="20"/>
  <c r="AF862" i="20"/>
  <c r="AO862" i="20"/>
  <c r="AK862" i="20"/>
  <c r="AB862" i="20"/>
  <c r="Y862" i="20"/>
  <c r="AI862" i="20"/>
  <c r="AE862" i="20"/>
  <c r="AA862" i="20"/>
  <c r="AJ862" i="20"/>
  <c r="AK855" i="20"/>
  <c r="AD855" i="20"/>
  <c r="AC855" i="20"/>
  <c r="Z855" i="20"/>
  <c r="AL855" i="20"/>
  <c r="AB855" i="20"/>
  <c r="AF855" i="20"/>
  <c r="AH855" i="20"/>
  <c r="AN855" i="20"/>
  <c r="AI855" i="20"/>
  <c r="AG855" i="20"/>
  <c r="Y855" i="20"/>
  <c r="AJ855" i="20"/>
  <c r="AO855" i="20"/>
  <c r="AO845" i="20"/>
  <c r="AB845" i="20"/>
  <c r="Y845" i="20"/>
  <c r="AC845" i="20"/>
  <c r="AI845" i="20"/>
  <c r="AE845" i="20"/>
  <c r="AG845" i="20"/>
  <c r="AP845" i="20"/>
  <c r="AJ845" i="20"/>
  <c r="AH845" i="20"/>
  <c r="AD845" i="20"/>
  <c r="AL845" i="20"/>
  <c r="AN845" i="20"/>
  <c r="AF845" i="20"/>
  <c r="Z845" i="20"/>
  <c r="AA845" i="20"/>
  <c r="AP840" i="20"/>
  <c r="AN840" i="20"/>
  <c r="AA840" i="20"/>
  <c r="AJ840" i="20"/>
  <c r="AH840" i="20"/>
  <c r="Z840" i="20"/>
  <c r="AD840" i="20"/>
  <c r="AC840" i="20"/>
  <c r="AK840" i="20"/>
  <c r="AL840" i="20"/>
  <c r="AO840" i="20"/>
  <c r="AI840" i="20"/>
  <c r="AF840" i="20"/>
  <c r="AE840" i="20"/>
  <c r="AG840" i="20"/>
  <c r="AC835" i="20"/>
  <c r="AJ835" i="20"/>
  <c r="AA835" i="20"/>
  <c r="AD835" i="20"/>
  <c r="AF835" i="20"/>
  <c r="AI835" i="20"/>
  <c r="AB835" i="20"/>
  <c r="AL835" i="20"/>
  <c r="Z835" i="20"/>
  <c r="AH835" i="20"/>
  <c r="AN835" i="20"/>
  <c r="AE835" i="20"/>
  <c r="AK835" i="20"/>
  <c r="AP835" i="20"/>
  <c r="Y835" i="20"/>
  <c r="AN833" i="20"/>
  <c r="AA833" i="20"/>
  <c r="AH833" i="20"/>
  <c r="Z833" i="20"/>
  <c r="AK833" i="20"/>
  <c r="AB833" i="20"/>
  <c r="AD833" i="20"/>
  <c r="AO833" i="20"/>
  <c r="Y833" i="20"/>
  <c r="AL833" i="20"/>
  <c r="AI833" i="20"/>
  <c r="AJ833" i="20"/>
  <c r="AF833" i="20"/>
  <c r="AC833" i="20"/>
  <c r="AP833" i="20"/>
  <c r="AI812" i="20"/>
  <c r="AC812" i="20"/>
  <c r="AK812" i="20"/>
  <c r="Y812" i="20"/>
  <c r="AF812" i="20"/>
  <c r="AL812" i="20"/>
  <c r="AG812" i="20"/>
  <c r="AD812" i="20"/>
  <c r="AJ812" i="20"/>
  <c r="AP812" i="20"/>
  <c r="Z812" i="20"/>
  <c r="AN812" i="20"/>
  <c r="AB812" i="20"/>
  <c r="AE812" i="20"/>
  <c r="AH812" i="20"/>
  <c r="AI803" i="20"/>
  <c r="AN803" i="20"/>
  <c r="Y803" i="20"/>
  <c r="AF803" i="20"/>
  <c r="AJ803" i="20"/>
  <c r="AB803" i="20"/>
  <c r="Z803" i="20"/>
  <c r="AG803" i="20"/>
  <c r="AK803" i="20"/>
  <c r="AE803" i="20"/>
  <c r="AD803" i="20"/>
  <c r="AA803" i="20"/>
  <c r="AL803" i="20"/>
  <c r="AC803" i="20"/>
  <c r="AA796" i="20"/>
  <c r="AH796" i="20"/>
  <c r="AF796" i="20"/>
  <c r="AJ796" i="20"/>
  <c r="AK796" i="20"/>
  <c r="AI796" i="20"/>
  <c r="Y796" i="20"/>
  <c r="AC796" i="20"/>
  <c r="AE796" i="20"/>
  <c r="Z796" i="20"/>
  <c r="AB796" i="20"/>
  <c r="AD796" i="20"/>
  <c r="AL796" i="20"/>
  <c r="AN796" i="20"/>
  <c r="AP796" i="20"/>
  <c r="AN790" i="20"/>
  <c r="AF790" i="20"/>
  <c r="Y790" i="20"/>
  <c r="AD790" i="20"/>
  <c r="AI790" i="20"/>
  <c r="AL790" i="20"/>
  <c r="AK790" i="20"/>
  <c r="AH790" i="20"/>
  <c r="AE790" i="20"/>
  <c r="AG790" i="20"/>
  <c r="AJ790" i="20"/>
  <c r="Z790" i="20"/>
  <c r="AC790" i="20"/>
  <c r="AB790" i="20"/>
  <c r="AP790" i="20"/>
  <c r="AP779" i="20"/>
  <c r="AE779" i="20"/>
  <c r="AB779" i="20"/>
  <c r="AJ779" i="20"/>
  <c r="AK779" i="20"/>
  <c r="AA779" i="20"/>
  <c r="AD779" i="20"/>
  <c r="AI779" i="20"/>
  <c r="AL779" i="20"/>
  <c r="AH779" i="20"/>
  <c r="AC779" i="20"/>
  <c r="AG779" i="20"/>
  <c r="Y779" i="20"/>
  <c r="AN779" i="20"/>
  <c r="AF779" i="20"/>
  <c r="AO779" i="20"/>
  <c r="AD771" i="20"/>
  <c r="AA771" i="20"/>
  <c r="AJ771" i="20"/>
  <c r="AC771" i="20"/>
  <c r="AI771" i="20"/>
  <c r="Z771" i="20"/>
  <c r="AL771" i="20"/>
  <c r="AB771" i="20"/>
  <c r="AK771" i="20"/>
  <c r="AO771" i="20"/>
  <c r="Y771" i="20"/>
  <c r="AF771" i="20"/>
  <c r="AG771" i="20"/>
  <c r="AH771" i="20"/>
  <c r="AN771" i="20"/>
  <c r="AF762" i="20"/>
  <c r="AE762" i="20"/>
  <c r="AI762" i="20"/>
  <c r="Y762" i="20"/>
  <c r="AB762" i="20"/>
  <c r="AD762" i="20"/>
  <c r="AJ762" i="20"/>
  <c r="AL762" i="20"/>
  <c r="AK762" i="20"/>
  <c r="AG762" i="20"/>
  <c r="Z762" i="20"/>
  <c r="AN762" i="20"/>
  <c r="AO762" i="20"/>
  <c r="AH762" i="20"/>
  <c r="AA762" i="20"/>
  <c r="AP762" i="20"/>
  <c r="AF756" i="20"/>
  <c r="AJ756" i="20"/>
  <c r="Y756" i="20"/>
  <c r="AC756" i="20"/>
  <c r="AI756" i="20"/>
  <c r="AH756" i="20"/>
  <c r="AG756" i="20"/>
  <c r="AE756" i="20"/>
  <c r="AL756" i="20"/>
  <c r="AN756" i="20"/>
  <c r="AK756" i="20"/>
  <c r="AD756" i="20"/>
  <c r="AB756" i="20"/>
  <c r="Z756" i="20"/>
  <c r="AO756" i="20"/>
  <c r="AA756" i="20"/>
  <c r="AC748" i="20"/>
  <c r="AF748" i="20"/>
  <c r="AB748" i="20"/>
  <c r="AL748" i="20"/>
  <c r="AI748" i="20"/>
  <c r="AJ748" i="20"/>
  <c r="AG748" i="20"/>
  <c r="AO748" i="20"/>
  <c r="AE748" i="20"/>
  <c r="AA748" i="20"/>
  <c r="AD748" i="20"/>
  <c r="AP748" i="20"/>
  <c r="Z748" i="20"/>
  <c r="AN748" i="20"/>
  <c r="AK748" i="20"/>
  <c r="Y748" i="20"/>
  <c r="AF737" i="20"/>
  <c r="AA737" i="20"/>
  <c r="AK737" i="20"/>
  <c r="AL737" i="20"/>
  <c r="AE737" i="20"/>
  <c r="AI737" i="20"/>
  <c r="AH737" i="20"/>
  <c r="AN737" i="20"/>
  <c r="AG737" i="20"/>
  <c r="Z737" i="20"/>
  <c r="AC737" i="20"/>
  <c r="AB737" i="20"/>
  <c r="AP737" i="20"/>
  <c r="Y737" i="20"/>
  <c r="AJ737" i="20"/>
  <c r="Y730" i="20"/>
  <c r="AJ730" i="20"/>
  <c r="AB730" i="20"/>
  <c r="AN730" i="20"/>
  <c r="AI730" i="20"/>
  <c r="AC730" i="20"/>
  <c r="AA730" i="20"/>
  <c r="AK730" i="20"/>
  <c r="AE730" i="20"/>
  <c r="AH730" i="20"/>
  <c r="AL730" i="20"/>
  <c r="AF730" i="20"/>
  <c r="Z730" i="20"/>
  <c r="AO730" i="20"/>
  <c r="AG730" i="20"/>
  <c r="AP730" i="20"/>
  <c r="AD730" i="20"/>
  <c r="Y723" i="20"/>
  <c r="Z723" i="20"/>
  <c r="AD723" i="20"/>
  <c r="AC723" i="20"/>
  <c r="AA723" i="20"/>
  <c r="AH723" i="20"/>
  <c r="AF723" i="20"/>
  <c r="AN723" i="20"/>
  <c r="AI723" i="20"/>
  <c r="AE723" i="20"/>
  <c r="AG723" i="20"/>
  <c r="AL723" i="20"/>
  <c r="AK723" i="20"/>
  <c r="AO723" i="20"/>
  <c r="AJ723" i="20"/>
  <c r="AP715" i="20"/>
  <c r="AO715" i="20"/>
  <c r="AF715" i="20"/>
  <c r="AL715" i="20"/>
  <c r="Y715" i="20"/>
  <c r="AK715" i="20"/>
  <c r="Z715" i="20"/>
  <c r="AA715" i="20"/>
  <c r="AJ715" i="20"/>
  <c r="AB715" i="20"/>
  <c r="AC715" i="20"/>
  <c r="AD715" i="20"/>
  <c r="AE715" i="20"/>
  <c r="AH715" i="20"/>
  <c r="AI715" i="20"/>
  <c r="AN715" i="20"/>
  <c r="AP711" i="20"/>
  <c r="AO711" i="20"/>
  <c r="AA711" i="20"/>
  <c r="AE711" i="20"/>
  <c r="AG711" i="20"/>
  <c r="AD711" i="20"/>
  <c r="AF711" i="20"/>
  <c r="AB711" i="20"/>
  <c r="AI711" i="20"/>
  <c r="Y711" i="20"/>
  <c r="Z711" i="20"/>
  <c r="AL711" i="20"/>
  <c r="AC711" i="20"/>
  <c r="AH711" i="20"/>
  <c r="AJ711" i="20"/>
  <c r="AO700" i="20"/>
  <c r="AP700" i="20"/>
  <c r="AE700" i="20"/>
  <c r="AF700" i="20"/>
  <c r="AL700" i="20"/>
  <c r="AN700" i="20"/>
  <c r="AA700" i="20"/>
  <c r="AH700" i="20"/>
  <c r="AJ700" i="20"/>
  <c r="AB700" i="20"/>
  <c r="AD700" i="20"/>
  <c r="Z700" i="20"/>
  <c r="AK700" i="20"/>
  <c r="AC700" i="20"/>
  <c r="AO692" i="20"/>
  <c r="Y692" i="20"/>
  <c r="AP692" i="20"/>
  <c r="AH692" i="20"/>
  <c r="AK692" i="20"/>
  <c r="Z692" i="20"/>
  <c r="AA692" i="20"/>
  <c r="AI692" i="20"/>
  <c r="AF692" i="20"/>
  <c r="AB692" i="20"/>
  <c r="AN692" i="20"/>
  <c r="AL692" i="20"/>
  <c r="AG692" i="20"/>
  <c r="AC692" i="20"/>
  <c r="AP684" i="20"/>
  <c r="AO684" i="20"/>
  <c r="AE684" i="20"/>
  <c r="AF684" i="20"/>
  <c r="AL684" i="20"/>
  <c r="AG684" i="20"/>
  <c r="AI684" i="20"/>
  <c r="AH684" i="20"/>
  <c r="AK684" i="20"/>
  <c r="AB684" i="20"/>
  <c r="AD684" i="20"/>
  <c r="Z684" i="20"/>
  <c r="AC684" i="20"/>
  <c r="Y684" i="20"/>
  <c r="AJ684" i="20"/>
  <c r="AF680" i="20"/>
  <c r="Y680" i="20"/>
  <c r="AA680" i="20"/>
  <c r="AH680" i="20"/>
  <c r="AO680" i="20"/>
  <c r="AN680" i="20"/>
  <c r="AK680" i="20"/>
  <c r="AG680" i="20"/>
  <c r="AP680" i="20"/>
  <c r="AE680" i="20"/>
  <c r="AL680" i="20"/>
  <c r="AD680" i="20"/>
  <c r="AJ680" i="20"/>
  <c r="AC680" i="20"/>
  <c r="AI680" i="20"/>
  <c r="Z680" i="20"/>
  <c r="AP672" i="20"/>
  <c r="AO672" i="20"/>
  <c r="Z672" i="20"/>
  <c r="AC672" i="20"/>
  <c r="AG672" i="20"/>
  <c r="AI672" i="20"/>
  <c r="Y672" i="20"/>
  <c r="AL672" i="20"/>
  <c r="AH672" i="20"/>
  <c r="AN672" i="20"/>
  <c r="AJ672" i="20"/>
  <c r="AK672" i="20"/>
  <c r="AA672" i="20"/>
  <c r="AD672" i="20"/>
  <c r="AE672" i="20"/>
  <c r="AF672" i="20"/>
  <c r="AP664" i="20"/>
  <c r="AO664" i="20"/>
  <c r="AN664" i="20"/>
  <c r="AI664" i="20"/>
  <c r="AL664" i="20"/>
  <c r="AE664" i="20"/>
  <c r="AK664" i="20"/>
  <c r="AG664" i="20"/>
  <c r="AB664" i="20"/>
  <c r="Z664" i="20"/>
  <c r="AJ664" i="20"/>
  <c r="Y664" i="20"/>
  <c r="AF664" i="20"/>
  <c r="AH664" i="20"/>
  <c r="AD664" i="20"/>
  <c r="AP654" i="20"/>
  <c r="AO654" i="20"/>
  <c r="AN654" i="20"/>
  <c r="AG654" i="20"/>
  <c r="AF654" i="20"/>
  <c r="AB654" i="20"/>
  <c r="AK654" i="20"/>
  <c r="I52" i="86" s="1"/>
  <c r="L52" i="86" s="1"/>
  <c r="AA654" i="20"/>
  <c r="AC654" i="20"/>
  <c r="AE654" i="20"/>
  <c r="AJ654" i="20"/>
  <c r="H52" i="86" s="1"/>
  <c r="K52" i="86" s="1"/>
  <c r="Z654" i="20"/>
  <c r="AH654" i="20"/>
  <c r="AD654" i="20"/>
  <c r="AO647" i="20"/>
  <c r="Y647" i="20"/>
  <c r="AP647" i="20"/>
  <c r="AD647" i="20"/>
  <c r="AK647" i="20"/>
  <c r="I41" i="86" s="1"/>
  <c r="L41" i="86" s="1"/>
  <c r="AJ647" i="20"/>
  <c r="H41" i="86" s="1"/>
  <c r="K41" i="86" s="1"/>
  <c r="AN647" i="20"/>
  <c r="AB647" i="20"/>
  <c r="AF647" i="20"/>
  <c r="AE647" i="20"/>
  <c r="AI647" i="20"/>
  <c r="G41" i="86" s="1"/>
  <c r="AG647" i="20"/>
  <c r="AC647" i="20"/>
  <c r="AH647" i="20"/>
  <c r="AL647" i="20"/>
  <c r="AP640" i="20"/>
  <c r="AO640" i="20"/>
  <c r="AC640" i="20"/>
  <c r="AE640" i="20"/>
  <c r="AA640" i="20"/>
  <c r="AJ640" i="20"/>
  <c r="AI640" i="20"/>
  <c r="Z640" i="20"/>
  <c r="AF640" i="20"/>
  <c r="AB640" i="20"/>
  <c r="AN640" i="20"/>
  <c r="AG640" i="20"/>
  <c r="AL640" i="20"/>
  <c r="AK640" i="20"/>
  <c r="AH640" i="20"/>
  <c r="AP632" i="20"/>
  <c r="AO632" i="20"/>
  <c r="AN632" i="20"/>
  <c r="Z632" i="20"/>
  <c r="AK632" i="20"/>
  <c r="AD632" i="20"/>
  <c r="AB632" i="20"/>
  <c r="AJ632" i="20"/>
  <c r="AI632" i="20"/>
  <c r="AA632" i="20"/>
  <c r="AE632" i="20"/>
  <c r="AC632" i="20"/>
  <c r="AF632" i="20"/>
  <c r="Y632" i="20"/>
  <c r="AL632" i="20"/>
  <c r="AP624" i="20"/>
  <c r="AO624" i="20"/>
  <c r="Z624" i="20"/>
  <c r="AC624" i="20"/>
  <c r="AA624" i="20"/>
  <c r="AB624" i="20"/>
  <c r="Y624" i="20"/>
  <c r="AH624" i="20"/>
  <c r="AJ624" i="20"/>
  <c r="AL624" i="20"/>
  <c r="AK624" i="20"/>
  <c r="AE624" i="20"/>
  <c r="AI624" i="20"/>
  <c r="AG624" i="20"/>
  <c r="AP615" i="20"/>
  <c r="AN615" i="20"/>
  <c r="Z615" i="20"/>
  <c r="AG615" i="20"/>
  <c r="AJ615" i="20"/>
  <c r="AO615" i="20"/>
  <c r="AF615" i="20"/>
  <c r="AI615" i="20"/>
  <c r="AA615" i="20"/>
  <c r="AC615" i="20"/>
  <c r="AD615" i="20"/>
  <c r="AK615" i="20"/>
  <c r="AB615" i="20"/>
  <c r="AP609" i="20"/>
  <c r="AO609" i="20"/>
  <c r="AF609" i="20"/>
  <c r="AB609" i="20"/>
  <c r="AH609" i="20"/>
  <c r="Z609" i="20"/>
  <c r="AL609" i="20"/>
  <c r="AN609" i="20"/>
  <c r="AC609" i="20"/>
  <c r="AG609" i="20"/>
  <c r="Y609" i="20"/>
  <c r="AJ609" i="20"/>
  <c r="AE609" i="20"/>
  <c r="AK609" i="20"/>
  <c r="AP601" i="20"/>
  <c r="AO601" i="20"/>
  <c r="AI601" i="20"/>
  <c r="AB601" i="20"/>
  <c r="AA601" i="20"/>
  <c r="AC601" i="20"/>
  <c r="AJ601" i="20"/>
  <c r="AD601" i="20"/>
  <c r="Y601" i="20"/>
  <c r="AN601" i="20"/>
  <c r="AG601" i="20"/>
  <c r="AL601" i="20"/>
  <c r="Z601" i="20"/>
  <c r="AK601" i="20"/>
  <c r="AP590" i="20"/>
  <c r="AO590" i="20"/>
  <c r="AK590" i="20"/>
  <c r="AC590" i="20"/>
  <c r="AF590" i="20"/>
  <c r="AH590" i="20"/>
  <c r="AI590" i="20"/>
  <c r="AD590" i="20"/>
  <c r="AB590" i="20"/>
  <c r="AN590" i="20"/>
  <c r="AA590" i="20"/>
  <c r="AL590" i="20"/>
  <c r="Y590" i="20"/>
  <c r="AE590" i="20"/>
  <c r="AO583" i="20"/>
  <c r="Y583" i="20"/>
  <c r="AP583" i="20"/>
  <c r="AL583" i="20"/>
  <c r="AD583" i="20"/>
  <c r="AK583" i="20"/>
  <c r="AH583" i="20"/>
  <c r="AC583" i="20"/>
  <c r="AB583" i="20"/>
  <c r="AN583" i="20"/>
  <c r="AI583" i="20"/>
  <c r="AJ583" i="20"/>
  <c r="Z583" i="20"/>
  <c r="AA583" i="20"/>
  <c r="AP570" i="20"/>
  <c r="AO570" i="20"/>
  <c r="AK570" i="20"/>
  <c r="AN570" i="20"/>
  <c r="AC570" i="20"/>
  <c r="AA570" i="20"/>
  <c r="AI570" i="20"/>
  <c r="AF570" i="20"/>
  <c r="AL570" i="20"/>
  <c r="AD570" i="20"/>
  <c r="AJ570" i="20"/>
  <c r="Y570" i="20"/>
  <c r="AG570" i="20"/>
  <c r="AH570" i="20"/>
  <c r="AO564" i="20"/>
  <c r="AN564" i="20"/>
  <c r="Z564" i="20"/>
  <c r="Y564" i="20"/>
  <c r="AL564" i="20"/>
  <c r="AP564" i="20"/>
  <c r="AD564" i="20"/>
  <c r="AC564" i="20"/>
  <c r="AB564" i="20"/>
  <c r="AI564" i="20"/>
  <c r="AA564" i="20"/>
  <c r="AF564" i="20"/>
  <c r="AJ564" i="20"/>
  <c r="AE564" i="20"/>
  <c r="AP552" i="20"/>
  <c r="AN552" i="20"/>
  <c r="AH552" i="20"/>
  <c r="AE552" i="20"/>
  <c r="AF552" i="20"/>
  <c r="AK552" i="20"/>
  <c r="AB552" i="20"/>
  <c r="Y552" i="20"/>
  <c r="Z552" i="20"/>
  <c r="AC552" i="20"/>
  <c r="AD552" i="20"/>
  <c r="AA552" i="20"/>
  <c r="AJ552" i="20"/>
  <c r="AI552" i="20"/>
  <c r="AL552" i="20"/>
  <c r="AP547" i="20"/>
  <c r="AI547" i="20"/>
  <c r="AC547" i="20"/>
  <c r="AE547" i="20"/>
  <c r="AK547" i="20"/>
  <c r="I44" i="86" s="1"/>
  <c r="L44" i="86" s="1"/>
  <c r="AL547" i="20"/>
  <c r="AG547" i="20"/>
  <c r="AJ547" i="20"/>
  <c r="AF547" i="20"/>
  <c r="AH547" i="20"/>
  <c r="AB547" i="20"/>
  <c r="Y547" i="20"/>
  <c r="AA547" i="20"/>
  <c r="Z547" i="20"/>
  <c r="AJ536" i="20"/>
  <c r="Z536" i="20"/>
  <c r="AF536" i="20"/>
  <c r="AC536" i="20"/>
  <c r="AA536" i="20"/>
  <c r="AK536" i="20"/>
  <c r="AL536" i="20"/>
  <c r="AH536" i="20"/>
  <c r="AG536" i="20"/>
  <c r="AN536" i="20"/>
  <c r="Y536" i="20"/>
  <c r="AI536" i="20"/>
  <c r="AB542" i="20"/>
  <c r="AA542" i="20"/>
  <c r="AN542" i="20"/>
  <c r="AI542" i="20"/>
  <c r="AE542" i="20"/>
  <c r="AH542" i="20"/>
  <c r="AF542" i="20"/>
  <c r="Y542" i="20"/>
  <c r="AK542" i="20"/>
  <c r="Z542" i="20"/>
  <c r="AL542" i="20"/>
  <c r="AJ542" i="20"/>
  <c r="AP520" i="20"/>
  <c r="AI520" i="20"/>
  <c r="AC520" i="20"/>
  <c r="Y520" i="20"/>
  <c r="AH520" i="20"/>
  <c r="AN520" i="20"/>
  <c r="Z520" i="20"/>
  <c r="AA520" i="20"/>
  <c r="AJ520" i="20"/>
  <c r="AL520" i="20"/>
  <c r="AF520" i="20"/>
  <c r="AB520" i="20"/>
  <c r="AE520" i="20"/>
  <c r="AO515" i="20"/>
  <c r="AP515" i="20"/>
  <c r="AE515" i="20"/>
  <c r="Z515" i="20"/>
  <c r="AJ515" i="20"/>
  <c r="Y515" i="20"/>
  <c r="AL515" i="20"/>
  <c r="AN515" i="20"/>
  <c r="AF515" i="20"/>
  <c r="AI515" i="20"/>
  <c r="AA515" i="20"/>
  <c r="AB515" i="20"/>
  <c r="AK515" i="20"/>
  <c r="AG515" i="20"/>
  <c r="AP534" i="20"/>
  <c r="AC534" i="20"/>
  <c r="AD534" i="20"/>
  <c r="AB534" i="20"/>
  <c r="AN534" i="20"/>
  <c r="AF534" i="20"/>
  <c r="AE534" i="20"/>
  <c r="AO534" i="20"/>
  <c r="Z534" i="20"/>
  <c r="AI534" i="20"/>
  <c r="Y534" i="20"/>
  <c r="AA534" i="20"/>
  <c r="AK534" i="20"/>
  <c r="AJ534" i="20"/>
  <c r="AG504" i="20"/>
  <c r="AE504" i="20"/>
  <c r="AA504" i="20"/>
  <c r="AL504" i="20"/>
  <c r="AF504" i="20"/>
  <c r="Z504" i="20"/>
  <c r="AI504" i="20"/>
  <c r="AJ504" i="20"/>
  <c r="AC504" i="20"/>
  <c r="AD504" i="20"/>
  <c r="AK504" i="20"/>
  <c r="AH504" i="20"/>
  <c r="AP496" i="20"/>
  <c r="AJ496" i="20"/>
  <c r="Y496" i="20"/>
  <c r="AI496" i="20"/>
  <c r="Z496" i="20"/>
  <c r="AA496" i="20"/>
  <c r="AD496" i="20"/>
  <c r="AH496" i="20"/>
  <c r="AN496" i="20"/>
  <c r="AF496" i="20"/>
  <c r="AC496" i="20"/>
  <c r="AL496" i="20"/>
  <c r="AE496" i="20"/>
  <c r="AP488" i="20"/>
  <c r="AA488" i="20"/>
  <c r="AE488" i="20"/>
  <c r="AJ488" i="20"/>
  <c r="AI488" i="20"/>
  <c r="AD488" i="20"/>
  <c r="AF488" i="20"/>
  <c r="AN488" i="20"/>
  <c r="Y488" i="20"/>
  <c r="Z488" i="20"/>
  <c r="AG488" i="20"/>
  <c r="AC488" i="20"/>
  <c r="AL488" i="20"/>
  <c r="AP480" i="20"/>
  <c r="AO480" i="20"/>
  <c r="AE480" i="20"/>
  <c r="AC480" i="20"/>
  <c r="AA480" i="20"/>
  <c r="AJ480" i="20"/>
  <c r="Z480" i="20"/>
  <c r="AF480" i="20"/>
  <c r="AH480" i="20"/>
  <c r="Y480" i="20"/>
  <c r="AN480" i="20"/>
  <c r="AD480" i="20"/>
  <c r="AI480" i="20"/>
  <c r="AB480" i="20"/>
  <c r="AP472" i="20"/>
  <c r="AO472" i="20"/>
  <c r="AJ472" i="20"/>
  <c r="AD472" i="20"/>
  <c r="AH472" i="20"/>
  <c r="AB472" i="20"/>
  <c r="AC472" i="20"/>
  <c r="AF472" i="20"/>
  <c r="Y472" i="20"/>
  <c r="AE472" i="20"/>
  <c r="AI472" i="20"/>
  <c r="AG472" i="20"/>
  <c r="AN472" i="20"/>
  <c r="AL472" i="20"/>
  <c r="Y464" i="20"/>
  <c r="AK464" i="20"/>
  <c r="AE464" i="20"/>
  <c r="AG464" i="20"/>
  <c r="AD464" i="20"/>
  <c r="AH464" i="20"/>
  <c r="AC464" i="20"/>
  <c r="AI464" i="20"/>
  <c r="AL464" i="20"/>
  <c r="AN464" i="20"/>
  <c r="AJ464" i="20"/>
  <c r="AF464" i="20"/>
  <c r="AO456" i="20"/>
  <c r="Z456" i="20"/>
  <c r="AJ456" i="20"/>
  <c r="AB456" i="20"/>
  <c r="AG456" i="20"/>
  <c r="AE456" i="20"/>
  <c r="AP456" i="20"/>
  <c r="AN456" i="20"/>
  <c r="AF456" i="20"/>
  <c r="AL456" i="20"/>
  <c r="AI456" i="20"/>
  <c r="AA456" i="20"/>
  <c r="AD456" i="20"/>
  <c r="AH456" i="20"/>
  <c r="AL448" i="20"/>
  <c r="AN448" i="20"/>
  <c r="AC448" i="20"/>
  <c r="AH448" i="20"/>
  <c r="AA448" i="20"/>
  <c r="AJ448" i="20"/>
  <c r="AK448" i="20"/>
  <c r="AE448" i="20"/>
  <c r="AD448" i="20"/>
  <c r="AI448" i="20"/>
  <c r="Z448" i="20"/>
  <c r="AF448" i="20"/>
  <c r="AN440" i="20"/>
  <c r="AB440" i="20"/>
  <c r="AK440" i="20"/>
  <c r="AI440" i="20"/>
  <c r="AC440" i="20"/>
  <c r="AF440" i="20"/>
  <c r="Y440" i="20"/>
  <c r="AH440" i="20"/>
  <c r="AJ440" i="20"/>
  <c r="AD440" i="20"/>
  <c r="AE440" i="20"/>
  <c r="Z440" i="20"/>
  <c r="AK432" i="20"/>
  <c r="AD432" i="20"/>
  <c r="AE432" i="20"/>
  <c r="AJ432" i="20"/>
  <c r="AG432" i="20"/>
  <c r="AF432" i="20"/>
  <c r="AI432" i="20"/>
  <c r="Z432" i="20"/>
  <c r="AL432" i="20"/>
  <c r="AB432" i="20"/>
  <c r="AN432" i="20"/>
  <c r="AH432" i="20"/>
  <c r="AP424" i="20"/>
  <c r="AO424" i="20"/>
  <c r="AC424" i="20"/>
  <c r="AD424" i="20"/>
  <c r="AN424" i="20"/>
  <c r="AL424" i="20"/>
  <c r="AI424" i="20"/>
  <c r="Y424" i="20"/>
  <c r="AH424" i="20"/>
  <c r="AF424" i="20"/>
  <c r="AB424" i="20"/>
  <c r="AG424" i="20"/>
  <c r="AE424" i="20"/>
  <c r="Z424" i="20"/>
  <c r="AJ424" i="20"/>
  <c r="AO414" i="20"/>
  <c r="AB414" i="20"/>
  <c r="Z414" i="20"/>
  <c r="Y414" i="20"/>
  <c r="AG414" i="20"/>
  <c r="AL414" i="20"/>
  <c r="AK414" i="20"/>
  <c r="AH414" i="20"/>
  <c r="AF414" i="20"/>
  <c r="AE414" i="20"/>
  <c r="AJ414" i="20"/>
  <c r="AF408" i="20"/>
  <c r="AI408" i="20"/>
  <c r="AD408" i="20"/>
  <c r="AN408" i="20"/>
  <c r="AB408" i="20"/>
  <c r="AE408" i="20"/>
  <c r="AH408" i="20"/>
  <c r="AA408" i="20"/>
  <c r="AJ408" i="20"/>
  <c r="Z408" i="20"/>
  <c r="AC408" i="20"/>
  <c r="AK408" i="20"/>
  <c r="AP400" i="20"/>
  <c r="AO400" i="20"/>
  <c r="AF400" i="20"/>
  <c r="Y400" i="20"/>
  <c r="AJ400" i="20"/>
  <c r="AA400" i="20"/>
  <c r="AB400" i="20"/>
  <c r="AK400" i="20"/>
  <c r="Z400" i="20"/>
  <c r="AN400" i="20"/>
  <c r="AH400" i="20"/>
  <c r="AG400" i="20"/>
  <c r="AC400" i="20"/>
  <c r="AD400" i="20"/>
  <c r="AP392" i="20"/>
  <c r="AO392" i="20"/>
  <c r="AH392" i="20"/>
  <c r="Y392" i="20"/>
  <c r="AC392" i="20"/>
  <c r="AB392" i="20"/>
  <c r="AA392" i="20"/>
  <c r="AJ392" i="20"/>
  <c r="AN392" i="20"/>
  <c r="AI392" i="20"/>
  <c r="AL392" i="20"/>
  <c r="AK392" i="20"/>
  <c r="AD392" i="20"/>
  <c r="AG392" i="20"/>
  <c r="AP384" i="20"/>
  <c r="AO384" i="20"/>
  <c r="AL384" i="20"/>
  <c r="AB384" i="20"/>
  <c r="AC384" i="20"/>
  <c r="AI384" i="20"/>
  <c r="AN384" i="20"/>
  <c r="AG384" i="20"/>
  <c r="AD384" i="20"/>
  <c r="AK384" i="20"/>
  <c r="AH384" i="20"/>
  <c r="AF384" i="20"/>
  <c r="AA384" i="20"/>
  <c r="AJ384" i="20"/>
  <c r="Z384" i="20"/>
  <c r="AE384" i="20"/>
  <c r="AO376" i="20"/>
  <c r="AB376" i="20"/>
  <c r="AK376" i="20"/>
  <c r="AH376" i="20"/>
  <c r="AG376" i="20"/>
  <c r="AE376" i="20"/>
  <c r="Z376" i="20"/>
  <c r="AN376" i="20"/>
  <c r="AJ376" i="20"/>
  <c r="AL376" i="20"/>
  <c r="Y376" i="20"/>
  <c r="AA376" i="20"/>
  <c r="AI376" i="20"/>
  <c r="AC376" i="20"/>
  <c r="AP368" i="20"/>
  <c r="AO368" i="20"/>
  <c r="AN368" i="20"/>
  <c r="Z368" i="20"/>
  <c r="AI368" i="20"/>
  <c r="AG368" i="20"/>
  <c r="AF368" i="20"/>
  <c r="Y368" i="20"/>
  <c r="AL368" i="20"/>
  <c r="AB368" i="20"/>
  <c r="AH368" i="20"/>
  <c r="AE368" i="20"/>
  <c r="AJ368" i="20"/>
  <c r="AD368" i="20"/>
  <c r="AA368" i="20"/>
  <c r="AC368" i="20"/>
  <c r="AP361" i="20"/>
  <c r="AO361" i="20"/>
  <c r="AB361" i="20"/>
  <c r="AE361" i="20"/>
  <c r="Y361" i="20"/>
  <c r="AF361" i="20"/>
  <c r="AC361" i="20"/>
  <c r="AI361" i="20"/>
  <c r="AN361" i="20"/>
  <c r="AK361" i="20"/>
  <c r="AJ361" i="20"/>
  <c r="AG361" i="20"/>
  <c r="AL361" i="20"/>
  <c r="AA361" i="20"/>
  <c r="AH361" i="20"/>
  <c r="AD361" i="20"/>
  <c r="Z361" i="20"/>
  <c r="AP353" i="20"/>
  <c r="AO353" i="20"/>
  <c r="AI353" i="20"/>
  <c r="AA353" i="20"/>
  <c r="AD353" i="20"/>
  <c r="AN353" i="20"/>
  <c r="AF353" i="20"/>
  <c r="AJ353" i="20"/>
  <c r="AL353" i="20"/>
  <c r="AG353" i="20"/>
  <c r="Z353" i="20"/>
  <c r="AH353" i="20"/>
  <c r="Y353" i="20"/>
  <c r="AC353" i="20"/>
  <c r="AB353" i="20"/>
  <c r="AK353" i="20"/>
  <c r="AO349" i="20"/>
  <c r="AG349" i="20"/>
  <c r="AJ349" i="20"/>
  <c r="AP349" i="20"/>
  <c r="Y349" i="20"/>
  <c r="AD349" i="20"/>
  <c r="AL349" i="20"/>
  <c r="AC349" i="20"/>
  <c r="AF349" i="20"/>
  <c r="Z349" i="20"/>
  <c r="AE349" i="20"/>
  <c r="AI349" i="20"/>
  <c r="AA349" i="20"/>
  <c r="AK349" i="20"/>
  <c r="AH349" i="20"/>
  <c r="AN349" i="20"/>
  <c r="AP341" i="20"/>
  <c r="AO341" i="20"/>
  <c r="AL341" i="20"/>
  <c r="AH341" i="20"/>
  <c r="AI341" i="20"/>
  <c r="AC341" i="20"/>
  <c r="Z341" i="20"/>
  <c r="Y341" i="20"/>
  <c r="AJ341" i="20"/>
  <c r="AN341" i="20"/>
  <c r="AB341" i="20"/>
  <c r="AD341" i="20"/>
  <c r="AK341" i="20"/>
  <c r="AG341" i="20"/>
  <c r="AA341" i="20"/>
  <c r="AE341" i="20"/>
  <c r="AD333" i="20"/>
  <c r="AL333" i="20"/>
  <c r="AB333" i="20"/>
  <c r="AG333" i="20"/>
  <c r="AN333" i="20"/>
  <c r="AC333" i="20"/>
  <c r="AE333" i="20"/>
  <c r="Y333" i="20"/>
  <c r="Z333" i="20"/>
  <c r="AJ333" i="20"/>
  <c r="AF333" i="20"/>
  <c r="AP333" i="20"/>
  <c r="AK333" i="20"/>
  <c r="AH333" i="20"/>
  <c r="AA333" i="20"/>
  <c r="AP325" i="20"/>
  <c r="AO325" i="20"/>
  <c r="AJ325" i="20"/>
  <c r="AL325" i="20"/>
  <c r="AE325" i="20"/>
  <c r="AI325" i="20"/>
  <c r="AN325" i="20"/>
  <c r="AB325" i="20"/>
  <c r="AD325" i="20"/>
  <c r="AF325" i="20"/>
  <c r="AC325" i="20"/>
  <c r="AG325" i="20"/>
  <c r="Y325" i="20"/>
  <c r="AH325" i="20"/>
  <c r="AK325" i="20"/>
  <c r="AP317" i="20"/>
  <c r="AD317" i="20"/>
  <c r="AH317" i="20"/>
  <c r="AC317" i="20"/>
  <c r="AL317" i="20"/>
  <c r="AA317" i="20"/>
  <c r="AN317" i="20"/>
  <c r="Y317" i="20"/>
  <c r="AJ317" i="20"/>
  <c r="AG317" i="20"/>
  <c r="AO317" i="20"/>
  <c r="AE317" i="20"/>
  <c r="Z317" i="20"/>
  <c r="AI317" i="20"/>
  <c r="AB317" i="20"/>
  <c r="AJ313" i="20"/>
  <c r="AK313" i="20"/>
  <c r="AG313" i="20"/>
  <c r="AD313" i="20"/>
  <c r="AI313" i="20"/>
  <c r="AF313" i="20"/>
  <c r="Z313" i="20"/>
  <c r="AO313" i="20"/>
  <c r="AC313" i="20"/>
  <c r="AA313" i="20"/>
  <c r="AH313" i="20"/>
  <c r="AL313" i="20"/>
  <c r="AB313" i="20"/>
  <c r="AN313" i="20"/>
  <c r="AE313" i="20"/>
  <c r="AP313" i="20"/>
  <c r="Y305" i="20"/>
  <c r="AK305" i="20"/>
  <c r="AE305" i="20"/>
  <c r="AL305" i="20"/>
  <c r="AJ305" i="20"/>
  <c r="AC305" i="20"/>
  <c r="AD305" i="20"/>
  <c r="AN305" i="20"/>
  <c r="AI305" i="20"/>
  <c r="AB305" i="20"/>
  <c r="AA305" i="20"/>
  <c r="AG305" i="20"/>
  <c r="AH305" i="20"/>
  <c r="Z305" i="20"/>
  <c r="AP302" i="20"/>
  <c r="AO302" i="20"/>
  <c r="AA302" i="20"/>
  <c r="AN302" i="20"/>
  <c r="AC302" i="20"/>
  <c r="Z302" i="20"/>
  <c r="AE302" i="20"/>
  <c r="AD302" i="20"/>
  <c r="AK302" i="20"/>
  <c r="AI302" i="20"/>
  <c r="AG302" i="20"/>
  <c r="AH302" i="20"/>
  <c r="AJ302" i="20"/>
  <c r="AB302" i="20"/>
  <c r="AF302" i="20"/>
  <c r="AO298" i="20"/>
  <c r="AD298" i="20"/>
  <c r="AC298" i="20"/>
  <c r="AN298" i="20"/>
  <c r="Y298" i="20"/>
  <c r="AE298" i="20"/>
  <c r="Z298" i="20"/>
  <c r="AA298" i="20"/>
  <c r="AK298" i="20"/>
  <c r="AB298" i="20"/>
  <c r="AH298" i="20"/>
  <c r="AI298" i="20"/>
  <c r="AF298" i="20"/>
  <c r="AL298" i="20"/>
  <c r="AJ298" i="20"/>
  <c r="AP280" i="20"/>
  <c r="AO280" i="20"/>
  <c r="Y280" i="20"/>
  <c r="AJ280" i="20"/>
  <c r="AG280" i="20"/>
  <c r="AI280" i="20"/>
  <c r="AL280" i="20"/>
  <c r="AF280" i="20"/>
  <c r="AK280" i="20"/>
  <c r="AC280" i="20"/>
  <c r="AN280" i="20"/>
  <c r="AB280" i="20"/>
  <c r="Z280" i="20"/>
  <c r="AP271" i="20"/>
  <c r="AO271" i="20"/>
  <c r="AF271" i="20"/>
  <c r="AG271" i="20"/>
  <c r="AL271" i="20"/>
  <c r="AA271" i="20"/>
  <c r="Z271" i="20"/>
  <c r="Y271" i="20"/>
  <c r="AN271" i="20"/>
  <c r="AI271" i="20"/>
  <c r="AE271" i="20"/>
  <c r="AC271" i="20"/>
  <c r="AK271" i="20"/>
  <c r="AB271" i="20"/>
  <c r="AP264" i="20"/>
  <c r="AK264" i="20"/>
  <c r="AC264" i="20"/>
  <c r="AH264" i="20"/>
  <c r="Y264" i="20"/>
  <c r="AN264" i="20"/>
  <c r="AA264" i="20"/>
  <c r="Z264" i="20"/>
  <c r="AO264" i="20"/>
  <c r="AE264" i="20"/>
  <c r="AL264" i="20"/>
  <c r="AB264" i="20"/>
  <c r="AG264" i="20"/>
  <c r="AJ264" i="20"/>
  <c r="AO256" i="20"/>
  <c r="AI256" i="20"/>
  <c r="AF256" i="20"/>
  <c r="AN256" i="20"/>
  <c r="Y256" i="20"/>
  <c r="AC256" i="20"/>
  <c r="AK256" i="20"/>
  <c r="AH256" i="20"/>
  <c r="AB256" i="20"/>
  <c r="AL256" i="20"/>
  <c r="Z256" i="20"/>
  <c r="AJ256" i="20"/>
  <c r="AA256" i="20"/>
  <c r="AN248" i="20"/>
  <c r="AF248" i="20"/>
  <c r="AB248" i="20"/>
  <c r="AE248" i="20"/>
  <c r="Y248" i="20"/>
  <c r="Z248" i="20"/>
  <c r="AL248" i="20"/>
  <c r="AH248" i="20"/>
  <c r="AK248" i="20"/>
  <c r="AI248" i="20"/>
  <c r="AA248" i="20"/>
  <c r="AC248" i="20"/>
  <c r="AD248" i="20"/>
  <c r="AJ248" i="20"/>
  <c r="AA238" i="20"/>
  <c r="AB238" i="20"/>
  <c r="AG238" i="20"/>
  <c r="AD238" i="20"/>
  <c r="AI238" i="20"/>
  <c r="AN238" i="20"/>
  <c r="AE238" i="20"/>
  <c r="AF238" i="20"/>
  <c r="AK238" i="20"/>
  <c r="AH238" i="20"/>
  <c r="AJ238" i="20"/>
  <c r="Z238" i="20"/>
  <c r="Y238" i="20"/>
  <c r="AO221" i="20"/>
  <c r="AP221" i="20"/>
  <c r="AK221" i="20"/>
  <c r="AF221" i="20"/>
  <c r="AA221" i="20"/>
  <c r="Z221" i="20"/>
  <c r="AN221" i="20"/>
  <c r="AE221" i="20"/>
  <c r="AC221" i="20"/>
  <c r="AH221" i="20"/>
  <c r="AG221" i="20"/>
  <c r="AB221" i="20"/>
  <c r="AD221" i="20"/>
  <c r="AL221" i="20"/>
  <c r="Y221" i="20"/>
  <c r="AH214" i="20"/>
  <c r="Z214" i="20"/>
  <c r="AC214" i="20"/>
  <c r="AI214" i="20"/>
  <c r="AF214" i="20"/>
  <c r="AL214" i="20"/>
  <c r="AN214" i="20"/>
  <c r="AA214" i="20"/>
  <c r="AK214" i="20"/>
  <c r="AD214" i="20"/>
  <c r="AJ214" i="20"/>
  <c r="AG214" i="20"/>
  <c r="AE214" i="20"/>
  <c r="AP205" i="20"/>
  <c r="AC205" i="20"/>
  <c r="AA205" i="20"/>
  <c r="AH205" i="20"/>
  <c r="AI205" i="20"/>
  <c r="Y205" i="20"/>
  <c r="Z205" i="20"/>
  <c r="AN205" i="20"/>
  <c r="AJ205" i="20"/>
  <c r="AF205" i="20"/>
  <c r="AL205" i="20"/>
  <c r="AD205" i="20"/>
  <c r="AE205" i="20"/>
  <c r="AN196" i="20"/>
  <c r="AE196" i="20"/>
  <c r="AG196" i="20"/>
  <c r="Y196" i="20"/>
  <c r="Z196" i="20"/>
  <c r="AB196" i="20"/>
  <c r="AH196" i="20"/>
  <c r="AL196" i="20"/>
  <c r="AC196" i="20"/>
  <c r="AD196" i="20"/>
  <c r="AJ196" i="20"/>
  <c r="AK196" i="20"/>
  <c r="AP175" i="20"/>
  <c r="AO175" i="20"/>
  <c r="AL175" i="20"/>
  <c r="AI175" i="20"/>
  <c r="AE175" i="20"/>
  <c r="AA175" i="20"/>
  <c r="AC175" i="20"/>
  <c r="AB175" i="20"/>
  <c r="AD175" i="20"/>
  <c r="AF175" i="20"/>
  <c r="AJ175" i="20"/>
  <c r="AK175" i="20"/>
  <c r="AH175" i="20"/>
  <c r="Y175" i="20"/>
  <c r="Z175" i="20"/>
  <c r="AG21" i="20"/>
  <c r="AI21" i="20"/>
  <c r="AL171" i="20"/>
  <c r="AF86" i="20"/>
  <c r="AK66" i="20"/>
  <c r="AA66" i="20"/>
  <c r="AG66" i="20"/>
  <c r="AG712" i="20"/>
  <c r="AK698" i="20"/>
  <c r="Y686" i="20"/>
  <c r="Z678" i="20"/>
  <c r="AE670" i="20"/>
  <c r="AI655" i="20"/>
  <c r="G54" i="86" s="1"/>
  <c r="J54" i="86" s="1"/>
  <c r="AA657" i="20"/>
  <c r="AD634" i="20"/>
  <c r="AB626" i="20"/>
  <c r="AC618" i="20"/>
  <c r="AF606" i="20"/>
  <c r="AG594" i="20"/>
  <c r="Z586" i="20"/>
  <c r="AG576" i="20"/>
  <c r="AG558" i="20"/>
  <c r="AB551" i="20"/>
  <c r="AF533" i="20"/>
  <c r="Z522" i="20"/>
  <c r="AN513" i="20"/>
  <c r="AC506" i="20"/>
  <c r="AB498" i="20"/>
  <c r="AI490" i="20"/>
  <c r="AK482" i="20"/>
  <c r="Z471" i="20"/>
  <c r="AF462" i="20"/>
  <c r="AF450" i="20"/>
  <c r="AJ442" i="20"/>
  <c r="Y434" i="20"/>
  <c r="AF423" i="20"/>
  <c r="Y412" i="20"/>
  <c r="Y402" i="20"/>
  <c r="AN390" i="20"/>
  <c r="AN382" i="20"/>
  <c r="AA374" i="20"/>
  <c r="AJ366" i="20"/>
  <c r="AL286" i="20"/>
  <c r="AH278" i="20"/>
  <c r="AD273" i="20"/>
  <c r="AG266" i="20"/>
  <c r="Z262" i="20"/>
  <c r="AL252" i="20"/>
  <c r="AG246" i="20"/>
  <c r="AN239" i="20"/>
  <c r="Y219" i="20"/>
  <c r="AA213" i="20"/>
  <c r="AH211" i="20"/>
  <c r="AI203" i="20"/>
  <c r="AI199" i="20"/>
  <c r="AL192" i="20"/>
  <c r="AL185" i="20"/>
  <c r="Z163" i="20"/>
  <c r="AC164" i="20"/>
  <c r="AF138" i="20"/>
  <c r="AJ127" i="20"/>
  <c r="AB122" i="20"/>
  <c r="Y113" i="20"/>
  <c r="AK118" i="20"/>
  <c r="AJ258" i="20"/>
  <c r="AL506" i="20"/>
  <c r="AH538" i="20"/>
  <c r="AC526" i="20"/>
  <c r="AA702" i="20"/>
  <c r="AI442" i="20"/>
  <c r="AL638" i="20"/>
  <c r="Z642" i="20"/>
  <c r="AL471" i="20"/>
  <c r="AJ412" i="20"/>
  <c r="Z526" i="20"/>
  <c r="AA576" i="20"/>
  <c r="AD626" i="20"/>
  <c r="AP219" i="20"/>
  <c r="AP282" i="20"/>
  <c r="AP378" i="20"/>
  <c r="AJ394" i="20"/>
  <c r="AH406" i="20"/>
  <c r="AF418" i="20"/>
  <c r="Z428" i="20"/>
  <c r="AA442" i="20"/>
  <c r="AO442" i="20"/>
  <c r="AO458" i="20"/>
  <c r="AJ471" i="20"/>
  <c r="AL486" i="20"/>
  <c r="AI498" i="20"/>
  <c r="AG567" i="20"/>
  <c r="AC517" i="20"/>
  <c r="Y529" i="20"/>
  <c r="AO529" i="20"/>
  <c r="AC562" i="20"/>
  <c r="AP562" i="20"/>
  <c r="AO578" i="20"/>
  <c r="AJ591" i="20"/>
  <c r="AL602" i="20"/>
  <c r="AI610" i="20"/>
  <c r="AG630" i="20"/>
  <c r="AO630" i="20"/>
  <c r="AO657" i="20"/>
  <c r="AP655" i="20"/>
  <c r="AP670" i="20"/>
  <c r="AN686" i="20"/>
  <c r="AC702" i="20"/>
  <c r="AG1113" i="20"/>
  <c r="AE1113" i="20"/>
  <c r="AO1113" i="20"/>
  <c r="AB1125" i="20"/>
  <c r="Y1125" i="20"/>
  <c r="AP1125" i="20"/>
  <c r="AE1137" i="20"/>
  <c r="AO1137" i="20"/>
  <c r="AE1117" i="20"/>
  <c r="Y714" i="20"/>
  <c r="AC706" i="20"/>
  <c r="AB693" i="20"/>
  <c r="AG678" i="20"/>
  <c r="AA670" i="20"/>
  <c r="AA662" i="20"/>
  <c r="AD642" i="20"/>
  <c r="Z634" i="20"/>
  <c r="AK622" i="20"/>
  <c r="AH610" i="20"/>
  <c r="AN594" i="20"/>
  <c r="AD586" i="20"/>
  <c r="AA572" i="20"/>
  <c r="Y554" i="20"/>
  <c r="Y541" i="20"/>
  <c r="AF526" i="20"/>
  <c r="Y513" i="20"/>
  <c r="AG506" i="20"/>
  <c r="Z494" i="20"/>
  <c r="AH486" i="20"/>
  <c r="AN474" i="20"/>
  <c r="AL462" i="20"/>
  <c r="AN450" i="20"/>
  <c r="Y442" i="20"/>
  <c r="AB428" i="20"/>
  <c r="AB418" i="20"/>
  <c r="AE410" i="20"/>
  <c r="AF390" i="20"/>
  <c r="Y382" i="20"/>
  <c r="AB374" i="20"/>
  <c r="AD366" i="20"/>
  <c r="AD282" i="20"/>
  <c r="AN273" i="20"/>
  <c r="AD269" i="20"/>
  <c r="AF262" i="20"/>
  <c r="AJ252" i="20"/>
  <c r="AB250" i="20"/>
  <c r="AD239" i="20"/>
  <c r="AD234" i="20"/>
  <c r="AJ213" i="20"/>
  <c r="AA207" i="20"/>
  <c r="AD203" i="20"/>
  <c r="AJ195" i="20"/>
  <c r="Z192" i="20"/>
  <c r="Y173" i="20"/>
  <c r="AF163" i="20"/>
  <c r="AD157" i="20"/>
  <c r="AD138" i="20"/>
  <c r="AA127" i="20"/>
  <c r="AB117" i="20"/>
  <c r="AK113" i="20"/>
  <c r="AJ502" i="20"/>
  <c r="AI551" i="20"/>
  <c r="AL474" i="20"/>
  <c r="AI234" i="20"/>
  <c r="AB517" i="20"/>
  <c r="AI613" i="20"/>
  <c r="AJ402" i="20"/>
  <c r="AL693" i="20"/>
  <c r="AH402" i="20"/>
  <c r="AH418" i="20"/>
  <c r="AK662" i="20"/>
  <c r="AN517" i="20"/>
  <c r="AO118" i="20"/>
  <c r="AO164" i="20"/>
  <c r="AP211" i="20"/>
  <c r="AD250" i="20"/>
  <c r="AP262" i="20"/>
  <c r="AP370" i="20"/>
  <c r="AO386" i="20"/>
  <c r="AO402" i="20"/>
  <c r="AN412" i="20"/>
  <c r="AD426" i="20"/>
  <c r="AB438" i="20"/>
  <c r="AG450" i="20"/>
  <c r="AP450" i="20"/>
  <c r="AH478" i="20"/>
  <c r="AA494" i="20"/>
  <c r="AP494" i="20"/>
  <c r="AA513" i="20"/>
  <c r="AP513" i="20"/>
  <c r="AO522" i="20"/>
  <c r="AD554" i="20"/>
  <c r="AC576" i="20"/>
  <c r="AF586" i="20"/>
  <c r="AJ598" i="20"/>
  <c r="AN613" i="20"/>
  <c r="AO626" i="20"/>
  <c r="AP638" i="20"/>
  <c r="AO649" i="20"/>
  <c r="AO666" i="20"/>
  <c r="AP682" i="20"/>
  <c r="AJ693" i="20"/>
  <c r="AL712" i="20"/>
  <c r="AH1121" i="20"/>
  <c r="Y1121" i="20"/>
  <c r="AJ1121" i="20"/>
  <c r="AG1141" i="20"/>
  <c r="AK1141" i="20"/>
  <c r="AI1141" i="20"/>
  <c r="AF706" i="20"/>
  <c r="AK693" i="20"/>
  <c r="AD682" i="20"/>
  <c r="AB674" i="20"/>
  <c r="AH662" i="20"/>
  <c r="AA649" i="20"/>
  <c r="Y634" i="20"/>
  <c r="AK618" i="20"/>
  <c r="AB602" i="20"/>
  <c r="AN582" i="20"/>
  <c r="AF562" i="20"/>
  <c r="Y544" i="20"/>
  <c r="AD529" i="20"/>
  <c r="AC509" i="20"/>
  <c r="AF498" i="20"/>
  <c r="AA486" i="20"/>
  <c r="AI471" i="20"/>
  <c r="AK458" i="20"/>
  <c r="AE442" i="20"/>
  <c r="AE426" i="20"/>
  <c r="AF412" i="20"/>
  <c r="AN394" i="20"/>
  <c r="AF382" i="20"/>
  <c r="AB366" i="20"/>
  <c r="AI278" i="20"/>
  <c r="Z269" i="20"/>
  <c r="AG262" i="20"/>
  <c r="AA250" i="20"/>
  <c r="AB242" i="20"/>
  <c r="AG219" i="20"/>
  <c r="AD207" i="20"/>
  <c r="AH203" i="20"/>
  <c r="Y195" i="20"/>
  <c r="AD185" i="20"/>
  <c r="AJ164" i="20"/>
  <c r="Z138" i="20"/>
  <c r="AA122" i="20"/>
  <c r="AF113" i="20"/>
  <c r="AI582" i="20"/>
  <c r="AC471" i="20"/>
  <c r="AI466" i="20"/>
  <c r="AJ423" i="20"/>
  <c r="AB490" i="20"/>
  <c r="AC693" i="20"/>
  <c r="AI649" i="20"/>
  <c r="AL522" i="20"/>
  <c r="AL526" i="20"/>
  <c r="AH690" i="20"/>
  <c r="AD562" i="20"/>
  <c r="AC426" i="20"/>
  <c r="AN1137" i="20"/>
  <c r="AO113" i="20"/>
  <c r="AO157" i="20"/>
  <c r="AO195" i="20"/>
  <c r="AP239" i="20"/>
  <c r="AO258" i="20"/>
  <c r="AI374" i="20"/>
  <c r="AG382" i="20"/>
  <c r="AO390" i="20"/>
  <c r="AO399" i="20"/>
  <c r="AI423" i="20"/>
  <c r="AP434" i="20"/>
  <c r="AA455" i="20"/>
  <c r="AD462" i="20"/>
  <c r="AP474" i="20"/>
  <c r="AH490" i="20"/>
  <c r="AI502" i="20"/>
  <c r="AI509" i="20"/>
  <c r="AC538" i="20"/>
  <c r="AJ526" i="20"/>
  <c r="AO533" i="20"/>
  <c r="AF558" i="20"/>
  <c r="AB572" i="20"/>
  <c r="AE582" i="20"/>
  <c r="AD594" i="20"/>
  <c r="AN606" i="20"/>
  <c r="AN618" i="20"/>
  <c r="AJ622" i="20"/>
  <c r="AP634" i="20"/>
  <c r="AL652" i="20"/>
  <c r="AN662" i="20"/>
  <c r="AO674" i="20"/>
  <c r="AO678" i="20"/>
  <c r="AF698" i="20"/>
  <c r="AH706" i="20"/>
  <c r="AJ714" i="20"/>
  <c r="Y1117" i="20"/>
  <c r="AK1117" i="20"/>
  <c r="AO1117" i="20"/>
  <c r="AB1129" i="20"/>
  <c r="AF1129" i="20"/>
  <c r="AJ1133" i="20"/>
  <c r="AB1133" i="20"/>
  <c r="AB110" i="20"/>
  <c r="AP97" i="20"/>
  <c r="AP47" i="20"/>
  <c r="AP1035" i="20"/>
  <c r="AP17" i="20"/>
  <c r="AP723" i="20"/>
  <c r="AP307" i="20"/>
  <c r="AO1139" i="20"/>
  <c r="AJ953" i="20"/>
  <c r="AO803" i="20"/>
  <c r="AO916" i="20"/>
  <c r="AO1106" i="20"/>
  <c r="AD613" i="20"/>
  <c r="AC428" i="20"/>
  <c r="AC192" i="20"/>
  <c r="Z602" i="20"/>
  <c r="AK90" i="20"/>
  <c r="AH1154" i="20"/>
  <c r="AT1216" i="20"/>
  <c r="Z118" i="20"/>
  <c r="AK122" i="20"/>
  <c r="AJ163" i="20"/>
  <c r="AN203" i="20"/>
  <c r="AK219" i="20"/>
  <c r="Y250" i="20"/>
  <c r="AJ266" i="20"/>
  <c r="AL374" i="20"/>
  <c r="AA406" i="20"/>
  <c r="AB442" i="20"/>
  <c r="AD458" i="20"/>
  <c r="AH502" i="20"/>
  <c r="AK517" i="20"/>
  <c r="Z529" i="20"/>
  <c r="Y591" i="20"/>
  <c r="AE618" i="20"/>
  <c r="AN638" i="20"/>
  <c r="Y655" i="20"/>
  <c r="AF666" i="20"/>
  <c r="AH698" i="20"/>
  <c r="AB544" i="20"/>
  <c r="AA192" i="20"/>
  <c r="AI576" i="20"/>
  <c r="Z1035" i="20"/>
  <c r="Z183" i="20"/>
  <c r="AB162" i="20"/>
  <c r="AF1150" i="20"/>
  <c r="AF162" i="20"/>
  <c r="AI183" i="20"/>
  <c r="AF183" i="20"/>
  <c r="AD183" i="20"/>
  <c r="AL97" i="20"/>
  <c r="AF97" i="20"/>
  <c r="AH106" i="20"/>
  <c r="AI106" i="20"/>
  <c r="AJ52" i="20"/>
  <c r="AP52" i="20"/>
  <c r="AK47" i="20"/>
  <c r="Z90" i="20"/>
  <c r="Y90" i="20"/>
  <c r="AC59" i="20"/>
  <c r="AK59" i="20"/>
  <c r="AE89" i="20"/>
  <c r="AG89" i="20"/>
  <c r="AF140" i="20"/>
  <c r="AA140" i="20"/>
  <c r="AN77" i="20"/>
  <c r="AA77" i="20"/>
  <c r="AD86" i="20"/>
  <c r="AL86" i="20"/>
  <c r="AE888" i="20"/>
  <c r="AP888" i="20"/>
  <c r="AF1035" i="20"/>
  <c r="AP872" i="20"/>
  <c r="Y1176" i="20"/>
  <c r="AG1146" i="20"/>
  <c r="AF1158" i="20"/>
  <c r="Y164" i="20"/>
  <c r="AG234" i="20"/>
  <c r="AK262" i="20"/>
  <c r="AH386" i="20"/>
  <c r="AF426" i="20"/>
  <c r="AI478" i="20"/>
  <c r="AH541" i="20"/>
  <c r="AN576" i="20"/>
  <c r="Z613" i="20"/>
  <c r="AI686" i="20"/>
  <c r="AE714" i="20"/>
  <c r="AL16" i="20"/>
  <c r="AB246" i="20"/>
  <c r="AG438" i="20"/>
  <c r="AO1093" i="20"/>
  <c r="AP327" i="20"/>
  <c r="AP727" i="20"/>
  <c r="AP771" i="20"/>
  <c r="AO807" i="20"/>
  <c r="AP862" i="20"/>
  <c r="AP912" i="20"/>
  <c r="AP995" i="20"/>
  <c r="AP36" i="20"/>
  <c r="AP1115" i="20"/>
  <c r="AO1143" i="20"/>
  <c r="AC382" i="20"/>
  <c r="AO1038" i="20"/>
  <c r="AO22" i="20"/>
  <c r="AT372" i="20"/>
  <c r="AH753" i="20"/>
  <c r="Y765" i="20"/>
  <c r="AF807" i="20"/>
  <c r="AI115" i="20"/>
  <c r="AJ159" i="20"/>
  <c r="H43" i="86" s="1"/>
  <c r="K43" i="86" s="1"/>
  <c r="AG193" i="20"/>
  <c r="AH34" i="20"/>
  <c r="AA1137" i="20"/>
  <c r="AL72" i="20"/>
  <c r="AE70" i="20"/>
  <c r="AN72" i="20"/>
  <c r="AH120" i="20"/>
  <c r="AH144" i="20"/>
  <c r="AG169" i="20"/>
  <c r="AB193" i="20"/>
  <c r="AL217" i="20"/>
  <c r="AB38" i="20"/>
  <c r="Y11" i="20"/>
  <c r="AN81" i="20"/>
  <c r="Z61" i="20"/>
  <c r="AA81" i="20"/>
  <c r="AE941" i="20"/>
  <c r="AF977" i="20"/>
  <c r="AH879" i="20"/>
  <c r="AJ944" i="20"/>
  <c r="AG931" i="20"/>
  <c r="AC985" i="20"/>
  <c r="AJ1061" i="20"/>
  <c r="AI814" i="20"/>
  <c r="AG918" i="20"/>
  <c r="AH1032" i="20"/>
  <c r="AL1050" i="20"/>
  <c r="AN810" i="20"/>
  <c r="Y824" i="20"/>
  <c r="AA828" i="20"/>
  <c r="AE829" i="20"/>
  <c r="AE847" i="20"/>
  <c r="AK853" i="20"/>
  <c r="Z864" i="20"/>
  <c r="AA875" i="20"/>
  <c r="AJ879" i="20"/>
  <c r="AC893" i="20"/>
  <c r="AA901" i="20"/>
  <c r="AA910" i="20"/>
  <c r="AB918" i="20"/>
  <c r="AG927" i="20"/>
  <c r="AJ931" i="20"/>
  <c r="AF938" i="20"/>
  <c r="AB947" i="20"/>
  <c r="AA955" i="20"/>
  <c r="AK967" i="20"/>
  <c r="AK971" i="20"/>
  <c r="AE981" i="20"/>
  <c r="AG989" i="20"/>
  <c r="AK997" i="20"/>
  <c r="AN1001" i="20"/>
  <c r="AK1011" i="20"/>
  <c r="Z1018" i="20"/>
  <c r="AB1032" i="20"/>
  <c r="AG1061" i="20"/>
  <c r="AE1062" i="20"/>
  <c r="AN1067" i="20"/>
  <c r="AC1075" i="20"/>
  <c r="AC1086" i="20"/>
  <c r="AF1091" i="20"/>
  <c r="AB1094" i="20"/>
  <c r="AC1103" i="20"/>
  <c r="AK1107" i="20"/>
  <c r="I66" i="86" s="1"/>
  <c r="L66" i="86" s="1"/>
  <c r="AB1111" i="20"/>
  <c r="AL36" i="20"/>
  <c r="AE37" i="20"/>
  <c r="AC9" i="20"/>
  <c r="AI1123" i="20"/>
  <c r="AG1127" i="20"/>
  <c r="AI28" i="20"/>
  <c r="G47" i="86" s="1"/>
  <c r="J47" i="86" s="1"/>
  <c r="AD692" i="20"/>
  <c r="AH280" i="20"/>
  <c r="AH436" i="20"/>
  <c r="AK205" i="20"/>
  <c r="AB236" i="20"/>
  <c r="AF244" i="20"/>
  <c r="AI264" i="20"/>
  <c r="AJ271" i="20"/>
  <c r="AE280" i="20"/>
  <c r="AD364" i="20"/>
  <c r="AC372" i="20"/>
  <c r="AI388" i="20"/>
  <c r="Z392" i="20"/>
  <c r="AL408" i="20"/>
  <c r="AI414" i="20"/>
  <c r="AA432" i="20"/>
  <c r="AG440" i="20"/>
  <c r="Y456" i="20"/>
  <c r="Z464" i="20"/>
  <c r="AK472" i="20"/>
  <c r="AH488" i="20"/>
  <c r="AK496" i="20"/>
  <c r="AN504" i="20"/>
  <c r="AC515" i="20"/>
  <c r="AK520" i="20"/>
  <c r="AG542" i="20"/>
  <c r="AJ549" i="20"/>
  <c r="AI556" i="20"/>
  <c r="AK564" i="20"/>
  <c r="AF583" i="20"/>
  <c r="AG590" i="20"/>
  <c r="AE601" i="20"/>
  <c r="AH615" i="20"/>
  <c r="AD624" i="20"/>
  <c r="AG632" i="20"/>
  <c r="Z647" i="20"/>
  <c r="AN668" i="20"/>
  <c r="AN684" i="20"/>
  <c r="AJ713" i="20"/>
  <c r="AA816" i="20"/>
  <c r="Y837" i="20"/>
  <c r="AB849" i="20"/>
  <c r="AG866" i="20"/>
  <c r="AL891" i="20"/>
  <c r="AF903" i="20"/>
  <c r="AD920" i="20"/>
  <c r="AN936" i="20"/>
  <c r="AH965" i="20"/>
  <c r="Y983" i="20"/>
  <c r="AF998" i="20"/>
  <c r="AI1021" i="20"/>
  <c r="AF1059" i="20"/>
  <c r="AN1069" i="20"/>
  <c r="AB1093" i="20"/>
  <c r="AD1109" i="20"/>
  <c r="AC40" i="20"/>
  <c r="AJ144" i="20"/>
  <c r="Y193" i="20"/>
  <c r="AB214" i="20"/>
  <c r="AC238" i="20"/>
  <c r="AF253" i="20"/>
  <c r="AJ276" i="20"/>
  <c r="AK368" i="20"/>
  <c r="Z396" i="20"/>
  <c r="AN416" i="20"/>
  <c r="AA436" i="20"/>
  <c r="AG460" i="20"/>
  <c r="AH484" i="20"/>
  <c r="AL500" i="20"/>
  <c r="Z519" i="20"/>
  <c r="AD547" i="20"/>
  <c r="Y574" i="20"/>
  <c r="AF596" i="20"/>
  <c r="AG617" i="20"/>
  <c r="AG636" i="20"/>
  <c r="AB651" i="20"/>
  <c r="AB672" i="20"/>
  <c r="AA696" i="20"/>
  <c r="AN711" i="20"/>
  <c r="AG835" i="20"/>
  <c r="AE855" i="20"/>
  <c r="Y881" i="20"/>
  <c r="AN908" i="20"/>
  <c r="AB933" i="20"/>
  <c r="AB958" i="20"/>
  <c r="AJ987" i="20"/>
  <c r="Y1013" i="20"/>
  <c r="AK1045" i="20"/>
  <c r="AE1073" i="20"/>
  <c r="AH1097" i="20"/>
  <c r="AN11" i="20"/>
  <c r="AC798" i="20"/>
  <c r="AE794" i="20"/>
  <c r="AL302" i="20"/>
  <c r="AA309" i="20"/>
  <c r="AF321" i="20"/>
  <c r="AI333" i="20"/>
  <c r="Y345" i="20"/>
  <c r="AN357" i="20"/>
  <c r="AN734" i="20"/>
  <c r="AB755" i="20"/>
  <c r="AB777" i="20"/>
  <c r="AL801" i="20"/>
  <c r="AG1075" i="20"/>
  <c r="AH99" i="20"/>
  <c r="AH331" i="20"/>
  <c r="AB723" i="20"/>
  <c r="AE771" i="20"/>
  <c r="AJ1143" i="20"/>
  <c r="AF327" i="20"/>
  <c r="AH765" i="20"/>
  <c r="AB1131" i="20"/>
  <c r="Z975" i="20"/>
  <c r="AE885" i="20"/>
  <c r="AO752" i="20"/>
  <c r="AO182" i="20"/>
  <c r="AR618" i="20"/>
  <c r="AT618" i="20"/>
  <c r="AR639" i="20"/>
  <c r="AT639" i="20"/>
  <c r="AR683" i="20"/>
  <c r="AT683" i="20"/>
  <c r="AR745" i="20"/>
  <c r="AT745" i="20"/>
  <c r="AR762" i="20"/>
  <c r="AT762" i="20"/>
  <c r="AR759" i="20"/>
  <c r="AT759" i="20"/>
  <c r="AR794" i="20"/>
  <c r="AT794" i="20"/>
  <c r="AR788" i="20"/>
  <c r="AT788" i="20"/>
  <c r="AR804" i="20"/>
  <c r="AT804" i="20"/>
  <c r="AR828" i="20"/>
  <c r="AT828" i="20"/>
  <c r="AR867" i="20"/>
  <c r="AT867" i="20"/>
  <c r="AR875" i="20"/>
  <c r="AT875" i="20"/>
  <c r="AR956" i="20"/>
  <c r="AT956" i="20"/>
  <c r="AR959" i="20"/>
  <c r="AT959" i="20"/>
  <c r="AR963" i="20"/>
  <c r="AT963" i="20"/>
  <c r="AR977" i="20"/>
  <c r="AT977" i="20"/>
  <c r="AR1000" i="20"/>
  <c r="AT1000" i="20"/>
  <c r="AT77" i="20"/>
  <c r="AT121" i="20"/>
  <c r="AT57" i="20"/>
  <c r="AT641" i="20"/>
  <c r="AR1128" i="20"/>
  <c r="AT1128" i="20"/>
  <c r="AR7" i="20"/>
  <c r="AT7" i="20"/>
  <c r="AR40" i="20"/>
  <c r="AT40" i="20"/>
  <c r="AR10" i="20"/>
  <c r="AT10" i="20"/>
  <c r="AR15" i="20"/>
  <c r="AT15" i="20"/>
  <c r="I75" i="86"/>
  <c r="L75" i="86" s="1"/>
  <c r="G76" i="86"/>
  <c r="J76" i="86" s="1"/>
  <c r="AR29" i="20"/>
  <c r="AT29" i="20"/>
  <c r="AR33" i="20"/>
  <c r="AT33" i="20"/>
  <c r="AR41" i="20"/>
  <c r="AT41" i="20"/>
  <c r="AR48" i="20"/>
  <c r="AT48" i="20"/>
  <c r="AR60" i="20"/>
  <c r="AT60" i="20"/>
  <c r="AR65" i="20"/>
  <c r="AT65" i="20"/>
  <c r="AR70" i="20"/>
  <c r="AT70" i="20"/>
  <c r="AR80" i="20"/>
  <c r="AT80" i="20"/>
  <c r="AR93" i="20"/>
  <c r="AT93" i="20"/>
  <c r="AR96" i="20"/>
  <c r="AT96" i="20"/>
  <c r="AR107" i="20"/>
  <c r="AT107" i="20"/>
  <c r="AR109" i="20"/>
  <c r="AT109" i="20"/>
  <c r="AR113" i="20"/>
  <c r="AT113" i="20"/>
  <c r="AR132" i="20"/>
  <c r="AT132" i="20"/>
  <c r="AR139" i="20"/>
  <c r="AT139" i="20"/>
  <c r="AR145" i="20"/>
  <c r="AT145" i="20"/>
  <c r="AR152" i="20"/>
  <c r="AT152" i="20"/>
  <c r="AR166" i="20"/>
  <c r="AT166" i="20"/>
  <c r="AR185" i="20"/>
  <c r="AT185" i="20"/>
  <c r="AR191" i="20"/>
  <c r="AT191" i="20"/>
  <c r="AR202" i="20"/>
  <c r="AT202" i="20"/>
  <c r="AR220" i="20"/>
  <c r="AT220" i="20"/>
  <c r="AR227" i="20"/>
  <c r="AT227" i="20"/>
  <c r="AR237" i="20"/>
  <c r="AT237" i="20"/>
  <c r="AR256" i="20"/>
  <c r="AT256" i="20"/>
  <c r="AR244" i="20"/>
  <c r="AT244" i="20"/>
  <c r="AR266" i="20"/>
  <c r="AT266" i="20"/>
  <c r="AR283" i="20"/>
  <c r="AT283" i="20"/>
  <c r="AR316" i="20"/>
  <c r="AT316" i="20"/>
  <c r="AR301" i="20"/>
  <c r="AT301" i="20"/>
  <c r="AR297" i="20"/>
  <c r="AT297" i="20"/>
  <c r="AR287" i="20"/>
  <c r="AT287" i="20"/>
  <c r="AR335" i="20"/>
  <c r="AT335" i="20"/>
  <c r="AR345" i="20"/>
  <c r="AT345" i="20"/>
  <c r="AR357" i="20"/>
  <c r="AT357" i="20"/>
  <c r="AR391" i="20"/>
  <c r="AT391" i="20"/>
  <c r="AR394" i="20"/>
  <c r="AT394" i="20"/>
  <c r="AR408" i="20"/>
  <c r="AT408" i="20"/>
  <c r="AR421" i="20"/>
  <c r="AT421" i="20"/>
  <c r="AR445" i="20"/>
  <c r="AT445" i="20"/>
  <c r="AR450" i="20"/>
  <c r="AT450" i="20"/>
  <c r="AR452" i="20"/>
  <c r="AT452" i="20"/>
  <c r="AR466" i="20"/>
  <c r="AT466" i="20"/>
  <c r="AR469" i="20"/>
  <c r="AT469" i="20"/>
  <c r="AR471" i="20"/>
  <c r="AT471" i="20"/>
  <c r="AR482" i="20"/>
  <c r="AT482" i="20"/>
  <c r="AR497" i="20"/>
  <c r="AT497" i="20"/>
  <c r="AR577" i="20"/>
  <c r="AT577" i="20"/>
  <c r="AR528" i="20"/>
  <c r="AT528" i="20"/>
  <c r="AR525" i="20"/>
  <c r="AT525" i="20"/>
  <c r="AR516" i="20"/>
  <c r="AT516" i="20"/>
  <c r="AR582" i="20"/>
  <c r="AT582" i="20"/>
  <c r="AR587" i="20"/>
  <c r="AT587" i="20"/>
  <c r="AR597" i="20"/>
  <c r="AT597" i="20"/>
  <c r="AR615" i="20"/>
  <c r="AT615" i="20"/>
  <c r="AR617" i="20"/>
  <c r="AT617" i="20"/>
  <c r="AR633" i="20"/>
  <c r="AT633" i="20"/>
  <c r="AR643" i="20"/>
  <c r="AT643" i="20"/>
  <c r="AR656" i="20"/>
  <c r="AT656" i="20"/>
  <c r="AR661" i="20"/>
  <c r="AT661" i="20"/>
  <c r="AR668" i="20"/>
  <c r="AT668" i="20"/>
  <c r="AR664" i="20"/>
  <c r="AT664" i="20"/>
  <c r="AR676" i="20"/>
  <c r="AT676" i="20"/>
  <c r="AR681" i="20"/>
  <c r="AT681" i="20"/>
  <c r="AR692" i="20"/>
  <c r="AT692" i="20"/>
  <c r="AR689" i="20"/>
  <c r="AT689" i="20"/>
  <c r="AR695" i="20"/>
  <c r="AT695" i="20"/>
  <c r="AR706" i="20"/>
  <c r="AT706" i="20"/>
  <c r="AR717" i="20"/>
  <c r="AT717" i="20"/>
  <c r="AR707" i="20"/>
  <c r="AT707" i="20"/>
  <c r="AR729" i="20"/>
  <c r="AT729" i="20"/>
  <c r="AR752" i="20"/>
  <c r="AT752" i="20"/>
  <c r="AR764" i="20"/>
  <c r="AT764" i="20"/>
  <c r="AR761" i="20"/>
  <c r="AT761" i="20"/>
  <c r="AR770" i="20"/>
  <c r="AT770" i="20"/>
  <c r="AR783" i="20"/>
  <c r="AT783" i="20"/>
  <c r="AR790" i="20"/>
  <c r="AT790" i="20"/>
  <c r="AR786" i="20"/>
  <c r="AT786" i="20"/>
  <c r="AR813" i="20"/>
  <c r="AT813" i="20"/>
  <c r="AR849" i="20"/>
  <c r="AT849" i="20"/>
  <c r="AR845" i="20"/>
  <c r="AT845" i="20"/>
  <c r="AR837" i="20"/>
  <c r="AT837" i="20"/>
  <c r="AR835" i="20"/>
  <c r="AT835" i="20"/>
  <c r="AR856" i="20"/>
  <c r="AT856" i="20"/>
  <c r="AT295" i="20"/>
  <c r="AT217" i="20"/>
  <c r="AT377" i="20"/>
  <c r="AT353" i="20"/>
  <c r="AT492" i="20"/>
  <c r="AT284" i="20"/>
  <c r="AT308" i="20"/>
  <c r="AT52" i="20"/>
  <c r="AT548" i="20"/>
  <c r="AR1008" i="20"/>
  <c r="AT1008" i="20"/>
  <c r="AR1021" i="20"/>
  <c r="AT1021" i="20"/>
  <c r="AR1043" i="20"/>
  <c r="AT1043" i="20"/>
  <c r="AR1063" i="20"/>
  <c r="AT1063" i="20"/>
  <c r="AR1068" i="20"/>
  <c r="AT1068" i="20"/>
  <c r="AR1097" i="20"/>
  <c r="AT1097" i="20"/>
  <c r="AB559" i="20"/>
  <c r="AE559" i="20"/>
  <c r="AG559" i="20"/>
  <c r="AD559" i="20"/>
  <c r="AH559" i="20"/>
  <c r="AO559" i="20"/>
  <c r="AN559" i="20"/>
  <c r="AK559" i="20"/>
  <c r="AJ559" i="20"/>
  <c r="AI559" i="20"/>
  <c r="AL561" i="20"/>
  <c r="AI561" i="20"/>
  <c r="AN561" i="20"/>
  <c r="AP561" i="20"/>
  <c r="AO561" i="20"/>
  <c r="AI1074" i="20"/>
  <c r="AH905" i="20"/>
  <c r="AI1031" i="20"/>
  <c r="AL882" i="20"/>
  <c r="AG999" i="20"/>
  <c r="AJ589" i="20"/>
  <c r="AH896" i="20"/>
  <c r="AH344" i="20"/>
  <c r="AO1054" i="20"/>
  <c r="AO1104" i="20"/>
  <c r="AO787" i="20"/>
  <c r="AO760" i="20"/>
  <c r="AO731" i="20"/>
  <c r="AO344" i="20"/>
  <c r="AO312" i="20"/>
  <c r="AP295" i="20"/>
  <c r="AP831" i="20"/>
  <c r="AP937" i="20"/>
  <c r="AP984" i="20"/>
  <c r="AR914" i="20"/>
  <c r="AT914" i="20"/>
  <c r="AR950" i="20"/>
  <c r="AT950" i="20"/>
  <c r="AR1040" i="20"/>
  <c r="AT1040" i="20"/>
  <c r="AR1048" i="20"/>
  <c r="AT1048" i="20"/>
  <c r="AP8" i="20"/>
  <c r="AO8" i="20"/>
  <c r="AK8" i="20"/>
  <c r="AG8" i="20"/>
  <c r="AO18" i="20"/>
  <c r="AK18" i="20"/>
  <c r="AI18" i="20"/>
  <c r="AP24" i="20"/>
  <c r="AI24" i="20"/>
  <c r="AK24" i="20"/>
  <c r="AP1110" i="20"/>
  <c r="AO1110" i="20"/>
  <c r="AO1098" i="20"/>
  <c r="AP1098" i="20"/>
  <c r="AP1082" i="20"/>
  <c r="AO1082" i="20"/>
  <c r="AP1074" i="20"/>
  <c r="AG1074" i="20"/>
  <c r="AP1066" i="20"/>
  <c r="AH1066" i="20"/>
  <c r="AE1066" i="20"/>
  <c r="AO1060" i="20"/>
  <c r="AP1060" i="20"/>
  <c r="AL1060" i="20"/>
  <c r="AK1060" i="20"/>
  <c r="AP1031" i="20"/>
  <c r="AO1031" i="20"/>
  <c r="AB1022" i="20"/>
  <c r="AP1022" i="20"/>
  <c r="AO1022" i="20"/>
  <c r="AC1014" i="20"/>
  <c r="AK1014" i="20"/>
  <c r="AH1014" i="20"/>
  <c r="AP1005" i="20"/>
  <c r="AH1005" i="20"/>
  <c r="AP999" i="20"/>
  <c r="AK999" i="20"/>
  <c r="AP996" i="20"/>
  <c r="AO996" i="20"/>
  <c r="Z996" i="20"/>
  <c r="AJ996" i="20"/>
  <c r="AP988" i="20"/>
  <c r="AO988" i="20"/>
  <c r="AP980" i="20"/>
  <c r="AO980" i="20"/>
  <c r="AJ980" i="20"/>
  <c r="AP974" i="20"/>
  <c r="AJ974" i="20"/>
  <c r="AP970" i="20"/>
  <c r="AO970" i="20"/>
  <c r="AP950" i="20"/>
  <c r="AO950" i="20"/>
  <c r="AJ950" i="20"/>
  <c r="AP940" i="20"/>
  <c r="AC940" i="20"/>
  <c r="AP934" i="20"/>
  <c r="AB934" i="20"/>
  <c r="AL934" i="20"/>
  <c r="AP930" i="20"/>
  <c r="AO930" i="20"/>
  <c r="AP926" i="20"/>
  <c r="AO926" i="20"/>
  <c r="AH926" i="20"/>
  <c r="AO921" i="20"/>
  <c r="AL921" i="20"/>
  <c r="AP913" i="20"/>
  <c r="AO913" i="20"/>
  <c r="AK913" i="20"/>
  <c r="I83" i="86" s="1"/>
  <c r="L83" i="86" s="1"/>
  <c r="AP909" i="20"/>
  <c r="AJ909" i="20"/>
  <c r="AP900" i="20"/>
  <c r="AO900" i="20"/>
  <c r="AL900" i="20"/>
  <c r="AP892" i="20"/>
  <c r="AB892" i="20"/>
  <c r="AO882" i="20"/>
  <c r="AK882" i="20"/>
  <c r="AO878" i="20"/>
  <c r="AI878" i="20"/>
  <c r="AP867" i="20"/>
  <c r="AO867" i="20"/>
  <c r="AH867" i="20"/>
  <c r="AO852" i="20"/>
  <c r="Z852" i="20"/>
  <c r="AP844" i="20"/>
  <c r="AO844" i="20"/>
  <c r="AJ844" i="20"/>
  <c r="AO841" i="20"/>
  <c r="AP841" i="20"/>
  <c r="AP838" i="20"/>
  <c r="AO838" i="20"/>
  <c r="Z838" i="20"/>
  <c r="AN836" i="20"/>
  <c r="AJ836" i="20"/>
  <c r="AP823" i="20"/>
  <c r="AL823" i="20"/>
  <c r="AP817" i="20"/>
  <c r="AL817" i="20"/>
  <c r="AN817" i="20"/>
  <c r="AP797" i="20"/>
  <c r="AO797" i="20"/>
  <c r="AP793" i="20"/>
  <c r="AO793" i="20"/>
  <c r="AP772" i="20"/>
  <c r="AO772" i="20"/>
  <c r="AO751" i="20"/>
  <c r="AP751" i="20"/>
  <c r="AO742" i="20"/>
  <c r="AJ742" i="20"/>
  <c r="AP724" i="20"/>
  <c r="AO724" i="20"/>
  <c r="AP710" i="20"/>
  <c r="AO710" i="20"/>
  <c r="AP708" i="20"/>
  <c r="AC708" i="20"/>
  <c r="AP701" i="20"/>
  <c r="AO701" i="20"/>
  <c r="AF701" i="20"/>
  <c r="AG701" i="20"/>
  <c r="AP694" i="20"/>
  <c r="AO694" i="20"/>
  <c r="AP688" i="20"/>
  <c r="AK688" i="20"/>
  <c r="AF688" i="20"/>
  <c r="AO685" i="20"/>
  <c r="AB685" i="20"/>
  <c r="AP673" i="20"/>
  <c r="AO673" i="20"/>
  <c r="AD673" i="20"/>
  <c r="AP669" i="20"/>
  <c r="AO669" i="20"/>
  <c r="AP665" i="20"/>
  <c r="Z665" i="20"/>
  <c r="AP661" i="20"/>
  <c r="AI661" i="20"/>
  <c r="AP585" i="20"/>
  <c r="AH585" i="20"/>
  <c r="AO571" i="20"/>
  <c r="AP571" i="20"/>
  <c r="AB571" i="20"/>
  <c r="AP575" i="20"/>
  <c r="AO575" i="20"/>
  <c r="AL575" i="20"/>
  <c r="AP565" i="20"/>
  <c r="AO565" i="20"/>
  <c r="AO467" i="20"/>
  <c r="AG467" i="20"/>
  <c r="AO387" i="20"/>
  <c r="AI387" i="20"/>
  <c r="AP356" i="20"/>
  <c r="AO356" i="20"/>
  <c r="AP352" i="20"/>
  <c r="AO352" i="20"/>
  <c r="AP336" i="20"/>
  <c r="AO336" i="20"/>
  <c r="AO328" i="20"/>
  <c r="AP328" i="20"/>
  <c r="AP320" i="20"/>
  <c r="AO320" i="20"/>
  <c r="AP308" i="20"/>
  <c r="AO308" i="20"/>
  <c r="AP297" i="20"/>
  <c r="AO297" i="20"/>
  <c r="AP216" i="20"/>
  <c r="AO216" i="20"/>
  <c r="AO1247" i="20"/>
  <c r="AP1247" i="20"/>
  <c r="Z1217" i="20"/>
  <c r="AP1217" i="20"/>
  <c r="AO1277" i="20"/>
  <c r="AP1277" i="20"/>
  <c r="AO1314" i="20"/>
  <c r="AP1314" i="20"/>
  <c r="AO788" i="20"/>
  <c r="AO757" i="20"/>
  <c r="AO547" i="20"/>
  <c r="AO488" i="20"/>
  <c r="AP256" i="20"/>
  <c r="AP388" i="20"/>
  <c r="AP476" i="20"/>
  <c r="AP549" i="20"/>
  <c r="AP791" i="20"/>
  <c r="AO791" i="20"/>
  <c r="AP777" i="20"/>
  <c r="AO777" i="20"/>
  <c r="AO769" i="20"/>
  <c r="AP769" i="20"/>
  <c r="AP761" i="20"/>
  <c r="AO761" i="20"/>
  <c r="AP755" i="20"/>
  <c r="AO755" i="20"/>
  <c r="AP745" i="20"/>
  <c r="AO745" i="20"/>
  <c r="AP740" i="20"/>
  <c r="AO740" i="20"/>
  <c r="AP734" i="20"/>
  <c r="AO734" i="20"/>
  <c r="AP725" i="20"/>
  <c r="AH725" i="20"/>
  <c r="AP556" i="20"/>
  <c r="AO556" i="20"/>
  <c r="AP536" i="20"/>
  <c r="AO536" i="20"/>
  <c r="AO542" i="20"/>
  <c r="AP542" i="20"/>
  <c r="AP524" i="20"/>
  <c r="AO524" i="20"/>
  <c r="AP500" i="20"/>
  <c r="AO500" i="20"/>
  <c r="AP484" i="20"/>
  <c r="AO484" i="20"/>
  <c r="AP464" i="20"/>
  <c r="AO464" i="20"/>
  <c r="AP448" i="20"/>
  <c r="AO448" i="20"/>
  <c r="AP440" i="20"/>
  <c r="AO440" i="20"/>
  <c r="AP432" i="20"/>
  <c r="AO432" i="20"/>
  <c r="AP420" i="20"/>
  <c r="AJ420" i="20"/>
  <c r="AO420" i="20"/>
  <c r="AP414" i="20"/>
  <c r="AD414" i="20"/>
  <c r="AO408" i="20"/>
  <c r="AP408" i="20"/>
  <c r="AP396" i="20"/>
  <c r="AO396" i="20"/>
  <c r="AO305" i="20"/>
  <c r="AP305" i="20"/>
  <c r="AP284" i="20"/>
  <c r="AO284" i="20"/>
  <c r="AO260" i="20"/>
  <c r="AP260" i="20"/>
  <c r="AP248" i="20"/>
  <c r="AO248" i="20"/>
  <c r="AP238" i="20"/>
  <c r="AO238" i="20"/>
  <c r="AP217" i="20"/>
  <c r="AO217" i="20"/>
  <c r="AO214" i="20"/>
  <c r="AP214" i="20"/>
  <c r="AP202" i="20"/>
  <c r="AO202" i="20"/>
  <c r="AO196" i="20"/>
  <c r="AP196" i="20"/>
  <c r="AP193" i="20"/>
  <c r="AO193" i="20"/>
  <c r="AP125" i="20"/>
  <c r="AO125" i="20"/>
  <c r="AO1181" i="20"/>
  <c r="AB1181" i="20"/>
  <c r="AP1181" i="20"/>
  <c r="AP1189" i="20"/>
  <c r="AO1189" i="20"/>
  <c r="AP1197" i="20"/>
  <c r="AO1197" i="20"/>
  <c r="AP1205" i="20"/>
  <c r="AO1205" i="20"/>
  <c r="AP1213" i="20"/>
  <c r="AO1213" i="20"/>
  <c r="AP1221" i="20"/>
  <c r="AN1221" i="20"/>
  <c r="AO1221" i="20"/>
  <c r="AP1237" i="20"/>
  <c r="AO1237" i="20"/>
  <c r="AP1241" i="20"/>
  <c r="AA1241" i="20"/>
  <c r="AO1245" i="20"/>
  <c r="Y1245" i="20"/>
  <c r="AK1245" i="20"/>
  <c r="AP1245" i="20"/>
  <c r="AP1253" i="20"/>
  <c r="AO1253" i="20"/>
  <c r="AP1261" i="20"/>
  <c r="AO1261" i="20"/>
  <c r="AP1269" i="20"/>
  <c r="AO1269" i="20"/>
  <c r="AH1273" i="20"/>
  <c r="AK1273" i="20"/>
  <c r="AP1273" i="20"/>
  <c r="AP1281" i="20"/>
  <c r="AJ1281" i="20"/>
  <c r="AP1285" i="20"/>
  <c r="AO1285" i="20"/>
  <c r="AP1289" i="20"/>
  <c r="Y1289" i="20"/>
  <c r="AO1322" i="20"/>
  <c r="AP1322" i="20"/>
  <c r="AP1334" i="20"/>
  <c r="AO1334" i="20"/>
  <c r="AO1039" i="20"/>
  <c r="AJ1039" i="20"/>
  <c r="AP1039" i="20"/>
  <c r="AP1051" i="20"/>
  <c r="AO1051" i="20"/>
  <c r="AP1034" i="20"/>
  <c r="AO1034" i="20"/>
  <c r="AE1034" i="20"/>
  <c r="AA1034" i="20"/>
  <c r="O39" i="37"/>
  <c r="AO764" i="20"/>
  <c r="AO732" i="20"/>
  <c r="AO552" i="20"/>
  <c r="AO496" i="20"/>
  <c r="AO452" i="20"/>
  <c r="AP13" i="20"/>
  <c r="AO13" i="20"/>
  <c r="AP33" i="20"/>
  <c r="AO33" i="20"/>
  <c r="AP1102" i="20"/>
  <c r="AO1102" i="20"/>
  <c r="AO1095" i="20"/>
  <c r="AP1095" i="20"/>
  <c r="AP1090" i="20"/>
  <c r="AO1090" i="20"/>
  <c r="AO1070" i="20"/>
  <c r="AP1070" i="20"/>
  <c r="AP1058" i="20"/>
  <c r="AO1058" i="20"/>
  <c r="AP1017" i="20"/>
  <c r="AO1017" i="20"/>
  <c r="AP1014" i="20"/>
  <c r="AO1014" i="20"/>
  <c r="AP108" i="20"/>
  <c r="AO108" i="20"/>
  <c r="AO393" i="20"/>
  <c r="AP393" i="20"/>
  <c r="AO151" i="20"/>
  <c r="AP151" i="20"/>
  <c r="AO69" i="20"/>
  <c r="AP69" i="20"/>
  <c r="AR1282" i="20"/>
  <c r="AT1282" i="20"/>
  <c r="AR1134" i="20"/>
  <c r="AT1134" i="20"/>
  <c r="AR1122" i="20"/>
  <c r="AT1122" i="20"/>
  <c r="AR1118" i="20"/>
  <c r="AT1118" i="20"/>
  <c r="AR59" i="20"/>
  <c r="AT59" i="20"/>
  <c r="AR64" i="20"/>
  <c r="AT64" i="20"/>
  <c r="AR83" i="20"/>
  <c r="AT83" i="20"/>
  <c r="AR86" i="20"/>
  <c r="AT86" i="20"/>
  <c r="AR337" i="20"/>
  <c r="AT337" i="20"/>
  <c r="AR346" i="20"/>
  <c r="AT346" i="20"/>
  <c r="AR355" i="20"/>
  <c r="AT355" i="20"/>
  <c r="AR396" i="20"/>
  <c r="AT396" i="20"/>
  <c r="AR463" i="20"/>
  <c r="AT463" i="20"/>
  <c r="AR479" i="20"/>
  <c r="AT479" i="20"/>
  <c r="AR494" i="20"/>
  <c r="AT494" i="20"/>
  <c r="AR499" i="20"/>
  <c r="AT499" i="20"/>
  <c r="AR559" i="20"/>
  <c r="AT559" i="20"/>
  <c r="AR545" i="20"/>
  <c r="AT545" i="20"/>
  <c r="AR530" i="20"/>
  <c r="AT530" i="20"/>
  <c r="AR523" i="20"/>
  <c r="AT523" i="20"/>
  <c r="AR539" i="20"/>
  <c r="AT539" i="20"/>
  <c r="AR518" i="20"/>
  <c r="AT518" i="20"/>
  <c r="AR514" i="20"/>
  <c r="AT514" i="20"/>
  <c r="AR507" i="20"/>
  <c r="AT507" i="20"/>
  <c r="AR580" i="20"/>
  <c r="AT580" i="20"/>
  <c r="AR592" i="20"/>
  <c r="AT592" i="20"/>
  <c r="AR613" i="20"/>
  <c r="AT613" i="20"/>
  <c r="AR627" i="20"/>
  <c r="AT627" i="20"/>
  <c r="AR637" i="20"/>
  <c r="AT637" i="20"/>
  <c r="AR655" i="20"/>
  <c r="AT655" i="20"/>
  <c r="AR666" i="20"/>
  <c r="AT666" i="20"/>
  <c r="AR690" i="20"/>
  <c r="AT690" i="20"/>
  <c r="AR694" i="20"/>
  <c r="AT694" i="20"/>
  <c r="AR698" i="20"/>
  <c r="AT698" i="20"/>
  <c r="AR716" i="20"/>
  <c r="AT716" i="20"/>
  <c r="AR710" i="20"/>
  <c r="AT710" i="20"/>
  <c r="AR708" i="20"/>
  <c r="AT708" i="20"/>
  <c r="AR718" i="20"/>
  <c r="AT718" i="20"/>
  <c r="AR731" i="20"/>
  <c r="AT731" i="20"/>
  <c r="AR743" i="20"/>
  <c r="AT743" i="20"/>
  <c r="AR756" i="20"/>
  <c r="AT756" i="20"/>
  <c r="AR778" i="20"/>
  <c r="AT778" i="20"/>
  <c r="AR781" i="20"/>
  <c r="AT781" i="20"/>
  <c r="AR798" i="20"/>
  <c r="AT798" i="20"/>
  <c r="AR791" i="20"/>
  <c r="AT791" i="20"/>
  <c r="AR807" i="20"/>
  <c r="AT807" i="20"/>
  <c r="AR850" i="20"/>
  <c r="AT850" i="20"/>
  <c r="AR847" i="20"/>
  <c r="AT847" i="20"/>
  <c r="AR829" i="20"/>
  <c r="AT829" i="20"/>
  <c r="AR826" i="20"/>
  <c r="AT826" i="20"/>
  <c r="AR820" i="20"/>
  <c r="AT820" i="20"/>
  <c r="AR832" i="20"/>
  <c r="AT832" i="20"/>
  <c r="AR814" i="20"/>
  <c r="AT814" i="20"/>
  <c r="AR854" i="20"/>
  <c r="AT854" i="20"/>
  <c r="AR858" i="20"/>
  <c r="AT858" i="20"/>
  <c r="AR863" i="20"/>
  <c r="AT863" i="20"/>
  <c r="AR883" i="20"/>
  <c r="AT883" i="20"/>
  <c r="AR888" i="20"/>
  <c r="AT888" i="20"/>
  <c r="AR892" i="20"/>
  <c r="AT892" i="20"/>
  <c r="AR918" i="20"/>
  <c r="AT918" i="20"/>
  <c r="AR921" i="20"/>
  <c r="AT921" i="20"/>
  <c r="AR946" i="20"/>
  <c r="AT946" i="20"/>
  <c r="AR937" i="20"/>
  <c r="AT937" i="20"/>
  <c r="AR934" i="20"/>
  <c r="AT934" i="20"/>
  <c r="AR952" i="20"/>
  <c r="AT952" i="20"/>
  <c r="AR948" i="20"/>
  <c r="AT948" i="20"/>
  <c r="AR967" i="20"/>
  <c r="AT967" i="20"/>
  <c r="AR978" i="20"/>
  <c r="AT978" i="20"/>
  <c r="AR992" i="20"/>
  <c r="AT992" i="20"/>
  <c r="AR1003" i="20"/>
  <c r="AT1003" i="20"/>
  <c r="AR1013" i="20"/>
  <c r="AT1013" i="20"/>
  <c r="AR1031" i="20"/>
  <c r="AT1031" i="20"/>
  <c r="AR1034" i="20"/>
  <c r="AT1034" i="20"/>
  <c r="AR1055" i="20"/>
  <c r="AT1055" i="20"/>
  <c r="AR1070" i="20"/>
  <c r="AT1070" i="20"/>
  <c r="AR1075" i="20"/>
  <c r="AT1075" i="20"/>
  <c r="AR1079" i="20"/>
  <c r="AT1079" i="20"/>
  <c r="AR1084" i="20"/>
  <c r="AT1084" i="20"/>
  <c r="AR1092" i="20"/>
  <c r="AT1092" i="20"/>
  <c r="AR1093" i="20"/>
  <c r="AT1093" i="20"/>
  <c r="AR1105" i="20"/>
  <c r="AT1105" i="20"/>
  <c r="AR1108" i="20"/>
  <c r="AT1108" i="20"/>
  <c r="AR1254" i="20"/>
  <c r="AT1254" i="20"/>
  <c r="AR1242" i="20"/>
  <c r="AT1242" i="20"/>
  <c r="AR1218" i="20"/>
  <c r="AT1218" i="20"/>
  <c r="AR1186" i="20"/>
  <c r="AT1186" i="20"/>
  <c r="AR19" i="20"/>
  <c r="AT19" i="20"/>
  <c r="AR32" i="20"/>
  <c r="AT32" i="20"/>
  <c r="AR54" i="20"/>
  <c r="AT54" i="20"/>
  <c r="AR125" i="20"/>
  <c r="AT125" i="20"/>
  <c r="AR126" i="20"/>
  <c r="AT126" i="20"/>
  <c r="AR165" i="20"/>
  <c r="AT165" i="20"/>
  <c r="AR177" i="20"/>
  <c r="AT177" i="20"/>
  <c r="AR197" i="20"/>
  <c r="AT197" i="20"/>
  <c r="AR234" i="20"/>
  <c r="AT234" i="20"/>
  <c r="AR258" i="20"/>
  <c r="AT258" i="20"/>
  <c r="AR268" i="20"/>
  <c r="AT268" i="20"/>
  <c r="AR293" i="20"/>
  <c r="AT293" i="20"/>
  <c r="AR289" i="20"/>
  <c r="AT289" i="20"/>
  <c r="AR344" i="20"/>
  <c r="AT344" i="20"/>
  <c r="AR350" i="20"/>
  <c r="AT350" i="20"/>
  <c r="AR360" i="20"/>
  <c r="AT360" i="20"/>
  <c r="AR403" i="20"/>
  <c r="AT403" i="20"/>
  <c r="AR410" i="20"/>
  <c r="AT410" i="20"/>
  <c r="AR419" i="20"/>
  <c r="AT419" i="20"/>
  <c r="AR475" i="20"/>
  <c r="AT475" i="20"/>
  <c r="AR503" i="20"/>
  <c r="AT503" i="20"/>
  <c r="AR575" i="20"/>
  <c r="AT575" i="20"/>
  <c r="AR563" i="20"/>
  <c r="AT563" i="20"/>
  <c r="AR555" i="20"/>
  <c r="AT555" i="20"/>
  <c r="AR527" i="20"/>
  <c r="AT527" i="20"/>
  <c r="AT46" i="20"/>
  <c r="AF63" i="14"/>
  <c r="AH63" i="14" s="1"/>
  <c r="G52" i="86"/>
  <c r="J52" i="86" s="1"/>
  <c r="H73" i="86"/>
  <c r="K73" i="86" s="1"/>
  <c r="H130" i="86"/>
  <c r="K130" i="86" s="1"/>
  <c r="I125" i="86"/>
  <c r="L125" i="86" s="1"/>
  <c r="AT250" i="20"/>
  <c r="H109" i="86"/>
  <c r="K109" i="86" s="1"/>
  <c r="AT376" i="20"/>
  <c r="AT631" i="20"/>
  <c r="AT675" i="20"/>
  <c r="AT175" i="20"/>
  <c r="AT1130" i="20"/>
  <c r="AT98" i="20"/>
  <c r="AT543" i="20"/>
  <c r="AT510" i="20"/>
  <c r="AT222" i="20"/>
  <c r="AT686" i="20"/>
  <c r="AT385" i="20"/>
  <c r="AT1166" i="20"/>
  <c r="AT137" i="20"/>
  <c r="AT1154" i="20"/>
  <c r="AT728" i="20"/>
  <c r="AT378" i="20"/>
  <c r="AF231" i="14"/>
  <c r="AH231" i="14" s="1"/>
  <c r="H75" i="86"/>
  <c r="K75" i="86" s="1"/>
  <c r="U72" i="19"/>
  <c r="K10" i="36"/>
  <c r="N10" i="36" s="1"/>
  <c r="AA6" i="66" s="1"/>
  <c r="U46" i="19"/>
  <c r="K25" i="36"/>
  <c r="M25" i="36" s="1"/>
  <c r="AR1290" i="20"/>
  <c r="AT1290" i="20"/>
  <c r="AR16" i="20"/>
  <c r="I104" i="86"/>
  <c r="L104" i="86" s="1"/>
  <c r="I132" i="86"/>
  <c r="L132" i="86" s="1"/>
  <c r="I122" i="86"/>
  <c r="L122" i="86" s="1"/>
  <c r="H84" i="86"/>
  <c r="K84" i="86" s="1"/>
  <c r="H74" i="86"/>
  <c r="K74" i="86" s="1"/>
  <c r="G73" i="86"/>
  <c r="J73" i="86" s="1"/>
  <c r="AR35" i="20"/>
  <c r="AT35" i="20"/>
  <c r="AR110" i="20"/>
  <c r="AT110" i="20"/>
  <c r="AR119" i="20"/>
  <c r="AT119" i="20"/>
  <c r="AR155" i="20"/>
  <c r="AT155" i="20"/>
  <c r="AR215" i="20"/>
  <c r="AT215" i="20"/>
  <c r="AR207" i="20"/>
  <c r="AT207" i="20"/>
  <c r="AR203" i="20"/>
  <c r="AT203" i="20"/>
  <c r="AR252" i="20"/>
  <c r="AT252" i="20"/>
  <c r="AR314" i="20"/>
  <c r="AT314" i="20"/>
  <c r="AR303" i="20"/>
  <c r="AT303" i="20"/>
  <c r="AR363" i="20"/>
  <c r="AT363" i="20"/>
  <c r="AR367" i="20"/>
  <c r="AT367" i="20"/>
  <c r="AR414" i="20"/>
  <c r="AT414" i="20"/>
  <c r="AR424" i="20"/>
  <c r="AT424" i="20"/>
  <c r="AR428" i="20"/>
  <c r="AT428" i="20"/>
  <c r="AR437" i="20"/>
  <c r="AT437" i="20"/>
  <c r="AR472" i="20"/>
  <c r="AT472" i="20"/>
  <c r="AR486" i="20"/>
  <c r="AT486" i="20"/>
  <c r="AR535" i="20"/>
  <c r="AT535" i="20"/>
  <c r="AR606" i="20"/>
  <c r="AT606" i="20"/>
  <c r="I84" i="86"/>
  <c r="L84" i="86" s="1"/>
  <c r="H125" i="86"/>
  <c r="K125" i="86" s="1"/>
  <c r="AT318" i="20"/>
  <c r="I76" i="86"/>
  <c r="L76" i="86" s="1"/>
  <c r="AT601" i="20"/>
  <c r="AT1126" i="20"/>
  <c r="AT11" i="20"/>
  <c r="AT225" i="20"/>
  <c r="AT151" i="20"/>
  <c r="AT286" i="20"/>
  <c r="AT595" i="20"/>
  <c r="AT441" i="20"/>
  <c r="AT79" i="20"/>
  <c r="AT1150" i="20"/>
  <c r="AT740" i="20"/>
  <c r="AR1273" i="20"/>
  <c r="AT1273" i="20"/>
  <c r="AR39" i="20"/>
  <c r="AT39" i="20"/>
  <c r="AR141" i="20"/>
  <c r="AT141" i="20"/>
  <c r="AR146" i="20"/>
  <c r="AT146" i="20"/>
  <c r="AR184" i="20"/>
  <c r="AT184" i="20"/>
  <c r="AR233" i="20"/>
  <c r="AT233" i="20"/>
  <c r="AR261" i="20"/>
  <c r="AT261" i="20"/>
  <c r="AR257" i="20"/>
  <c r="AT257" i="20"/>
  <c r="AR288" i="20"/>
  <c r="AT288" i="20"/>
  <c r="AR329" i="20"/>
  <c r="AT329" i="20"/>
  <c r="AR333" i="20"/>
  <c r="AT333" i="20"/>
  <c r="AR436" i="20"/>
  <c r="AT436" i="20"/>
  <c r="AR453" i="20"/>
  <c r="AT453" i="20"/>
  <c r="AR483" i="20"/>
  <c r="AT483" i="20"/>
  <c r="AR493" i="20"/>
  <c r="AT493" i="20"/>
  <c r="AR496" i="20"/>
  <c r="AT496" i="20"/>
  <c r="AR584" i="20"/>
  <c r="AT584" i="20"/>
  <c r="AR594" i="20"/>
  <c r="AT594" i="20"/>
  <c r="AR630" i="20"/>
  <c r="AT630" i="20"/>
  <c r="AR649" i="20"/>
  <c r="AT649" i="20"/>
  <c r="AR844" i="20"/>
  <c r="AT844" i="20"/>
  <c r="AR936" i="20"/>
  <c r="AT936" i="20"/>
  <c r="AR951" i="20"/>
  <c r="AT951" i="20"/>
  <c r="AR947" i="20"/>
  <c r="AT947" i="20"/>
  <c r="AR996" i="20"/>
  <c r="AT996" i="20"/>
  <c r="AR1024" i="20"/>
  <c r="AT1024" i="20"/>
  <c r="AR1062" i="20"/>
  <c r="AT1062" i="20"/>
  <c r="AR1059" i="20"/>
  <c r="AT1059" i="20"/>
  <c r="H31" i="86"/>
  <c r="K31" i="86" s="1"/>
  <c r="AT63" i="20"/>
  <c r="H86" i="86"/>
  <c r="G108" i="86"/>
  <c r="J108" i="86" s="1"/>
  <c r="G75" i="86"/>
  <c r="J75" i="86" s="1"/>
  <c r="H40" i="86"/>
  <c r="K40" i="86" s="1"/>
  <c r="AT116" i="20"/>
  <c r="AT1012" i="20"/>
  <c r="H61" i="86"/>
  <c r="K61" i="86" s="1"/>
  <c r="AT644" i="20"/>
  <c r="G61" i="86"/>
  <c r="J61" i="86" s="1"/>
  <c r="AT980" i="20"/>
  <c r="G161" i="86"/>
  <c r="J161" i="86" s="1"/>
  <c r="I105" i="86"/>
  <c r="L105" i="86" s="1"/>
  <c r="AT704" i="20"/>
  <c r="I130" i="86"/>
  <c r="L130" i="86" s="1"/>
  <c r="AT504" i="20"/>
  <c r="H161" i="86"/>
  <c r="K161" i="86" s="1"/>
  <c r="AT997" i="20"/>
  <c r="H48" i="86"/>
  <c r="AT1096" i="20"/>
  <c r="AT943" i="20"/>
  <c r="AT340" i="20"/>
  <c r="AT541" i="20"/>
  <c r="AT574" i="20"/>
  <c r="AT933" i="20"/>
  <c r="AT1107" i="20"/>
  <c r="AT1002" i="20"/>
  <c r="AT1041" i="20"/>
  <c r="AT1337" i="20"/>
  <c r="AT961" i="20"/>
  <c r="AT384" i="20"/>
  <c r="AT409" i="20"/>
  <c r="AT696" i="20"/>
  <c r="AT1177" i="20"/>
  <c r="AT31" i="20"/>
  <c r="AT538" i="20"/>
  <c r="G17" i="86"/>
  <c r="J17" i="86" s="1"/>
  <c r="G31" i="86"/>
  <c r="J31" i="86" s="1"/>
  <c r="AT1315" i="20"/>
  <c r="AT1207" i="20"/>
  <c r="AT1247" i="20"/>
  <c r="AT1335" i="20"/>
  <c r="AT1287" i="20"/>
  <c r="AT1243" i="20"/>
  <c r="AT1323" i="20"/>
  <c r="AT1227" i="20"/>
  <c r="AT1199" i="20"/>
  <c r="AT106" i="20"/>
  <c r="AT154" i="20"/>
  <c r="AT251" i="20"/>
  <c r="AT219" i="20"/>
  <c r="U234" i="19"/>
  <c r="K24" i="36"/>
  <c r="N24" i="36" s="1"/>
  <c r="AA19" i="66" s="1"/>
  <c r="AF149" i="14"/>
  <c r="AH149" i="14" s="1"/>
  <c r="AT1121" i="20"/>
  <c r="AT1241" i="20"/>
  <c r="AT38" i="20"/>
  <c r="AT1297" i="20"/>
  <c r="AT1221" i="20"/>
  <c r="AT53" i="20"/>
  <c r="AT189" i="20"/>
  <c r="AF135" i="14"/>
  <c r="AH135" i="14" s="1"/>
  <c r="AF39" i="14"/>
  <c r="AH39" i="14" s="1"/>
  <c r="AF33" i="14"/>
  <c r="AH33" i="14" s="1"/>
  <c r="AF43" i="14"/>
  <c r="AH43" i="14" s="1"/>
  <c r="AR1333" i="20"/>
  <c r="AT1333" i="20"/>
  <c r="AR1329" i="20"/>
  <c r="AT1329" i="20"/>
  <c r="AR1325" i="20"/>
  <c r="AT1325" i="20"/>
  <c r="AR1317" i="20"/>
  <c r="AT1317" i="20"/>
  <c r="AR1313" i="20"/>
  <c r="AT1313" i="20"/>
  <c r="AR1309" i="20"/>
  <c r="AT1309" i="20"/>
  <c r="AR1305" i="20"/>
  <c r="AT1305" i="20"/>
  <c r="AR1301" i="20"/>
  <c r="AT1301" i="20"/>
  <c r="AR1293" i="20"/>
  <c r="AT1293" i="20"/>
  <c r="AR1285" i="20"/>
  <c r="AT1285" i="20"/>
  <c r="AR1281" i="20"/>
  <c r="AT1281" i="20"/>
  <c r="AR1277" i="20"/>
  <c r="AT1277" i="20"/>
  <c r="AR1269" i="20"/>
  <c r="AT1269" i="20"/>
  <c r="AR1265" i="20"/>
  <c r="AT1265" i="20"/>
  <c r="AR1261" i="20"/>
  <c r="AT1261" i="20"/>
  <c r="AR1257" i="20"/>
  <c r="AT1257" i="20"/>
  <c r="AR1245" i="20"/>
  <c r="AT1245" i="20"/>
  <c r="AR1237" i="20"/>
  <c r="AT1237" i="20"/>
  <c r="AR1233" i="20"/>
  <c r="AT1233" i="20"/>
  <c r="AR1225" i="20"/>
  <c r="AT1225" i="20"/>
  <c r="AR1217" i="20"/>
  <c r="AT1217" i="20"/>
  <c r="AR1213" i="20"/>
  <c r="AT1213" i="20"/>
  <c r="AR1209" i="20"/>
  <c r="AT1209" i="20"/>
  <c r="AR1201" i="20"/>
  <c r="AT1201" i="20"/>
  <c r="AR1197" i="20"/>
  <c r="AT1197" i="20"/>
  <c r="AR1193" i="20"/>
  <c r="AT1193" i="20"/>
  <c r="AR1189" i="20"/>
  <c r="AT1189" i="20"/>
  <c r="AR1185" i="20"/>
  <c r="AT1185" i="20"/>
  <c r="AR1181" i="20"/>
  <c r="AT1181" i="20"/>
  <c r="AR1173" i="20"/>
  <c r="AT1173" i="20"/>
  <c r="AR1169" i="20"/>
  <c r="AT1169" i="20"/>
  <c r="AR1165" i="20"/>
  <c r="AT1165" i="20"/>
  <c r="AR1161" i="20"/>
  <c r="AT1161" i="20"/>
  <c r="AR1157" i="20"/>
  <c r="AT1157" i="20"/>
  <c r="AR1149" i="20"/>
  <c r="AT1149" i="20"/>
  <c r="AR1145" i="20"/>
  <c r="AT1145" i="20"/>
  <c r="AR1141" i="20"/>
  <c r="AT1141" i="20"/>
  <c r="AR1137" i="20"/>
  <c r="AT1137" i="20"/>
  <c r="AR1133" i="20"/>
  <c r="AT1133" i="20"/>
  <c r="AR1125" i="20"/>
  <c r="AT1125" i="20"/>
  <c r="AR1117" i="20"/>
  <c r="AT1117" i="20"/>
  <c r="AR9" i="20"/>
  <c r="AT9" i="20"/>
  <c r="AR13" i="20"/>
  <c r="G40" i="86"/>
  <c r="AT13" i="20"/>
  <c r="I109" i="86"/>
  <c r="L109" i="86" s="1"/>
  <c r="I73" i="86"/>
  <c r="L73" i="86" s="1"/>
  <c r="I40" i="86"/>
  <c r="L40" i="86" s="1"/>
  <c r="I16" i="86"/>
  <c r="L16" i="86" s="1"/>
  <c r="H38" i="86"/>
  <c r="K38" i="86" s="1"/>
  <c r="G86" i="86"/>
  <c r="J86" i="86" s="1"/>
  <c r="G138" i="86"/>
  <c r="J138" i="86" s="1"/>
  <c r="I74" i="86"/>
  <c r="L74" i="86" s="1"/>
  <c r="G104" i="86"/>
  <c r="J104" i="86" s="1"/>
  <c r="H104" i="86"/>
  <c r="K104" i="86" s="1"/>
  <c r="H26" i="86"/>
  <c r="K26" i="86" s="1"/>
  <c r="G84" i="86"/>
  <c r="H16" i="86"/>
  <c r="K16" i="86" s="1"/>
  <c r="I38" i="86"/>
  <c r="G133" i="86"/>
  <c r="J133" i="86" s="1"/>
  <c r="G50" i="86"/>
  <c r="J50" i="86" s="1"/>
  <c r="I108" i="86"/>
  <c r="L108" i="86" s="1"/>
  <c r="H122" i="86"/>
  <c r="K122" i="86" s="1"/>
  <c r="I61" i="86"/>
  <c r="L61" i="86" s="1"/>
  <c r="G109" i="86"/>
  <c r="J109" i="86" s="1"/>
  <c r="H105" i="86"/>
  <c r="K105" i="86" s="1"/>
  <c r="G38" i="86"/>
  <c r="J38" i="86" s="1"/>
  <c r="H49" i="86"/>
  <c r="H47" i="86"/>
  <c r="K47" i="86" s="1"/>
  <c r="G74" i="86"/>
  <c r="J74" i="86" s="1"/>
  <c r="H76" i="86"/>
  <c r="I138" i="86"/>
  <c r="L138" i="86" s="1"/>
  <c r="G105" i="86"/>
  <c r="AR18" i="20"/>
  <c r="AT18" i="20"/>
  <c r="AR28" i="20"/>
  <c r="AT28" i="20"/>
  <c r="AR34" i="20"/>
  <c r="AT34" i="20"/>
  <c r="AR45" i="20"/>
  <c r="AT45" i="20"/>
  <c r="AR56" i="20"/>
  <c r="AT56" i="20"/>
  <c r="AR61" i="20"/>
  <c r="AT61" i="20"/>
  <c r="AR66" i="20"/>
  <c r="AT66" i="20"/>
  <c r="AR71" i="20"/>
  <c r="AT71" i="20"/>
  <c r="AR78" i="20"/>
  <c r="AT78" i="20"/>
  <c r="AR85" i="20"/>
  <c r="AT85" i="20"/>
  <c r="AR82" i="20"/>
  <c r="AT82" i="20"/>
  <c r="AR90" i="20"/>
  <c r="AT90" i="20"/>
  <c r="AR92" i="20"/>
  <c r="AT92" i="20"/>
  <c r="AR97" i="20"/>
  <c r="AT97" i="20"/>
  <c r="AR99" i="20"/>
  <c r="AT99" i="20"/>
  <c r="AR104" i="20"/>
  <c r="AT104" i="20"/>
  <c r="AR108" i="20"/>
  <c r="AT108" i="20"/>
  <c r="AR120" i="20"/>
  <c r="AT120" i="20"/>
  <c r="AR124" i="20"/>
  <c r="AT124" i="20"/>
  <c r="AR129" i="20"/>
  <c r="AT129" i="20"/>
  <c r="AR136" i="20"/>
  <c r="AT136" i="20"/>
  <c r="AR138" i="20"/>
  <c r="AT138" i="20"/>
  <c r="AR153" i="20"/>
  <c r="AT153" i="20"/>
  <c r="AR156" i="20"/>
  <c r="AT156" i="20"/>
  <c r="AR162" i="20"/>
  <c r="AT162" i="20"/>
  <c r="AR168" i="20"/>
  <c r="AT168" i="20"/>
  <c r="AR171" i="20"/>
  <c r="AT171" i="20"/>
  <c r="AR176" i="20"/>
  <c r="AT176" i="20"/>
  <c r="AR180" i="20"/>
  <c r="AT180" i="20"/>
  <c r="AR192" i="20"/>
  <c r="AT192" i="20"/>
  <c r="AR200" i="20"/>
  <c r="AT200" i="20"/>
  <c r="AR196" i="20"/>
  <c r="AT196" i="20"/>
  <c r="AR221" i="20"/>
  <c r="AT221" i="20"/>
  <c r="AR223" i="20"/>
  <c r="AT223" i="20"/>
  <c r="AR231" i="20"/>
  <c r="AT231" i="20"/>
  <c r="AR240" i="20"/>
  <c r="AT240" i="20"/>
  <c r="AR254" i="20"/>
  <c r="AT254" i="20"/>
  <c r="AR245" i="20"/>
  <c r="AT245" i="20"/>
  <c r="AR279" i="20"/>
  <c r="AT279" i="20"/>
  <c r="AR275" i="20"/>
  <c r="AT275" i="20"/>
  <c r="AR280" i="20"/>
  <c r="AT280" i="20"/>
  <c r="AF117" i="14"/>
  <c r="AH117" i="14" s="1"/>
  <c r="AT1205" i="20"/>
  <c r="AT1321" i="20"/>
  <c r="AT1253" i="20"/>
  <c r="AT354" i="20"/>
  <c r="I119" i="86"/>
  <c r="AT407" i="20"/>
  <c r="AT298" i="20"/>
  <c r="AT427" i="20"/>
  <c r="AT604" i="20"/>
  <c r="AT688" i="20"/>
  <c r="AT470" i="20"/>
  <c r="AT348" i="20"/>
  <c r="AT669" i="20"/>
  <c r="AT715" i="20"/>
  <c r="AT309" i="20"/>
  <c r="AT771" i="20"/>
  <c r="AT624" i="20"/>
  <c r="AT682" i="20"/>
  <c r="AT591" i="20"/>
  <c r="AF165" i="14"/>
  <c r="AH165" i="14" s="1"/>
  <c r="I31" i="86"/>
  <c r="L31" i="86" s="1"/>
  <c r="AR325" i="20"/>
  <c r="AT325" i="20"/>
  <c r="AR375" i="20"/>
  <c r="AT375" i="20"/>
  <c r="AR392" i="20"/>
  <c r="AT392" i="20"/>
  <c r="AR431" i="20"/>
  <c r="AT431" i="20"/>
  <c r="AR438" i="20"/>
  <c r="AT438" i="20"/>
  <c r="AR444" i="20"/>
  <c r="AT444" i="20"/>
  <c r="AR461" i="20"/>
  <c r="AT461" i="20"/>
  <c r="AR468" i="20"/>
  <c r="AT468" i="20"/>
  <c r="AR478" i="20"/>
  <c r="AT478" i="20"/>
  <c r="AR570" i="20"/>
  <c r="AT570" i="20"/>
  <c r="AR551" i="20"/>
  <c r="AT551" i="20"/>
  <c r="AR533" i="20"/>
  <c r="AT533" i="20"/>
  <c r="AR529" i="20"/>
  <c r="AT529" i="20"/>
  <c r="AR522" i="20"/>
  <c r="AT522" i="20"/>
  <c r="AR517" i="20"/>
  <c r="AT517" i="20"/>
  <c r="AR509" i="20"/>
  <c r="AT509" i="20"/>
  <c r="AR609" i="20"/>
  <c r="AT609" i="20"/>
  <c r="AR616" i="20"/>
  <c r="AT616" i="20"/>
  <c r="AR619" i="20"/>
  <c r="AT619" i="20"/>
  <c r="AR657" i="20"/>
  <c r="AT657" i="20"/>
  <c r="AR665" i="20"/>
  <c r="AT665" i="20"/>
  <c r="AR677" i="20"/>
  <c r="AT677" i="20"/>
  <c r="AR680" i="20"/>
  <c r="AT680" i="20"/>
  <c r="AR725" i="20"/>
  <c r="AT725" i="20"/>
  <c r="AR747" i="20"/>
  <c r="AT747" i="20"/>
  <c r="AR750" i="20"/>
  <c r="AT750" i="20"/>
  <c r="AR767" i="20"/>
  <c r="AT767" i="20"/>
  <c r="AR758" i="20"/>
  <c r="AT758" i="20"/>
  <c r="AR797" i="20"/>
  <c r="AT797" i="20"/>
  <c r="AR793" i="20"/>
  <c r="AT793" i="20"/>
  <c r="AR800" i="20"/>
  <c r="AT800" i="20"/>
  <c r="AR838" i="20"/>
  <c r="AT838" i="20"/>
  <c r="AR823" i="20"/>
  <c r="AT823" i="20"/>
  <c r="AR868" i="20"/>
  <c r="AT868" i="20"/>
  <c r="AR876" i="20"/>
  <c r="AT876" i="20"/>
  <c r="AR887" i="20"/>
  <c r="AT887" i="20"/>
  <c r="AR891" i="20"/>
  <c r="AT891" i="20"/>
  <c r="AR895" i="20"/>
  <c r="AT895" i="20"/>
  <c r="AR904" i="20"/>
  <c r="AT904" i="20"/>
  <c r="AR912" i="20"/>
  <c r="AT912" i="20"/>
  <c r="AR915" i="20"/>
  <c r="AT915" i="20"/>
  <c r="AR945" i="20"/>
  <c r="AT945" i="20"/>
  <c r="AR929" i="20"/>
  <c r="AT929" i="20"/>
  <c r="AR968" i="20"/>
  <c r="AT968" i="20"/>
  <c r="AR976" i="20"/>
  <c r="AT976" i="20"/>
  <c r="AR988" i="20"/>
  <c r="AT988" i="20"/>
  <c r="AR1016" i="20"/>
  <c r="AT1016" i="20"/>
  <c r="AR1018" i="20"/>
  <c r="AT1018" i="20"/>
  <c r="AR1033" i="20"/>
  <c r="AT1033" i="20"/>
  <c r="AR1088" i="20"/>
  <c r="AT1088" i="20"/>
  <c r="AR1091" i="20"/>
  <c r="AT1091" i="20"/>
  <c r="AR292" i="20"/>
  <c r="AT292" i="20"/>
  <c r="AR285" i="20"/>
  <c r="AT285" i="20"/>
  <c r="AR336" i="20"/>
  <c r="AT336" i="20"/>
  <c r="AR343" i="20"/>
  <c r="AT343" i="20"/>
  <c r="AT506" i="20"/>
  <c r="AT498" i="20"/>
  <c r="AT305" i="20"/>
  <c r="AT451" i="20"/>
  <c r="AT488" i="20"/>
  <c r="AT513" i="20"/>
  <c r="AT313" i="20"/>
  <c r="AT417" i="20"/>
  <c r="AT638" i="20"/>
  <c r="AT359" i="20"/>
  <c r="AT395" i="20"/>
  <c r="AT402" i="20"/>
  <c r="AT579" i="20"/>
  <c r="AT562" i="20"/>
  <c r="AT787" i="20"/>
  <c r="AT462" i="20"/>
  <c r="AT803" i="20"/>
  <c r="AT784" i="20"/>
  <c r="AF230" i="14"/>
  <c r="AH230" i="14" s="1"/>
  <c r="AR1322" i="20"/>
  <c r="AT1322" i="20"/>
  <c r="AR1278" i="20"/>
  <c r="AT1278" i="20"/>
  <c r="AR1250" i="20"/>
  <c r="AT1250" i="20"/>
  <c r="AR1238" i="20"/>
  <c r="AT1238" i="20"/>
  <c r="AR1210" i="20"/>
  <c r="AT1210" i="20"/>
  <c r="AR1142" i="20"/>
  <c r="AT1142" i="20"/>
  <c r="AR1138" i="20"/>
  <c r="AT1138" i="20"/>
  <c r="AR43" i="20"/>
  <c r="AT43" i="20"/>
  <c r="AR149" i="20"/>
  <c r="AT149" i="20"/>
  <c r="AR159" i="20"/>
  <c r="AT159" i="20"/>
  <c r="AR163" i="20"/>
  <c r="AT163" i="20"/>
  <c r="AR195" i="20"/>
  <c r="AT195" i="20"/>
  <c r="AR224" i="20"/>
  <c r="AT224" i="20"/>
  <c r="AR246" i="20"/>
  <c r="AT246" i="20"/>
  <c r="AR276" i="20"/>
  <c r="AT276" i="20"/>
  <c r="AR281" i="20"/>
  <c r="AT281" i="20"/>
  <c r="AR306" i="20"/>
  <c r="AT306" i="20"/>
  <c r="AR299" i="20"/>
  <c r="AT299" i="20"/>
  <c r="AR393" i="20"/>
  <c r="AT393" i="20"/>
  <c r="AR446" i="20"/>
  <c r="AT446" i="20"/>
  <c r="AR448" i="20"/>
  <c r="AT448" i="20"/>
  <c r="AR567" i="20"/>
  <c r="AT567" i="20"/>
  <c r="AR625" i="20"/>
  <c r="AT625" i="20"/>
  <c r="AR650" i="20"/>
  <c r="AT650" i="20"/>
  <c r="AR646" i="20"/>
  <c r="AT646" i="20"/>
  <c r="AR670" i="20"/>
  <c r="AT670" i="20"/>
  <c r="AR721" i="20"/>
  <c r="AT721" i="20"/>
  <c r="AR765" i="20"/>
  <c r="AT765" i="20"/>
  <c r="AR834" i="20"/>
  <c r="AT834" i="20"/>
  <c r="AR871" i="20"/>
  <c r="AT871" i="20"/>
  <c r="AR896" i="20"/>
  <c r="AT896" i="20"/>
  <c r="AR910" i="20"/>
  <c r="AT910" i="20"/>
  <c r="AR906" i="20"/>
  <c r="AT906" i="20"/>
  <c r="AR916" i="20"/>
  <c r="AT916" i="20"/>
  <c r="AR940" i="20"/>
  <c r="AT940" i="20"/>
  <c r="AR973" i="20"/>
  <c r="AT973" i="20"/>
  <c r="AR989" i="20"/>
  <c r="AT989" i="20"/>
  <c r="AR1022" i="20"/>
  <c r="AT1022" i="20"/>
  <c r="AR1027" i="20"/>
  <c r="AT1027" i="20"/>
  <c r="AT17" i="20"/>
  <c r="AT187" i="20"/>
  <c r="AT271" i="20"/>
  <c r="AT264" i="20"/>
  <c r="AT338" i="20"/>
  <c r="AT1270" i="20"/>
  <c r="AT1258" i="20"/>
  <c r="AT67" i="20"/>
  <c r="AT131" i="20"/>
  <c r="AT173" i="20"/>
  <c r="AT326" i="20"/>
  <c r="AT72" i="20"/>
  <c r="AT331" i="20"/>
  <c r="AT490" i="20"/>
  <c r="AT1302" i="20"/>
  <c r="AT484" i="20"/>
  <c r="AT620" i="20"/>
  <c r="AT238" i="20"/>
  <c r="AT1274" i="20"/>
  <c r="AF48" i="14"/>
  <c r="AH48" i="14" s="1"/>
  <c r="AF50" i="14"/>
  <c r="AH50" i="14" s="1"/>
  <c r="AF257" i="14"/>
  <c r="AH257" i="14" s="1"/>
  <c r="AF10" i="14"/>
  <c r="AH10" i="14" s="1"/>
  <c r="AF161" i="14"/>
  <c r="AH161" i="14" s="1"/>
  <c r="AF195" i="14"/>
  <c r="AH195" i="14" s="1"/>
  <c r="AF28" i="14"/>
  <c r="AH28" i="14" s="1"/>
  <c r="AF85" i="14"/>
  <c r="AH85" i="14" s="1"/>
  <c r="AF205" i="14"/>
  <c r="AH205" i="14" s="1"/>
  <c r="AF119" i="14"/>
  <c r="AH119" i="14" s="1"/>
  <c r="AF187" i="14"/>
  <c r="AH187" i="14" s="1"/>
  <c r="AF102" i="14"/>
  <c r="AH102" i="14" s="1"/>
  <c r="AF95" i="14"/>
  <c r="AH95" i="14" s="1"/>
  <c r="AF178" i="14"/>
  <c r="AH178" i="14" s="1"/>
  <c r="AF137" i="14"/>
  <c r="AH137" i="14" s="1"/>
  <c r="AF266" i="14"/>
  <c r="AH266" i="14" s="1"/>
  <c r="AF122" i="14"/>
  <c r="AH122" i="14" s="1"/>
  <c r="AF248" i="14"/>
  <c r="AH248" i="14" s="1"/>
  <c r="AF114" i="14"/>
  <c r="AH114" i="14" s="1"/>
  <c r="AF6" i="14"/>
  <c r="AH6" i="14" s="1"/>
  <c r="AF108" i="14"/>
  <c r="AH108" i="14" s="1"/>
  <c r="AF244" i="14"/>
  <c r="AH244" i="14" s="1"/>
  <c r="AF127" i="14"/>
  <c r="AH127" i="14" s="1"/>
  <c r="K19" i="36"/>
  <c r="M19" i="36" s="1"/>
  <c r="I154" i="86"/>
  <c r="L154" i="86" s="1"/>
  <c r="H154" i="86"/>
  <c r="AT1190" i="20"/>
  <c r="AT1206" i="20"/>
  <c r="AT1230" i="20"/>
  <c r="AT1158" i="20"/>
  <c r="AT1202" i="20"/>
  <c r="AT1234" i="20"/>
  <c r="AT1318" i="20"/>
  <c r="AT1198" i="20"/>
  <c r="AF237" i="14"/>
  <c r="AH237" i="14" s="1"/>
  <c r="K18" i="36"/>
  <c r="AF261" i="14"/>
  <c r="AH261" i="14" s="1"/>
  <c r="AF175" i="14"/>
  <c r="AH175" i="14" s="1"/>
  <c r="AF208" i="14"/>
  <c r="AH208" i="14" s="1"/>
  <c r="AF246" i="14"/>
  <c r="AH246" i="14" s="1"/>
  <c r="AF21" i="14"/>
  <c r="AH21" i="14" s="1"/>
  <c r="AF249" i="14"/>
  <c r="AH249" i="14" s="1"/>
  <c r="AF101" i="14"/>
  <c r="AH101" i="14" s="1"/>
  <c r="AF125" i="14"/>
  <c r="AH125" i="14" s="1"/>
  <c r="AF176" i="14"/>
  <c r="AH176" i="14" s="1"/>
  <c r="AF53" i="14"/>
  <c r="AH53" i="14" s="1"/>
  <c r="AF213" i="14"/>
  <c r="AH213" i="14" s="1"/>
  <c r="AF223" i="14"/>
  <c r="AH223" i="14" s="1"/>
  <c r="AF228" i="14"/>
  <c r="AH228" i="14" s="1"/>
  <c r="H17" i="86"/>
  <c r="K17" i="86" s="1"/>
  <c r="G154" i="86"/>
  <c r="J154" i="86" s="1"/>
  <c r="AT50" i="20"/>
  <c r="AT1298" i="20"/>
  <c r="AT1310" i="20"/>
  <c r="AT1182" i="20"/>
  <c r="AT1246" i="20"/>
  <c r="AT1170" i="20"/>
  <c r="AT1178" i="20"/>
  <c r="AT1314" i="20"/>
  <c r="AT1294" i="20"/>
  <c r="AT1162" i="20"/>
  <c r="G62" i="86"/>
  <c r="J62" i="86" s="1"/>
  <c r="AT1334" i="20"/>
  <c r="AT181" i="20"/>
  <c r="I77" i="86"/>
  <c r="L77" i="86" s="1"/>
  <c r="K28" i="37"/>
  <c r="G152" i="86"/>
  <c r="J152" i="86" s="1"/>
  <c r="AT27" i="20"/>
  <c r="AR27" i="20"/>
  <c r="AT14" i="20"/>
  <c r="AR14" i="20"/>
  <c r="AT51" i="20"/>
  <c r="AR51" i="20"/>
  <c r="AT68" i="20"/>
  <c r="AR68" i="20"/>
  <c r="AT74" i="20"/>
  <c r="AR74" i="20"/>
  <c r="AT118" i="20"/>
  <c r="AR118" i="20"/>
  <c r="AT874" i="20"/>
  <c r="AR874" i="20"/>
  <c r="I8" i="86"/>
  <c r="L8" i="86" s="1"/>
  <c r="AT26" i="20"/>
  <c r="AR26" i="20"/>
  <c r="AT8" i="20"/>
  <c r="AR8" i="20"/>
  <c r="AT75" i="20"/>
  <c r="AR75" i="20"/>
  <c r="AT100" i="20"/>
  <c r="AR100" i="20"/>
  <c r="AT134" i="20"/>
  <c r="AR134" i="20"/>
  <c r="AT583" i="20"/>
  <c r="AR583" i="20"/>
  <c r="AT652" i="20"/>
  <c r="AR652" i="20"/>
  <c r="AT1051" i="20"/>
  <c r="AR1051" i="20"/>
  <c r="AP1136" i="20"/>
  <c r="AO1136" i="20"/>
  <c r="AP901" i="20"/>
  <c r="AO901" i="20"/>
  <c r="AB658" i="20"/>
  <c r="AF658" i="20"/>
  <c r="AI658" i="20"/>
  <c r="AP656" i="20"/>
  <c r="AO656" i="20"/>
  <c r="AJ656" i="20"/>
  <c r="AI656" i="20"/>
  <c r="AL656" i="20"/>
  <c r="AA656" i="20"/>
  <c r="AB648" i="20"/>
  <c r="AC648" i="20"/>
  <c r="AL648" i="20"/>
  <c r="Z648" i="20"/>
  <c r="Y648" i="20"/>
  <c r="AP645" i="20"/>
  <c r="AA645" i="20"/>
  <c r="AG645" i="20"/>
  <c r="AI645" i="20"/>
  <c r="AP641" i="20"/>
  <c r="AO641" i="20"/>
  <c r="AD641" i="20"/>
  <c r="AL641" i="20"/>
  <c r="AC641" i="20"/>
  <c r="AP637" i="20"/>
  <c r="AO637" i="20"/>
  <c r="AC637" i="20"/>
  <c r="AL637" i="20"/>
  <c r="Y637" i="20"/>
  <c r="AA637" i="20"/>
  <c r="AP633" i="20"/>
  <c r="AE633" i="20"/>
  <c r="Y633" i="20"/>
  <c r="AH633" i="20"/>
  <c r="AK633" i="20"/>
  <c r="AP629" i="20"/>
  <c r="AF629" i="20"/>
  <c r="AI629" i="20"/>
  <c r="AC629" i="20"/>
  <c r="AB629" i="20"/>
  <c r="AP625" i="20"/>
  <c r="AO625" i="20"/>
  <c r="AL625" i="20"/>
  <c r="AA625" i="20"/>
  <c r="AF625" i="20"/>
  <c r="AO621" i="20"/>
  <c r="AJ621" i="20"/>
  <c r="AK621" i="20"/>
  <c r="AC621" i="20"/>
  <c r="AP616" i="20"/>
  <c r="Y616" i="20"/>
  <c r="Z616" i="20"/>
  <c r="AH616" i="20"/>
  <c r="AB616" i="20"/>
  <c r="AP612" i="20"/>
  <c r="Z612" i="20"/>
  <c r="AB612" i="20"/>
  <c r="AK612" i="20"/>
  <c r="AP608" i="20"/>
  <c r="AO608" i="20"/>
  <c r="AP600" i="20"/>
  <c r="AO600" i="20"/>
  <c r="Y600" i="20"/>
  <c r="AP597" i="20"/>
  <c r="AL597" i="20"/>
  <c r="AJ597" i="20"/>
  <c r="AP519" i="20"/>
  <c r="AO519" i="20"/>
  <c r="AP569" i="20"/>
  <c r="AO569" i="20"/>
  <c r="AP504" i="20"/>
  <c r="AO504" i="20"/>
  <c r="AP477" i="20"/>
  <c r="AO477" i="20"/>
  <c r="AP473" i="20"/>
  <c r="AO473" i="20"/>
  <c r="AH473" i="20"/>
  <c r="Y469" i="20"/>
  <c r="AE469" i="20"/>
  <c r="Z469" i="20"/>
  <c r="AH427" i="20"/>
  <c r="AG427" i="20"/>
  <c r="AJ427" i="20"/>
  <c r="AL427" i="20"/>
  <c r="AE422" i="20"/>
  <c r="AF422" i="20"/>
  <c r="Y422" i="20"/>
  <c r="AC422" i="20"/>
  <c r="AB419" i="20"/>
  <c r="AL419" i="20"/>
  <c r="Z419" i="20"/>
  <c r="AF413" i="20"/>
  <c r="AK413" i="20"/>
  <c r="Z413" i="20"/>
  <c r="AB411" i="20"/>
  <c r="AN411" i="20"/>
  <c r="AG411" i="20"/>
  <c r="AJ411" i="20"/>
  <c r="AP404" i="20"/>
  <c r="AA404" i="20"/>
  <c r="AH404" i="20"/>
  <c r="Y404" i="20"/>
  <c r="AP403" i="20"/>
  <c r="AA403" i="20"/>
  <c r="AE403" i="20"/>
  <c r="AB403" i="20"/>
  <c r="AI403" i="20"/>
  <c r="AH263" i="20"/>
  <c r="AN263" i="20"/>
  <c r="AG263" i="20"/>
  <c r="AB263" i="20"/>
  <c r="AP105" i="20"/>
  <c r="AO105" i="20"/>
  <c r="AN404" i="20"/>
  <c r="AF404" i="20"/>
  <c r="AI413" i="20"/>
  <c r="AC413" i="20"/>
  <c r="AN413" i="20"/>
  <c r="AD422" i="20"/>
  <c r="AB422" i="20"/>
  <c r="AL422" i="20"/>
  <c r="AI473" i="20"/>
  <c r="AJ605" i="20"/>
  <c r="Y465" i="20"/>
  <c r="AJ593" i="20"/>
  <c r="AI465" i="20"/>
  <c r="AL621" i="20"/>
  <c r="AL658" i="20"/>
  <c r="AL608" i="20"/>
  <c r="AO658" i="20"/>
  <c r="AO616" i="20"/>
  <c r="AO648" i="20"/>
  <c r="AO520" i="20"/>
  <c r="AP763" i="20"/>
  <c r="AP605" i="20"/>
  <c r="AC263" i="20"/>
  <c r="Z263" i="20"/>
  <c r="AJ263" i="20"/>
  <c r="AK403" i="20"/>
  <c r="AH403" i="20"/>
  <c r="AK411" i="20"/>
  <c r="AF411" i="20"/>
  <c r="Y411" i="20"/>
  <c r="AC419" i="20"/>
  <c r="AA419" i="20"/>
  <c r="AN419" i="20"/>
  <c r="AK427" i="20"/>
  <c r="AC427" i="20"/>
  <c r="AA413" i="20"/>
  <c r="AE404" i="20"/>
  <c r="AJ404" i="20"/>
  <c r="AB404" i="20"/>
  <c r="AE413" i="20"/>
  <c r="AD413" i="20"/>
  <c r="AH422" i="20"/>
  <c r="AA422" i="20"/>
  <c r="AN422" i="20"/>
  <c r="AB901" i="20"/>
  <c r="AF648" i="20"/>
  <c r="AH637" i="20"/>
  <c r="AI469" i="20"/>
  <c r="AH621" i="20"/>
  <c r="AD600" i="20"/>
  <c r="AC473" i="20"/>
  <c r="AJ637" i="20"/>
  <c r="AO1128" i="20"/>
  <c r="AO645" i="20"/>
  <c r="AO612" i="20"/>
  <c r="AO511" i="20"/>
  <c r="AO115" i="20"/>
  <c r="AO205" i="20"/>
  <c r="AP621" i="20"/>
  <c r="AL22" i="20"/>
  <c r="N12" i="37" s="1"/>
  <c r="AI22" i="20"/>
  <c r="K12" i="37" s="1"/>
  <c r="AG22" i="20"/>
  <c r="I12" i="37" s="1"/>
  <c r="AT1330" i="20"/>
  <c r="AT1286" i="20"/>
  <c r="AT1262" i="20"/>
  <c r="AT1226" i="20"/>
  <c r="AT1222" i="20"/>
  <c r="AT1174" i="20"/>
  <c r="AT1146" i="20"/>
  <c r="AO103" i="20"/>
  <c r="AP103" i="20"/>
  <c r="AP96" i="20"/>
  <c r="AO96" i="20"/>
  <c r="H54" i="86"/>
  <c r="AC22" i="20"/>
  <c r="E12" i="37" s="1"/>
  <c r="AK22" i="20"/>
  <c r="M12" i="37" s="1"/>
  <c r="AE22" i="20"/>
  <c r="G12" i="37" s="1"/>
  <c r="G40" i="37"/>
  <c r="AB22" i="20"/>
  <c r="D12" i="37" s="1"/>
  <c r="AD22" i="20"/>
  <c r="F12" i="37" s="1"/>
  <c r="AF22" i="20"/>
  <c r="H12" i="37" s="1"/>
  <c r="AH22" i="20"/>
  <c r="J12" i="37" s="1"/>
  <c r="AJ22" i="20"/>
  <c r="L12" i="37" s="1"/>
  <c r="U9" i="19"/>
  <c r="AF5" i="14"/>
  <c r="AH5" i="14" s="1"/>
  <c r="U40" i="19"/>
  <c r="AF264" i="14"/>
  <c r="AH264" i="14" s="1"/>
  <c r="AF58" i="14"/>
  <c r="AH58" i="14" s="1"/>
  <c r="AF164" i="14"/>
  <c r="AH164" i="14" s="1"/>
  <c r="AF147" i="14"/>
  <c r="AH147" i="14" s="1"/>
  <c r="AF210" i="14"/>
  <c r="AH210" i="14" s="1"/>
  <c r="AF105" i="14"/>
  <c r="AH105" i="14" s="1"/>
  <c r="AF68" i="14"/>
  <c r="AH68" i="14" s="1"/>
  <c r="AF60" i="14"/>
  <c r="AH60" i="14" s="1"/>
  <c r="AF211" i="14"/>
  <c r="AH211" i="14" s="1"/>
  <c r="AF94" i="14"/>
  <c r="AH94" i="14" s="1"/>
  <c r="AF185" i="14"/>
  <c r="AH185" i="14" s="1"/>
  <c r="AF100" i="14"/>
  <c r="AH100" i="14" s="1"/>
  <c r="AF229" i="14"/>
  <c r="AH229" i="14" s="1"/>
  <c r="AF241" i="14"/>
  <c r="AH241" i="14" s="1"/>
  <c r="AF274" i="14"/>
  <c r="AH274" i="14" s="1"/>
  <c r="AF156" i="14"/>
  <c r="AH156" i="14" s="1"/>
  <c r="AF148" i="14"/>
  <c r="AH148" i="14" s="1"/>
  <c r="AF77" i="14"/>
  <c r="AH77" i="14" s="1"/>
  <c r="AF217" i="14"/>
  <c r="AH217" i="14" s="1"/>
  <c r="AF256" i="14"/>
  <c r="AH256" i="14" s="1"/>
  <c r="AF121" i="14"/>
  <c r="AH121" i="14" s="1"/>
  <c r="AF192" i="14"/>
  <c r="AH192" i="14" s="1"/>
  <c r="AF38" i="14"/>
  <c r="AH38" i="14" s="1"/>
  <c r="AF57" i="14"/>
  <c r="AH57" i="14" s="1"/>
  <c r="AF181" i="14"/>
  <c r="AH181" i="14" s="1"/>
  <c r="AF35" i="14"/>
  <c r="AH35" i="14" s="1"/>
  <c r="AF199" i="14"/>
  <c r="AH199" i="14" s="1"/>
  <c r="AF37" i="14"/>
  <c r="AH37" i="14" s="1"/>
  <c r="AF9" i="14"/>
  <c r="AH9" i="14" s="1"/>
  <c r="AF206" i="14"/>
  <c r="AH206" i="14" s="1"/>
  <c r="AF188" i="14"/>
  <c r="AH188" i="14" s="1"/>
  <c r="AF87" i="14"/>
  <c r="AH87" i="14" s="1"/>
  <c r="AF134" i="14"/>
  <c r="AH134" i="14" s="1"/>
  <c r="AF91" i="14"/>
  <c r="AH91" i="14" s="1"/>
  <c r="AF157" i="14"/>
  <c r="AH157" i="14" s="1"/>
  <c r="AF93" i="14"/>
  <c r="AH93" i="14" s="1"/>
  <c r="AF273" i="14"/>
  <c r="AH273" i="14" s="1"/>
  <c r="AF232" i="14"/>
  <c r="AH232" i="14" s="1"/>
  <c r="AF173" i="14"/>
  <c r="AH173" i="14" s="1"/>
  <c r="AF258" i="14"/>
  <c r="AH258" i="14" s="1"/>
  <c r="AF78" i="14"/>
  <c r="AH78" i="14" s="1"/>
  <c r="AF180" i="14"/>
  <c r="AH180" i="14" s="1"/>
  <c r="AF83" i="14"/>
  <c r="AH83" i="14" s="1"/>
  <c r="AF72" i="14"/>
  <c r="AH72" i="14" s="1"/>
  <c r="AF252" i="14"/>
  <c r="AH252" i="14" s="1"/>
  <c r="AF113" i="14"/>
  <c r="AH113" i="14" s="1"/>
  <c r="AF219" i="14"/>
  <c r="AH219" i="14" s="1"/>
  <c r="AF247" i="14"/>
  <c r="AH247" i="14" s="1"/>
  <c r="AF25" i="14"/>
  <c r="AH25" i="14" s="1"/>
  <c r="AF143" i="14"/>
  <c r="AH143" i="14" s="1"/>
  <c r="AT1311" i="20"/>
  <c r="AF154" i="14"/>
  <c r="AH154" i="14" s="1"/>
  <c r="AF15" i="14"/>
  <c r="AH15" i="14" s="1"/>
  <c r="AF112" i="14"/>
  <c r="AH112" i="14" s="1"/>
  <c r="AF262" i="14"/>
  <c r="AH262" i="14" s="1"/>
  <c r="AF184" i="14"/>
  <c r="AH184" i="14" s="1"/>
  <c r="AF131" i="14"/>
  <c r="AH131" i="14" s="1"/>
  <c r="AF74" i="14"/>
  <c r="AH74" i="14" s="1"/>
  <c r="AF13" i="14"/>
  <c r="AH13" i="14" s="1"/>
  <c r="AF96" i="14"/>
  <c r="AH96" i="14" s="1"/>
  <c r="AF84" i="14"/>
  <c r="AH84" i="14" s="1"/>
  <c r="AF275" i="14"/>
  <c r="AH275" i="14" s="1"/>
  <c r="AF245" i="14"/>
  <c r="AH245" i="14" s="1"/>
  <c r="AF46" i="14"/>
  <c r="AH46" i="14" s="1"/>
  <c r="AF98" i="14"/>
  <c r="AH98" i="14" s="1"/>
  <c r="AF174" i="14"/>
  <c r="AH174" i="14" s="1"/>
  <c r="AF42" i="14"/>
  <c r="AH42" i="14" s="1"/>
  <c r="AF278" i="14"/>
  <c r="AH278" i="14" s="1"/>
  <c r="AF140" i="14"/>
  <c r="AH140" i="14" s="1"/>
  <c r="AF45" i="14"/>
  <c r="AH45" i="14" s="1"/>
  <c r="AF70" i="14"/>
  <c r="AH70" i="14" s="1"/>
  <c r="AF89" i="14"/>
  <c r="AH89" i="14" s="1"/>
  <c r="AF179" i="14"/>
  <c r="AH179" i="14" s="1"/>
  <c r="AF71" i="14"/>
  <c r="AH71" i="14" s="1"/>
  <c r="AF169" i="14"/>
  <c r="AH169" i="14" s="1"/>
  <c r="AF194" i="14"/>
  <c r="AH194" i="14" s="1"/>
  <c r="AF200" i="14"/>
  <c r="AH200" i="14" s="1"/>
  <c r="AF276" i="14"/>
  <c r="AH276" i="14" s="1"/>
  <c r="AF269" i="14"/>
  <c r="AH269" i="14" s="1"/>
  <c r="AF41" i="14"/>
  <c r="AH41" i="14" s="1"/>
  <c r="AF272" i="14"/>
  <c r="AH272" i="14" s="1"/>
  <c r="AF52" i="14"/>
  <c r="AH52" i="14" s="1"/>
  <c r="AF97" i="14"/>
  <c r="AH97" i="14" s="1"/>
  <c r="AF163" i="14"/>
  <c r="AH163" i="14" s="1"/>
  <c r="AF32" i="14"/>
  <c r="AH32" i="14" s="1"/>
  <c r="AF90" i="14"/>
  <c r="AH90" i="14" s="1"/>
  <c r="AF271" i="14"/>
  <c r="AH271" i="14" s="1"/>
  <c r="AF193" i="14"/>
  <c r="AH193" i="14" s="1"/>
  <c r="AF55" i="14"/>
  <c r="AH55" i="14" s="1"/>
  <c r="AF270" i="14"/>
  <c r="AH270" i="14" s="1"/>
  <c r="AF130" i="14"/>
  <c r="AH130" i="14" s="1"/>
  <c r="AF109" i="14"/>
  <c r="AH109" i="14" s="1"/>
  <c r="AF99" i="14"/>
  <c r="AH99" i="14" s="1"/>
  <c r="AF218" i="14"/>
  <c r="AH218" i="14" s="1"/>
  <c r="AF224" i="14"/>
  <c r="AH224" i="14" s="1"/>
  <c r="AF236" i="14"/>
  <c r="AH236" i="14" s="1"/>
  <c r="AF56" i="14"/>
  <c r="AH56" i="14" s="1"/>
  <c r="AF221" i="14"/>
  <c r="AH221" i="14" s="1"/>
  <c r="AF64" i="14"/>
  <c r="AH64" i="14" s="1"/>
  <c r="AF26" i="14"/>
  <c r="AH26" i="14" s="1"/>
  <c r="AF226" i="14"/>
  <c r="AH226" i="14" s="1"/>
  <c r="AF191" i="14"/>
  <c r="AH191" i="14" s="1"/>
  <c r="AF225" i="14"/>
  <c r="AH225" i="14" s="1"/>
  <c r="AF240" i="14"/>
  <c r="AH240" i="14" s="1"/>
  <c r="AF133" i="14"/>
  <c r="AH133" i="14" s="1"/>
  <c r="AF177" i="14"/>
  <c r="AH177" i="14" s="1"/>
  <c r="AF212" i="14"/>
  <c r="AH212" i="14" s="1"/>
  <c r="AF144" i="14"/>
  <c r="AH144" i="14" s="1"/>
  <c r="AF79" i="14"/>
  <c r="AH79" i="14" s="1"/>
  <c r="AF172" i="14"/>
  <c r="AH172" i="14" s="1"/>
  <c r="AF162" i="14"/>
  <c r="AH162" i="14" s="1"/>
  <c r="AF75" i="14"/>
  <c r="AH75" i="14" s="1"/>
  <c r="AF30" i="14"/>
  <c r="AH30" i="14" s="1"/>
  <c r="AF107" i="14"/>
  <c r="AH107" i="14" s="1"/>
  <c r="AF233" i="14"/>
  <c r="AH233" i="14" s="1"/>
  <c r="AF268" i="14"/>
  <c r="AH268" i="14" s="1"/>
  <c r="AF251" i="14"/>
  <c r="AH251" i="14" s="1"/>
  <c r="AF186" i="14"/>
  <c r="AH186" i="14" s="1"/>
  <c r="AF81" i="14"/>
  <c r="AH81" i="14" s="1"/>
  <c r="AF153" i="14"/>
  <c r="AH153" i="14" s="1"/>
  <c r="AF151" i="14"/>
  <c r="AH151" i="14" s="1"/>
  <c r="AF207" i="14"/>
  <c r="AH207" i="14" s="1"/>
  <c r="AF18" i="14"/>
  <c r="AH18" i="14" s="1"/>
  <c r="AF103" i="14"/>
  <c r="AH103" i="14" s="1"/>
  <c r="AF203" i="14"/>
  <c r="AH203" i="14" s="1"/>
  <c r="AF61" i="14"/>
  <c r="AH61" i="14" s="1"/>
  <c r="AF182" i="14"/>
  <c r="AH182" i="14" s="1"/>
  <c r="AF51" i="14"/>
  <c r="AH51" i="14" s="1"/>
  <c r="AF88" i="14"/>
  <c r="AH88" i="14" s="1"/>
  <c r="AF234" i="14"/>
  <c r="AH234" i="14" s="1"/>
  <c r="AF49" i="14"/>
  <c r="AH49" i="14" s="1"/>
  <c r="AF124" i="14"/>
  <c r="AH124" i="14" s="1"/>
  <c r="AF111" i="14"/>
  <c r="AH111" i="14" s="1"/>
  <c r="AF214" i="14"/>
  <c r="AH214" i="14" s="1"/>
  <c r="AF216" i="14"/>
  <c r="AH216" i="14" s="1"/>
  <c r="AF222" i="14"/>
  <c r="AH222" i="14" s="1"/>
  <c r="AF146" i="14"/>
  <c r="AH146" i="14" s="1"/>
  <c r="AF118" i="14"/>
  <c r="AH118" i="14" s="1"/>
  <c r="AF132" i="14"/>
  <c r="AH132" i="14" s="1"/>
  <c r="AF171" i="14"/>
  <c r="AH171" i="14" s="1"/>
  <c r="AF65" i="14"/>
  <c r="AH65" i="14" s="1"/>
  <c r="AF36" i="14"/>
  <c r="AH36" i="14" s="1"/>
  <c r="AF160" i="14"/>
  <c r="AH160" i="14" s="1"/>
  <c r="AF69" i="14"/>
  <c r="AH69" i="14" s="1"/>
  <c r="AF123" i="14"/>
  <c r="AH123" i="14" s="1"/>
  <c r="AF220" i="14"/>
  <c r="AH220" i="14" s="1"/>
  <c r="AF24" i="14"/>
  <c r="AH24" i="14" s="1"/>
  <c r="AF259" i="14"/>
  <c r="AH259" i="14" s="1"/>
  <c r="AF27" i="14"/>
  <c r="AH27" i="14" s="1"/>
  <c r="AF86" i="14"/>
  <c r="AH86" i="14" s="1"/>
  <c r="AF227" i="14"/>
  <c r="AH227" i="14" s="1"/>
  <c r="AF201" i="14"/>
  <c r="AH201" i="14" s="1"/>
  <c r="AF34" i="14"/>
  <c r="AH34" i="14" s="1"/>
  <c r="AF265" i="14"/>
  <c r="AH265" i="14" s="1"/>
  <c r="AF250" i="14"/>
  <c r="AH250" i="14" s="1"/>
  <c r="AF277" i="14"/>
  <c r="AH277" i="14" s="1"/>
  <c r="AF197" i="14"/>
  <c r="AH197" i="14" s="1"/>
  <c r="AF19" i="14"/>
  <c r="AH19" i="14" s="1"/>
  <c r="AT1326" i="20"/>
  <c r="AF23" i="14"/>
  <c r="AH23" i="14" s="1"/>
  <c r="AF54" i="14"/>
  <c r="AH54" i="14" s="1"/>
  <c r="AF263" i="14"/>
  <c r="AH263" i="14" s="1"/>
  <c r="AF12" i="14"/>
  <c r="AH12" i="14" s="1"/>
  <c r="AF11" i="14"/>
  <c r="AH11" i="14" s="1"/>
  <c r="AF142" i="14"/>
  <c r="AH142" i="14" s="1"/>
  <c r="AF209" i="14"/>
  <c r="AH209" i="14" s="1"/>
  <c r="AF215" i="14"/>
  <c r="AH215" i="14" s="1"/>
  <c r="AF20" i="14"/>
  <c r="AH20" i="14" s="1"/>
  <c r="K8" i="36"/>
  <c r="AF16" i="14"/>
  <c r="AH16" i="14" s="1"/>
  <c r="AF167" i="14"/>
  <c r="AH167" i="14" s="1"/>
  <c r="AF204" i="14"/>
  <c r="AF170" i="14"/>
  <c r="AH170" i="14" s="1"/>
  <c r="K21" i="36"/>
  <c r="M21" i="36" s="1"/>
  <c r="AF267" i="14"/>
  <c r="AH267" i="14" s="1"/>
  <c r="AF183" i="14"/>
  <c r="AH183" i="14" s="1"/>
  <c r="AF47" i="14"/>
  <c r="AH47" i="14" s="1"/>
  <c r="AF17" i="14"/>
  <c r="AH17" i="14" s="1"/>
  <c r="K7" i="36"/>
  <c r="N7" i="36" s="1"/>
  <c r="AF254" i="14"/>
  <c r="AH254" i="14" s="1"/>
  <c r="AF104" i="14"/>
  <c r="AH104" i="14" s="1"/>
  <c r="AF29" i="14"/>
  <c r="AH29" i="14" s="1"/>
  <c r="AF243" i="14"/>
  <c r="AH243" i="14" s="1"/>
  <c r="K26" i="36"/>
  <c r="M26" i="36" s="1"/>
  <c r="AF159" i="14"/>
  <c r="AH159" i="14" s="1"/>
  <c r="CH24" i="62"/>
  <c r="CH26" i="62"/>
  <c r="CH30" i="62"/>
  <c r="AT1239" i="20"/>
  <c r="AT1338" i="20"/>
  <c r="AT1175" i="20"/>
  <c r="AT1271" i="20"/>
  <c r="CH28" i="62"/>
  <c r="N27" i="36"/>
  <c r="AA22" i="66" s="1"/>
  <c r="AF44" i="14"/>
  <c r="AH44" i="14" s="1"/>
  <c r="AF62" i="14"/>
  <c r="AH62" i="14" s="1"/>
  <c r="AF106" i="14"/>
  <c r="AH106" i="14" s="1"/>
  <c r="K9" i="36"/>
  <c r="AF31" i="14"/>
  <c r="AH31" i="14" s="1"/>
  <c r="AF202" i="14"/>
  <c r="AH202" i="14" s="1"/>
  <c r="AF198" i="14"/>
  <c r="AH198" i="14" s="1"/>
  <c r="K22" i="36"/>
  <c r="AF196" i="14"/>
  <c r="AH196" i="14" s="1"/>
  <c r="K16" i="36"/>
  <c r="AF92" i="14"/>
  <c r="AH92" i="14" s="1"/>
  <c r="K28" i="36"/>
  <c r="AF260" i="14"/>
  <c r="AH260" i="14" s="1"/>
  <c r="AF73" i="14"/>
  <c r="AH73" i="14" s="1"/>
  <c r="K14" i="36"/>
  <c r="AF116" i="14"/>
  <c r="AH116" i="14" s="1"/>
  <c r="K20" i="36"/>
  <c r="AF150" i="14"/>
  <c r="AH150" i="14" s="1"/>
  <c r="CH31" i="62"/>
  <c r="M13" i="36"/>
  <c r="AT1194" i="20"/>
  <c r="AT1266" i="20"/>
  <c r="K39" i="37"/>
  <c r="AO53" i="40"/>
  <c r="E32" i="40"/>
  <c r="C41" i="40"/>
  <c r="AK41" i="40"/>
  <c r="I35" i="40" s="1"/>
  <c r="AM41" i="40"/>
  <c r="K35" i="40" s="1"/>
  <c r="AO51" i="40"/>
  <c r="AO65" i="40"/>
  <c r="AO54" i="40"/>
  <c r="AO66" i="40"/>
  <c r="AO55" i="40"/>
  <c r="AL67" i="40"/>
  <c r="J34" i="40" s="1"/>
  <c r="AO63" i="40"/>
  <c r="AO50" i="40"/>
  <c r="AO64" i="40"/>
  <c r="AO61" i="40"/>
  <c r="AO60" i="40"/>
  <c r="AO59" i="40"/>
  <c r="AO57" i="40"/>
  <c r="C30" i="37"/>
  <c r="X6" i="66"/>
  <c r="X24" i="66" s="1"/>
  <c r="AO48" i="40"/>
  <c r="D41" i="40"/>
  <c r="AG8" i="66"/>
  <c r="Z8" i="66" s="1"/>
  <c r="AM67" i="40"/>
  <c r="K34" i="40" s="1"/>
  <c r="N13" i="43"/>
  <c r="R13" i="43" s="1"/>
  <c r="AL41" i="40"/>
  <c r="J35" i="40" s="1"/>
  <c r="P13" i="36"/>
  <c r="L13" i="36" s="1"/>
  <c r="O13" i="36" s="1"/>
  <c r="C55" i="37"/>
  <c r="D32" i="40"/>
  <c r="G39" i="37"/>
  <c r="B29" i="36"/>
  <c r="AN67" i="40"/>
  <c r="L34" i="40" s="1"/>
  <c r="Y24" i="66"/>
  <c r="AC24" i="66" s="1"/>
  <c r="Z19" i="66"/>
  <c r="AG24" i="66"/>
  <c r="Z24" i="66" s="1"/>
  <c r="AO49" i="40"/>
  <c r="B55" i="37"/>
  <c r="B30" i="37"/>
  <c r="AJ67" i="40"/>
  <c r="D49" i="40"/>
  <c r="E47" i="40"/>
  <c r="E48" i="40"/>
  <c r="E46" i="40"/>
  <c r="C49" i="40"/>
  <c r="K23" i="36"/>
  <c r="I13" i="43"/>
  <c r="I15" i="43"/>
  <c r="AC13" i="43"/>
  <c r="AC18" i="43"/>
  <c r="AC12" i="43"/>
  <c r="AC21" i="43"/>
  <c r="I12" i="43"/>
  <c r="I18" i="43"/>
  <c r="R14" i="43"/>
  <c r="AC15" i="43"/>
  <c r="I41" i="40"/>
  <c r="I48" i="40"/>
  <c r="I47" i="40"/>
  <c r="I46" i="40"/>
  <c r="I45" i="40"/>
  <c r="H48" i="40"/>
  <c r="I43" i="40"/>
  <c r="H41" i="40"/>
  <c r="H46" i="40"/>
  <c r="H45" i="40"/>
  <c r="H44" i="40"/>
  <c r="H43" i="40"/>
  <c r="H42" i="40"/>
  <c r="I44" i="40"/>
  <c r="I42" i="40"/>
  <c r="H47" i="40"/>
  <c r="H100" i="86" l="1"/>
  <c r="K100" i="86" s="1"/>
  <c r="I16" i="43"/>
  <c r="I14" i="43"/>
  <c r="E42" i="40"/>
  <c r="L28" i="36"/>
  <c r="O28" i="36" s="1"/>
  <c r="G110" i="86"/>
  <c r="D38" i="37"/>
  <c r="G38" i="37" s="1"/>
  <c r="H94" i="86"/>
  <c r="K94" i="86" s="1"/>
  <c r="I120" i="86"/>
  <c r="L120" i="86" s="1"/>
  <c r="G163" i="86"/>
  <c r="J163" i="86" s="1"/>
  <c r="G132" i="86"/>
  <c r="H90" i="86"/>
  <c r="K90" i="86" s="1"/>
  <c r="G7" i="86"/>
  <c r="J7" i="86" s="1"/>
  <c r="H164" i="86"/>
  <c r="H39" i="86"/>
  <c r="K39" i="86" s="1"/>
  <c r="H155" i="86"/>
  <c r="K155" i="86" s="1"/>
  <c r="H44" i="86"/>
  <c r="K44" i="86" s="1"/>
  <c r="G87" i="86"/>
  <c r="J87" i="86" s="1"/>
  <c r="I159" i="86"/>
  <c r="L159" i="86" s="1"/>
  <c r="H68" i="86"/>
  <c r="K68" i="86" s="1"/>
  <c r="H38" i="37"/>
  <c r="K38" i="37" s="1"/>
  <c r="H120" i="86"/>
  <c r="K120" i="86" s="1"/>
  <c r="G90" i="86"/>
  <c r="H118" i="86"/>
  <c r="K118" i="86" s="1"/>
  <c r="I50" i="86"/>
  <c r="L50" i="86" s="1"/>
  <c r="I71" i="86"/>
  <c r="L71" i="86" s="1"/>
  <c r="G11" i="86"/>
  <c r="J11" i="86" s="1"/>
  <c r="G115" i="86"/>
  <c r="J115" i="86" s="1"/>
  <c r="H82" i="86"/>
  <c r="K82" i="86" s="1"/>
  <c r="G130" i="86"/>
  <c r="J130" i="86" s="1"/>
  <c r="E24" i="37"/>
  <c r="F28" i="37"/>
  <c r="G16" i="37"/>
  <c r="H87" i="86"/>
  <c r="K87" i="86" s="1"/>
  <c r="K18" i="37"/>
  <c r="G118" i="86"/>
  <c r="J118" i="86" s="1"/>
  <c r="I21" i="86"/>
  <c r="L21" i="86" s="1"/>
  <c r="G168" i="86"/>
  <c r="J168" i="86" s="1"/>
  <c r="G141" i="86"/>
  <c r="J141" i="86" s="1"/>
  <c r="H2" i="86"/>
  <c r="K2" i="86" s="1"/>
  <c r="K26" i="37"/>
  <c r="H13" i="86"/>
  <c r="K13" i="86" s="1"/>
  <c r="G56" i="86"/>
  <c r="J56" i="86" s="1"/>
  <c r="I123" i="86"/>
  <c r="L123" i="86" s="1"/>
  <c r="H97" i="86"/>
  <c r="K97" i="86" s="1"/>
  <c r="H28" i="37"/>
  <c r="I65" i="86"/>
  <c r="L65" i="86" s="1"/>
  <c r="E11" i="37"/>
  <c r="I51" i="86"/>
  <c r="L51" i="86" s="1"/>
  <c r="G129" i="86"/>
  <c r="J129" i="86" s="1"/>
  <c r="H29" i="86"/>
  <c r="K29" i="86" s="1"/>
  <c r="G83" i="86"/>
  <c r="J83" i="86" s="1"/>
  <c r="H62" i="86"/>
  <c r="K62" i="86" s="1"/>
  <c r="H152" i="86"/>
  <c r="K152" i="86" s="1"/>
  <c r="M28" i="37"/>
  <c r="G58" i="86"/>
  <c r="J58" i="86" s="1"/>
  <c r="I151" i="86"/>
  <c r="L151" i="86" s="1"/>
  <c r="H58" i="86"/>
  <c r="K58" i="86" s="1"/>
  <c r="H7" i="86"/>
  <c r="K7" i="86" s="1"/>
  <c r="G96" i="86"/>
  <c r="J96" i="86" s="1"/>
  <c r="D47" i="37"/>
  <c r="G47" i="37" s="1"/>
  <c r="G53" i="86"/>
  <c r="J53" i="86" s="1"/>
  <c r="H71" i="86"/>
  <c r="K71" i="86" s="1"/>
  <c r="I12" i="86"/>
  <c r="L12" i="86" s="1"/>
  <c r="H19" i="86"/>
  <c r="K19" i="86" s="1"/>
  <c r="G120" i="86"/>
  <c r="J120" i="86" s="1"/>
  <c r="G68" i="86"/>
  <c r="J68" i="86" s="1"/>
  <c r="H95" i="86"/>
  <c r="K95" i="86" s="1"/>
  <c r="H51" i="86"/>
  <c r="K51" i="86" s="1"/>
  <c r="G164" i="86"/>
  <c r="J164" i="86" s="1"/>
  <c r="H27" i="86"/>
  <c r="K27" i="86" s="1"/>
  <c r="H5" i="86"/>
  <c r="K5" i="86" s="1"/>
  <c r="G43" i="86"/>
  <c r="J43" i="86" s="1"/>
  <c r="I90" i="86"/>
  <c r="L90" i="86" s="1"/>
  <c r="I62" i="86"/>
  <c r="L62" i="86" s="1"/>
  <c r="I22" i="86"/>
  <c r="L22" i="86" s="1"/>
  <c r="D11" i="37"/>
  <c r="G158" i="86"/>
  <c r="J158" i="86" s="1"/>
  <c r="E18" i="37"/>
  <c r="G64" i="86"/>
  <c r="J64" i="86" s="1"/>
  <c r="M22" i="37"/>
  <c r="G82" i="86"/>
  <c r="J82" i="86" s="1"/>
  <c r="H163" i="86"/>
  <c r="K163" i="86" s="1"/>
  <c r="I70" i="86"/>
  <c r="L70" i="86" s="1"/>
  <c r="D53" i="37"/>
  <c r="G53" i="37" s="1"/>
  <c r="I2" i="86"/>
  <c r="L2" i="86" s="1"/>
  <c r="I101" i="86"/>
  <c r="L101" i="86" s="1"/>
  <c r="G155" i="86"/>
  <c r="J155" i="86" s="1"/>
  <c r="K11" i="37"/>
  <c r="G51" i="86"/>
  <c r="J51" i="86" s="1"/>
  <c r="I135" i="86"/>
  <c r="L135" i="86" s="1"/>
  <c r="G140" i="86"/>
  <c r="J140" i="86" s="1"/>
  <c r="H43" i="37"/>
  <c r="K43" i="37" s="1"/>
  <c r="I127" i="86"/>
  <c r="L127" i="86" s="1"/>
  <c r="G143" i="86"/>
  <c r="J143" i="86" s="1"/>
  <c r="J28" i="37"/>
  <c r="H143" i="86"/>
  <c r="K143" i="86" s="1"/>
  <c r="H156" i="86"/>
  <c r="K156" i="86" s="1"/>
  <c r="H11" i="86"/>
  <c r="K11" i="86" s="1"/>
  <c r="H65" i="86"/>
  <c r="K65" i="86" s="1"/>
  <c r="H132" i="86"/>
  <c r="K132" i="86" s="1"/>
  <c r="I142" i="86"/>
  <c r="L142" i="86" s="1"/>
  <c r="H135" i="86"/>
  <c r="K135" i="86" s="1"/>
  <c r="H83" i="86"/>
  <c r="K83" i="86" s="1"/>
  <c r="F19" i="37"/>
  <c r="I39" i="86"/>
  <c r="L39" i="86" s="1"/>
  <c r="N22" i="37"/>
  <c r="H110" i="86"/>
  <c r="K110" i="86" s="1"/>
  <c r="G19" i="37"/>
  <c r="G160" i="86"/>
  <c r="J160" i="86" s="1"/>
  <c r="G145" i="86"/>
  <c r="J145" i="86" s="1"/>
  <c r="I56" i="86"/>
  <c r="L56" i="86" s="1"/>
  <c r="H24" i="86"/>
  <c r="K24" i="86" s="1"/>
  <c r="I6" i="86"/>
  <c r="L6" i="86" s="1"/>
  <c r="G24" i="86"/>
  <c r="J24" i="86" s="1"/>
  <c r="I99" i="86"/>
  <c r="L99" i="86" s="1"/>
  <c r="G117" i="86"/>
  <c r="J117" i="86" s="1"/>
  <c r="L27" i="37"/>
  <c r="K20" i="37"/>
  <c r="G127" i="86"/>
  <c r="J127" i="86" s="1"/>
  <c r="G159" i="86"/>
  <c r="J159" i="86" s="1"/>
  <c r="H114" i="86"/>
  <c r="K114" i="86" s="1"/>
  <c r="I97" i="86"/>
  <c r="L97" i="86" s="1"/>
  <c r="G28" i="37"/>
  <c r="G71" i="86"/>
  <c r="J71" i="86" s="1"/>
  <c r="D18" i="37"/>
  <c r="F17" i="37"/>
  <c r="K24" i="37"/>
  <c r="I88" i="86"/>
  <c r="L88" i="86" s="1"/>
  <c r="H85" i="86"/>
  <c r="K85" i="86" s="1"/>
  <c r="H53" i="37"/>
  <c r="K53" i="37" s="1"/>
  <c r="D28" i="37"/>
  <c r="M11" i="37"/>
  <c r="H66" i="86"/>
  <c r="K66" i="86" s="1"/>
  <c r="E26" i="37"/>
  <c r="N11" i="37"/>
  <c r="J26" i="37"/>
  <c r="G22" i="37"/>
  <c r="N26" i="37"/>
  <c r="H121" i="86"/>
  <c r="K121" i="86" s="1"/>
  <c r="G100" i="86"/>
  <c r="J100" i="86" s="1"/>
  <c r="L53" i="37"/>
  <c r="O53" i="37" s="1"/>
  <c r="I28" i="37"/>
  <c r="G6" i="86"/>
  <c r="J6" i="86" s="1"/>
  <c r="I110" i="86"/>
  <c r="L110" i="86" s="1"/>
  <c r="G18" i="37"/>
  <c r="D43" i="37"/>
  <c r="G43" i="37" s="1"/>
  <c r="L28" i="37"/>
  <c r="H6" i="86"/>
  <c r="K6" i="86" s="1"/>
  <c r="M26" i="37"/>
  <c r="H115" i="86"/>
  <c r="K115" i="86" s="1"/>
  <c r="L22" i="37"/>
  <c r="G44" i="86"/>
  <c r="J44" i="86" s="1"/>
  <c r="H88" i="86"/>
  <c r="K88" i="86" s="1"/>
  <c r="G13" i="86"/>
  <c r="J13" i="86" s="1"/>
  <c r="H126" i="86"/>
  <c r="K126" i="86" s="1"/>
  <c r="N28" i="37"/>
  <c r="G65" i="86"/>
  <c r="G80" i="86"/>
  <c r="J80" i="86" s="1"/>
  <c r="H149" i="86"/>
  <c r="K149" i="86" s="1"/>
  <c r="H15" i="86"/>
  <c r="K15" i="86" s="1"/>
  <c r="I27" i="86"/>
  <c r="L27" i="86" s="1"/>
  <c r="M48" i="86"/>
  <c r="N17" i="36"/>
  <c r="AA12" i="66" s="1"/>
  <c r="M49" i="86"/>
  <c r="L17" i="36"/>
  <c r="O17" i="36" s="1"/>
  <c r="AC17" i="43"/>
  <c r="AC19" i="43"/>
  <c r="L20" i="36"/>
  <c r="O20" i="36" s="1"/>
  <c r="L16" i="36"/>
  <c r="O16" i="36" s="1"/>
  <c r="C42" i="40"/>
  <c r="L18" i="36"/>
  <c r="O18" i="36" s="1"/>
  <c r="AC20" i="43"/>
  <c r="N25" i="36"/>
  <c r="AA20" i="66" s="1"/>
  <c r="L10" i="36"/>
  <c r="O10" i="36" s="1"/>
  <c r="M10" i="36"/>
  <c r="L25" i="36"/>
  <c r="O25" i="36" s="1"/>
  <c r="L21" i="36"/>
  <c r="O21" i="36" s="1"/>
  <c r="L24" i="36"/>
  <c r="O24" i="36" s="1"/>
  <c r="M24" i="36"/>
  <c r="I166" i="86"/>
  <c r="L166" i="86" s="1"/>
  <c r="H19" i="37"/>
  <c r="F11" i="37"/>
  <c r="J22" i="37"/>
  <c r="I64" i="86"/>
  <c r="L64" i="86" s="1"/>
  <c r="G151" i="86"/>
  <c r="J151" i="86" s="1"/>
  <c r="F22" i="37"/>
  <c r="I9" i="86"/>
  <c r="L9" i="86" s="1"/>
  <c r="I106" i="86"/>
  <c r="L106" i="86" s="1"/>
  <c r="I15" i="86"/>
  <c r="L15" i="86" s="1"/>
  <c r="H98" i="86"/>
  <c r="K98" i="86" s="1"/>
  <c r="G121" i="86"/>
  <c r="J121" i="86" s="1"/>
  <c r="I53" i="86"/>
  <c r="L53" i="86" s="1"/>
  <c r="G59" i="86"/>
  <c r="J59" i="86" s="1"/>
  <c r="I16" i="37"/>
  <c r="J10" i="37"/>
  <c r="I36" i="86"/>
  <c r="L36" i="86" s="1"/>
  <c r="G99" i="86"/>
  <c r="J99" i="86" s="1"/>
  <c r="I165" i="86"/>
  <c r="L165" i="86" s="1"/>
  <c r="G28" i="86"/>
  <c r="J28" i="86" s="1"/>
  <c r="L19" i="37"/>
  <c r="G128" i="86"/>
  <c r="J128" i="86" s="1"/>
  <c r="H36" i="37"/>
  <c r="K36" i="37" s="1"/>
  <c r="H35" i="86"/>
  <c r="K35" i="86" s="1"/>
  <c r="H21" i="37"/>
  <c r="J25" i="37"/>
  <c r="I59" i="86"/>
  <c r="L59" i="86" s="1"/>
  <c r="H148" i="86"/>
  <c r="K148" i="86" s="1"/>
  <c r="K25" i="37"/>
  <c r="I155" i="86"/>
  <c r="L155" i="86" s="1"/>
  <c r="H111" i="86"/>
  <c r="K111" i="86" s="1"/>
  <c r="N16" i="37"/>
  <c r="I164" i="86"/>
  <c r="L164" i="86" s="1"/>
  <c r="I55" i="86"/>
  <c r="L55" i="86" s="1"/>
  <c r="G124" i="86"/>
  <c r="J124" i="86" s="1"/>
  <c r="M9" i="37"/>
  <c r="D22" i="37"/>
  <c r="G131" i="86"/>
  <c r="G21" i="86"/>
  <c r="J21" i="86" s="1"/>
  <c r="G106" i="86"/>
  <c r="J106" i="86" s="1"/>
  <c r="I96" i="86"/>
  <c r="L96" i="86" s="1"/>
  <c r="H3" i="86"/>
  <c r="K3" i="86" s="1"/>
  <c r="H141" i="86"/>
  <c r="I141" i="86"/>
  <c r="L141" i="86" s="1"/>
  <c r="D25" i="37"/>
  <c r="G149" i="86"/>
  <c r="J149" i="86" s="1"/>
  <c r="K19" i="37"/>
  <c r="H167" i="86"/>
  <c r="K167" i="86" s="1"/>
  <c r="J19" i="37"/>
  <c r="I87" i="86"/>
  <c r="L87" i="86" s="1"/>
  <c r="I168" i="86"/>
  <c r="L168" i="86" s="1"/>
  <c r="H4" i="86"/>
  <c r="K4" i="86" s="1"/>
  <c r="H134" i="86"/>
  <c r="K134" i="86" s="1"/>
  <c r="M25" i="37"/>
  <c r="H137" i="86"/>
  <c r="K137" i="86" s="1"/>
  <c r="H14" i="86"/>
  <c r="K14" i="86" s="1"/>
  <c r="G14" i="86"/>
  <c r="J14" i="86" s="1"/>
  <c r="D41" i="37"/>
  <c r="G41" i="37" s="1"/>
  <c r="H24" i="37"/>
  <c r="G88" i="86"/>
  <c r="J88" i="86" s="1"/>
  <c r="G167" i="86"/>
  <c r="J167" i="86" s="1"/>
  <c r="H96" i="86"/>
  <c r="K96" i="86" s="1"/>
  <c r="I4" i="86"/>
  <c r="L4" i="86" s="1"/>
  <c r="H151" i="86"/>
  <c r="K151" i="86" s="1"/>
  <c r="H147" i="86"/>
  <c r="K147" i="86" s="1"/>
  <c r="I147" i="86"/>
  <c r="L147" i="86" s="1"/>
  <c r="H63" i="86"/>
  <c r="K63" i="86" s="1"/>
  <c r="L25" i="37"/>
  <c r="H56" i="86"/>
  <c r="K56" i="86" s="1"/>
  <c r="I28" i="86"/>
  <c r="L28" i="86" s="1"/>
  <c r="I93" i="86"/>
  <c r="L93" i="86" s="1"/>
  <c r="G126" i="86"/>
  <c r="J126" i="86" s="1"/>
  <c r="H158" i="86"/>
  <c r="K158" i="86" s="1"/>
  <c r="I72" i="86"/>
  <c r="L72" i="86" s="1"/>
  <c r="H30" i="86"/>
  <c r="K30" i="86" s="1"/>
  <c r="G114" i="86"/>
  <c r="J114" i="86" s="1"/>
  <c r="I152" i="86"/>
  <c r="L152" i="86" s="1"/>
  <c r="H91" i="86"/>
  <c r="K91" i="86" s="1"/>
  <c r="I18" i="86"/>
  <c r="L18" i="86" s="1"/>
  <c r="G72" i="86"/>
  <c r="J72" i="86" s="1"/>
  <c r="G12" i="86"/>
  <c r="J12" i="86" s="1"/>
  <c r="I10" i="86"/>
  <c r="L10" i="86" s="1"/>
  <c r="H102" i="86"/>
  <c r="K102" i="86" s="1"/>
  <c r="I100" i="86"/>
  <c r="L100" i="86" s="1"/>
  <c r="F16" i="37"/>
  <c r="E9" i="37"/>
  <c r="G26" i="37"/>
  <c r="I34" i="86"/>
  <c r="L34" i="86" s="1"/>
  <c r="H150" i="86"/>
  <c r="K150" i="86" s="1"/>
  <c r="I58" i="86"/>
  <c r="L58" i="86" s="1"/>
  <c r="I103" i="86"/>
  <c r="L103" i="86" s="1"/>
  <c r="G10" i="86"/>
  <c r="J10" i="86" s="1"/>
  <c r="H78" i="86"/>
  <c r="K78" i="86" s="1"/>
  <c r="G34" i="86"/>
  <c r="J34" i="86" s="1"/>
  <c r="D54" i="37"/>
  <c r="G54" i="37" s="1"/>
  <c r="I107" i="86"/>
  <c r="L107" i="86" s="1"/>
  <c r="G55" i="86"/>
  <c r="J55" i="86" s="1"/>
  <c r="G2" i="86"/>
  <c r="J2" i="86" s="1"/>
  <c r="I148" i="86"/>
  <c r="L148" i="86" s="1"/>
  <c r="J20" i="37"/>
  <c r="G4" i="86"/>
  <c r="J4" i="86" s="1"/>
  <c r="G98" i="86"/>
  <c r="J98" i="86" s="1"/>
  <c r="L51" i="37"/>
  <c r="O51" i="37" s="1"/>
  <c r="D19" i="37"/>
  <c r="G162" i="86"/>
  <c r="J162" i="86" s="1"/>
  <c r="G70" i="86"/>
  <c r="J70" i="86" s="1"/>
  <c r="G112" i="86"/>
  <c r="J112" i="86" s="1"/>
  <c r="H166" i="86"/>
  <c r="K166" i="86" s="1"/>
  <c r="G103" i="86"/>
  <c r="J103" i="86" s="1"/>
  <c r="G153" i="86"/>
  <c r="J153" i="86" s="1"/>
  <c r="H32" i="86"/>
  <c r="K32" i="86" s="1"/>
  <c r="H165" i="86"/>
  <c r="K165" i="86" s="1"/>
  <c r="H145" i="86"/>
  <c r="K145" i="86" s="1"/>
  <c r="G23" i="86"/>
  <c r="J23" i="86" s="1"/>
  <c r="F18" i="37"/>
  <c r="I167" i="86"/>
  <c r="L167" i="86" s="1"/>
  <c r="J11" i="37"/>
  <c r="I37" i="86"/>
  <c r="L37" i="86" s="1"/>
  <c r="J18" i="37"/>
  <c r="I114" i="86"/>
  <c r="L114" i="86" s="1"/>
  <c r="H101" i="86"/>
  <c r="K101" i="86" s="1"/>
  <c r="H128" i="86"/>
  <c r="K128" i="86" s="1"/>
  <c r="I91" i="86"/>
  <c r="L91" i="86" s="1"/>
  <c r="G33" i="86"/>
  <c r="J33" i="86" s="1"/>
  <c r="L38" i="37"/>
  <c r="O38" i="37" s="1"/>
  <c r="H139" i="86"/>
  <c r="K139" i="86" s="1"/>
  <c r="I24" i="86"/>
  <c r="L24" i="86" s="1"/>
  <c r="H99" i="86"/>
  <c r="K99" i="86" s="1"/>
  <c r="I102" i="86"/>
  <c r="L102" i="86" s="1"/>
  <c r="G63" i="86"/>
  <c r="J63" i="86" s="1"/>
  <c r="N23" i="37"/>
  <c r="H92" i="86"/>
  <c r="K92" i="86" s="1"/>
  <c r="D29" i="37"/>
  <c r="L47" i="37"/>
  <c r="O47" i="37" s="1"/>
  <c r="H112" i="86"/>
  <c r="K112" i="86" s="1"/>
  <c r="H107" i="86"/>
  <c r="G35" i="86"/>
  <c r="J35" i="86" s="1"/>
  <c r="G102" i="86"/>
  <c r="J102" i="86" s="1"/>
  <c r="F23" i="37"/>
  <c r="N29" i="37"/>
  <c r="H162" i="86"/>
  <c r="K162" i="86" s="1"/>
  <c r="N20" i="37"/>
  <c r="G93" i="86"/>
  <c r="J93" i="86" s="1"/>
  <c r="I89" i="86"/>
  <c r="L89" i="86" s="1"/>
  <c r="H23" i="86"/>
  <c r="K23" i="86" s="1"/>
  <c r="D36" i="37"/>
  <c r="G36" i="37" s="1"/>
  <c r="H10" i="37"/>
  <c r="G24" i="37"/>
  <c r="I134" i="86"/>
  <c r="L134" i="86" s="1"/>
  <c r="H27" i="37"/>
  <c r="I126" i="86"/>
  <c r="L126" i="86" s="1"/>
  <c r="I121" i="86"/>
  <c r="L121" i="86" s="1"/>
  <c r="I156" i="86"/>
  <c r="L156" i="86" s="1"/>
  <c r="M29" i="37"/>
  <c r="I33" i="86"/>
  <c r="L33" i="86" s="1"/>
  <c r="G134" i="86"/>
  <c r="J134" i="86" s="1"/>
  <c r="G69" i="86"/>
  <c r="J69" i="86" s="1"/>
  <c r="G97" i="86"/>
  <c r="I118" i="86"/>
  <c r="L118" i="86" s="1"/>
  <c r="H45" i="37"/>
  <c r="K45" i="37" s="1"/>
  <c r="G25" i="86"/>
  <c r="J25" i="86" s="1"/>
  <c r="N15" i="37"/>
  <c r="H37" i="37"/>
  <c r="K37" i="37" s="1"/>
  <c r="H127" i="86"/>
  <c r="H37" i="86"/>
  <c r="K37" i="86" s="1"/>
  <c r="G39" i="86"/>
  <c r="J39" i="86" s="1"/>
  <c r="H55" i="86"/>
  <c r="K55" i="86" s="1"/>
  <c r="D45" i="37"/>
  <c r="G45" i="37" s="1"/>
  <c r="I25" i="86"/>
  <c r="L25" i="86" s="1"/>
  <c r="H131" i="86"/>
  <c r="K131" i="86" s="1"/>
  <c r="G15" i="86"/>
  <c r="J15" i="86" s="1"/>
  <c r="G3" i="86"/>
  <c r="J3" i="86" s="1"/>
  <c r="M20" i="37"/>
  <c r="D37" i="37"/>
  <c r="G37" i="37" s="1"/>
  <c r="I112" i="86"/>
  <c r="L112" i="86" s="1"/>
  <c r="L15" i="37"/>
  <c r="I11" i="86"/>
  <c r="L11" i="86" s="1"/>
  <c r="I117" i="86"/>
  <c r="L117" i="86" s="1"/>
  <c r="I63" i="86"/>
  <c r="L63" i="86" s="1"/>
  <c r="I150" i="86"/>
  <c r="L150" i="86" s="1"/>
  <c r="E27" i="37"/>
  <c r="M15" i="37"/>
  <c r="G111" i="86"/>
  <c r="M111" i="86" s="1"/>
  <c r="I139" i="86"/>
  <c r="L139" i="86" s="1"/>
  <c r="I162" i="86"/>
  <c r="L162" i="86" s="1"/>
  <c r="I131" i="86"/>
  <c r="L131" i="86" s="1"/>
  <c r="G147" i="86"/>
  <c r="J147" i="86" s="1"/>
  <c r="N9" i="37"/>
  <c r="G9" i="86"/>
  <c r="J9" i="86" s="1"/>
  <c r="H57" i="86"/>
  <c r="K57" i="86" s="1"/>
  <c r="G36" i="86"/>
  <c r="J36" i="86" s="1"/>
  <c r="H136" i="86"/>
  <c r="K136" i="86" s="1"/>
  <c r="H29" i="37"/>
  <c r="I128" i="86"/>
  <c r="L128" i="86" s="1"/>
  <c r="H168" i="86"/>
  <c r="K168" i="86" s="1"/>
  <c r="I95" i="86"/>
  <c r="L95" i="86" s="1"/>
  <c r="H160" i="86"/>
  <c r="K160" i="86" s="1"/>
  <c r="H33" i="86"/>
  <c r="K33" i="86" s="1"/>
  <c r="H67" i="86"/>
  <c r="K67" i="86" s="1"/>
  <c r="F27" i="37"/>
  <c r="I140" i="86"/>
  <c r="L140" i="86" s="1"/>
  <c r="D52" i="37"/>
  <c r="G52" i="37" s="1"/>
  <c r="G107" i="86"/>
  <c r="J107" i="86" s="1"/>
  <c r="H72" i="86"/>
  <c r="K72" i="86" s="1"/>
  <c r="I3" i="86"/>
  <c r="L3" i="86" s="1"/>
  <c r="G113" i="86"/>
  <c r="J113" i="86" s="1"/>
  <c r="H159" i="86"/>
  <c r="K159" i="86" s="1"/>
  <c r="G150" i="86"/>
  <c r="J150" i="86" s="1"/>
  <c r="H153" i="86"/>
  <c r="K153" i="86" s="1"/>
  <c r="I144" i="86"/>
  <c r="L144" i="86" s="1"/>
  <c r="E25" i="37"/>
  <c r="N25" i="37"/>
  <c r="G95" i="86"/>
  <c r="J95" i="86" s="1"/>
  <c r="M10" i="37"/>
  <c r="E10" i="37"/>
  <c r="G57" i="86"/>
  <c r="J57" i="86" s="1"/>
  <c r="L17" i="37"/>
  <c r="D50" i="37"/>
  <c r="G50" i="37" s="1"/>
  <c r="I136" i="86"/>
  <c r="L136" i="86" s="1"/>
  <c r="G60" i="86"/>
  <c r="J60" i="86" s="1"/>
  <c r="I113" i="86"/>
  <c r="L113" i="86" s="1"/>
  <c r="F20" i="37"/>
  <c r="G116" i="86"/>
  <c r="J116" i="86" s="1"/>
  <c r="H117" i="86"/>
  <c r="G20" i="86"/>
  <c r="J20" i="86" s="1"/>
  <c r="G89" i="86"/>
  <c r="J89" i="86" s="1"/>
  <c r="I98" i="86"/>
  <c r="L98" i="86" s="1"/>
  <c r="G137" i="86"/>
  <c r="J137" i="86" s="1"/>
  <c r="D44" i="37"/>
  <c r="G44" i="37" s="1"/>
  <c r="H10" i="86"/>
  <c r="K10" i="86" s="1"/>
  <c r="H20" i="37"/>
  <c r="H70" i="86"/>
  <c r="K70" i="86" s="1"/>
  <c r="I92" i="86"/>
  <c r="L92" i="86" s="1"/>
  <c r="G29" i="86"/>
  <c r="J29" i="86" s="1"/>
  <c r="D26" i="37"/>
  <c r="H51" i="37"/>
  <c r="K51" i="37" s="1"/>
  <c r="F10" i="37"/>
  <c r="I57" i="86"/>
  <c r="L57" i="86" s="1"/>
  <c r="I149" i="86"/>
  <c r="L149" i="86" s="1"/>
  <c r="I13" i="86"/>
  <c r="L13" i="86" s="1"/>
  <c r="G166" i="86"/>
  <c r="J166" i="86" s="1"/>
  <c r="G157" i="86"/>
  <c r="J157" i="86" s="1"/>
  <c r="H89" i="86"/>
  <c r="K89" i="86" s="1"/>
  <c r="F24" i="37"/>
  <c r="M19" i="37"/>
  <c r="H25" i="37"/>
  <c r="K21" i="37"/>
  <c r="F25" i="37"/>
  <c r="D27" i="37"/>
  <c r="I69" i="86"/>
  <c r="L69" i="86" s="1"/>
  <c r="I35" i="86"/>
  <c r="L35" i="86" s="1"/>
  <c r="G32" i="86"/>
  <c r="J32" i="86" s="1"/>
  <c r="H124" i="86"/>
  <c r="K124" i="86" s="1"/>
  <c r="I160" i="86"/>
  <c r="L160" i="86" s="1"/>
  <c r="I67" i="86"/>
  <c r="L67" i="86" s="1"/>
  <c r="I82" i="86"/>
  <c r="L82" i="86" s="1"/>
  <c r="G148" i="86"/>
  <c r="J148" i="86" s="1"/>
  <c r="H25" i="86"/>
  <c r="K25" i="86" s="1"/>
  <c r="I85" i="86"/>
  <c r="L85" i="86" s="1"/>
  <c r="N18" i="37"/>
  <c r="I115" i="86"/>
  <c r="L115" i="86" s="1"/>
  <c r="H157" i="86"/>
  <c r="K157" i="86" s="1"/>
  <c r="G79" i="86"/>
  <c r="J79" i="86" s="1"/>
  <c r="I79" i="86"/>
  <c r="L79" i="86" s="1"/>
  <c r="I22" i="37"/>
  <c r="E22" i="37"/>
  <c r="I25" i="37"/>
  <c r="I23" i="86"/>
  <c r="L23" i="86" s="1"/>
  <c r="F15" i="37"/>
  <c r="E29" i="37"/>
  <c r="K10" i="37"/>
  <c r="D51" i="37"/>
  <c r="G51" i="37" s="1"/>
  <c r="G91" i="86"/>
  <c r="J91" i="86" s="1"/>
  <c r="G142" i="86"/>
  <c r="J142" i="86" s="1"/>
  <c r="E20" i="37"/>
  <c r="I116" i="86"/>
  <c r="L116" i="86" s="1"/>
  <c r="H79" i="86"/>
  <c r="K79" i="86" s="1"/>
  <c r="G78" i="86"/>
  <c r="J78" i="86" s="1"/>
  <c r="F26" i="37"/>
  <c r="H26" i="37"/>
  <c r="I26" i="37"/>
  <c r="I60" i="86"/>
  <c r="L60" i="86" s="1"/>
  <c r="H21" i="86"/>
  <c r="K21" i="86" s="1"/>
  <c r="G146" i="86"/>
  <c r="J146" i="86" s="1"/>
  <c r="G101" i="86"/>
  <c r="J101" i="86" s="1"/>
  <c r="H106" i="86"/>
  <c r="K106" i="86" s="1"/>
  <c r="G156" i="86"/>
  <c r="J156" i="86" s="1"/>
  <c r="H64" i="86"/>
  <c r="K64" i="86" s="1"/>
  <c r="I29" i="86"/>
  <c r="L29" i="86" s="1"/>
  <c r="J27" i="37"/>
  <c r="J9" i="37"/>
  <c r="J15" i="37"/>
  <c r="J29" i="37"/>
  <c r="I29" i="37"/>
  <c r="I10" i="37"/>
  <c r="I15" i="37"/>
  <c r="I19" i="37"/>
  <c r="I9" i="37"/>
  <c r="I17" i="37"/>
  <c r="I23" i="37"/>
  <c r="I20" i="37"/>
  <c r="G10" i="37"/>
  <c r="G20" i="37"/>
  <c r="G15" i="37"/>
  <c r="G11" i="37"/>
  <c r="G23" i="37"/>
  <c r="G25" i="37"/>
  <c r="D15" i="37"/>
  <c r="D10" i="37"/>
  <c r="D20" i="37"/>
  <c r="D9" i="37"/>
  <c r="D21" i="37"/>
  <c r="L49" i="37"/>
  <c r="O49" i="37" s="1"/>
  <c r="L41" i="37"/>
  <c r="O41" i="37" s="1"/>
  <c r="L46" i="37"/>
  <c r="O46" i="37" s="1"/>
  <c r="L37" i="37"/>
  <c r="O37" i="37" s="1"/>
  <c r="L50" i="37"/>
  <c r="O50" i="37" s="1"/>
  <c r="L43" i="37"/>
  <c r="O43" i="37" s="1"/>
  <c r="L45" i="37"/>
  <c r="O45" i="37" s="1"/>
  <c r="H49" i="37"/>
  <c r="K49" i="37" s="1"/>
  <c r="H54" i="37"/>
  <c r="K54" i="37" s="1"/>
  <c r="H46" i="37"/>
  <c r="K46" i="37" s="1"/>
  <c r="H48" i="37"/>
  <c r="K48" i="37" s="1"/>
  <c r="H44" i="37"/>
  <c r="K44" i="37" s="1"/>
  <c r="H50" i="37"/>
  <c r="K50" i="37" s="1"/>
  <c r="J131" i="86"/>
  <c r="M17" i="86"/>
  <c r="M86" i="86"/>
  <c r="K49" i="86"/>
  <c r="K48" i="86"/>
  <c r="M26" i="86"/>
  <c r="M125" i="86"/>
  <c r="K86" i="86"/>
  <c r="M122" i="86"/>
  <c r="J110" i="86"/>
  <c r="M75" i="86"/>
  <c r="J122" i="86"/>
  <c r="M16" i="86"/>
  <c r="J65" i="86"/>
  <c r="K129" i="86"/>
  <c r="J66" i="86"/>
  <c r="L24" i="37"/>
  <c r="H116" i="86"/>
  <c r="K116" i="86" s="1"/>
  <c r="G29" i="37"/>
  <c r="L54" i="37"/>
  <c r="O54" i="37" s="1"/>
  <c r="H20" i="86"/>
  <c r="K20" i="86" s="1"/>
  <c r="H18" i="86"/>
  <c r="K18" i="86" s="1"/>
  <c r="H80" i="86"/>
  <c r="N10" i="37"/>
  <c r="H9" i="86"/>
  <c r="K9" i="86" s="1"/>
  <c r="L9" i="37"/>
  <c r="L43" i="86"/>
  <c r="L26" i="86"/>
  <c r="M73" i="86"/>
  <c r="M108" i="86"/>
  <c r="M61" i="86"/>
  <c r="M54" i="86"/>
  <c r="G144" i="86"/>
  <c r="J144" i="86" s="1"/>
  <c r="G17" i="37"/>
  <c r="L42" i="37"/>
  <c r="O42" i="37" s="1"/>
  <c r="I146" i="86"/>
  <c r="L146" i="86" s="1"/>
  <c r="H35" i="37"/>
  <c r="K35" i="37" s="1"/>
  <c r="N24" i="37"/>
  <c r="H146" i="86"/>
  <c r="K146" i="86" s="1"/>
  <c r="I20" i="86"/>
  <c r="L20" i="86" s="1"/>
  <c r="G18" i="86"/>
  <c r="J18" i="86" s="1"/>
  <c r="F21" i="37"/>
  <c r="H41" i="37"/>
  <c r="K41" i="37" s="1"/>
  <c r="D24" i="37"/>
  <c r="L26" i="37"/>
  <c r="L16" i="37"/>
  <c r="H140" i="86"/>
  <c r="K140" i="86" s="1"/>
  <c r="I78" i="86"/>
  <c r="L78" i="86" s="1"/>
  <c r="G30" i="86"/>
  <c r="J30" i="86" s="1"/>
  <c r="I80" i="86"/>
  <c r="L80" i="86" s="1"/>
  <c r="L20" i="37"/>
  <c r="H47" i="37"/>
  <c r="K47" i="37" s="1"/>
  <c r="J24" i="37"/>
  <c r="N19" i="37"/>
  <c r="G136" i="86"/>
  <c r="J136" i="86" s="1"/>
  <c r="I157" i="86"/>
  <c r="L157" i="86" s="1"/>
  <c r="H11" i="37"/>
  <c r="M16" i="37"/>
  <c r="E16" i="37"/>
  <c r="L18" i="37"/>
  <c r="M163" i="86"/>
  <c r="L10" i="37"/>
  <c r="E23" i="37"/>
  <c r="I153" i="86"/>
  <c r="L153" i="86" s="1"/>
  <c r="J23" i="37"/>
  <c r="F29" i="37"/>
  <c r="M104" i="86"/>
  <c r="M133" i="86"/>
  <c r="H15" i="37"/>
  <c r="K9" i="37"/>
  <c r="L48" i="37"/>
  <c r="O48" i="37" s="1"/>
  <c r="M21" i="37"/>
  <c r="E15" i="37"/>
  <c r="K15" i="37"/>
  <c r="I30" i="86"/>
  <c r="L30" i="86" s="1"/>
  <c r="H123" i="86"/>
  <c r="K123" i="86" s="1"/>
  <c r="K27" i="37"/>
  <c r="G139" i="86"/>
  <c r="J139" i="86" s="1"/>
  <c r="L44" i="37"/>
  <c r="O44" i="37" s="1"/>
  <c r="F9" i="37"/>
  <c r="H9" i="37"/>
  <c r="G165" i="86"/>
  <c r="J165" i="86" s="1"/>
  <c r="H69" i="86"/>
  <c r="K69" i="86" s="1"/>
  <c r="D49" i="37"/>
  <c r="G49" i="37" s="1"/>
  <c r="H28" i="86"/>
  <c r="K28" i="86" s="1"/>
  <c r="K45" i="86"/>
  <c r="M45" i="86"/>
  <c r="K164" i="86"/>
  <c r="L36" i="37"/>
  <c r="O36" i="37" s="1"/>
  <c r="H113" i="86"/>
  <c r="K113" i="86" s="1"/>
  <c r="K29" i="37"/>
  <c r="H18" i="37"/>
  <c r="I32" i="86"/>
  <c r="L32" i="86" s="1"/>
  <c r="H52" i="37"/>
  <c r="K52" i="37" s="1"/>
  <c r="I24" i="37"/>
  <c r="M109" i="86"/>
  <c r="D46" i="37"/>
  <c r="G46" i="37" s="1"/>
  <c r="I8" i="37"/>
  <c r="I21" i="37"/>
  <c r="I124" i="86"/>
  <c r="L124" i="86" s="1"/>
  <c r="G27" i="37"/>
  <c r="I27" i="37"/>
  <c r="G9" i="37"/>
  <c r="H34" i="86"/>
  <c r="K34" i="86" s="1"/>
  <c r="H22" i="37"/>
  <c r="M105" i="86"/>
  <c r="M84" i="86"/>
  <c r="G21" i="37"/>
  <c r="M27" i="37"/>
  <c r="H142" i="86"/>
  <c r="K142" i="86" s="1"/>
  <c r="M24" i="37"/>
  <c r="E19" i="37"/>
  <c r="H93" i="86"/>
  <c r="L52" i="37"/>
  <c r="O52" i="37" s="1"/>
  <c r="H16" i="37"/>
  <c r="N21" i="37"/>
  <c r="M46" i="86"/>
  <c r="J21" i="37"/>
  <c r="J84" i="86"/>
  <c r="M47" i="86"/>
  <c r="G92" i="86"/>
  <c r="J92" i="86" s="1"/>
  <c r="N27" i="37"/>
  <c r="K22" i="37"/>
  <c r="K16" i="37"/>
  <c r="G37" i="86"/>
  <c r="J37" i="86" s="1"/>
  <c r="I18" i="37"/>
  <c r="M138" i="86"/>
  <c r="H17" i="37"/>
  <c r="K59" i="86"/>
  <c r="J90" i="86"/>
  <c r="I14" i="86"/>
  <c r="L35" i="37"/>
  <c r="O35" i="37" s="1"/>
  <c r="E17" i="37"/>
  <c r="K17" i="37"/>
  <c r="D35" i="37"/>
  <c r="G35" i="37" s="1"/>
  <c r="D42" i="37"/>
  <c r="G42" i="37" s="1"/>
  <c r="H8" i="37"/>
  <c r="M81" i="86"/>
  <c r="M154" i="86"/>
  <c r="M42" i="86"/>
  <c r="N19" i="36"/>
  <c r="AA14" i="66" s="1"/>
  <c r="L19" i="36"/>
  <c r="O19" i="36" s="1"/>
  <c r="M119" i="86"/>
  <c r="L119" i="86"/>
  <c r="K154" i="86"/>
  <c r="M41" i="86"/>
  <c r="J41" i="86"/>
  <c r="J67" i="86"/>
  <c r="L7" i="36"/>
  <c r="O7" i="36" s="1"/>
  <c r="J27" i="86"/>
  <c r="J132" i="86"/>
  <c r="M76" i="86"/>
  <c r="K76" i="86"/>
  <c r="M38" i="86"/>
  <c r="L38" i="86"/>
  <c r="J40" i="86"/>
  <c r="M40" i="86"/>
  <c r="J22" i="86"/>
  <c r="M52" i="86"/>
  <c r="M161" i="86"/>
  <c r="M83" i="86"/>
  <c r="J105" i="86"/>
  <c r="M74" i="86"/>
  <c r="F18" i="43"/>
  <c r="G18" i="43" s="1"/>
  <c r="J18" i="43" s="1"/>
  <c r="F12" i="43"/>
  <c r="G12" i="43" s="1"/>
  <c r="J12" i="43" s="1"/>
  <c r="F16" i="43"/>
  <c r="G16" i="43" s="1"/>
  <c r="Z16" i="43" s="1"/>
  <c r="AA16" i="43" s="1"/>
  <c r="F14" i="43"/>
  <c r="G14" i="43" s="1"/>
  <c r="M31" i="86"/>
  <c r="M77" i="86"/>
  <c r="F13" i="43"/>
  <c r="G13" i="43" s="1"/>
  <c r="J13" i="43" s="1"/>
  <c r="F17" i="43"/>
  <c r="AD17" i="43" s="1"/>
  <c r="AE17" i="43" s="1"/>
  <c r="N21" i="36"/>
  <c r="AA16" i="66" s="1"/>
  <c r="M18" i="36"/>
  <c r="N18" i="36"/>
  <c r="AA13" i="66" s="1"/>
  <c r="L26" i="36"/>
  <c r="O26" i="36" s="1"/>
  <c r="N26" i="36"/>
  <c r="AA21" i="66" s="1"/>
  <c r="K54" i="86"/>
  <c r="N8" i="37"/>
  <c r="D8" i="37"/>
  <c r="F8" i="37"/>
  <c r="H23" i="37"/>
  <c r="D48" i="37"/>
  <c r="G48" i="37" s="1"/>
  <c r="N17" i="37"/>
  <c r="L21" i="37"/>
  <c r="H36" i="86"/>
  <c r="G8" i="86"/>
  <c r="G135" i="86"/>
  <c r="K23" i="37"/>
  <c r="E8" i="37"/>
  <c r="D23" i="37"/>
  <c r="H42" i="37"/>
  <c r="H144" i="86"/>
  <c r="F15" i="43"/>
  <c r="G15" i="43" s="1"/>
  <c r="L23" i="37"/>
  <c r="H103" i="86"/>
  <c r="I137" i="86"/>
  <c r="L137" i="86" s="1"/>
  <c r="M8" i="37"/>
  <c r="M23" i="37"/>
  <c r="L29" i="37"/>
  <c r="H12" i="86"/>
  <c r="M17" i="37"/>
  <c r="I19" i="86"/>
  <c r="L19" i="86" s="1"/>
  <c r="D17" i="37"/>
  <c r="G8" i="37"/>
  <c r="J17" i="37"/>
  <c r="E21" i="37"/>
  <c r="K8" i="37"/>
  <c r="L8" i="37"/>
  <c r="H60" i="86"/>
  <c r="J8" i="37"/>
  <c r="G19" i="86"/>
  <c r="O13" i="43"/>
  <c r="AD20" i="43" s="1"/>
  <c r="AE20" i="43" s="1"/>
  <c r="O12" i="43"/>
  <c r="P12" i="43" s="1"/>
  <c r="S12" i="43" s="1"/>
  <c r="M7" i="36"/>
  <c r="AA3" i="66"/>
  <c r="L8" i="36"/>
  <c r="O8" i="36" s="1"/>
  <c r="N8" i="36"/>
  <c r="AA4" i="66" s="1"/>
  <c r="M8" i="36"/>
  <c r="O14" i="43"/>
  <c r="AD21" i="43" s="1"/>
  <c r="AE21" i="43" s="1"/>
  <c r="AD24" i="66"/>
  <c r="D42" i="40"/>
  <c r="M28" i="36"/>
  <c r="N28" i="36"/>
  <c r="AA23" i="66" s="1"/>
  <c r="M9" i="36"/>
  <c r="N9" i="36"/>
  <c r="AA5" i="66" s="1"/>
  <c r="L9" i="36"/>
  <c r="O9" i="36" s="1"/>
  <c r="N20" i="36"/>
  <c r="AA15" i="66" s="1"/>
  <c r="M20" i="36"/>
  <c r="N14" i="36"/>
  <c r="AA9" i="66" s="1"/>
  <c r="L14" i="36"/>
  <c r="O14" i="36" s="1"/>
  <c r="M14" i="36"/>
  <c r="M22" i="36"/>
  <c r="L22" i="36"/>
  <c r="O22" i="36" s="1"/>
  <c r="N22" i="36"/>
  <c r="AA17" i="66" s="1"/>
  <c r="N16" i="36"/>
  <c r="AA11" i="66" s="1"/>
  <c r="M16" i="36"/>
  <c r="AB24" i="66"/>
  <c r="AN31" i="40"/>
  <c r="H34" i="40"/>
  <c r="AO67" i="40"/>
  <c r="AO68" i="40" s="1"/>
  <c r="E49" i="40"/>
  <c r="N23" i="36"/>
  <c r="AA18" i="66" s="1"/>
  <c r="M23" i="36"/>
  <c r="L23" i="36"/>
  <c r="K29" i="36"/>
  <c r="N29" i="36" s="1"/>
  <c r="I49" i="40"/>
  <c r="H49" i="40"/>
  <c r="M94" i="86" l="1"/>
  <c r="M5" i="86"/>
  <c r="J14" i="43"/>
  <c r="M27" i="86"/>
  <c r="M130" i="86"/>
  <c r="M129" i="86"/>
  <c r="M90" i="86"/>
  <c r="M7" i="86"/>
  <c r="M120" i="86"/>
  <c r="M53" i="86"/>
  <c r="M50" i="86"/>
  <c r="M22" i="86"/>
  <c r="M68" i="86"/>
  <c r="Z15" i="43"/>
  <c r="AA15" i="43" s="1"/>
  <c r="J15" i="43"/>
  <c r="M143" i="86"/>
  <c r="M152" i="86"/>
  <c r="M62" i="86"/>
  <c r="M158" i="86"/>
  <c r="M71" i="86"/>
  <c r="M43" i="86"/>
  <c r="M51" i="86"/>
  <c r="M132" i="86"/>
  <c r="M110" i="86"/>
  <c r="M164" i="86"/>
  <c r="M56" i="86"/>
  <c r="M151" i="86"/>
  <c r="M14" i="86"/>
  <c r="M97" i="86"/>
  <c r="M44" i="86"/>
  <c r="M65" i="86"/>
  <c r="M58" i="86"/>
  <c r="M155" i="86"/>
  <c r="M127" i="86"/>
  <c r="M6" i="86"/>
  <c r="M88" i="86"/>
  <c r="M114" i="86"/>
  <c r="M66" i="86"/>
  <c r="K127" i="86"/>
  <c r="M100" i="86"/>
  <c r="M126" i="86"/>
  <c r="M141" i="86"/>
  <c r="M96" i="86"/>
  <c r="J97" i="86"/>
  <c r="M131" i="86"/>
  <c r="M99" i="86"/>
  <c r="M2" i="86"/>
  <c r="M128" i="86"/>
  <c r="M87" i="86"/>
  <c r="M39" i="86"/>
  <c r="M112" i="86"/>
  <c r="M29" i="86"/>
  <c r="M21" i="86"/>
  <c r="M106" i="86"/>
  <c r="M89" i="86"/>
  <c r="K141" i="86"/>
  <c r="M149" i="86"/>
  <c r="M67" i="86"/>
  <c r="M91" i="86"/>
  <c r="M59" i="86"/>
  <c r="M15" i="86"/>
  <c r="J111" i="86"/>
  <c r="M24" i="86"/>
  <c r="M85" i="86"/>
  <c r="M118" i="86"/>
  <c r="M168" i="86"/>
  <c r="M165" i="86"/>
  <c r="M98" i="86"/>
  <c r="M159" i="86"/>
  <c r="M101" i="86"/>
  <c r="M10" i="86"/>
  <c r="M55" i="86"/>
  <c r="M147" i="86"/>
  <c r="M63" i="86"/>
  <c r="M117" i="86"/>
  <c r="M107" i="86"/>
  <c r="K117" i="86"/>
  <c r="K107" i="86"/>
  <c r="M33" i="86"/>
  <c r="M79" i="86"/>
  <c r="M13" i="86"/>
  <c r="M95" i="86"/>
  <c r="M121" i="86"/>
  <c r="M167" i="86"/>
  <c r="M70" i="86"/>
  <c r="M57" i="86"/>
  <c r="M82" i="86"/>
  <c r="M72" i="86"/>
  <c r="M4" i="86"/>
  <c r="M145" i="86"/>
  <c r="M148" i="86"/>
  <c r="M166" i="86"/>
  <c r="M160" i="86"/>
  <c r="M78" i="86"/>
  <c r="M156" i="86"/>
  <c r="M23" i="86"/>
  <c r="M162" i="86"/>
  <c r="M35" i="86"/>
  <c r="M150" i="86"/>
  <c r="M11" i="86"/>
  <c r="M134" i="86"/>
  <c r="M153" i="86"/>
  <c r="M25" i="86"/>
  <c r="M3" i="86"/>
  <c r="M102" i="86"/>
  <c r="M115" i="86"/>
  <c r="M18" i="86"/>
  <c r="M64" i="86"/>
  <c r="M139" i="86"/>
  <c r="M80" i="86"/>
  <c r="I30" i="37"/>
  <c r="O55" i="37"/>
  <c r="M92" i="86"/>
  <c r="M28" i="86"/>
  <c r="K80" i="86"/>
  <c r="M32" i="86"/>
  <c r="AD12" i="43"/>
  <c r="AE12" i="43" s="1"/>
  <c r="G55" i="37"/>
  <c r="D55" i="37"/>
  <c r="F30" i="37"/>
  <c r="M20" i="86"/>
  <c r="M136" i="86"/>
  <c r="M140" i="86"/>
  <c r="L14" i="86"/>
  <c r="M37" i="86"/>
  <c r="M123" i="86"/>
  <c r="L55" i="37"/>
  <c r="M146" i="86"/>
  <c r="M9" i="86"/>
  <c r="M69" i="86"/>
  <c r="G30" i="37"/>
  <c r="M30" i="86"/>
  <c r="D30" i="37"/>
  <c r="M113" i="86"/>
  <c r="H30" i="37"/>
  <c r="M124" i="86"/>
  <c r="M157" i="86"/>
  <c r="M116" i="86"/>
  <c r="J30" i="37"/>
  <c r="M142" i="86"/>
  <c r="M93" i="86"/>
  <c r="K93" i="86"/>
  <c r="M34" i="86"/>
  <c r="Z12" i="43"/>
  <c r="AA12" i="43" s="1"/>
  <c r="L30" i="37"/>
  <c r="K30" i="37"/>
  <c r="N30" i="37"/>
  <c r="J16" i="43"/>
  <c r="AD16" i="43"/>
  <c r="AE16" i="43" s="1"/>
  <c r="Z14" i="43"/>
  <c r="AA14" i="43" s="1"/>
  <c r="AD14" i="43"/>
  <c r="AE14" i="43" s="1"/>
  <c r="AD13" i="43"/>
  <c r="AE13" i="43" s="1"/>
  <c r="AD18" i="43"/>
  <c r="AE18" i="43" s="1"/>
  <c r="Z18" i="43"/>
  <c r="AA18" i="43" s="1"/>
  <c r="Z13" i="43"/>
  <c r="AA13" i="43" s="1"/>
  <c r="G17" i="43"/>
  <c r="M137" i="86"/>
  <c r="AD15" i="43"/>
  <c r="AE15" i="43" s="1"/>
  <c r="J19" i="86"/>
  <c r="M19" i="86"/>
  <c r="K144" i="86"/>
  <c r="M144" i="86"/>
  <c r="K36" i="86"/>
  <c r="M36" i="86"/>
  <c r="M30" i="37"/>
  <c r="K42" i="37"/>
  <c r="K55" i="37" s="1"/>
  <c r="H55" i="37"/>
  <c r="K60" i="86"/>
  <c r="M60" i="86"/>
  <c r="K12" i="86"/>
  <c r="M12" i="86"/>
  <c r="J135" i="86"/>
  <c r="M135" i="86"/>
  <c r="M103" i="86"/>
  <c r="K103" i="86"/>
  <c r="E30" i="37"/>
  <c r="M8" i="86"/>
  <c r="J8" i="86"/>
  <c r="P13" i="43"/>
  <c r="S13" i="43" s="1"/>
  <c r="AD19" i="43"/>
  <c r="AE19" i="43" s="1"/>
  <c r="Z19" i="43"/>
  <c r="AA19" i="43" s="1"/>
  <c r="P14" i="43"/>
  <c r="Z21" i="43" s="1"/>
  <c r="AA21" i="43" s="1"/>
  <c r="AA24" i="66"/>
  <c r="M29" i="36"/>
  <c r="O23" i="36"/>
  <c r="O29" i="36" s="1"/>
  <c r="L29" i="36"/>
  <c r="Z17" i="43" l="1"/>
  <c r="AA17" i="43" s="1"/>
  <c r="J17" i="43"/>
  <c r="Z20" i="43"/>
  <c r="AA20" i="43" s="1"/>
  <c r="S14" i="43"/>
</calcChain>
</file>

<file path=xl/sharedStrings.xml><?xml version="1.0" encoding="utf-8"?>
<sst xmlns="http://schemas.openxmlformats.org/spreadsheetml/2006/main" count="20629" uniqueCount="1664">
  <si>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</si>
  <si>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</si>
  <si>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</si>
  <si>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</si>
  <si>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</si>
  <si>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</si>
  <si>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</si>
  <si>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</si>
  <si>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</si>
  <si>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</si>
  <si>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</si>
  <si>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</si>
  <si>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</si>
  <si>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</si>
  <si>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</si>
  <si>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</si>
  <si>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</si>
  <si>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</si>
  <si>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</si>
  <si>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</si>
  <si>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</si>
  <si>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</si>
  <si>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</si>
  <si>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</si>
  <si>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</si>
  <si>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</si>
  <si>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</si>
  <si>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</si>
  <si>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</si>
  <si>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</si>
  <si>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</si>
  <si>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</si>
  <si>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</si>
  <si>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</si>
  <si>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</si>
  <si>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</si>
  <si>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</si>
  <si>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</si>
  <si>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</si>
  <si>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</si>
  <si>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</si>
  <si>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</si>
  <si>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</si>
  <si>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</si>
  <si>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</si>
  <si>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</si>
  <si>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</si>
  <si>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</si>
  <si>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</si>
  <si>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</si>
  <si>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</si>
  <si>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</si>
  <si>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</si>
  <si>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</si>
  <si>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</si>
  <si>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</si>
  <si>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</si>
  <si>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</si>
  <si>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</si>
  <si>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</si>
  <si>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</si>
  <si>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</si>
  <si>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</si>
  <si>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</si>
  <si>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</si>
  <si>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</si>
  <si>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</si>
  <si>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</si>
  <si>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</si>
  <si>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</si>
  <si>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</si>
  <si>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</si>
  <si>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</si>
  <si>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</si>
  <si>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</si>
  <si>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</si>
  <si>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</si>
  <si>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</si>
  <si>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</si>
  <si>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</si>
  <si>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</si>
  <si>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</si>
  <si>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</si>
  <si>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</si>
  <si>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</si>
  <si>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</si>
  <si>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</si>
  <si>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</si>
  <si>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</si>
  <si>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</si>
  <si>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</si>
  <si>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</si>
  <si>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</si>
  <si>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</si>
  <si>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</si>
  <si>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</si>
  <si>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</si>
  <si>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</si>
  <si>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</si>
  <si>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</si>
  <si>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</si>
  <si>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</si>
  <si>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</si>
  <si>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</si>
  <si>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</si>
  <si>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</si>
  <si>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</si>
  <si>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</si>
  <si>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</si>
  <si>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</si>
  <si>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</si>
  <si>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</si>
  <si>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</si>
  <si>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</si>
  <si>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</si>
  <si>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</si>
  <si>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</si>
  <si>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</si>
  <si>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</si>
  <si>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</si>
  <si>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</si>
  <si>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</si>
  <si>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</si>
  <si>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</si>
  <si>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</si>
  <si>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</si>
  <si>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</si>
  <si>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</si>
  <si>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</si>
  <si>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</si>
  <si>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</si>
  <si>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</si>
  <si>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</si>
  <si>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</si>
  <si>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</si>
  <si>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</si>
  <si>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</si>
  <si>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</si>
  <si>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</si>
  <si>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</si>
  <si>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</si>
  <si>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</si>
  <si>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</si>
  <si>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</si>
  <si>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</si>
  <si>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</si>
  <si>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</si>
  <si>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</si>
  <si>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</si>
  <si>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</si>
  <si>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</si>
  <si>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</si>
  <si>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</si>
  <si>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</si>
  <si>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</si>
  <si>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</si>
  <si>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</si>
  <si>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</si>
  <si>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</si>
  <si>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</si>
  <si>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</si>
  <si>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</si>
  <si>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</si>
  <si>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</si>
  <si>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</si>
  <si>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</si>
  <si>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</si>
  <si>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</si>
  <si>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</si>
  <si>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</si>
  <si>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</si>
  <si>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</si>
  <si>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</si>
  <si>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</si>
  <si>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</si>
  <si>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</si>
  <si>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</si>
  <si>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</si>
  <si>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</si>
  <si>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</si>
  <si>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</si>
  <si>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</si>
  <si>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</si>
  <si>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</si>
  <si>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</si>
  <si>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</si>
  <si>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</si>
  <si>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</si>
  <si>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</si>
  <si>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</si>
  <si>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</si>
  <si>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</si>
  <si>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</si>
  <si>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</si>
  <si>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</si>
  <si>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</si>
  <si>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</si>
  <si>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</si>
  <si>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</si>
  <si>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</si>
  <si>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</si>
  <si>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</si>
  <si>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</si>
  <si>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</si>
  <si>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</si>
  <si>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</si>
  <si>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</si>
  <si>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</si>
  <si>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</si>
  <si>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</si>
  <si>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</si>
  <si>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</si>
  <si>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</si>
  <si>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</si>
  <si>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</si>
  <si>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</si>
  <si>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</si>
  <si>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</si>
  <si>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</si>
  <si>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</si>
  <si>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</si>
  <si>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</si>
  <si>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</si>
  <si>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</si>
  <si>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</si>
  <si>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</si>
  <si>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</si>
  <si>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</si>
  <si>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</si>
  <si>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</si>
  <si>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</si>
  <si>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</si>
  <si>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</si>
  <si>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</si>
  <si>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</si>
  <si>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</si>
  <si>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</si>
  <si>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</si>
  <si>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</si>
  <si>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</si>
  <si>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</si>
  <si>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</si>
  <si>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</si>
  <si>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</si>
  <si>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</si>
  <si>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</si>
  <si>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</si>
  <si>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</si>
  <si>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</si>
  <si>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</si>
  <si>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</si>
  <si>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</si>
  <si>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</si>
  <si>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</si>
  <si>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</si>
  <si>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</si>
  <si>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</si>
  <si>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</si>
  <si>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</si>
  <si>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</si>
  <si>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</si>
  <si>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</si>
  <si>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</si>
  <si>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</si>
  <si>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</si>
  <si>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</si>
  <si>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</si>
  <si>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</si>
  <si>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</si>
  <si>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</si>
  <si>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</si>
  <si>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</si>
  <si>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</si>
  <si>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</si>
  <si>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</si>
  <si>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</si>
  <si>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</si>
  <si>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</si>
  <si>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</si>
  <si>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</si>
  <si>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</si>
  <si>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</si>
  <si>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</si>
  <si>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</si>
  <si>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</si>
  <si>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</si>
  <si>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</si>
  <si>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</si>
  <si>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</si>
  <si>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</si>
  <si>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</si>
  <si>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</si>
  <si>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</si>
  <si>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</si>
  <si>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</si>
  <si>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</si>
  <si>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</si>
  <si>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</si>
  <si>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</si>
  <si>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</si>
  <si>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</si>
  <si>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</si>
  <si>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</si>
  <si>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</si>
  <si>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</si>
  <si>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</si>
  <si>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</si>
  <si>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</si>
  <si>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</si>
  <si>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</si>
  <si>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</si>
  <si>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</si>
  <si>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</si>
  <si>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</si>
  <si>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</si>
  <si>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</si>
  <si>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</si>
  <si>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</si>
  <si>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</si>
  <si>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</si>
  <si>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</si>
  <si>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</si>
  <si>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</si>
  <si>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</si>
  <si>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</si>
  <si>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</si>
  <si>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</si>
  <si>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</si>
  <si>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</si>
  <si>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</si>
  <si>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</si>
  <si>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</si>
  <si>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</si>
  <si>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</si>
  <si>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</si>
  <si>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</si>
  <si>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</si>
  <si>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</si>
  <si>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</si>
  <si>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</si>
  <si>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</si>
  <si>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</si>
  <si>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</si>
  <si>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</si>
  <si>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</si>
  <si>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</si>
  <si>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</si>
  <si>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</si>
  <si>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</si>
  <si>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</si>
  <si>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</si>
  <si>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</si>
  <si>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</si>
  <si>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</si>
  <si>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</si>
  <si>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</si>
  <si>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</si>
  <si>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</si>
  <si>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</si>
  <si>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</si>
  <si>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</si>
  <si>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</si>
  <si>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</si>
  <si>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</si>
  <si>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</si>
  <si>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</si>
  <si>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</si>
  <si>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</si>
  <si>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</si>
  <si>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</si>
  <si>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</si>
  <si>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</si>
  <si>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</si>
  <si>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</si>
  <si>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</si>
  <si>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</si>
  <si>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</si>
  <si>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</si>
  <si>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</si>
  <si>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</si>
  <si>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</si>
  <si>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</si>
  <si>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</si>
  <si>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</si>
  <si>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</si>
  <si>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</si>
  <si>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</si>
  <si>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</si>
  <si>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</si>
  <si>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</si>
  <si>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</si>
  <si>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</si>
  <si>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</si>
  <si>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</si>
  <si>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</si>
  <si>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</si>
  <si>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</si>
  <si>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</si>
  <si>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</si>
  <si>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</si>
  <si>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</si>
  <si>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</si>
  <si>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</si>
  <si>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</si>
  <si>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</si>
  <si>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</si>
  <si>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</si>
  <si>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</si>
  <si>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</si>
  <si>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</si>
  <si>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</si>
  <si>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</si>
  <si>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</si>
  <si>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</si>
  <si>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</si>
  <si>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</si>
  <si>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</si>
  <si>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</si>
  <si>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</si>
  <si>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</si>
  <si>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</si>
  <si>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</si>
  <si>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</si>
  <si>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</si>
  <si>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</si>
  <si>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</si>
  <si>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</si>
  <si>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</si>
  <si>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</si>
  <si>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</si>
  <si>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</si>
  <si>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</si>
  <si>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</si>
  <si>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</si>
  <si>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</si>
  <si>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</si>
  <si>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</si>
  <si>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</si>
  <si>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</si>
  <si>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</si>
  <si>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</si>
  <si>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</si>
  <si>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</si>
  <si>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</si>
  <si>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</si>
  <si>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</si>
  <si>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</si>
  <si>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</si>
  <si>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</si>
  <si>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</si>
  <si>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</si>
  <si>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</si>
  <si>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</si>
  <si>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</si>
  <si>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</si>
  <si>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</si>
  <si>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</si>
  <si>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</si>
  <si>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</si>
  <si>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</si>
  <si>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</si>
  <si>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</si>
  <si>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</si>
  <si>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</si>
  <si>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</si>
  <si>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</si>
  <si>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</si>
  <si>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</si>
  <si>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</si>
  <si>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</si>
  <si>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</si>
  <si>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</si>
  <si>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</si>
  <si>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</si>
  <si>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</si>
  <si>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</si>
  <si>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</si>
  <si>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</si>
  <si>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</si>
  <si>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</si>
  <si>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</si>
  <si>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</si>
  <si>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</si>
  <si>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</si>
  <si>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</si>
  <si>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</si>
  <si>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</si>
  <si>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</si>
  <si>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</si>
  <si>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</si>
  <si>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</si>
  <si>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</si>
  <si>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</si>
  <si>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</si>
  <si>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</si>
  <si>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</si>
  <si>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</si>
  <si>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</si>
  <si>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</si>
  <si>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</si>
  <si>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</si>
  <si>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</si>
  <si>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</si>
  <si>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</si>
  <si>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</si>
  <si>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</si>
  <si>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</si>
  <si>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</si>
  <si>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</si>
  <si>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</si>
  <si>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</si>
  <si>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</si>
  <si>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</si>
  <si>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</si>
  <si>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</si>
  <si>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</si>
  <si>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</si>
  <si>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</si>
  <si>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</si>
  <si>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</si>
  <si>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</si>
  <si>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</si>
  <si>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</si>
  <si>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</si>
  <si>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</si>
  <si>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</si>
  <si>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</si>
  <si>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</si>
  <si>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</si>
  <si>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</si>
  <si>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</si>
  <si>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</si>
  <si>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</si>
  <si>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</si>
  <si>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</si>
  <si>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</si>
  <si>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</si>
  <si>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</si>
  <si>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</si>
  <si>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</si>
  <si>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</si>
  <si>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</si>
  <si>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</si>
  <si>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</si>
  <si>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</si>
  <si>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</si>
  <si>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</si>
  <si>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</si>
  <si>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</si>
  <si>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</si>
  <si>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</si>
  <si>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</si>
  <si>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</si>
  <si>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</si>
  <si>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</si>
  <si>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</si>
  <si>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</si>
  <si>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</si>
  <si>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</si>
  <si>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</si>
  <si>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</si>
  <si>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</si>
  <si>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</si>
  <si>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</si>
  <si>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</si>
  <si>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</si>
  <si>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</si>
  <si>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</si>
  <si>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</si>
  <si>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</si>
  <si>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</si>
  <si>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</si>
  <si>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</si>
  <si>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</si>
  <si>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</si>
  <si>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</si>
  <si>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</si>
  <si>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</si>
  <si>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</si>
  <si>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</si>
  <si>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</si>
  <si>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</si>
  <si>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</si>
  <si>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</si>
  <si>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</si>
  <si>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</si>
  <si>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</si>
  <si>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</si>
  <si>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</si>
  <si>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</si>
  <si>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</si>
  <si>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</si>
  <si>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</si>
  <si>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</si>
  <si>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</si>
  <si>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</si>
  <si>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</si>
  <si>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</si>
  <si>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</si>
  <si>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</si>
  <si>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</si>
  <si>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</si>
  <si>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</si>
  <si>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</si>
  <si>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</si>
  <si>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</si>
  <si>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</si>
  <si>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</si>
  <si>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</si>
  <si>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</si>
  <si>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</si>
  <si>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</si>
  <si>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</si>
  <si>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</si>
  <si>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</si>
  <si>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</si>
  <si>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</si>
  <si>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</si>
  <si>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</si>
  <si>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</si>
  <si>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</si>
  <si>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</si>
  <si>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</si>
  <si>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</si>
  <si>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</si>
  <si>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</si>
  <si>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</si>
  <si>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</si>
  <si>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</si>
  <si>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</si>
  <si>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</si>
  <si>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</si>
  <si>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</si>
  <si>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</si>
  <si>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</si>
  <si>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</si>
  <si>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</si>
  <si>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</si>
  <si>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</si>
  <si>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</si>
  <si>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</si>
  <si>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</si>
  <si>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</si>
  <si>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</si>
  <si>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</si>
  <si>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</si>
  <si>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</si>
  <si>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</si>
  <si>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</si>
  <si>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</si>
  <si>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</si>
  <si>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</si>
  <si>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</si>
  <si>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</si>
  <si>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</si>
  <si>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</si>
  <si>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</si>
  <si>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</si>
  <si>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</si>
  <si>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</si>
  <si>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</si>
  <si>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</si>
  <si>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</si>
  <si>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</si>
  <si>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</si>
  <si>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</si>
  <si>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</si>
  <si>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</si>
  <si>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</si>
  <si>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</si>
  <si>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</si>
  <si>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</si>
  <si>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</si>
  <si>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</si>
  <si>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</si>
  <si>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</si>
  <si>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</si>
  <si>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</si>
  <si>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</si>
  <si>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</si>
  <si>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</si>
  <si>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</si>
  <si>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</si>
  <si>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</si>
  <si>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</si>
  <si>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</si>
  <si>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</si>
  <si>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</si>
  <si>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</si>
  <si>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</si>
  <si>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</si>
  <si>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</si>
  <si>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</si>
  <si>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</si>
  <si>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</si>
  <si>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</si>
  <si>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</si>
  <si>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</si>
  <si>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</si>
  <si>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</si>
  <si>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</si>
  <si>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</si>
  <si>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</si>
  <si>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</si>
  <si>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</si>
  <si>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</si>
  <si>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</si>
  <si>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</si>
  <si>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</si>
  <si>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</si>
  <si>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</si>
  <si>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</si>
  <si>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</si>
  <si>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</si>
  <si>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</si>
  <si>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</si>
  <si>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</si>
  <si>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</si>
  <si>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</si>
  <si>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</si>
  <si>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</si>
  <si>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</si>
  <si>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</si>
  <si>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</si>
  <si>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</si>
  <si>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</si>
  <si>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</si>
  <si>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</si>
  <si>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</si>
  <si>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</si>
  <si>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</si>
  <si>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</si>
  <si>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</si>
  <si>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</si>
  <si>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</si>
  <si>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</si>
  <si>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</si>
  <si>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</si>
  <si>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</si>
  <si>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</si>
  <si>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</si>
  <si>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</si>
  <si>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</si>
  <si>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</si>
  <si>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</si>
  <si>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</si>
  <si>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</si>
  <si>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</si>
  <si>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</si>
  <si>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</si>
  <si>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</si>
  <si>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</si>
  <si>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</si>
  <si>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</si>
  <si>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</si>
  <si>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</si>
  <si>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</si>
  <si>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</si>
  <si>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</si>
  <si>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</si>
  <si>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</si>
  <si>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</si>
  <si>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</si>
  <si>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</si>
  <si>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</si>
  <si>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</si>
  <si>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</si>
  <si>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</si>
  <si>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</si>
  <si>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</si>
  <si>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</si>
  <si>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</si>
  <si>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</si>
  <si>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</si>
  <si>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</si>
  <si>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</si>
  <si>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</si>
  <si>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</si>
  <si>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</si>
  <si>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</si>
  <si>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</si>
  <si>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</si>
  <si>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</si>
  <si>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</si>
  <si>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</si>
  <si>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</si>
  <si>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</si>
  <si>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</si>
  <si>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</si>
  <si>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</si>
  <si>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</si>
  <si>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</si>
  <si>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</si>
  <si>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</si>
  <si>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</si>
  <si>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</si>
  <si>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</si>
  <si>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</si>
  <si>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</si>
  <si>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</si>
  <si>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</si>
  <si>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</si>
  <si>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</si>
  <si>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</si>
  <si>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</si>
  <si>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</si>
  <si>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</si>
  <si>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</si>
  <si>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</si>
  <si>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</si>
  <si>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</si>
  <si>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</si>
  <si>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</si>
  <si>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</si>
  <si>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</si>
  <si>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</si>
  <si>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</si>
  <si>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</si>
  <si>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</si>
  <si>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</si>
  <si>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</si>
  <si>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</si>
  <si>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</si>
  <si>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</si>
  <si>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</si>
  <si>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</si>
  <si>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</si>
  <si>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</si>
  <si>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</si>
  <si>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</si>
  <si>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</si>
  <si>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</si>
  <si>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</si>
  <si>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</si>
  <si>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</si>
  <si>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</si>
  <si>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</si>
  <si>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</si>
  <si>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</si>
  <si>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</si>
  <si>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</si>
  <si>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</si>
  <si>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</si>
  <si>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</si>
  <si>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</si>
  <si>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</si>
  <si>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</si>
  <si>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</si>
  <si>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</si>
  <si>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</si>
  <si>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</si>
  <si>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</si>
  <si>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</si>
  <si>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</si>
  <si>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</si>
  <si>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</si>
  <si>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</si>
  <si>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</si>
  <si>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</si>
  <si>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</si>
  <si>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</si>
  <si>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</si>
  <si>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</si>
  <si>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</si>
  <si>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</si>
  <si>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</si>
  <si>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</si>
  <si>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</si>
  <si>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</si>
  <si>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</si>
  <si>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</si>
  <si>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</si>
  <si>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</si>
  <si>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</si>
  <si>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</si>
  <si>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</si>
  <si>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</si>
  <si>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</si>
  <si>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</si>
  <si>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</si>
  <si>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</si>
  <si>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</si>
  <si>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</si>
  <si>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</si>
  <si>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</si>
  <si>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</si>
  <si>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</si>
  <si>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</si>
  <si>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</si>
  <si>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</si>
  <si>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</si>
  <si>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</si>
  <si>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</si>
  <si>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</si>
  <si>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</si>
  <si>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</si>
  <si>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</si>
  <si>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</si>
  <si>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</si>
  <si>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</si>
  <si>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</si>
  <si>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</si>
  <si>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</si>
  <si>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</si>
  <si>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</si>
  <si>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</si>
  <si>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</si>
  <si>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</si>
  <si>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</si>
  <si>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</si>
  <si>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</si>
  <si>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</si>
  <si>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</si>
  <si>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</si>
  <si>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</si>
  <si>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</si>
  <si>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</si>
  <si>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</si>
  <si>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</si>
  <si>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</si>
  <si>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</si>
  <si>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</si>
  <si>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</si>
  <si>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</si>
  <si>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</si>
  <si>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</si>
  <si>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</si>
  <si>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</si>
  <si>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</si>
  <si>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</si>
  <si>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</si>
  <si>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</si>
  <si>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</si>
  <si>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</si>
  <si>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</si>
  <si>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</si>
  <si>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</si>
  <si>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</si>
  <si>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</si>
  <si>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</si>
  <si>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</si>
  <si>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</si>
  <si>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</si>
  <si>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</si>
  <si>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</si>
  <si>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</si>
  <si>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</si>
  <si>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</si>
  <si>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</si>
  <si>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</si>
  <si>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</si>
  <si>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</si>
  <si>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</si>
  <si>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</si>
  <si>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</si>
  <si>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</si>
  <si>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</si>
  <si>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</si>
  <si>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</si>
  <si>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</si>
  <si>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</si>
  <si>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</si>
  <si>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</si>
  <si>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</si>
  <si>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</si>
  <si>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</si>
  <si>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</si>
  <si>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</si>
  <si>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</si>
  <si>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</si>
  <si>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</si>
  <si>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</si>
  <si>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</si>
  <si>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</si>
  <si>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</si>
  <si>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</si>
  <si>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</si>
  <si>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</si>
  <si>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</si>
  <si>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</si>
  <si>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</si>
  <si>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</si>
  <si>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</si>
  <si>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</si>
  <si>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</si>
  <si>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</si>
  <si>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</si>
  <si>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</si>
  <si>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</si>
  <si>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</si>
  <si>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</si>
  <si>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</si>
  <si>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</si>
  <si>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</si>
  <si>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</si>
  <si>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</si>
  <si>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</si>
  <si>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</si>
  <si>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</si>
  <si>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</si>
  <si>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</si>
  <si>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</si>
  <si>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</si>
  <si>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</si>
  <si>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</si>
  <si>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</si>
  <si>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</si>
  <si>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</si>
  <si>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</si>
  <si>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</si>
  <si>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</si>
  <si>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</si>
  <si>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</si>
  <si>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</si>
  <si>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</si>
  <si>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</si>
  <si>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</si>
  <si>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</si>
  <si>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</si>
  <si>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</si>
  <si>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</si>
  <si>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</si>
  <si>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</si>
  <si>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</si>
  <si>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</si>
  <si>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</si>
  <si>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</si>
  <si>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</si>
  <si>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</si>
  <si>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</si>
  <si>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</si>
  <si>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</si>
  <si>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</si>
  <si>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</si>
  <si>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</si>
  <si>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</si>
  <si>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</si>
  <si>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</si>
  <si>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</si>
  <si>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</si>
  <si>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</si>
  <si>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</si>
  <si>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</si>
  <si>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</si>
  <si>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</si>
  <si>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</si>
  <si>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</si>
  <si>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</si>
  <si>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</si>
  <si>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</si>
  <si>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</si>
  <si>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</si>
  <si>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</si>
  <si>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</si>
  <si>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</si>
  <si>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</si>
  <si>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</si>
  <si>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</si>
  <si>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</si>
  <si>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</si>
  <si>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</si>
  <si>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</si>
  <si>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</si>
  <si>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</si>
  <si>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</si>
  <si>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</si>
  <si>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</si>
  <si>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</si>
  <si>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</si>
  <si>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</si>
  <si>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</si>
  <si>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</si>
  <si>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</si>
  <si>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</si>
  <si>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</si>
  <si>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</si>
  <si>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</si>
  <si>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</si>
  <si>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</si>
  <si>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</si>
  <si>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</si>
  <si>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</si>
  <si>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</si>
  <si>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</si>
  <si>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</si>
  <si>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</si>
  <si>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</si>
  <si>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</si>
  <si>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</si>
  <si>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</si>
  <si>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</si>
  <si>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</si>
  <si>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</si>
  <si>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</si>
  <si>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</si>
  <si>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</si>
  <si>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</si>
  <si>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</si>
  <si>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</si>
  <si>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</si>
  <si>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</si>
  <si>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</si>
  <si>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</si>
  <si>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</si>
  <si>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</si>
  <si>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</si>
  <si>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</si>
  <si>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</si>
  <si>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</si>
  <si>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</si>
  <si>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</si>
  <si>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</si>
  <si>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</si>
  <si>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</si>
  <si>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</si>
  <si>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</si>
  <si>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</si>
  <si>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</si>
  <si>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</si>
  <si>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</si>
  <si>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</si>
  <si>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</si>
  <si>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</si>
  <si>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</si>
  <si>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</si>
  <si>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</si>
  <si>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</si>
  <si>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</si>
  <si>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</si>
  <si>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</si>
  <si>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</si>
  <si>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</si>
  <si>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</si>
  <si>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</si>
  <si>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</si>
  <si>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</si>
  <si>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</si>
  <si>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</si>
  <si>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</si>
  <si>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</si>
  <si>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</si>
  <si>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</si>
  <si>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</si>
  <si>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</si>
  <si>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</si>
  <si>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</si>
  <si>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</si>
  <si>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</si>
  <si>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</si>
  <si>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</si>
  <si>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</si>
  <si>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</si>
  <si>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</si>
  <si>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</si>
  <si>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</si>
  <si>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</si>
  <si>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</si>
  <si>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</si>
  <si>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</si>
  <si>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</si>
  <si>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</si>
  <si>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</si>
  <si>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</si>
  <si>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</si>
  <si>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</si>
  <si>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</si>
  <si>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</si>
  <si>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</si>
  <si>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</si>
  <si>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</si>
  <si>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</si>
  <si>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</si>
  <si>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</si>
  <si>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</si>
  <si>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</si>
  <si>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</si>
  <si>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</si>
  <si>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</si>
  <si>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</si>
  <si>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</si>
  <si>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</si>
  <si>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</si>
  <si>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</si>
  <si>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</si>
  <si>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</si>
  <si>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</si>
  <si>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</si>
  <si>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</si>
  <si>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</si>
  <si>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</si>
  <si>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</si>
  <si>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</si>
  <si>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</si>
  <si>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</si>
  <si>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</si>
  <si>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</si>
  <si>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</si>
  <si>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</si>
  <si>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</si>
  <si>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</si>
  <si>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</si>
  <si>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</si>
  <si>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</si>
  <si>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</si>
  <si>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</si>
  <si>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</si>
  <si>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</si>
  <si>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</si>
  <si>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</si>
  <si>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</si>
  <si>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</si>
  <si>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</si>
  <si>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</si>
  <si>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</si>
  <si>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</si>
  <si>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</si>
  <si>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</si>
  <si>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</si>
  <si>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</si>
  <si>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</si>
  <si>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</si>
  <si>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</si>
  <si>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</si>
  <si>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</si>
  <si>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</si>
  <si>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</si>
  <si>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</si>
  <si>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</si>
  <si>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</si>
  <si>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</si>
  <si>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</si>
  <si>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</si>
  <si>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</si>
  <si>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</si>
  <si>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</si>
  <si>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</si>
  <si>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</si>
  <si>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</si>
  <si>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</si>
  <si>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</si>
  <si>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</si>
  <si>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</si>
  <si>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</si>
  <si>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</si>
  <si>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</si>
  <si>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</si>
  <si>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</si>
  <si>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</si>
  <si>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</si>
  <si>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</si>
  <si>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</si>
  <si>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</si>
  <si>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</si>
  <si>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</si>
  <si>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</si>
  <si>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</si>
  <si>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</si>
  <si>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</si>
  <si>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</si>
  <si>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</si>
  <si>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</si>
  <si>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</si>
  <si>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</si>
  <si>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</si>
  <si>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</si>
  <si>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</si>
  <si>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</si>
  <si>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</si>
  <si>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</si>
  <si>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</si>
  <si>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</si>
  <si>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</si>
  <si>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</si>
  <si>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</si>
  <si>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</si>
  <si>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</si>
  <si>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</si>
  <si>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</si>
  <si>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</si>
  <si>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</si>
  <si>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</si>
  <si>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</si>
  <si>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</si>
  <si>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</si>
  <si>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</si>
  <si>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</si>
  <si>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</si>
  <si>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</si>
  <si>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</si>
  <si>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</si>
  <si>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</si>
  <si>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</si>
  <si>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</si>
  <si>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</si>
  <si>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</si>
  <si>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</si>
  <si>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</si>
  <si>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</si>
  <si>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</si>
  <si>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</si>
  <si>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</si>
  <si>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</si>
  <si>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</si>
  <si>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Replacement (YES/NO)</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</si>
  <si>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</si>
  <si>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</si>
  <si>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</si>
  <si>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</si>
  <si>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</si>
  <si>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</si>
  <si>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</si>
  <si>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</si>
  <si>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</si>
  <si>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</si>
  <si>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</si>
  <si>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</si>
  <si>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</si>
  <si>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9/Nov/15. New added camp. Data source: UNHCR CCCM officer NSS mission 8-12 July 2015.</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</si>
  <si>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</si>
  <si>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</si>
  <si>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</si>
  <si>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</si>
  <si>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Du Kahtawng Qtr. 14,4,5 (combined as one camp)</t>
  </si>
  <si>
    <t>Shelter Tool kit</t>
  </si>
  <si>
    <t>Tent</t>
  </si>
  <si>
    <t>Mai hkawng Camp (RC +KBC)</t>
  </si>
  <si>
    <t>Lana Zup Ja and Bumtsit pa (1) and (2)</t>
  </si>
  <si>
    <t>Nhkawng Pa camp and Pa Kahtawng camp thru cross line mission with KMSS-Bhamo</t>
  </si>
  <si>
    <t>Kbc</t>
  </si>
  <si>
    <t>Shalom-BM</t>
  </si>
  <si>
    <t>Lisu Baptist Church</t>
  </si>
  <si>
    <t>Namtit</t>
  </si>
  <si>
    <t>Pyi Lung Chan Tar</t>
  </si>
  <si>
    <t>Moe Gok (Pain Pyit Lisu Village)</t>
  </si>
  <si>
    <t>Moe Gok (A Shae Kyaung)</t>
  </si>
  <si>
    <t>Moe Gok (Aung Daw Mu)</t>
  </si>
  <si>
    <t>Moe Mait (Man Ohn0</t>
  </si>
  <si>
    <t>Emergency</t>
  </si>
  <si>
    <t>KMSS-MKN</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</si>
  <si>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</si>
  <si>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</si>
  <si>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</si>
  <si>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</si>
  <si>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</si>
  <si>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</si>
  <si>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</si>
  <si>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</si>
  <si>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</si>
  <si>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</si>
  <si>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</si>
  <si>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</si>
  <si>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</si>
  <si>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</si>
  <si>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</si>
  <si>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</si>
  <si>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</si>
  <si>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</si>
  <si>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</si>
  <si>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</si>
  <si>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</si>
  <si>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</si>
  <si>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</si>
  <si>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</si>
  <si>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</si>
  <si>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</si>
  <si>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</si>
  <si>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</si>
  <si>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</si>
  <si>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</si>
  <si>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</si>
  <si>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</si>
  <si>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</si>
  <si>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</si>
  <si>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</si>
  <si>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</si>
  <si>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</si>
  <si>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</si>
  <si>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</si>
  <si>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</si>
  <si>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</si>
  <si>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</si>
  <si>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</si>
  <si>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</si>
  <si>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</si>
  <si>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</si>
  <si>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</si>
  <si>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</si>
  <si>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</si>
  <si>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</si>
  <si>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</si>
  <si>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</si>
  <si>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</si>
  <si>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</si>
  <si>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</si>
  <si>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21 twin shelters = 42 units</t>
  </si>
  <si>
    <t>MMR015CMP220</t>
  </si>
  <si>
    <t>MMR015CMP221</t>
  </si>
  <si>
    <t>MMR015CMP222</t>
  </si>
  <si>
    <t>MMR015CMP223</t>
  </si>
  <si>
    <t>MMR015CMP224</t>
  </si>
  <si>
    <t>MMR015CMP225</t>
  </si>
  <si>
    <t>MMR015CMP226</t>
  </si>
  <si>
    <t>MMR015CMP227</t>
  </si>
  <si>
    <t>Mai Yu Lay Ta'ang</t>
  </si>
  <si>
    <t>Mong Wee Ta'ang</t>
  </si>
  <si>
    <t>Mong Wee Shan</t>
  </si>
  <si>
    <t>Nam Hpak Ka Ta'ang</t>
  </si>
  <si>
    <t>25/Jul/2016: Added as new camp according to KBC data. Data was given by Jade</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</si>
  <si>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</si>
  <si>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</si>
  <si>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</si>
  <si>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</si>
  <si>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</si>
  <si>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</si>
  <si>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</si>
  <si>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</si>
  <si>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</si>
  <si>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</si>
  <si>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</si>
  <si>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</si>
  <si>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</si>
  <si>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</si>
  <si>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</si>
  <si>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</si>
  <si>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</si>
  <si>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Chan Myae monastery</t>
  </si>
  <si>
    <t>Kapaung</t>
  </si>
  <si>
    <t>Lot Aung</t>
  </si>
  <si>
    <t>Pan Dang</t>
  </si>
  <si>
    <t>Pan Hkawn</t>
  </si>
  <si>
    <t>Thai Ra Yan</t>
  </si>
  <si>
    <t>Edin</t>
  </si>
  <si>
    <t>Loi Je B.E.H.S</t>
  </si>
  <si>
    <t>Lisu Manau Park</t>
  </si>
  <si>
    <t>Emergency Distribution</t>
  </si>
  <si>
    <t>State/Township</t>
  </si>
  <si>
    <t>Northern Shan</t>
  </si>
  <si>
    <t>Northern Shan Total</t>
  </si>
  <si>
    <t>Kachin &amp; Nothern Shan State</t>
  </si>
  <si>
    <t>Yes</t>
  </si>
  <si>
    <t>Implementing with DRC</t>
  </si>
  <si>
    <t>Wa Ra Zut</t>
  </si>
  <si>
    <t>MMR001009009</t>
  </si>
  <si>
    <t xml:space="preserve">25/Jul/2016: Added as new camp according to KBC data. </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</si>
  <si>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</si>
  <si>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</si>
  <si>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</si>
  <si>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</si>
  <si>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</si>
  <si>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</si>
  <si>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</si>
  <si>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</si>
  <si>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</si>
  <si>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</si>
  <si>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</si>
  <si>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</si>
  <si>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New added camp. There no responsible organization.</t>
  </si>
  <si>
    <t>16/Sep/2016: Changes camp status. Actually it was not closed. It was combined as one camp with Bum Tsit Pa. Data source: KMSS_Bhamo.
28/Jan/2016. Population update. Data source: KBC
Population Update. Source: Save The Children.</t>
  </si>
  <si>
    <t>9/Nov/2015. Population update. Data source: mail from WFP.
New added Boarding School</t>
  </si>
  <si>
    <t>WFP</t>
  </si>
  <si>
    <t>Shelter Tool kit_LS</t>
  </si>
  <si>
    <t>Tent_LS</t>
  </si>
  <si>
    <t>(Njang Dung Camp, Shwe Zet Camp and 4 Camps in Hpakhant Tsp distributio)There is no specific camp and township name. Remarks-Through KBC-Myitkyina for new arrivals in 6 Camps: Njang Dung Camp, Shwe Zet Camp and 4 Camps in Hpakhant Tsp)</t>
  </si>
  <si>
    <t>(Buddha Camp, RC Camp and Mudung Camp)Emergency Distribution</t>
  </si>
  <si>
    <t># IDPLoc.</t>
  </si>
  <si>
    <t>=MIN([@[Shelter Gap]],[@[Land Status]])</t>
  </si>
  <si>
    <t>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</si>
  <si>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KMSS_MKN</t>
  </si>
  <si>
    <t>Data source: Solidarities/under Nov_2016_CAR</t>
  </si>
  <si>
    <t xml:space="preserve">Data source: Solidarities/under Nov_2016_CAR, Newly displacement. Distribution related to Emergency Intervention (ERF), </t>
  </si>
  <si>
    <t>Data source: KBC/under nov_201_CAR</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</si>
  <si>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</si>
  <si>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</si>
  <si>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</si>
  <si>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</si>
  <si>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</si>
  <si>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</si>
  <si>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</si>
  <si>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</si>
  <si>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</si>
  <si>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</si>
  <si>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</si>
  <si>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</si>
  <si>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</si>
  <si>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</si>
  <si>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</si>
  <si>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</si>
  <si>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</si>
  <si>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</si>
  <si>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</si>
  <si>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</si>
  <si>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</si>
  <si>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</si>
  <si>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</si>
  <si>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</si>
  <si>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</si>
  <si>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</si>
  <si>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</si>
  <si>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</si>
  <si>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</si>
  <si>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</si>
  <si>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</si>
  <si>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</si>
  <si>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</si>
  <si>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</si>
  <si>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</si>
  <si>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</si>
  <si>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</si>
  <si>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</si>
  <si>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</si>
  <si>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</si>
  <si>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</si>
  <si>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</si>
  <si>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</si>
  <si>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</si>
  <si>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</si>
  <si>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</si>
  <si>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</si>
  <si>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</si>
  <si>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</si>
  <si>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</si>
  <si>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</si>
  <si>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</si>
  <si>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</si>
  <si>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</si>
  <si>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</si>
  <si>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</si>
  <si>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</si>
  <si>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</si>
  <si>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</si>
  <si>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</si>
  <si>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</si>
  <si>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</si>
  <si>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</si>
  <si>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Datsa source: KMSS_Bhamo. Data was received when the camps status was changed as "Closed"</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</si>
  <si>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</si>
  <si>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</si>
  <si>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</si>
  <si>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</si>
  <si>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</si>
  <si>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KMSS_Lashio</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</si>
  <si>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</si>
  <si>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</si>
  <si>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</si>
  <si>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</si>
  <si>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</si>
  <si>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</si>
  <si>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</si>
  <si>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</si>
  <si>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</si>
  <si>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</si>
  <si>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</si>
  <si>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</si>
  <si>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</si>
  <si>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</si>
  <si>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</si>
  <si>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</si>
  <si>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</si>
  <si>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</si>
  <si>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</si>
  <si>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</si>
  <si>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</si>
  <si>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</si>
  <si>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</si>
  <si>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</si>
  <si>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</si>
  <si>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</si>
  <si>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</si>
  <si>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</si>
  <si>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</si>
  <si>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</si>
  <si>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</si>
  <si>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</si>
  <si>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</si>
  <si>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</si>
  <si>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</si>
  <si>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</si>
  <si>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</si>
  <si>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</si>
  <si>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</si>
  <si>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</si>
  <si>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</si>
  <si>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Relief International</t>
  </si>
  <si>
    <t>According to their list, Tarpulin is under "Shelter Kit" . Two items (Tarpulin and Rope) are included in "Shelter Kit"</t>
  </si>
  <si>
    <t>SUMIFS(Table_NFI[Mosquito net_LS],Table_NFI[opening_date],1,Table_NFI[Status],"open")</t>
  </si>
  <si>
    <t>0</t>
  </si>
  <si>
    <t>IFERROR(VLOOKUP([@[Camp Name]],CL,2,0),"")</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</si>
  <si>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</si>
  <si>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</si>
  <si>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</si>
  <si>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</si>
  <si>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</si>
  <si>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</si>
  <si>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</si>
  <si>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</si>
  <si>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</si>
  <si>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</si>
  <si>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</si>
  <si>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</si>
  <si>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</si>
  <si>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</si>
  <si>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</si>
  <si>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</si>
  <si>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</si>
  <si>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</si>
  <si>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</si>
  <si>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</si>
  <si>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15/Mar/2017: Population update. Data Source: KBC
24/Feb/2017: Population and Responsible agency update. Data source: KBC.
10/Jan/2017: Population update. Data source: KBC
18/Jul/2016: Added as new camp according to KBC_Brang Mai.</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</si>
  <si>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</si>
  <si>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</si>
  <si>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</si>
  <si>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</si>
  <si>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</si>
  <si>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</si>
  <si>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</si>
  <si>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</si>
  <si>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</si>
  <si>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</si>
  <si>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</si>
  <si>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</si>
  <si>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</si>
  <si>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</si>
  <si>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</si>
  <si>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</si>
  <si>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</si>
  <si>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15/Mar/2017: Population update. Data Source: KBC
24/Feb/2017: Population and Responsible agency update. Data source: KBC.
10/2/2015. New Camp. Data source: CCCM team</t>
  </si>
  <si>
    <r>
      <t xml:space="preserve">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</si>
  <si>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</si>
  <si>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</si>
  <si>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</si>
  <si>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</si>
  <si>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</si>
  <si>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</si>
  <si>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15/Mar/2017: Population update. Data Source: KBC
24/Feb/2017: Population update. Data source: KBC
16/Sep/2016: New added camp. There no responsible organization.</t>
  </si>
  <si>
    <t>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</si>
  <si>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</si>
  <si>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</si>
  <si>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</si>
  <si>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</si>
  <si>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</si>
  <si>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</si>
  <si>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</si>
  <si>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</si>
  <si>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</si>
  <si>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</si>
  <si>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</si>
  <si>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</si>
  <si>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</si>
  <si>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</si>
  <si>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</si>
  <si>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</si>
  <si>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Population update. Data source: CCCM and comfirmed by camp manager.
20/Feb/2017: Updating GPS coordiante.
25/Jul/2016: Added as new camp according to KBC data. Data was given by Jade</t>
  </si>
  <si>
    <t>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</si>
  <si>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</si>
  <si>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</si>
  <si>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</si>
  <si>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</si>
  <si>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</si>
  <si>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</si>
  <si>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6/April/2017: New Added camp. Data source: UNOCHA, Partners and CCCM.</t>
  </si>
  <si>
    <t>7/April/2017: Population update. Data source: WFP
9/Nov/15. Population update. Data source: mail from Pancy (WFP).
Update IDP increased in Oct and Nov 2013 from Angela (UNHCR - Bhamo)</t>
  </si>
  <si>
    <t>7/April/2017: Population update. Data source: WFP
9/Nov/15. Population update. Data source: mail from Pancy (WFP).
Update IDP increased in Oct and Nov 2013 from (UNHCR - Bhamo)</t>
  </si>
  <si>
    <t>7/April/2017: Population update. Data source: WFP
9/Nov/15. Population update. Data source: mail from Pancy (WFP).</t>
  </si>
  <si>
    <t>7/April/2017: Population update. Data source: WFP
Geo-Info, HH/Pop data was updated from Google Earth.</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</si>
</sst>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 numFmtId="173" formatCode="0.000"/>
    <numFmt numFmtId="174" formatCode="[$-409]d\-mmm\-yy;@"/>
  </numFmts>
  <fonts count="70"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b/>
      <sz val="10"/>
      <color theme="8" tint="0.79998168889431442"/>
      <name val="Calibri"/>
      <family val="2"/>
      <scheme val="minor"/>
    </font>
    <font>
      <sz val="10"/>
      <color rgb="FFFF000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1"/>
      <color theme="1"/>
      <name val="Calibri"/>
      <family val="2"/>
      <scheme val="minor"/>
    </font>
    <font>
      <sz val="11"/>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b/>
      <sz val="28"/>
      <color theme="0"/>
      <name val="Calibri"/>
      <family val="2"/>
      <scheme val="minor"/>
    </font>
    <font>
      <sz val="9"/>
      <color theme="0"/>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6" tint="-0.249977111117893"/>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0">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164"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cellStyleXfs>
  <cellXfs count="915">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0" fillId="0" borderId="0" xfId="0" applyFill="1" applyBorder="1"/>
    <xf numFmtId="0" fontId="0" fillId="0" borderId="1" xfId="0" applyFill="1" applyBorder="1"/>
    <xf numFmtId="0" fontId="0" fillId="0" borderId="0" xfId="0" applyAlignment="1">
      <alignment horizontal="left"/>
    </xf>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0" fontId="32" fillId="11" borderId="0" xfId="6" applyFont="1" applyFill="1" applyBorder="1" applyAlignment="1">
      <alignment vertical="center"/>
    </xf>
    <xf numFmtId="0" fontId="9" fillId="10" borderId="0" xfId="6" applyFont="1" applyFill="1" applyBorder="1" applyAlignment="1">
      <alignment vertical="center"/>
    </xf>
    <xf numFmtId="9" fontId="36" fillId="27" borderId="1" xfId="8" applyFont="1" applyFill="1" applyBorder="1"/>
    <xf numFmtId="165" fontId="36" fillId="0" borderId="1" xfId="10" applyNumberFormat="1" applyFont="1" applyBorder="1"/>
    <xf numFmtId="165" fontId="36" fillId="0" borderId="1" xfId="0" applyNumberFormat="1" applyFont="1" applyBorder="1"/>
    <xf numFmtId="9" fontId="36" fillId="26" borderId="1" xfId="8" applyFont="1" applyFill="1" applyBorder="1"/>
    <xf numFmtId="0" fontId="37"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0" fontId="0" fillId="0" borderId="0" xfId="0" applyFill="1" applyBorder="1" applyAlignment="1">
      <alignment vertical="center"/>
    </xf>
    <xf numFmtId="0" fontId="45" fillId="0" borderId="0" xfId="0" applyFont="1" applyAlignment="1">
      <alignment wrapText="1"/>
    </xf>
    <xf numFmtId="0" fontId="28" fillId="0" borderId="0" xfId="0" applyFont="1" applyAlignment="1">
      <alignment wrapText="1"/>
    </xf>
    <xf numFmtId="0" fontId="0" fillId="0" borderId="0" xfId="0" applyAlignment="1">
      <alignment wrapText="1"/>
    </xf>
    <xf numFmtId="0" fontId="42" fillId="0" borderId="0" xfId="6" applyFont="1" applyFill="1" applyBorder="1" applyAlignment="1">
      <alignment vertical="center"/>
    </xf>
    <xf numFmtId="0" fontId="44" fillId="0" borderId="0" xfId="6" applyFont="1" applyFill="1" applyBorder="1" applyAlignment="1">
      <alignment horizontal="center" vertical="center"/>
    </xf>
    <xf numFmtId="9" fontId="36" fillId="27" borderId="1" xfId="8" applyFont="1" applyFill="1" applyBorder="1" applyAlignment="1">
      <alignment horizontal="center" vertical="top"/>
    </xf>
    <xf numFmtId="0" fontId="35"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0" fillId="0" borderId="1" xfId="0" applyNumberFormat="1" applyFont="1" applyFill="1" applyBorder="1"/>
    <xf numFmtId="0" fontId="0" fillId="0" borderId="1" xfId="0" applyFont="1" applyFill="1" applyBorder="1"/>
    <xf numFmtId="0" fontId="0" fillId="0" borderId="0" xfId="0" applyAlignment="1">
      <alignment horizontal="center" vertical="center"/>
    </xf>
    <xf numFmtId="0" fontId="3" fillId="11" borderId="0" xfId="0" applyFont="1" applyFill="1" applyBorder="1"/>
    <xf numFmtId="0" fontId="47" fillId="31" borderId="29" xfId="0" applyFont="1" applyFill="1" applyBorder="1"/>
    <xf numFmtId="0" fontId="48" fillId="31" borderId="30" xfId="0" applyFont="1" applyFill="1" applyBorder="1"/>
    <xf numFmtId="0" fontId="47" fillId="31" borderId="27" xfId="0" applyFont="1" applyFill="1" applyBorder="1"/>
    <xf numFmtId="0" fontId="48" fillId="31" borderId="31" xfId="0" applyFont="1" applyFill="1" applyBorder="1"/>
    <xf numFmtId="0" fontId="48" fillId="0" borderId="0" xfId="0" applyFont="1" applyFill="1"/>
    <xf numFmtId="0" fontId="47" fillId="0" borderId="39" xfId="0" applyFont="1" applyFill="1" applyBorder="1"/>
    <xf numFmtId="0" fontId="47" fillId="0" borderId="11" xfId="0" applyFont="1" applyFill="1" applyBorder="1"/>
    <xf numFmtId="0" fontId="47" fillId="0" borderId="40" xfId="0" applyFont="1" applyFill="1" applyBorder="1"/>
    <xf numFmtId="0" fontId="47" fillId="0" borderId="4" xfId="0" applyFont="1" applyFill="1" applyBorder="1"/>
    <xf numFmtId="0" fontId="47" fillId="0" borderId="33" xfId="0" applyFont="1" applyFill="1" applyBorder="1"/>
    <xf numFmtId="0" fontId="47" fillId="0" borderId="41" xfId="0" applyFont="1" applyFill="1" applyBorder="1"/>
    <xf numFmtId="0" fontId="47" fillId="0" borderId="24" xfId="0" applyFont="1" applyFill="1" applyBorder="1"/>
    <xf numFmtId="0" fontId="47" fillId="0" borderId="23" xfId="0" applyFont="1" applyFill="1" applyBorder="1"/>
    <xf numFmtId="0" fontId="47" fillId="0" borderId="26" xfId="0" applyFont="1" applyFill="1" applyBorder="1"/>
    <xf numFmtId="0" fontId="48" fillId="29" borderId="0" xfId="0" applyFont="1" applyFill="1" applyBorder="1"/>
    <xf numFmtId="0" fontId="48" fillId="0" borderId="0" xfId="0" applyFont="1" applyFill="1" applyBorder="1"/>
    <xf numFmtId="165" fontId="48" fillId="0" borderId="0" xfId="7" applyNumberFormat="1" applyFont="1" applyFill="1" applyBorder="1"/>
    <xf numFmtId="0" fontId="48" fillId="0" borderId="0" xfId="0" applyNumberFormat="1" applyFont="1" applyFill="1" applyBorder="1"/>
    <xf numFmtId="9" fontId="48" fillId="0" borderId="0" xfId="8" applyFont="1" applyFill="1" applyBorder="1"/>
    <xf numFmtId="0" fontId="47" fillId="0" borderId="3" xfId="0" applyNumberFormat="1" applyFont="1" applyFill="1" applyBorder="1"/>
    <xf numFmtId="1" fontId="47" fillId="0" borderId="2" xfId="0" applyNumberFormat="1" applyFont="1" applyFill="1" applyBorder="1"/>
    <xf numFmtId="165" fontId="49" fillId="0" borderId="0" xfId="7" applyNumberFormat="1" applyFont="1" applyFill="1" applyBorder="1"/>
    <xf numFmtId="0" fontId="48" fillId="30" borderId="0" xfId="0" applyFont="1" applyFill="1" applyBorder="1"/>
    <xf numFmtId="2" fontId="48" fillId="30" borderId="0" xfId="0" applyNumberFormat="1" applyFont="1" applyFill="1" applyBorder="1"/>
    <xf numFmtId="2" fontId="48" fillId="0" borderId="0" xfId="0" applyNumberFormat="1" applyFont="1" applyFill="1" applyBorder="1"/>
    <xf numFmtId="165" fontId="48" fillId="0" borderId="0" xfId="0" applyNumberFormat="1" applyFont="1" applyFill="1" applyBorder="1"/>
    <xf numFmtId="9" fontId="48" fillId="0" borderId="0" xfId="0" applyNumberFormat="1" applyFont="1" applyFill="1" applyBorder="1"/>
    <xf numFmtId="0" fontId="47" fillId="0" borderId="25" xfId="0" applyNumberFormat="1" applyFont="1" applyFill="1" applyBorder="1"/>
    <xf numFmtId="1" fontId="47" fillId="0" borderId="18" xfId="0" applyNumberFormat="1" applyFont="1" applyFill="1" applyBorder="1"/>
    <xf numFmtId="165" fontId="48"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1" borderId="9" xfId="5" applyFont="1" applyFill="1" applyBorder="1" applyAlignment="1">
      <alignment horizontal="left" vertical="top"/>
    </xf>
    <xf numFmtId="0" fontId="11" fillId="41" borderId="0" xfId="0" applyFont="1" applyFill="1" applyAlignment="1">
      <alignment horizontal="left" vertical="top"/>
    </xf>
    <xf numFmtId="0" fontId="19" fillId="41" borderId="11" xfId="5" applyFont="1" applyFill="1" applyBorder="1" applyAlignment="1">
      <alignment horizontal="left" vertical="top"/>
    </xf>
    <xf numFmtId="171" fontId="19" fillId="41" borderId="11" xfId="5" applyNumberFormat="1" applyFont="1" applyFill="1" applyBorder="1" applyAlignment="1">
      <alignment horizontal="left" vertical="top"/>
    </xf>
    <xf numFmtId="0" fontId="52" fillId="22" borderId="1" xfId="0" applyFont="1" applyFill="1" applyBorder="1" applyAlignment="1">
      <alignment horizontal="center" wrapText="1"/>
    </xf>
    <xf numFmtId="0" fontId="52" fillId="22" borderId="1" xfId="0" applyFont="1" applyFill="1" applyBorder="1" applyAlignment="1">
      <alignment horizontal="center" vertical="top" wrapText="1"/>
    </xf>
    <xf numFmtId="0" fontId="53" fillId="23" borderId="1" xfId="0" applyFont="1" applyFill="1" applyBorder="1" applyAlignment="1">
      <alignment horizontal="center" vertical="top" wrapText="1"/>
    </xf>
    <xf numFmtId="0" fontId="52" fillId="24" borderId="1" xfId="0" applyFont="1" applyFill="1" applyBorder="1" applyAlignment="1">
      <alignment horizontal="center" vertical="top" wrapText="1"/>
    </xf>
    <xf numFmtId="0" fontId="52" fillId="25" borderId="1" xfId="0" applyFont="1" applyFill="1" applyBorder="1" applyAlignment="1">
      <alignment horizontal="center" vertical="top" wrapText="1"/>
    </xf>
    <xf numFmtId="0" fontId="53" fillId="26" borderId="1" xfId="0" applyFont="1" applyFill="1" applyBorder="1" applyAlignment="1">
      <alignment horizontal="center" vertical="top" wrapText="1"/>
    </xf>
    <xf numFmtId="0" fontId="54" fillId="0" borderId="1" xfId="0" applyFont="1" applyFill="1" applyBorder="1" applyAlignment="1">
      <alignment horizontal="left"/>
    </xf>
    <xf numFmtId="0" fontId="55" fillId="2" borderId="10" xfId="0" applyFont="1" applyFill="1" applyBorder="1" applyAlignment="1">
      <alignment horizontal="left"/>
    </xf>
    <xf numFmtId="165" fontId="55" fillId="0" borderId="1" xfId="10" applyNumberFormat="1" applyFont="1" applyFill="1" applyBorder="1" applyAlignment="1">
      <alignment horizontal="left"/>
    </xf>
    <xf numFmtId="165" fontId="56" fillId="0" borderId="1" xfId="10" applyNumberFormat="1" applyFont="1" applyBorder="1"/>
    <xf numFmtId="9" fontId="56" fillId="24" borderId="1" xfId="8" applyFont="1" applyFill="1" applyBorder="1"/>
    <xf numFmtId="9" fontId="56" fillId="25" borderId="1" xfId="8" applyFont="1" applyFill="1" applyBorder="1"/>
    <xf numFmtId="9" fontId="56" fillId="26" borderId="1" xfId="8" applyFont="1" applyFill="1" applyBorder="1"/>
    <xf numFmtId="17" fontId="3" fillId="10" borderId="0" xfId="0" applyNumberFormat="1" applyFont="1" applyFill="1" applyAlignment="1">
      <alignment horizontal="left"/>
    </xf>
    <xf numFmtId="0" fontId="0" fillId="40"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46" fillId="0" borderId="1" xfId="14" applyNumberFormat="1" applyFont="1" applyFill="1" applyBorder="1" applyAlignment="1"/>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8" fillId="10" borderId="0" xfId="0" applyFont="1" applyFill="1" applyAlignment="1">
      <alignment vertical="center" readingOrder="1"/>
    </xf>
    <xf numFmtId="165" fontId="27" fillId="10" borderId="0" xfId="0" applyNumberFormat="1" applyFont="1" applyFill="1" applyBorder="1"/>
    <xf numFmtId="0" fontId="0" fillId="10" borderId="0" xfId="0" applyFont="1" applyFill="1" applyBorder="1" applyAlignment="1">
      <alignment horizontal="center" vertical="center" wrapText="1"/>
    </xf>
    <xf numFmtId="0" fontId="0" fillId="43" borderId="0" xfId="0" applyFill="1" applyBorder="1"/>
    <xf numFmtId="0" fontId="32" fillId="40" borderId="0" xfId="6" applyFont="1" applyFill="1" applyBorder="1" applyAlignment="1">
      <alignment vertical="center"/>
    </xf>
    <xf numFmtId="0" fontId="0" fillId="40" borderId="42" xfId="0" applyFill="1" applyBorder="1"/>
    <xf numFmtId="0" fontId="0" fillId="40" borderId="25" xfId="0" applyFill="1" applyBorder="1"/>
    <xf numFmtId="0" fontId="0" fillId="40" borderId="39" xfId="0" applyFill="1" applyBorder="1"/>
    <xf numFmtId="0" fontId="32" fillId="40" borderId="43" xfId="6" applyFont="1" applyFill="1" applyBorder="1" applyAlignment="1">
      <alignment vertical="center"/>
    </xf>
    <xf numFmtId="0" fontId="0" fillId="40" borderId="43" xfId="0" applyFill="1" applyBorder="1"/>
    <xf numFmtId="0" fontId="0" fillId="40" borderId="17" xfId="0" applyFill="1" applyBorder="1"/>
    <xf numFmtId="0" fontId="0" fillId="40" borderId="12" xfId="0" applyFill="1" applyBorder="1"/>
    <xf numFmtId="0" fontId="0" fillId="40" borderId="13" xfId="0" applyFill="1" applyBorder="1"/>
    <xf numFmtId="0" fontId="0" fillId="40" borderId="14" xfId="0" applyFill="1" applyBorder="1"/>
    <xf numFmtId="0" fontId="0" fillId="40" borderId="15" xfId="0" applyFill="1" applyBorder="1"/>
    <xf numFmtId="0" fontId="0" fillId="40" borderId="16" xfId="0" applyFill="1" applyBorder="1"/>
    <xf numFmtId="0" fontId="0" fillId="40" borderId="44" xfId="0" applyFill="1" applyBorder="1"/>
    <xf numFmtId="0" fontId="0" fillId="40" borderId="45" xfId="0" applyFill="1" applyBorder="1"/>
    <xf numFmtId="0" fontId="0" fillId="0" borderId="46" xfId="0" applyBorder="1"/>
    <xf numFmtId="0" fontId="0" fillId="0" borderId="47" xfId="0" applyBorder="1"/>
    <xf numFmtId="0" fontId="0" fillId="10" borderId="47" xfId="0" applyFill="1" applyBorder="1"/>
    <xf numFmtId="0" fontId="9" fillId="43" borderId="16" xfId="6" applyFont="1" applyFill="1" applyBorder="1" applyAlignment="1">
      <alignment vertical="center"/>
    </xf>
    <xf numFmtId="0" fontId="9" fillId="40"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48" xfId="0" applyFill="1" applyBorder="1"/>
    <xf numFmtId="0" fontId="0" fillId="10" borderId="15" xfId="0" applyFill="1" applyBorder="1"/>
    <xf numFmtId="0" fontId="0" fillId="10" borderId="46" xfId="0" applyFill="1" applyBorder="1"/>
    <xf numFmtId="0" fontId="0" fillId="10" borderId="47" xfId="0" applyFill="1" applyBorder="1" applyAlignment="1">
      <alignment horizontal="left"/>
    </xf>
    <xf numFmtId="165" fontId="0" fillId="10" borderId="47" xfId="0" applyNumberFormat="1" applyFill="1" applyBorder="1"/>
    <xf numFmtId="3" fontId="0" fillId="10" borderId="47" xfId="0" applyNumberFormat="1" applyFill="1" applyBorder="1"/>
    <xf numFmtId="0" fontId="0" fillId="10" borderId="47" xfId="0" applyNumberFormat="1" applyFill="1" applyBorder="1"/>
    <xf numFmtId="166" fontId="34" fillId="10" borderId="0" xfId="6" applyNumberFormat="1" applyFont="1" applyFill="1" applyBorder="1" applyAlignment="1">
      <alignment horizontal="left" vertical="center"/>
    </xf>
    <xf numFmtId="0" fontId="32" fillId="10" borderId="0" xfId="6" applyFont="1" applyFill="1" applyBorder="1" applyAlignment="1">
      <alignment vertical="center"/>
    </xf>
    <xf numFmtId="0" fontId="9" fillId="0" borderId="0" xfId="6" applyFont="1" applyFill="1" applyBorder="1" applyAlignment="1">
      <alignment vertical="center"/>
    </xf>
    <xf numFmtId="0" fontId="20" fillId="0" borderId="0" xfId="0" applyFont="1" applyFill="1" applyAlignment="1"/>
    <xf numFmtId="0" fontId="23" fillId="0" borderId="0" xfId="0" applyFont="1" applyFill="1"/>
    <xf numFmtId="0" fontId="31" fillId="40" borderId="0" xfId="6" applyFont="1" applyFill="1" applyBorder="1" applyAlignment="1">
      <alignment vertical="center"/>
    </xf>
    <xf numFmtId="166" fontId="34" fillId="40" borderId="0" xfId="6" applyNumberFormat="1" applyFont="1" applyFill="1" applyBorder="1" applyAlignment="1">
      <alignment vertical="center"/>
    </xf>
    <xf numFmtId="0" fontId="9" fillId="40" borderId="43" xfId="0" applyFont="1" applyFill="1" applyBorder="1"/>
    <xf numFmtId="0" fontId="11" fillId="40" borderId="43" xfId="0" applyFont="1" applyFill="1" applyBorder="1"/>
    <xf numFmtId="0" fontId="50" fillId="40" borderId="43" xfId="0" applyFont="1" applyFill="1" applyBorder="1" applyAlignment="1"/>
    <xf numFmtId="0" fontId="11" fillId="40" borderId="44" xfId="0" applyFont="1" applyFill="1" applyBorder="1"/>
    <xf numFmtId="0" fontId="11" fillId="40" borderId="45" xfId="0" applyFont="1" applyFill="1" applyBorder="1"/>
    <xf numFmtId="0" fontId="9" fillId="11" borderId="18" xfId="6" applyFont="1" applyFill="1" applyBorder="1" applyAlignment="1">
      <alignment vertical="center"/>
    </xf>
    <xf numFmtId="0" fontId="9" fillId="11" borderId="42" xfId="6" applyFont="1" applyFill="1" applyBorder="1" applyAlignment="1">
      <alignment vertical="center"/>
    </xf>
    <xf numFmtId="0" fontId="9" fillId="11" borderId="25" xfId="6" applyFont="1" applyFill="1" applyBorder="1" applyAlignment="1">
      <alignment vertical="center"/>
    </xf>
    <xf numFmtId="0" fontId="32" fillId="11" borderId="39" xfId="6" applyFont="1" applyFill="1" applyBorder="1" applyAlignment="1">
      <alignment vertical="center"/>
    </xf>
    <xf numFmtId="0" fontId="32" fillId="11" borderId="43" xfId="6" applyFont="1" applyFill="1" applyBorder="1" applyAlignment="1">
      <alignment vertical="center"/>
    </xf>
    <xf numFmtId="0" fontId="32" fillId="11" borderId="17" xfId="6" applyFont="1" applyFill="1" applyBorder="1" applyAlignment="1">
      <alignment vertical="center"/>
    </xf>
    <xf numFmtId="0" fontId="24" fillId="11" borderId="42" xfId="6" applyFont="1" applyFill="1" applyBorder="1" applyAlignment="1">
      <alignment vertical="center"/>
    </xf>
    <xf numFmtId="0" fontId="9" fillId="40" borderId="42" xfId="6" applyFont="1" applyFill="1" applyBorder="1" applyAlignment="1">
      <alignment vertical="center"/>
    </xf>
    <xf numFmtId="0" fontId="12" fillId="11" borderId="42" xfId="6" applyFont="1" applyFill="1" applyBorder="1" applyAlignment="1">
      <alignment horizontal="center" vertical="center"/>
    </xf>
    <xf numFmtId="0" fontId="4" fillId="0" borderId="42" xfId="0" applyFont="1" applyBorder="1" applyAlignment="1">
      <alignment horizontal="center" vertical="center"/>
    </xf>
    <xf numFmtId="0" fontId="4" fillId="0" borderId="43" xfId="0" applyFont="1" applyFill="1" applyBorder="1" applyAlignment="1">
      <alignment horizontal="center" vertical="center"/>
    </xf>
    <xf numFmtId="0" fontId="4" fillId="0" borderId="43" xfId="0" applyFont="1" applyBorder="1" applyAlignment="1">
      <alignment horizontal="center" vertical="center"/>
    </xf>
    <xf numFmtId="0" fontId="9" fillId="11" borderId="39" xfId="6" applyFont="1" applyFill="1" applyBorder="1" applyAlignment="1">
      <alignmen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0" fontId="8" fillId="40" borderId="43" xfId="6" applyFont="1" applyFill="1" applyBorder="1" applyAlignment="1">
      <alignment horizontal="left" vertical="center"/>
    </xf>
    <xf numFmtId="0" fontId="0" fillId="40" borderId="43" xfId="0" applyFill="1" applyBorder="1" applyAlignment="1">
      <alignment horizontal="left"/>
    </xf>
    <xf numFmtId="0" fontId="8" fillId="40" borderId="17" xfId="6" applyFont="1" applyFill="1" applyBorder="1" applyAlignment="1">
      <alignment horizontal="left" vertical="center"/>
    </xf>
    <xf numFmtId="0" fontId="9" fillId="11" borderId="4" xfId="6" applyFont="1" applyFill="1" applyBorder="1" applyAlignment="1">
      <alignment vertical="center"/>
    </xf>
    <xf numFmtId="166" fontId="58" fillId="11" borderId="23" xfId="6" applyNumberFormat="1" applyFont="1" applyFill="1" applyBorder="1" applyAlignment="1">
      <alignment vertical="center"/>
    </xf>
    <xf numFmtId="166" fontId="34" fillId="11" borderId="43" xfId="6" applyNumberFormat="1" applyFont="1" applyFill="1" applyBorder="1" applyAlignment="1">
      <alignment vertical="center"/>
    </xf>
    <xf numFmtId="0" fontId="8" fillId="40"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0" borderId="18" xfId="6" applyFont="1" applyFill="1" applyBorder="1" applyAlignment="1">
      <alignment vertical="center"/>
    </xf>
    <xf numFmtId="0" fontId="0" fillId="0" borderId="3" xfId="0" applyBorder="1"/>
    <xf numFmtId="0" fontId="0" fillId="40" borderId="3" xfId="0" applyFill="1" applyBorder="1"/>
    <xf numFmtId="0" fontId="0" fillId="43" borderId="0" xfId="0" applyFill="1"/>
    <xf numFmtId="0" fontId="5" fillId="43" borderId="0" xfId="0" applyFont="1" applyFill="1" applyBorder="1"/>
    <xf numFmtId="0" fontId="8" fillId="43" borderId="0" xfId="6" applyFont="1" applyFill="1" applyBorder="1" applyAlignment="1">
      <alignment horizontal="center" vertical="center"/>
    </xf>
    <xf numFmtId="0" fontId="6" fillId="43" borderId="0" xfId="6" applyFont="1" applyFill="1" applyAlignment="1">
      <alignment vertical="center"/>
    </xf>
    <xf numFmtId="9" fontId="11" fillId="0" borderId="1" xfId="0" applyNumberFormat="1" applyFont="1" applyFill="1" applyBorder="1"/>
    <xf numFmtId="9" fontId="0" fillId="0" borderId="1" xfId="0" applyNumberFormat="1" applyFont="1" applyFill="1" applyBorder="1"/>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0" borderId="43"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0" borderId="4" xfId="6" applyFont="1" applyFill="1" applyBorder="1" applyAlignment="1">
      <alignment vertical="center"/>
    </xf>
    <xf numFmtId="0" fontId="5" fillId="40" borderId="43"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0" fillId="10" borderId="0" xfId="0" applyFont="1" applyFill="1" applyBorder="1" applyAlignment="1"/>
    <xf numFmtId="0" fontId="11" fillId="10" borderId="16" xfId="0" applyFont="1" applyFill="1" applyBorder="1"/>
    <xf numFmtId="0" fontId="20" fillId="10" borderId="0" xfId="0" applyFont="1" applyFill="1" applyBorder="1" applyAlignment="1"/>
    <xf numFmtId="0" fontId="35" fillId="23" borderId="1" xfId="0" applyFont="1" applyFill="1" applyBorder="1" applyAlignment="1">
      <alignment horizontal="center" vertical="top" wrapText="1"/>
    </xf>
    <xf numFmtId="9" fontId="35"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1" fontId="29" fillId="0" borderId="25" xfId="0" applyNumberFormat="1"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NumberFormat="1" applyFont="1" applyFill="1" applyBorder="1" applyAlignment="1">
      <alignment horizontal="center" vertical="center"/>
    </xf>
    <xf numFmtId="9" fontId="29"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0" borderId="0" xfId="0" applyFill="1" applyBorder="1"/>
    <xf numFmtId="49" fontId="11" fillId="0" borderId="1" xfId="0" applyNumberFormat="1" applyFont="1" applyFill="1" applyBorder="1" applyAlignment="1">
      <alignment horizontal="left" vertical="center"/>
    </xf>
    <xf numFmtId="0" fontId="0" fillId="40" borderId="42" xfId="0" applyFill="1" applyBorder="1"/>
    <xf numFmtId="0" fontId="0" fillId="40" borderId="25" xfId="0" applyFill="1" applyBorder="1"/>
    <xf numFmtId="0" fontId="0" fillId="40"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46" xfId="0" applyBorder="1" applyAlignment="1">
      <alignment horizontal="left"/>
    </xf>
    <xf numFmtId="165" fontId="0" fillId="0" borderId="47" xfId="0" applyNumberFormat="1" applyBorder="1"/>
    <xf numFmtId="3" fontId="0" fillId="0" borderId="47" xfId="0" applyNumberFormat="1" applyBorder="1"/>
    <xf numFmtId="0" fontId="0" fillId="0" borderId="47" xfId="0" applyNumberFormat="1" applyBorder="1"/>
    <xf numFmtId="165" fontId="0" fillId="0" borderId="48" xfId="0" applyNumberFormat="1" applyBorder="1"/>
    <xf numFmtId="0" fontId="0" fillId="0" borderId="39" xfId="0" applyBorder="1"/>
    <xf numFmtId="0" fontId="0" fillId="0" borderId="42" xfId="0" applyBorder="1"/>
    <xf numFmtId="0" fontId="0" fillId="0" borderId="25" xfId="0" applyBorder="1"/>
    <xf numFmtId="0" fontId="0" fillId="10" borderId="25" xfId="0" applyFill="1" applyBorder="1"/>
    <xf numFmtId="0" fontId="0" fillId="10" borderId="18" xfId="0" applyFill="1" applyBorder="1"/>
    <xf numFmtId="0" fontId="0" fillId="11" borderId="42"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43" xfId="0" applyNumberFormat="1" applyFill="1" applyBorder="1"/>
    <xf numFmtId="0" fontId="0" fillId="0" borderId="2" xfId="0" pivotButton="1" applyBorder="1"/>
    <xf numFmtId="0" fontId="0" fillId="0" borderId="3" xfId="0" applyBorder="1"/>
    <xf numFmtId="0" fontId="0" fillId="40" borderId="18" xfId="0" applyFill="1" applyBorder="1"/>
    <xf numFmtId="0" fontId="0" fillId="40" borderId="4" xfId="0" applyFill="1" applyBorder="1"/>
    <xf numFmtId="0" fontId="0" fillId="40" borderId="4" xfId="0" applyFill="1" applyBorder="1" applyAlignment="1">
      <alignment horizontal="left"/>
    </xf>
    <xf numFmtId="0" fontId="0" fillId="40" borderId="23" xfId="0" applyFill="1" applyBorder="1" applyAlignment="1">
      <alignment horizontal="left"/>
    </xf>
    <xf numFmtId="3" fontId="0" fillId="40" borderId="43" xfId="0" applyNumberFormat="1" applyFill="1" applyBorder="1"/>
    <xf numFmtId="3" fontId="0" fillId="40" borderId="17" xfId="0" applyNumberFormat="1" applyFill="1" applyBorder="1"/>
    <xf numFmtId="0" fontId="0" fillId="40" borderId="3" xfId="0" applyFill="1" applyBorder="1"/>
    <xf numFmtId="165" fontId="0" fillId="40" borderId="0" xfId="0" applyNumberFormat="1" applyFill="1" applyBorder="1"/>
    <xf numFmtId="165" fontId="0" fillId="43" borderId="4" xfId="0" applyNumberFormat="1" applyFill="1" applyBorder="1" applyAlignment="1">
      <alignment horizontal="left"/>
    </xf>
    <xf numFmtId="165" fontId="0" fillId="43" borderId="0" xfId="0" applyNumberFormat="1" applyFill="1" applyBorder="1"/>
    <xf numFmtId="165" fontId="0" fillId="43" borderId="39" xfId="0" applyNumberFormat="1" applyFill="1" applyBorder="1"/>
    <xf numFmtId="0" fontId="0" fillId="43" borderId="4" xfId="0" applyFill="1" applyBorder="1" applyAlignment="1">
      <alignment horizontal="left"/>
    </xf>
    <xf numFmtId="3" fontId="0" fillId="43" borderId="0" xfId="0" applyNumberFormat="1" applyFill="1" applyBorder="1"/>
    <xf numFmtId="3" fontId="0" fillId="43" borderId="39" xfId="0" applyNumberFormat="1" applyFill="1" applyBorder="1"/>
    <xf numFmtId="0" fontId="0" fillId="40" borderId="2" xfId="0" applyFill="1" applyBorder="1"/>
    <xf numFmtId="10" fontId="0" fillId="40"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42"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43"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42" xfId="0" pivotButton="1" applyBorder="1" applyAlignment="1">
      <alignment horizontal="center" vertical="center" wrapText="1"/>
    </xf>
    <xf numFmtId="0" fontId="0" fillId="0" borderId="42" xfId="0" pivotButton="1" applyBorder="1" applyAlignment="1">
      <alignment vertical="center"/>
    </xf>
    <xf numFmtId="165" fontId="0" fillId="0" borderId="42" xfId="0" applyNumberFormat="1" applyBorder="1" applyAlignment="1">
      <alignment horizontal="center" vertical="center" wrapText="1"/>
    </xf>
    <xf numFmtId="165" fontId="0" fillId="0" borderId="1" xfId="0" applyNumberFormat="1" applyBorder="1"/>
    <xf numFmtId="0" fontId="0" fillId="0" borderId="5" xfId="0" applyBorder="1"/>
    <xf numFmtId="170" fontId="0" fillId="0" borderId="0" xfId="0" applyNumberFormat="1" applyBorder="1"/>
    <xf numFmtId="170" fontId="0" fillId="0" borderId="43" xfId="0" applyNumberFormat="1" applyBorder="1"/>
    <xf numFmtId="170" fontId="0" fillId="0" borderId="42"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0" borderId="1" xfId="0" applyFill="1" applyBorder="1"/>
    <xf numFmtId="165" fontId="0" fillId="40"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0" fontId="0" fillId="40"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0" fontId="0" fillId="0" borderId="42" xfId="0" pivotButton="1" applyBorder="1" applyAlignment="1">
      <alignment vertical="center" wrapText="1"/>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11" borderId="0" xfId="0" applyNumberFormat="1" applyFill="1"/>
    <xf numFmtId="0" fontId="0" fillId="11" borderId="0" xfId="0" applyFill="1" applyAlignment="1">
      <alignment horizontal="left"/>
    </xf>
    <xf numFmtId="165" fontId="0" fillId="40" borderId="17" xfId="0" applyNumberFormat="1" applyFill="1" applyBorder="1"/>
    <xf numFmtId="165" fontId="0" fillId="40" borderId="23" xfId="0" applyNumberFormat="1" applyFill="1" applyBorder="1" applyAlignment="1">
      <alignment horizontal="left"/>
    </xf>
    <xf numFmtId="165" fontId="0" fillId="40" borderId="43" xfId="0" applyNumberFormat="1" applyFill="1" applyBorder="1"/>
    <xf numFmtId="0" fontId="11" fillId="0" borderId="0" xfId="0" applyFont="1" applyFill="1" applyBorder="1"/>
    <xf numFmtId="0" fontId="11" fillId="0" borderId="0" xfId="0" applyFont="1" applyFill="1"/>
    <xf numFmtId="0" fontId="11" fillId="0" borderId="0" xfId="0" applyFont="1" applyAlignment="1"/>
    <xf numFmtId="168" fontId="0" fillId="0" borderId="1" xfId="7" applyNumberFormat="1" applyFont="1" applyBorder="1"/>
    <xf numFmtId="0" fontId="0" fillId="10" borderId="3" xfId="0" applyFill="1" applyBorder="1"/>
    <xf numFmtId="0" fontId="0" fillId="10" borderId="2" xfId="0" applyFill="1" applyBorder="1"/>
    <xf numFmtId="0" fontId="0" fillId="40" borderId="42" xfId="0" applyFill="1" applyBorder="1" applyAlignment="1">
      <alignment vertical="center"/>
    </xf>
    <xf numFmtId="0" fontId="0" fillId="40"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0" borderId="0" xfId="0" applyFill="1" applyBorder="1" applyAlignment="1">
      <alignment vertical="center"/>
    </xf>
    <xf numFmtId="0" fontId="0" fillId="40" borderId="39" xfId="0" applyFill="1" applyBorder="1" applyAlignment="1">
      <alignment vertical="center"/>
    </xf>
    <xf numFmtId="0" fontId="0" fillId="40" borderId="43" xfId="0" applyFill="1" applyBorder="1" applyAlignment="1">
      <alignment vertical="center"/>
    </xf>
    <xf numFmtId="0" fontId="0" fillId="40" borderId="17" xfId="0" applyFill="1" applyBorder="1" applyAlignment="1">
      <alignment vertical="center"/>
    </xf>
    <xf numFmtId="0" fontId="5" fillId="0" borderId="0" xfId="0" applyFon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169" fontId="29" fillId="0" borderId="5" xfId="0" applyNumberFormat="1" applyFont="1" applyFill="1" applyBorder="1" applyAlignment="1">
      <alignment vertical="center"/>
    </xf>
    <xf numFmtId="49" fontId="29" fillId="0" borderId="5" xfId="0" applyNumberFormat="1" applyFont="1" applyFill="1" applyBorder="1" applyAlignment="1">
      <alignment vertical="center"/>
    </xf>
    <xf numFmtId="0" fontId="29" fillId="0" borderId="5" xfId="0" applyFont="1" applyFill="1" applyBorder="1" applyAlignment="1">
      <alignmen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0" fontId="29" fillId="0" borderId="5" xfId="0" applyNumberFormat="1" applyFont="1" applyFill="1" applyBorder="1" applyAlignment="1">
      <alignment horizontal="right" vertical="center"/>
    </xf>
    <xf numFmtId="0" fontId="29" fillId="0" borderId="18" xfId="0" applyFont="1" applyFill="1" applyBorder="1" applyAlignment="1">
      <alignment vertical="center"/>
    </xf>
    <xf numFmtId="49" fontId="29" fillId="0" borderId="2" xfId="0" applyNumberFormat="1" applyFont="1" applyFill="1" applyBorder="1" applyAlignment="1">
      <alignment vertical="center" wrapText="1"/>
    </xf>
    <xf numFmtId="0" fontId="0" fillId="0" borderId="2" xfId="0" applyFill="1" applyBorder="1"/>
    <xf numFmtId="0" fontId="11"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60" fillId="0" borderId="1" xfId="0" applyFont="1" applyFill="1" applyBorder="1" applyAlignment="1"/>
    <xf numFmtId="0" fontId="60" fillId="0" borderId="1" xfId="0" applyFont="1" applyFill="1" applyBorder="1" applyAlignment="1">
      <alignment wrapText="1"/>
    </xf>
    <xf numFmtId="0" fontId="60" fillId="0" borderId="1" xfId="14" applyFont="1" applyFill="1" applyBorder="1" applyAlignment="1"/>
    <xf numFmtId="0" fontId="60" fillId="0" borderId="1" xfId="0" applyNumberFormat="1" applyFont="1" applyFill="1" applyBorder="1" applyAlignment="1">
      <alignment wrapText="1"/>
    </xf>
    <xf numFmtId="0" fontId="60" fillId="0" borderId="1" xfId="0" applyNumberFormat="1" applyFont="1" applyFill="1" applyBorder="1" applyAlignment="1"/>
    <xf numFmtId="0" fontId="61" fillId="0" borderId="1" xfId="0" applyNumberFormat="1" applyFont="1" applyFill="1" applyBorder="1" applyAlignment="1"/>
    <xf numFmtId="9" fontId="60" fillId="0" borderId="1" xfId="0" applyNumberFormat="1" applyFont="1" applyFill="1" applyBorder="1" applyAlignment="1">
      <alignment wrapText="1"/>
    </xf>
    <xf numFmtId="49" fontId="60"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42"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42"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43"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5" fillId="40" borderId="42" xfId="6" applyFont="1" applyFill="1" applyBorder="1" applyAlignment="1">
      <alignment vertical="center"/>
    </xf>
    <xf numFmtId="0" fontId="15" fillId="40" borderId="42" xfId="6" applyFont="1" applyFill="1" applyBorder="1" applyAlignment="1">
      <alignment horizontal="left" vertical="center"/>
    </xf>
    <xf numFmtId="0" fontId="15" fillId="40" borderId="42" xfId="6" applyFont="1" applyFill="1" applyBorder="1" applyAlignment="1">
      <alignment horizontal="right"/>
    </xf>
    <xf numFmtId="0" fontId="15" fillId="40" borderId="0" xfId="6" applyFont="1" applyFill="1" applyBorder="1" applyAlignment="1">
      <alignment vertical="center"/>
    </xf>
    <xf numFmtId="0" fontId="15" fillId="40" borderId="0" xfId="6" applyFont="1" applyFill="1" applyBorder="1" applyAlignment="1">
      <alignment horizontal="left" vertical="center"/>
    </xf>
    <xf numFmtId="0" fontId="15" fillId="40" borderId="0" xfId="6" applyFont="1" applyFill="1" applyBorder="1" applyAlignment="1">
      <alignment horizontal="right"/>
    </xf>
    <xf numFmtId="0" fontId="15" fillId="40" borderId="1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5" fillId="40" borderId="42" xfId="6" applyFont="1" applyFill="1" applyBorder="1" applyAlignment="1">
      <alignment horizontal="right" vertical="center"/>
    </xf>
    <xf numFmtId="0" fontId="15" fillId="40" borderId="0" xfId="6" applyFont="1" applyFill="1" applyBorder="1" applyAlignment="1">
      <alignment horizontal="right" vertical="center"/>
    </xf>
    <xf numFmtId="2" fontId="15" fillId="40" borderId="0" xfId="6" applyNumberFormat="1" applyFont="1" applyFill="1" applyBorder="1" applyAlignment="1">
      <alignment horizontal="right" vertical="center"/>
    </xf>
    <xf numFmtId="2" fontId="2" fillId="0" borderId="0" xfId="0" applyNumberFormat="1" applyFont="1" applyAlignment="1">
      <alignment horizontal="right"/>
    </xf>
    <xf numFmtId="14" fontId="15" fillId="40" borderId="42" xfId="6" applyNumberFormat="1" applyFont="1" applyFill="1" applyBorder="1" applyAlignment="1">
      <alignment horizontal="right" vertical="center"/>
    </xf>
    <xf numFmtId="1" fontId="15" fillId="40" borderId="42" xfId="6" applyNumberFormat="1" applyFont="1" applyFill="1" applyBorder="1" applyAlignment="1">
      <alignment horizontal="right" vertical="center"/>
    </xf>
    <xf numFmtId="0" fontId="2" fillId="40" borderId="42" xfId="0" applyFont="1" applyFill="1" applyBorder="1" applyAlignment="1">
      <alignment horizontal="right"/>
    </xf>
    <xf numFmtId="14" fontId="15" fillId="40" borderId="0" xfId="6" applyNumberFormat="1" applyFont="1" applyFill="1" applyBorder="1" applyAlignment="1">
      <alignment horizontal="right" vertical="center"/>
    </xf>
    <xf numFmtId="1" fontId="15" fillId="40" borderId="0" xfId="6" applyNumberFormat="1" applyFont="1" applyFill="1" applyBorder="1" applyAlignment="1">
      <alignment horizontal="right" vertical="center"/>
    </xf>
    <xf numFmtId="0" fontId="2" fillId="40" borderId="0" xfId="0" applyFont="1" applyFill="1" applyBorder="1" applyAlignment="1">
      <alignment horizontal="right"/>
    </xf>
    <xf numFmtId="14" fontId="2" fillId="0" borderId="0" xfId="0" applyNumberFormat="1" applyFont="1" applyAlignment="1">
      <alignment horizontal="right"/>
    </xf>
    <xf numFmtId="1" fontId="2" fillId="0" borderId="0" xfId="0" applyNumberFormat="1" applyFont="1" applyAlignment="1">
      <alignment horizontal="right"/>
    </xf>
    <xf numFmtId="0" fontId="2" fillId="40" borderId="42" xfId="0" applyFont="1" applyFill="1" applyBorder="1" applyAlignment="1"/>
    <xf numFmtId="165" fontId="2" fillId="40" borderId="42" xfId="7" applyNumberFormat="1" applyFont="1" applyFill="1" applyBorder="1" applyAlignment="1"/>
    <xf numFmtId="0" fontId="2" fillId="40" borderId="0" xfId="0" applyFont="1" applyFill="1" applyBorder="1" applyAlignment="1"/>
    <xf numFmtId="165" fontId="2" fillId="40" borderId="0" xfId="7" applyNumberFormat="1" applyFont="1" applyFill="1" applyBorder="1" applyAlignment="1"/>
    <xf numFmtId="165" fontId="2" fillId="0" borderId="0" xfId="7" applyNumberFormat="1" applyFont="1" applyAlignment="1"/>
    <xf numFmtId="0" fontId="2" fillId="40" borderId="25" xfId="0" applyFont="1" applyFill="1" applyBorder="1" applyAlignment="1">
      <alignment horizontal="right"/>
    </xf>
    <xf numFmtId="0" fontId="2" fillId="40" borderId="39" xfId="0" applyFont="1" applyFill="1" applyBorder="1" applyAlignment="1">
      <alignment horizontal="right"/>
    </xf>
    <xf numFmtId="9" fontId="48" fillId="5" borderId="0" xfId="8" applyFont="1" applyFill="1" applyBorder="1"/>
    <xf numFmtId="9" fontId="48" fillId="5" borderId="0" xfId="0" applyNumberFormat="1" applyFont="1" applyFill="1" applyBorder="1"/>
    <xf numFmtId="0" fontId="2" fillId="0" borderId="0" xfId="0" applyFont="1" applyAlignment="1">
      <alignment horizontal="center" vertical="center"/>
    </xf>
    <xf numFmtId="0" fontId="5" fillId="0" borderId="0" xfId="0" applyFont="1" applyAlignment="1">
      <alignment horizontal="center" vertical="center"/>
    </xf>
    <xf numFmtId="0" fontId="11" fillId="0" borderId="9" xfId="0" applyFont="1" applyFill="1" applyBorder="1" applyAlignment="1">
      <alignment vertical="center"/>
    </xf>
    <xf numFmtId="49" fontId="63" fillId="0" borderId="1" xfId="0" applyNumberFormat="1" applyFont="1" applyFill="1" applyBorder="1"/>
    <xf numFmtId="0" fontId="63" fillId="0" borderId="1" xfId="14" applyFont="1" applyFill="1" applyBorder="1" applyAlignment="1"/>
    <xf numFmtId="49" fontId="63" fillId="0" borderId="1" xfId="0" applyNumberFormat="1" applyFont="1" applyFill="1" applyBorder="1" applyAlignment="1">
      <alignment horizontal="left" vertical="center"/>
    </xf>
    <xf numFmtId="0" fontId="63" fillId="0" borderId="1" xfId="0" applyFont="1" applyFill="1" applyBorder="1"/>
    <xf numFmtId="0" fontId="62" fillId="0" borderId="1" xfId="0" applyFont="1" applyFill="1" applyBorder="1"/>
    <xf numFmtId="49" fontId="62" fillId="0" borderId="1" xfId="0" applyNumberFormat="1" applyFont="1" applyFill="1" applyBorder="1"/>
    <xf numFmtId="0" fontId="62" fillId="0" borderId="1" xfId="0" applyNumberFormat="1" applyFont="1" applyFill="1" applyBorder="1"/>
    <xf numFmtId="9" fontId="63" fillId="0" borderId="1" xfId="0" applyNumberFormat="1" applyFont="1" applyFill="1" applyBorder="1"/>
    <xf numFmtId="0" fontId="11" fillId="0" borderId="1" xfId="0" applyFont="1" applyFill="1" applyBorder="1" applyAlignment="1"/>
    <xf numFmtId="0" fontId="4" fillId="0" borderId="1" xfId="0" applyFont="1" applyFill="1" applyBorder="1" applyAlignment="1">
      <alignment horizontal="center"/>
    </xf>
    <xf numFmtId="49" fontId="4" fillId="0" borderId="1" xfId="0" applyNumberFormat="1" applyFont="1" applyFill="1" applyBorder="1" applyAlignment="1">
      <alignment horizontal="center"/>
    </xf>
    <xf numFmtId="15" fontId="2" fillId="0" borderId="1" xfId="0" applyNumberFormat="1" applyFont="1" applyFill="1" applyBorder="1"/>
    <xf numFmtId="15" fontId="11" fillId="0" borderId="1" xfId="0" applyNumberFormat="1" applyFont="1" applyFill="1" applyBorder="1"/>
    <xf numFmtId="15" fontId="0" fillId="0" borderId="1" xfId="0" applyNumberFormat="1" applyFont="1" applyFill="1" applyBorder="1"/>
    <xf numFmtId="15" fontId="11" fillId="0" borderId="1" xfId="0" applyNumberFormat="1" applyFont="1" applyFill="1" applyBorder="1"/>
    <xf numFmtId="15" fontId="63" fillId="0" borderId="1" xfId="0" applyNumberFormat="1" applyFont="1" applyFill="1" applyBorder="1" applyAlignment="1"/>
    <xf numFmtId="15" fontId="60" fillId="0" borderId="1" xfId="0" applyNumberFormat="1" applyFont="1" applyFill="1" applyBorder="1" applyAlignment="1"/>
    <xf numFmtId="15" fontId="0" fillId="0" borderId="1" xfId="0" applyNumberFormat="1" applyFont="1" applyFill="1" applyBorder="1"/>
    <xf numFmtId="9" fontId="61" fillId="0" borderId="1" xfId="0" applyNumberFormat="1" applyFont="1" applyFill="1" applyBorder="1"/>
    <xf numFmtId="0" fontId="0" fillId="0" borderId="1" xfId="0" applyNumberFormat="1" applyFont="1" applyFill="1" applyBorder="1" applyAlignment="1">
      <alignment horizontal="left"/>
    </xf>
    <xf numFmtId="15" fontId="62" fillId="0" borderId="1" xfId="0" applyNumberFormat="1" applyFont="1" applyFill="1" applyBorder="1"/>
    <xf numFmtId="15" fontId="11" fillId="3" borderId="17" xfId="0" applyNumberFormat="1" applyFont="1" applyFill="1" applyBorder="1" applyAlignment="1">
      <alignment vertical="center"/>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11" fillId="11" borderId="9" xfId="0" applyFont="1" applyFill="1" applyBorder="1" applyAlignment="1">
      <alignment vertical="center" wrapText="1"/>
    </xf>
    <xf numFmtId="0" fontId="11" fillId="7" borderId="9" xfId="0" applyFont="1" applyFill="1" applyBorder="1" applyAlignment="1">
      <alignment vertical="center" wrapText="1"/>
    </xf>
    <xf numFmtId="0" fontId="11" fillId="12" borderId="9" xfId="0" applyFont="1" applyFill="1" applyBorder="1" applyAlignment="1">
      <alignment vertical="center" wrapText="1"/>
    </xf>
    <xf numFmtId="0" fontId="11" fillId="20" borderId="9" xfId="0" applyFont="1" applyFill="1" applyBorder="1" applyAlignment="1">
      <alignment vertical="center" wrapText="1"/>
    </xf>
    <xf numFmtId="0" fontId="11" fillId="17" borderId="9" xfId="0" applyFont="1" applyFill="1" applyBorder="1" applyAlignment="1">
      <alignment vertical="center" wrapText="1"/>
    </xf>
    <xf numFmtId="0" fontId="0" fillId="0" borderId="9" xfId="0" applyFill="1" applyBorder="1" applyAlignment="1">
      <alignment vertical="center"/>
    </xf>
    <xf numFmtId="0" fontId="11" fillId="20" borderId="23" xfId="0" applyFont="1" applyFill="1" applyBorder="1" applyAlignment="1">
      <alignment vertical="center" wrapText="1"/>
    </xf>
    <xf numFmtId="0" fontId="11" fillId="12" borderId="23" xfId="0" applyFont="1" applyFill="1" applyBorder="1" applyAlignment="1">
      <alignment vertical="center" wrapText="1"/>
    </xf>
    <xf numFmtId="0" fontId="57"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1" fontId="2" fillId="42" borderId="0" xfId="0" applyNumberFormat="1" applyFont="1" applyFill="1" applyBorder="1" applyAlignment="1">
      <alignment horizontal="center" vertical="center"/>
    </xf>
    <xf numFmtId="0" fontId="11" fillId="2" borderId="0" xfId="5" applyFont="1" applyFill="1" applyBorder="1" applyAlignment="1">
      <alignment horizontal="center" vertical="center"/>
    </xf>
    <xf numFmtId="0" fontId="57" fillId="17" borderId="0" xfId="5" applyFont="1" applyFill="1" applyBorder="1" applyAlignment="1">
      <alignment horizontal="center" vertical="center"/>
    </xf>
    <xf numFmtId="0" fontId="2" fillId="40" borderId="42" xfId="0" applyFont="1" applyFill="1" applyBorder="1" applyAlignment="1">
      <alignment horizontal="left" wrapText="1"/>
    </xf>
    <xf numFmtId="0" fontId="2" fillId="40" borderId="0" xfId="0" applyFont="1" applyFill="1" applyBorder="1" applyAlignment="1">
      <alignment horizontal="left" wrapText="1"/>
    </xf>
    <xf numFmtId="0" fontId="2" fillId="0" borderId="0" xfId="0" applyFont="1" applyAlignment="1">
      <alignment horizontal="left" wrapText="1"/>
    </xf>
    <xf numFmtId="0" fontId="12" fillId="0" borderId="42" xfId="6" applyFont="1" applyFill="1" applyBorder="1" applyAlignment="1">
      <alignment horizontal="center" vertical="center"/>
    </xf>
    <xf numFmtId="0" fontId="4" fillId="0" borderId="0" xfId="0" applyFont="1" applyFill="1" applyAlignment="1">
      <alignment horizontal="center" vertical="center"/>
    </xf>
    <xf numFmtId="0" fontId="12" fillId="0" borderId="0" xfId="6" applyFont="1" applyFill="1" applyBorder="1" applyAlignment="1">
      <alignment horizontal="center" vertical="center"/>
    </xf>
    <xf numFmtId="0" fontId="12" fillId="0" borderId="43" xfId="6" applyFont="1" applyFill="1" applyBorder="1" applyAlignment="1">
      <alignment horizontal="center" vertical="center"/>
    </xf>
    <xf numFmtId="0" fontId="39" fillId="0" borderId="42" xfId="6" applyFont="1" applyFill="1" applyBorder="1" applyAlignment="1">
      <alignment horizontal="center" vertical="center"/>
    </xf>
    <xf numFmtId="0" fontId="29" fillId="0" borderId="5" xfId="0" applyNumberFormat="1" applyFont="1" applyFill="1" applyBorder="1" applyAlignment="1">
      <alignment horizontal="center"/>
    </xf>
    <xf numFmtId="49" fontId="29" fillId="0" borderId="0" xfId="0" applyNumberFormat="1" applyFont="1" applyFill="1" applyBorder="1" applyAlignment="1">
      <alignment horizontal="center" vertical="center"/>
    </xf>
    <xf numFmtId="0" fontId="11" fillId="0" borderId="5" xfId="0" applyFont="1" applyFill="1" applyBorder="1"/>
    <xf numFmtId="0" fontId="0" fillId="0" borderId="5" xfId="0" applyFont="1" applyFill="1" applyBorder="1"/>
    <xf numFmtId="0" fontId="0" fillId="0" borderId="5" xfId="0" applyNumberFormat="1" applyFont="1" applyFill="1" applyBorder="1"/>
    <xf numFmtId="0" fontId="0" fillId="43" borderId="15" xfId="0" applyFill="1" applyBorder="1" applyAlignment="1">
      <alignment vertical="center"/>
    </xf>
    <xf numFmtId="0" fontId="0" fillId="10" borderId="0" xfId="0" applyFill="1" applyBorder="1" applyAlignment="1">
      <alignment vertical="center"/>
    </xf>
    <xf numFmtId="0" fontId="4" fillId="10" borderId="0" xfId="0" applyFont="1" applyFill="1" applyBorder="1" applyAlignment="1">
      <alignment vertical="center"/>
    </xf>
    <xf numFmtId="0" fontId="0" fillId="43" borderId="16" xfId="0" applyFill="1" applyBorder="1" applyAlignment="1">
      <alignment vertical="center"/>
    </xf>
    <xf numFmtId="0" fontId="0" fillId="40" borderId="12" xfId="0" applyFill="1" applyBorder="1" applyAlignment="1">
      <alignment vertical="center"/>
    </xf>
    <xf numFmtId="0" fontId="0" fillId="40" borderId="13" xfId="0" applyFill="1" applyBorder="1" applyAlignment="1">
      <alignment vertical="center"/>
    </xf>
    <xf numFmtId="0" fontId="0" fillId="40" borderId="14" xfId="0" applyFill="1" applyBorder="1" applyAlignment="1">
      <alignment vertical="center"/>
    </xf>
    <xf numFmtId="0" fontId="0" fillId="40" borderId="15" xfId="0" applyFill="1" applyBorder="1" applyAlignment="1">
      <alignment vertical="center"/>
    </xf>
    <xf numFmtId="0" fontId="0" fillId="40" borderId="16" xfId="0" applyFill="1" applyBorder="1" applyAlignment="1">
      <alignment vertical="center"/>
    </xf>
    <xf numFmtId="0" fontId="0" fillId="43" borderId="0" xfId="0" applyFill="1" applyBorder="1" applyAlignment="1">
      <alignment vertical="center"/>
    </xf>
    <xf numFmtId="0" fontId="0" fillId="43" borderId="46" xfId="0" applyFill="1" applyBorder="1" applyAlignment="1">
      <alignment vertical="center"/>
    </xf>
    <xf numFmtId="0" fontId="0" fillId="43" borderId="47" xfId="0" applyFill="1" applyBorder="1" applyAlignment="1">
      <alignment vertical="center"/>
    </xf>
    <xf numFmtId="0" fontId="0" fillId="10" borderId="47" xfId="0" applyFill="1" applyBorder="1" applyAlignment="1">
      <alignment vertical="center"/>
    </xf>
    <xf numFmtId="0" fontId="0" fillId="43" borderId="48" xfId="0" applyFill="1" applyBorder="1" applyAlignment="1">
      <alignment vertical="center"/>
    </xf>
    <xf numFmtId="0" fontId="3" fillId="43" borderId="15" xfId="0" applyFont="1" applyFill="1" applyBorder="1" applyAlignment="1">
      <alignment vertical="center"/>
    </xf>
    <xf numFmtId="0" fontId="3" fillId="43" borderId="0" xfId="0" applyFont="1" applyFill="1" applyBorder="1" applyAlignment="1">
      <alignment vertical="center"/>
    </xf>
    <xf numFmtId="165" fontId="64" fillId="0" borderId="0" xfId="7" applyNumberFormat="1" applyFont="1" applyBorder="1" applyAlignment="1">
      <alignment vertical="center"/>
    </xf>
    <xf numFmtId="165" fontId="30" fillId="0" borderId="0" xfId="7" applyNumberFormat="1" applyFont="1" applyBorder="1" applyAlignment="1">
      <alignment vertical="center"/>
    </xf>
    <xf numFmtId="0" fontId="30" fillId="10" borderId="0" xfId="0" applyFont="1" applyFill="1" applyBorder="1" applyAlignment="1">
      <alignment horizontal="left" vertical="center"/>
    </xf>
    <xf numFmtId="0" fontId="37" fillId="18" borderId="0" xfId="0" applyFont="1" applyFill="1" applyAlignment="1"/>
    <xf numFmtId="0" fontId="26" fillId="18" borderId="0" xfId="0" applyFont="1" applyFill="1" applyAlignment="1"/>
    <xf numFmtId="0" fontId="0" fillId="10" borderId="0" xfId="0" applyFill="1" applyAlignment="1"/>
    <xf numFmtId="0" fontId="7" fillId="17" borderId="1" xfId="6" applyFill="1" applyBorder="1" applyAlignment="1">
      <alignment horizontal="center" vertical="center" wrapText="1"/>
    </xf>
    <xf numFmtId="0" fontId="7" fillId="17" borderId="1" xfId="6" applyFill="1" applyBorder="1" applyAlignment="1">
      <alignment horizontal="center" vertical="center"/>
    </xf>
    <xf numFmtId="165" fontId="0" fillId="0" borderId="0" xfId="0" applyNumberFormat="1" applyAlignment="1">
      <alignment vertical="center"/>
    </xf>
    <xf numFmtId="49" fontId="11" fillId="46" borderId="1" xfId="0" applyNumberFormat="1" applyFont="1" applyFill="1" applyBorder="1" applyAlignment="1">
      <alignment horizontal="left" vertical="center"/>
    </xf>
    <xf numFmtId="49" fontId="11" fillId="0" borderId="1" xfId="0" applyNumberFormat="1" applyFont="1" applyBorder="1" applyAlignment="1">
      <alignment horizontal="left" vertical="center"/>
    </xf>
    <xf numFmtId="0" fontId="11" fillId="46" borderId="1" xfId="0" applyFont="1" applyFill="1" applyBorder="1" applyAlignment="1">
      <alignment horizontal="left" vertical="center"/>
    </xf>
    <xf numFmtId="0" fontId="11" fillId="0" borderId="1" xfId="0" applyFont="1" applyBorder="1" applyAlignment="1">
      <alignment horizontal="left" vertical="center"/>
    </xf>
    <xf numFmtId="1" fontId="57" fillId="0" borderId="0" xfId="5" applyNumberFormat="1" applyFont="1" applyFill="1" applyBorder="1" applyAlignment="1">
      <alignment horizontal="center" vertical="center"/>
    </xf>
    <xf numFmtId="15" fontId="0" fillId="0" borderId="1" xfId="0" applyNumberFormat="1" applyFont="1" applyFill="1" applyBorder="1"/>
    <xf numFmtId="0" fontId="0" fillId="3" borderId="0" xfId="0" applyFill="1" applyAlignment="1">
      <alignment vertical="center"/>
    </xf>
    <xf numFmtId="0" fontId="15" fillId="40" borderId="4" xfId="6" applyFont="1" applyFill="1" applyBorder="1" applyAlignment="1">
      <alignment horizontal="left" vertical="center"/>
    </xf>
    <xf numFmtId="171" fontId="0" fillId="0" borderId="0" xfId="0" applyNumberFormat="1" applyFill="1" applyBorder="1" applyAlignment="1">
      <alignment horizontal="left" vertical="center"/>
    </xf>
    <xf numFmtId="49"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49" fontId="11" fillId="0" borderId="0" xfId="0" applyNumberFormat="1" applyFont="1" applyFill="1" applyBorder="1" applyAlignment="1">
      <alignment vertical="center"/>
    </xf>
    <xf numFmtId="49" fontId="11" fillId="0" borderId="5" xfId="0" applyNumberFormat="1" applyFont="1" applyFill="1" applyBorder="1"/>
    <xf numFmtId="49" fontId="11" fillId="0" borderId="5" xfId="14" applyNumberFormat="1" applyFont="1" applyFill="1" applyBorder="1" applyAlignment="1"/>
    <xf numFmtId="49" fontId="11" fillId="0" borderId="5" xfId="0" applyNumberFormat="1" applyFont="1" applyFill="1" applyBorder="1" applyAlignment="1">
      <alignment horizontal="left" vertical="center"/>
    </xf>
    <xf numFmtId="49" fontId="0" fillId="0" borderId="5" xfId="0" applyNumberFormat="1" applyFont="1" applyFill="1" applyBorder="1"/>
    <xf numFmtId="9" fontId="11" fillId="0" borderId="5" xfId="0" applyNumberFormat="1" applyFont="1" applyFill="1" applyBorder="1"/>
    <xf numFmtId="0" fontId="29" fillId="2" borderId="1" xfId="0" applyNumberFormat="1" applyFont="1" applyFill="1" applyBorder="1" applyAlignment="1">
      <alignment horizontal="right" vertical="center"/>
    </xf>
    <xf numFmtId="0" fontId="29" fillId="2" borderId="1" xfId="0" quotePrefix="1" applyNumberFormat="1" applyFont="1" applyFill="1" applyBorder="1" applyAlignment="1">
      <alignment horizontal="right" vertical="center"/>
    </xf>
    <xf numFmtId="49" fontId="40" fillId="2" borderId="1" xfId="0" applyNumberFormat="1" applyFont="1" applyFill="1" applyBorder="1" applyAlignment="1">
      <alignment vertical="center"/>
    </xf>
    <xf numFmtId="0" fontId="57" fillId="0" borderId="0" xfId="0" applyFont="1" applyFill="1" applyBorder="1" applyAlignment="1">
      <alignment vertical="center"/>
    </xf>
    <xf numFmtId="3" fontId="14" fillId="0" borderId="0" xfId="9" applyNumberFormat="1" applyFont="1" applyFill="1" applyBorder="1" applyAlignment="1">
      <alignment horizontal="center" vertical="center"/>
    </xf>
    <xf numFmtId="0" fontId="57" fillId="0" borderId="0" xfId="9" applyFont="1" applyFill="1" applyBorder="1" applyAlignment="1">
      <alignment horizontal="left" vertical="center"/>
    </xf>
    <xf numFmtId="0" fontId="14" fillId="0" borderId="0" xfId="9" applyFont="1" applyFill="1" applyBorder="1" applyAlignment="1">
      <alignment horizontal="center" vertical="center"/>
    </xf>
    <xf numFmtId="165" fontId="57" fillId="0" borderId="0" xfId="9" applyNumberFormat="1" applyFont="1" applyFill="1" applyBorder="1" applyAlignment="1">
      <alignment horizontal="left" vertical="center"/>
    </xf>
    <xf numFmtId="165" fontId="57" fillId="0" borderId="0" xfId="7" applyNumberFormat="1" applyFont="1" applyFill="1" applyBorder="1" applyAlignment="1">
      <alignment vertical="center"/>
    </xf>
    <xf numFmtId="0" fontId="2" fillId="0" borderId="0" xfId="0" applyFont="1" applyFill="1"/>
    <xf numFmtId="0" fontId="5" fillId="0" borderId="0" xfId="0" applyFont="1" applyFill="1"/>
    <xf numFmtId="2" fontId="57" fillId="0" borderId="0" xfId="5" applyNumberFormat="1" applyFont="1" applyFill="1" applyBorder="1" applyAlignment="1">
      <alignment horizontal="center" vertical="center"/>
    </xf>
    <xf numFmtId="1" fontId="2" fillId="0" borderId="0" xfId="0" applyNumberFormat="1" applyFont="1" applyBorder="1" applyAlignment="1">
      <alignment horizontal="center" vertical="center"/>
    </xf>
    <xf numFmtId="15" fontId="57" fillId="0" borderId="0" xfId="5" applyNumberFormat="1" applyFont="1" applyFill="1" applyBorder="1" applyAlignment="1">
      <alignment horizontal="center" vertical="center"/>
    </xf>
    <xf numFmtId="0" fontId="57" fillId="0" borderId="0" xfId="5" applyFont="1" applyFill="1" applyBorder="1" applyAlignment="1">
      <alignment horizontal="center" vertical="center" wrapText="1"/>
    </xf>
    <xf numFmtId="165" fontId="57" fillId="17" borderId="0" xfId="7" applyNumberFormat="1" applyFont="1" applyFill="1" applyBorder="1" applyAlignment="1">
      <alignment horizontal="center" vertical="center"/>
    </xf>
    <xf numFmtId="49" fontId="11" fillId="0" borderId="0" xfId="12" applyNumberFormat="1" applyFont="1" applyFill="1" applyBorder="1" applyAlignment="1">
      <alignment horizontal="left" vertical="center" wrapText="1"/>
    </xf>
    <xf numFmtId="0" fontId="11" fillId="0" borderId="0" xfId="15" applyFont="1" applyFill="1" applyBorder="1" applyAlignment="1">
      <alignment horizontal="right" vertical="center"/>
    </xf>
    <xf numFmtId="0" fontId="11" fillId="0" borderId="0" xfId="0" applyNumberFormat="1" applyFont="1" applyFill="1" applyBorder="1" applyAlignment="1">
      <alignment horizontal="right" vertical="center"/>
    </xf>
    <xf numFmtId="0" fontId="11" fillId="0" borderId="0" xfId="0" applyFont="1" applyFill="1" applyBorder="1" applyAlignment="1">
      <alignment horizontal="right" vertical="center"/>
    </xf>
    <xf numFmtId="2" fontId="11" fillId="0" borderId="0" xfId="0" applyNumberFormat="1" applyFont="1" applyFill="1" applyBorder="1" applyAlignment="1">
      <alignment horizontal="right" vertical="center"/>
    </xf>
    <xf numFmtId="14" fontId="11" fillId="0" borderId="0" xfId="0" applyNumberFormat="1" applyFont="1" applyFill="1" applyBorder="1" applyAlignment="1" applyProtection="1">
      <alignment horizontal="right" vertical="center"/>
    </xf>
    <xf numFmtId="1" fontId="11" fillId="0" borderId="0" xfId="0" applyNumberFormat="1" applyFont="1" applyFill="1" applyBorder="1" applyAlignment="1" applyProtection="1">
      <alignment horizontal="right" vertical="center"/>
    </xf>
    <xf numFmtId="49" fontId="11" fillId="0" borderId="0" xfId="0" applyNumberFormat="1" applyFont="1" applyFill="1" applyBorder="1" applyAlignment="1">
      <alignment horizontal="right" vertical="center"/>
    </xf>
    <xf numFmtId="15"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center" wrapText="1"/>
    </xf>
    <xf numFmtId="1" fontId="11" fillId="0" borderId="0" xfId="0" applyNumberFormat="1" applyFont="1" applyFill="1" applyBorder="1" applyAlignment="1" applyProtection="1">
      <alignment vertical="center"/>
    </xf>
    <xf numFmtId="165" fontId="11" fillId="0" borderId="0" xfId="7" applyNumberFormat="1" applyFont="1" applyFill="1" applyBorder="1" applyAlignment="1">
      <alignment vertical="center"/>
    </xf>
    <xf numFmtId="49" fontId="11" fillId="0" borderId="0" xfId="0" applyNumberFormat="1" applyFont="1" applyFill="1" applyBorder="1" applyAlignment="1">
      <alignment horizontal="right"/>
    </xf>
    <xf numFmtId="49" fontId="11" fillId="0" borderId="0" xfId="0" applyNumberFormat="1" applyFont="1" applyBorder="1" applyAlignment="1">
      <alignment vertical="center"/>
    </xf>
    <xf numFmtId="14" fontId="11" fillId="0" borderId="0" xfId="0" applyNumberFormat="1" applyFont="1" applyBorder="1" applyAlignment="1" applyProtection="1">
      <alignment horizontal="right" vertical="center"/>
    </xf>
    <xf numFmtId="1" fontId="11" fillId="0" borderId="0" xfId="0" applyNumberFormat="1" applyFont="1" applyBorder="1" applyAlignment="1" applyProtection="1">
      <alignment horizontal="right" vertical="center"/>
    </xf>
    <xf numFmtId="0" fontId="11" fillId="0" borderId="0" xfId="15" applyFont="1" applyFill="1" applyBorder="1" applyAlignment="1">
      <alignment horizontal="left" vertical="center"/>
    </xf>
    <xf numFmtId="0" fontId="11" fillId="0" borderId="0" xfId="0" applyNumberFormat="1" applyFont="1" applyBorder="1" applyAlignment="1">
      <alignment horizontal="right" vertical="center"/>
    </xf>
    <xf numFmtId="49" fontId="11" fillId="0" borderId="0" xfId="12" applyNumberFormat="1" applyFont="1" applyFill="1" applyBorder="1" applyAlignment="1">
      <alignment horizontal="right" vertical="center"/>
    </xf>
    <xf numFmtId="49" fontId="11" fillId="0" borderId="0" xfId="0" applyNumberFormat="1" applyFont="1" applyFill="1" applyBorder="1" applyAlignment="1" applyProtection="1">
      <alignment horizontal="left" vertical="center"/>
      <protection locked="0"/>
    </xf>
    <xf numFmtId="0" fontId="11" fillId="0" borderId="0" xfId="12" applyFont="1" applyFill="1" applyBorder="1" applyAlignment="1">
      <alignment horizontal="left" vertical="center" wrapText="1"/>
    </xf>
    <xf numFmtId="0" fontId="11" fillId="0" borderId="0" xfId="0" applyNumberFormat="1" applyFont="1" applyFill="1" applyBorder="1" applyAlignment="1">
      <alignment horizontal="left" vertical="center"/>
    </xf>
    <xf numFmtId="1" fontId="11" fillId="0" borderId="0" xfId="0" applyNumberFormat="1" applyFont="1" applyBorder="1" applyAlignment="1">
      <alignment horizontal="right" vertical="center"/>
    </xf>
    <xf numFmtId="1" fontId="11" fillId="0" borderId="0" xfId="0" applyNumberFormat="1" applyFont="1" applyFill="1" applyBorder="1" applyAlignment="1">
      <alignment horizontal="right" vertical="center"/>
    </xf>
    <xf numFmtId="14" fontId="11" fillId="0" borderId="0" xfId="0" applyNumberFormat="1" applyFont="1" applyFill="1" applyBorder="1" applyAlignment="1">
      <alignment horizontal="right" vertical="center"/>
    </xf>
    <xf numFmtId="0" fontId="11" fillId="0" borderId="0" xfId="0" applyFont="1" applyFill="1" applyBorder="1" applyAlignment="1">
      <alignment horizontal="left" vertical="center" wrapText="1"/>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right"/>
    </xf>
    <xf numFmtId="0" fontId="11" fillId="0" borderId="0" xfId="0" applyNumberFormat="1" applyFont="1" applyFill="1" applyBorder="1" applyAlignment="1">
      <alignment horizontal="left" vertical="center" wrapText="1"/>
    </xf>
    <xf numFmtId="49" fontId="11" fillId="0" borderId="0" xfId="12" applyNumberFormat="1" applyFont="1" applyFill="1" applyBorder="1" applyAlignment="1">
      <alignment horizontal="left" vertical="center"/>
    </xf>
    <xf numFmtId="49" fontId="11" fillId="0" borderId="0" xfId="0" applyNumberFormat="1" applyFont="1" applyFill="1" applyBorder="1" applyAlignment="1" applyProtection="1">
      <alignment horizontal="left" vertical="center" wrapText="1"/>
      <protection locked="0"/>
    </xf>
    <xf numFmtId="14" fontId="11" fillId="0" borderId="0" xfId="0" applyNumberFormat="1" applyFont="1" applyBorder="1" applyAlignment="1">
      <alignment horizontal="right" vertical="center"/>
    </xf>
    <xf numFmtId="49" fontId="11" fillId="0" borderId="0" xfId="0" applyNumberFormat="1" applyFont="1" applyBorder="1" applyAlignment="1">
      <alignment horizontal="right" vertical="center"/>
    </xf>
    <xf numFmtId="1" fontId="11" fillId="0" borderId="0" xfId="0" applyNumberFormat="1" applyFont="1" applyFill="1" applyBorder="1" applyAlignment="1">
      <alignment vertical="center"/>
    </xf>
    <xf numFmtId="0" fontId="11" fillId="0" borderId="0" xfId="12" applyFont="1" applyFill="1" applyBorder="1" applyAlignment="1">
      <alignment horizontal="left" vertical="center"/>
    </xf>
    <xf numFmtId="22" fontId="11" fillId="0" borderId="0" xfId="0" applyNumberFormat="1" applyFont="1" applyFill="1" applyBorder="1" applyAlignment="1">
      <alignment horizontal="right" vertical="center"/>
    </xf>
    <xf numFmtId="168" fontId="11" fillId="0" borderId="0" xfId="12" applyNumberFormat="1" applyFont="1" applyFill="1" applyBorder="1" applyAlignment="1">
      <alignment horizontal="right" vertical="center"/>
    </xf>
    <xf numFmtId="49" fontId="11" fillId="0" borderId="0" xfId="12" applyNumberFormat="1" applyFont="1" applyFill="1" applyBorder="1" applyAlignment="1">
      <alignment vertical="center" wrapText="1"/>
    </xf>
    <xf numFmtId="22" fontId="11" fillId="0" borderId="0" xfId="12" applyNumberFormat="1" applyFont="1" applyFill="1" applyBorder="1" applyAlignment="1">
      <alignment horizontal="right" vertical="center" wrapText="1"/>
    </xf>
    <xf numFmtId="0" fontId="11" fillId="0" borderId="0" xfId="19" applyFont="1" applyFill="1" applyBorder="1" applyAlignment="1">
      <alignment horizontal="left"/>
    </xf>
    <xf numFmtId="49" fontId="11" fillId="0" borderId="0" xfId="12" applyNumberFormat="1" applyFont="1" applyFill="1" applyBorder="1" applyAlignment="1">
      <alignment vertical="center"/>
    </xf>
    <xf numFmtId="15" fontId="11" fillId="0" borderId="0" xfId="12" applyNumberFormat="1" applyFont="1" applyFill="1" applyBorder="1" applyAlignment="1">
      <alignment horizontal="right" vertical="center" wrapText="1"/>
    </xf>
    <xf numFmtId="1" fontId="11" fillId="0" borderId="0" xfId="0" applyNumberFormat="1" applyFont="1" applyBorder="1" applyAlignment="1">
      <alignment vertical="center"/>
    </xf>
    <xf numFmtId="0" fontId="11" fillId="0" borderId="0" xfId="4" applyFont="1" applyFill="1" applyBorder="1" applyAlignment="1">
      <alignment horizontal="right" vertical="center"/>
    </xf>
    <xf numFmtId="0" fontId="11" fillId="0" borderId="0" xfId="15" applyNumberFormat="1" applyFont="1" applyFill="1" applyBorder="1" applyAlignment="1">
      <alignment horizontal="right" vertical="center"/>
    </xf>
    <xf numFmtId="17" fontId="11" fillId="0" borderId="0" xfId="0" applyNumberFormat="1" applyFont="1" applyFill="1" applyBorder="1" applyAlignment="1">
      <alignment horizontal="right" vertical="center"/>
    </xf>
    <xf numFmtId="0" fontId="11" fillId="0" borderId="0" xfId="0" applyFont="1" applyFill="1" applyBorder="1" applyAlignment="1">
      <alignment horizontal="right"/>
    </xf>
    <xf numFmtId="15" fontId="11" fillId="0" borderId="0" xfId="0"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protection locked="0"/>
    </xf>
    <xf numFmtId="49" fontId="11" fillId="0" borderId="0" xfId="18" applyNumberFormat="1" applyFont="1" applyFill="1" applyBorder="1" applyAlignment="1">
      <alignment horizontal="left"/>
    </xf>
    <xf numFmtId="49" fontId="11" fillId="20" borderId="0" xfId="12"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wrapText="1"/>
      <protection locked="0"/>
    </xf>
    <xf numFmtId="0" fontId="11" fillId="0" borderId="0" xfId="0" applyFont="1" applyFill="1" applyBorder="1" applyAlignment="1">
      <alignment horizontal="left"/>
    </xf>
    <xf numFmtId="172" fontId="11" fillId="0" borderId="0" xfId="0" applyNumberFormat="1" applyFont="1" applyFill="1" applyBorder="1" applyAlignment="1">
      <alignment horizontal="right"/>
    </xf>
    <xf numFmtId="173" fontId="11" fillId="0" borderId="0" xfId="15" applyNumberFormat="1" applyFont="1" applyFill="1" applyBorder="1" applyAlignment="1">
      <alignment horizontal="right" vertical="center"/>
    </xf>
    <xf numFmtId="0" fontId="9" fillId="40" borderId="0" xfId="6" applyFont="1" applyFill="1" applyBorder="1" applyAlignment="1">
      <alignment horizontal="left" vertical="center"/>
    </xf>
    <xf numFmtId="0" fontId="0" fillId="40" borderId="18" xfId="0" applyFill="1" applyBorder="1" applyAlignment="1">
      <alignment vertical="center"/>
    </xf>
    <xf numFmtId="0" fontId="43" fillId="40" borderId="4" xfId="0" applyFont="1" applyFill="1" applyBorder="1" applyAlignment="1">
      <alignment vertical="center"/>
    </xf>
    <xf numFmtId="0" fontId="43" fillId="40" borderId="0" xfId="0" applyFont="1" applyFill="1" applyBorder="1" applyAlignment="1">
      <alignment vertical="center"/>
    </xf>
    <xf numFmtId="0" fontId="43" fillId="40" borderId="39" xfId="0" applyFont="1" applyFill="1" applyBorder="1" applyAlignment="1">
      <alignment vertical="center"/>
    </xf>
    <xf numFmtId="0" fontId="43" fillId="0" borderId="0" xfId="0" applyFont="1" applyFill="1" applyBorder="1" applyAlignment="1">
      <alignment vertical="center"/>
    </xf>
    <xf numFmtId="0" fontId="43" fillId="40" borderId="43" xfId="0" applyFont="1" applyFill="1" applyBorder="1" applyAlignment="1">
      <alignment vertical="center"/>
    </xf>
    <xf numFmtId="0" fontId="43" fillId="40" borderId="17"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25" xfId="0" applyBorder="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9" xfId="0" applyNumberFormat="1" applyBorder="1" applyAlignment="1">
      <alignment vertical="center"/>
    </xf>
    <xf numFmtId="0" fontId="57" fillId="36" borderId="23" xfId="0" applyFont="1" applyFill="1" applyBorder="1" applyAlignment="1">
      <alignment vertical="center"/>
    </xf>
    <xf numFmtId="0" fontId="57" fillId="36" borderId="43" xfId="0" applyFont="1" applyFill="1" applyBorder="1" applyAlignment="1">
      <alignment vertical="center"/>
    </xf>
    <xf numFmtId="165" fontId="57" fillId="36" borderId="43" xfId="0" applyNumberFormat="1" applyFont="1" applyFill="1" applyBorder="1" applyAlignment="1">
      <alignment vertical="center"/>
    </xf>
    <xf numFmtId="165" fontId="57" fillId="36" borderId="17" xfId="0" applyNumberFormat="1" applyFont="1" applyFill="1" applyBorder="1" applyAlignment="1">
      <alignment vertical="center"/>
    </xf>
    <xf numFmtId="0" fontId="12" fillId="45" borderId="0" xfId="0" applyFont="1" applyFill="1" applyBorder="1" applyAlignment="1">
      <alignment horizontal="left" vertical="center"/>
    </xf>
    <xf numFmtId="0" fontId="12" fillId="45" borderId="0" xfId="0" applyFont="1" applyFill="1" applyBorder="1" applyAlignment="1">
      <alignment horizontal="center" vertical="center"/>
    </xf>
    <xf numFmtId="0" fontId="65" fillId="28" borderId="0" xfId="0" applyFont="1" applyFill="1" applyBorder="1" applyAlignment="1">
      <alignment vertical="center"/>
    </xf>
    <xf numFmtId="0" fontId="4" fillId="28" borderId="0" xfId="0" applyFont="1" applyFill="1" applyBorder="1" applyAlignment="1">
      <alignment vertical="center"/>
    </xf>
    <xf numFmtId="0" fontId="4" fillId="0" borderId="0" xfId="0" applyFont="1" applyBorder="1" applyAlignment="1">
      <alignment vertical="center"/>
    </xf>
    <xf numFmtId="165" fontId="29" fillId="0" borderId="0" xfId="7" applyNumberFormat="1" applyFont="1" applyBorder="1" applyAlignment="1">
      <alignment vertical="center"/>
    </xf>
    <xf numFmtId="165" fontId="4" fillId="0" borderId="0" xfId="7" applyNumberFormat="1" applyFont="1" applyBorder="1" applyAlignment="1">
      <alignment vertical="center"/>
    </xf>
    <xf numFmtId="0" fontId="65" fillId="10" borderId="0" xfId="0" applyFont="1" applyFill="1" applyBorder="1" applyAlignment="1">
      <alignment vertical="center"/>
    </xf>
    <xf numFmtId="165" fontId="12" fillId="0" borderId="0" xfId="7" applyNumberFormat="1" applyFont="1" applyBorder="1" applyAlignment="1">
      <alignment vertical="center"/>
    </xf>
    <xf numFmtId="165" fontId="65" fillId="0" borderId="0" xfId="7" applyNumberFormat="1" applyFont="1" applyBorder="1" applyAlignment="1">
      <alignment vertical="center"/>
    </xf>
    <xf numFmtId="0" fontId="27" fillId="13" borderId="0" xfId="0" applyFont="1" applyFill="1" applyBorder="1" applyAlignment="1"/>
    <xf numFmtId="0" fontId="27" fillId="35" borderId="0" xfId="0" applyFont="1" applyFill="1" applyBorder="1" applyAlignment="1">
      <alignment wrapText="1"/>
    </xf>
    <xf numFmtId="0" fontId="27" fillId="39" borderId="0" xfId="0" applyFont="1" applyFill="1" applyBorder="1" applyAlignment="1">
      <alignment wrapText="1"/>
    </xf>
    <xf numFmtId="0" fontId="27" fillId="38" borderId="0" xfId="0" applyFont="1" applyFill="1" applyBorder="1" applyAlignment="1">
      <alignment wrapText="1"/>
    </xf>
    <xf numFmtId="0" fontId="27" fillId="37" borderId="0" xfId="0" applyFont="1" applyFill="1" applyBorder="1" applyAlignment="1">
      <alignment wrapText="1"/>
    </xf>
    <xf numFmtId="0" fontId="41" fillId="36" borderId="0" xfId="0" applyFont="1" applyFill="1" applyBorder="1" applyAlignment="1">
      <alignment wrapText="1"/>
    </xf>
    <xf numFmtId="0" fontId="4" fillId="0" borderId="0" xfId="0" applyFont="1" applyFill="1" applyBorder="1" applyAlignment="1">
      <alignment vertical="center"/>
    </xf>
    <xf numFmtId="0" fontId="27" fillId="13" borderId="0" xfId="0" applyFont="1" applyFill="1" applyBorder="1" applyAlignment="1">
      <alignment vertical="center"/>
    </xf>
    <xf numFmtId="165" fontId="27" fillId="0" borderId="0" xfId="7" applyNumberFormat="1" applyFont="1" applyFill="1" applyBorder="1" applyAlignment="1">
      <alignment vertical="center"/>
    </xf>
    <xf numFmtId="0" fontId="30" fillId="44" borderId="0" xfId="0" applyFont="1" applyFill="1" applyBorder="1"/>
    <xf numFmtId="0" fontId="30" fillId="10" borderId="0" xfId="0" applyFont="1" applyFill="1" applyBorder="1"/>
    <xf numFmtId="0" fontId="65" fillId="0" borderId="0" xfId="0" applyFont="1" applyBorder="1" applyAlignment="1">
      <alignment vertical="center"/>
    </xf>
    <xf numFmtId="0" fontId="27" fillId="10" borderId="0" xfId="0" applyFont="1" applyFill="1" applyBorder="1" applyAlignment="1">
      <alignment horizontal="left"/>
    </xf>
    <xf numFmtId="0" fontId="65" fillId="13" borderId="0" xfId="0" applyFont="1" applyFill="1" applyBorder="1" applyAlignment="1">
      <alignment horizontal="center" vertical="center"/>
    </xf>
    <xf numFmtId="0" fontId="4" fillId="13" borderId="0" xfId="0" applyFont="1" applyFill="1" applyBorder="1" applyAlignment="1">
      <alignment vertical="center"/>
    </xf>
    <xf numFmtId="0" fontId="27" fillId="10" borderId="0" xfId="0" applyFont="1" applyFill="1" applyBorder="1" applyAlignment="1">
      <alignment horizontal="left" vertical="top"/>
    </xf>
    <xf numFmtId="0" fontId="65" fillId="13" borderId="0" xfId="0" applyFont="1" applyFill="1" applyBorder="1" applyAlignment="1">
      <alignment vertical="center"/>
    </xf>
    <xf numFmtId="0" fontId="30" fillId="10" borderId="0" xfId="0" applyFont="1" applyFill="1" applyBorder="1" applyAlignment="1">
      <alignment horizontal="left"/>
    </xf>
    <xf numFmtId="165" fontId="30" fillId="10" borderId="0" xfId="0" applyNumberFormat="1" applyFont="1" applyFill="1" applyBorder="1"/>
    <xf numFmtId="15" fontId="0" fillId="0" borderId="5" xfId="0" applyNumberFormat="1" applyFont="1" applyFill="1" applyBorder="1"/>
    <xf numFmtId="0" fontId="0" fillId="0" borderId="4" xfId="0" applyBorder="1" applyAlignment="1">
      <alignment horizontal="left" indent="1"/>
    </xf>
    <xf numFmtId="0" fontId="11" fillId="47" borderId="0" xfId="12" applyFont="1" applyFill="1" applyAlignment="1">
      <alignment horizontal="left" vertical="center" wrapText="1"/>
    </xf>
    <xf numFmtId="49" fontId="11" fillId="47" borderId="0" xfId="0" applyNumberFormat="1" applyFont="1" applyFill="1" applyBorder="1" applyAlignment="1">
      <alignment horizontal="left" vertical="center"/>
    </xf>
    <xf numFmtId="0" fontId="11" fillId="47" borderId="0" xfId="0" applyFont="1" applyFill="1" applyAlignment="1">
      <alignment horizontal="left" vertical="center"/>
    </xf>
    <xf numFmtId="0" fontId="11" fillId="47" borderId="0" xfId="0" applyNumberFormat="1" applyFont="1" applyFill="1" applyAlignment="1">
      <alignment horizontal="left" vertical="center"/>
    </xf>
    <xf numFmtId="0" fontId="11" fillId="47" borderId="0" xfId="0" applyFont="1" applyFill="1" applyBorder="1" applyAlignment="1">
      <alignment horizontal="left" vertical="center"/>
    </xf>
    <xf numFmtId="0" fontId="11" fillId="47" borderId="0" xfId="0" applyFont="1" applyFill="1" applyAlignment="1">
      <alignment horizontal="right" vertical="center"/>
    </xf>
    <xf numFmtId="1" fontId="11" fillId="47" borderId="0" xfId="0" applyNumberFormat="1" applyFont="1" applyFill="1" applyAlignment="1">
      <alignment horizontal="right" vertical="center"/>
    </xf>
    <xf numFmtId="2" fontId="11" fillId="47" borderId="0" xfId="0" applyNumberFormat="1" applyFont="1" applyFill="1" applyAlignment="1">
      <alignment horizontal="right" vertical="center"/>
    </xf>
    <xf numFmtId="0" fontId="11" fillId="47" borderId="0" xfId="0" applyFont="1" applyFill="1" applyAlignment="1">
      <alignment vertical="center"/>
    </xf>
    <xf numFmtId="49" fontId="11" fillId="47" borderId="0" xfId="0" applyNumberFormat="1" applyFont="1" applyFill="1" applyAlignment="1">
      <alignment vertical="center"/>
    </xf>
    <xf numFmtId="14" fontId="11" fillId="47" borderId="0" xfId="0" applyNumberFormat="1" applyFont="1" applyFill="1" applyAlignment="1">
      <alignment horizontal="right" vertical="center"/>
    </xf>
    <xf numFmtId="15" fontId="11" fillId="47" borderId="0" xfId="0" applyNumberFormat="1" applyFont="1" applyFill="1" applyAlignment="1">
      <alignment horizontal="right" vertical="center"/>
    </xf>
    <xf numFmtId="15" fontId="11" fillId="47" borderId="0" xfId="0" applyNumberFormat="1" applyFont="1" applyFill="1" applyAlignment="1">
      <alignment horizontal="left" vertical="center" wrapText="1"/>
    </xf>
    <xf numFmtId="1" fontId="11" fillId="47" borderId="0" xfId="0" applyNumberFormat="1" applyFont="1" applyFill="1" applyAlignment="1" applyProtection="1">
      <alignment vertical="center"/>
    </xf>
    <xf numFmtId="0" fontId="11" fillId="47" borderId="0" xfId="0" applyNumberFormat="1" applyFont="1" applyFill="1" applyAlignment="1">
      <alignment vertical="center"/>
    </xf>
    <xf numFmtId="0" fontId="11" fillId="47" borderId="0" xfId="0" applyNumberFormat="1" applyFont="1" applyFill="1" applyAlignment="1">
      <alignment horizontal="right" vertical="center"/>
    </xf>
    <xf numFmtId="165" fontId="11" fillId="47" borderId="0" xfId="7" applyNumberFormat="1" applyFont="1" applyFill="1" applyAlignment="1">
      <alignment vertical="center"/>
    </xf>
    <xf numFmtId="0" fontId="11" fillId="47" borderId="0" xfId="0" applyNumberFormat="1" applyFont="1" applyFill="1" applyAlignment="1">
      <alignment horizontal="right"/>
    </xf>
    <xf numFmtId="0" fontId="67" fillId="47" borderId="0" xfId="0" applyFont="1" applyFill="1"/>
    <xf numFmtId="0" fontId="11" fillId="0" borderId="0" xfId="0" applyFont="1" applyAlignment="1">
      <alignment vertical="center"/>
    </xf>
    <xf numFmtId="0" fontId="11" fillId="0" borderId="0" xfId="0" applyFont="1" applyBorder="1" applyAlignment="1">
      <alignment vertical="center"/>
    </xf>
    <xf numFmtId="0" fontId="15" fillId="0" borderId="0" xfId="0" applyFont="1" applyAlignment="1">
      <alignment horizontal="center" vertical="center"/>
    </xf>
    <xf numFmtId="0" fontId="11" fillId="47" borderId="0" xfId="0" applyFont="1" applyFill="1" applyBorder="1" applyAlignment="1">
      <alignment vertical="center"/>
    </xf>
    <xf numFmtId="0" fontId="57" fillId="0" borderId="0" xfId="0" applyFont="1" applyAlignment="1">
      <alignment vertical="center"/>
    </xf>
    <xf numFmtId="0" fontId="57" fillId="0" borderId="0" xfId="0" applyFont="1" applyBorder="1" applyAlignment="1">
      <alignment vertical="center"/>
    </xf>
    <xf numFmtId="0" fontId="68" fillId="10" borderId="0" xfId="6" applyFont="1" applyFill="1" applyBorder="1" applyAlignment="1">
      <alignment vertical="center"/>
    </xf>
    <xf numFmtId="0" fontId="14" fillId="0" borderId="0" xfId="0" applyFont="1" applyAlignment="1">
      <alignment vertical="center"/>
    </xf>
    <xf numFmtId="165" fontId="57" fillId="0" borderId="0" xfId="7" quotePrefix="1" applyNumberFormat="1" applyFont="1" applyFill="1" applyBorder="1" applyAlignment="1">
      <alignment vertical="center"/>
    </xf>
    <xf numFmtId="0" fontId="69" fillId="0" borderId="0" xfId="0" applyFont="1" applyFill="1" applyBorder="1" applyAlignment="1">
      <alignment vertical="center"/>
    </xf>
    <xf numFmtId="0" fontId="57" fillId="0" borderId="0" xfId="0" applyFont="1" applyFill="1" applyBorder="1" applyAlignment="1">
      <alignment horizontal="center" vertical="center"/>
    </xf>
    <xf numFmtId="15" fontId="0" fillId="0" borderId="5" xfId="0" applyNumberFormat="1" applyFont="1" applyFill="1" applyBorder="1"/>
    <xf numFmtId="15" fontId="0" fillId="0" borderId="1" xfId="0" applyNumberFormat="1" applyFont="1" applyFill="1" applyBorder="1"/>
    <xf numFmtId="0" fontId="11" fillId="0" borderId="0" xfId="12" applyFont="1" applyFill="1" applyAlignment="1">
      <alignment horizontal="left" vertical="center" wrapText="1"/>
    </xf>
    <xf numFmtId="0" fontId="11" fillId="0" borderId="0" xfId="0" applyFont="1" applyFill="1" applyAlignment="1">
      <alignment horizontal="left" vertical="center"/>
    </xf>
    <xf numFmtId="0" fontId="11" fillId="0" borderId="0" xfId="0" applyNumberFormat="1" applyFont="1" applyFill="1" applyAlignment="1">
      <alignment horizontal="left" vertical="center"/>
    </xf>
    <xf numFmtId="0" fontId="67" fillId="0" borderId="0" xfId="0" applyFont="1" applyFill="1"/>
    <xf numFmtId="0" fontId="11" fillId="0" borderId="0" xfId="0" applyFont="1" applyFill="1" applyAlignment="1">
      <alignment horizontal="right" vertical="center"/>
    </xf>
    <xf numFmtId="1" fontId="11" fillId="0" borderId="0" xfId="0" applyNumberFormat="1" applyFont="1" applyFill="1" applyAlignment="1">
      <alignment horizontal="right" vertical="center"/>
    </xf>
    <xf numFmtId="2" fontId="11" fillId="0" borderId="0" xfId="0" applyNumberFormat="1" applyFont="1" applyFill="1" applyAlignment="1">
      <alignment horizontal="right" vertical="center"/>
    </xf>
    <xf numFmtId="49" fontId="11" fillId="0" borderId="0" xfId="0" applyNumberFormat="1" applyFont="1" applyFill="1" applyAlignment="1">
      <alignment vertical="center"/>
    </xf>
    <xf numFmtId="14" fontId="11" fillId="0" borderId="0" xfId="0" applyNumberFormat="1" applyFont="1" applyFill="1" applyAlignment="1">
      <alignment horizontal="right" vertical="center"/>
    </xf>
    <xf numFmtId="15" fontId="11" fillId="0" borderId="0" xfId="0" applyNumberFormat="1" applyFont="1" applyFill="1" applyAlignment="1">
      <alignment horizontal="right" vertical="center"/>
    </xf>
    <xf numFmtId="15" fontId="11" fillId="0" borderId="0" xfId="0" applyNumberFormat="1" applyFont="1" applyFill="1" applyAlignment="1">
      <alignment horizontal="left" vertical="center" wrapText="1"/>
    </xf>
    <xf numFmtId="1" fontId="11" fillId="0" borderId="0" xfId="0" applyNumberFormat="1" applyFont="1" applyFill="1" applyAlignment="1" applyProtection="1">
      <alignment vertical="center"/>
    </xf>
    <xf numFmtId="0" fontId="11" fillId="0" borderId="0" xfId="0" applyNumberFormat="1" applyFont="1" applyFill="1" applyAlignment="1">
      <alignment vertical="center"/>
    </xf>
    <xf numFmtId="0" fontId="11" fillId="0" borderId="0" xfId="0" applyNumberFormat="1" applyFont="1" applyFill="1" applyAlignment="1">
      <alignment horizontal="right" vertical="center"/>
    </xf>
    <xf numFmtId="165" fontId="11" fillId="0" borderId="0" xfId="7" applyNumberFormat="1" applyFont="1" applyFill="1" applyAlignment="1">
      <alignment vertical="center"/>
    </xf>
    <xf numFmtId="0" fontId="11" fillId="0" borderId="0" xfId="0" applyNumberFormat="1" applyFont="1" applyFill="1" applyAlignment="1">
      <alignment horizontal="right"/>
    </xf>
    <xf numFmtId="0" fontId="66" fillId="0" borderId="0" xfId="0" applyFont="1" applyFill="1"/>
    <xf numFmtId="174" fontId="0" fillId="40" borderId="42" xfId="0" applyNumberFormat="1" applyFill="1" applyBorder="1" applyAlignment="1">
      <alignment vertical="center"/>
    </xf>
    <xf numFmtId="174" fontId="0" fillId="40" borderId="0" xfId="0" applyNumberFormat="1" applyFill="1" applyBorder="1" applyAlignment="1">
      <alignment vertical="center"/>
    </xf>
    <xf numFmtId="174" fontId="0" fillId="40" borderId="43" xfId="0" applyNumberFormat="1" applyFill="1" applyBorder="1" applyAlignment="1">
      <alignment vertical="center"/>
    </xf>
    <xf numFmtId="174" fontId="0" fillId="0" borderId="0" xfId="0" applyNumberFormat="1" applyFill="1" applyBorder="1" applyAlignment="1">
      <alignment vertical="center"/>
    </xf>
    <xf numFmtId="174" fontId="4" fillId="3" borderId="1" xfId="0" quotePrefix="1" applyNumberFormat="1" applyFont="1" applyFill="1" applyBorder="1" applyAlignment="1">
      <alignment horizontal="center" vertical="center" wrapText="1"/>
    </xf>
    <xf numFmtId="174" fontId="0" fillId="0" borderId="0" xfId="0" applyNumberFormat="1" applyAlignment="1">
      <alignment vertical="center"/>
    </xf>
    <xf numFmtId="1" fontId="29" fillId="0" borderId="1" xfId="0" applyNumberFormat="1" applyFont="1" applyFill="1" applyBorder="1" applyAlignment="1">
      <alignment horizontal="right" vertical="center"/>
    </xf>
    <xf numFmtId="0" fontId="29" fillId="0" borderId="11" xfId="0" applyNumberFormat="1" applyFont="1" applyFill="1" applyBorder="1" applyAlignment="1">
      <alignment horizontal="center" vertical="center"/>
    </xf>
    <xf numFmtId="2" fontId="15" fillId="40" borderId="0" xfId="6" applyNumberFormat="1" applyFont="1" applyFill="1" applyBorder="1" applyAlignment="1">
      <alignment vertical="center"/>
    </xf>
    <xf numFmtId="0" fontId="0" fillId="0" borderId="0" xfId="0" applyFill="1" applyAlignment="1"/>
    <xf numFmtId="0" fontId="0" fillId="0" borderId="0" xfId="0" applyFont="1" applyFill="1" applyBorder="1" applyAlignment="1"/>
    <xf numFmtId="0" fontId="11" fillId="0" borderId="0" xfId="12" applyNumberFormat="1" applyFont="1" applyFill="1" applyBorder="1" applyAlignment="1">
      <alignment vertical="center"/>
    </xf>
    <xf numFmtId="1" fontId="11" fillId="0" borderId="0" xfId="12" applyNumberFormat="1" applyFont="1" applyFill="1" applyBorder="1" applyAlignment="1">
      <alignment vertical="center"/>
    </xf>
    <xf numFmtId="0" fontId="4" fillId="0" borderId="0" xfId="0" applyFont="1" applyFill="1" applyBorder="1" applyAlignment="1"/>
    <xf numFmtId="0" fontId="11" fillId="0" borderId="0" xfId="0" applyFont="1" applyFill="1" applyBorder="1" applyAlignment="1">
      <alignment vertical="center" wrapText="1"/>
    </xf>
    <xf numFmtId="0" fontId="2" fillId="0" borderId="0" xfId="0" applyFont="1" applyFill="1" applyBorder="1" applyAlignment="1">
      <alignment vertical="center"/>
    </xf>
    <xf numFmtId="0" fontId="0" fillId="0" borderId="0" xfId="0" applyFill="1" applyBorder="1" applyAlignment="1"/>
    <xf numFmtId="0" fontId="0" fillId="0" borderId="0" xfId="0" applyFont="1" applyFill="1" applyBorder="1" applyAlignment="1">
      <alignment vertical="center"/>
    </xf>
    <xf numFmtId="0" fontId="0" fillId="0" borderId="0" xfId="0" applyFill="1" applyAlignment="1">
      <alignment wrapText="1"/>
    </xf>
    <xf numFmtId="0" fontId="0" fillId="47" borderId="0" xfId="0" applyFill="1" applyAlignment="1"/>
    <xf numFmtId="0" fontId="2" fillId="0" borderId="0" xfId="0" applyFont="1" applyFill="1" applyAlignment="1"/>
    <xf numFmtId="1" fontId="2" fillId="0" borderId="0" xfId="0" applyNumberFormat="1" applyFont="1" applyFill="1" applyAlignment="1"/>
    <xf numFmtId="49" fontId="4" fillId="0" borderId="5" xfId="0" applyNumberFormat="1" applyFont="1" applyFill="1" applyBorder="1" applyAlignment="1">
      <alignment horizontal="center"/>
    </xf>
    <xf numFmtId="0" fontId="0" fillId="28" borderId="15" xfId="0" applyFill="1" applyBorder="1"/>
    <xf numFmtId="0" fontId="0" fillId="28" borderId="0" xfId="0" applyFill="1"/>
    <xf numFmtId="0" fontId="0" fillId="0" borderId="0" xfId="0" applyFont="1" applyFill="1"/>
    <xf numFmtId="0" fontId="5" fillId="0" borderId="0" xfId="0" applyFont="1" applyFill="1" applyAlignment="1"/>
    <xf numFmtId="1" fontId="57" fillId="0" borderId="0" xfId="0" applyNumberFormat="1" applyFont="1" applyFill="1"/>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4" fillId="11" borderId="0" xfId="6" applyNumberFormat="1" applyFont="1" applyFill="1" applyBorder="1" applyAlignment="1">
      <alignment horizontal="left" vertical="center"/>
    </xf>
    <xf numFmtId="166" fontId="15" fillId="40" borderId="4" xfId="6" applyNumberFormat="1" applyFont="1" applyFill="1" applyBorder="1" applyAlignment="1">
      <alignment horizontal="left" vertical="center"/>
    </xf>
    <xf numFmtId="166" fontId="15" fillId="40" borderId="0" xfId="6" applyNumberFormat="1" applyFont="1" applyFill="1" applyBorder="1" applyAlignment="1">
      <alignment horizontal="left" vertical="center"/>
    </xf>
    <xf numFmtId="166" fontId="58" fillId="11" borderId="23" xfId="6" applyNumberFormat="1" applyFont="1" applyFill="1" applyBorder="1" applyAlignment="1">
      <alignment horizontal="left" vertical="center"/>
    </xf>
    <xf numFmtId="166" fontId="58" fillId="11" borderId="43" xfId="6" applyNumberFormat="1" applyFont="1" applyFill="1" applyBorder="1" applyAlignment="1">
      <alignment horizontal="left" vertical="center"/>
    </xf>
    <xf numFmtId="0" fontId="31" fillId="40" borderId="0" xfId="6" applyFont="1" applyFill="1" applyBorder="1" applyAlignment="1">
      <alignment horizontal="left" vertical="center"/>
    </xf>
    <xf numFmtId="166" fontId="34" fillId="40" borderId="0" xfId="6" applyNumberFormat="1" applyFont="1" applyFill="1" applyBorder="1" applyAlignment="1">
      <alignment horizontal="left" vertical="center"/>
    </xf>
    <xf numFmtId="0" fontId="9" fillId="40" borderId="0" xfId="6" applyFont="1" applyFill="1" applyBorder="1" applyAlignment="1">
      <alignment horizontal="left" vertical="center"/>
    </xf>
    <xf numFmtId="0" fontId="31" fillId="40" borderId="4" xfId="6" applyFont="1" applyFill="1" applyBorder="1" applyAlignment="1">
      <alignment horizontal="left" vertical="center"/>
    </xf>
    <xf numFmtId="166" fontId="34" fillId="40" borderId="23" xfId="6" applyNumberFormat="1" applyFont="1" applyFill="1" applyBorder="1" applyAlignment="1">
      <alignment horizontal="left" vertical="center"/>
    </xf>
    <xf numFmtId="166" fontId="34" fillId="40" borderId="43" xfId="6" applyNumberFormat="1" applyFont="1" applyFill="1" applyBorder="1" applyAlignment="1">
      <alignment horizontal="left" vertical="center"/>
    </xf>
    <xf numFmtId="0" fontId="31" fillId="11" borderId="4" xfId="6" applyFont="1" applyFill="1" applyBorder="1" applyAlignment="1">
      <alignment horizontal="left" vertical="center"/>
    </xf>
    <xf numFmtId="0" fontId="31" fillId="11" borderId="0" xfId="6" applyFont="1" applyFill="1" applyBorder="1" applyAlignment="1">
      <alignment horizontal="lef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166" fontId="34" fillId="11" borderId="17" xfId="6" applyNumberFormat="1" applyFont="1" applyFill="1" applyBorder="1" applyAlignment="1">
      <alignment horizontal="left" vertical="center"/>
    </xf>
    <xf numFmtId="0" fontId="51" fillId="40"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 borderId="50" xfId="0" applyFill="1" applyBorder="1" applyAlignment="1">
      <alignment horizontal="center" textRotation="90"/>
    </xf>
    <xf numFmtId="0" fontId="0" fillId="3" borderId="49" xfId="0" applyFill="1" applyBorder="1" applyAlignment="1">
      <alignment horizontal="center" textRotation="90"/>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13" xfId="0" applyFill="1" applyBorder="1" applyAlignment="1">
      <alignment horizontal="center" textRotation="90"/>
    </xf>
    <xf numFmtId="0" fontId="0" fillId="3" borderId="47" xfId="0" applyFill="1" applyBorder="1" applyAlignment="1">
      <alignment horizontal="center" textRotation="90"/>
    </xf>
    <xf numFmtId="0" fontId="0" fillId="3" borderId="12" xfId="0" applyFill="1" applyBorder="1" applyAlignment="1">
      <alignment horizontal="center" textRotation="90"/>
    </xf>
    <xf numFmtId="0" fontId="0" fillId="3" borderId="46"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166" fontId="25" fillId="40"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2246">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9"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74" formatCode="[$-409]d\-mmm\-yy;@"/>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75" formatCode="dd\-mmm\-yy"/>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 formatCode="0"/>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ill>
        <patternFill patternType="solid">
          <fgColor rgb="FFFFFF00"/>
          <bgColor rgb="FF000000"/>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rgb="FFFF0000"/>
        </patternFill>
      </fill>
    </dxf>
    <dxf>
      <fill>
        <patternFill>
          <bgColor rgb="FFFF00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800"/>
      <color rgb="FFFF0000"/>
      <color rgb="FFDCE6F1"/>
      <color rgb="FFFFFF00"/>
      <color rgb="FFFFFFFF"/>
      <color rgb="FFFD2361"/>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5.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1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2017.xlsx]Camp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Analysis'!$P$12:$P$47</c:f>
              <c:multiLvlStrCache>
                <c:ptCount val="22"/>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pt idx="21">
                    <c:v>Hsipaw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pt idx="21">
                    <c:v>Hsipaw</c:v>
                  </c:pt>
                </c:lvl>
              </c:multiLvlStrCache>
            </c:multiLvlStrRef>
          </c:cat>
          <c:val>
            <c:numRef>
              <c:f>'Camp Analysis'!$Q$12:$Q$47</c:f>
              <c:numCache>
                <c:formatCode>General</c:formatCode>
                <c:ptCount val="22"/>
                <c:pt idx="0">
                  <c:v>8096</c:v>
                </c:pt>
                <c:pt idx="1">
                  <c:v>2374</c:v>
                </c:pt>
                <c:pt idx="2">
                  <c:v>3668</c:v>
                </c:pt>
                <c:pt idx="3">
                  <c:v>679</c:v>
                </c:pt>
                <c:pt idx="4">
                  <c:v>0</c:v>
                </c:pt>
                <c:pt idx="6">
                  <c:v>0</c:v>
                </c:pt>
                <c:pt idx="7">
                  <c:v>545</c:v>
                </c:pt>
                <c:pt idx="8">
                  <c:v>433</c:v>
                </c:pt>
                <c:pt idx="9">
                  <c:v>380</c:v>
                </c:pt>
                <c:pt idx="10">
                  <c:v>514</c:v>
                </c:pt>
                <c:pt idx="11">
                  <c:v>1978</c:v>
                </c:pt>
                <c:pt idx="12">
                  <c:v>394</c:v>
                </c:pt>
                <c:pt idx="13">
                  <c:v>2170</c:v>
                </c:pt>
                <c:pt idx="14">
                  <c:v>851</c:v>
                </c:pt>
                <c:pt idx="15">
                  <c:v>4538</c:v>
                </c:pt>
                <c:pt idx="16">
                  <c:v>13325</c:v>
                </c:pt>
                <c:pt idx="17">
                  <c:v>15854</c:v>
                </c:pt>
                <c:pt idx="18">
                  <c:v>6461</c:v>
                </c:pt>
                <c:pt idx="19">
                  <c:v>2769</c:v>
                </c:pt>
                <c:pt idx="20">
                  <c:v>36082</c:v>
                </c:pt>
                <c:pt idx="21">
                  <c:v>120</c:v>
                </c:pt>
              </c:numCache>
            </c:numRef>
          </c:val>
        </c:ser>
        <c:dLbls>
          <c:showLegendKey val="0"/>
          <c:showVal val="0"/>
          <c:showCatName val="0"/>
          <c:showSerName val="0"/>
          <c:showPercent val="0"/>
          <c:showBubbleSize val="0"/>
        </c:dLbls>
        <c:gapWidth val="150"/>
        <c:axId val="196373768"/>
        <c:axId val="196373376"/>
      </c:barChart>
      <c:catAx>
        <c:axId val="196373768"/>
        <c:scaling>
          <c:orientation val="minMax"/>
        </c:scaling>
        <c:delete val="0"/>
        <c:axPos val="l"/>
        <c:numFmt formatCode="General" sourceLinked="0"/>
        <c:majorTickMark val="out"/>
        <c:minorTickMark val="none"/>
        <c:tickLblPos val="nextTo"/>
        <c:crossAx val="196373376"/>
        <c:crosses val="autoZero"/>
        <c:auto val="1"/>
        <c:lblAlgn val="ctr"/>
        <c:lblOffset val="100"/>
        <c:noMultiLvlLbl val="1"/>
      </c:catAx>
      <c:valAx>
        <c:axId val="196373376"/>
        <c:scaling>
          <c:orientation val="minMax"/>
        </c:scaling>
        <c:delete val="0"/>
        <c:axPos val="b"/>
        <c:majorGridlines/>
        <c:numFmt formatCode="General" sourceLinked="1"/>
        <c:majorTickMark val="out"/>
        <c:minorTickMark val="none"/>
        <c:tickLblPos val="nextTo"/>
        <c:crossAx val="19637376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2017.xlsx]Shelter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6961</c:v>
                </c:pt>
                <c:pt idx="12">
                  <c:v>77</c:v>
                </c:pt>
                <c:pt idx="13">
                  <c:v>10</c:v>
                </c:pt>
              </c:numCache>
            </c:numRef>
          </c:val>
        </c:ser>
        <c:dLbls>
          <c:showLegendKey val="0"/>
          <c:showVal val="0"/>
          <c:showCatName val="0"/>
          <c:showSerName val="0"/>
          <c:showPercent val="0"/>
          <c:showBubbleSize val="0"/>
        </c:dLbls>
        <c:gapWidth val="150"/>
        <c:overlap val="100"/>
        <c:axId val="313793584"/>
        <c:axId val="313793976"/>
      </c:barChart>
      <c:catAx>
        <c:axId val="313793584"/>
        <c:scaling>
          <c:orientation val="minMax"/>
        </c:scaling>
        <c:delete val="0"/>
        <c:axPos val="b"/>
        <c:numFmt formatCode="General" sourceLinked="0"/>
        <c:majorTickMark val="out"/>
        <c:minorTickMark val="none"/>
        <c:tickLblPos val="nextTo"/>
        <c:crossAx val="313793976"/>
        <c:crosses val="autoZero"/>
        <c:auto val="1"/>
        <c:lblAlgn val="ctr"/>
        <c:lblOffset val="100"/>
        <c:noMultiLvlLbl val="0"/>
      </c:catAx>
      <c:valAx>
        <c:axId val="313793976"/>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313793584"/>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manualLayout>
          <c:layoutTarget val="inner"/>
          <c:xMode val="edge"/>
          <c:yMode val="edge"/>
          <c:x val="1.5962553872270021E-2"/>
          <c:y val="0.34912111856482186"/>
          <c:w val="0.47600816279225672"/>
          <c:h val="0.44354925801697415"/>
        </c:manualLayout>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0"/>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dLbl>
              <c:idx val="1"/>
              <c:tx>
                <c:rich>
                  <a:bodyPr/>
                  <a:lstStyle/>
                  <a:p>
                    <a:r>
                      <a:rPr lang="en-US"/>
                      <a:t>27%</a:t>
                    </a:r>
                  </a:p>
                </c:rich>
              </c:tx>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Gaps'!$CG$7,'Shelter Coverage &amp; Gaps'!$CG$9,'Shelter Coverage &amp; Gaps'!$CG$10)</c:f>
              <c:strCache>
                <c:ptCount val="3"/>
                <c:pt idx="0">
                  <c:v>#Covered</c:v>
                </c:pt>
                <c:pt idx="1">
                  <c:v>#Gap</c:v>
                </c:pt>
                <c:pt idx="2">
                  <c:v>#Land Issue</c:v>
                </c:pt>
              </c:strCache>
            </c:strRef>
          </c:cat>
          <c:val>
            <c:numRef>
              <c:f>('Shelter Coverage &amp; Gaps'!$CH$7,'Shelter Coverage &amp; Gaps'!$CH$9,'Shelter Coverage &amp; Gaps'!$CH$10)</c:f>
              <c:numCache>
                <c:formatCode>_-* #,##0_-;\-* #,##0_-;_-* "-"??_-;_-@_-</c:formatCode>
                <c:ptCount val="3"/>
                <c:pt idx="0">
                  <c:v>11419</c:v>
                </c:pt>
                <c:pt idx="1">
                  <c:v>6475</c:v>
                </c:pt>
                <c:pt idx="2">
                  <c:v>82</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47182507263453438"/>
          <c:y val="0.33461126357337673"/>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316766496"/>
        <c:axId val="316766888"/>
      </c:barChart>
      <c:catAx>
        <c:axId val="316766496"/>
        <c:scaling>
          <c:orientation val="minMax"/>
        </c:scaling>
        <c:delete val="0"/>
        <c:axPos val="l"/>
        <c:majorTickMark val="none"/>
        <c:minorTickMark val="none"/>
        <c:tickLblPos val="nextTo"/>
        <c:crossAx val="316766888"/>
        <c:crosses val="autoZero"/>
        <c:auto val="1"/>
        <c:lblAlgn val="ctr"/>
        <c:lblOffset val="100"/>
        <c:noMultiLvlLbl val="0"/>
      </c:catAx>
      <c:valAx>
        <c:axId val="316766888"/>
        <c:scaling>
          <c:orientation val="minMax"/>
        </c:scaling>
        <c:delete val="0"/>
        <c:axPos val="b"/>
        <c:majorGridlines/>
        <c:numFmt formatCode="General" sourceLinked="1"/>
        <c:majorTickMark val="none"/>
        <c:minorTickMark val="none"/>
        <c:tickLblPos val="nextTo"/>
        <c:crossAx val="316766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Summary'!$G$11</c:f>
              <c:strCache>
                <c:ptCount val="1"/>
                <c:pt idx="0">
                  <c:v>% Distributed</c:v>
                </c:pt>
              </c:strCache>
            </c:strRef>
          </c:tx>
          <c:spPr>
            <a:solidFill>
              <a:srgbClr val="25FF88"/>
            </a:solidFill>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Summary'!$G$12:$G$18</c:f>
              <c:numCache>
                <c:formatCode>0%</c:formatCode>
                <c:ptCount val="7"/>
                <c:pt idx="0">
                  <c:v>3.857211308097748E-2</c:v>
                </c:pt>
                <c:pt idx="1">
                  <c:v>4.5999041686631527E-2</c:v>
                </c:pt>
                <c:pt idx="2">
                  <c:v>3.9770004791566844E-2</c:v>
                </c:pt>
                <c:pt idx="3">
                  <c:v>2.7791087685673215E-2</c:v>
                </c:pt>
                <c:pt idx="4">
                  <c:v>3.3540967896502154E-3</c:v>
                </c:pt>
                <c:pt idx="5">
                  <c:v>4.5999041686631527E-2</c:v>
                </c:pt>
                <c:pt idx="6">
                  <c:v>5.4144705318639193E-2</c:v>
                </c:pt>
              </c:numCache>
            </c:numRef>
          </c:val>
        </c:ser>
        <c:ser>
          <c:idx val="3"/>
          <c:order val="1"/>
          <c:tx>
            <c:strRef>
              <c:f>'NFI Summary'!$I$11</c:f>
              <c:strCache>
                <c:ptCount val="1"/>
                <c:pt idx="0">
                  <c:v>% In Stock</c:v>
                </c:pt>
              </c:strCache>
            </c:strRef>
          </c:tx>
          <c:spPr>
            <a:solidFill>
              <a:schemeClr val="accent1">
                <a:lumMod val="40000"/>
                <a:lumOff val="60000"/>
              </a:schemeClr>
            </a:solidFill>
            <a:ln>
              <a:noFill/>
            </a:ln>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Summary'!$I$12:$I$18</c:f>
              <c:numCache>
                <c:formatCode>0%</c:formatCode>
                <c:ptCount val="7"/>
                <c:pt idx="0">
                  <c:v>0.64350742692860563</c:v>
                </c:pt>
                <c:pt idx="1">
                  <c:v>0.74413033061811207</c:v>
                </c:pt>
                <c:pt idx="2">
                  <c:v>0.94681360804983228</c:v>
                </c:pt>
                <c:pt idx="3">
                  <c:v>0.47484427407762336</c:v>
                </c:pt>
                <c:pt idx="4">
                  <c:v>0</c:v>
                </c:pt>
                <c:pt idx="5">
                  <c:v>0.53282223287014852</c:v>
                </c:pt>
                <c:pt idx="6">
                  <c:v>0.49496885481552466</c:v>
                </c:pt>
              </c:numCache>
            </c:numRef>
          </c:val>
        </c:ser>
        <c:ser>
          <c:idx val="0"/>
          <c:order val="2"/>
          <c:tx>
            <c:strRef>
              <c:f>'NFI Summary'!$J$11</c:f>
              <c:strCache>
                <c:ptCount val="1"/>
                <c:pt idx="0">
                  <c:v>% Gap</c:v>
                </c:pt>
              </c:strCache>
            </c:strRef>
          </c:tx>
          <c:spPr>
            <a:solidFill>
              <a:srgbClr val="FD2361"/>
            </a:solidFill>
          </c:spPr>
          <c:invertIfNegative val="0"/>
          <c:val>
            <c:numRef>
              <c:f>'NFI Summary'!$J$12:$J$18</c:f>
              <c:numCache>
                <c:formatCode>0%</c:formatCode>
                <c:ptCount val="7"/>
                <c:pt idx="0">
                  <c:v>0.31792045999041685</c:v>
                </c:pt>
                <c:pt idx="1">
                  <c:v>0.20987062769525644</c:v>
                </c:pt>
                <c:pt idx="2">
                  <c:v>1.3416387158600829E-2</c:v>
                </c:pt>
                <c:pt idx="3">
                  <c:v>0.49736463823670346</c:v>
                </c:pt>
                <c:pt idx="4">
                  <c:v>0.99664590321034974</c:v>
                </c:pt>
                <c:pt idx="5">
                  <c:v>0.42117872544321999</c:v>
                </c:pt>
                <c:pt idx="6">
                  <c:v>0.4508864398658361</c:v>
                </c:pt>
              </c:numCache>
            </c:numRef>
          </c:val>
        </c:ser>
        <c:dLbls>
          <c:showLegendKey val="0"/>
          <c:showVal val="0"/>
          <c:showCatName val="0"/>
          <c:showSerName val="0"/>
          <c:showPercent val="0"/>
          <c:showBubbleSize val="0"/>
        </c:dLbls>
        <c:gapWidth val="55"/>
        <c:overlap val="100"/>
        <c:axId val="316767280"/>
        <c:axId val="316767672"/>
      </c:barChart>
      <c:catAx>
        <c:axId val="316767280"/>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16767672"/>
        <c:crosses val="autoZero"/>
        <c:auto val="1"/>
        <c:lblAlgn val="ctr"/>
        <c:lblOffset val="0"/>
        <c:noMultiLvlLbl val="0"/>
      </c:catAx>
      <c:valAx>
        <c:axId val="316767672"/>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16767280"/>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2017.xlsx]NFI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Tship)'!$B$73</c:f>
              <c:strCache>
                <c:ptCount val="1"/>
                <c:pt idx="0">
                  <c:v>Winter Clothes Adult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Tship)'!$B$74:$B$80</c:f>
              <c:numCache>
                <c:formatCode>_-* #,##0_-;\-* #,##0_-;_-* "-"??_-;_-@_-</c:formatCode>
                <c:ptCount val="6"/>
                <c:pt idx="1">
                  <c:v>944</c:v>
                </c:pt>
                <c:pt idx="2">
                  <c:v>941</c:v>
                </c:pt>
                <c:pt idx="4">
                  <c:v>1155</c:v>
                </c:pt>
                <c:pt idx="5">
                  <c:v>2342</c:v>
                </c:pt>
              </c:numCache>
            </c:numRef>
          </c:val>
        </c:ser>
        <c:ser>
          <c:idx val="1"/>
          <c:order val="1"/>
          <c:tx>
            <c:strRef>
              <c:f>'NFI Distribution (by Tship)'!$C$73</c:f>
              <c:strCache>
                <c:ptCount val="1"/>
                <c:pt idx="0">
                  <c:v>Winter Clothes Children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Tship)'!$C$74:$C$80</c:f>
              <c:numCache>
                <c:formatCode>_-* #,##0_-;\-* #,##0_-;_-* "-"??_-;_-@_-</c:formatCode>
                <c:ptCount val="6"/>
                <c:pt idx="1">
                  <c:v>553</c:v>
                </c:pt>
                <c:pt idx="2">
                  <c:v>619</c:v>
                </c:pt>
                <c:pt idx="3">
                  <c:v>1333</c:v>
                </c:pt>
                <c:pt idx="4">
                  <c:v>2263</c:v>
                </c:pt>
                <c:pt idx="5">
                  <c:v>3896</c:v>
                </c:pt>
              </c:numCache>
            </c:numRef>
          </c:val>
        </c:ser>
        <c:ser>
          <c:idx val="2"/>
          <c:order val="2"/>
          <c:tx>
            <c:strRef>
              <c:f>'NFI Distribution (by Tship)'!$D$73</c:f>
              <c:strCache>
                <c:ptCount val="1"/>
                <c:pt idx="0">
                  <c:v>Winter Blanket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Tship)'!$D$74:$D$80</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316768456"/>
        <c:axId val="331836168"/>
      </c:barChart>
      <c:catAx>
        <c:axId val="316768456"/>
        <c:scaling>
          <c:orientation val="minMax"/>
        </c:scaling>
        <c:delete val="0"/>
        <c:axPos val="b"/>
        <c:numFmt formatCode="General" sourceLinked="0"/>
        <c:majorTickMark val="out"/>
        <c:minorTickMark val="none"/>
        <c:tickLblPos val="nextTo"/>
        <c:txPr>
          <a:bodyPr/>
          <a:lstStyle/>
          <a:p>
            <a:pPr>
              <a:defRPr sz="800"/>
            </a:pPr>
            <a:endParaRPr lang="en-US"/>
          </a:p>
        </c:txPr>
        <c:crossAx val="331836168"/>
        <c:crosses val="autoZero"/>
        <c:auto val="1"/>
        <c:lblAlgn val="ctr"/>
        <c:lblOffset val="100"/>
        <c:noMultiLvlLbl val="0"/>
      </c:catAx>
      <c:valAx>
        <c:axId val="331836168"/>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16768456"/>
        <c:crosses val="autoZero"/>
        <c:crossBetween val="between"/>
        <c:majorUnit val="1000"/>
      </c:valAx>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Summary'!$P$11</c:f>
              <c:strCache>
                <c:ptCount val="1"/>
                <c:pt idx="0">
                  <c:v>% Distributed</c:v>
                </c:pt>
              </c:strCache>
            </c:strRef>
          </c:tx>
          <c:spPr>
            <a:solidFill>
              <a:srgbClr val="25FF88"/>
            </a:solidFill>
          </c:spPr>
          <c:invertIfNegative val="0"/>
          <c:cat>
            <c:strRef>
              <c:f>'NFI Summary'!$L$12:$L$14</c:f>
              <c:strCache>
                <c:ptCount val="3"/>
                <c:pt idx="0">
                  <c:v>Winter Clothes Adult</c:v>
                </c:pt>
                <c:pt idx="1">
                  <c:v>Winter Clothes Children</c:v>
                </c:pt>
                <c:pt idx="2">
                  <c:v>Winter Blanket</c:v>
                </c:pt>
              </c:strCache>
            </c:strRef>
          </c:cat>
          <c:val>
            <c:numRef>
              <c:f>'NFI Summary'!$P$12:$P$14</c:f>
              <c:numCache>
                <c:formatCode>0%</c:formatCode>
                <c:ptCount val="3"/>
                <c:pt idx="0">
                  <c:v>0.22814910025706941</c:v>
                </c:pt>
                <c:pt idx="1">
                  <c:v>0.31598114824335904</c:v>
                </c:pt>
                <c:pt idx="2">
                  <c:v>0.11118251928020566</c:v>
                </c:pt>
              </c:numCache>
            </c:numRef>
          </c:val>
        </c:ser>
        <c:ser>
          <c:idx val="3"/>
          <c:order val="1"/>
          <c:tx>
            <c:strRef>
              <c:f>'NFI Summary'!$R$11</c:f>
              <c:strCache>
                <c:ptCount val="1"/>
                <c:pt idx="0">
                  <c:v>% In Stock</c:v>
                </c:pt>
              </c:strCache>
            </c:strRef>
          </c:tx>
          <c:spPr>
            <a:solidFill>
              <a:schemeClr val="accent1">
                <a:lumMod val="40000"/>
                <a:lumOff val="60000"/>
              </a:schemeClr>
            </a:solidFill>
            <a:ln>
              <a:noFill/>
            </a:ln>
          </c:spPr>
          <c:invertIfNegative val="0"/>
          <c:cat>
            <c:strRef>
              <c:f>'NFI Summary'!$L$12:$L$14</c:f>
              <c:strCache>
                <c:ptCount val="3"/>
                <c:pt idx="0">
                  <c:v>Winter Clothes Adult</c:v>
                </c:pt>
                <c:pt idx="1">
                  <c:v>Winter Clothes Children</c:v>
                </c:pt>
                <c:pt idx="2">
                  <c:v>Winter Blanket</c:v>
                </c:pt>
              </c:strCache>
            </c:strRef>
          </c:cat>
          <c:val>
            <c:numRef>
              <c:f>'NFI Summary'!$R$12:$R$14</c:f>
              <c:numCache>
                <c:formatCode>0%</c:formatCode>
                <c:ptCount val="3"/>
                <c:pt idx="0">
                  <c:v>0</c:v>
                </c:pt>
                <c:pt idx="1">
                  <c:v>9.9614395886889459E-2</c:v>
                </c:pt>
                <c:pt idx="2">
                  <c:v>1.5</c:v>
                </c:pt>
              </c:numCache>
            </c:numRef>
          </c:val>
        </c:ser>
        <c:ser>
          <c:idx val="0"/>
          <c:order val="2"/>
          <c:tx>
            <c:strRef>
              <c:f>'NFI Summary'!$S$11</c:f>
              <c:strCache>
                <c:ptCount val="1"/>
                <c:pt idx="0">
                  <c:v>% Gap</c:v>
                </c:pt>
              </c:strCache>
            </c:strRef>
          </c:tx>
          <c:spPr>
            <a:solidFill>
              <a:srgbClr val="FD2361"/>
            </a:solidFill>
          </c:spPr>
          <c:invertIfNegative val="0"/>
          <c:cat>
            <c:strRef>
              <c:f>'NFI Summary'!$L$12:$L$14</c:f>
              <c:strCache>
                <c:ptCount val="3"/>
                <c:pt idx="0">
                  <c:v>Winter Clothes Adult</c:v>
                </c:pt>
                <c:pt idx="1">
                  <c:v>Winter Clothes Children</c:v>
                </c:pt>
                <c:pt idx="2">
                  <c:v>Winter Blanket</c:v>
                </c:pt>
              </c:strCache>
            </c:strRef>
          </c:cat>
          <c:val>
            <c:numRef>
              <c:f>'NFI Summary'!$S$12:$S$14</c:f>
              <c:numCache>
                <c:formatCode>0%</c:formatCode>
                <c:ptCount val="3"/>
                <c:pt idx="0">
                  <c:v>0.77185089974293053</c:v>
                </c:pt>
                <c:pt idx="1">
                  <c:v>0.58440445586975154</c:v>
                </c:pt>
                <c:pt idx="2">
                  <c:v>0</c:v>
                </c:pt>
              </c:numCache>
            </c:numRef>
          </c:val>
        </c:ser>
        <c:dLbls>
          <c:showLegendKey val="0"/>
          <c:showVal val="0"/>
          <c:showCatName val="0"/>
          <c:showSerName val="0"/>
          <c:showPercent val="0"/>
          <c:showBubbleSize val="0"/>
        </c:dLbls>
        <c:gapWidth val="55"/>
        <c:overlap val="100"/>
        <c:axId val="331836952"/>
        <c:axId val="331837344"/>
      </c:barChart>
      <c:catAx>
        <c:axId val="331836952"/>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31837344"/>
        <c:crosses val="autoZero"/>
        <c:auto val="1"/>
        <c:lblAlgn val="ctr"/>
        <c:lblOffset val="0"/>
        <c:noMultiLvlLbl val="0"/>
      </c:catAx>
      <c:valAx>
        <c:axId val="33183734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31836952"/>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2017.xlsx]NFI Summary!PivotTable1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ysClr val="windowText" lastClr="000000"/>
                </a:solidFill>
              </a:rPr>
              <a:t>Per</a:t>
            </a:r>
            <a:r>
              <a:rPr lang="en-US" sz="1100" b="1" baseline="0">
                <a:solidFill>
                  <a:sysClr val="windowText" lastClr="000000"/>
                </a:solidFill>
              </a:rPr>
              <a:t> Organization</a:t>
            </a:r>
            <a:endParaRPr lang="en-US" sz="11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'NFI Summary'!$H$44</c:f>
              <c:strCache>
                <c:ptCount val="1"/>
                <c:pt idx="0">
                  <c:v>Mosquito net </c:v>
                </c:pt>
              </c:strCache>
            </c:strRef>
          </c:tx>
          <c:spPr>
            <a:solidFill>
              <a:schemeClr val="accent1"/>
            </a:solidFill>
            <a:ln>
              <a:noFill/>
            </a:ln>
            <a:effectLst/>
          </c:spPr>
          <c:invertIfNegative val="0"/>
          <c:cat>
            <c:strRef>
              <c:f>'NFI Summary'!$G$45:$G$47</c:f>
              <c:strCache>
                <c:ptCount val="2"/>
                <c:pt idx="0">
                  <c:v>Solidarities</c:v>
                </c:pt>
                <c:pt idx="1">
                  <c:v>UNHCR</c:v>
                </c:pt>
              </c:strCache>
            </c:strRef>
          </c:cat>
          <c:val>
            <c:numRef>
              <c:f>'NFI Summary'!$H$45:$H$47</c:f>
              <c:numCache>
                <c:formatCode>General</c:formatCode>
                <c:ptCount val="2"/>
                <c:pt idx="1">
                  <c:v>1051</c:v>
                </c:pt>
              </c:numCache>
            </c:numRef>
          </c:val>
        </c:ser>
        <c:ser>
          <c:idx val="1"/>
          <c:order val="1"/>
          <c:tx>
            <c:strRef>
              <c:f>'NFI Summary'!$I$44</c:f>
              <c:strCache>
                <c:ptCount val="1"/>
                <c:pt idx="0">
                  <c:v>Tarpaulin </c:v>
                </c:pt>
              </c:strCache>
            </c:strRef>
          </c:tx>
          <c:spPr>
            <a:solidFill>
              <a:schemeClr val="accent2"/>
            </a:solidFill>
            <a:ln>
              <a:noFill/>
            </a:ln>
            <a:effectLst/>
          </c:spPr>
          <c:invertIfNegative val="0"/>
          <c:cat>
            <c:strRef>
              <c:f>'NFI Summary'!$G$45:$G$47</c:f>
              <c:strCache>
                <c:ptCount val="2"/>
                <c:pt idx="0">
                  <c:v>Solidarities</c:v>
                </c:pt>
                <c:pt idx="1">
                  <c:v>UNHCR</c:v>
                </c:pt>
              </c:strCache>
            </c:strRef>
          </c:cat>
          <c:val>
            <c:numRef>
              <c:f>'NFI Summary'!$I$45:$I$47</c:f>
              <c:numCache>
                <c:formatCode>General</c:formatCode>
                <c:ptCount val="2"/>
                <c:pt idx="1">
                  <c:v>585</c:v>
                </c:pt>
              </c:numCache>
            </c:numRef>
          </c:val>
        </c:ser>
        <c:ser>
          <c:idx val="2"/>
          <c:order val="2"/>
          <c:tx>
            <c:strRef>
              <c:f>'NFI Summary'!$J$44</c:f>
              <c:strCache>
                <c:ptCount val="1"/>
                <c:pt idx="0">
                  <c:v>Blanket </c:v>
                </c:pt>
              </c:strCache>
            </c:strRef>
          </c:tx>
          <c:spPr>
            <a:solidFill>
              <a:schemeClr val="accent3"/>
            </a:solidFill>
            <a:ln>
              <a:noFill/>
            </a:ln>
            <a:effectLst/>
          </c:spPr>
          <c:invertIfNegative val="0"/>
          <c:cat>
            <c:strRef>
              <c:f>'NFI Summary'!$G$45:$G$47</c:f>
              <c:strCache>
                <c:ptCount val="2"/>
                <c:pt idx="0">
                  <c:v>Solidarities</c:v>
                </c:pt>
                <c:pt idx="1">
                  <c:v>UNHCR</c:v>
                </c:pt>
              </c:strCache>
            </c:strRef>
          </c:cat>
          <c:val>
            <c:numRef>
              <c:f>'NFI Summary'!$J$45:$J$47</c:f>
              <c:numCache>
                <c:formatCode>General</c:formatCode>
                <c:ptCount val="2"/>
                <c:pt idx="1">
                  <c:v>1205</c:v>
                </c:pt>
              </c:numCache>
            </c:numRef>
          </c:val>
        </c:ser>
        <c:ser>
          <c:idx val="3"/>
          <c:order val="3"/>
          <c:tx>
            <c:strRef>
              <c:f>'NFI Summary'!$K$44</c:f>
              <c:strCache>
                <c:ptCount val="1"/>
                <c:pt idx="0">
                  <c:v>Kitchen Set </c:v>
                </c:pt>
              </c:strCache>
            </c:strRef>
          </c:tx>
          <c:spPr>
            <a:solidFill>
              <a:schemeClr val="accent4"/>
            </a:solidFill>
            <a:ln>
              <a:noFill/>
            </a:ln>
            <a:effectLst/>
          </c:spPr>
          <c:invertIfNegative val="0"/>
          <c:cat>
            <c:strRef>
              <c:f>'NFI Summary'!$G$45:$G$47</c:f>
              <c:strCache>
                <c:ptCount val="2"/>
                <c:pt idx="0">
                  <c:v>Solidarities</c:v>
                </c:pt>
                <c:pt idx="1">
                  <c:v>UNHCR</c:v>
                </c:pt>
              </c:strCache>
            </c:strRef>
          </c:cat>
          <c:val>
            <c:numRef>
              <c:f>'NFI Summary'!$K$45:$K$47</c:f>
              <c:numCache>
                <c:formatCode>General</c:formatCode>
                <c:ptCount val="2"/>
                <c:pt idx="1">
                  <c:v>347</c:v>
                </c:pt>
              </c:numCache>
            </c:numRef>
          </c:val>
        </c:ser>
        <c:ser>
          <c:idx val="4"/>
          <c:order val="4"/>
          <c:tx>
            <c:strRef>
              <c:f>'NFI Summary'!$L$44</c:f>
              <c:strCache>
                <c:ptCount val="1"/>
                <c:pt idx="0">
                  <c:v>Plastic Bucket </c:v>
                </c:pt>
              </c:strCache>
            </c:strRef>
          </c:tx>
          <c:spPr>
            <a:solidFill>
              <a:schemeClr val="accent5"/>
            </a:solidFill>
            <a:ln>
              <a:noFill/>
            </a:ln>
            <a:effectLst/>
          </c:spPr>
          <c:invertIfNegative val="0"/>
          <c:cat>
            <c:strRef>
              <c:f>'NFI Summary'!$G$45:$G$47</c:f>
              <c:strCache>
                <c:ptCount val="2"/>
                <c:pt idx="0">
                  <c:v>Solidarities</c:v>
                </c:pt>
                <c:pt idx="1">
                  <c:v>UNHCR</c:v>
                </c:pt>
              </c:strCache>
            </c:strRef>
          </c:cat>
          <c:val>
            <c:numRef>
              <c:f>'NFI Summary'!$L$45:$L$47</c:f>
              <c:numCache>
                <c:formatCode>General</c:formatCode>
                <c:ptCount val="2"/>
                <c:pt idx="1">
                  <c:v>385</c:v>
                </c:pt>
              </c:numCache>
            </c:numRef>
          </c:val>
        </c:ser>
        <c:ser>
          <c:idx val="5"/>
          <c:order val="5"/>
          <c:tx>
            <c:strRef>
              <c:f>'NFI Summary'!$M$44</c:f>
              <c:strCache>
                <c:ptCount val="1"/>
                <c:pt idx="0">
                  <c:v>Plastic Mat </c:v>
                </c:pt>
              </c:strCache>
            </c:strRef>
          </c:tx>
          <c:spPr>
            <a:solidFill>
              <a:schemeClr val="accent6"/>
            </a:solidFill>
            <a:ln>
              <a:noFill/>
            </a:ln>
            <a:effectLst/>
          </c:spPr>
          <c:invertIfNegative val="0"/>
          <c:cat>
            <c:strRef>
              <c:f>'NFI Summary'!$G$45:$G$47</c:f>
              <c:strCache>
                <c:ptCount val="2"/>
                <c:pt idx="0">
                  <c:v>Solidarities</c:v>
                </c:pt>
                <c:pt idx="1">
                  <c:v>UNHCR</c:v>
                </c:pt>
              </c:strCache>
            </c:strRef>
          </c:cat>
          <c:val>
            <c:numRef>
              <c:f>'NFI Summary'!$M$45:$M$47</c:f>
              <c:numCache>
                <c:formatCode>General</c:formatCode>
                <c:ptCount val="2"/>
                <c:pt idx="1">
                  <c:v>1376</c:v>
                </c:pt>
              </c:numCache>
            </c:numRef>
          </c:val>
        </c:ser>
        <c:dLbls>
          <c:showLegendKey val="0"/>
          <c:showVal val="0"/>
          <c:showCatName val="0"/>
          <c:showSerName val="0"/>
          <c:showPercent val="0"/>
          <c:showBubbleSize val="0"/>
        </c:dLbls>
        <c:gapWidth val="219"/>
        <c:overlap val="-27"/>
        <c:axId val="331838128"/>
        <c:axId val="331838520"/>
      </c:barChart>
      <c:catAx>
        <c:axId val="33183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838520"/>
        <c:crosses val="autoZero"/>
        <c:auto val="1"/>
        <c:lblAlgn val="ctr"/>
        <c:lblOffset val="100"/>
        <c:noMultiLvlLbl val="0"/>
      </c:catAx>
      <c:valAx>
        <c:axId val="331838520"/>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838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Dashboard'!$AJ$46</c:f>
              <c:strCache>
                <c:ptCount val="1"/>
                <c:pt idx="0">
                  <c:v>1-100</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Dashboard'!$AJ$47:$AJ$66</c:f>
              <c:numCache>
                <c:formatCode>_-* #,##0_-;\-* #,##0_-;_-* "-"??_-;_-@_-</c:formatCode>
                <c:ptCount val="20"/>
                <c:pt idx="0">
                  <c:v>4</c:v>
                </c:pt>
                <c:pt idx="1">
                  <c:v>0</c:v>
                </c:pt>
                <c:pt idx="2">
                  <c:v>16</c:v>
                </c:pt>
                <c:pt idx="3">
                  <c:v>0</c:v>
                </c:pt>
                <c:pt idx="4">
                  <c:v>0</c:v>
                </c:pt>
                <c:pt idx="5">
                  <c:v>0</c:v>
                </c:pt>
                <c:pt idx="6">
                  <c:v>0</c:v>
                </c:pt>
                <c:pt idx="7">
                  <c:v>0</c:v>
                </c:pt>
                <c:pt idx="8">
                  <c:v>5</c:v>
                </c:pt>
                <c:pt idx="9">
                  <c:v>1</c:v>
                </c:pt>
                <c:pt idx="10">
                  <c:v>2</c:v>
                </c:pt>
                <c:pt idx="11">
                  <c:v>4</c:v>
                </c:pt>
                <c:pt idx="12">
                  <c:v>0</c:v>
                </c:pt>
                <c:pt idx="13">
                  <c:v>6</c:v>
                </c:pt>
                <c:pt idx="14">
                  <c:v>0</c:v>
                </c:pt>
                <c:pt idx="15">
                  <c:v>4</c:v>
                </c:pt>
                <c:pt idx="16">
                  <c:v>2</c:v>
                </c:pt>
                <c:pt idx="17">
                  <c:v>1</c:v>
                </c:pt>
                <c:pt idx="18">
                  <c:v>1</c:v>
                </c:pt>
                <c:pt idx="19">
                  <c:v>1</c:v>
                </c:pt>
              </c:numCache>
            </c:numRef>
          </c:val>
        </c:ser>
        <c:ser>
          <c:idx val="0"/>
          <c:order val="1"/>
          <c:tx>
            <c:strRef>
              <c:f>'CCCM Dashboard'!$AK$46</c:f>
              <c:strCache>
                <c:ptCount val="1"/>
                <c:pt idx="0">
                  <c:v>100-1k</c:v>
                </c:pt>
              </c:strCache>
            </c:strRef>
          </c:tx>
          <c:spPr>
            <a:solidFill>
              <a:srgbClr val="FFC000"/>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Dashboard'!$AK$47:$AK$66</c:f>
              <c:numCache>
                <c:formatCode>_-* #,##0_-;\-* #,##0_-;_-* "-"??_-;_-@_-</c:formatCode>
                <c:ptCount val="20"/>
                <c:pt idx="0">
                  <c:v>5</c:v>
                </c:pt>
                <c:pt idx="1">
                  <c:v>5</c:v>
                </c:pt>
                <c:pt idx="2">
                  <c:v>10</c:v>
                </c:pt>
                <c:pt idx="3">
                  <c:v>0</c:v>
                </c:pt>
                <c:pt idx="4">
                  <c:v>13</c:v>
                </c:pt>
                <c:pt idx="5">
                  <c:v>7</c:v>
                </c:pt>
                <c:pt idx="6">
                  <c:v>0</c:v>
                </c:pt>
                <c:pt idx="7">
                  <c:v>3</c:v>
                </c:pt>
                <c:pt idx="8">
                  <c:v>1</c:v>
                </c:pt>
                <c:pt idx="9">
                  <c:v>2</c:v>
                </c:pt>
                <c:pt idx="10">
                  <c:v>2</c:v>
                </c:pt>
                <c:pt idx="11">
                  <c:v>8</c:v>
                </c:pt>
                <c:pt idx="12">
                  <c:v>3</c:v>
                </c:pt>
                <c:pt idx="13">
                  <c:v>17</c:v>
                </c:pt>
                <c:pt idx="14">
                  <c:v>7</c:v>
                </c:pt>
                <c:pt idx="15">
                  <c:v>4</c:v>
                </c:pt>
                <c:pt idx="16">
                  <c:v>1</c:v>
                </c:pt>
                <c:pt idx="17">
                  <c:v>2</c:v>
                </c:pt>
                <c:pt idx="18">
                  <c:v>2</c:v>
                </c:pt>
                <c:pt idx="19">
                  <c:v>15</c:v>
                </c:pt>
              </c:numCache>
            </c:numRef>
          </c:val>
        </c:ser>
        <c:ser>
          <c:idx val="1"/>
          <c:order val="2"/>
          <c:tx>
            <c:strRef>
              <c:f>'CCCM Dashboard'!$AL$46</c:f>
              <c:strCache>
                <c:ptCount val="1"/>
                <c:pt idx="0">
                  <c:v>1k - 5k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Dashboard'!$AL$47:$AL$66</c:f>
              <c:numCache>
                <c:formatCode>_-* #,##0_-;\-* #,##0_-;_-* "-"??_-;_-@_-</c:formatCode>
                <c:ptCount val="20"/>
                <c:pt idx="0">
                  <c:v>2</c:v>
                </c:pt>
                <c:pt idx="1">
                  <c:v>0</c:v>
                </c:pt>
                <c:pt idx="2">
                  <c:v>0</c:v>
                </c:pt>
                <c:pt idx="3">
                  <c:v>0</c:v>
                </c:pt>
                <c:pt idx="4">
                  <c:v>0</c:v>
                </c:pt>
                <c:pt idx="5">
                  <c:v>4</c:v>
                </c:pt>
                <c:pt idx="6">
                  <c:v>0</c:v>
                </c:pt>
                <c:pt idx="7">
                  <c:v>0</c:v>
                </c:pt>
                <c:pt idx="8">
                  <c:v>0</c:v>
                </c:pt>
                <c:pt idx="9">
                  <c:v>0</c:v>
                </c:pt>
                <c:pt idx="10">
                  <c:v>0</c:v>
                </c:pt>
                <c:pt idx="11">
                  <c:v>7</c:v>
                </c:pt>
                <c:pt idx="12">
                  <c:v>0</c:v>
                </c:pt>
                <c:pt idx="13">
                  <c:v>1</c:v>
                </c:pt>
                <c:pt idx="14">
                  <c:v>0</c:v>
                </c:pt>
                <c:pt idx="15">
                  <c:v>0</c:v>
                </c:pt>
                <c:pt idx="16">
                  <c:v>0</c:v>
                </c:pt>
                <c:pt idx="17">
                  <c:v>1</c:v>
                </c:pt>
                <c:pt idx="18">
                  <c:v>0</c:v>
                </c:pt>
                <c:pt idx="19">
                  <c:v>5</c:v>
                </c:pt>
              </c:numCache>
            </c:numRef>
          </c:val>
        </c:ser>
        <c:ser>
          <c:idx val="2"/>
          <c:order val="3"/>
          <c:tx>
            <c:strRef>
              <c:f>'CCCM Dashboard'!$AM$46</c:f>
              <c:strCache>
                <c:ptCount val="1"/>
                <c:pt idx="0">
                  <c:v>5k-10k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Dashboard'!$AM$47:$AM$66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c:v>
                </c:pt>
              </c:numCache>
            </c:numRef>
          </c:val>
        </c:ser>
        <c:ser>
          <c:idx val="4"/>
          <c:order val="4"/>
          <c:tx>
            <c:strRef>
              <c:f>'CCCM Dashboard'!$AN$46</c:f>
              <c:strCache>
                <c:ptCount val="1"/>
                <c:pt idx="0">
                  <c:v>Unknown</c:v>
                </c:pt>
              </c:strCache>
            </c:strRef>
          </c:tx>
          <c:spPr>
            <a:solidFill>
              <a:schemeClr val="tx1"/>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Dashboard'!$AN$47:$AN$66</c:f>
              <c:numCache>
                <c:formatCode>General</c:formatCode>
                <c:ptCount val="20"/>
                <c:pt idx="0">
                  <c:v>1</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overlap val="100"/>
        <c:axId val="196379648"/>
        <c:axId val="227560648"/>
      </c:barChart>
      <c:catAx>
        <c:axId val="196379648"/>
        <c:scaling>
          <c:orientation val="minMax"/>
        </c:scaling>
        <c:delete val="0"/>
        <c:axPos val="b"/>
        <c:numFmt formatCode="General" sourceLinked="0"/>
        <c:majorTickMark val="out"/>
        <c:minorTickMark val="none"/>
        <c:tickLblPos val="nextTo"/>
        <c:txPr>
          <a:bodyPr/>
          <a:lstStyle/>
          <a:p>
            <a:pPr>
              <a:defRPr sz="900"/>
            </a:pPr>
            <a:endParaRPr lang="en-US"/>
          </a:p>
        </c:txPr>
        <c:crossAx val="227560648"/>
        <c:crosses val="autoZero"/>
        <c:auto val="1"/>
        <c:lblAlgn val="ctr"/>
        <c:lblOffset val="100"/>
        <c:noMultiLvlLbl val="0"/>
      </c:catAx>
      <c:valAx>
        <c:axId val="227560648"/>
        <c:scaling>
          <c:orientation val="minMax"/>
        </c:scaling>
        <c:delete val="0"/>
        <c:axPos val="l"/>
        <c:majorGridlines/>
        <c:numFmt formatCode="_-* #,##0_-;\-* #,##0_-;_-* &quot;-&quot;??_-;_-@_-" sourceLinked="1"/>
        <c:majorTickMark val="out"/>
        <c:minorTickMark val="none"/>
        <c:tickLblPos val="nextTo"/>
        <c:crossAx val="196379648"/>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770041890321695"/>
          <c:w val="0.2598709240581844"/>
          <c:h val="0.79423849020717463"/>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2.1713978625392136E-2"/>
                  <c:y val="5.149897701892262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1531950979409314"/>
                  <c:y val="7.0274279476421106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'[1]CCCM Dashboard'!$AL$6:$AO$6</c:f>
              <c:strCache>
                <c:ptCount val="4"/>
                <c:pt idx="0">
                  <c:v>1-100</c:v>
                </c:pt>
                <c:pt idx="1">
                  <c:v>100-1k</c:v>
                </c:pt>
                <c:pt idx="2">
                  <c:v>1k-5k</c:v>
                </c:pt>
                <c:pt idx="3">
                  <c:v>5k-10k</c:v>
                </c:pt>
              </c:strCache>
            </c:strRef>
          </c:cat>
          <c:val>
            <c:numRef>
              <c:f>'[1]CCCM Dashboard'!$AL$29:$AO$29</c:f>
              <c:numCache>
                <c:formatCode>General</c:formatCode>
                <c:ptCount val="4"/>
                <c:pt idx="0">
                  <c:v>2.2813841879262439E-2</c:v>
                </c:pt>
                <c:pt idx="1">
                  <c:v>0.40213185147764585</c:v>
                </c:pt>
                <c:pt idx="2">
                  <c:v>0.41675170497600406</c:v>
                </c:pt>
                <c:pt idx="3">
                  <c:v>0.15830260166708765</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227563784"/>
        <c:axId val="227564176"/>
      </c:barChart>
      <c:catAx>
        <c:axId val="227563784"/>
        <c:scaling>
          <c:orientation val="minMax"/>
        </c:scaling>
        <c:delete val="0"/>
        <c:axPos val="b"/>
        <c:majorTickMark val="none"/>
        <c:minorTickMark val="none"/>
        <c:tickLblPos val="nextTo"/>
        <c:crossAx val="227564176"/>
        <c:crosses val="autoZero"/>
        <c:auto val="1"/>
        <c:lblAlgn val="ctr"/>
        <c:lblOffset val="100"/>
        <c:noMultiLvlLbl val="0"/>
      </c:catAx>
      <c:valAx>
        <c:axId val="227564176"/>
        <c:scaling>
          <c:orientation val="minMax"/>
        </c:scaling>
        <c:delete val="0"/>
        <c:axPos val="l"/>
        <c:majorGridlines/>
        <c:numFmt formatCode="General" sourceLinked="1"/>
        <c:majorTickMark val="none"/>
        <c:minorTickMark val="none"/>
        <c:tickLblPos val="nextTo"/>
        <c:spPr>
          <a:ln w="9525">
            <a:noFill/>
          </a:ln>
        </c:spPr>
        <c:crossAx val="22756378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Progress'!$N$7:$N$28</c:f>
              <c:numCache>
                <c:formatCode>0%</c:formatCode>
                <c:ptCount val="22"/>
                <c:pt idx="0">
                  <c:v>0.81932443047918302</c:v>
                </c:pt>
                <c:pt idx="1">
                  <c:v>0.36</c:v>
                </c:pt>
                <c:pt idx="2">
                  <c:v>0.54383735705209657</c:v>
                </c:pt>
                <c:pt idx="3">
                  <c:v>0.7</c:v>
                </c:pt>
                <c:pt idx="4">
                  <c:v>0</c:v>
                </c:pt>
                <c:pt idx="5">
                  <c:v>0</c:v>
                </c:pt>
                <c:pt idx="6">
                  <c:v>0</c:v>
                </c:pt>
                <c:pt idx="7">
                  <c:v>0.4794816414686825</c:v>
                </c:pt>
                <c:pt idx="8">
                  <c:v>0</c:v>
                </c:pt>
                <c:pt idx="9">
                  <c:v>0.57064793130366898</c:v>
                </c:pt>
                <c:pt idx="10">
                  <c:v>0.69306930693069302</c:v>
                </c:pt>
                <c:pt idx="11">
                  <c:v>1</c:v>
                </c:pt>
                <c:pt idx="12">
                  <c:v>1</c:v>
                </c:pt>
                <c:pt idx="13">
                  <c:v>1</c:v>
                </c:pt>
                <c:pt idx="14">
                  <c:v>0.97368421052631582</c:v>
                </c:pt>
                <c:pt idx="15">
                  <c:v>0.8735271013354281</c:v>
                </c:pt>
                <c:pt idx="16">
                  <c:v>0.3976510067114094</c:v>
                </c:pt>
                <c:pt idx="17">
                  <c:v>2.6109660574412531E-2</c:v>
                </c:pt>
                <c:pt idx="18">
                  <c:v>1</c:v>
                </c:pt>
                <c:pt idx="19">
                  <c:v>0.74576271186440679</c:v>
                </c:pt>
                <c:pt idx="20">
                  <c:v>0</c:v>
                </c:pt>
                <c:pt idx="21">
                  <c:v>0.56814072003945426</c:v>
                </c:pt>
              </c:numCache>
            </c:numRef>
          </c:val>
        </c:ser>
        <c:dLbls>
          <c:showLegendKey val="0"/>
          <c:showVal val="0"/>
          <c:showCatName val="0"/>
          <c:showSerName val="0"/>
          <c:showPercent val="0"/>
          <c:showBubbleSize val="0"/>
        </c:dLbls>
        <c:gapWidth val="75"/>
        <c:axId val="290774824"/>
        <c:axId val="290775216"/>
      </c:barChart>
      <c:catAx>
        <c:axId val="290774824"/>
        <c:scaling>
          <c:orientation val="minMax"/>
        </c:scaling>
        <c:delete val="0"/>
        <c:axPos val="b"/>
        <c:numFmt formatCode="General" sourceLinked="0"/>
        <c:majorTickMark val="none"/>
        <c:minorTickMark val="none"/>
        <c:tickLblPos val="nextTo"/>
        <c:crossAx val="290775216"/>
        <c:crosses val="autoZero"/>
        <c:auto val="1"/>
        <c:lblAlgn val="ctr"/>
        <c:lblOffset val="100"/>
        <c:noMultiLvlLbl val="0"/>
      </c:catAx>
      <c:valAx>
        <c:axId val="290775216"/>
        <c:scaling>
          <c:orientation val="minMax"/>
        </c:scaling>
        <c:delete val="0"/>
        <c:axPos val="l"/>
        <c:majorGridlines/>
        <c:numFmt formatCode="0%" sourceLinked="1"/>
        <c:majorTickMark val="none"/>
        <c:minorTickMark val="none"/>
        <c:tickLblPos val="nextTo"/>
        <c:spPr>
          <a:ln w="9525">
            <a:noFill/>
          </a:ln>
        </c:spPr>
        <c:crossAx val="29077482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290776000"/>
        <c:axId val="290776392"/>
      </c:barChart>
      <c:catAx>
        <c:axId val="290776000"/>
        <c:scaling>
          <c:orientation val="minMax"/>
        </c:scaling>
        <c:delete val="0"/>
        <c:axPos val="b"/>
        <c:numFmt formatCode="General" sourceLinked="0"/>
        <c:majorTickMark val="out"/>
        <c:minorTickMark val="none"/>
        <c:tickLblPos val="nextTo"/>
        <c:crossAx val="290776392"/>
        <c:crosses val="autoZero"/>
        <c:auto val="1"/>
        <c:lblAlgn val="ctr"/>
        <c:lblOffset val="100"/>
        <c:noMultiLvlLbl val="0"/>
      </c:catAx>
      <c:valAx>
        <c:axId val="290776392"/>
        <c:scaling>
          <c:orientation val="minMax"/>
        </c:scaling>
        <c:delete val="0"/>
        <c:axPos val="l"/>
        <c:majorGridlines/>
        <c:numFmt formatCode="General" sourceLinked="1"/>
        <c:majorTickMark val="out"/>
        <c:minorTickMark val="none"/>
        <c:tickLblPos val="nextTo"/>
        <c:crossAx val="2907760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2017.xlsx]Shelter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Progress'!$B$84</c:f>
              <c:strCache>
                <c:ptCount val="1"/>
                <c:pt idx="0">
                  <c:v>Total</c:v>
                </c:pt>
              </c:strCache>
            </c:strRef>
          </c:tx>
          <c:invertIfNegative val="0"/>
          <c:cat>
            <c:strRef>
              <c:f>'Shelter Progress'!$A$85:$A$102</c:f>
              <c:strCache>
                <c:ptCount val="17"/>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pt idx="16">
                  <c:v>UNOCHA</c:v>
                </c:pt>
              </c:strCache>
            </c:strRef>
          </c:cat>
          <c:val>
            <c:numRef>
              <c:f>'Shelter Progress'!$B$85:$B$102</c:f>
              <c:numCache>
                <c:formatCode>General</c:formatCode>
                <c:ptCount val="17"/>
                <c:pt idx="0">
                  <c:v>2603</c:v>
                </c:pt>
                <c:pt idx="1">
                  <c:v>6961</c:v>
                </c:pt>
                <c:pt idx="2">
                  <c:v>77</c:v>
                </c:pt>
                <c:pt idx="3">
                  <c:v>405</c:v>
                </c:pt>
                <c:pt idx="4">
                  <c:v>32</c:v>
                </c:pt>
                <c:pt idx="5">
                  <c:v>725</c:v>
                </c:pt>
                <c:pt idx="6">
                  <c:v>900</c:v>
                </c:pt>
                <c:pt idx="7">
                  <c:v>279</c:v>
                </c:pt>
                <c:pt idx="8">
                  <c:v>205</c:v>
                </c:pt>
                <c:pt idx="9">
                  <c:v>12</c:v>
                </c:pt>
                <c:pt idx="10">
                  <c:v>10</c:v>
                </c:pt>
                <c:pt idx="11">
                  <c:v>0</c:v>
                </c:pt>
                <c:pt idx="12">
                  <c:v>122</c:v>
                </c:pt>
                <c:pt idx="13">
                  <c:v>20</c:v>
                </c:pt>
                <c:pt idx="14">
                  <c:v>269</c:v>
                </c:pt>
                <c:pt idx="15">
                  <c:v>350</c:v>
                </c:pt>
                <c:pt idx="16">
                  <c:v>0</c:v>
                </c:pt>
              </c:numCache>
            </c:numRef>
          </c:val>
        </c:ser>
        <c:dLbls>
          <c:showLegendKey val="0"/>
          <c:showVal val="0"/>
          <c:showCatName val="0"/>
          <c:showSerName val="0"/>
          <c:showPercent val="0"/>
          <c:showBubbleSize val="0"/>
        </c:dLbls>
        <c:gapWidth val="150"/>
        <c:overlap val="100"/>
        <c:axId val="290777176"/>
        <c:axId val="290777568"/>
      </c:barChart>
      <c:catAx>
        <c:axId val="290777176"/>
        <c:scaling>
          <c:orientation val="minMax"/>
        </c:scaling>
        <c:delete val="0"/>
        <c:axPos val="b"/>
        <c:numFmt formatCode="General" sourceLinked="0"/>
        <c:majorTickMark val="out"/>
        <c:minorTickMark val="none"/>
        <c:tickLblPos val="nextTo"/>
        <c:crossAx val="290777568"/>
        <c:crosses val="autoZero"/>
        <c:auto val="1"/>
        <c:lblAlgn val="ctr"/>
        <c:lblOffset val="100"/>
        <c:noMultiLvlLbl val="0"/>
      </c:catAx>
      <c:valAx>
        <c:axId val="290777568"/>
        <c:scaling>
          <c:orientation val="minMax"/>
        </c:scaling>
        <c:delete val="0"/>
        <c:axPos val="l"/>
        <c:majorGridlines/>
        <c:numFmt formatCode="General" sourceLinked="1"/>
        <c:majorTickMark val="out"/>
        <c:minorTickMark val="none"/>
        <c:tickLblPos val="nextTo"/>
        <c:crossAx val="2907771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Progress'!$L$7:$L$28</c:f>
              <c:numCache>
                <c:formatCode>_(* #,##0_);_(* \(#,##0\);_(* "-"??_);_(@_)</c:formatCode>
                <c:ptCount val="22"/>
                <c:pt idx="0">
                  <c:v>5849.1571091908872</c:v>
                </c:pt>
                <c:pt idx="1">
                  <c:v>854.64</c:v>
                </c:pt>
                <c:pt idx="2">
                  <c:v>1994.7954256670901</c:v>
                </c:pt>
                <c:pt idx="3">
                  <c:v>200.9</c:v>
                </c:pt>
                <c:pt idx="4">
                  <c:v>0</c:v>
                </c:pt>
                <c:pt idx="5">
                  <c:v>0</c:v>
                </c:pt>
                <c:pt idx="6">
                  <c:v>0</c:v>
                </c:pt>
                <c:pt idx="7">
                  <c:v>2175.8876889848812</c:v>
                </c:pt>
                <c:pt idx="8">
                  <c:v>0</c:v>
                </c:pt>
                <c:pt idx="9">
                  <c:v>6971.6057767369248</c:v>
                </c:pt>
                <c:pt idx="10">
                  <c:v>377.72277227722776</c:v>
                </c:pt>
                <c:pt idx="11">
                  <c:v>373.33333333333337</c:v>
                </c:pt>
                <c:pt idx="12">
                  <c:v>222.19354838709677</c:v>
                </c:pt>
                <c:pt idx="13">
                  <c:v>20875.573196605372</c:v>
                </c:pt>
                <c:pt idx="14">
                  <c:v>318.39473684210526</c:v>
                </c:pt>
                <c:pt idx="15">
                  <c:v>5643.8586017282005</c:v>
                </c:pt>
                <c:pt idx="16">
                  <c:v>1101.0956375838925</c:v>
                </c:pt>
                <c:pt idx="17">
                  <c:v>38.067885117493475</c:v>
                </c:pt>
                <c:pt idx="18">
                  <c:v>278.64406779661016</c:v>
                </c:pt>
                <c:pt idx="19">
                  <c:v>334.84745762711867</c:v>
                </c:pt>
                <c:pt idx="20">
                  <c:v>0</c:v>
                </c:pt>
                <c:pt idx="21">
                  <c:v>17376.583922406706</c:v>
                </c:pt>
              </c:numCache>
            </c:numRef>
          </c:val>
        </c:ser>
        <c:dLbls>
          <c:showLegendKey val="0"/>
          <c:showVal val="0"/>
          <c:showCatName val="0"/>
          <c:showSerName val="0"/>
          <c:showPercent val="0"/>
          <c:showBubbleSize val="0"/>
        </c:dLbls>
        <c:gapWidth val="75"/>
        <c:overlap val="100"/>
        <c:axId val="313791232"/>
        <c:axId val="313791624"/>
      </c:barChart>
      <c:catAx>
        <c:axId val="313791232"/>
        <c:scaling>
          <c:orientation val="minMax"/>
        </c:scaling>
        <c:delete val="0"/>
        <c:axPos val="l"/>
        <c:numFmt formatCode="General" sourceLinked="0"/>
        <c:majorTickMark val="none"/>
        <c:minorTickMark val="none"/>
        <c:tickLblPos val="nextTo"/>
        <c:crossAx val="313791624"/>
        <c:crosses val="autoZero"/>
        <c:auto val="1"/>
        <c:lblAlgn val="ctr"/>
        <c:lblOffset val="100"/>
        <c:noMultiLvlLbl val="0"/>
      </c:catAx>
      <c:valAx>
        <c:axId val="313791624"/>
        <c:scaling>
          <c:orientation val="minMax"/>
          <c:min val="0"/>
        </c:scaling>
        <c:delete val="0"/>
        <c:axPos val="b"/>
        <c:numFmt formatCode="#,##0" sourceLinked="0"/>
        <c:majorTickMark val="cross"/>
        <c:minorTickMark val="none"/>
        <c:tickLblPos val="low"/>
        <c:spPr>
          <a:ln w="9525">
            <a:solidFill>
              <a:schemeClr val="accent1"/>
            </a:solidFill>
          </a:ln>
        </c:spPr>
        <c:crossAx val="313791232"/>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January 2017.xlsx]Shelter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6961</c:v>
                </c:pt>
                <c:pt idx="12">
                  <c:v>77</c:v>
                </c:pt>
                <c:pt idx="13">
                  <c:v>10</c:v>
                </c:pt>
              </c:numCache>
            </c:numRef>
          </c:val>
        </c:ser>
        <c:dLbls>
          <c:showLegendKey val="0"/>
          <c:showVal val="0"/>
          <c:showCatName val="0"/>
          <c:showSerName val="0"/>
          <c:showPercent val="0"/>
          <c:showBubbleSize val="0"/>
        </c:dLbls>
        <c:gapWidth val="55"/>
        <c:axId val="313792408"/>
        <c:axId val="313792800"/>
      </c:barChart>
      <c:catAx>
        <c:axId val="313792408"/>
        <c:scaling>
          <c:orientation val="minMax"/>
        </c:scaling>
        <c:delete val="0"/>
        <c:axPos val="l"/>
        <c:numFmt formatCode="General" sourceLinked="0"/>
        <c:majorTickMark val="out"/>
        <c:minorTickMark val="none"/>
        <c:tickLblPos val="nextTo"/>
        <c:spPr>
          <a:ln>
            <a:noFill/>
          </a:ln>
        </c:spPr>
        <c:crossAx val="313792800"/>
        <c:crosses val="autoZero"/>
        <c:auto val="1"/>
        <c:lblAlgn val="ctr"/>
        <c:lblOffset val="100"/>
        <c:noMultiLvlLbl val="0"/>
      </c:catAx>
      <c:valAx>
        <c:axId val="313792800"/>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313792408"/>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1.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chart" Target="../charts/chart2.xml"/><Relationship Id="rId7" Type="http://schemas.openxmlformats.org/officeDocument/2006/relationships/hyperlink" Target="#'Camp List (printable)'!A1"/><Relationship Id="rId2" Type="http://schemas.openxmlformats.org/officeDocument/2006/relationships/image" Target="../media/image11.png"/><Relationship Id="rId1" Type="http://schemas.openxmlformats.org/officeDocument/2006/relationships/image" Target="../media/image6.png"/><Relationship Id="rId6" Type="http://schemas.openxmlformats.org/officeDocument/2006/relationships/hyperlink" Target="#'Camp List'!A1"/><Relationship Id="rId5" Type="http://schemas.openxmlformats.org/officeDocument/2006/relationships/hyperlink" Target="#Home!A1"/><Relationship Id="rId10" Type="http://schemas.openxmlformats.org/officeDocument/2006/relationships/chart" Target="../charts/chart3.xml"/><Relationship Id="rId4" Type="http://schemas.openxmlformats.org/officeDocument/2006/relationships/hyperlink" Target="#'CCCM Dashboard'!A1"/><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237343</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47625</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133350</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xdr:from>
      <xdr:col>2</xdr:col>
      <xdr:colOff>132655</xdr:colOff>
      <xdr:row>47</xdr:row>
      <xdr:rowOff>27388</xdr:rowOff>
    </xdr:from>
    <xdr:to>
      <xdr:col>7</xdr:col>
      <xdr:colOff>104775</xdr:colOff>
      <xdr:row>49</xdr:row>
      <xdr:rowOff>342236</xdr:rowOff>
    </xdr:to>
    <xdr:sp macro="" textlink="">
      <xdr:nvSpPr>
        <xdr:cNvPr id="48" name="TextBox 47"/>
        <xdr:cNvSpPr txBox="1"/>
      </xdr:nvSpPr>
      <xdr:spPr>
        <a:xfrm>
          <a:off x="418405" y="6875863"/>
          <a:ext cx="3315395" cy="4196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b"/>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editAs="oneCell">
    <xdr:from>
      <xdr:col>8</xdr:col>
      <xdr:colOff>183599</xdr:colOff>
      <xdr:row>11</xdr:row>
      <xdr:rowOff>62700</xdr:rowOff>
    </xdr:from>
    <xdr:to>
      <xdr:col>14</xdr:col>
      <xdr:colOff>90859</xdr:colOff>
      <xdr:row>46</xdr:row>
      <xdr:rowOff>6275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924" y="1758150"/>
          <a:ext cx="4622135" cy="5496650"/>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204098" y="325039"/>
          <a:ext cx="3591153" cy="304800"/>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7</xdr:col>
      <xdr:colOff>342900</xdr:colOff>
      <xdr:row>49</xdr:row>
      <xdr:rowOff>59188</xdr:rowOff>
    </xdr:from>
    <xdr:to>
      <xdr:col>11</xdr:col>
      <xdr:colOff>57150</xdr:colOff>
      <xdr:row>49</xdr:row>
      <xdr:rowOff>295275</xdr:rowOff>
    </xdr:to>
    <xdr:sp macro="" textlink="">
      <xdr:nvSpPr>
        <xdr:cNvPr id="49" name="TextBox 48"/>
        <xdr:cNvSpPr txBox="1">
          <a:spLocks/>
        </xdr:cNvSpPr>
      </xdr:nvSpPr>
      <xdr:spPr>
        <a:xfrm>
          <a:off x="3971925" y="7012438"/>
          <a:ext cx="3343275" cy="2360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11</xdr:col>
      <xdr:colOff>116768</xdr:colOff>
      <xdr:row>49</xdr:row>
      <xdr:rowOff>66943</xdr:rowOff>
    </xdr:from>
    <xdr:to>
      <xdr:col>14</xdr:col>
      <xdr:colOff>49684</xdr:colOff>
      <xdr:row>49</xdr:row>
      <xdr:rowOff>227712</xdr:rowOff>
    </xdr:to>
    <xdr:sp macro="" textlink="">
      <xdr:nvSpPr>
        <xdr:cNvPr id="50" name="TextBox 49"/>
        <xdr:cNvSpPr txBox="1"/>
      </xdr:nvSpPr>
      <xdr:spPr>
        <a:xfrm>
          <a:off x="7374818" y="7020193"/>
          <a:ext cx="1514066" cy="1607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95249</xdr:colOff>
      <xdr:row>6</xdr:row>
      <xdr:rowOff>45893</xdr:rowOff>
    </xdr:from>
    <xdr:to>
      <xdr:col>7</xdr:col>
      <xdr:colOff>482601</xdr:colOff>
      <xdr:row>14</xdr:row>
      <xdr:rowOff>9163</xdr:rowOff>
    </xdr:to>
    <xdr:grpSp>
      <xdr:nvGrpSpPr>
        <xdr:cNvPr id="4" name="Group 3"/>
        <xdr:cNvGrpSpPr/>
      </xdr:nvGrpSpPr>
      <xdr:grpSpPr>
        <a:xfrm>
          <a:off x="257174" y="722168"/>
          <a:ext cx="3854452" cy="953870"/>
          <a:chOff x="13464536" y="3170464"/>
          <a:chExt cx="5303563"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207024"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206045"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200" b="1">
                  <a:solidFill>
                    <a:schemeClr val="dk1"/>
                  </a:solidFill>
                  <a:latin typeface="+mn-lt"/>
                  <a:ea typeface="+mn-ea"/>
                  <a:cs typeface="+mn-cs"/>
                </a:rPr>
                <a:t>#</a:t>
              </a:r>
              <a:r>
                <a:rPr lang="en-GB" sz="1200" b="1" baseline="0">
                  <a:solidFill>
                    <a:schemeClr val="dk1"/>
                  </a:solidFill>
                  <a:latin typeface="+mn-lt"/>
                  <a:ea typeface="+mn-ea"/>
                  <a:cs typeface="+mn-cs"/>
                </a:rPr>
                <a:t> Households still not covered by the Cluster</a:t>
              </a:r>
              <a:endParaRPr lang="en-GB" sz="12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670582" y="3170464"/>
            <a:ext cx="1097517" cy="1295551"/>
            <a:chOff x="13185536" y="3238499"/>
            <a:chExt cx="1097517" cy="1295551"/>
          </a:xfrm>
        </xdr:grpSpPr>
        <xdr:sp macro="" textlink="$CH$5">
          <xdr:nvSpPr>
            <xdr:cNvPr id="66" name="Rectangle 65"/>
            <xdr:cNvSpPr/>
          </xdr:nvSpPr>
          <xdr:spPr>
            <a:xfrm>
              <a:off x="13186516" y="3238499"/>
              <a:ext cx="1096537"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155 </a:t>
              </a:fld>
              <a:endParaRPr lang="en-GB" sz="1400" b="1">
                <a:solidFill>
                  <a:schemeClr val="dk1"/>
                </a:solidFill>
                <a:latin typeface="+mn-lt"/>
                <a:ea typeface="+mn-ea"/>
                <a:cs typeface="+mn-cs"/>
              </a:endParaRPr>
            </a:p>
          </xdr:txBody>
        </xdr:sp>
        <xdr:sp macro="" textlink="$CH$4">
          <xdr:nvSpPr>
            <xdr:cNvPr id="67" name="Rectangle 66"/>
            <xdr:cNvSpPr/>
          </xdr:nvSpPr>
          <xdr:spPr>
            <a:xfrm>
              <a:off x="13185537" y="3562349"/>
              <a:ext cx="1097516"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ysClr val="windowText" lastClr="000000"/>
                  </a:solidFill>
                  <a:latin typeface="+mn-lt"/>
                  <a:ea typeface="+mn-ea"/>
                  <a:cs typeface="+mn-cs"/>
                </a:rPr>
                <a:pPr marL="0" indent="0" algn="r"/>
                <a:t> 17,976 </a:t>
              </a:fld>
              <a:endParaRPr lang="en-GB" sz="1400" b="1">
                <a:solidFill>
                  <a:sysClr val="windowText" lastClr="000000"/>
                </a:solidFill>
                <a:latin typeface="+mn-lt"/>
                <a:ea typeface="+mn-ea"/>
                <a:cs typeface="+mn-cs"/>
              </a:endParaRPr>
            </a:p>
          </xdr:txBody>
        </xdr:sp>
        <xdr:sp macro="" textlink="$CH$8">
          <xdr:nvSpPr>
            <xdr:cNvPr id="68" name="Rectangle 67"/>
            <xdr:cNvSpPr/>
          </xdr:nvSpPr>
          <xdr:spPr>
            <a:xfrm>
              <a:off x="13185536" y="3886198"/>
              <a:ext cx="1097515"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6,557 </a:t>
              </a:fld>
              <a:endParaRPr lang="en-GB" sz="1400" b="1">
                <a:solidFill>
                  <a:schemeClr val="dk1"/>
                </a:solidFill>
                <a:latin typeface="+mn-lt"/>
                <a:ea typeface="+mn-ea"/>
                <a:cs typeface="+mn-cs"/>
              </a:endParaRPr>
            </a:p>
          </xdr:txBody>
        </xdr:sp>
        <xdr:sp macro="" textlink="$CH$9">
          <xdr:nvSpPr>
            <xdr:cNvPr id="69" name="Rectangle 68"/>
            <xdr:cNvSpPr/>
          </xdr:nvSpPr>
          <xdr:spPr>
            <a:xfrm>
              <a:off x="13185536" y="4210049"/>
              <a:ext cx="1097514"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6,475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25</xdr:col>
          <xdr:colOff>0</xdr:colOff>
          <xdr:row>32</xdr:row>
          <xdr:rowOff>66675</xdr:rowOff>
        </xdr:from>
        <xdr:to>
          <xdr:col>26</xdr:col>
          <xdr:colOff>523875</xdr:colOff>
          <xdr:row>33</xdr:row>
          <xdr:rowOff>161925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958838</xdr:colOff>
      <xdr:row>36</xdr:row>
      <xdr:rowOff>130000</xdr:rowOff>
    </xdr:from>
    <xdr:to>
      <xdr:col>10</xdr:col>
      <xdr:colOff>37362</xdr:colOff>
      <xdr:row>38</xdr:row>
      <xdr:rowOff>143970</xdr:rowOff>
    </xdr:to>
    <xdr:grpSp>
      <xdr:nvGrpSpPr>
        <xdr:cNvPr id="78" name="Bhamo"/>
        <xdr:cNvGrpSpPr/>
      </xdr:nvGrpSpPr>
      <xdr:grpSpPr>
        <a:xfrm>
          <a:off x="6083288" y="5121100"/>
          <a:ext cx="145324" cy="394970"/>
          <a:chOff x="13959520" y="6484956"/>
          <a:chExt cx="235841" cy="545656"/>
        </a:xfrm>
      </xdr:grpSpPr>
      <xdr:sp macro="" textlink="">
        <xdr:nvSpPr>
          <xdr:cNvPr id="79" name="V_1"/>
          <xdr:cNvSpPr/>
        </xdr:nvSpPr>
        <xdr:spPr>
          <a:xfrm>
            <a:off x="13959520" y="6484956"/>
            <a:ext cx="54004" cy="54565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70933"/>
            <a:ext cx="54004" cy="15966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7" y="6991410"/>
            <a:ext cx="54004" cy="3918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455066</xdr:colOff>
      <xdr:row>25</xdr:row>
      <xdr:rowOff>108636</xdr:rowOff>
    </xdr:from>
    <xdr:to>
      <xdr:col>11</xdr:col>
      <xdr:colOff>582408</xdr:colOff>
      <xdr:row>26</xdr:row>
      <xdr:rowOff>97947</xdr:rowOff>
    </xdr:to>
    <xdr:grpSp>
      <xdr:nvGrpSpPr>
        <xdr:cNvPr id="82" name="Chipwi"/>
        <xdr:cNvGrpSpPr/>
      </xdr:nvGrpSpPr>
      <xdr:grpSpPr>
        <a:xfrm>
          <a:off x="7713116" y="3118536"/>
          <a:ext cx="127342" cy="160761"/>
          <a:chOff x="13959520" y="7676649"/>
          <a:chExt cx="235841" cy="228898"/>
        </a:xfrm>
      </xdr:grpSpPr>
      <xdr:sp macro="" textlink="">
        <xdr:nvSpPr>
          <xdr:cNvPr id="83" name="V_1"/>
          <xdr:cNvSpPr/>
        </xdr:nvSpPr>
        <xdr:spPr>
          <a:xfrm>
            <a:off x="13959520" y="7761029"/>
            <a:ext cx="53992" cy="10849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2" y="7676649"/>
            <a:ext cx="53992" cy="19288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9" y="7905547"/>
            <a:ext cx="53992"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112005</xdr:colOff>
      <xdr:row>27</xdr:row>
      <xdr:rowOff>86979</xdr:rowOff>
    </xdr:from>
    <xdr:to>
      <xdr:col>9</xdr:col>
      <xdr:colOff>364301</xdr:colOff>
      <xdr:row>28</xdr:row>
      <xdr:rowOff>102298</xdr:rowOff>
    </xdr:to>
    <xdr:grpSp>
      <xdr:nvGrpSpPr>
        <xdr:cNvPr id="86" name="Hpakant"/>
        <xdr:cNvGrpSpPr/>
      </xdr:nvGrpSpPr>
      <xdr:grpSpPr>
        <a:xfrm>
          <a:off x="5236455" y="3439779"/>
          <a:ext cx="252296" cy="186769"/>
          <a:chOff x="13959520" y="11499812"/>
          <a:chExt cx="235841" cy="335236"/>
        </a:xfrm>
      </xdr:grpSpPr>
      <xdr:sp macro="" textlink="">
        <xdr:nvSpPr>
          <xdr:cNvPr id="87" name="V_1"/>
          <xdr:cNvSpPr/>
        </xdr:nvSpPr>
        <xdr:spPr>
          <a:xfrm>
            <a:off x="13959520" y="11499812"/>
            <a:ext cx="54000" cy="30090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503646"/>
            <a:ext cx="54000" cy="29710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3504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230974</xdr:colOff>
      <xdr:row>41</xdr:row>
      <xdr:rowOff>20603</xdr:rowOff>
    </xdr:from>
    <xdr:to>
      <xdr:col>11</xdr:col>
      <xdr:colOff>462509</xdr:colOff>
      <xdr:row>42</xdr:row>
      <xdr:rowOff>135930</xdr:rowOff>
    </xdr:to>
    <xdr:grpSp>
      <xdr:nvGrpSpPr>
        <xdr:cNvPr id="90" name="Kutkai"/>
        <xdr:cNvGrpSpPr/>
      </xdr:nvGrpSpPr>
      <xdr:grpSpPr>
        <a:xfrm>
          <a:off x="7489024" y="5964203"/>
          <a:ext cx="231535" cy="305827"/>
          <a:chOff x="13959520" y="3968627"/>
          <a:chExt cx="235841" cy="455727"/>
        </a:xfrm>
      </xdr:grpSpPr>
      <xdr:sp macro="" textlink="">
        <xdr:nvSpPr>
          <xdr:cNvPr id="91" name="V_1"/>
          <xdr:cNvSpPr/>
        </xdr:nvSpPr>
        <xdr:spPr>
          <a:xfrm>
            <a:off x="13959520" y="4144631"/>
            <a:ext cx="54000" cy="23529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3968627"/>
            <a:ext cx="54000" cy="4113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2435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134225</xdr:colOff>
      <xdr:row>37</xdr:row>
      <xdr:rowOff>37357</xdr:rowOff>
    </xdr:from>
    <xdr:to>
      <xdr:col>10</xdr:col>
      <xdr:colOff>373544</xdr:colOff>
      <xdr:row>40</xdr:row>
      <xdr:rowOff>101136</xdr:rowOff>
    </xdr:to>
    <xdr:grpSp>
      <xdr:nvGrpSpPr>
        <xdr:cNvPr id="94" name="mansi"/>
        <xdr:cNvGrpSpPr/>
      </xdr:nvGrpSpPr>
      <xdr:grpSpPr>
        <a:xfrm>
          <a:off x="6325475" y="5218957"/>
          <a:ext cx="239319" cy="635279"/>
          <a:chOff x="13959520" y="7609349"/>
          <a:chExt cx="235841" cy="783314"/>
        </a:xfrm>
      </xdr:grpSpPr>
      <xdr:sp macro="" textlink="">
        <xdr:nvSpPr>
          <xdr:cNvPr id="95" name="V_1"/>
          <xdr:cNvSpPr/>
        </xdr:nvSpPr>
        <xdr:spPr>
          <a:xfrm>
            <a:off x="13959520" y="7609349"/>
            <a:ext cx="54000" cy="76313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798316"/>
            <a:ext cx="54000" cy="57417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92663"/>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188362</xdr:colOff>
      <xdr:row>31</xdr:row>
      <xdr:rowOff>63753</xdr:rowOff>
    </xdr:from>
    <xdr:to>
      <xdr:col>10</xdr:col>
      <xdr:colOff>431994</xdr:colOff>
      <xdr:row>36</xdr:row>
      <xdr:rowOff>133016</xdr:rowOff>
    </xdr:to>
    <xdr:grpSp>
      <xdr:nvGrpSpPr>
        <xdr:cNvPr id="98" name="Momauk"/>
        <xdr:cNvGrpSpPr/>
      </xdr:nvGrpSpPr>
      <xdr:grpSpPr>
        <a:xfrm>
          <a:off x="6379612" y="4102353"/>
          <a:ext cx="243632" cy="1021763"/>
          <a:chOff x="13959520" y="7354879"/>
          <a:chExt cx="235841" cy="1553222"/>
        </a:xfrm>
      </xdr:grpSpPr>
      <xdr:sp macro="" textlink="">
        <xdr:nvSpPr>
          <xdr:cNvPr id="99" name="V_1"/>
          <xdr:cNvSpPr/>
        </xdr:nvSpPr>
        <xdr:spPr>
          <a:xfrm>
            <a:off x="13959520" y="7354879"/>
            <a:ext cx="54000" cy="15335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602027"/>
            <a:ext cx="54000" cy="2863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90810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48130</xdr:colOff>
      <xdr:row>28</xdr:row>
      <xdr:rowOff>29274</xdr:rowOff>
    </xdr:from>
    <xdr:to>
      <xdr:col>10</xdr:col>
      <xdr:colOff>286954</xdr:colOff>
      <xdr:row>30</xdr:row>
      <xdr:rowOff>110102</xdr:rowOff>
    </xdr:to>
    <xdr:grpSp>
      <xdr:nvGrpSpPr>
        <xdr:cNvPr id="102" name="Myitkyina"/>
        <xdr:cNvGrpSpPr/>
      </xdr:nvGrpSpPr>
      <xdr:grpSpPr>
        <a:xfrm>
          <a:off x="6239380" y="3553524"/>
          <a:ext cx="238824" cy="423728"/>
          <a:chOff x="13959520" y="12415441"/>
          <a:chExt cx="235841" cy="585862"/>
        </a:xfrm>
      </xdr:grpSpPr>
      <xdr:sp macro="" textlink="">
        <xdr:nvSpPr>
          <xdr:cNvPr id="103" name="V_1"/>
          <xdr:cNvSpPr/>
        </xdr:nvSpPr>
        <xdr:spPr>
          <a:xfrm>
            <a:off x="13959520" y="12415441"/>
            <a:ext cx="54000" cy="5542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787709"/>
            <a:ext cx="54000" cy="18203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92523"/>
            <a:ext cx="54000" cy="878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498442</xdr:colOff>
      <xdr:row>41</xdr:row>
      <xdr:rowOff>23995</xdr:rowOff>
    </xdr:from>
    <xdr:to>
      <xdr:col>10</xdr:col>
      <xdr:colOff>734283</xdr:colOff>
      <xdr:row>42</xdr:row>
      <xdr:rowOff>11230</xdr:rowOff>
    </xdr:to>
    <xdr:grpSp>
      <xdr:nvGrpSpPr>
        <xdr:cNvPr id="106" name="Namhkan"/>
        <xdr:cNvGrpSpPr/>
      </xdr:nvGrpSpPr>
      <xdr:grpSpPr>
        <a:xfrm>
          <a:off x="6689692" y="5967595"/>
          <a:ext cx="235841" cy="177735"/>
          <a:chOff x="13959520" y="4342819"/>
          <a:chExt cx="235841" cy="231122"/>
        </a:xfrm>
      </xdr:grpSpPr>
      <xdr:sp macro="" textlink="">
        <xdr:nvSpPr>
          <xdr:cNvPr id="107" name="V_1"/>
          <xdr:cNvSpPr/>
        </xdr:nvSpPr>
        <xdr:spPr>
          <a:xfrm>
            <a:off x="13959520" y="4435298"/>
            <a:ext cx="54000" cy="11780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342819"/>
            <a:ext cx="54000" cy="21028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7394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611078</xdr:colOff>
      <xdr:row>20</xdr:row>
      <xdr:rowOff>497955</xdr:rowOff>
    </xdr:from>
    <xdr:to>
      <xdr:col>10</xdr:col>
      <xdr:colOff>846919</xdr:colOff>
      <xdr:row>31</xdr:row>
      <xdr:rowOff>52555</xdr:rowOff>
    </xdr:to>
    <xdr:grpSp>
      <xdr:nvGrpSpPr>
        <xdr:cNvPr id="110" name="Waingmaw"/>
        <xdr:cNvGrpSpPr/>
      </xdr:nvGrpSpPr>
      <xdr:grpSpPr>
        <a:xfrm>
          <a:off x="6802328" y="2250555"/>
          <a:ext cx="235841" cy="1840600"/>
          <a:chOff x="13959520" y="8841069"/>
          <a:chExt cx="235841" cy="2261917"/>
        </a:xfrm>
      </xdr:grpSpPr>
      <xdr:sp macro="" textlink="">
        <xdr:nvSpPr>
          <xdr:cNvPr id="111" name="V_1"/>
          <xdr:cNvSpPr/>
        </xdr:nvSpPr>
        <xdr:spPr>
          <a:xfrm>
            <a:off x="13959520" y="8841069"/>
            <a:ext cx="54000" cy="224481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050622"/>
            <a:ext cx="54000" cy="1035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102986"/>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211601</xdr:colOff>
      <xdr:row>44</xdr:row>
      <xdr:rowOff>129403</xdr:rowOff>
    </xdr:from>
    <xdr:to>
      <xdr:col>11</xdr:col>
      <xdr:colOff>447442</xdr:colOff>
      <xdr:row>44</xdr:row>
      <xdr:rowOff>159277</xdr:rowOff>
    </xdr:to>
    <xdr:grpSp>
      <xdr:nvGrpSpPr>
        <xdr:cNvPr id="74" name="Hseni"/>
        <xdr:cNvGrpSpPr/>
      </xdr:nvGrpSpPr>
      <xdr:grpSpPr>
        <a:xfrm>
          <a:off x="7469651" y="6644503"/>
          <a:ext cx="235841" cy="29874"/>
          <a:chOff x="13959520" y="6049627"/>
          <a:chExt cx="235841" cy="45101"/>
        </a:xfrm>
      </xdr:grpSpPr>
      <xdr:sp macro="" textlink="">
        <xdr:nvSpPr>
          <xdr:cNvPr id="75" name="V_1"/>
          <xdr:cNvSpPr/>
        </xdr:nvSpPr>
        <xdr:spPr>
          <a:xfrm>
            <a:off x="13959520" y="6049627"/>
            <a:ext cx="54000" cy="1917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58996"/>
            <a:ext cx="54000" cy="1278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9472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85</xdr:col>
      <xdr:colOff>3138</xdr:colOff>
      <xdr:row>40</xdr:row>
      <xdr:rowOff>150159</xdr:rowOff>
    </xdr:from>
    <xdr:to>
      <xdr:col>85</xdr:col>
      <xdr:colOff>3138</xdr:colOff>
      <xdr:row>42</xdr:row>
      <xdr:rowOff>129160</xdr:rowOff>
    </xdr:to>
    <xdr:grpSp>
      <xdr:nvGrpSpPr>
        <xdr:cNvPr id="73" name="Shelter_Situation_Group"/>
        <xdr:cNvGrpSpPr/>
      </xdr:nvGrpSpPr>
      <xdr:grpSpPr>
        <a:xfrm>
          <a:off x="51438138" y="5903259"/>
          <a:ext cx="0" cy="36000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84</xdr:col>
      <xdr:colOff>5827</xdr:colOff>
      <xdr:row>41</xdr:row>
      <xdr:rowOff>0</xdr:rowOff>
    </xdr:from>
    <xdr:to>
      <xdr:col>85</xdr:col>
      <xdr:colOff>405</xdr:colOff>
      <xdr:row>42</xdr:row>
      <xdr:rowOff>169501</xdr:rowOff>
    </xdr:to>
    <xdr:grpSp>
      <xdr:nvGrpSpPr>
        <xdr:cNvPr id="117" name="Mansi"/>
        <xdr:cNvGrpSpPr/>
      </xdr:nvGrpSpPr>
      <xdr:grpSpPr>
        <a:xfrm>
          <a:off x="50907427" y="5943600"/>
          <a:ext cx="527978" cy="360001"/>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179293</xdr:colOff>
      <xdr:row>11</xdr:row>
      <xdr:rowOff>49866</xdr:rowOff>
    </xdr:from>
    <xdr:to>
      <xdr:col>9</xdr:col>
      <xdr:colOff>885825</xdr:colOff>
      <xdr:row>25</xdr:row>
      <xdr:rowOff>47626</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48</xdr:row>
      <xdr:rowOff>28575</xdr:rowOff>
    </xdr:from>
    <xdr:to>
      <xdr:col>14</xdr:col>
      <xdr:colOff>200025</xdr:colOff>
      <xdr:row>48</xdr:row>
      <xdr:rowOff>28575</xdr:rowOff>
    </xdr:to>
    <xdr:cxnSp macro="">
      <xdr:nvCxnSpPr>
        <xdr:cNvPr id="10" name="Straight Connector 9"/>
        <xdr:cNvCxnSpPr/>
      </xdr:nvCxnSpPr>
      <xdr:spPr>
        <a:xfrm>
          <a:off x="171450" y="7000875"/>
          <a:ext cx="8867775" cy="0"/>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170</xdr:col>
      <xdr:colOff>158676</xdr:colOff>
      <xdr:row>45</xdr:row>
      <xdr:rowOff>56909</xdr:rowOff>
    </xdr:from>
    <xdr:to>
      <xdr:col>170</xdr:col>
      <xdr:colOff>158676</xdr:colOff>
      <xdr:row>49</xdr:row>
      <xdr:rowOff>146583</xdr:rowOff>
    </xdr:to>
    <xdr:grpSp>
      <xdr:nvGrpSpPr>
        <xdr:cNvPr id="121" name="Hsipaw"/>
        <xdr:cNvGrpSpPr/>
      </xdr:nvGrpSpPr>
      <xdr:grpSpPr>
        <a:xfrm>
          <a:off x="103181076" y="6762509"/>
          <a:ext cx="0" cy="346849"/>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0817" y="285750"/>
          <a:ext cx="7574491" cy="68580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098550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xdr:colOff>
      <xdr:row>18</xdr:row>
      <xdr:rowOff>47626</xdr:rowOff>
    </xdr:from>
    <xdr:to>
      <xdr:col>10</xdr:col>
      <xdr:colOff>19050</xdr:colOff>
      <xdr:row>25</xdr:row>
      <xdr:rowOff>48453</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1</xdr:rowOff>
    </xdr:from>
    <xdr:to>
      <xdr:col>18</xdr:col>
      <xdr:colOff>438150</xdr:colOff>
      <xdr:row>4</xdr:row>
      <xdr:rowOff>129722</xdr:rowOff>
    </xdr:to>
    <xdr:grpSp>
      <xdr:nvGrpSpPr>
        <xdr:cNvPr id="22" name="Group 21"/>
        <xdr:cNvGrpSpPr/>
      </xdr:nvGrpSpPr>
      <xdr:grpSpPr>
        <a:xfrm>
          <a:off x="8185150" y="628651"/>
          <a:ext cx="3578225" cy="444046"/>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1</xdr:col>
      <xdr:colOff>0</xdr:colOff>
      <xdr:row>36</xdr:row>
      <xdr:rowOff>63521</xdr:rowOff>
    </xdr:from>
    <xdr:to>
      <xdr:col>20</xdr:col>
      <xdr:colOff>0</xdr:colOff>
      <xdr:row>36</xdr:row>
      <xdr:rowOff>63521</xdr:rowOff>
    </xdr:to>
    <xdr:sp macro="" textlink="">
      <xdr:nvSpPr>
        <xdr:cNvPr id="33" name="Line 2"/>
        <xdr:cNvSpPr>
          <a:spLocks noChangeShapeType="1"/>
        </xdr:cNvSpPr>
      </xdr:nvSpPr>
      <xdr:spPr bwMode="auto">
        <a:xfrm>
          <a:off x="161925" y="6902471"/>
          <a:ext cx="9334500" cy="0"/>
        </a:xfrm>
        <a:prstGeom prst="line">
          <a:avLst/>
        </a:prstGeom>
        <a:solidFill>
          <a:srgbClr val="FFFFFF"/>
        </a:solidFill>
        <a:ln w="12700">
          <a:solidFill>
            <a:srgbClr val="808080"/>
          </a:solidFill>
          <a:round/>
          <a:headEnd/>
          <a:tailEnd/>
        </a:ln>
        <a:extLst/>
      </xdr:spPr>
    </xdr:sp>
    <xdr:clientData/>
  </xdr:twoCellAnchor>
  <xdr:twoCellAnchor>
    <xdr:from>
      <xdr:col>2</xdr:col>
      <xdr:colOff>0</xdr:colOff>
      <xdr:row>36</xdr:row>
      <xdr:rowOff>117130</xdr:rowOff>
    </xdr:from>
    <xdr:to>
      <xdr:col>18</xdr:col>
      <xdr:colOff>306935</xdr:colOff>
      <xdr:row>38</xdr:row>
      <xdr:rowOff>57142</xdr:rowOff>
    </xdr:to>
    <xdr:grpSp>
      <xdr:nvGrpSpPr>
        <xdr:cNvPr id="34" name="Group 33"/>
        <xdr:cNvGrpSpPr/>
      </xdr:nvGrpSpPr>
      <xdr:grpSpPr>
        <a:xfrm>
          <a:off x="266700" y="6917980"/>
          <a:ext cx="11365460" cy="378162"/>
          <a:chOff x="6083301" y="9224126"/>
          <a:chExt cx="7302023" cy="224693"/>
        </a:xfrm>
        <a:solidFill>
          <a:srgbClr val="FFFFFF"/>
        </a:solidFill>
      </xdr:grpSpPr>
      <xdr:sp macro="" textlink="">
        <xdr:nvSpPr>
          <xdr:cNvPr id="35" name="TextBox 34"/>
          <xdr:cNvSpPr txBox="1"/>
        </xdr:nvSpPr>
        <xdr:spPr>
          <a:xfrm>
            <a:off x="6083301" y="9224126"/>
            <a:ext cx="3601345" cy="22469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0777" y="9231783"/>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73053" y="923178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11</xdr:col>
      <xdr:colOff>38101</xdr:colOff>
      <xdr:row>25</xdr:row>
      <xdr:rowOff>135254</xdr:rowOff>
    </xdr:from>
    <xdr:to>
      <xdr:col>19</xdr:col>
      <xdr:colOff>451</xdr:colOff>
      <xdr:row>35</xdr:row>
      <xdr:rowOff>9525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7</xdr:row>
      <xdr:rowOff>9524</xdr:rowOff>
    </xdr:from>
    <xdr:to>
      <xdr:col>10</xdr:col>
      <xdr:colOff>0</xdr:colOff>
      <xdr:row>9</xdr:row>
      <xdr:rowOff>114300</xdr:rowOff>
    </xdr:to>
    <xdr:sp macro="" textlink="">
      <xdr:nvSpPr>
        <xdr:cNvPr id="25" name="Rounded Rectangle 24"/>
        <xdr:cNvSpPr/>
      </xdr:nvSpPr>
      <xdr:spPr>
        <a:xfrm>
          <a:off x="304800" y="1790699"/>
          <a:ext cx="42005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19050</xdr:rowOff>
    </xdr:from>
    <xdr:to>
      <xdr:col>18</xdr:col>
      <xdr:colOff>447675</xdr:colOff>
      <xdr:row>9</xdr:row>
      <xdr:rowOff>123826</xdr:rowOff>
    </xdr:to>
    <xdr:sp macro="" textlink="">
      <xdr:nvSpPr>
        <xdr:cNvPr id="28" name="Rounded Rectangle 27"/>
        <xdr:cNvSpPr/>
      </xdr:nvSpPr>
      <xdr:spPr>
        <a:xfrm>
          <a:off x="4972050" y="1800225"/>
          <a:ext cx="44291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18</xdr:row>
      <xdr:rowOff>38100</xdr:rowOff>
    </xdr:from>
    <xdr:to>
      <xdr:col>19</xdr:col>
      <xdr:colOff>1905</xdr:colOff>
      <xdr:row>25</xdr:row>
      <xdr:rowOff>47625</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152401</xdr:colOff>
      <xdr:row>6</xdr:row>
      <xdr:rowOff>47624</xdr:rowOff>
    </xdr:from>
    <xdr:to>
      <xdr:col>6</xdr:col>
      <xdr:colOff>247651</xdr:colOff>
      <xdr:row>10</xdr:row>
      <xdr:rowOff>0</xdr:rowOff>
    </xdr:to>
    <xdr:sp macro="" textlink="$W$4">
      <xdr:nvSpPr>
        <xdr:cNvPr id="39" name="Rounded Rectangle 38"/>
        <xdr:cNvSpPr/>
      </xdr:nvSpPr>
      <xdr:spPr>
        <a:xfrm>
          <a:off x="2152651" y="1733549"/>
          <a:ext cx="704850" cy="543600"/>
        </a:xfrm>
        <a:prstGeom prst="roundRect">
          <a:avLst>
            <a:gd name="adj" fmla="val 32437"/>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fld id="{866AAD63-F696-4B61-B8A1-8F667A21ADA1}" type="TxLink">
            <a:rPr lang="en-US" sz="800">
              <a:solidFill>
                <a:schemeClr val="tx2">
                  <a:lumMod val="40000"/>
                  <a:lumOff val="60000"/>
                </a:schemeClr>
              </a:solidFill>
              <a:latin typeface="Franklin Gothic Demi" pitchFamily="34" charset="0"/>
            </a:rPr>
            <a:pPr algn="l"/>
            <a:t> 2,087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6</xdr:row>
      <xdr:rowOff>85725</xdr:rowOff>
    </xdr:from>
    <xdr:to>
      <xdr:col>14</xdr:col>
      <xdr:colOff>438150</xdr:colOff>
      <xdr:row>10</xdr:row>
      <xdr:rowOff>0</xdr:rowOff>
    </xdr:to>
    <xdr:sp macro="" textlink="$W$5">
      <xdr:nvSpPr>
        <xdr:cNvPr id="41" name="Rounded Rectangle 40"/>
        <xdr:cNvSpPr/>
      </xdr:nvSpPr>
      <xdr:spPr>
        <a:xfrm>
          <a:off x="6896100" y="1771650"/>
          <a:ext cx="5905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1,556 </a:t>
          </a:fld>
          <a:endParaRPr lang="en-US" sz="800">
            <a:solidFill>
              <a:schemeClr val="tx2">
                <a:lumMod val="40000"/>
                <a:lumOff val="60000"/>
              </a:schemeClr>
            </a:solidFill>
            <a:latin typeface="Franklin Gothic Demi" pitchFamily="34" charset="0"/>
            <a:ea typeface="+mn-ea"/>
            <a:cs typeface="+mn-cs"/>
          </a:endParaRPr>
        </a:p>
      </xdr:txBody>
    </xdr:sp>
    <xdr:clientData/>
  </xdr:twoCellAnchor>
  <xdr:twoCellAnchor>
    <xdr:from>
      <xdr:col>2</xdr:col>
      <xdr:colOff>4762</xdr:colOff>
      <xdr:row>25</xdr:row>
      <xdr:rowOff>123825</xdr:rowOff>
    </xdr:from>
    <xdr:to>
      <xdr:col>10</xdr:col>
      <xdr:colOff>19050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672278" y="555731"/>
          <a:ext cx="2876285"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3</xdr:row>
      <xdr:rowOff>366432</xdr:rowOff>
    </xdr:from>
    <xdr:to>
      <xdr:col>10</xdr:col>
      <xdr:colOff>487176</xdr:colOff>
      <xdr:row>33</xdr:row>
      <xdr:rowOff>100853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4295588" y="872191"/>
          <a:ext cx="4757084"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1233770</xdr:colOff>
      <xdr:row>1</xdr:row>
      <xdr:rowOff>288552</xdr:rowOff>
    </xdr:from>
    <xdr:to>
      <xdr:col>7</xdr:col>
      <xdr:colOff>652745</xdr:colOff>
      <xdr:row>2</xdr:row>
      <xdr:rowOff>240926</xdr:rowOff>
    </xdr:to>
    <xdr:grpSp>
      <xdr:nvGrpSpPr>
        <xdr:cNvPr id="2" name="Group 1"/>
        <xdr:cNvGrpSpPr/>
      </xdr:nvGrpSpPr>
      <xdr:grpSpPr>
        <a:xfrm>
          <a:off x="5973858" y="568699"/>
          <a:ext cx="3206563" cy="3109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633088</xdr:colOff>
      <xdr:row>0</xdr:row>
      <xdr:rowOff>43578</xdr:rowOff>
    </xdr:from>
    <xdr:to>
      <xdr:col>6</xdr:col>
      <xdr:colOff>415738</xdr:colOff>
      <xdr:row>1</xdr:row>
      <xdr:rowOff>23167</xdr:rowOff>
    </xdr:to>
    <xdr:sp macro="" textlink="">
      <xdr:nvSpPr>
        <xdr:cNvPr id="5" name="Rounded Rectangle 4">
          <a:hlinkClick xmlns:r="http://schemas.openxmlformats.org/officeDocument/2006/relationships" r:id="rId3"/>
        </xdr:cNvPr>
        <xdr:cNvSpPr/>
      </xdr:nvSpPr>
      <xdr:spPr>
        <a:xfrm>
          <a:off x="6650647" y="43578"/>
          <a:ext cx="1575591"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56030</xdr:colOff>
      <xdr:row>0</xdr:row>
      <xdr:rowOff>55674</xdr:rowOff>
    </xdr:from>
    <xdr:to>
      <xdr:col>1</xdr:col>
      <xdr:colOff>743555</xdr:colOff>
      <xdr:row>1</xdr:row>
      <xdr:rowOff>21816</xdr:rowOff>
    </xdr:to>
    <xdr:sp macro="" textlink="">
      <xdr:nvSpPr>
        <xdr:cNvPr id="6" name="Rounded Rectangle 5">
          <a:hlinkClick xmlns:r="http://schemas.openxmlformats.org/officeDocument/2006/relationships" r:id="rId4"/>
        </xdr:cNvPr>
        <xdr:cNvSpPr/>
      </xdr:nvSpPr>
      <xdr:spPr>
        <a:xfrm>
          <a:off x="56030" y="55674"/>
          <a:ext cx="1438319" cy="2462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38368</xdr:colOff>
      <xdr:row>0</xdr:row>
      <xdr:rowOff>43578</xdr:rowOff>
    </xdr:from>
    <xdr:to>
      <xdr:col>2</xdr:col>
      <xdr:colOff>1591236</xdr:colOff>
      <xdr:row>1</xdr:row>
      <xdr:rowOff>31937</xdr:rowOff>
    </xdr:to>
    <xdr:sp macro="" textlink="">
      <xdr:nvSpPr>
        <xdr:cNvPr id="7" name="Rounded Rectangle 6">
          <a:hlinkClick xmlns:r="http://schemas.openxmlformats.org/officeDocument/2006/relationships" r:id="rId5"/>
        </xdr:cNvPr>
        <xdr:cNvSpPr/>
      </xdr:nvSpPr>
      <xdr:spPr>
        <a:xfrm>
          <a:off x="1640809" y="43578"/>
          <a:ext cx="1552868" cy="26850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1734461</xdr:colOff>
      <xdr:row>0</xdr:row>
      <xdr:rowOff>43578</xdr:rowOff>
    </xdr:from>
    <xdr:to>
      <xdr:col>3</xdr:col>
      <xdr:colOff>40736</xdr:colOff>
      <xdr:row>1</xdr:row>
      <xdr:rowOff>23167</xdr:rowOff>
    </xdr:to>
    <xdr:sp macro="" textlink="">
      <xdr:nvSpPr>
        <xdr:cNvPr id="8" name="Rounded Rectangle 7">
          <a:hlinkClick xmlns:r="http://schemas.openxmlformats.org/officeDocument/2006/relationships" r:id="rId6"/>
        </xdr:cNvPr>
        <xdr:cNvSpPr/>
      </xdr:nvSpPr>
      <xdr:spPr>
        <a:xfrm>
          <a:off x="3336902" y="43578"/>
          <a:ext cx="1443922"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212225</xdr:colOff>
      <xdr:row>0</xdr:row>
      <xdr:rowOff>43578</xdr:rowOff>
    </xdr:from>
    <xdr:to>
      <xdr:col>4</xdr:col>
      <xdr:colOff>442550</xdr:colOff>
      <xdr:row>1</xdr:row>
      <xdr:rowOff>23167</xdr:rowOff>
    </xdr:to>
    <xdr:sp macro="" textlink="">
      <xdr:nvSpPr>
        <xdr:cNvPr id="9" name="Rounded Rectangle 8">
          <a:hlinkClick xmlns:r="http://schemas.openxmlformats.org/officeDocument/2006/relationships" r:id="rId7"/>
        </xdr:cNvPr>
        <xdr:cNvSpPr/>
      </xdr:nvSpPr>
      <xdr:spPr>
        <a:xfrm>
          <a:off x="4952313" y="43578"/>
          <a:ext cx="1507796"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16</xdr:col>
      <xdr:colOff>504825</xdr:colOff>
      <xdr:row>14</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6</xdr:row>
      <xdr:rowOff>20304</xdr:rowOff>
    </xdr:from>
    <xdr:to>
      <xdr:col>4</xdr:col>
      <xdr:colOff>1135894</xdr:colOff>
      <xdr:row>13</xdr:row>
      <xdr:rowOff>22411</xdr:rowOff>
    </xdr:to>
    <xdr:grpSp>
      <xdr:nvGrpSpPr>
        <xdr:cNvPr id="2" name="Group 1"/>
        <xdr:cNvGrpSpPr/>
      </xdr:nvGrpSpPr>
      <xdr:grpSpPr>
        <a:xfrm>
          <a:off x="53751" y="1140892"/>
          <a:ext cx="3872408" cy="988225"/>
          <a:chOff x="15050954" y="1681076"/>
          <a:chExt cx="2498964" cy="813877"/>
        </a:xfrm>
      </xdr:grpSpPr>
      <xdr:grpSp>
        <xdr:nvGrpSpPr>
          <xdr:cNvPr id="3" name="Group 2"/>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2">
          <xdr:nvSpPr>
            <xdr:cNvPr id="6" name="Rectangle 5"/>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0412A58-192A-471B-BB97-8A951D7DFE16}" type="TxLink">
                <a:rPr lang="en-US" sz="1800" b="1">
                  <a:latin typeface="+mn-lt"/>
                </a:rPr>
                <a:pPr algn="ctr"/>
                <a:t> 96,781 </a:t>
              </a:fld>
              <a:endParaRPr lang="en-US" sz="1800" b="1">
                <a:latin typeface="+mn-lt"/>
              </a:endParaRPr>
            </a:p>
          </xdr:txBody>
        </xdr:sp>
      </xdr:grpSp>
      <xdr:grpSp>
        <xdr:nvGrpSpPr>
          <xdr:cNvPr id="15" name="Group 1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2">
          <xdr:nvSpPr>
            <xdr:cNvPr id="16" name="Rectangle 1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55A21FF-3166-4546-AE99-55E11AE0837A}" type="TxLink">
                <a:rPr lang="en-US" sz="1800" b="1">
                  <a:latin typeface="+mn-lt"/>
                </a:rPr>
                <a:pPr algn="ctr"/>
                <a:t> 179 </a:t>
              </a:fld>
              <a:endParaRPr lang="en-US" sz="1800" b="1">
                <a:latin typeface="+mn-lt"/>
              </a:endParaRPr>
            </a:p>
          </xdr:txBody>
        </xdr:sp>
        <xdr:sp macro="" textlink="">
          <xdr:nvSpPr>
            <xdr:cNvPr id="17" name="Rectangle 1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 </a:t>
              </a:r>
              <a:r>
                <a:rPr lang="en-GB" sz="1050" b="1">
                  <a:solidFill>
                    <a:schemeClr val="dk1"/>
                  </a:solidFill>
                  <a:effectLst/>
                  <a:latin typeface="+mn-lt"/>
                  <a:ea typeface="+mn-ea"/>
                  <a:cs typeface="Calibri" pitchFamily="34" charset="0"/>
                </a:rPr>
                <a:t>(host families &amp; Camps)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3" name="Line 2"/>
        <xdr:cNvSpPr>
          <a:spLocks noChangeShapeType="1"/>
        </xdr:cNvSpPr>
      </xdr:nvSpPr>
      <xdr:spPr bwMode="auto">
        <a:xfrm>
          <a:off x="0" y="9025017"/>
          <a:ext cx="12250615"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103787</xdr:colOff>
      <xdr:row>50</xdr:row>
      <xdr:rowOff>65072</xdr:rowOff>
    </xdr:from>
    <xdr:to>
      <xdr:col>9</xdr:col>
      <xdr:colOff>443237</xdr:colOff>
      <xdr:row>51</xdr:row>
      <xdr:rowOff>0</xdr:rowOff>
    </xdr:to>
    <xdr:sp macro="" textlink="">
      <xdr:nvSpPr>
        <xdr:cNvPr id="20" name="TextBox 19"/>
        <xdr:cNvSpPr txBox="1"/>
      </xdr:nvSpPr>
      <xdr:spPr>
        <a:xfrm>
          <a:off x="182228" y="9063396"/>
          <a:ext cx="6670774" cy="21507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xdr:from>
      <xdr:col>9</xdr:col>
      <xdr:colOff>433869</xdr:colOff>
      <xdr:row>50</xdr:row>
      <xdr:rowOff>46541</xdr:rowOff>
    </xdr:from>
    <xdr:to>
      <xdr:col>17</xdr:col>
      <xdr:colOff>251321</xdr:colOff>
      <xdr:row>50</xdr:row>
      <xdr:rowOff>269454</xdr:rowOff>
    </xdr:to>
    <xdr:sp macro="" textlink="">
      <xdr:nvSpPr>
        <xdr:cNvPr id="21" name="TextBox 20"/>
        <xdr:cNvSpPr txBox="1">
          <a:spLocks/>
        </xdr:cNvSpPr>
      </xdr:nvSpPr>
      <xdr:spPr>
        <a:xfrm>
          <a:off x="6843634" y="9044865"/>
          <a:ext cx="3829158" cy="222913"/>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17</xdr:col>
      <xdr:colOff>242404</xdr:colOff>
      <xdr:row>50</xdr:row>
      <xdr:rowOff>59918</xdr:rowOff>
    </xdr:from>
    <xdr:to>
      <xdr:col>17</xdr:col>
      <xdr:colOff>1669544</xdr:colOff>
      <xdr:row>50</xdr:row>
      <xdr:rowOff>250673</xdr:rowOff>
    </xdr:to>
    <xdr:sp macro="" textlink="">
      <xdr:nvSpPr>
        <xdr:cNvPr id="22" name="TextBox 21"/>
        <xdr:cNvSpPr txBox="1"/>
      </xdr:nvSpPr>
      <xdr:spPr>
        <a:xfrm>
          <a:off x="10692690" y="9598525"/>
          <a:ext cx="1427140" cy="19075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11</xdr:col>
      <xdr:colOff>313207</xdr:colOff>
      <xdr:row>4</xdr:row>
      <xdr:rowOff>0</xdr:rowOff>
    </xdr:from>
    <xdr:to>
      <xdr:col>17</xdr:col>
      <xdr:colOff>1723631</xdr:colOff>
      <xdr:row>5</xdr:row>
      <xdr:rowOff>224118</xdr:rowOff>
    </xdr:to>
    <xdr:grpSp>
      <xdr:nvGrpSpPr>
        <xdr:cNvPr id="223" name="Group 222"/>
        <xdr:cNvGrpSpPr/>
      </xdr:nvGrpSpPr>
      <xdr:grpSpPr>
        <a:xfrm>
          <a:off x="7787531" y="571500"/>
          <a:ext cx="4357571" cy="515471"/>
          <a:chOff x="6500812" y="317500"/>
          <a:chExt cx="6186806" cy="575469"/>
        </a:xfrm>
      </xdr:grpSpPr>
      <xdr:pic>
        <xdr:nvPicPr>
          <xdr:cNvPr id="224" name="Picture 22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121020</xdr:colOff>
      <xdr:row>42</xdr:row>
      <xdr:rowOff>78441</xdr:rowOff>
    </xdr:from>
    <xdr:to>
      <xdr:col>17</xdr:col>
      <xdr:colOff>1746248</xdr:colOff>
      <xdr:row>48</xdr:row>
      <xdr:rowOff>168087</xdr:rowOff>
    </xdr:to>
    <xdr:sp macro="" textlink="">
      <xdr:nvSpPr>
        <xdr:cNvPr id="8" name="Rounded Rectangle 7"/>
        <xdr:cNvSpPr/>
      </xdr:nvSpPr>
      <xdr:spPr>
        <a:xfrm>
          <a:off x="8592667" y="7295029"/>
          <a:ext cx="3575052" cy="138952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43%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5</xdr:col>
      <xdr:colOff>473389</xdr:colOff>
      <xdr:row>14</xdr:row>
      <xdr:rowOff>44789</xdr:rowOff>
    </xdr:from>
    <xdr:to>
      <xdr:col>11</xdr:col>
      <xdr:colOff>600634</xdr:colOff>
      <xdr:row>30</xdr:row>
      <xdr:rowOff>71719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211452</xdr:colOff>
      <xdr:row>2</xdr:row>
      <xdr:rowOff>21166</xdr:rowOff>
    </xdr:from>
    <xdr:to>
      <xdr:col>15</xdr:col>
      <xdr:colOff>22030</xdr:colOff>
      <xdr:row>3</xdr:row>
      <xdr:rowOff>755</xdr:rowOff>
    </xdr:to>
    <xdr:sp macro="" textlink="">
      <xdr:nvSpPr>
        <xdr:cNvPr id="27" name="Rounded Rectangle 26">
          <a:hlinkClick xmlns:r="http://schemas.openxmlformats.org/officeDocument/2006/relationships" r:id="rId4"/>
        </xdr:cNvPr>
        <xdr:cNvSpPr/>
      </xdr:nvSpPr>
      <xdr:spPr>
        <a:xfrm>
          <a:off x="8307702" y="292262"/>
          <a:ext cx="144448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1</xdr:col>
      <xdr:colOff>67236</xdr:colOff>
      <xdr:row>2</xdr:row>
      <xdr:rowOff>33262</xdr:rowOff>
    </xdr:from>
    <xdr:to>
      <xdr:col>3</xdr:col>
      <xdr:colOff>211836</xdr:colOff>
      <xdr:row>3</xdr:row>
      <xdr:rowOff>3326</xdr:rowOff>
    </xdr:to>
    <xdr:sp macro="" textlink="">
      <xdr:nvSpPr>
        <xdr:cNvPr id="28" name="Rounded Rectangle 27">
          <a:hlinkClick xmlns:r="http://schemas.openxmlformats.org/officeDocument/2006/relationships" r:id="rId5"/>
        </xdr:cNvPr>
        <xdr:cNvSpPr/>
      </xdr:nvSpPr>
      <xdr:spPr>
        <a:xfrm>
          <a:off x="145677" y="313409"/>
          <a:ext cx="2206483" cy="35106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454282</xdr:colOff>
      <xdr:row>2</xdr:row>
      <xdr:rowOff>21166</xdr:rowOff>
    </xdr:from>
    <xdr:to>
      <xdr:col>5</xdr:col>
      <xdr:colOff>303607</xdr:colOff>
      <xdr:row>3</xdr:row>
      <xdr:rowOff>755</xdr:rowOff>
    </xdr:to>
    <xdr:sp macro="" textlink="">
      <xdr:nvSpPr>
        <xdr:cNvPr id="29" name="Rounded Rectangle 28">
          <a:hlinkClick xmlns:r="http://schemas.openxmlformats.org/officeDocument/2006/relationships" r:id="rId6"/>
        </xdr:cNvPr>
        <xdr:cNvSpPr/>
      </xdr:nvSpPr>
      <xdr:spPr>
        <a:xfrm>
          <a:off x="2579090" y="292262"/>
          <a:ext cx="1637094"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6</xdr:col>
      <xdr:colOff>155756</xdr:colOff>
      <xdr:row>2</xdr:row>
      <xdr:rowOff>21166</xdr:rowOff>
    </xdr:from>
    <xdr:to>
      <xdr:col>9</xdr:col>
      <xdr:colOff>102528</xdr:colOff>
      <xdr:row>3</xdr:row>
      <xdr:rowOff>755</xdr:rowOff>
    </xdr:to>
    <xdr:sp macro="" textlink="">
      <xdr:nvSpPr>
        <xdr:cNvPr id="32" name="Rounded Rectangle 31">
          <a:hlinkClick xmlns:r="http://schemas.openxmlformats.org/officeDocument/2006/relationships" r:id="rId7"/>
        </xdr:cNvPr>
        <xdr:cNvSpPr/>
      </xdr:nvSpPr>
      <xdr:spPr>
        <a:xfrm>
          <a:off x="4456660" y="292262"/>
          <a:ext cx="203494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9</xdr:col>
      <xdr:colOff>342111</xdr:colOff>
      <xdr:row>2</xdr:row>
      <xdr:rowOff>21166</xdr:rowOff>
    </xdr:from>
    <xdr:to>
      <xdr:col>11</xdr:col>
      <xdr:colOff>620819</xdr:colOff>
      <xdr:row>3</xdr:row>
      <xdr:rowOff>755</xdr:rowOff>
    </xdr:to>
    <xdr:sp macro="" textlink="">
      <xdr:nvSpPr>
        <xdr:cNvPr id="33" name="Rounded Rectangle 32">
          <a:hlinkClick xmlns:r="http://schemas.openxmlformats.org/officeDocument/2006/relationships" r:id="rId8"/>
        </xdr:cNvPr>
        <xdr:cNvSpPr/>
      </xdr:nvSpPr>
      <xdr:spPr>
        <a:xfrm>
          <a:off x="6731188" y="292262"/>
          <a:ext cx="134111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9</xdr:col>
      <xdr:colOff>161365</xdr:colOff>
      <xdr:row>37</xdr:row>
      <xdr:rowOff>170318</xdr:rowOff>
    </xdr:from>
    <xdr:to>
      <xdr:col>12</xdr:col>
      <xdr:colOff>0</xdr:colOff>
      <xdr:row>48</xdr:row>
      <xdr:rowOff>206182</xdr:rowOff>
    </xdr:to>
    <xdr:sp macro="" textlink="">
      <xdr:nvSpPr>
        <xdr:cNvPr id="36" name="Rounded Rectangle 35"/>
        <xdr:cNvSpPr/>
      </xdr:nvSpPr>
      <xdr:spPr>
        <a:xfrm>
          <a:off x="5997389" y="6920742"/>
          <a:ext cx="1559858" cy="2034993"/>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6</xdr:col>
      <xdr:colOff>121540</xdr:colOff>
      <xdr:row>14</xdr:row>
      <xdr:rowOff>102491</xdr:rowOff>
    </xdr:from>
    <xdr:to>
      <xdr:col>11</xdr:col>
      <xdr:colOff>654424</xdr:colOff>
      <xdr:row>16</xdr:row>
      <xdr:rowOff>6119</xdr:rowOff>
    </xdr:to>
    <xdr:sp macro="" textlink="">
      <xdr:nvSpPr>
        <xdr:cNvPr id="39" name="Rounded Rectangle 38"/>
        <xdr:cNvSpPr/>
      </xdr:nvSpPr>
      <xdr:spPr>
        <a:xfrm>
          <a:off x="4048081" y="2594679"/>
          <a:ext cx="3500202" cy="271181"/>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 of camps by size of population in different townships</a:t>
          </a:r>
        </a:p>
      </xdr:txBody>
    </xdr:sp>
    <xdr:clientData/>
  </xdr:twoCellAnchor>
  <xdr:twoCellAnchor>
    <xdr:from>
      <xdr:col>5</xdr:col>
      <xdr:colOff>502870</xdr:colOff>
      <xdr:row>30</xdr:row>
      <xdr:rowOff>116539</xdr:rowOff>
    </xdr:from>
    <xdr:to>
      <xdr:col>11</xdr:col>
      <xdr:colOff>663387</xdr:colOff>
      <xdr:row>31</xdr:row>
      <xdr:rowOff>179293</xdr:rowOff>
    </xdr:to>
    <xdr:sp macro="" textlink="">
      <xdr:nvSpPr>
        <xdr:cNvPr id="40" name="Rounded Rectangle 39"/>
        <xdr:cNvSpPr/>
      </xdr:nvSpPr>
      <xdr:spPr>
        <a:xfrm>
          <a:off x="4563882" y="5289174"/>
          <a:ext cx="3647787" cy="24204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Size of Locations</a:t>
          </a:r>
        </a:p>
      </xdr:txBody>
    </xdr:sp>
    <xdr:clientData/>
  </xdr:twoCellAnchor>
  <xdr:twoCellAnchor>
    <xdr:from>
      <xdr:col>12</xdr:col>
      <xdr:colOff>80840</xdr:colOff>
      <xdr:row>6</xdr:row>
      <xdr:rowOff>122464</xdr:rowOff>
    </xdr:from>
    <xdr:to>
      <xdr:col>17</xdr:col>
      <xdr:colOff>1755320</xdr:colOff>
      <xdr:row>9</xdr:row>
      <xdr:rowOff>149678</xdr:rowOff>
    </xdr:to>
    <xdr:sp macro="" textlink="">
      <xdr:nvSpPr>
        <xdr:cNvPr id="35" name="TextBox 1"/>
        <xdr:cNvSpPr txBox="1">
          <a:spLocks/>
        </xdr:cNvSpPr>
      </xdr:nvSpPr>
      <xdr:spPr>
        <a:xfrm>
          <a:off x="8231519" y="1238250"/>
          <a:ext cx="3974087" cy="476249"/>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Towship</a:t>
          </a:r>
          <a:endParaRPr lang="en-GB" sz="1050" b="1">
            <a:latin typeface="+mn-lt"/>
          </a:endParaRPr>
        </a:p>
      </xdr:txBody>
    </xdr:sp>
    <xdr:clientData/>
  </xdr:twoCellAnchor>
  <xdr:twoCellAnchor editAs="oneCell">
    <xdr:from>
      <xdr:col>12</xdr:col>
      <xdr:colOff>46741</xdr:colOff>
      <xdr:row>11</xdr:row>
      <xdr:rowOff>33181</xdr:rowOff>
    </xdr:from>
    <xdr:to>
      <xdr:col>18</xdr:col>
      <xdr:colOff>7694</xdr:colOff>
      <xdr:row>41</xdr:row>
      <xdr:rowOff>149678</xdr:rowOff>
    </xdr:to>
    <xdr:pic>
      <xdr:nvPicPr>
        <xdr:cNvPr id="49" name="Picture 4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7420" y="1897360"/>
          <a:ext cx="4029488" cy="53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503023</xdr:colOff>
      <xdr:row>36</xdr:row>
      <xdr:rowOff>61243</xdr:rowOff>
    </xdr:from>
    <xdr:to>
      <xdr:col>12</xdr:col>
      <xdr:colOff>38417</xdr:colOff>
      <xdr:row>37</xdr:row>
      <xdr:rowOff>152380</xdr:rowOff>
    </xdr:to>
    <xdr:sp macro="" textlink="">
      <xdr:nvSpPr>
        <xdr:cNvPr id="44" name="Rounded Rectangle 43"/>
        <xdr:cNvSpPr/>
      </xdr:nvSpPr>
      <xdr:spPr>
        <a:xfrm>
          <a:off x="3918576" y="6632372"/>
          <a:ext cx="3677088" cy="2704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Distance</a:t>
          </a:r>
          <a:r>
            <a:rPr lang="en-US" sz="1000" b="1" baseline="0">
              <a:solidFill>
                <a:sysClr val="windowText" lastClr="000000"/>
              </a:solidFill>
              <a:effectLst/>
              <a:latin typeface="+mn-lt"/>
              <a:ea typeface="+mn-ea"/>
              <a:cs typeface="+mn-cs"/>
            </a:rPr>
            <a:t> to the nearest town</a:t>
          </a:r>
          <a:endParaRPr lang="en-US" sz="1000" b="1">
            <a:solidFill>
              <a:sysClr val="windowText" lastClr="000000"/>
            </a:solidFill>
            <a:effectLst/>
            <a:latin typeface="+mn-lt"/>
            <a:ea typeface="+mn-ea"/>
            <a:cs typeface="+mn-cs"/>
          </a:endParaRPr>
        </a:p>
      </xdr:txBody>
    </xdr:sp>
    <xdr:clientData/>
  </xdr:twoCellAnchor>
  <xdr:twoCellAnchor>
    <xdr:from>
      <xdr:col>6</xdr:col>
      <xdr:colOff>116543</xdr:colOff>
      <xdr:row>6</xdr:row>
      <xdr:rowOff>17929</xdr:rowOff>
    </xdr:from>
    <xdr:to>
      <xdr:col>11</xdr:col>
      <xdr:colOff>618565</xdr:colOff>
      <xdr:row>13</xdr:row>
      <xdr:rowOff>170330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c:userShapes xmlns:c="http://schemas.openxmlformats.org/drawingml/2006/chart">
  <cdr:absSizeAnchor xmlns:cdr="http://schemas.openxmlformats.org/drawingml/2006/chartDrawing">
    <cdr:from>
      <cdr:x>0.25169</cdr:x>
      <cdr:y>0.03162</cdr:y>
    </cdr:from>
    <cdr:ext cx="1891241" cy="88087"/>
    <cdr:sp macro="" textlink="">
      <cdr:nvSpPr>
        <cdr:cNvPr id="4" name="TextBox 3"/>
        <cdr:cNvSpPr txBox="1">
          <a:spLocks xmlns:a="http://schemas.openxmlformats.org/drawingml/2006/main"/>
        </cdr:cNvSpPr>
      </cdr:nvSpPr>
      <cdr:spPr>
        <a:xfrm xmlns:a="http://schemas.openxmlformats.org/drawingml/2006/main">
          <a:off x="918883" y="37774"/>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6</xdr:row>
      <xdr:rowOff>4045</xdr:rowOff>
    </xdr:to>
    <xdr:grpSp>
      <xdr:nvGrpSpPr>
        <xdr:cNvPr id="3" name="Group 2"/>
        <xdr:cNvGrpSpPr/>
      </xdr:nvGrpSpPr>
      <xdr:grpSpPr>
        <a:xfrm>
          <a:off x="26660908" y="132306"/>
          <a:ext cx="3536422" cy="133477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18</xdr:col>
      <xdr:colOff>2151413</xdr:colOff>
      <xdr:row>25</xdr:row>
      <xdr:rowOff>169783</xdr:rowOff>
    </xdr:to>
    <xdr:grpSp>
      <xdr:nvGrpSpPr>
        <xdr:cNvPr id="10" name="Location"/>
        <xdr:cNvGrpSpPr/>
      </xdr:nvGrpSpPr>
      <xdr:grpSpPr>
        <a:xfrm>
          <a:off x="10177813" y="5879068"/>
          <a:ext cx="1270000" cy="38671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65020" cy="139636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102235</xdr:rowOff>
    </xdr:from>
    <xdr:to>
      <xdr:col>5</xdr:col>
      <xdr:colOff>120650</xdr:colOff>
      <xdr:row>29</xdr:row>
      <xdr:rowOff>158426</xdr:rowOff>
    </xdr:to>
    <xdr:grpSp>
      <xdr:nvGrpSpPr>
        <xdr:cNvPr id="294" name="Bhamo_G"/>
        <xdr:cNvGrpSpPr/>
      </xdr:nvGrpSpPr>
      <xdr:grpSpPr>
        <a:xfrm>
          <a:off x="2376805" y="6442075"/>
          <a:ext cx="1310005" cy="787711"/>
          <a:chOff x="12380951" y="1658202"/>
          <a:chExt cx="1893717" cy="2381154"/>
        </a:xfrm>
      </xdr:grpSpPr>
      <xdr:sp macro="" textlink="">
        <xdr:nvSpPr>
          <xdr:cNvPr id="295" name="Oval"/>
          <xdr:cNvSpPr/>
        </xdr:nvSpPr>
        <xdr:spPr>
          <a:xfrm>
            <a:off x="13054955" y="2287380"/>
            <a:ext cx="545709" cy="11227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296"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273BA99-35D0-4BB9-8F42-CC06738440F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8,096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297"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C42A23B-2DF2-4863-8133-53944486F123}"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3">
        <xdr:nvSpPr>
          <xdr:cNvPr id="29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799850D-7B89-4F18-806B-B80FE2056D5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99" name="Cluster"/>
          <xdr:cNvGrpSpPr/>
        </xdr:nvGrpSpPr>
        <xdr:grpSpPr>
          <a:xfrm>
            <a:off x="12477748" y="2348604"/>
            <a:ext cx="1732609" cy="380242"/>
            <a:chOff x="12477748" y="2348604"/>
            <a:chExt cx="1732609" cy="380242"/>
          </a:xfrm>
        </xdr:grpSpPr>
        <xdr:grpSp>
          <xdr:nvGrpSpPr>
            <xdr:cNvPr id="300" name="Shelter_G"/>
            <xdr:cNvGrpSpPr/>
          </xdr:nvGrpSpPr>
          <xdr:grpSpPr>
            <a:xfrm>
              <a:off x="12477748" y="2367654"/>
              <a:ext cx="332972" cy="361192"/>
              <a:chOff x="8585625" y="4782769"/>
              <a:chExt cx="147154" cy="166659"/>
            </a:xfrm>
          </xdr:grpSpPr>
          <xdr:pic>
            <xdr:nvPicPr>
              <xdr:cNvPr id="30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0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01" name="NFI_G"/>
            <xdr:cNvGrpSpPr/>
          </xdr:nvGrpSpPr>
          <xdr:grpSpPr>
            <a:xfrm>
              <a:off x="13877376" y="2348604"/>
              <a:ext cx="332981" cy="361192"/>
              <a:chOff x="8250078" y="5375644"/>
              <a:chExt cx="147158" cy="166659"/>
            </a:xfrm>
          </xdr:grpSpPr>
          <xdr:pic>
            <xdr:nvPicPr>
              <xdr:cNvPr id="30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0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54610</xdr:rowOff>
    </xdr:from>
    <xdr:to>
      <xdr:col>8</xdr:col>
      <xdr:colOff>339725</xdr:colOff>
      <xdr:row>18</xdr:row>
      <xdr:rowOff>110801</xdr:rowOff>
    </xdr:to>
    <xdr:grpSp>
      <xdr:nvGrpSpPr>
        <xdr:cNvPr id="306" name="Chipwi_G"/>
        <xdr:cNvGrpSpPr/>
      </xdr:nvGrpSpPr>
      <xdr:grpSpPr>
        <a:xfrm>
          <a:off x="4436110" y="3712210"/>
          <a:ext cx="1298575" cy="787711"/>
          <a:chOff x="12380951" y="1658202"/>
          <a:chExt cx="1893717" cy="2381154"/>
        </a:xfrm>
      </xdr:grpSpPr>
      <xdr:sp macro="" textlink="">
        <xdr:nvSpPr>
          <xdr:cNvPr id="307" name="Oval"/>
          <xdr:cNvSpPr/>
        </xdr:nvSpPr>
        <xdr:spPr>
          <a:xfrm>
            <a:off x="13176636" y="2537739"/>
            <a:ext cx="302349" cy="62208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308" name="Pop" hidden="1"/>
          <xdr:cNvSpPr txBox="1"/>
        </xdr:nvSpPr>
        <xdr:spPr>
          <a:xfrm>
            <a:off x="12959413" y="1658202"/>
            <a:ext cx="708965"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78EA4B-D679-4915-AB8F-5A3D0489AE7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2,374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309" name="N_Camp" hidden="1"/>
          <xdr:cNvSpPr txBox="1"/>
        </xdr:nvSpPr>
        <xdr:spPr>
          <a:xfrm>
            <a:off x="13337142" y="2423689"/>
            <a:ext cx="83605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F36904A-63C6-4AA7-B666-E490224A523D}"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4">
        <xdr:nvSpPr>
          <xdr:cNvPr id="31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D6F3DDB-E7D0-4E0D-A69C-AD2A728D88C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11" name="Cluster"/>
          <xdr:cNvGrpSpPr/>
        </xdr:nvGrpSpPr>
        <xdr:grpSpPr>
          <a:xfrm>
            <a:off x="12477748" y="2348604"/>
            <a:ext cx="1732609" cy="380242"/>
            <a:chOff x="12477748" y="2348604"/>
            <a:chExt cx="1732609" cy="380242"/>
          </a:xfrm>
        </xdr:grpSpPr>
        <xdr:grpSp>
          <xdr:nvGrpSpPr>
            <xdr:cNvPr id="312" name="Shelter_G"/>
            <xdr:cNvGrpSpPr/>
          </xdr:nvGrpSpPr>
          <xdr:grpSpPr>
            <a:xfrm>
              <a:off x="12477748" y="2367654"/>
              <a:ext cx="332972" cy="361192"/>
              <a:chOff x="8585625" y="4782769"/>
              <a:chExt cx="147154" cy="166659"/>
            </a:xfrm>
          </xdr:grpSpPr>
          <xdr:pic>
            <xdr:nvPicPr>
              <xdr:cNvPr id="31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1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13" name="NFI_G"/>
            <xdr:cNvGrpSpPr/>
          </xdr:nvGrpSpPr>
          <xdr:grpSpPr>
            <a:xfrm>
              <a:off x="13877376" y="2348604"/>
              <a:ext cx="332981" cy="361192"/>
              <a:chOff x="8250078" y="5375644"/>
              <a:chExt cx="147158" cy="166659"/>
            </a:xfrm>
          </xdr:grpSpPr>
          <xdr:pic>
            <xdr:nvPicPr>
              <xdr:cNvPr id="31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1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80010</xdr:rowOff>
    </xdr:from>
    <xdr:to>
      <xdr:col>3</xdr:col>
      <xdr:colOff>88900</xdr:colOff>
      <xdr:row>18</xdr:row>
      <xdr:rowOff>136201</xdr:rowOff>
    </xdr:to>
    <xdr:grpSp>
      <xdr:nvGrpSpPr>
        <xdr:cNvPr id="318" name="Hpakant_G"/>
        <xdr:cNvGrpSpPr/>
      </xdr:nvGrpSpPr>
      <xdr:grpSpPr>
        <a:xfrm>
          <a:off x="1087755" y="3737610"/>
          <a:ext cx="1317625" cy="787711"/>
          <a:chOff x="12380951" y="1658202"/>
          <a:chExt cx="1893717" cy="2381154"/>
        </a:xfrm>
      </xdr:grpSpPr>
      <xdr:sp macro="" textlink="">
        <xdr:nvSpPr>
          <xdr:cNvPr id="319" name="Oval"/>
          <xdr:cNvSpPr/>
        </xdr:nvSpPr>
        <xdr:spPr>
          <a:xfrm>
            <a:off x="13148668" y="2480197"/>
            <a:ext cx="358282" cy="7371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320" name="Pop" hidden="1"/>
          <xdr:cNvSpPr txBox="1"/>
        </xdr:nvSpPr>
        <xdr:spPr>
          <a:xfrm>
            <a:off x="12959413"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E2ADA57-BD98-4C51-952F-15622A29B7C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3,668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32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666F59-CCC9-4969-A589-D8EDCA998D08}" type="TxLink">
              <a:rPr lang="en-US" sz="1600" b="0" i="0" u="none" strike="noStrike">
                <a:solidFill>
                  <a:srgbClr val="000000"/>
                </a:solidFill>
                <a:latin typeface="Calibri"/>
                <a:cs typeface="Arial" pitchFamily="34" charset="0"/>
              </a:rPr>
              <a:pPr algn="r"/>
              <a:t>26 cps</a:t>
            </a:fld>
            <a:endParaRPr lang="en-US" sz="600" i="1">
              <a:solidFill>
                <a:schemeClr val="tx1"/>
              </a:solidFill>
              <a:latin typeface="Arial" pitchFamily="34" charset="0"/>
              <a:cs typeface="Arial" pitchFamily="34" charset="0"/>
            </a:endParaRPr>
          </a:p>
        </xdr:txBody>
      </xdr:sp>
      <xdr:sp macro="" textlink="U5">
        <xdr:nvSpPr>
          <xdr:cNvPr id="32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981D535-3090-48D8-8735-6310CA7A62F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23" name="Cluster"/>
          <xdr:cNvGrpSpPr/>
        </xdr:nvGrpSpPr>
        <xdr:grpSpPr>
          <a:xfrm>
            <a:off x="12477748" y="2348604"/>
            <a:ext cx="1732609" cy="380242"/>
            <a:chOff x="12477748" y="2348604"/>
            <a:chExt cx="1732609" cy="380242"/>
          </a:xfrm>
        </xdr:grpSpPr>
        <xdr:grpSp>
          <xdr:nvGrpSpPr>
            <xdr:cNvPr id="324" name="Shelter_G"/>
            <xdr:cNvGrpSpPr/>
          </xdr:nvGrpSpPr>
          <xdr:grpSpPr>
            <a:xfrm>
              <a:off x="12477748" y="2367654"/>
              <a:ext cx="332972" cy="361192"/>
              <a:chOff x="8585625" y="4782769"/>
              <a:chExt cx="147154" cy="166659"/>
            </a:xfrm>
          </xdr:grpSpPr>
          <xdr:pic>
            <xdr:nvPicPr>
              <xdr:cNvPr id="32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2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25" name="NFI_G"/>
            <xdr:cNvGrpSpPr/>
          </xdr:nvGrpSpPr>
          <xdr:grpSpPr>
            <a:xfrm>
              <a:off x="13877376" y="2348604"/>
              <a:ext cx="332981" cy="361192"/>
              <a:chOff x="8250078" y="5375644"/>
              <a:chExt cx="147158" cy="166659"/>
            </a:xfrm>
          </xdr:grpSpPr>
          <xdr:pic>
            <xdr:nvPicPr>
              <xdr:cNvPr id="32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2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35494</xdr:rowOff>
    </xdr:to>
    <xdr:grpSp>
      <xdr:nvGrpSpPr>
        <xdr:cNvPr id="330" name="Hseni_G"/>
        <xdr:cNvGrpSpPr/>
      </xdr:nvGrpSpPr>
      <xdr:grpSpPr>
        <a:xfrm>
          <a:off x="4039235" y="8176895"/>
          <a:ext cx="1310005" cy="636839"/>
          <a:chOff x="12380951" y="1748589"/>
          <a:chExt cx="1893717" cy="1902836"/>
        </a:xfrm>
      </xdr:grpSpPr>
      <xdr:sp macro="" textlink="">
        <xdr:nvSpPr>
          <xdr:cNvPr id="331" name="Oval"/>
          <xdr:cNvSpPr/>
        </xdr:nvSpPr>
        <xdr:spPr>
          <a:xfrm>
            <a:off x="13256163" y="2552372"/>
            <a:ext cx="143293" cy="2928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332" name="Pop" hidden="1"/>
          <xdr:cNvSpPr txBox="1"/>
        </xdr:nvSpPr>
        <xdr:spPr>
          <a:xfrm>
            <a:off x="12959414" y="2046131"/>
            <a:ext cx="708964" cy="160529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FA05A17-44EA-4A65-984E-CFCA4E4E723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679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33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8AC4AF-437C-41AF-8C64-E5C8A980E40F}"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6">
        <xdr:nvSpPr>
          <xdr:cNvPr id="33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E3BB1E8-7AF1-4E4B-8A50-705FC252EE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35" name="Cluster"/>
          <xdr:cNvGrpSpPr/>
        </xdr:nvGrpSpPr>
        <xdr:grpSpPr>
          <a:xfrm>
            <a:off x="12477748" y="2348604"/>
            <a:ext cx="1732609" cy="380242"/>
            <a:chOff x="12477748" y="2348604"/>
            <a:chExt cx="1732609" cy="380242"/>
          </a:xfrm>
        </xdr:grpSpPr>
        <xdr:grpSp>
          <xdr:nvGrpSpPr>
            <xdr:cNvPr id="336" name="Shelter_G"/>
            <xdr:cNvGrpSpPr/>
          </xdr:nvGrpSpPr>
          <xdr:grpSpPr>
            <a:xfrm>
              <a:off x="12477748" y="2367654"/>
              <a:ext cx="332972" cy="361192"/>
              <a:chOff x="8585625" y="4782769"/>
              <a:chExt cx="147154" cy="166659"/>
            </a:xfrm>
          </xdr:grpSpPr>
          <xdr:pic>
            <xdr:nvPicPr>
              <xdr:cNvPr id="34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4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37" name="NFI_G"/>
            <xdr:cNvGrpSpPr/>
          </xdr:nvGrpSpPr>
          <xdr:grpSpPr>
            <a:xfrm>
              <a:off x="13877376" y="2348604"/>
              <a:ext cx="332981" cy="361192"/>
              <a:chOff x="8250078" y="5375644"/>
              <a:chExt cx="147158" cy="166659"/>
            </a:xfrm>
          </xdr:grpSpPr>
          <xdr:pic>
            <xdr:nvPicPr>
              <xdr:cNvPr id="33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3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13756</xdr:rowOff>
    </xdr:from>
    <xdr:to>
      <xdr:col>7</xdr:col>
      <xdr:colOff>190500</xdr:colOff>
      <xdr:row>15</xdr:row>
      <xdr:rowOff>38231</xdr:rowOff>
    </xdr:to>
    <xdr:grpSp>
      <xdr:nvGrpSpPr>
        <xdr:cNvPr id="342" name="Injangyang_G"/>
        <xdr:cNvGrpSpPr/>
      </xdr:nvGrpSpPr>
      <xdr:grpSpPr>
        <a:xfrm>
          <a:off x="3696335" y="3183676"/>
          <a:ext cx="1310005" cy="512155"/>
          <a:chOff x="12380951" y="1742182"/>
          <a:chExt cx="1893717" cy="1548606"/>
        </a:xfrm>
      </xdr:grpSpPr>
      <xdr:sp macro="" textlink="">
        <xdr:nvSpPr>
          <xdr:cNvPr id="343"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344" name="Pop" hidden="1"/>
          <xdr:cNvSpPr txBox="1"/>
        </xdr:nvSpPr>
        <xdr:spPr>
          <a:xfrm>
            <a:off x="12959414" y="2415174"/>
            <a:ext cx="708964" cy="86721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154C8BB-DB81-4D26-9446-29926BA608B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345" name="N_Camp" hidden="1"/>
          <xdr:cNvSpPr txBox="1"/>
        </xdr:nvSpPr>
        <xdr:spPr>
          <a:xfrm>
            <a:off x="13337141" y="2423574"/>
            <a:ext cx="836058"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5704D7C-F784-4D49-8B35-70ECAD78DDC8}"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7">
        <xdr:nvSpPr>
          <xdr:cNvPr id="346" name="Site"/>
          <xdr:cNvSpPr txBox="1"/>
        </xdr:nvSpPr>
        <xdr:spPr>
          <a:xfrm>
            <a:off x="12380951" y="1742182"/>
            <a:ext cx="1893717"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2DAE86-425B-4532-8937-40A0EC43A1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47" name="Cluster"/>
          <xdr:cNvGrpSpPr/>
        </xdr:nvGrpSpPr>
        <xdr:grpSpPr>
          <a:xfrm>
            <a:off x="12477748" y="2348604"/>
            <a:ext cx="1732609" cy="380242"/>
            <a:chOff x="12477748" y="2348604"/>
            <a:chExt cx="1732609" cy="380242"/>
          </a:xfrm>
        </xdr:grpSpPr>
        <xdr:grpSp>
          <xdr:nvGrpSpPr>
            <xdr:cNvPr id="348" name="Shelter_G"/>
            <xdr:cNvGrpSpPr/>
          </xdr:nvGrpSpPr>
          <xdr:grpSpPr>
            <a:xfrm>
              <a:off x="12477748" y="2367654"/>
              <a:ext cx="332972" cy="361192"/>
              <a:chOff x="8585625" y="4782769"/>
              <a:chExt cx="147154" cy="166659"/>
            </a:xfrm>
          </xdr:grpSpPr>
          <xdr:pic>
            <xdr:nvPicPr>
              <xdr:cNvPr id="35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5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49" name="NFI_G"/>
            <xdr:cNvGrpSpPr/>
          </xdr:nvGrpSpPr>
          <xdr:grpSpPr>
            <a:xfrm>
              <a:off x="13877376" y="2348604"/>
              <a:ext cx="332981" cy="361192"/>
              <a:chOff x="8250078" y="5375644"/>
              <a:chExt cx="147158" cy="166659"/>
            </a:xfrm>
          </xdr:grpSpPr>
          <xdr:pic>
            <xdr:nvPicPr>
              <xdr:cNvPr id="35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5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237490</xdr:colOff>
      <xdr:row>7</xdr:row>
      <xdr:rowOff>32202</xdr:rowOff>
    </xdr:from>
    <xdr:to>
      <xdr:col>8</xdr:col>
      <xdr:colOff>374015</xdr:colOff>
      <xdr:row>9</xdr:row>
      <xdr:rowOff>181885</xdr:rowOff>
    </xdr:to>
    <xdr:grpSp>
      <xdr:nvGrpSpPr>
        <xdr:cNvPr id="354" name="Khaunglanhpu_G"/>
        <xdr:cNvGrpSpPr/>
      </xdr:nvGrpSpPr>
      <xdr:grpSpPr>
        <a:xfrm>
          <a:off x="4489450" y="1739082"/>
          <a:ext cx="1279525" cy="637363"/>
          <a:chOff x="12380951" y="1363461"/>
          <a:chExt cx="1893717" cy="1927365"/>
        </a:xfrm>
      </xdr:grpSpPr>
      <xdr:sp macro="" textlink="">
        <xdr:nvSpPr>
          <xdr:cNvPr id="355"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356" name="Pop" hidden="1"/>
          <xdr:cNvSpPr txBox="1"/>
        </xdr:nvSpPr>
        <xdr:spPr>
          <a:xfrm>
            <a:off x="12959414" y="2415133"/>
            <a:ext cx="708964" cy="86728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209EFBD-2612-4A2A-93E7-81A834783C7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357" name="N_Camp" hidden="1"/>
          <xdr:cNvSpPr txBox="1"/>
        </xdr:nvSpPr>
        <xdr:spPr>
          <a:xfrm>
            <a:off x="13337142" y="2423537"/>
            <a:ext cx="836058" cy="86728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3D3C4E-8817-4DE6-B09A-9206B31BDA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8">
        <xdr:nvSpPr>
          <xdr:cNvPr id="358" name="Site"/>
          <xdr:cNvSpPr txBox="1"/>
        </xdr:nvSpPr>
        <xdr:spPr>
          <a:xfrm>
            <a:off x="12380951" y="1363461"/>
            <a:ext cx="1893717" cy="162465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87CE569-387A-4BD7-8936-E7DC52A873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59" name="Cluster"/>
          <xdr:cNvGrpSpPr/>
        </xdr:nvGrpSpPr>
        <xdr:grpSpPr>
          <a:xfrm>
            <a:off x="12477748" y="2348604"/>
            <a:ext cx="1732609" cy="380242"/>
            <a:chOff x="12477748" y="2348604"/>
            <a:chExt cx="1732609" cy="380242"/>
          </a:xfrm>
        </xdr:grpSpPr>
        <xdr:grpSp>
          <xdr:nvGrpSpPr>
            <xdr:cNvPr id="360" name="Shelter_G"/>
            <xdr:cNvGrpSpPr/>
          </xdr:nvGrpSpPr>
          <xdr:grpSpPr>
            <a:xfrm>
              <a:off x="12477748" y="2367654"/>
              <a:ext cx="332972" cy="361192"/>
              <a:chOff x="8585625" y="4782769"/>
              <a:chExt cx="147154" cy="166659"/>
            </a:xfrm>
          </xdr:grpSpPr>
          <xdr:pic>
            <xdr:nvPicPr>
              <xdr:cNvPr id="36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6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61" name="NFI_G"/>
            <xdr:cNvGrpSpPr/>
          </xdr:nvGrpSpPr>
          <xdr:grpSpPr>
            <a:xfrm>
              <a:off x="13877376" y="2348604"/>
              <a:ext cx="332981" cy="361192"/>
              <a:chOff x="8250078" y="5375644"/>
              <a:chExt cx="147158" cy="166659"/>
            </a:xfrm>
          </xdr:grpSpPr>
          <xdr:pic>
            <xdr:nvPicPr>
              <xdr:cNvPr id="36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6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143510</xdr:rowOff>
    </xdr:from>
    <xdr:to>
      <xdr:col>7</xdr:col>
      <xdr:colOff>533400</xdr:colOff>
      <xdr:row>34</xdr:row>
      <xdr:rowOff>199701</xdr:rowOff>
    </xdr:to>
    <xdr:grpSp>
      <xdr:nvGrpSpPr>
        <xdr:cNvPr id="366" name="Kutkai_G"/>
        <xdr:cNvGrpSpPr/>
      </xdr:nvGrpSpPr>
      <xdr:grpSpPr>
        <a:xfrm>
          <a:off x="4039235" y="7702550"/>
          <a:ext cx="1310005" cy="787711"/>
          <a:chOff x="12380951" y="1658202"/>
          <a:chExt cx="1893717" cy="2381154"/>
        </a:xfrm>
      </xdr:grpSpPr>
      <xdr:sp macro="" textlink="">
        <xdr:nvSpPr>
          <xdr:cNvPr id="367" name="Oval"/>
          <xdr:cNvSpPr/>
        </xdr:nvSpPr>
        <xdr:spPr>
          <a:xfrm>
            <a:off x="13152494" y="2488067"/>
            <a:ext cx="350631" cy="7214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368"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C21CCCB-597E-419F-B643-0A3F40DDA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4,538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369"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D79E92-A487-4336-A586-BF1F75BEA5E8}" type="TxLink">
              <a:rPr lang="en-US" sz="1600" b="0" i="0" u="none" strike="noStrike">
                <a:solidFill>
                  <a:srgbClr val="000000"/>
                </a:solidFill>
                <a:latin typeface="Calibri"/>
                <a:cs typeface="Arial" pitchFamily="34" charset="0"/>
              </a:rPr>
              <a:pPr algn="r"/>
              <a:t>13 cps</a:t>
            </a:fld>
            <a:endParaRPr lang="en-US" sz="600" i="1">
              <a:solidFill>
                <a:schemeClr val="tx1"/>
              </a:solidFill>
              <a:latin typeface="Arial" pitchFamily="34" charset="0"/>
              <a:cs typeface="Arial" pitchFamily="34" charset="0"/>
            </a:endParaRPr>
          </a:p>
        </xdr:txBody>
      </xdr:sp>
      <xdr:sp macro="" textlink="U9">
        <xdr:nvSpPr>
          <xdr:cNvPr id="37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5C76600-EBC3-44AE-86E9-B08BC527DE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71" name="Cluster"/>
          <xdr:cNvGrpSpPr/>
        </xdr:nvGrpSpPr>
        <xdr:grpSpPr>
          <a:xfrm>
            <a:off x="12477748" y="2348604"/>
            <a:ext cx="1732609" cy="380242"/>
            <a:chOff x="12477748" y="2348604"/>
            <a:chExt cx="1732609" cy="380242"/>
          </a:xfrm>
        </xdr:grpSpPr>
        <xdr:grpSp>
          <xdr:nvGrpSpPr>
            <xdr:cNvPr id="372" name="Shelter_G"/>
            <xdr:cNvGrpSpPr/>
          </xdr:nvGrpSpPr>
          <xdr:grpSpPr>
            <a:xfrm>
              <a:off x="12477748" y="2367654"/>
              <a:ext cx="332972" cy="361192"/>
              <a:chOff x="8585625" y="4782769"/>
              <a:chExt cx="147154" cy="166659"/>
            </a:xfrm>
          </xdr:grpSpPr>
          <xdr:pic>
            <xdr:nvPicPr>
              <xdr:cNvPr id="37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7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73" name="NFI_G"/>
            <xdr:cNvGrpSpPr/>
          </xdr:nvGrpSpPr>
          <xdr:grpSpPr>
            <a:xfrm>
              <a:off x="13877376" y="2348604"/>
              <a:ext cx="332981" cy="361192"/>
              <a:chOff x="8250078" y="5375644"/>
              <a:chExt cx="147158" cy="166659"/>
            </a:xfrm>
          </xdr:grpSpPr>
          <xdr:pic>
            <xdr:nvPicPr>
              <xdr:cNvPr id="37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7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80845</xdr:rowOff>
    </xdr:from>
    <xdr:to>
      <xdr:col>7</xdr:col>
      <xdr:colOff>165100</xdr:colOff>
      <xdr:row>8</xdr:row>
      <xdr:rowOff>231207</xdr:rowOff>
    </xdr:to>
    <xdr:grpSp>
      <xdr:nvGrpSpPr>
        <xdr:cNvPr id="378" name="Machanbaw_G"/>
        <xdr:cNvGrpSpPr/>
      </xdr:nvGrpSpPr>
      <xdr:grpSpPr>
        <a:xfrm>
          <a:off x="3670935" y="1543885"/>
          <a:ext cx="1310005" cy="638042"/>
          <a:chOff x="12380951" y="1743449"/>
          <a:chExt cx="1893717" cy="1923611"/>
        </a:xfrm>
      </xdr:grpSpPr>
      <xdr:sp macro="" textlink="">
        <xdr:nvSpPr>
          <xdr:cNvPr id="379"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380" name="Pop" hidden="1"/>
          <xdr:cNvSpPr txBox="1"/>
        </xdr:nvSpPr>
        <xdr:spPr>
          <a:xfrm>
            <a:off x="12959414" y="2416439"/>
            <a:ext cx="708964" cy="8646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F6553B-0D4D-4E9F-8358-322F36CBB6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381" name="N_Camp" hidden="1"/>
          <xdr:cNvSpPr txBox="1"/>
        </xdr:nvSpPr>
        <xdr:spPr>
          <a:xfrm>
            <a:off x="13337141" y="2047299"/>
            <a:ext cx="836058" cy="161976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565053-30C0-4F00-9F0B-D9AD3FE9DD8F}"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382" name="Site"/>
          <xdr:cNvSpPr txBox="1"/>
        </xdr:nvSpPr>
        <xdr:spPr>
          <a:xfrm>
            <a:off x="12380951" y="1743449"/>
            <a:ext cx="1893717" cy="86467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425D6CF-9F5C-4528-AF6D-171A9A443D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83" name="Cluster"/>
          <xdr:cNvGrpSpPr/>
        </xdr:nvGrpSpPr>
        <xdr:grpSpPr>
          <a:xfrm>
            <a:off x="12477748" y="2348604"/>
            <a:ext cx="1732609" cy="380242"/>
            <a:chOff x="12477748" y="2348604"/>
            <a:chExt cx="1732609" cy="380242"/>
          </a:xfrm>
        </xdr:grpSpPr>
        <xdr:grpSp>
          <xdr:nvGrpSpPr>
            <xdr:cNvPr id="384" name="Shelter_G"/>
            <xdr:cNvGrpSpPr/>
          </xdr:nvGrpSpPr>
          <xdr:grpSpPr>
            <a:xfrm>
              <a:off x="12477748" y="2367654"/>
              <a:ext cx="332972" cy="361192"/>
              <a:chOff x="8585625" y="4782769"/>
              <a:chExt cx="147154" cy="166659"/>
            </a:xfrm>
          </xdr:grpSpPr>
          <xdr:pic>
            <xdr:nvPicPr>
              <xdr:cNvPr id="38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8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85" name="NFI_G"/>
            <xdr:cNvGrpSpPr/>
          </xdr:nvGrpSpPr>
          <xdr:grpSpPr>
            <a:xfrm>
              <a:off x="13877376" y="2348604"/>
              <a:ext cx="332981" cy="361192"/>
              <a:chOff x="8250078" y="5375644"/>
              <a:chExt cx="147158" cy="166659"/>
            </a:xfrm>
          </xdr:grpSpPr>
          <xdr:pic>
            <xdr:nvPicPr>
              <xdr:cNvPr id="38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8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121285</xdr:rowOff>
    </xdr:from>
    <xdr:to>
      <xdr:col>5</xdr:col>
      <xdr:colOff>527050</xdr:colOff>
      <xdr:row>31</xdr:row>
      <xdr:rowOff>177476</xdr:rowOff>
    </xdr:to>
    <xdr:grpSp>
      <xdr:nvGrpSpPr>
        <xdr:cNvPr id="390" name="Mansi_G"/>
        <xdr:cNvGrpSpPr/>
      </xdr:nvGrpSpPr>
      <xdr:grpSpPr>
        <a:xfrm>
          <a:off x="2783205" y="6948805"/>
          <a:ext cx="1310005" cy="787711"/>
          <a:chOff x="12380951" y="1658202"/>
          <a:chExt cx="1893717" cy="2381154"/>
        </a:xfrm>
      </xdr:grpSpPr>
      <xdr:sp macro="" textlink="">
        <xdr:nvSpPr>
          <xdr:cNvPr id="391" name="Oval"/>
          <xdr:cNvSpPr/>
        </xdr:nvSpPr>
        <xdr:spPr>
          <a:xfrm>
            <a:off x="12987466" y="2148526"/>
            <a:ext cx="680688" cy="140051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39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00E090D-4D79-403D-8E45-D6D1D744A4F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13,325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39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A05BDB6-6366-489D-A742-E65D239C4F16}"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1">
        <xdr:nvSpPr>
          <xdr:cNvPr id="39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E1E35F-AF0A-4A79-B6DD-91A6587DB1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95" name="Cluster"/>
          <xdr:cNvGrpSpPr/>
        </xdr:nvGrpSpPr>
        <xdr:grpSpPr>
          <a:xfrm>
            <a:off x="12477748" y="2348604"/>
            <a:ext cx="1732609" cy="380242"/>
            <a:chOff x="12477748" y="2348604"/>
            <a:chExt cx="1732609" cy="380242"/>
          </a:xfrm>
        </xdr:grpSpPr>
        <xdr:grpSp>
          <xdr:nvGrpSpPr>
            <xdr:cNvPr id="396" name="Shelter_G"/>
            <xdr:cNvGrpSpPr/>
          </xdr:nvGrpSpPr>
          <xdr:grpSpPr>
            <a:xfrm>
              <a:off x="12477748" y="2367654"/>
              <a:ext cx="332972" cy="361192"/>
              <a:chOff x="8585625" y="4782769"/>
              <a:chExt cx="147154" cy="166659"/>
            </a:xfrm>
          </xdr:grpSpPr>
          <xdr:pic>
            <xdr:nvPicPr>
              <xdr:cNvPr id="40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0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97" name="NFI_G"/>
            <xdr:cNvGrpSpPr/>
          </xdr:nvGrpSpPr>
          <xdr:grpSpPr>
            <a:xfrm>
              <a:off x="13877376" y="2348604"/>
              <a:ext cx="332981" cy="361192"/>
              <a:chOff x="8250078" y="5375644"/>
              <a:chExt cx="147158" cy="166659"/>
            </a:xfrm>
          </xdr:grpSpPr>
          <xdr:pic>
            <xdr:nvPicPr>
              <xdr:cNvPr id="39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9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14162</xdr:rowOff>
    </xdr:from>
    <xdr:to>
      <xdr:col>5</xdr:col>
      <xdr:colOff>361950</xdr:colOff>
      <xdr:row>35</xdr:row>
      <xdr:rowOff>161726</xdr:rowOff>
    </xdr:to>
    <xdr:grpSp>
      <xdr:nvGrpSpPr>
        <xdr:cNvPr id="402" name="Manton_G"/>
        <xdr:cNvGrpSpPr/>
      </xdr:nvGrpSpPr>
      <xdr:grpSpPr>
        <a:xfrm>
          <a:off x="2618105" y="8060882"/>
          <a:ext cx="1310005" cy="635244"/>
          <a:chOff x="12380951" y="1743424"/>
          <a:chExt cx="1893717" cy="1915280"/>
        </a:xfrm>
      </xdr:grpSpPr>
      <xdr:sp macro="" textlink="">
        <xdr:nvSpPr>
          <xdr:cNvPr id="403" name="Oval"/>
          <xdr:cNvSpPr/>
        </xdr:nvSpPr>
        <xdr:spPr>
          <a:xfrm>
            <a:off x="13272018" y="2584778"/>
            <a:ext cx="111584" cy="2280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404" name="Pop" hidden="1"/>
          <xdr:cNvSpPr txBox="1"/>
        </xdr:nvSpPr>
        <xdr:spPr>
          <a:xfrm>
            <a:off x="12959414"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A3C2285-B6C3-482D-9AD6-8E904E32D7C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405" name="N_Camp" hidden="1"/>
          <xdr:cNvSpPr txBox="1"/>
        </xdr:nvSpPr>
        <xdr:spPr>
          <a:xfrm>
            <a:off x="13337141"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E61D1FE-5A7F-4C58-95BD-A37D9870D813}"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2">
        <xdr:nvSpPr>
          <xdr:cNvPr id="406"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BD80E13-EA6B-478D-A6F6-42A2A7AFB5B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07" name="Cluster"/>
          <xdr:cNvGrpSpPr/>
        </xdr:nvGrpSpPr>
        <xdr:grpSpPr>
          <a:xfrm>
            <a:off x="12477748" y="2348604"/>
            <a:ext cx="1732609" cy="380242"/>
            <a:chOff x="12477748" y="2348604"/>
            <a:chExt cx="1732609" cy="380242"/>
          </a:xfrm>
        </xdr:grpSpPr>
        <xdr:grpSp>
          <xdr:nvGrpSpPr>
            <xdr:cNvPr id="408" name="Shelter_G"/>
            <xdr:cNvGrpSpPr/>
          </xdr:nvGrpSpPr>
          <xdr:grpSpPr>
            <a:xfrm>
              <a:off x="12477748" y="2367654"/>
              <a:ext cx="332972" cy="361192"/>
              <a:chOff x="8585625" y="4782769"/>
              <a:chExt cx="147154" cy="166659"/>
            </a:xfrm>
          </xdr:grpSpPr>
          <xdr:pic>
            <xdr:nvPicPr>
              <xdr:cNvPr id="41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1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09" name="NFI_G"/>
            <xdr:cNvGrpSpPr/>
          </xdr:nvGrpSpPr>
          <xdr:grpSpPr>
            <a:xfrm>
              <a:off x="13877376" y="2348604"/>
              <a:ext cx="332981" cy="361192"/>
              <a:chOff x="8250078" y="5375644"/>
              <a:chExt cx="147158" cy="166659"/>
            </a:xfrm>
          </xdr:grpSpPr>
          <xdr:pic>
            <xdr:nvPicPr>
              <xdr:cNvPr id="41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1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414" name="Mogaung_G"/>
        <xdr:cNvGrpSpPr/>
      </xdr:nvGrpSpPr>
      <xdr:grpSpPr>
        <a:xfrm>
          <a:off x="1985645" y="4585970"/>
          <a:ext cx="1306195" cy="636037"/>
          <a:chOff x="12380951" y="1748589"/>
          <a:chExt cx="1893717" cy="1900439"/>
        </a:xfrm>
      </xdr:grpSpPr>
      <xdr:sp macro="" textlink="">
        <xdr:nvSpPr>
          <xdr:cNvPr id="415" name="Oval"/>
          <xdr:cNvSpPr/>
        </xdr:nvSpPr>
        <xdr:spPr>
          <a:xfrm>
            <a:off x="13264384" y="2569172"/>
            <a:ext cx="126852" cy="25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416"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819632-6E9F-46B6-90A8-D7966FD2EA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41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54A35EC-F181-4D82-ACAC-55D07E62E091}"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3">
        <xdr:nvSpPr>
          <xdr:cNvPr id="41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2E4D2EB-50B3-479E-B6E1-50BD1D00DA8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19" name="Cluster"/>
          <xdr:cNvGrpSpPr/>
        </xdr:nvGrpSpPr>
        <xdr:grpSpPr>
          <a:xfrm>
            <a:off x="12477748" y="2348604"/>
            <a:ext cx="1732609" cy="380242"/>
            <a:chOff x="12477748" y="2348604"/>
            <a:chExt cx="1732609" cy="380242"/>
          </a:xfrm>
        </xdr:grpSpPr>
        <xdr:grpSp>
          <xdr:nvGrpSpPr>
            <xdr:cNvPr id="420" name="Shelter_G"/>
            <xdr:cNvGrpSpPr/>
          </xdr:nvGrpSpPr>
          <xdr:grpSpPr>
            <a:xfrm>
              <a:off x="12477748" y="2367654"/>
              <a:ext cx="332972" cy="361192"/>
              <a:chOff x="8585625" y="4782769"/>
              <a:chExt cx="147154" cy="166659"/>
            </a:xfrm>
          </xdr:grpSpPr>
          <xdr:pic>
            <xdr:nvPicPr>
              <xdr:cNvPr id="42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2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21" name="NFI_G"/>
            <xdr:cNvGrpSpPr/>
          </xdr:nvGrpSpPr>
          <xdr:grpSpPr>
            <a:xfrm>
              <a:off x="13877376" y="2348604"/>
              <a:ext cx="332981" cy="361192"/>
              <a:chOff x="8250078" y="5375644"/>
              <a:chExt cx="147158" cy="166659"/>
            </a:xfrm>
          </xdr:grpSpPr>
          <xdr:pic>
            <xdr:nvPicPr>
              <xdr:cNvPr id="42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2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426" name="Mohnyin_G"/>
        <xdr:cNvGrpSpPr/>
      </xdr:nvGrpSpPr>
      <xdr:grpSpPr>
        <a:xfrm>
          <a:off x="1087755" y="5339715"/>
          <a:ext cx="1317625" cy="636037"/>
          <a:chOff x="12380951" y="1748589"/>
          <a:chExt cx="1893717" cy="1900439"/>
        </a:xfrm>
      </xdr:grpSpPr>
      <xdr:sp macro="" textlink="">
        <xdr:nvSpPr>
          <xdr:cNvPr id="427" name="Oval"/>
          <xdr:cNvSpPr/>
        </xdr:nvSpPr>
        <xdr:spPr>
          <a:xfrm>
            <a:off x="13269623" y="2579880"/>
            <a:ext cx="116375" cy="23785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428"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A7EB202-13DF-4C19-955F-EEEC32D876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429"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97EB979-1E78-4DAC-BE30-C4ADEB4D6842}"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4">
        <xdr:nvSpPr>
          <xdr:cNvPr id="43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63DA4D7-9FAA-4B9F-9F4F-F73C78FDC2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31" name="Cluster"/>
          <xdr:cNvGrpSpPr/>
        </xdr:nvGrpSpPr>
        <xdr:grpSpPr>
          <a:xfrm>
            <a:off x="12477748" y="2348604"/>
            <a:ext cx="1732609" cy="380242"/>
            <a:chOff x="12477748" y="2348604"/>
            <a:chExt cx="1732609" cy="380242"/>
          </a:xfrm>
        </xdr:grpSpPr>
        <xdr:grpSp>
          <xdr:nvGrpSpPr>
            <xdr:cNvPr id="432" name="Shelter_G"/>
            <xdr:cNvGrpSpPr/>
          </xdr:nvGrpSpPr>
          <xdr:grpSpPr>
            <a:xfrm>
              <a:off x="12477748" y="2367654"/>
              <a:ext cx="332972" cy="361192"/>
              <a:chOff x="8585625" y="4782769"/>
              <a:chExt cx="147154" cy="166659"/>
            </a:xfrm>
          </xdr:grpSpPr>
          <xdr:pic>
            <xdr:nvPicPr>
              <xdr:cNvPr id="43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3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33" name="NFI_G"/>
            <xdr:cNvGrpSpPr/>
          </xdr:nvGrpSpPr>
          <xdr:grpSpPr>
            <a:xfrm>
              <a:off x="13877376" y="2348604"/>
              <a:ext cx="332981" cy="361192"/>
              <a:chOff x="8250078" y="5375644"/>
              <a:chExt cx="147158" cy="166659"/>
            </a:xfrm>
          </xdr:grpSpPr>
          <xdr:pic>
            <xdr:nvPicPr>
              <xdr:cNvPr id="43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3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83185</xdr:rowOff>
    </xdr:from>
    <xdr:to>
      <xdr:col>5</xdr:col>
      <xdr:colOff>654050</xdr:colOff>
      <xdr:row>27</xdr:row>
      <xdr:rowOff>139376</xdr:rowOff>
    </xdr:to>
    <xdr:grpSp>
      <xdr:nvGrpSpPr>
        <xdr:cNvPr id="438" name="Momauk_G"/>
        <xdr:cNvGrpSpPr/>
      </xdr:nvGrpSpPr>
      <xdr:grpSpPr>
        <a:xfrm>
          <a:off x="2933065" y="5935345"/>
          <a:ext cx="1287145" cy="787711"/>
          <a:chOff x="12380951" y="1658202"/>
          <a:chExt cx="1893717" cy="2381154"/>
        </a:xfrm>
      </xdr:grpSpPr>
      <xdr:sp macro="" textlink="">
        <xdr:nvSpPr>
          <xdr:cNvPr id="439" name="Oval"/>
          <xdr:cNvSpPr/>
        </xdr:nvSpPr>
        <xdr:spPr>
          <a:xfrm>
            <a:off x="12952310" y="2076193"/>
            <a:ext cx="750997" cy="15451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440"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D9FDB76-CA73-4706-AE25-A6B14A5CCAB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15,854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44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19F351D-7854-4EFE-9622-44A9B06C74A1}"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5">
        <xdr:nvSpPr>
          <xdr:cNvPr id="44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9CD2D33-424F-4A57-BC67-2F793236880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3" name="Cluster"/>
          <xdr:cNvGrpSpPr/>
        </xdr:nvGrpSpPr>
        <xdr:grpSpPr>
          <a:xfrm>
            <a:off x="12477748" y="2348604"/>
            <a:ext cx="1732609" cy="380242"/>
            <a:chOff x="12477748" y="2348604"/>
            <a:chExt cx="1732609" cy="380242"/>
          </a:xfrm>
        </xdr:grpSpPr>
        <xdr:grpSp>
          <xdr:nvGrpSpPr>
            <xdr:cNvPr id="444" name="Shelter_G"/>
            <xdr:cNvGrpSpPr/>
          </xdr:nvGrpSpPr>
          <xdr:grpSpPr>
            <a:xfrm>
              <a:off x="12477748" y="2367654"/>
              <a:ext cx="332972" cy="361192"/>
              <a:chOff x="8585625" y="4782769"/>
              <a:chExt cx="147154" cy="166659"/>
            </a:xfrm>
          </xdr:grpSpPr>
          <xdr:pic>
            <xdr:nvPicPr>
              <xdr:cNvPr id="44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4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45" name="NFI_G"/>
            <xdr:cNvGrpSpPr/>
          </xdr:nvGrpSpPr>
          <xdr:grpSpPr>
            <a:xfrm>
              <a:off x="13877376" y="2348604"/>
              <a:ext cx="332981" cy="361192"/>
              <a:chOff x="8250078" y="5375644"/>
              <a:chExt cx="147158" cy="166659"/>
            </a:xfrm>
          </xdr:grpSpPr>
          <xdr:pic>
            <xdr:nvPicPr>
              <xdr:cNvPr id="44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172085</xdr:rowOff>
    </xdr:from>
    <xdr:to>
      <xdr:col>8</xdr:col>
      <xdr:colOff>9525</xdr:colOff>
      <xdr:row>31</xdr:row>
      <xdr:rowOff>228276</xdr:rowOff>
    </xdr:to>
    <xdr:grpSp>
      <xdr:nvGrpSpPr>
        <xdr:cNvPr id="450" name="Muse_G"/>
        <xdr:cNvGrpSpPr/>
      </xdr:nvGrpSpPr>
      <xdr:grpSpPr>
        <a:xfrm>
          <a:off x="4077335" y="6999605"/>
          <a:ext cx="1327150" cy="787711"/>
          <a:chOff x="12380951" y="1658202"/>
          <a:chExt cx="1893717" cy="2381154"/>
        </a:xfrm>
      </xdr:grpSpPr>
      <xdr:sp macro="" textlink="">
        <xdr:nvSpPr>
          <xdr:cNvPr id="451" name="Oval"/>
          <xdr:cNvSpPr/>
        </xdr:nvSpPr>
        <xdr:spPr>
          <a:xfrm>
            <a:off x="13231790" y="2651221"/>
            <a:ext cx="192039" cy="395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452"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1763F66-929D-400E-989B-BD6833374E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514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45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556CFBA-5EE3-4350-85E3-4564BF7711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6">
        <xdr:nvSpPr>
          <xdr:cNvPr id="45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041007B-BB24-4605-8256-C7FEAB06C8F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5" name="Cluster"/>
          <xdr:cNvGrpSpPr/>
        </xdr:nvGrpSpPr>
        <xdr:grpSpPr>
          <a:xfrm>
            <a:off x="12477748" y="2348604"/>
            <a:ext cx="1732609" cy="380242"/>
            <a:chOff x="12477748" y="2348604"/>
            <a:chExt cx="1732609" cy="380242"/>
          </a:xfrm>
        </xdr:grpSpPr>
        <xdr:grpSp>
          <xdr:nvGrpSpPr>
            <xdr:cNvPr id="456" name="Shelter_G"/>
            <xdr:cNvGrpSpPr/>
          </xdr:nvGrpSpPr>
          <xdr:grpSpPr>
            <a:xfrm>
              <a:off x="12477748" y="2367654"/>
              <a:ext cx="332972" cy="361192"/>
              <a:chOff x="8585625" y="4782769"/>
              <a:chExt cx="147154" cy="166659"/>
            </a:xfrm>
          </xdr:grpSpPr>
          <xdr:pic>
            <xdr:nvPicPr>
              <xdr:cNvPr id="46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57" name="NFI_G"/>
            <xdr:cNvGrpSpPr/>
          </xdr:nvGrpSpPr>
          <xdr:grpSpPr>
            <a:xfrm>
              <a:off x="13877376" y="2348604"/>
              <a:ext cx="332981" cy="361192"/>
              <a:chOff x="8250078" y="5375644"/>
              <a:chExt cx="147158" cy="166659"/>
            </a:xfrm>
          </xdr:grpSpPr>
          <xdr:pic>
            <xdr:nvPicPr>
              <xdr:cNvPr id="45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5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462" name="Myitkyina_G"/>
        <xdr:cNvGrpSpPr/>
      </xdr:nvGrpSpPr>
      <xdr:grpSpPr>
        <a:xfrm>
          <a:off x="2668905" y="4858385"/>
          <a:ext cx="1310005" cy="781996"/>
          <a:chOff x="12380951" y="1675478"/>
          <a:chExt cx="1893717" cy="2346603"/>
        </a:xfrm>
      </xdr:grpSpPr>
      <xdr:sp macro="" textlink="">
        <xdr:nvSpPr>
          <xdr:cNvPr id="463" name="Oval"/>
          <xdr:cNvSpPr/>
        </xdr:nvSpPr>
        <xdr:spPr>
          <a:xfrm>
            <a:off x="13072195" y="2322851"/>
            <a:ext cx="511230" cy="105185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46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FC295D-A524-4874-8E91-C337A0124E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6,461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465"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639554-9367-403C-940B-334DA2D232B2}"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7">
        <xdr:nvSpPr>
          <xdr:cNvPr id="46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3F6B1EB-88B0-4469-9267-E0E0C9D59DA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7" name="Cluster"/>
          <xdr:cNvGrpSpPr/>
        </xdr:nvGrpSpPr>
        <xdr:grpSpPr>
          <a:xfrm>
            <a:off x="12477748" y="2348604"/>
            <a:ext cx="1732609" cy="380242"/>
            <a:chOff x="12477748" y="2348604"/>
            <a:chExt cx="1732609" cy="380242"/>
          </a:xfrm>
        </xdr:grpSpPr>
        <xdr:grpSp>
          <xdr:nvGrpSpPr>
            <xdr:cNvPr id="468" name="Shelter_G"/>
            <xdr:cNvGrpSpPr/>
          </xdr:nvGrpSpPr>
          <xdr:grpSpPr>
            <a:xfrm>
              <a:off x="12477748" y="2367654"/>
              <a:ext cx="332972" cy="361192"/>
              <a:chOff x="8585625" y="4782769"/>
              <a:chExt cx="147154" cy="166659"/>
            </a:xfrm>
          </xdr:grpSpPr>
          <xdr:pic>
            <xdr:nvPicPr>
              <xdr:cNvPr id="47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69" name="NFI_G"/>
            <xdr:cNvGrpSpPr/>
          </xdr:nvGrpSpPr>
          <xdr:grpSpPr>
            <a:xfrm>
              <a:off x="13877376" y="2348604"/>
              <a:ext cx="332981" cy="361192"/>
              <a:chOff x="8250078" y="5375644"/>
              <a:chExt cx="147158" cy="166659"/>
            </a:xfrm>
          </xdr:grpSpPr>
          <xdr:pic>
            <xdr:nvPicPr>
              <xdr:cNvPr id="47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140335</xdr:rowOff>
    </xdr:from>
    <xdr:to>
      <xdr:col>6</xdr:col>
      <xdr:colOff>288925</xdr:colOff>
      <xdr:row>33</xdr:row>
      <xdr:rowOff>196526</xdr:rowOff>
    </xdr:to>
    <xdr:grpSp>
      <xdr:nvGrpSpPr>
        <xdr:cNvPr id="474" name="Namhkan_G"/>
        <xdr:cNvGrpSpPr/>
      </xdr:nvGrpSpPr>
      <xdr:grpSpPr>
        <a:xfrm>
          <a:off x="3225165" y="7455535"/>
          <a:ext cx="1315720" cy="787711"/>
          <a:chOff x="12380951" y="1658202"/>
          <a:chExt cx="1893717" cy="2381154"/>
        </a:xfrm>
      </xdr:grpSpPr>
      <xdr:sp macro="" textlink="">
        <xdr:nvSpPr>
          <xdr:cNvPr id="475" name="Oval"/>
          <xdr:cNvSpPr/>
        </xdr:nvSpPr>
        <xdr:spPr>
          <a:xfrm>
            <a:off x="13202002" y="2589933"/>
            <a:ext cx="251613" cy="5176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47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5137A44-FED8-4CB9-93B7-F766FC80441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2,769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47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AF5849F-4C78-44A2-BB4A-7CEE5837CEDD}" type="TxLink">
              <a:rPr lang="en-US" sz="1600" b="0" i="0" u="none" strike="noStrike">
                <a:solidFill>
                  <a:srgbClr val="000000"/>
                </a:solidFill>
                <a:latin typeface="Calibri"/>
                <a:cs typeface="Arial" pitchFamily="34" charset="0"/>
              </a:rPr>
              <a:pPr algn="r"/>
              <a:t>7 cps</a:t>
            </a:fld>
            <a:endParaRPr lang="en-US" sz="600" i="1">
              <a:solidFill>
                <a:schemeClr val="tx1"/>
              </a:solidFill>
              <a:latin typeface="Arial" pitchFamily="34" charset="0"/>
              <a:cs typeface="Arial" pitchFamily="34" charset="0"/>
            </a:endParaRPr>
          </a:p>
        </xdr:txBody>
      </xdr:sp>
      <xdr:sp macro="" textlink="U18">
        <xdr:nvSpPr>
          <xdr:cNvPr id="47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1DE833-B89A-4817-82DE-624589FC96B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79" name="Cluster"/>
          <xdr:cNvGrpSpPr/>
        </xdr:nvGrpSpPr>
        <xdr:grpSpPr>
          <a:xfrm>
            <a:off x="12477748" y="2348604"/>
            <a:ext cx="1732609" cy="380242"/>
            <a:chOff x="12477748" y="2348604"/>
            <a:chExt cx="1732609" cy="380242"/>
          </a:xfrm>
        </xdr:grpSpPr>
        <xdr:grpSp>
          <xdr:nvGrpSpPr>
            <xdr:cNvPr id="480" name="Shelter_G"/>
            <xdr:cNvGrpSpPr/>
          </xdr:nvGrpSpPr>
          <xdr:grpSpPr>
            <a:xfrm>
              <a:off x="12477748" y="2367654"/>
              <a:ext cx="332972" cy="361192"/>
              <a:chOff x="8585625" y="4782769"/>
              <a:chExt cx="147154" cy="166659"/>
            </a:xfrm>
          </xdr:grpSpPr>
          <xdr:pic>
            <xdr:nvPicPr>
              <xdr:cNvPr id="48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81" name="NFI_G"/>
            <xdr:cNvGrpSpPr/>
          </xdr:nvGrpSpPr>
          <xdr:grpSpPr>
            <a:xfrm>
              <a:off x="13877376" y="2348604"/>
              <a:ext cx="332981" cy="361192"/>
              <a:chOff x="8250078" y="5375644"/>
              <a:chExt cx="147158" cy="166659"/>
            </a:xfrm>
          </xdr:grpSpPr>
          <xdr:pic>
            <xdr:nvPicPr>
              <xdr:cNvPr id="48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84012</xdr:rowOff>
    </xdr:from>
    <xdr:to>
      <xdr:col>6</xdr:col>
      <xdr:colOff>47625</xdr:colOff>
      <xdr:row>37</xdr:row>
      <xdr:rowOff>231576</xdr:rowOff>
    </xdr:to>
    <xdr:grpSp>
      <xdr:nvGrpSpPr>
        <xdr:cNvPr id="486" name="Namtu_G"/>
        <xdr:cNvGrpSpPr/>
      </xdr:nvGrpSpPr>
      <xdr:grpSpPr>
        <a:xfrm>
          <a:off x="2983865" y="8618412"/>
          <a:ext cx="1315720" cy="635244"/>
          <a:chOff x="12380951" y="1743424"/>
          <a:chExt cx="1893717" cy="1915280"/>
        </a:xfrm>
      </xdr:grpSpPr>
      <xdr:sp macro="" textlink="">
        <xdr:nvSpPr>
          <xdr:cNvPr id="487" name="Oval"/>
          <xdr:cNvSpPr/>
        </xdr:nvSpPr>
        <xdr:spPr>
          <a:xfrm>
            <a:off x="13256609" y="2553284"/>
            <a:ext cx="142400" cy="29105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488" name="Pop" hidden="1"/>
          <xdr:cNvSpPr txBox="1"/>
        </xdr:nvSpPr>
        <xdr:spPr>
          <a:xfrm>
            <a:off x="12959415"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00E13C5-A2F3-48F3-9819-075D179A217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489" name="N_Camp" hidden="1"/>
          <xdr:cNvSpPr txBox="1"/>
        </xdr:nvSpPr>
        <xdr:spPr>
          <a:xfrm>
            <a:off x="13337142"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3874BE3-F5C7-4FCC-B31B-25271B68CEC7}"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9">
        <xdr:nvSpPr>
          <xdr:cNvPr id="490"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43138C5-D66B-44CD-A9FF-43A2A9CAC02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1" name="Cluster"/>
          <xdr:cNvGrpSpPr/>
        </xdr:nvGrpSpPr>
        <xdr:grpSpPr>
          <a:xfrm>
            <a:off x="12477748" y="2348604"/>
            <a:ext cx="1732609" cy="380242"/>
            <a:chOff x="12477748" y="2348604"/>
            <a:chExt cx="1732609" cy="380242"/>
          </a:xfrm>
        </xdr:grpSpPr>
        <xdr:grpSp>
          <xdr:nvGrpSpPr>
            <xdr:cNvPr id="492" name="Shelter_G"/>
            <xdr:cNvGrpSpPr/>
          </xdr:nvGrpSpPr>
          <xdr:grpSpPr>
            <a:xfrm>
              <a:off x="12477748" y="2367654"/>
              <a:ext cx="332972" cy="361192"/>
              <a:chOff x="8585625" y="4782769"/>
              <a:chExt cx="147154" cy="166659"/>
            </a:xfrm>
          </xdr:grpSpPr>
          <xdr:pic>
            <xdr:nvPicPr>
              <xdr:cNvPr id="49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93" name="NFI_G"/>
            <xdr:cNvGrpSpPr/>
          </xdr:nvGrpSpPr>
          <xdr:grpSpPr>
            <a:xfrm>
              <a:off x="13877376" y="2348604"/>
              <a:ext cx="332981" cy="361192"/>
              <a:chOff x="8250078" y="5375644"/>
              <a:chExt cx="147158" cy="166659"/>
            </a:xfrm>
          </xdr:grpSpPr>
          <xdr:pic>
            <xdr:nvPicPr>
              <xdr:cNvPr id="49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498" name="Puta-O_G"/>
        <xdr:cNvGrpSpPr/>
      </xdr:nvGrpSpPr>
      <xdr:grpSpPr>
        <a:xfrm>
          <a:off x="2920365" y="1323975"/>
          <a:ext cx="1287145" cy="636037"/>
          <a:chOff x="12380951" y="1748589"/>
          <a:chExt cx="1893717" cy="1900439"/>
        </a:xfrm>
      </xdr:grpSpPr>
      <xdr:sp macro="" textlink="">
        <xdr:nvSpPr>
          <xdr:cNvPr id="499" name="Oval"/>
          <xdr:cNvSpPr/>
        </xdr:nvSpPr>
        <xdr:spPr>
          <a:xfrm>
            <a:off x="13270968" y="2582631"/>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500"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E946F4D-8A17-4DA2-9EB9-BFD18621849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394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50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DCAF1E-8C8F-4374-B5D0-EE8C95FD621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0">
        <xdr:nvSpPr>
          <xdr:cNvPr id="50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3FD74A0-B647-4E03-B2B2-C11359086B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3" name="Cluster"/>
          <xdr:cNvGrpSpPr/>
        </xdr:nvGrpSpPr>
        <xdr:grpSpPr>
          <a:xfrm>
            <a:off x="12477748" y="2348604"/>
            <a:ext cx="1732609" cy="380242"/>
            <a:chOff x="12477748" y="2348604"/>
            <a:chExt cx="1732609" cy="380242"/>
          </a:xfrm>
        </xdr:grpSpPr>
        <xdr:grpSp>
          <xdr:nvGrpSpPr>
            <xdr:cNvPr id="504" name="Shelter_G"/>
            <xdr:cNvGrpSpPr/>
          </xdr:nvGrpSpPr>
          <xdr:grpSpPr>
            <a:xfrm>
              <a:off x="12477748" y="2367654"/>
              <a:ext cx="332972" cy="361192"/>
              <a:chOff x="8585625" y="4782769"/>
              <a:chExt cx="147154" cy="166659"/>
            </a:xfrm>
          </xdr:grpSpPr>
          <xdr:pic>
            <xdr:nvPicPr>
              <xdr:cNvPr id="50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0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05" name="NFI_G"/>
            <xdr:cNvGrpSpPr/>
          </xdr:nvGrpSpPr>
          <xdr:grpSpPr>
            <a:xfrm>
              <a:off x="13877376" y="2348604"/>
              <a:ext cx="332981" cy="361192"/>
              <a:chOff x="8250078" y="5375644"/>
              <a:chExt cx="147158" cy="166659"/>
            </a:xfrm>
          </xdr:grpSpPr>
          <xdr:pic>
            <xdr:nvPicPr>
              <xdr:cNvPr id="50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175260</xdr:rowOff>
    </xdr:from>
    <xdr:to>
      <xdr:col>4</xdr:col>
      <xdr:colOff>139700</xdr:colOff>
      <xdr:row>28</xdr:row>
      <xdr:rowOff>231451</xdr:rowOff>
    </xdr:to>
    <xdr:grpSp>
      <xdr:nvGrpSpPr>
        <xdr:cNvPr id="510" name="Shwegu_G"/>
        <xdr:cNvGrpSpPr/>
      </xdr:nvGrpSpPr>
      <xdr:grpSpPr>
        <a:xfrm>
          <a:off x="1744345" y="6271260"/>
          <a:ext cx="1306195" cy="787711"/>
          <a:chOff x="12380951" y="1658202"/>
          <a:chExt cx="1893717" cy="2381154"/>
        </a:xfrm>
      </xdr:grpSpPr>
      <xdr:sp macro="" textlink="">
        <xdr:nvSpPr>
          <xdr:cNvPr id="511" name="Oval"/>
          <xdr:cNvSpPr/>
        </xdr:nvSpPr>
        <xdr:spPr>
          <a:xfrm>
            <a:off x="13186887" y="2558830"/>
            <a:ext cx="281846" cy="5798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51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7E36E41-45E6-4C28-B056-058AC9FAF7C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2,170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513" name="N_Camp" hidden="1"/>
          <xdr:cNvSpPr txBox="1"/>
        </xdr:nvSpPr>
        <xdr:spPr>
          <a:xfrm>
            <a:off x="13337143" y="2423689"/>
            <a:ext cx="836059"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CE1AB00-952B-4A47-B2CB-65C20DA4CED1}"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51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B0F8E2A-1062-4AC3-9375-407D88B651FA}"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5" name="Cluster"/>
          <xdr:cNvGrpSpPr/>
        </xdr:nvGrpSpPr>
        <xdr:grpSpPr>
          <a:xfrm>
            <a:off x="12477748" y="2348604"/>
            <a:ext cx="1732609" cy="380242"/>
            <a:chOff x="12477748" y="2348604"/>
            <a:chExt cx="1732609" cy="380242"/>
          </a:xfrm>
        </xdr:grpSpPr>
        <xdr:grpSp>
          <xdr:nvGrpSpPr>
            <xdr:cNvPr id="516" name="Shelter_G"/>
            <xdr:cNvGrpSpPr/>
          </xdr:nvGrpSpPr>
          <xdr:grpSpPr>
            <a:xfrm>
              <a:off x="12477748" y="2367654"/>
              <a:ext cx="332972" cy="361192"/>
              <a:chOff x="8585625" y="4782769"/>
              <a:chExt cx="147154" cy="166659"/>
            </a:xfrm>
          </xdr:grpSpPr>
          <xdr:pic>
            <xdr:nvPicPr>
              <xdr:cNvPr id="52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17" name="NFI_G"/>
            <xdr:cNvGrpSpPr/>
          </xdr:nvGrpSpPr>
          <xdr:grpSpPr>
            <a:xfrm>
              <a:off x="13877376" y="2348604"/>
              <a:ext cx="332981" cy="361192"/>
              <a:chOff x="8250078" y="5375644"/>
              <a:chExt cx="147158" cy="166659"/>
            </a:xfrm>
          </xdr:grpSpPr>
          <xdr:pic>
            <xdr:nvPicPr>
              <xdr:cNvPr id="51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1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41910</xdr:rowOff>
    </xdr:from>
    <xdr:to>
      <xdr:col>6</xdr:col>
      <xdr:colOff>85725</xdr:colOff>
      <xdr:row>14</xdr:row>
      <xdr:rowOff>98101</xdr:rowOff>
    </xdr:to>
    <xdr:grpSp>
      <xdr:nvGrpSpPr>
        <xdr:cNvPr id="522" name="Sumprabum_G"/>
        <xdr:cNvGrpSpPr/>
      </xdr:nvGrpSpPr>
      <xdr:grpSpPr>
        <a:xfrm>
          <a:off x="3021965" y="2724150"/>
          <a:ext cx="1315720" cy="787711"/>
          <a:chOff x="12380951" y="1658202"/>
          <a:chExt cx="1893717" cy="2381154"/>
        </a:xfrm>
      </xdr:grpSpPr>
      <xdr:sp macro="" textlink="">
        <xdr:nvSpPr>
          <xdr:cNvPr id="523"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524"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C0A70E0-F4E4-44FB-9229-CAF5E578F5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525"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33C1306-DAF7-44EA-80F8-172B64DC504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526"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3187E28-A528-40F0-9FA8-53A6DC5B1B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7" name="Cluster"/>
          <xdr:cNvGrpSpPr/>
        </xdr:nvGrpSpPr>
        <xdr:grpSpPr>
          <a:xfrm>
            <a:off x="12477748" y="2348604"/>
            <a:ext cx="1732609" cy="380242"/>
            <a:chOff x="12477748" y="2348604"/>
            <a:chExt cx="1732609" cy="380242"/>
          </a:xfrm>
        </xdr:grpSpPr>
        <xdr:grpSp>
          <xdr:nvGrpSpPr>
            <xdr:cNvPr id="528" name="Shelter_G"/>
            <xdr:cNvGrpSpPr/>
          </xdr:nvGrpSpPr>
          <xdr:grpSpPr>
            <a:xfrm>
              <a:off x="12477748" y="2367654"/>
              <a:ext cx="332972" cy="361192"/>
              <a:chOff x="8585625" y="4782769"/>
              <a:chExt cx="147154" cy="166659"/>
            </a:xfrm>
          </xdr:grpSpPr>
          <xdr:pic>
            <xdr:nvPicPr>
              <xdr:cNvPr id="53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29" name="NFI_G"/>
            <xdr:cNvGrpSpPr/>
          </xdr:nvGrpSpPr>
          <xdr:grpSpPr>
            <a:xfrm>
              <a:off x="13877376" y="2348604"/>
              <a:ext cx="332981" cy="361192"/>
              <a:chOff x="8250078" y="5375644"/>
              <a:chExt cx="147158" cy="166659"/>
            </a:xfrm>
          </xdr:grpSpPr>
          <xdr:pic>
            <xdr:nvPicPr>
              <xdr:cNvPr id="53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26035</xdr:rowOff>
    </xdr:from>
    <xdr:to>
      <xdr:col>7</xdr:col>
      <xdr:colOff>38100</xdr:colOff>
      <xdr:row>21</xdr:row>
      <xdr:rowOff>82226</xdr:rowOff>
    </xdr:to>
    <xdr:grpSp>
      <xdr:nvGrpSpPr>
        <xdr:cNvPr id="534" name="Waingmaw_G"/>
        <xdr:cNvGrpSpPr/>
      </xdr:nvGrpSpPr>
      <xdr:grpSpPr>
        <a:xfrm>
          <a:off x="3517265" y="4415155"/>
          <a:ext cx="1336675" cy="787711"/>
          <a:chOff x="12380951" y="1658202"/>
          <a:chExt cx="1893717" cy="2381154"/>
        </a:xfrm>
      </xdr:grpSpPr>
      <xdr:sp macro="" textlink="">
        <xdr:nvSpPr>
          <xdr:cNvPr id="535" name="Oval"/>
          <xdr:cNvSpPr/>
        </xdr:nvSpPr>
        <xdr:spPr>
          <a:xfrm>
            <a:off x="12782326" y="1726448"/>
            <a:ext cx="1090968" cy="22446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53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8FE780A-96D8-4C34-8D1E-F6FCCF960D4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31,632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53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1BC6D6-5D6C-4F00-A01A-0AF72FF53391}"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23">
        <xdr:nvSpPr>
          <xdr:cNvPr id="53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997E84-61B6-4855-AF83-FA7A27F3591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39" name="Cluster"/>
          <xdr:cNvGrpSpPr/>
        </xdr:nvGrpSpPr>
        <xdr:grpSpPr>
          <a:xfrm>
            <a:off x="12477748" y="2348604"/>
            <a:ext cx="1732609" cy="380242"/>
            <a:chOff x="12477748" y="2348604"/>
            <a:chExt cx="1732609" cy="380242"/>
          </a:xfrm>
        </xdr:grpSpPr>
        <xdr:grpSp>
          <xdr:nvGrpSpPr>
            <xdr:cNvPr id="540" name="Shelter_G"/>
            <xdr:cNvGrpSpPr/>
          </xdr:nvGrpSpPr>
          <xdr:grpSpPr>
            <a:xfrm>
              <a:off x="12477748" y="2367654"/>
              <a:ext cx="332972" cy="361192"/>
              <a:chOff x="8585625" y="4782769"/>
              <a:chExt cx="147154" cy="166659"/>
            </a:xfrm>
          </xdr:grpSpPr>
          <xdr:pic>
            <xdr:nvPicPr>
              <xdr:cNvPr id="54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41" name="NFI_G"/>
            <xdr:cNvGrpSpPr/>
          </xdr:nvGrpSpPr>
          <xdr:grpSpPr>
            <a:xfrm>
              <a:off x="13877376" y="2348604"/>
              <a:ext cx="332981" cy="361192"/>
              <a:chOff x="8250078" y="5375644"/>
              <a:chExt cx="147158" cy="166659"/>
            </a:xfrm>
          </xdr:grpSpPr>
          <xdr:pic>
            <xdr:nvPicPr>
              <xdr:cNvPr id="54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330200</xdr:colOff>
      <xdr:row>28</xdr:row>
      <xdr:rowOff>237257</xdr:rowOff>
    </xdr:from>
    <xdr:to>
      <xdr:col>1</xdr:col>
      <xdr:colOff>742950</xdr:colOff>
      <xdr:row>34</xdr:row>
      <xdr:rowOff>41183</xdr:rowOff>
    </xdr:to>
    <xdr:grpSp>
      <xdr:nvGrpSpPr>
        <xdr:cNvPr id="546" name="Kachin/Shan_G"/>
        <xdr:cNvGrpSpPr/>
      </xdr:nvGrpSpPr>
      <xdr:grpSpPr>
        <a:xfrm>
          <a:off x="330200" y="7064777"/>
          <a:ext cx="1281430" cy="1266966"/>
          <a:chOff x="12380951" y="940641"/>
          <a:chExt cx="1893717" cy="3816275"/>
        </a:xfrm>
      </xdr:grpSpPr>
      <xdr:sp macro="" textlink="">
        <xdr:nvSpPr>
          <xdr:cNvPr id="547" name="Oval"/>
          <xdr:cNvSpPr/>
        </xdr:nvSpPr>
        <xdr:spPr>
          <a:xfrm>
            <a:off x="12400401" y="940641"/>
            <a:ext cx="1854814" cy="38162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548" name="Pop" hidden="1"/>
          <xdr:cNvSpPr txBox="1"/>
        </xdr:nvSpPr>
        <xdr:spPr>
          <a:xfrm>
            <a:off x="12959414" y="1662433"/>
            <a:ext cx="708964" cy="237269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F65F049-7D2E-4F1B-A560-F02AC8D7074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96,661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549" name="N_Camp" hidden="1"/>
          <xdr:cNvSpPr txBox="1"/>
        </xdr:nvSpPr>
        <xdr:spPr>
          <a:xfrm>
            <a:off x="13337142" y="2048029"/>
            <a:ext cx="836058" cy="161829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B638263-BC3C-45F6-9ECD-584A92CFBCD4}" type="TxLink">
              <a:rPr lang="en-US" sz="1600" b="0" i="0" u="none" strike="noStrike">
                <a:solidFill>
                  <a:srgbClr val="000000"/>
                </a:solidFill>
                <a:latin typeface="Calibri"/>
                <a:cs typeface="Arial" pitchFamily="34" charset="0"/>
              </a:rPr>
              <a:pPr algn="r"/>
              <a:t>178 camps</a:t>
            </a:fld>
            <a:endParaRPr lang="en-US" sz="600" i="1">
              <a:solidFill>
                <a:schemeClr val="tx1"/>
              </a:solidFill>
              <a:latin typeface="Arial" pitchFamily="34" charset="0"/>
              <a:cs typeface="Arial" pitchFamily="34" charset="0"/>
            </a:endParaRPr>
          </a:p>
        </xdr:txBody>
      </xdr:sp>
      <xdr:sp macro="" textlink="U24">
        <xdr:nvSpPr>
          <xdr:cNvPr id="550" name="Site"/>
          <xdr:cNvSpPr txBox="1"/>
        </xdr:nvSpPr>
        <xdr:spPr>
          <a:xfrm>
            <a:off x="12380951" y="1743839"/>
            <a:ext cx="1893717" cy="8638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4DF677A-AB44-48B8-AB19-00629A9739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33</xdr:row>
      <xdr:rowOff>57149</xdr:rowOff>
    </xdr:from>
    <xdr:to>
      <xdr:col>16</xdr:col>
      <xdr:colOff>9525</xdr:colOff>
      <xdr:row>52</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57</xdr:row>
      <xdr:rowOff>357188</xdr:rowOff>
    </xdr:from>
    <xdr:to>
      <xdr:col>16</xdr:col>
      <xdr:colOff>11906</xdr:colOff>
      <xdr:row>75</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33</xdr:row>
      <xdr:rowOff>71437</xdr:rowOff>
    </xdr:from>
    <xdr:to>
      <xdr:col>7</xdr:col>
      <xdr:colOff>154781</xdr:colOff>
      <xdr:row>52</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850438"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11907</xdr:colOff>
      <xdr:row>57</xdr:row>
      <xdr:rowOff>346983</xdr:rowOff>
    </xdr:from>
    <xdr:to>
      <xdr:col>5</xdr:col>
      <xdr:colOff>71438</xdr:colOff>
      <xdr:row>75</xdr:row>
      <xdr:rowOff>108858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wint\AppData\Local\Microsoft\Windows\Temporary%20Internet%20Files\Content.Outlook\60CNULBQ\Aug_CAR\Shelter-NFI-CCCM%20Kachin%20Northern%20Shan%20Cluster%20Analysis%20Report_Aug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Define_TCL"/>
      <sheetName val="File_Details"/>
      <sheetName val="Definition"/>
      <sheetName val="Shelter-NFI-CCCM Kachin Norther"/>
    </sheetNames>
    <sheetDataSet>
      <sheetData sheetId="0"/>
      <sheetData sheetId="1"/>
      <sheetData sheetId="2"/>
      <sheetData sheetId="3"/>
      <sheetData sheetId="4"/>
      <sheetData sheetId="5">
        <row r="6">
          <cell r="AL6" t="str">
            <v>1-100</v>
          </cell>
          <cell r="AM6" t="str">
            <v>100-1k</v>
          </cell>
          <cell r="AN6" t="str">
            <v>1k-5k</v>
          </cell>
          <cell r="AO6" t="str">
            <v>5k-10k</v>
          </cell>
        </row>
        <row r="29">
          <cell r="AL29">
            <v>2.2813841879262439E-2</v>
          </cell>
          <cell r="AM29">
            <v>0.40213185147764585</v>
          </cell>
          <cell r="AN29">
            <v>0.41675170497600406</v>
          </cell>
          <cell r="AO29">
            <v>0.15830260166708765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832.646032407407"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49"/>
    </cacheField>
    <cacheField name="Ind" numFmtId="0">
      <sharedItems containsSemiMixedTypes="0" containsString="0" containsNumber="1" containsInteger="1" minValue="0" maxValue="8965"/>
    </cacheField>
    <cacheField name="Winter Clothes Adult " numFmtId="0">
      <sharedItems containsSemiMixedTypes="0" containsString="0" containsNumber="1" containsInteger="1" minValue="0" maxValue="380"/>
    </cacheField>
    <cacheField name="Winter Clothes Children " numFmtId="0">
      <sharedItems containsSemiMixedTypes="0" containsString="0" containsNumber="1" containsInteger="1" minValue="0" maxValue="1145"/>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298"/>
    </cacheField>
    <cacheField name="WC_Child_Gap" numFmtId="0">
      <sharedItems containsSemiMixedTypes="0" containsString="0" containsNumber="1" containsInteger="1" minValue="0" maxValue="1649"/>
    </cacheField>
    <cacheField name="WI_Other_Gap" numFmtId="0">
      <sharedItems containsSemiMixedTypes="0" containsString="0" containsNumber="1" containsInteger="1" minValue="0" maxValue="1649"/>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e Paing" refreshedDate="42832.6460337963" createdVersion="5" refreshedVersion="5" minRefreshableVersion="3" recordCount="1335">
  <cacheSource type="worksheet">
    <worksheetSource name="Table_NFI[[Months]:[Planned Distribution]]"/>
  </cacheSource>
  <cacheFields count="48">
    <cacheField name="Months" numFmtId="1">
      <sharedItems containsMixedTypes="1" containsNumber="1" minValue="-0.73333333333333328" maxValue="62.9"/>
    </cacheField>
    <cacheField name="Distribution Date" numFmtId="169">
      <sharedItems containsNonDate="0" containsDate="1" containsString="0" containsBlank="1" minDate="2011-11-02T00:00:00" maxDate="2017-01-24T00:00:00"/>
    </cacheField>
    <cacheField name="Organization" numFmtId="0">
      <sharedItems containsBlank="1" count="15">
        <s v="UNHCR"/>
        <s v="ICRC"/>
        <s v="MRCS"/>
        <s v="DRC"/>
        <s v="Solidarities"/>
        <s v="FSD"/>
        <s v="DFID"/>
        <s v="Save the Children"/>
        <s v="CRCS"/>
        <s v="World Vision"/>
        <s v="Plan-Myanmar"/>
        <s v="CRC"/>
        <s v="UNHCR "/>
        <s v="Relief International"/>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4"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9"/>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327.5"/>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64"/>
    </cacheField>
    <cacheField name="Shelter Tool kit_LS" numFmtId="0">
      <sharedItems containsString="0" containsBlank="1" containsNumber="1" containsInteger="1" minValue="0" maxValue="152"/>
    </cacheField>
    <cacheField name="Tent_LS" numFmtId="0">
      <sharedItems containsString="0" containsBlank="1" containsNumber="1" containsInteger="1" minValue="0" maxValue="71"/>
    </cacheField>
    <cacheField name="Pcode" numFmtId="0">
      <sharedItems containsBlank="1"/>
    </cacheField>
    <cacheField name="opening_date" numFmtId="1">
      <sharedItems containsDate="1" containsMixedTypes="1" minDate="1899-12-31T00:00:00" maxDate="2016-08-03T00:00:00" count="39">
        <n v="0"/>
        <n v="1"/>
        <s v=""/>
        <d v="2011-07-01T00:00:00" u="1"/>
        <d v="2012-07-0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Closed"/>
        <s v="Open"/>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832.725448611112" missingItemsLimit="0" createdVersion="4" refreshedVersion="5" minRefreshableVersion="3" recordCount="370">
  <cacheSource type="worksheet">
    <worksheetSource name="Table_Shelter"/>
  </cacheSource>
  <cacheFields count="23">
    <cacheField name="Update Date" numFmtId="15">
      <sharedItems containsNonDate="0" containsDate="1" containsString="0" containsBlank="1" minDate="2013-12-01T00:00:00" maxDate="2017-02-25T00:00:00"/>
    </cacheField>
    <cacheField name="Organization" numFmtId="0">
      <sharedItems containsBlank="1" count="17">
        <s v="UNHCR"/>
        <s v="UNOCHA"/>
        <s v="DRC"/>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Myitkyina"/>
        <s v="Bhamo"/>
        <s v="Hpakant"/>
        <s v="Mansi"/>
        <s v="Momauk"/>
        <s v="Kutkai"/>
        <s v="Waingmaw"/>
        <s v="Chipwi"/>
        <s v="Namhkan"/>
        <s v="Puta-O"/>
        <s v="Mogaung"/>
        <s v="Muse"/>
        <s v="Hseni"/>
        <s v="Manton"/>
        <s v="Namtu"/>
        <s v="Mohnyin"/>
        <s v="Shwegu"/>
      </sharedItems>
    </cacheField>
    <cacheField name="CampName" numFmtId="0">
      <sharedItems containsBlank="1" count="148">
        <s v="Du Kahtawng Qtr. 14"/>
        <s v="Robert Church"/>
        <s v="Shar Du Zut RC church"/>
        <s v="Man Wing Baptist Church Cultural Compound"/>
        <s v="AD-2000 Tharthana Compound"/>
        <s v="Pa Kahtawng "/>
        <s v="Mungji Pa Dabang (Catholic Church)"/>
        <s v="Border Post 8"/>
        <s v="Pan Wa"/>
        <s v="Nan Kway St. John Catholic Church"/>
        <s v="Saw Zam"/>
        <s v="Maw Hpawng Lhaovo Baptist Church"/>
        <s v="Qtr. 2 Lhaovo Baptist Church"/>
        <s v="Lhaovao Baptist Church (LBC)"/>
        <s v="Chipwi KBC camp"/>
        <s v="AG Church, Hmaw Si Sa"/>
        <s v="AG Church, Maw Wan"/>
        <s v="Chin Church, Seik Mu"/>
        <s v="Dhama Rakhita, Nyein Chan Tar Yar Ward(Lon Khin)"/>
        <s v="Lisu Baptist Church, Maw Shan Vil,. Seik Mu"/>
        <s v="Lisu Boarding-House"/>
        <s v="Lana Zup Ja "/>
        <s v="Man Wing Catholic Church"/>
        <s v="Maw Hpawng Hka Nan Baptist Church"/>
        <s v="Loi Je Lisu Camp"/>
        <s v="Nyaung Na Pin "/>
        <s v="Seng Ja "/>
        <s v="Nam Hkam Catholic Church ( St. Thomas I)"/>
        <s v="Hkau Shau (BP 12)"/>
        <s v="Hpare Hkyer - BP6"/>
        <s v="Pajau - Jan Mai"/>
        <s v="Shing Jai"/>
        <s v="Zai Awng - Mung Ga Zup"/>
        <s v="Dum Bung "/>
        <s v="Jan Mai Kawng Baptist Church"/>
        <s v="Lung Sut"/>
        <s v="Maina Lawang Baptist Church"/>
        <s v="Maing Khaung"/>
        <s v="Qtr. 2 Myoma Baptist Church"/>
        <s v="Tat Kone Baptist Church"/>
        <s v="Tat Kone Galile Baptist Church"/>
        <s v="Tat Kone San Pya Baptist Church"/>
        <s v="Nhkawng Pa "/>
        <s v="Post 6 Camp"/>
        <s v="Je Yang Hka "/>
        <s v="Sar Hmaw - KBC"/>
        <s v="Le Kone Ziun Baptist Church "/>
        <s v="5 Ward RC Church(lon Khin)"/>
        <s v="Hpun Lum Yang "/>
        <s v="Nam Hkam (KBC Jaw Wang) II"/>
        <s v="Nam Hkawng"/>
        <s v="Nam Sa Larp"/>
        <s v="Namhkan - Pang Long KBC"/>
        <s v="Pa Dauk Myaing(Pa La Na)"/>
        <s v="Tat Kone COC Baptist - Tat Kone Htoi San"/>
        <s v="Zup Aung Camp"/>
        <s v="Shatapru Sut Ngai Tawng"/>
        <s v="Shwe Zet Baptist Church"/>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andung - Jinghpaw"/>
        <s v="Mungji Pa Dabang (Baptist Church)         "/>
        <s v="Sai Nai Baptish Church, Maw Shan Vil., Seki Mu"/>
        <s v="Ward 2 Sai Taung Baptist Church, Seik Mu "/>
        <s v="Howa"/>
        <s v="Ku Day Maw KBC"/>
        <s v="Kyun Pin Thar Baptist Church"/>
        <s v="Kyun Taw Baptist Church "/>
        <s v="Le Kone Bethlehem Church"/>
        <s v="Loi Je Baptist Church"/>
        <s v="Maina KBC (Bawng Ring)"/>
        <s v="Maliyang Baptist Church"/>
        <s v="Man Hkring Baptist Church"/>
        <s v="Man Wing Baptist Church"/>
        <s v="Mang Hawng Baptist Church"/>
        <s v="Mung Baw "/>
        <s v="Nam Hkam - Nay Win Ni (Palawng)"/>
        <s v="Aung Thar Church"/>
        <s v="Du Kahtawng Qtr. 4"/>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Njang Dung Baptist Church "/>
        <s v="Lung Kawk  ( Hka Hkye Zup)"/>
        <s v="Mading Baptist Church"/>
        <s v="Maga Yang "/>
        <s v="Mai Khat "/>
        <s v="Maina Catholic Church (St. Joseph)"/>
        <s v="Maing Khaung Catholic Church"/>
        <s v="Mandalay Monestry"/>
        <s v="Mashi Kahtawng Baptist  Church"/>
        <s v="Mine Yu Lay village"/>
        <s v="Momauk Catholic Church (St. Patrick)"/>
        <s v="Mung Ding Pa  (Boarder)"/>
        <s v="Muse Catholic Church"/>
        <s v="Nam Lim Pa"/>
        <s v="Nant Hlaing Church"/>
        <s v="Qtr. 4 Monestry (Thargaya Thayett Taw)"/>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0" maxValue="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12"/>
        <s v="MMR001CMP047"/>
        <s v="MMR001CMP246"/>
        <s v="MMR001CMP230"/>
        <s v="MMR001CMP050"/>
        <s v="MMR001CMP126"/>
        <s v="MMR015CMP217"/>
        <s v="MMR001CMP113"/>
        <s v="MMR001CMP210"/>
        <s v="MMR001CMP024"/>
        <s v="MMR001CMP225"/>
        <s v="MMR001CMP021"/>
        <s v="MMR001CMP032"/>
        <s v="MMR001CMP195"/>
        <s v="MMR001CMP042"/>
        <s v="MMR001CMP176"/>
        <s v="MMR001CMP190"/>
        <s v="MMR001CMP109"/>
        <s v="MMR001CMP174"/>
        <s v="MMR001CMP181"/>
        <s v="MMR001CMP049"/>
        <s v="MMR001CMP128"/>
        <s v="MMR001CMP132"/>
        <s v="MMR001CMP020"/>
        <s v="MMR001CMP070"/>
        <s v="MMR001CMP072"/>
        <s v="MMR001CMP073"/>
        <s v="MMR015CMP003"/>
        <s v="MMR001CMP115"/>
        <s v="MMR001CMP043"/>
        <s v="MMR001CMP120"/>
        <s v="MMR001CMP041"/>
        <s v="MMR001CMP111"/>
        <s v="MMR001CMP123"/>
        <s v="MMR001CMP018"/>
        <s v="MMR001CMP234"/>
        <s v="MMR001CMP039"/>
        <s v="MMR001CMP218"/>
        <s v="MMR001CMP025"/>
        <s v="MMR001CMP001"/>
        <s v="MMR001CMP003"/>
        <s v="MMR001CMP005"/>
        <s v="MMR001CMP131"/>
        <s v="MMR001CMP160"/>
        <s v="MMR001CMP121"/>
        <s v="MMR001CMP236"/>
        <s v="MMR001CMP014"/>
        <s v="MMR001CMP168"/>
        <s v="MMR001CMP122"/>
        <s v="MMR015CMP214"/>
        <s v="MMR015CMP139"/>
        <s v="MMR015CMP218"/>
        <s v="MMR015CMP215"/>
        <s v="MMR001CMP162"/>
        <s v="MMR001CMP023"/>
        <s v="MMR015CMP020"/>
        <s v="MMR001CMP006"/>
        <s v="MMR001CMP009"/>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9"/>
        <s v="MMR015CMP006"/>
        <s v="MMR001CMP183"/>
        <s v="MMR001CMP184"/>
        <s v="MMR015CMP010"/>
        <s v="MMR001CMP231"/>
        <s v="MMR001CMP013"/>
        <s v="MMR001CMP078"/>
        <s v="MMR001CMP015"/>
        <s v="MMR001CMP071"/>
        <s v="MMR001CMP040"/>
        <s v="MMR001CMP016"/>
        <s v="MMR001CMP008"/>
        <s v="MMR001CMP133"/>
        <s v="MMR001CMP077"/>
        <s v="MMR015CMP005"/>
        <s v="MMR015CMP004"/>
        <s v="MMR001CMP194"/>
        <s v="MMR001CMP010"/>
        <s v="MMR001CMP011"/>
        <s v="MMR001CMP052"/>
        <s v="MMR015CMP001"/>
        <s v="MMR001CMP019"/>
        <s v="MMR015CMP015"/>
        <s v="MMR015CMP007"/>
        <s v="MMR015CMP016"/>
        <s v="MMR015CMP017"/>
        <s v="MMR015CMP014"/>
        <s v="MMR001CMP103"/>
        <s v="MMR001CMP079"/>
        <s v="MMR001CMP152"/>
        <s v="MMR001CMP002"/>
        <s v="MMR001CMP135"/>
        <s v="MMR001CMP027"/>
        <s v="MMR001CMP119"/>
        <s v="MMR001CMP064"/>
        <s v="MMR001CMP029"/>
        <s v="MMR001CMP223"/>
        <s v="MMR001CMP058"/>
        <s v="MMR001CMP094"/>
        <s v="MMR015CMP018"/>
        <s v="MMR001CMP057"/>
        <s v="MMR001CMP203"/>
        <s v="MMR015CMP216"/>
        <s v="MMR001CMP204"/>
        <s v="MMR001CMP054"/>
        <s v="MMR001CMP026"/>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y Khaing" refreshedDate="42832.73468483796" missingItemsLimit="0" createdVersion="4" refreshedVersion="5" minRefreshableVersion="3" recordCount="1335">
  <cacheSource type="worksheet">
    <worksheetSource name="Table_NFI"/>
  </cacheSource>
  <cacheFields count="49">
    <cacheField name="Months" numFmtId="1">
      <sharedItems containsMixedTypes="1" containsNumber="1" minValue="-0.73333333333333328" maxValue="62.9"/>
    </cacheField>
    <cacheField name="Distribution Date" numFmtId="169">
      <sharedItems containsNonDate="0" containsDate="1" containsString="0" containsBlank="1" minDate="2011-11-02T00:00:00" maxDate="2017-01-24T00:00:00"/>
    </cacheField>
    <cacheField name="Organization" numFmtId="0">
      <sharedItems containsBlank="1" count="15">
        <s v="UNHCR"/>
        <s v="Solidarities"/>
        <s v="Relief International"/>
        <s v="UNHCR "/>
        <s v="ICRC"/>
        <s v="Plan-Myanmar"/>
        <s v="CRCS"/>
        <s v="DRC"/>
        <s v="CRC"/>
        <s v="Save the Children"/>
        <s v="FSD"/>
        <s v="MRCS"/>
        <s v="DFID"/>
        <s v="World Vision"/>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4"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9"/>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327.5"/>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ount="3">
        <n v="0"/>
        <m/>
        <n v="1"/>
      </sharedItems>
    </cacheField>
    <cacheField name="Jerry Can_LS" numFmtId="0">
      <sharedItems containsString="0" containsBlank="1" containsNumber="1" containsInteger="1" minValue="0" maxValue="64"/>
    </cacheField>
    <cacheField name="Shelter Tool kit_LS" numFmtId="0">
      <sharedItems containsString="0" containsBlank="1" containsNumber="1" containsInteger="1" minValue="0" maxValue="152"/>
    </cacheField>
    <cacheField name="Tent_LS" numFmtId="0">
      <sharedItems containsString="0" containsBlank="1" containsNumber="1" containsInteger="1" minValue="0" maxValue="71"/>
    </cacheField>
    <cacheField name="Pcode" numFmtId="0">
      <sharedItems containsBlank="1"/>
    </cacheField>
    <cacheField name="opening_date" numFmtId="1">
      <sharedItems containsMixedTypes="1" containsNumber="1" containsInteger="1" minValue="0" maxValue="1" count="3">
        <n v="0"/>
        <n v="1"/>
        <s v=""/>
      </sharedItems>
    </cacheField>
    <cacheField name="Status" numFmtId="0">
      <sharedItems count="3">
        <s v="Closed"/>
        <s v="Open"/>
        <s v=""/>
      </sharedItems>
    </cacheField>
    <cacheField name="Priority" numFmtId="0">
      <sharedItems containsBlank="1" containsMixedTypes="1" containsNumber="1" containsInteger="1" minValue="0" maxValue="0" count="7">
        <s v=""/>
        <s v="P4"/>
        <s v="P3"/>
        <n v="0"/>
        <m/>
        <s v="P1"/>
        <s v="P2"/>
      </sharedItems>
    </cacheField>
    <cacheField name="Coverage" numFmtId="9">
      <sharedItems containsBlank="1" containsMixedTypes="1" containsNumber="1" minValue="0" maxValue="3.9648328097221207E-2"/>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y Khaing" refreshedDate="42832.734685763891" missingItemsLimit="0" createdVersion="4" refreshedVersion="5" minRefreshableVersion="3" recordCount="275">
  <cacheSource type="worksheet">
    <worksheetSource name="AllData_CampList"/>
  </cacheSource>
  <cacheFields count="42">
    <cacheField name="Status" numFmtId="0">
      <sharedItems count="2">
        <s v="Open"/>
        <s v="Closed"/>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2">
        <s v="Bhamo"/>
        <s v="Namhkan"/>
        <s v="Chipwi"/>
        <s v="Myitkyina"/>
        <s v="Mansi"/>
        <s v="Hpakant"/>
        <s v="Waingmaw"/>
        <s v="Momauk"/>
        <s v="Kutkai"/>
        <s v="Manton"/>
        <s v="Muse"/>
        <s v="Namtu"/>
        <s v="Khaunglanhpu"/>
        <s v="Mohnyin"/>
        <s v="Shwegu"/>
        <s v="Mogaung"/>
        <s v="Puta-O"/>
        <s v="Injangyang"/>
        <s v="Hseni"/>
        <s v="Machanbaw"/>
        <s v="Sumprabum"/>
        <s v="Hsipaw"/>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72">
        <s v="AD-2000 Tharthana Compound"/>
        <s v="Aung Thar Church"/>
        <s v="Nam Hkam (KBC Jaw Wang)"/>
        <s v="Host Families"/>
        <s v="Htoi San Church"/>
        <s v="Nam Hkam Malut Jak "/>
        <s v="Lisu Boarding-House"/>
        <s v="Nam Hkam Catholic Church ( St. Thomas I)"/>
        <s v="Mu-yin Baptist Church"/>
        <s v="Nant Hlaing Church"/>
        <s v="Phan Khar Kone"/>
        <s v="Robert Church"/>
        <s v="Ta Gun Taing Monastery (Shwe Kyi Na)"/>
        <s v="Yoe Kyi Monastery"/>
        <s v="Chipwi KBC camp"/>
        <s v="Hpare Hkyer - BP6"/>
        <s v="Myay Myint Baptist Church"/>
        <s v="Lhaovao Baptist Church (LBC)"/>
        <s v="Pan Wa"/>
        <s v="Saw Zam"/>
        <s v="5 Ward Baptist Church(lon Khin)"/>
        <s v="5 Ward RC Church(lon Khin)"/>
        <s v="A Lo Taw Pyae monastery"/>
        <s v="AG Church, Hmaw Si Sa"/>
        <s v="AG Church, Maw Wan"/>
        <s v="Baptist Church, Hmaw Si Sar(Lon Khin)"/>
        <s v="Chin Church, Seik Mu"/>
        <s v="Dhama Rakhita, Nyein Chan Tar Yar Ward(Lon Khin)"/>
        <s v="Hlaing Naung Baptist"/>
        <s v="Hmaw Wan, Anglican"/>
        <s v="Hpakant Baptist Church, Nam Ma Hpit"/>
        <s v="Ku Day Maw KBC"/>
        <s v="Nawng Si Paw Village - Inn Lay"/>
        <s v="Moke Lwe Village - Hkar Shi"/>
        <s v="Waingmaw Baptist Zonal Office"/>
        <s v="Lisu Baptist Church, Maw Shan Vil,. Seik Mu"/>
        <s v="Lisu Baptist Church, Maw Wan Ward"/>
        <s v="Nam Hkam - Nay Win Ni (Palawng)"/>
        <s v="Maw Wan, Mu-yin Baptist Church"/>
        <s v="Muyin church (Aung Yar pre-school compound)"/>
        <s v="Nam Ma Phyit, COC"/>
        <s v="Nant Ma Hpit Catholic Church"/>
        <s v="Women's Affairs Association Building"/>
        <s v="Rawan Baptist Church, Maw Shan Vil., Seik Mu"/>
        <s v="Gant Gwin"/>
        <s v="Sai Nai Baptish Church, Maw Shan Vil., Seki Mu"/>
        <s v="Kannar Yeik Thar"/>
        <s v="Shar Du Zut KBC church "/>
        <s v="Shar Du Zut RC church"/>
        <s v="Thar Ta Na Aung San monastery"/>
        <s v="Wara Zup KBC Church"/>
        <s v="Ward 2 Sai Taung Baptist Church, Seik Mu "/>
        <s v="Yumar Baptist Church"/>
        <s v="Mungji Pa Dabang (Baptist Church)         "/>
        <s v="Momauk Catholic Church (St. Patrick)"/>
        <s v="Mandalay Monestry"/>
        <s v="Ni Thaw Ka Monestry"/>
        <s v="Nam Hpak Ka Mare "/>
        <s v="Mandung - Jinghpaw"/>
        <s v="Myo Thit "/>
        <s v="Ban Hkung Yang"/>
        <s v="Munekoe Pa (Giwang) - Hka San (Mung  Go  Pa ) "/>
        <s v="Nam Tu Baptist"/>
        <s v="Kone Khem Camp"/>
        <s v="Kutkai downtown (KBC Church)"/>
        <s v="Kutkai downtown (RC Church)"/>
        <s v="Mine Yu Lay village"/>
        <s v="Mungji Pa Dabang (RC Church)         "/>
        <s v="Zup Aung Camp"/>
        <s v="Daw Hpum Yang Ninghtawn"/>
        <s v="Nam Hkam Catholic Church ( St. Thomas II)"/>
        <s v="La Ja"/>
        <s v="Nam Hkawng"/>
        <s v="Hopin Host Families"/>
        <s v="Bum Tsit Pa "/>
        <s v="Lana Zup Ja "/>
        <s v="Nant Mun"/>
        <s v="Nga Pyaw Taw Baptist Nursery School "/>
        <s v="Nga Pyaw Taw Roman Catholic Church"/>
        <s v="Maw Wan, Kyauk Hlaing Gu Pagoda Compound"/>
        <s v="Maw Wan, Kachin Baptist Church"/>
        <s v="Chin(Zomi) Baptist Church"/>
        <s v="Maw Wan, Myo Oo Pagoda"/>
        <s v="Maw Wan, Catholic Church"/>
        <s v="Maing Khaung"/>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Maing Khaung Catholic Church"/>
        <s v="San Kyel, Masoe Yein Monestry"/>
        <s v="Man Wing Baptist Church"/>
        <s v="Maw Si Zar, Thiriyardanar Sein, Damma Compound, Lone Khin"/>
        <s v="Ma Mon Buddhist Monastery"/>
        <s v="Sa Baw Sarsana Parla Monastery"/>
        <s v="Man Wing Baptist Church Cultural Compound"/>
        <s v="Tar Ma Hkan Buddhist Monastery, Haung Par"/>
        <s v="Man Wing Catholic Church"/>
        <s v="Man Wing Catholic Church II"/>
        <s v="Border Post 10"/>
        <s v="Howa"/>
        <s v="Mansi Baptist Church"/>
        <s v="Laiza Market 3 - Laiza Gat"/>
        <s v="Manau Compound"/>
        <s v="Mandung - RC"/>
        <s v="Hpai Kawng Mare"/>
        <s v="Galeng (Kachin)"/>
        <s v="Kyun Taw Baptist Church "/>
        <s v="Ma Hawng RC "/>
        <s v="Mang Hawng Baptist Church"/>
        <s v="Nat Gyi Kone Baptist Church "/>
        <s v="Inn Lel Yan - Host Families"/>
        <s v="Sar Hmaw - KBC"/>
        <s v="Khun Sint Village"/>
        <s v="Lan Jaw "/>
        <s v="Nawng Ing (Indawgyi) Baptist Church  "/>
        <s v="Lung Kawk  ( Hka Hkye Zup)"/>
        <s v="Nam Hka Mare (west of Man Wing)"/>
        <s v="Nam Lim Pa - Scattered IDPs in forest"/>
        <s v="Lawk Hkawng Ginwang"/>
        <s v="St. Patrick Catholic Church "/>
        <s v="Dawthponeyan Boarding School"/>
        <s v="Dum Bung "/>
        <s v="Lawk Awng Mare D. (Sinbo Area)"/>
        <s v="Mai Khat "/>
        <s v="Hpun Lum Yang "/>
        <s v="Man Nawng "/>
        <s v="Loi Je Baptist Church"/>
        <s v="Loi Je Catholic Church"/>
        <s v="Loi Je Lisu Camp"/>
        <s v="Man Ting"/>
        <s v="Away Yar Rama Monastery, Ka Day village"/>
        <s v="1 Ward, Sein Yadanar Company(Lon Khin)"/>
        <s v="Baptist Church, Sai Ra village"/>
        <s v="Anglican Church, Hmaw Si Sar"/>
        <s v="Man Bung Catholic compound"/>
        <s v="Wrad(5) Christian Association"/>
        <s v="Man Wing Host Families"/>
        <s v="Muring Baptist Church, Awng Ra, Wa Ra Zut VT"/>
        <s v="May Di Ka Rama Monastery(Lon Khin)"/>
        <s v="Moenyin Host Families"/>
        <s v="Ei Wan Gali Asso., Ward 1, Seik Mu"/>
        <s v="Momauk Baptist Church"/>
        <s v="Mung Baw "/>
        <s v="Nhkawng Pa "/>
        <s v="Nyaung Na Pin "/>
        <s v="Ward 2 Cahotlic Church, Seik Mu"/>
        <s v="Free Christian Asso., Ward 1, Seik Mu"/>
        <s v="Baptist Church, Naung Hmee VT"/>
        <s v="Hmaw Wan, Baptist Christian Church"/>
        <s v="Pa Kahtawng "/>
        <s v="Nam Hkyet"/>
        <s v="Seng Ja "/>
        <s v="Nam Tu RC"/>
        <s v="Galeng (Palaung)"/>
        <s v="Muse Baptist Church"/>
        <s v="Nam Hkam (KBC Jaw Wang) II"/>
        <s v="Du Kahtawng Qtr. 14"/>
        <s v="Du Kahtawng Qtr. 4"/>
        <s v="Du Kahtawng Qtr. 5"/>
        <s v="Jan Mai Kawng Baptist Church"/>
        <s v="Zomee Baptist Church camp, Hmaw Wan"/>
        <s v="Lagatyan "/>
        <s v="Mung Ding Pa  (Boarder)"/>
        <s v="Nam Lim Pa"/>
        <s v="Jan Mai Kawng Catholic Church"/>
        <s v="Kyun Pin Thar Baptist Church"/>
        <s v="Nam Lim Pa    (Boarding School)"/>
        <s v="Le Kone Bethlehem Church"/>
        <s v="Thu Kha Waddy"/>
        <s v="Man Kawng Baptist Church"/>
        <s v="Man Kawng Catholic Church"/>
        <s v="Ban Hkung Yang (Boarding School)"/>
        <s v="Ban Hkung (School)"/>
        <s v="Narte"/>
        <s v="IDPs scattered in South Mansi"/>
        <s v="Le Kone Ziun Baptist Church "/>
        <s v="Si Hkan Gyi"/>
        <s v="Naung Khaing"/>
        <s v="Machanbaw - KBC"/>
        <s v="St. Patrick Church, Bhamo"/>
        <s v="Maliyang Baptist Church"/>
        <s v="Tharthana Ahlin Yaung New Monastery"/>
        <s v="Man Hkring Baptist Church"/>
        <s v="Bum Tsit Pa Camp II"/>
        <s v="Namhkan - Pang Long KBC"/>
        <s v="Maw Hpawng Hka Nan Baptist Church"/>
        <s v="Maw Hpawng Lhaovo Baptist Church"/>
        <s v="Nan Kway St. John Catholic Church"/>
        <s v="Njang Dung Baptist Church "/>
        <s v="Pa Dauk Myaing(Pa La Na)"/>
        <s v="Shatapru Sut Ngai Tawng"/>
        <s v="Shatapru Thida Aye Baptist Church"/>
        <s v="Shwe Zet Baptist Church"/>
        <s v="Tat Kone Baptist Church"/>
        <s v="Tat Kone COC Baptist - Tat Kone Htoi San"/>
        <s v="Tat Kone Emanuel Church"/>
        <s v="Muse Catholic Church"/>
        <s v="Tat Kone Galile Baptist Church"/>
        <s v="Mung Ding Pa "/>
        <s v="Tat Kone San Pya Baptist Church"/>
        <s v="Wun Tho Buddhist Monastery"/>
        <s v="Mungji Pa Dabang (Catholic Church)"/>
        <s v="Nam Sa Larp"/>
        <s v="New Pang Ku "/>
        <s v="Mai Yu Lay Ta'ang"/>
        <s v="Pan Ta Pyae"/>
        <s v="Man Sa"/>
        <s v="Mong Wee Ta'ang"/>
        <s v="Mong Wee Shan"/>
        <s v="Nam Hpak Ka Ta'ang"/>
        <s v="Tsan Lun - Namjarap"/>
        <s v="Mung Hawm "/>
        <s v="Shwe Myint Thar Monastry "/>
        <s v="Namtu RC"/>
        <s v="Namtu KBC 1"/>
        <s v="Namtu KBC 2"/>
        <s v="Lisu Church Namtu"/>
        <s v="KBC (Ho Mun Ward)"/>
        <s v="Monastery (Myauk Kyaung)_North ward"/>
        <s v="Phar Kay/Nant Waing "/>
        <s v="Lung Sut"/>
        <s v="Kamahtan Kyaung_(South ward)"/>
        <s v="Sar Hmaw - ICM"/>
        <s v="Tarli "/>
        <s v="Jwan Jaw KBC"/>
        <s v="Aung Mingalar_(Swan Saw ward)"/>
        <s v="Tote Tan Ward"/>
        <s v="Shwe Gu Baptist Church"/>
        <s v="Shwe Gu Catholic Church"/>
        <s v="Namt Hkun monastery"/>
        <s v="St. Peter Church (Ho Mun ward)"/>
        <s v="Ndup Yang"/>
        <s v="Salang Yang"/>
        <s v="Sumprabum"/>
        <s v="Border Post 8"/>
        <s v="Hkat Cho "/>
        <s v="Hkau Shau (BP 12)"/>
        <s v="IDP Boarding School, A Len Bum"/>
        <s v="Je Yang Hka "/>
        <s v="Laiza Muklum Hpyen  Yen Mungshawa ni"/>
        <s v="Mading Baptist Church"/>
        <s v="Maga Yang "/>
        <s v="Maina AG Church"/>
        <s v="Maina Catholic Church (St. Joseph)"/>
        <s v="Maina KBC (Bawng Ring)"/>
        <s v="Gawrakha Youth Association"/>
        <s v="Maina Lawang Baptist Church"/>
        <s v="Nawng Hee Village"/>
        <s v="Pajau - Jan Mai"/>
        <s v="Post 6 Camp"/>
        <s v="Qtr. 2 Lhaovo Baptist Church"/>
        <s v="Qtr. 2 Myoma Baptist Church"/>
        <s v="B.E.H.S 2 (Ho Mun ward)"/>
        <s v="B.E.H.S 4 (Ho Mun ward)"/>
        <s v="Qtr. 3 Mu-yin  Baptist Church"/>
        <s v="Qtr. 4 Monestry (Thargaya Thayett Taw)"/>
        <s v="Shing Jai"/>
        <s v="Thargaya Lisu Baptist Church"/>
        <s v="Wein Sai Church "/>
        <s v="Man Kaung/Naung Ti Kyar Village"/>
        <s v="Waingmaw AG Church"/>
        <s v="Woi Chyai "/>
        <s v="Zai Awng - Mung Ga Zup"/>
        <s v="Kutkai downtown (KBC Church-2)"/>
      </sharedItems>
    </cacheField>
    <cacheField name="CP_Pcode" numFmtId="0">
      <sharedItems count="275">
        <s v="MMR001CMP050"/>
        <s v="MMR001CMP194"/>
        <s v="MMR015CMP001"/>
        <s v="MMR001CMP163"/>
        <s v="MMR001CMP052"/>
        <s v="MMR015CMP002"/>
        <s v="MMR001CMP049"/>
        <s v="MMR015CMP003"/>
        <s v="MMR001CMP051"/>
        <s v="MMR001CMP054"/>
        <s v="MMR001CMP193"/>
        <s v="MMR001CMP047"/>
        <s v="MMR001CMP055"/>
        <s v="MMR001CMP053"/>
        <s v="MMR001CMP042"/>
        <s v="MMR001CMP043"/>
        <s v="MMR001CMP017"/>
        <s v="MMR001CMP196"/>
        <s v="MMR001CMP195"/>
        <s v="MMR001CMP210"/>
        <s v="MMR001CMP225"/>
        <s v="MMR001CMP179"/>
        <s v="MMR001CMP168"/>
        <s v="MMR001CMP243"/>
        <s v="MMR001CMP176"/>
        <s v="MMR001CMP190"/>
        <s v="MMR001CMP169"/>
        <s v="MMR001CMP109"/>
        <s v="MMR001CMP174"/>
        <s v="MMR001CMP148"/>
        <s v="MMR001CMP191"/>
        <s v="MMR001CMP229"/>
        <s v="MMR001CMP231"/>
        <s v="MMR001CMP034"/>
        <s v="MMR001CMP035"/>
        <s v="MMR001CMP036"/>
        <s v="MMR001CMP181"/>
        <s v="MMR001CMP167"/>
        <s v="MMR015CMP004"/>
        <s v="MMR001CMP091"/>
        <s v="MMR001CMP247"/>
        <s v="MMR001CMP192"/>
        <s v="MMR001CMP103"/>
        <s v="MMR001CMP044"/>
        <s v="MMR001CMP182"/>
        <s v="MMR001CMP046"/>
        <s v="MMR001CMP183"/>
        <s v="MMR001CMP048"/>
        <s v="MMR001CMP244"/>
        <s v="MMR001CMP246"/>
        <s v="MMR001CMP245"/>
        <s v="MMR001CMP242"/>
        <s v="MMR001CMP184"/>
        <s v="MMR001CMP105"/>
        <s v="MMR001CMP197"/>
        <s v="MMR015CMP006"/>
        <s v="MMR001CMP057"/>
        <s v="MMR001CMP058"/>
        <s v="MMR001CMP059"/>
        <s v="MMR015CMP007"/>
        <s v="MMR015CMP009"/>
        <s v="MMR001CMP061"/>
        <s v="MMR001CMP216"/>
        <s v="MMR015CMP012"/>
        <s v="MMR015CMP014"/>
        <s v="MMR015CMP015"/>
        <s v="MMR015CMP016"/>
        <s v="MMR015CMP017"/>
        <s v="MMR015CMP018"/>
        <s v="MMR015CMP019"/>
        <s v="MMR015CMP020"/>
        <s v="MMR001CMP153"/>
        <s v="MMR015CMP024"/>
        <s v="MMR001CMP074"/>
        <s v="MMR015CMP139"/>
        <s v="MMR001CMP232"/>
        <s v="MMR001CMP129"/>
        <s v="MMR001CMP199"/>
        <s v="MMR001CMP128"/>
        <s v="MMR001CMP081"/>
        <s v="MMR001CMP082"/>
        <s v="MMR001CMP083"/>
        <s v="MMR001CMP084"/>
        <s v="MMR001CMP085"/>
        <s v="MMR001CMP086"/>
        <s v="MMR001CMP088"/>
        <s v="MMR001CMP090"/>
        <s v="MMR001CMP218"/>
        <s v="MMR001CMP092"/>
        <s v="MMR001CMP093"/>
        <s v="MMR001CMP094"/>
        <s v="MMR001CMP095"/>
        <s v="MMR001CMP096"/>
        <s v="MMR001CMP097"/>
        <s v="MMR001CMP098"/>
        <s v="MMR001CMP099"/>
        <s v="MMR001CMP100"/>
        <s v="MMR001CMP101"/>
        <s v="MMR001CMP102"/>
        <s v="MMR001CMP223"/>
        <s v="MMR001CMP104"/>
        <s v="MMR001CMP133"/>
        <s v="MMR001CMP106"/>
        <s v="MMR001CMP107"/>
        <s v="MMR001CMP108"/>
        <s v="MMR001CMP230"/>
        <s v="MMR001CMP110"/>
        <s v="MMR001CMP132"/>
        <s v="MMR001CMP228"/>
        <s v="MMR001CMP114"/>
        <s v="MMR015CMP010"/>
        <s v="MMR001CMP066"/>
        <s v="MMR001CMP117"/>
        <s v="MMR001CMP118"/>
        <s v="MMR015CMP209"/>
        <s v="MMR015CMP022"/>
        <s v="MMR015CMP211"/>
        <s v="MMR001CMP078"/>
        <s v="MMR001CMP237"/>
        <s v="MMR001CMP077"/>
        <s v="MMR001CMP079"/>
        <s v="MMR001CMP227"/>
        <s v="MMR001CMP236"/>
        <s v="MMR001CMP200"/>
        <s v="MMR001CMP045"/>
        <s v="MMR001CMP152"/>
        <s v="MMR001CMP135"/>
        <s v="MMR001CMP136"/>
        <s v="MMR001CMP137"/>
        <s v="MMR001CMP146"/>
        <s v="MMR001CMP080"/>
        <s v="MMR001CMP240"/>
        <s v="MMR001CMP123"/>
        <s v="MMR001CMP147"/>
        <s v="MMR001CMP064"/>
        <s v="MMR001CMP122"/>
        <s v="MMR001CMP063"/>
        <s v="MMR001CMP071"/>
        <s v="MMR001CMP069"/>
        <s v="MMR001CMP070"/>
        <s v="MMR001CMP198"/>
        <s v="MMR001CMP170"/>
        <s v="MMR001CMP171"/>
        <s v="MMR001CMP172"/>
        <s v="MMR001CMP173"/>
        <s v="MMR001CMP062"/>
        <s v="MMR001CMP175"/>
        <s v="MMR001CMP134"/>
        <s v="MMR001CMP177"/>
        <s v="MMR001CMP178"/>
        <s v="MMR001CMP233"/>
        <s v="MMR001CMP180"/>
        <s v="MMR001CMP056"/>
        <s v="MMR015CMP005"/>
        <s v="MMR001CMP131"/>
        <s v="MMR001CMP072"/>
        <s v="MMR001CMP185"/>
        <s v="MMR001CMP186"/>
        <s v="MMR001CMP188"/>
        <s v="MMR001CMP189"/>
        <s v="MMR001CMP126"/>
        <s v="MMR015CMP011"/>
        <s v="MMR001CMP073"/>
        <s v="MMR015CMP210"/>
        <s v="MMR015CMP212"/>
        <s v="MMR015CMP213"/>
        <s v="MMR015CMP214"/>
        <s v="MMR001CMP012"/>
        <s v="MMR001CMP010"/>
        <s v="MMR001CMP011"/>
        <s v="MMR001CMP018"/>
        <s v="MMR001CMP201"/>
        <s v="MMR001CMP202"/>
        <s v="MMR001CMP203"/>
        <s v="MMR001CMP204"/>
        <s v="MMR001CMP019"/>
        <s v="MMR001CMP013"/>
        <s v="MMR001CMP209"/>
        <s v="MMR001CMP015"/>
        <s v="MMR001CMP211"/>
        <s v="MMR001CMP212"/>
        <s v="MMR001CMP213"/>
        <s v="MMR001CMP214"/>
        <s v="MMR001CMP215"/>
        <s v="MMR015CMP207"/>
        <s v="MMR001CMP217"/>
        <s v="MMR001CMP014"/>
        <s v="MMR001CMP219"/>
        <s v="MMR001CMP220"/>
        <s v="MMR001CMP221"/>
        <s v="MMR001CMP222"/>
        <s v="MMR001CMP016"/>
        <s v="MMR001CMP224"/>
        <s v="MMR001CMP008"/>
        <s v="MMR001CMP226"/>
        <s v="MMR015CMP215"/>
        <s v="MMR001CMP020"/>
        <s v="MMR001CMP021"/>
        <s v="MMR001CMP024"/>
        <s v="MMR001CMP002"/>
        <s v="MMR001CMP162"/>
        <s v="MMR001CMP006"/>
        <s v="MMR001CMP007"/>
        <s v="MMR001CMP009"/>
        <s v="MMR001CMP001"/>
        <s v="MMR001CMP023"/>
        <s v="MMR001CMP004"/>
        <s v="MMR015CMP216"/>
        <s v="MMR001CMP003"/>
        <s v="MMR001CMP241"/>
        <s v="MMR001CMP005"/>
        <s v="MMR001CMP022"/>
        <s v="MMR015CMP217"/>
        <s v="MMR015CMP218"/>
        <s v="MMR015CMP219"/>
        <s v="MMR015CMP220"/>
        <s v="MMR015CMP221"/>
        <s v="MMR015CMP222"/>
        <s v="MMR015CMP223"/>
        <s v="MMR015CMP224"/>
        <s v="MMR015CMP225"/>
        <s v="MMR015CMP226"/>
        <s v="MMR015CMP227"/>
        <s v="MMR015CMP228"/>
        <s v="MMR015CMP229"/>
        <s v="MMR015CMP230"/>
        <s v="MMR015CMP231"/>
        <s v="MMR015CMP232"/>
        <s v="MMR015CMP233"/>
        <s v="MMR015CMP234"/>
        <s v="MMR001CMP065"/>
        <s v="MMR001CMP234"/>
        <s v="MMR015CMP235"/>
        <s v="MMR001CMP235"/>
        <s v="MMR001CMP060"/>
        <s v="MMR015CMP236"/>
        <s v="MMR015CMP237"/>
        <s v="MMR001CMP075"/>
        <s v="MMR001CMP067"/>
        <s v="MMR001CMP068"/>
        <s v="MMR015CMP238"/>
        <s v="MMR015CMP239"/>
        <s v="MMR001CMP238"/>
        <s v="MMR001CMP239"/>
        <s v="MMR001CMP206"/>
        <s v="MMR001CMP113"/>
        <s v="MMR001CMP028"/>
        <s v="MMR001CMP115"/>
        <s v="MMR001CMP208"/>
        <s v="MMR001CMP121"/>
        <s v="MMR001CMP149"/>
        <s v="MMR001CMP027"/>
        <s v="MMR001CMP119"/>
        <s v="MMR001CMP031"/>
        <s v="MMR001CMP029"/>
        <s v="MMR001CMP040"/>
        <s v="MMR015CMP240"/>
        <s v="MMR001CMP039"/>
        <s v="MMR001CMP033"/>
        <s v="MMR001CMP120"/>
        <s v="MMR001CMP160"/>
        <s v="MMR001CMP032"/>
        <s v="MMR001CMP025"/>
        <s v="MMR015CMP241"/>
        <s v="MMR015CMP242"/>
        <s v="MMR001CMP030"/>
        <s v="MMR001CMP026"/>
        <s v="MMR001CMP041"/>
        <s v="MMR001CMP037"/>
        <s v="MMR015CMP243"/>
        <s v="MMR015CMP244"/>
        <s v="MMR001CMP038"/>
        <s v="MMR001CMP116"/>
        <s v="MMR001CMP111"/>
        <s v="MMR015CMP245"/>
      </sharedItems>
    </cacheField>
    <cacheField name="Longitude" numFmtId="0">
      <sharedItems containsString="0" containsBlank="1" containsNumber="1" minValue="96.269199999999998" maxValue="98.475719999999995" count="204">
        <n v="97.238829999999993"/>
        <n v="97.252650000000003"/>
        <n v="97.669557999999995"/>
        <n v="97.228835000000004"/>
        <n v="97.236919999999998"/>
        <m/>
        <n v="97.240183461538507"/>
        <n v="97.670360000000002"/>
        <n v="97.234200000000001"/>
        <n v="97.315860000000001"/>
        <n v="97.229116811594196"/>
        <n v="97.227789999999999"/>
        <n v="97.240639999999999"/>
        <n v="98.131550000000004"/>
        <n v="98.475719999999995"/>
        <n v="97.376671999999999"/>
        <n v="97.298055000000005"/>
        <n v="98.129990000000006"/>
        <n v="98.377780000000001"/>
        <n v="98.356260000000006"/>
        <n v="96.355270000000004"/>
        <n v="96.361609999999999"/>
        <n v="96.662092000000001"/>
        <n v="96.345569999999995"/>
        <n v="96.317350000000005"/>
        <n v="96.346469999999997"/>
        <n v="96.283377000000002"/>
        <n v="96.35257"/>
        <n v="96.705960000000005"/>
        <n v="96.316564"/>
        <n v="96.312790000000007"/>
        <n v="96.637"/>
        <n v="97.421104"/>
        <n v="97.438259000000002"/>
        <n v="96.269199999999998"/>
        <n v="96.316400000000002"/>
        <n v="97.681970000000007"/>
        <n v="96.319829999999996"/>
        <n v="96.339590000000001"/>
        <n v="96.341352999999998"/>
        <n v="96.279200000000003"/>
        <n v="96.353030000000004"/>
        <n v="97.221556500999995"/>
        <n v="96.286680000000004"/>
        <n v="96.306910999999999"/>
        <n v="97.348405"/>
        <n v="98.220614999999995"/>
        <n v="97.346950000000007"/>
        <n v="97.346940000000004"/>
        <n v="97.347740000000002"/>
        <n v="97.818979999999996"/>
        <n v="97.124403000000001"/>
        <n v="97.407787999999996"/>
        <n v="98.320651999999995"/>
        <n v="97.404089999999997"/>
        <n v="97.848529999999997"/>
        <n v="97.926813999999993"/>
        <n v="97.947360000000003"/>
        <n v="97.793019999999999"/>
        <n v="98.213958000000005"/>
        <n v="97.837040000000002"/>
        <n v="97.678299999999993"/>
        <n v="98.144502500000002"/>
        <n v="96.52534"/>
        <n v="97.609832999999995"/>
        <n v="96.793177"/>
        <n v="97.625617000000005"/>
        <n v="96.364949999999993"/>
        <n v="96.31326"/>
        <n v="96.316210999999996"/>
        <n v="97.225881000000001"/>
        <n v="96.310928000000004"/>
        <n v="97.227057000000002"/>
        <n v="97.589979999999997"/>
        <n v="96.343350000000001"/>
        <n v="97.590767"/>
        <n v="97.578490000000002"/>
        <n v="97.578367"/>
        <n v="97.837778"/>
        <n v="98.116817999999995"/>
        <n v="97.291820000000001"/>
        <n v="97.551507000000001"/>
        <n v="97.550267000000005"/>
        <n v="97.116680000000002"/>
        <n v="98.115809999999996"/>
        <n v="96.922619999999995"/>
        <n v="96.942279999999997"/>
        <n v="96.948740000000001"/>
        <n v="97.561105999999995"/>
        <n v="96.793999999999997"/>
        <n v="97.343406999999999"/>
        <n v="98.354146999999998"/>
        <n v="97.585667000000001"/>
        <n v="97.132339999999999"/>
        <n v="96.367059999999995"/>
        <n v="97.461271999999994"/>
        <n v="97.537099999999995"/>
        <n v="97.409474000000003"/>
        <n v="97.573126000000002"/>
        <n v="97.321659999999994"/>
        <n v="97.718582999999995"/>
        <n v="97.724566999999993"/>
        <n v="97.717133000000004"/>
        <n v="97.276591999999994"/>
        <n v="96.339870000000005"/>
        <n v="96.359549999999999"/>
        <n v="96.353070000000002"/>
        <n v="97.325019999999995"/>
        <n v="97.588291999999996"/>
        <n v="96.354159999999993"/>
        <n v="96.359309999999994"/>
        <n v="96.366919999999993"/>
        <n v="97.344359999999995"/>
        <n v="98.054946000000001"/>
        <n v="97.669366999999994"/>
        <n v="97.724483000000006"/>
        <n v="96.288250000000005"/>
        <n v="96.673805000000002"/>
        <n v="97.752667000000002"/>
        <n v="98.129380999999995"/>
        <n v="97.710864000000001"/>
        <n v="97.398989"/>
        <n v="97.909400000000005"/>
        <n v="97.700940000000003"/>
        <n v="97.384729629629604"/>
        <n v="97.382997575757599"/>
        <n v="97.381325000000004"/>
        <n v="97.373361000000003"/>
        <n v="96.315601999999998"/>
        <n v="97.601243999999994"/>
        <n v="96.808850000000007"/>
        <n v="97.379594999999995"/>
        <n v="97.405202777777802"/>
        <n v="97.409035000000003"/>
        <n v="97.710989999999995"/>
        <n v="98.352670000000003"/>
        <n v="97.403402307692303"/>
        <n v="97.58184"/>
        <n v="97.586470000000006"/>
        <n v="97.4113064583333"/>
        <n v="97.239130000000003"/>
        <n v="97.418694000000002"/>
        <n v="97.608249999999998"/>
        <n v="97.709879999999998"/>
        <n v="97.2843958974359"/>
        <n v="97.290952037037002"/>
        <n v="97.359320179999997"/>
        <n v="97.394547000000003"/>
        <n v="97.4345"/>
        <n v="97.399628000000007"/>
        <n v="97.418004999999994"/>
        <n v="97.419403000000003"/>
        <n v="97.386718999999999"/>
        <n v="97.379987"/>
        <n v="97.389778000000007"/>
        <n v="97.911647000000002"/>
        <n v="97.377662999999998"/>
        <n v="97.174999999999997"/>
        <n v="97.382192000000003"/>
        <n v="97.403878500000005"/>
        <n v="98.248999999999995"/>
        <n v="98.218626999999998"/>
        <n v="97.868876999999998"/>
        <n v="97.796999999999997"/>
        <n v="97.358999999999995"/>
        <n v="97.504999999999995"/>
        <n v="97.506"/>
        <n v="97.810101000000003"/>
        <n v="98.221000000000004"/>
        <n v="98.337999999999994"/>
        <n v="97.400671000000003"/>
        <n v="97.429860000000005"/>
        <n v="97.416121000000004"/>
        <n v="97.416826999999998"/>
        <n v="97.415289999999999"/>
        <n v="96.807353000000006"/>
        <n v="97.745480999999998"/>
        <n v="97.75609"/>
        <n v="97.568836000000005"/>
        <n v="97.915833000000006"/>
        <n v="97.404195925926004"/>
        <n v="97.807182999999995"/>
        <n v="97.541793999999996"/>
        <n v="97.568331999999998"/>
        <n v="97.718008999999995"/>
        <n v="97.451965000000001"/>
        <n v="97.715230000000005"/>
        <n v="97.433419259259296"/>
        <n v="97.437782499999997"/>
        <n v="97.434855869565197"/>
        <n v="97.426536944444507"/>
        <n v="97.345039"/>
        <n v="97.751389000000003"/>
        <n v="97.990555999999998"/>
        <n v="97.441166388888902"/>
        <n v="97.438432380952406"/>
        <n v="97.437472666666693"/>
        <n v="97.432495000000003"/>
        <n v="98.025662999999994"/>
        <n v="97.428251153846105"/>
        <n v="97.314762999999999"/>
        <n v="97.444283730158702"/>
        <n v="97.546893999999995"/>
        <n v="97.756789999999995"/>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49"/>
    </cacheField>
    <cacheField name="Total" numFmtId="0">
      <sharedItems containsString="0" containsBlank="1" containsNumber="1" containsInteger="1" minValue="0" maxValue="8965"/>
    </cacheField>
    <cacheField name="Avg" numFmtId="2">
      <sharedItems containsMixedTypes="1" containsNumber="1" minValue="1.5"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Host Families"/>
        <s v="Boarding School"/>
        <s v="Rural"/>
        <s v="Village"/>
      </sharedItems>
    </cacheField>
    <cacheField name="Type of Location" numFmtId="0">
      <sharedItems containsBlank="1" count="4">
        <s v="Urban"/>
        <m/>
        <s v="Forest/bush"/>
        <s v="Rural"/>
      </sharedItems>
    </cacheField>
    <cacheField name="Opening Date" numFmtId="14">
      <sharedItems containsNonDate="0" containsDate="1" containsString="0" containsBlank="1" minDate="2011-03-01T00:00:00" maxDate="2016-12-21T00:00:00" count="45">
        <d v="2011-11-01T00:00:00"/>
        <d v="2011-09-01T00:00:00"/>
        <d v="2011-12-01T00:00:00"/>
        <m/>
        <d v="2011-06-01T00:00:00"/>
        <d v="2012-10-01T00:00:00"/>
        <d v="2013-01-01T00:00:00"/>
        <d v="2011-07-01T00:00:00"/>
        <d v="2012-05-01T00:00:00"/>
        <d v="2012-08-01T00:00:00"/>
        <d v="2012-12-01T00:00:00"/>
        <d v="2011-10-01T00:00:00"/>
        <d v="2012-02-01T00:00:00"/>
        <d v="2012-07-01T00:00:00"/>
        <d v="2016-08-02T00:00:00"/>
        <d v="2013-08-01T00:00:00"/>
        <d v="2015-01-15T00:00:00"/>
        <d v="2013-12-01T00:00:00"/>
        <d v="2016-01-01T00:00:00"/>
        <d v="2011-08-01T00:00:00"/>
        <d v="2012-04-01T00:00:00"/>
        <d v="2012-03-01T00:00:00"/>
        <d v="2013-10-01T00:00:00"/>
        <d v="2014-04-01T00:00:00"/>
        <d v="2014-06-01T00:00:00"/>
        <d v="2013-11-01T00:00:00"/>
        <d v="2015-05-01T00:00:00"/>
        <d v="2012-06-01T00:00:00"/>
        <d v="2014-03-03T00:00:00"/>
        <d v="2014-03-05T00:00:00"/>
        <d v="2014-11-04T00:00:00"/>
        <d v="2013-04-01T00:00:00"/>
        <d v="2012-01-01T00:00:00"/>
        <d v="2011-03-01T00:00:00"/>
        <d v="2013-09-01T00:00:00"/>
        <d v="2014-04-18T00:00:00"/>
        <d v="2014-04-05T00:00:00"/>
        <d v="2015-02-01T00:00:00"/>
        <d v="2016-03-06T00:00:00"/>
        <d v="2016-02-01T00:00:00"/>
        <d v="2016-03-01T00:00:00"/>
        <d v="2015-06-25T00:00:00"/>
        <d v="2013-07-01T00:00:00"/>
        <d v="2013-06-01T00:00:00"/>
        <d v="2016-12-20T00:00:00"/>
      </sharedItems>
    </cacheField>
    <cacheField name="CM/FP" numFmtId="1">
      <sharedItems containsString="0" containsBlank="1" containsNumber="1" containsInteger="1" minValue="1" maxValue="7"/>
    </cacheField>
    <cacheField name="Responsible Agency" numFmtId="0">
      <sharedItems containsBlank="1" count="6">
        <s v="KMSS-BMO"/>
        <s v="KBC"/>
        <m/>
        <s v="Shalom"/>
        <s v="KMSS-LSO"/>
        <s v="KMSS-MYT"/>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7-04-08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211"/>
    </cacheField>
    <cacheField name="Land Status" numFmtId="0">
      <sharedItems containsString="0" containsBlank="1" containsNumber="1" containsInteger="1" minValue="0" maxValue="20"/>
    </cacheField>
    <cacheField name="Shelter Possible" numFmtId="0">
      <sharedItems containsMixedTypes="1" containsNumber="1" containsInteger="1" minValue="0" maxValue="1211"/>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2">
          <x v="3"/>
          <x v="7"/>
          <x v="8"/>
          <x v="9"/>
          <x v="1"/>
          <x v="0"/>
          <x v="2"/>
          <x v="6"/>
          <x v="4"/>
          <x v="11"/>
          <x v="11"/>
          <x v="11"/>
          <x v="11"/>
          <x v="11"/>
          <x v="11"/>
          <x v="11"/>
          <x v="11"/>
          <x v="5"/>
          <x v="10"/>
          <x v="11"/>
          <x v="11"/>
          <x v="12"/>
        </discretePr>
        <groupItems count="13">
          <s v="Hpakant"/>
          <s v="Mansi"/>
          <s v="Waingmaw"/>
          <s v="Bhamo"/>
          <s v="Kutkai"/>
          <s v="Injangyang"/>
          <s v="Momauk"/>
          <s v="Namhkan"/>
          <s v="Chipwi"/>
          <s v="Myitkyina"/>
          <s v="Hseni"/>
          <s v="Group1"/>
          <s v="Hsipaw"/>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10"/>
    <n v="516"/>
    <n v="0"/>
    <n v="0"/>
    <n v="0"/>
    <n v="220"/>
    <n v="110"/>
    <n v="110"/>
    <s v=""/>
    <n v="0"/>
  </r>
  <r>
    <s v="MMR001CMP046"/>
    <x v="0"/>
    <s v="Gant Gwin"/>
    <s v="Chipwi"/>
    <n v="0"/>
    <n v="0"/>
    <n v="0"/>
    <n v="0"/>
    <n v="0"/>
    <n v="0"/>
    <n v="0"/>
    <n v="0"/>
    <s v=""/>
    <n v="0"/>
  </r>
  <r>
    <s v="MMR001CMP043"/>
    <x v="0"/>
    <s v="Hpare Hkyer - BP6"/>
    <s v="Chipwi"/>
    <n v="155"/>
    <n v="768"/>
    <n v="380"/>
    <n v="1145"/>
    <n v="0"/>
    <n v="0"/>
    <n v="0"/>
    <n v="155"/>
    <s v="No"/>
    <n v="0"/>
  </r>
  <r>
    <s v="MMR001CMP045"/>
    <x v="0"/>
    <s v="Lan Jaw "/>
    <s v="Chipwi"/>
    <n v="0"/>
    <n v="0"/>
    <n v="0"/>
    <n v="0"/>
    <n v="0"/>
    <n v="0"/>
    <n v="0"/>
    <n v="0"/>
    <s v=""/>
    <n v="0"/>
  </r>
  <r>
    <s v="MMR001CMP195"/>
    <x v="0"/>
    <s v="Lhaovao Baptist Church (LBC)"/>
    <s v="Chipwi"/>
    <n v="143"/>
    <n v="637"/>
    <n v="0"/>
    <n v="0"/>
    <n v="0"/>
    <n v="286"/>
    <n v="143"/>
    <n v="143"/>
    <s v=""/>
    <n v="0"/>
  </r>
  <r>
    <s v="MMR001CMP225"/>
    <x v="0"/>
    <s v="Saw Zam"/>
    <s v="Chipwi"/>
    <n v="31"/>
    <n v="180"/>
    <n v="0"/>
    <n v="0"/>
    <n v="0"/>
    <n v="62"/>
    <n v="31"/>
    <n v="31"/>
    <s v=""/>
    <n v="0"/>
  </r>
  <r>
    <s v="MMR001CMP210"/>
    <x v="0"/>
    <s v="Pan Wa"/>
    <s v="Chipwi"/>
    <n v="61"/>
    <n v="273"/>
    <n v="0"/>
    <n v="0"/>
    <n v="0"/>
    <n v="122"/>
    <n v="61"/>
    <n v="61"/>
    <s v=""/>
    <n v="0"/>
  </r>
  <r>
    <s v="MMR001CMP115"/>
    <x v="0"/>
    <s v="Hkau Shau (BP 12)"/>
    <s v="Waingmaw"/>
    <n v="40"/>
    <n v="225"/>
    <n v="0"/>
    <n v="0"/>
    <n v="0"/>
    <n v="80"/>
    <n v="40"/>
    <n v="40"/>
    <s v=""/>
    <n v="0"/>
  </r>
  <r>
    <s v="MMR001CMP120"/>
    <x v="0"/>
    <s v="Pajau - Jan Mai"/>
    <s v="Waingmaw"/>
    <n v="174"/>
    <n v="956"/>
    <n v="330"/>
    <n v="330"/>
    <n v="0"/>
    <n v="18"/>
    <n v="0"/>
    <n v="174"/>
    <s v="No"/>
    <n v="0"/>
  </r>
  <r>
    <s v="MMR001CMP160"/>
    <x v="0"/>
    <s v="Post 6 Camp"/>
    <s v="Waingmaw"/>
    <n v="98"/>
    <n v="563"/>
    <n v="0"/>
    <n v="0"/>
    <n v="0"/>
    <n v="196"/>
    <n v="98"/>
    <n v="98"/>
    <s v=""/>
    <n v="0"/>
  </r>
  <r>
    <s v="MMR001CMP113"/>
    <x v="0"/>
    <s v="Border Post 8"/>
    <s v="Waingmaw"/>
    <n v="161"/>
    <n v="637"/>
    <n v="0"/>
    <n v="0"/>
    <n v="0"/>
    <n v="322"/>
    <n v="161"/>
    <n v="161"/>
    <s v=""/>
    <n v="0"/>
  </r>
  <r>
    <s v="MMR001CMP041"/>
    <x v="0"/>
    <s v="Shing Jai"/>
    <s v="Waingmaw"/>
    <n v="182"/>
    <n v="974"/>
    <n v="0"/>
    <n v="0"/>
    <n v="0"/>
    <n v="364"/>
    <n v="182"/>
    <n v="182"/>
    <s v=""/>
    <n v="0"/>
  </r>
  <r>
    <s v="MMR001CMP131"/>
    <x v="0"/>
    <s v="Nhkawng Pa "/>
    <s v="Momauk"/>
    <n v="355"/>
    <n v="1684"/>
    <n v="0"/>
    <n v="0"/>
    <n v="0"/>
    <n v="710"/>
    <n v="355"/>
    <n v="355"/>
    <s v=""/>
    <n v="0"/>
  </r>
  <r>
    <s v="MMR015CMP006"/>
    <x v="0"/>
    <s v="Mungji Pa Dabang (Baptist Church)         "/>
    <s v="Kutkai"/>
    <n v="46"/>
    <n v="255"/>
    <n v="0"/>
    <n v="0"/>
    <n v="0"/>
    <n v="92"/>
    <n v="46"/>
    <n v="46"/>
    <s v=""/>
    <n v="0"/>
  </r>
  <r>
    <s v="MMR015CMP005"/>
    <x v="0"/>
    <s v="Mung Baw "/>
    <s v="Muse"/>
    <n v="123"/>
    <n v="503"/>
    <n v="0"/>
    <n v="0"/>
    <n v="0"/>
    <n v="246"/>
    <n v="123"/>
    <n v="123"/>
    <s v=""/>
    <n v="0"/>
  </r>
  <r>
    <s v="MMR015CMP012"/>
    <x v="0"/>
    <s v="Munekoe Pa (Giwang) - Hka San (Mung  Go  Pa ) "/>
    <s v="Muse"/>
    <n v="0"/>
    <n v="0"/>
    <n v="0"/>
    <n v="0"/>
    <n v="0"/>
    <n v="0"/>
    <n v="0"/>
    <n v="0"/>
    <s v=""/>
    <n v="0"/>
  </r>
  <r>
    <s v="MMR001CMP129"/>
    <x v="1"/>
    <s v="Bum Tsit Pa "/>
    <s v="Mansi"/>
    <n v="418"/>
    <n v="2109"/>
    <n v="0"/>
    <n v="0"/>
    <n v="0"/>
    <n v="836"/>
    <n v="418"/>
    <n v="418"/>
    <s v=""/>
    <n v="0"/>
  </r>
  <r>
    <s v="MMR001CMP226"/>
    <x v="1"/>
    <s v="Bum Tsit Pa Camp II"/>
    <s v="Mansi"/>
    <n v="0"/>
    <n v="0"/>
    <n v="0"/>
    <n v="0"/>
    <n v="0"/>
    <n v="0"/>
    <n v="0"/>
    <n v="0"/>
    <s v=""/>
    <n v="0"/>
  </r>
  <r>
    <s v="MMR001CMP128"/>
    <x v="1"/>
    <s v="Lana Zup Ja "/>
    <s v="Mansi"/>
    <n v="547"/>
    <n v="2576"/>
    <n v="0"/>
    <n v="0"/>
    <n v="0"/>
    <n v="1094"/>
    <n v="547"/>
    <n v="547"/>
    <s v=""/>
    <n v="0"/>
  </r>
  <r>
    <s v="MMR001CMP135"/>
    <x v="1"/>
    <s v="Lung Kawk  ( Hka Hkye Zup)"/>
    <s v="Mansi"/>
    <n v="0"/>
    <n v="0"/>
    <n v="0"/>
    <n v="0"/>
    <n v="0"/>
    <n v="0"/>
    <n v="0"/>
    <n v="0"/>
    <s v=""/>
    <n v="0"/>
  </r>
  <r>
    <s v="MMR001CMP122"/>
    <x v="1"/>
    <s v="Hpun Lum Yang "/>
    <s v="Momauk"/>
    <n v="641"/>
    <n v="2862"/>
    <n v="0"/>
    <n v="0"/>
    <n v="0"/>
    <n v="1282"/>
    <n v="641"/>
    <n v="641"/>
    <s v=""/>
    <n v="0"/>
  </r>
  <r>
    <s v="MMR001CMP121"/>
    <x v="1"/>
    <s v="Je Yang Hka "/>
    <s v="Waingmaw"/>
    <n v="1649"/>
    <n v="8965"/>
    <n v="0"/>
    <n v="0"/>
    <n v="0"/>
    <n v="3298"/>
    <n v="1649"/>
    <n v="1649"/>
    <s v=""/>
    <n v="0"/>
  </r>
  <r>
    <s v="MMR001CMP126"/>
    <x v="1"/>
    <s v="Pa Kahtawng "/>
    <s v="Momauk"/>
    <n v="599"/>
    <n v="3633"/>
    <n v="0"/>
    <n v="0"/>
    <n v="0"/>
    <n v="1198"/>
    <n v="599"/>
    <n v="599"/>
    <s v=""/>
    <n v="0"/>
  </r>
  <r>
    <s v="MMR001CMP123"/>
    <x v="1"/>
    <s v="Dum Bung "/>
    <s v="Momauk"/>
    <n v="109"/>
    <n v="408"/>
    <n v="0"/>
    <n v="0"/>
    <n v="0"/>
    <n v="218"/>
    <n v="109"/>
    <n v="109"/>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404"/>
    <n v="1894"/>
    <n v="0"/>
    <n v="0"/>
    <n v="0"/>
    <n v="808"/>
    <n v="404"/>
    <n v="404"/>
    <s v=""/>
    <n v="0"/>
  </r>
  <r>
    <s v="MMR001CMP119"/>
    <x v="1"/>
    <s v="Maga Yang "/>
    <s v="Waingmaw"/>
    <n v="585"/>
    <n v="2585"/>
    <n v="0"/>
    <n v="0"/>
    <n v="0"/>
    <n v="1170"/>
    <n v="585"/>
    <n v="585"/>
    <s v=""/>
    <n v="0"/>
  </r>
  <r>
    <s v="MMR015CMP009"/>
    <x v="1"/>
    <s v="Mandung - Jinghpaw"/>
    <s v="Manton"/>
    <n v="36"/>
    <n v="179"/>
    <n v="0"/>
    <n v="0"/>
    <n v="0"/>
    <n v="72"/>
    <n v="36"/>
    <n v="36"/>
    <s v=""/>
    <n v="0"/>
  </r>
  <r>
    <s v="MMR015CMP139"/>
    <x v="1"/>
    <s v="Nam Hkawng"/>
    <s v="Muse"/>
    <n v="0"/>
    <n v="0"/>
    <n v="0"/>
    <n v="0"/>
    <n v="0"/>
    <n v="0"/>
    <n v="0"/>
    <n v="0"/>
    <s v=""/>
    <n v="0"/>
  </r>
  <r>
    <s v="MMR001CMP071"/>
    <x v="2"/>
    <s v="Loi Je Baptist Church"/>
    <s v="Momauk"/>
    <n v="40"/>
    <n v="240"/>
    <n v="0"/>
    <n v="0"/>
    <n v="0"/>
    <n v="80"/>
    <n v="40"/>
    <n v="40"/>
    <s v=""/>
    <n v="0"/>
  </r>
  <r>
    <s v="MMR001CMP069"/>
    <x v="2"/>
    <s v="Loi Je Catholic Church"/>
    <s v="Momauk"/>
    <n v="148"/>
    <n v="751"/>
    <n v="0"/>
    <n v="0"/>
    <n v="0"/>
    <n v="296"/>
    <n v="148"/>
    <n v="148"/>
    <s v=""/>
    <n v="0"/>
  </r>
  <r>
    <s v="MMR001CMP070"/>
    <x v="2"/>
    <s v="Loi Je Lisu Camp"/>
    <s v="Momauk"/>
    <n v="194"/>
    <n v="1071"/>
    <n v="0"/>
    <n v="0"/>
    <n v="0"/>
    <n v="388"/>
    <n v="194"/>
    <n v="194"/>
    <s v=""/>
    <n v="0"/>
  </r>
  <r>
    <s v="MMR001CMP073"/>
    <x v="2"/>
    <s v="Seng Ja "/>
    <s v="Momauk"/>
    <n v="41"/>
    <n v="253"/>
    <n v="0"/>
    <n v="0"/>
    <n v="0"/>
    <n v="82"/>
    <n v="41"/>
    <n v="41"/>
    <s v=""/>
    <n v="0"/>
  </r>
  <r>
    <s v="MMR001CMP072"/>
    <x v="2"/>
    <s v="Nyaung Na Pin "/>
    <s v="Momauk"/>
    <n v="49"/>
    <n v="300"/>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64"/>
    <n v="0"/>
    <n v="0"/>
    <n v="0"/>
    <n v="28"/>
    <n v="14"/>
    <n v="14"/>
    <s v=""/>
    <n v="0"/>
  </r>
  <r>
    <s v="MMR015CMP015"/>
    <x v="2"/>
    <s v="Kone Khem Camp"/>
    <s v="Kutkai"/>
    <n v="88"/>
    <n v="505"/>
    <n v="0"/>
    <n v="0"/>
    <n v="0"/>
    <n v="176"/>
    <n v="88"/>
    <n v="88"/>
    <s v=""/>
    <n v="0"/>
  </r>
  <r>
    <s v="MMR015CMP016"/>
    <x v="2"/>
    <s v="Kutkai downtown (KBC Church)"/>
    <s v="Kutkai"/>
    <n v="60"/>
    <n v="288"/>
    <n v="0"/>
    <n v="0"/>
    <n v="0"/>
    <n v="120"/>
    <n v="60"/>
    <n v="60"/>
    <s v=""/>
    <n v="0"/>
  </r>
  <r>
    <s v="MMR015CMP017"/>
    <x v="2"/>
    <s v="Kutkai downtown (RC Church)"/>
    <s v="Kutkai"/>
    <n v="30"/>
    <n v="138"/>
    <n v="0"/>
    <n v="0"/>
    <n v="0"/>
    <n v="60"/>
    <n v="30"/>
    <n v="30"/>
    <s v=""/>
    <n v="0"/>
  </r>
  <r>
    <s v="MMR015CMP018"/>
    <x v="2"/>
    <s v="Mine Yu Lay village"/>
    <s v="Kutkai"/>
    <n v="69"/>
    <n v="306"/>
    <n v="0"/>
    <n v="0"/>
    <n v="0"/>
    <n v="138"/>
    <n v="69"/>
    <n v="69"/>
    <s v=""/>
    <n v="0"/>
  </r>
  <r>
    <s v="MMR015CMP007"/>
    <x v="2"/>
    <s v="Nam Hpak Ka Mare "/>
    <s v="Kutkai"/>
    <n v="64"/>
    <n v="284"/>
    <n v="0"/>
    <n v="0"/>
    <n v="0"/>
    <n v="128"/>
    <n v="64"/>
    <n v="64"/>
    <s v=""/>
    <n v="0"/>
  </r>
  <r>
    <s v="MMR015CMP020"/>
    <x v="2"/>
    <s v="Zup Aung Camp"/>
    <s v="Kutkai"/>
    <n v="189"/>
    <n v="917"/>
    <n v="0"/>
    <n v="0"/>
    <n v="0"/>
    <n v="378"/>
    <n v="189"/>
    <n v="189"/>
    <s v=""/>
    <n v="0"/>
  </r>
  <r>
    <s v="MMR015CMP209"/>
    <x v="2"/>
    <s v="Mandung - RC"/>
    <s v="Manton"/>
    <n v="29"/>
    <n v="178"/>
    <n v="0"/>
    <n v="0"/>
    <n v="0"/>
    <n v="58"/>
    <n v="29"/>
    <n v="29"/>
    <s v=""/>
    <n v="0"/>
  </r>
  <r>
    <s v="MMR015CMP010"/>
    <x v="2"/>
    <s v="Howa"/>
    <s v="Muse"/>
    <n v="0"/>
    <n v="0"/>
    <n v="0"/>
    <n v="0"/>
    <n v="0"/>
    <n v="0"/>
    <n v="0"/>
    <n v="0"/>
    <s v=""/>
    <n v="0"/>
  </r>
  <r>
    <s v="MMR015CMP011"/>
    <x v="2"/>
    <s v="Nam Hkyet"/>
    <s v="Muse"/>
    <n v="0"/>
    <n v="0"/>
    <n v="0"/>
    <n v="0"/>
    <n v="0"/>
    <n v="0"/>
    <n v="0"/>
    <n v="0"/>
    <s v=""/>
    <n v="0"/>
  </r>
  <r>
    <s v="MMR015CMP004"/>
    <x v="2"/>
    <s v="Nam Hkam - Nay Win Ni (Palawng)"/>
    <s v="Namhkan"/>
    <n v="75"/>
    <n v="383"/>
    <n v="0"/>
    <n v="0"/>
    <n v="0"/>
    <n v="150"/>
    <n v="75"/>
    <n v="75"/>
    <s v=""/>
    <n v="0"/>
  </r>
  <r>
    <s v="MMR015CMP001"/>
    <x v="2"/>
    <s v="Nam Hkam (KBC Jaw Wang)"/>
    <s v="Namhkan"/>
    <n v="69"/>
    <n v="344"/>
    <n v="0"/>
    <n v="0"/>
    <n v="0"/>
    <n v="138"/>
    <n v="69"/>
    <n v="69"/>
    <s v=""/>
    <n v="0"/>
  </r>
  <r>
    <s v="MMR015CMP003"/>
    <x v="2"/>
    <s v="Nam Hkam Catholic Church ( St. Thomas I)"/>
    <s v="Namhkan"/>
    <n v="33"/>
    <n v="211"/>
    <n v="0"/>
    <n v="0"/>
    <n v="0"/>
    <n v="66"/>
    <n v="33"/>
    <n v="33"/>
    <s v=""/>
    <n v="0"/>
  </r>
  <r>
    <s v="MMR015CMP014"/>
    <x v="2"/>
    <s v="Nam Tu Baptist"/>
    <s v="Namtu"/>
    <n v="8"/>
    <n v="39"/>
    <n v="0"/>
    <n v="0"/>
    <n v="0"/>
    <n v="16"/>
    <n v="8"/>
    <n v="8"/>
    <s v=""/>
    <n v="0"/>
  </r>
  <r>
    <s v="MMR015CMP210"/>
    <x v="2"/>
    <s v="Nam Tu RC"/>
    <s v="Namtu"/>
    <n v="118"/>
    <n v="520"/>
    <n v="0"/>
    <n v="0"/>
    <n v="0"/>
    <n v="236"/>
    <n v="118"/>
    <n v="118"/>
    <s v=""/>
    <n v="0"/>
  </r>
  <r>
    <s v="MMR001CMP179"/>
    <x v="3"/>
    <s v="5 Ward Baptist Church(lon Khin)"/>
    <s v="Hpakant"/>
    <n v="67"/>
    <n v="351"/>
    <n v="0"/>
    <n v="0"/>
    <n v="0"/>
    <n v="134"/>
    <n v="67"/>
    <n v="67"/>
    <s v=""/>
    <n v="0"/>
  </r>
  <r>
    <s v="MMR001CMP168"/>
    <x v="3"/>
    <s v="5 Ward RC Church(lon Khin)"/>
    <s v="Hpakant"/>
    <n v="72"/>
    <n v="363"/>
    <n v="0"/>
    <n v="0"/>
    <n v="0"/>
    <n v="144"/>
    <n v="72"/>
    <n v="72"/>
    <s v=""/>
    <n v="0"/>
  </r>
  <r>
    <s v="MMR001CMP050"/>
    <x v="3"/>
    <s v="AD-2000 Tharthana Compound"/>
    <s v="Bhamo"/>
    <n v="257"/>
    <n v="1266"/>
    <n v="0"/>
    <n v="0"/>
    <n v="0"/>
    <n v="514"/>
    <n v="257"/>
    <n v="257"/>
    <s v=""/>
    <n v="0"/>
  </r>
  <r>
    <s v="MMR001CMP176"/>
    <x v="3"/>
    <s v="AG Church, Hmaw Si Sa"/>
    <s v="Hpakant"/>
    <n v="67"/>
    <n v="353"/>
    <n v="0"/>
    <n v="0"/>
    <n v="0"/>
    <n v="134"/>
    <n v="67"/>
    <n v="67"/>
    <s v=""/>
    <n v="0"/>
  </r>
  <r>
    <s v="MMR001CMP190"/>
    <x v="3"/>
    <s v="AG Church, Maw Wan"/>
    <s v="Hpakant"/>
    <n v="14"/>
    <n v="83"/>
    <n v="0"/>
    <n v="0"/>
    <n v="0"/>
    <n v="28"/>
    <n v="14"/>
    <n v="14"/>
    <s v=""/>
    <n v="0"/>
  </r>
  <r>
    <s v="MMR001CMP194"/>
    <x v="3"/>
    <s v="Aung Thar Church"/>
    <s v="Bhamo"/>
    <n v="12"/>
    <n v="56"/>
    <n v="0"/>
    <n v="0"/>
    <n v="0"/>
    <n v="24"/>
    <n v="12"/>
    <n v="12"/>
    <s v=""/>
    <n v="0"/>
  </r>
  <r>
    <s v="MMR001CMP216"/>
    <x v="3"/>
    <s v="Ban Hkung Yang"/>
    <s v="Mansi"/>
    <n v="0"/>
    <n v="0"/>
    <n v="0"/>
    <n v="0"/>
    <n v="0"/>
    <n v="0"/>
    <n v="0"/>
    <n v="0"/>
    <s v=""/>
    <n v="0"/>
  </r>
  <r>
    <s v="MMR001CMP169"/>
    <x v="3"/>
    <s v="Baptist Church, Hmaw Si Sar(Lon Khin)"/>
    <s v="Hpakant"/>
    <n v="38"/>
    <n v="233"/>
    <n v="0"/>
    <n v="0"/>
    <n v="0"/>
    <n v="76"/>
    <n v="38"/>
    <n v="38"/>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66"/>
    <n v="362"/>
    <n v="0"/>
    <n v="0"/>
    <n v="0"/>
    <n v="132"/>
    <n v="66"/>
    <n v="66"/>
    <s v=""/>
    <n v="0"/>
  </r>
  <r>
    <s v="MMR001CMP012"/>
    <x v="3"/>
    <s v="Du Kahtawng Qtr. 14"/>
    <s v="Myitkyina"/>
    <n v="6"/>
    <n v="28"/>
    <n v="0"/>
    <n v="0"/>
    <n v="0"/>
    <n v="12"/>
    <n v="6"/>
    <n v="6"/>
    <s v=""/>
    <n v="0"/>
  </r>
  <r>
    <s v="MMR001CMP010"/>
    <x v="3"/>
    <s v="Du Kahtawng Qtr. 4"/>
    <s v="Myitkyina"/>
    <n v="6"/>
    <n v="39"/>
    <n v="0"/>
    <n v="0"/>
    <n v="0"/>
    <n v="12"/>
    <n v="6"/>
    <n v="6"/>
    <s v=""/>
    <n v="0"/>
  </r>
  <r>
    <s v="MMR001CMP011"/>
    <x v="3"/>
    <s v="Du Kahtawng Qtr. 5"/>
    <s v="Myitkyina"/>
    <n v="20"/>
    <n v="105"/>
    <n v="0"/>
    <n v="0"/>
    <n v="0"/>
    <n v="40"/>
    <n v="20"/>
    <n v="20"/>
    <s v=""/>
    <n v="0"/>
  </r>
  <r>
    <s v="MMR001CMP028"/>
    <x v="3"/>
    <s v="Hkat Cho "/>
    <s v="Waingmaw"/>
    <n v="99"/>
    <n v="472"/>
    <n v="0"/>
    <n v="0"/>
    <n v="0"/>
    <n v="198"/>
    <n v="99"/>
    <n v="99"/>
    <s v=""/>
    <n v="0"/>
  </r>
  <r>
    <s v="MMR001CMP148"/>
    <x v="3"/>
    <s v="Hlaing Naung Baptist"/>
    <s v="Hpakant"/>
    <n v="13"/>
    <n v="46"/>
    <n v="0"/>
    <n v="0"/>
    <n v="0"/>
    <n v="26"/>
    <n v="13"/>
    <n v="13"/>
    <s v=""/>
    <n v="0"/>
  </r>
  <r>
    <s v="MMR001CMP191"/>
    <x v="3"/>
    <s v="Hmaw Wan, Anglican"/>
    <s v="Hpakant"/>
    <n v="5"/>
    <n v="34"/>
    <n v="0"/>
    <n v="0"/>
    <n v="0"/>
    <n v="10"/>
    <n v="5"/>
    <n v="5"/>
    <s v=""/>
    <n v="0"/>
  </r>
  <r>
    <s v="MMR001CMP163"/>
    <x v="3"/>
    <s v="Host Families"/>
    <s v="Bhamo"/>
    <n v="197"/>
    <n v="957"/>
    <n v="0"/>
    <n v="0"/>
    <n v="0"/>
    <n v="394"/>
    <n v="197"/>
    <n v="197"/>
    <s v=""/>
    <n v="0"/>
  </r>
  <r>
    <s v="MMR001CMP196"/>
    <x v="3"/>
    <s v="Host Families"/>
    <s v="Mansi"/>
    <n v="73"/>
    <n v="274"/>
    <n v="0"/>
    <n v="0"/>
    <n v="0"/>
    <n v="146"/>
    <n v="73"/>
    <n v="73"/>
    <s v=""/>
    <n v="0"/>
  </r>
  <r>
    <s v="MMR001CMP197"/>
    <x v="3"/>
    <s v="Host Families"/>
    <s v="Momauk"/>
    <n v="226"/>
    <n v="1048"/>
    <n v="0"/>
    <n v="0"/>
    <n v="0"/>
    <n v="452"/>
    <n v="226"/>
    <n v="226"/>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3"/>
    <n v="490"/>
    <n v="0"/>
    <n v="0"/>
    <n v="0"/>
    <n v="206"/>
    <n v="103"/>
    <n v="103"/>
    <s v=""/>
    <n v="0"/>
  </r>
  <r>
    <s v="MMR001CMP052"/>
    <x v="3"/>
    <s v="Htoi San Church"/>
    <s v="Bhamo"/>
    <n v="38"/>
    <n v="221"/>
    <n v="0"/>
    <n v="0"/>
    <n v="0"/>
    <n v="76"/>
    <n v="38"/>
    <n v="38"/>
    <s v=""/>
    <n v="0"/>
  </r>
  <r>
    <s v="MMR001CMP018"/>
    <x v="3"/>
    <s v="Jan Mai Kawng Baptist Church"/>
    <s v="Myitkyina"/>
    <n v="205"/>
    <n v="1110"/>
    <n v="0"/>
    <n v="0"/>
    <n v="0"/>
    <n v="410"/>
    <n v="205"/>
    <n v="205"/>
    <s v=""/>
    <n v="0"/>
  </r>
  <r>
    <s v="MMR001CMP019"/>
    <x v="3"/>
    <s v="Jan Mai Kawng Catholic Church"/>
    <s v="Myitkyina"/>
    <n v="99"/>
    <n v="454"/>
    <n v="0"/>
    <n v="0"/>
    <n v="0"/>
    <n v="198"/>
    <n v="99"/>
    <n v="99"/>
    <s v=""/>
    <n v="0"/>
  </r>
  <r>
    <s v="MMR001CMP200"/>
    <x v="3"/>
    <s v="Khun Sint Village"/>
    <s v="Momauk"/>
    <n v="4"/>
    <n v="26"/>
    <n v="0"/>
    <n v="0"/>
    <n v="0"/>
    <n v="8"/>
    <n v="4"/>
    <n v="4"/>
    <s v=""/>
    <n v="0"/>
  </r>
  <r>
    <s v="MMR001CMP013"/>
    <x v="3"/>
    <s v="Kyun Pin Thar Baptist Church"/>
    <s v="Myitkyina"/>
    <n v="48"/>
    <n v="211"/>
    <n v="0"/>
    <n v="0"/>
    <n v="0"/>
    <n v="96"/>
    <n v="48"/>
    <n v="48"/>
    <s v=""/>
    <n v="0"/>
  </r>
  <r>
    <s v="MMR001CMP078"/>
    <x v="3"/>
    <s v="Kyun Taw Baptist Church "/>
    <s v="Mogaung"/>
    <n v="13"/>
    <n v="66"/>
    <n v="0"/>
    <n v="0"/>
    <n v="0"/>
    <n v="26"/>
    <n v="13"/>
    <n v="13"/>
    <s v=""/>
    <n v="0"/>
  </r>
  <r>
    <s v="MMR001CMP074"/>
    <x v="3"/>
    <s v="La Ja"/>
    <s v="Khaunglanhpu"/>
    <n v="0"/>
    <n v="0"/>
    <n v="0"/>
    <n v="0"/>
    <n v="0"/>
    <n v="0"/>
    <n v="0"/>
    <n v="0"/>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30"/>
    <n v="178"/>
    <n v="0"/>
    <n v="0"/>
    <n v="0"/>
    <n v="60"/>
    <n v="30"/>
    <n v="30"/>
    <s v=""/>
    <n v="0"/>
  </r>
  <r>
    <s v="MMR001CMP014"/>
    <x v="3"/>
    <s v="Le Kone Ziun Baptist Church "/>
    <s v="Myitkyina"/>
    <n v="85"/>
    <n v="437"/>
    <n v="0"/>
    <n v="0"/>
    <n v="0"/>
    <n v="170"/>
    <n v="85"/>
    <n v="85"/>
    <s v=""/>
    <n v="0"/>
  </r>
  <r>
    <s v="MMR001CMP181"/>
    <x v="3"/>
    <s v="Lisu Baptist Church, Maw Shan Vil,. Seik Mu"/>
    <s v="Hpakant"/>
    <n v="25"/>
    <n v="118"/>
    <n v="0"/>
    <n v="0"/>
    <n v="0"/>
    <n v="50"/>
    <n v="25"/>
    <n v="25"/>
    <s v=""/>
    <n v="0"/>
  </r>
  <r>
    <s v="MMR001CMP167"/>
    <x v="3"/>
    <s v="Lisu Baptist Church, Maw Wan Ward"/>
    <s v="Hpakant"/>
    <n v="15"/>
    <n v="73"/>
    <n v="0"/>
    <n v="0"/>
    <n v="0"/>
    <n v="30"/>
    <n v="15"/>
    <n v="15"/>
    <s v=""/>
    <n v="0"/>
  </r>
  <r>
    <s v="MMR001CMP049"/>
    <x v="3"/>
    <s v="Lisu Boarding-House"/>
    <s v="Bhamo"/>
    <n v="116"/>
    <n v="659"/>
    <n v="0"/>
    <n v="0"/>
    <n v="0"/>
    <n v="232"/>
    <n v="116"/>
    <n v="116"/>
    <s v=""/>
    <n v="0"/>
  </r>
  <r>
    <s v="MMR001CMP027"/>
    <x v="3"/>
    <s v="Mading Baptist Church"/>
    <s v="Waingmaw"/>
    <n v="27"/>
    <n v="145"/>
    <n v="0"/>
    <n v="0"/>
    <n v="0"/>
    <n v="54"/>
    <n v="27"/>
    <n v="27"/>
    <s v=""/>
    <n v="0"/>
  </r>
  <r>
    <s v="MMR001CMP064"/>
    <x v="3"/>
    <s v="Mai Khat "/>
    <s v="Momauk"/>
    <n v="2"/>
    <n v="9"/>
    <n v="0"/>
    <n v="0"/>
    <n v="0"/>
    <n v="4"/>
    <n v="2"/>
    <n v="2"/>
    <s v=""/>
    <n v="0"/>
  </r>
  <r>
    <s v="MMR001CMP031"/>
    <x v="3"/>
    <s v="Maina AG Church"/>
    <s v="Waingmaw"/>
    <n v="149"/>
    <n v="841"/>
    <n v="0"/>
    <n v="0"/>
    <n v="0"/>
    <n v="298"/>
    <n v="149"/>
    <n v="149"/>
    <s v=""/>
    <n v="0"/>
  </r>
  <r>
    <s v="MMR001CMP029"/>
    <x v="3"/>
    <s v="Maina Catholic Church (St. Joseph)"/>
    <s v="Waingmaw"/>
    <n v="223"/>
    <n v="1230"/>
    <n v="0"/>
    <n v="0"/>
    <n v="0"/>
    <n v="446"/>
    <n v="223"/>
    <n v="223"/>
    <s v=""/>
    <n v="0"/>
  </r>
  <r>
    <s v="MMR001CMP040"/>
    <x v="3"/>
    <s v="Maina KBC (Bawng Ring)"/>
    <s v="Waingmaw"/>
    <n v="471"/>
    <n v="2389"/>
    <n v="0"/>
    <n v="0"/>
    <n v="0"/>
    <n v="942"/>
    <n v="471"/>
    <n v="471"/>
    <s v=""/>
    <n v="0"/>
  </r>
  <r>
    <s v="MMR001CMP039"/>
    <x v="3"/>
    <s v="Maina Lawang Baptist Church"/>
    <s v="Waingmaw"/>
    <n v="45"/>
    <n v="152"/>
    <n v="0"/>
    <n v="0"/>
    <n v="0"/>
    <n v="90"/>
    <n v="45"/>
    <n v="45"/>
    <s v=""/>
    <n v="0"/>
  </r>
  <r>
    <s v="MMR001CMP218"/>
    <x v="3"/>
    <s v="Maing Khaung"/>
    <s v="Mansi"/>
    <n v="389"/>
    <n v="1799"/>
    <n v="0"/>
    <n v="0"/>
    <n v="0"/>
    <n v="778"/>
    <n v="389"/>
    <n v="389"/>
    <s v=""/>
    <n v="0"/>
  </r>
  <r>
    <s v="MMR001CMP223"/>
    <x v="3"/>
    <s v="Maing Khaung Catholic Church"/>
    <s v="Mansi"/>
    <n v="167"/>
    <n v="730"/>
    <n v="0"/>
    <n v="0"/>
    <n v="0"/>
    <n v="334"/>
    <n v="167"/>
    <n v="167"/>
    <s v=""/>
    <n v="0"/>
  </r>
  <r>
    <s v="MMR001CMP016"/>
    <x v="3"/>
    <s v="Maliyang Baptist Church"/>
    <s v="Myitkyina"/>
    <n v="61"/>
    <n v="303"/>
    <n v="0"/>
    <n v="0"/>
    <n v="0"/>
    <n v="122"/>
    <n v="61"/>
    <n v="61"/>
    <s v=""/>
    <n v="0"/>
  </r>
  <r>
    <s v="MMR001CMP062"/>
    <x v="3"/>
    <s v="Man Bung Catholic compound"/>
    <s v="Momauk"/>
    <n v="265"/>
    <n v="1183"/>
    <n v="0"/>
    <n v="0"/>
    <n v="0"/>
    <n v="530"/>
    <n v="265"/>
    <n v="265"/>
    <s v=""/>
    <n v="0"/>
  </r>
  <r>
    <s v="MMR001CMP008"/>
    <x v="3"/>
    <s v="Man Hkring Baptist Church"/>
    <s v="Myitkyina"/>
    <n v="101"/>
    <n v="545"/>
    <n v="0"/>
    <n v="0"/>
    <n v="0"/>
    <n v="202"/>
    <n v="101"/>
    <n v="101"/>
    <s v=""/>
    <n v="0"/>
  </r>
  <r>
    <s v="MMR001CMP063"/>
    <x v="3"/>
    <s v="Man Nawng "/>
    <s v="Momauk"/>
    <n v="28"/>
    <n v="136"/>
    <n v="0"/>
    <n v="0"/>
    <n v="0"/>
    <n v="56"/>
    <n v="28"/>
    <n v="28"/>
    <s v=""/>
    <n v="0"/>
  </r>
  <r>
    <s v="MMR001CMP198"/>
    <x v="3"/>
    <s v="Man Ting"/>
    <s v="Momauk"/>
    <n v="0"/>
    <n v="0"/>
    <n v="0"/>
    <n v="0"/>
    <n v="0"/>
    <n v="0"/>
    <n v="0"/>
    <n v="0"/>
    <s v=""/>
    <n v="0"/>
  </r>
  <r>
    <s v="MMR001CMP133"/>
    <x v="3"/>
    <s v="Man Wing Baptist Church"/>
    <s v="Mansi"/>
    <n v="107"/>
    <n v="539"/>
    <n v="0"/>
    <n v="0"/>
    <n v="0"/>
    <n v="214"/>
    <n v="107"/>
    <n v="107"/>
    <s v=""/>
    <n v="0"/>
  </r>
  <r>
    <s v="MMR001CMP132"/>
    <x v="3"/>
    <s v="Man Wing Catholic Church"/>
    <s v="Mansi"/>
    <n v="480"/>
    <n v="2437"/>
    <n v="0"/>
    <n v="0"/>
    <n v="0"/>
    <n v="960"/>
    <n v="480"/>
    <n v="480"/>
    <s v=""/>
    <n v="0"/>
  </r>
  <r>
    <s v="MMR001CMP228"/>
    <x v="3"/>
    <s v="Man Wing Catholic Church II"/>
    <s v="Mansi"/>
    <n v="147"/>
    <n v="631"/>
    <n v="0"/>
    <n v="0"/>
    <n v="0"/>
    <n v="294"/>
    <n v="147"/>
    <n v="147"/>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1"/>
    <n v="0"/>
    <n v="0"/>
    <n v="0"/>
    <n v="30"/>
    <n v="15"/>
    <n v="15"/>
    <s v=""/>
    <n v="0"/>
  </r>
  <r>
    <s v="MMR001CMP066"/>
    <x v="3"/>
    <s v="Mansi Baptist Church"/>
    <s v="Mansi"/>
    <n v="195"/>
    <n v="881"/>
    <n v="0"/>
    <n v="0"/>
    <n v="0"/>
    <n v="390"/>
    <n v="195"/>
    <n v="195"/>
    <s v=""/>
    <n v="0"/>
  </r>
  <r>
    <s v="MMR001CMP020"/>
    <x v="3"/>
    <s v="Maw Hpawng Hka Nan Baptist Church"/>
    <s v="Myitkyina"/>
    <n v="21"/>
    <n v="98"/>
    <n v="0"/>
    <n v="0"/>
    <n v="0"/>
    <n v="42"/>
    <n v="21"/>
    <n v="21"/>
    <s v=""/>
    <n v="0"/>
  </r>
  <r>
    <s v="MMR001CMP021"/>
    <x v="3"/>
    <s v="Maw Hpawng Lhaovo Baptist Church"/>
    <s v="Myitkyina"/>
    <n v="14"/>
    <n v="71"/>
    <n v="0"/>
    <n v="0"/>
    <n v="0"/>
    <n v="28"/>
    <n v="14"/>
    <n v="14"/>
    <s v=""/>
    <n v="0"/>
  </r>
  <r>
    <s v="MMR001CMP091"/>
    <x v="3"/>
    <s v="Maw Wan, Mu-yin Baptist Church"/>
    <s v="Hpakant"/>
    <n v="4"/>
    <n v="22"/>
    <n v="0"/>
    <n v="0"/>
    <n v="0"/>
    <n v="8"/>
    <n v="4"/>
    <n v="4"/>
    <s v=""/>
    <n v="0"/>
  </r>
  <r>
    <s v="MMR001CMP056"/>
    <x v="3"/>
    <s v="Momauk Baptist Church"/>
    <s v="Momauk"/>
    <n v="387"/>
    <n v="1844"/>
    <n v="0"/>
    <n v="0"/>
    <n v="0"/>
    <n v="774"/>
    <n v="387"/>
    <n v="387"/>
    <s v=""/>
    <n v="0"/>
  </r>
  <r>
    <s v="MMR001CMP057"/>
    <x v="3"/>
    <s v="Momauk Catholic Church (St. Patrick)"/>
    <s v="Momauk"/>
    <n v="0"/>
    <n v="0"/>
    <n v="0"/>
    <n v="0"/>
    <n v="0"/>
    <n v="0"/>
    <n v="0"/>
    <n v="0"/>
    <s v=""/>
    <n v="0"/>
  </r>
  <r>
    <s v="MMR015CMP213"/>
    <x v="3"/>
    <s v="Muse Baptist Church"/>
    <s v="Muse"/>
    <n v="51"/>
    <n v="214"/>
    <n v="0"/>
    <n v="0"/>
    <n v="0"/>
    <n v="102"/>
    <n v="51"/>
    <n v="51"/>
    <s v=""/>
    <n v="0"/>
  </r>
  <r>
    <s v="MMR015CMP216"/>
    <x v="3"/>
    <s v="Muse Catholic Church"/>
    <s v="Muse"/>
    <n v="25"/>
    <n v="113"/>
    <n v="0"/>
    <n v="0"/>
    <n v="0"/>
    <n v="50"/>
    <n v="25"/>
    <n v="25"/>
    <s v=""/>
    <n v="0"/>
  </r>
  <r>
    <s v="MMR001CMP051"/>
    <x v="3"/>
    <s v="Mu-yin Baptist Church"/>
    <s v="Bhamo"/>
    <n v="14"/>
    <n v="61"/>
    <n v="0"/>
    <n v="0"/>
    <n v="0"/>
    <n v="28"/>
    <n v="14"/>
    <n v="14"/>
    <s v=""/>
    <n v="0"/>
  </r>
  <r>
    <s v="MMR001CMP017"/>
    <x v="3"/>
    <s v="Myay Myint Baptist Church"/>
    <s v="Myitkyina"/>
    <n v="0"/>
    <n v="0"/>
    <n v="0"/>
    <n v="0"/>
    <n v="0"/>
    <n v="0"/>
    <n v="0"/>
    <n v="0"/>
    <s v=""/>
    <n v="0"/>
  </r>
  <r>
    <s v="MMR001CMP061"/>
    <x v="3"/>
    <s v="Myo Thit "/>
    <s v="Momauk"/>
    <n v="44"/>
    <n v="143"/>
    <n v="0"/>
    <n v="0"/>
    <n v="0"/>
    <n v="88"/>
    <n v="44"/>
    <n v="44"/>
    <s v=""/>
    <n v="0"/>
  </r>
  <r>
    <s v="MMR015CMP214"/>
    <x v="3"/>
    <s v="Nam Hkam (KBC Jaw Wang) II"/>
    <s v="Namhkan"/>
    <n v="37"/>
    <n v="201"/>
    <n v="0"/>
    <n v="0"/>
    <n v="0"/>
    <n v="74"/>
    <n v="37"/>
    <n v="37"/>
    <s v=""/>
    <n v="0"/>
  </r>
  <r>
    <s v="MMR001CMP192"/>
    <x v="3"/>
    <s v="Nam Ma Phyit, COC"/>
    <s v="Hpakant"/>
    <n v="12"/>
    <n v="50"/>
    <n v="0"/>
    <n v="0"/>
    <n v="0"/>
    <n v="24"/>
    <n v="12"/>
    <n v="12"/>
    <s v=""/>
    <n v="0"/>
  </r>
  <r>
    <s v="MMR015CMP215"/>
    <x v="3"/>
    <s v="Namhkan - Pang Long KBC"/>
    <s v="Namhkan"/>
    <n v="121"/>
    <n v="556"/>
    <n v="0"/>
    <n v="0"/>
    <n v="0"/>
    <n v="242"/>
    <n v="121"/>
    <n v="121"/>
    <s v=""/>
    <n v="0"/>
  </r>
  <r>
    <s v="MMR001CMP024"/>
    <x v="3"/>
    <s v="Nan Kway St. John Catholic Church"/>
    <s v="Myitkyina"/>
    <n v="68"/>
    <n v="333"/>
    <n v="0"/>
    <n v="0"/>
    <n v="0"/>
    <n v="136"/>
    <n v="68"/>
    <n v="68"/>
    <s v=""/>
    <n v="0"/>
  </r>
  <r>
    <s v="MMR001CMP054"/>
    <x v="3"/>
    <s v="Nant Hlaing Church"/>
    <s v="Bhamo"/>
    <n v="21"/>
    <n v="111"/>
    <n v="0"/>
    <n v="0"/>
    <n v="0"/>
    <n v="42"/>
    <n v="21"/>
    <n v="21"/>
    <s v=""/>
    <n v="0"/>
  </r>
  <r>
    <s v="MMR001CMP103"/>
    <x v="3"/>
    <s v="Nant Ma Hpit Catholic Church"/>
    <s v="Hpakant"/>
    <n v="51"/>
    <n v="225"/>
    <n v="0"/>
    <n v="0"/>
    <n v="0"/>
    <n v="102"/>
    <n v="51"/>
    <n v="51"/>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6"/>
    <n v="0"/>
    <n v="0"/>
    <n v="0"/>
    <n v="24"/>
    <n v="12"/>
    <n v="12"/>
    <s v=""/>
    <n v="0"/>
  </r>
  <r>
    <s v="MMR001CMP033"/>
    <x v="3"/>
    <s v="Nawng Hee Village"/>
    <s v="Waingmaw"/>
    <n v="18"/>
    <n v="82"/>
    <n v="0"/>
    <n v="0"/>
    <n v="0"/>
    <n v="36"/>
    <n v="18"/>
    <n v="18"/>
    <s v=""/>
    <n v="0"/>
  </r>
  <r>
    <s v="MMR001CMP152"/>
    <x v="3"/>
    <s v="Nawng Ing (Indawgyi) Baptist Church  "/>
    <s v="Mohnyin"/>
    <n v="19"/>
    <n v="102"/>
    <n v="0"/>
    <n v="0"/>
    <n v="0"/>
    <n v="38"/>
    <n v="19"/>
    <n v="19"/>
    <s v=""/>
    <n v="0"/>
  </r>
  <r>
    <s v="MMR001CMP059"/>
    <x v="3"/>
    <s v="Ni Thaw Ka Monestry"/>
    <s v="Momauk"/>
    <n v="0"/>
    <n v="0"/>
    <n v="0"/>
    <n v="0"/>
    <n v="0"/>
    <n v="0"/>
    <n v="0"/>
    <n v="0"/>
    <s v=""/>
    <n v="0"/>
  </r>
  <r>
    <s v="MMR001CMP002"/>
    <x v="3"/>
    <s v="Njang Dung Baptist Church "/>
    <s v="Myitkyina"/>
    <n v="67"/>
    <n v="289"/>
    <n v="0"/>
    <n v="0"/>
    <n v="0"/>
    <n v="134"/>
    <n v="67"/>
    <n v="67"/>
    <s v=""/>
    <n v="0"/>
  </r>
  <r>
    <s v="MMR001CMP162"/>
    <x v="3"/>
    <s v="Pa Dauk Myaing(Pa La Na)"/>
    <s v="Myitkyina"/>
    <n v="46"/>
    <n v="278"/>
    <n v="0"/>
    <n v="0"/>
    <n v="0"/>
    <n v="92"/>
    <n v="46"/>
    <n v="46"/>
    <s v=""/>
    <n v="0"/>
  </r>
  <r>
    <s v="MMR001CMP193"/>
    <x v="3"/>
    <s v="Phan Khar Kone"/>
    <s v="Bhamo"/>
    <n v="153"/>
    <n v="773"/>
    <n v="0"/>
    <n v="0"/>
    <n v="0"/>
    <n v="306"/>
    <n v="153"/>
    <n v="153"/>
    <s v=""/>
    <n v="0"/>
  </r>
  <r>
    <s v="MMR001CMP065"/>
    <x v="3"/>
    <s v="Phar Kay/Nant Waing "/>
    <s v="Momauk"/>
    <n v="39"/>
    <n v="176"/>
    <n v="0"/>
    <n v="0"/>
    <n v="0"/>
    <n v="78"/>
    <n v="39"/>
    <n v="39"/>
    <s v=""/>
    <n v="0"/>
  </r>
  <r>
    <s v="MMR001CMP032"/>
    <x v="3"/>
    <s v="Qtr. 2 Lhaovo Baptist Church"/>
    <s v="Waingmaw"/>
    <n v="91"/>
    <n v="329"/>
    <n v="0"/>
    <n v="0"/>
    <n v="0"/>
    <n v="182"/>
    <n v="91"/>
    <n v="91"/>
    <s v=""/>
    <n v="0"/>
  </r>
  <r>
    <s v="MMR001CMP025"/>
    <x v="3"/>
    <s v="Qtr. 2 Myoma Baptist Church"/>
    <s v="Waingmaw"/>
    <n v="64"/>
    <n v="324"/>
    <n v="0"/>
    <n v="0"/>
    <n v="0"/>
    <n v="128"/>
    <n v="64"/>
    <n v="64"/>
    <s v=""/>
    <n v="0"/>
  </r>
  <r>
    <s v="MMR001CMP030"/>
    <x v="3"/>
    <s v="Qtr. 3 Mu-yin  Baptist Church"/>
    <s v="Waingmaw"/>
    <n v="31"/>
    <n v="172"/>
    <n v="0"/>
    <n v="0"/>
    <n v="0"/>
    <n v="62"/>
    <n v="31"/>
    <n v="31"/>
    <s v=""/>
    <n v="0"/>
  </r>
  <r>
    <s v="MMR001CMP026"/>
    <x v="3"/>
    <s v="Qtr. 4 Monestry (Thargaya Thayett Taw)"/>
    <s v="Waingmaw"/>
    <n v="87"/>
    <n v="479"/>
    <n v="0"/>
    <n v="0"/>
    <n v="0"/>
    <n v="174"/>
    <n v="87"/>
    <n v="87"/>
    <s v=""/>
    <n v="0"/>
  </r>
  <r>
    <s v="MMR001CMP182"/>
    <x v="3"/>
    <s v="Rawan Baptist Church, Maw Shan Vil., Seik Mu"/>
    <s v="Hpakant"/>
    <n v="10"/>
    <n v="39"/>
    <n v="0"/>
    <n v="0"/>
    <n v="0"/>
    <n v="20"/>
    <n v="10"/>
    <n v="10"/>
    <s v=""/>
    <n v="0"/>
  </r>
  <r>
    <s v="MMR001CMP047"/>
    <x v="3"/>
    <s v="Robert Church"/>
    <s v="Bhamo"/>
    <n v="626"/>
    <n v="3822"/>
    <n v="0"/>
    <n v="0"/>
    <n v="0"/>
    <n v="1252"/>
    <n v="626"/>
    <n v="626"/>
    <s v=""/>
    <n v="0"/>
  </r>
  <r>
    <s v="MMR001CMP183"/>
    <x v="3"/>
    <s v="Sai Nai Baptish Church, Maw Shan Vil., Seki Mu"/>
    <s v="Hpakant"/>
    <n v="8"/>
    <n v="36"/>
    <n v="0"/>
    <n v="0"/>
    <n v="0"/>
    <n v="16"/>
    <n v="8"/>
    <n v="8"/>
    <s v=""/>
    <n v="0"/>
  </r>
  <r>
    <s v="MMR001CMP006"/>
    <x v="3"/>
    <s v="Shatapru Sut Ngai Tawng"/>
    <s v="Myitkyina"/>
    <n v="90"/>
    <n v="405"/>
    <n v="0"/>
    <n v="0"/>
    <n v="0"/>
    <n v="180"/>
    <n v="90"/>
    <n v="90"/>
    <s v=""/>
    <n v="0"/>
  </r>
  <r>
    <s v="MMR001CMP007"/>
    <x v="3"/>
    <s v="Shatapru Thida Aye Baptist Church"/>
    <s v="Myitkyina"/>
    <n v="22"/>
    <n v="111"/>
    <n v="0"/>
    <n v="0"/>
    <n v="0"/>
    <n v="44"/>
    <n v="22"/>
    <n v="22"/>
    <s v=""/>
    <n v="0"/>
  </r>
  <r>
    <s v="MMR001CMP067"/>
    <x v="3"/>
    <s v="Shwe Gu Baptist Church"/>
    <s v="Shwegu"/>
    <n v="86"/>
    <n v="313"/>
    <n v="0"/>
    <n v="0"/>
    <n v="0"/>
    <n v="172"/>
    <n v="86"/>
    <n v="86"/>
    <s v=""/>
    <n v="0"/>
  </r>
  <r>
    <s v="MMR001CMP068"/>
    <x v="3"/>
    <s v="Shwe Gu Catholic Church"/>
    <s v="Shwegu"/>
    <n v="32"/>
    <n v="136"/>
    <n v="0"/>
    <n v="0"/>
    <n v="0"/>
    <n v="64"/>
    <n v="32"/>
    <n v="32"/>
    <s v=""/>
    <n v="0"/>
  </r>
  <r>
    <s v="MMR001CMP009"/>
    <x v="3"/>
    <s v="Shwe Zet Baptist Church"/>
    <s v="Myitkyina"/>
    <n v="89"/>
    <n v="489"/>
    <n v="0"/>
    <n v="0"/>
    <n v="0"/>
    <n v="178"/>
    <n v="89"/>
    <n v="89"/>
    <s v=""/>
    <n v="0"/>
  </r>
  <r>
    <s v="MMR001CMP080"/>
    <x v="3"/>
    <s v="St. Patrick Catholic Church "/>
    <s v="Mohnyin"/>
    <n v="12"/>
    <n v="62"/>
    <n v="0"/>
    <n v="0"/>
    <n v="0"/>
    <n v="24"/>
    <n v="12"/>
    <n v="12"/>
    <s v=""/>
    <n v="0"/>
  </r>
  <r>
    <s v="MMR001CMP206"/>
    <x v="3"/>
    <s v="Sumprabum"/>
    <s v="Sumprabum"/>
    <n v="5"/>
    <n v="32"/>
    <n v="0"/>
    <n v="0"/>
    <n v="0"/>
    <n v="10"/>
    <n v="5"/>
    <n v="5"/>
    <s v=""/>
    <n v="0"/>
  </r>
  <r>
    <s v="MMR001CMP055"/>
    <x v="3"/>
    <s v="Ta Gun Taing Monastery (Shwe Kyi Na)"/>
    <s v="Bhamo"/>
    <n v="21"/>
    <n v="95"/>
    <n v="0"/>
    <n v="0"/>
    <n v="0"/>
    <n v="42"/>
    <n v="21"/>
    <n v="21"/>
    <s v=""/>
    <n v="0"/>
  </r>
  <r>
    <s v="MMR001CMP060"/>
    <x v="3"/>
    <s v="Tarli "/>
    <s v="Momauk"/>
    <n v="10"/>
    <n v="38"/>
    <n v="0"/>
    <n v="0"/>
    <n v="0"/>
    <n v="20"/>
    <n v="10"/>
    <n v="10"/>
    <s v=""/>
    <n v="0"/>
  </r>
  <r>
    <s v="MMR001CMP001"/>
    <x v="3"/>
    <s v="Tat Kone Baptist Church"/>
    <s v="Myitkyina"/>
    <n v="52"/>
    <n v="263"/>
    <n v="0"/>
    <n v="0"/>
    <n v="0"/>
    <n v="104"/>
    <n v="52"/>
    <n v="52"/>
    <s v=""/>
    <n v="0"/>
  </r>
  <r>
    <s v="MMR001CMP023"/>
    <x v="3"/>
    <s v="Tat Kone COC Baptist - Tat Kone Htoi San"/>
    <s v="Myitkyina"/>
    <n v="54"/>
    <n v="259"/>
    <n v="0"/>
    <n v="0"/>
    <n v="0"/>
    <n v="108"/>
    <n v="54"/>
    <n v="54"/>
    <s v=""/>
    <n v="0"/>
  </r>
  <r>
    <s v="MMR001CMP004"/>
    <x v="3"/>
    <s v="Tat Kone Emanuel Church"/>
    <s v="Myitkyina"/>
    <n v="4"/>
    <n v="21"/>
    <n v="0"/>
    <n v="0"/>
    <n v="0"/>
    <n v="8"/>
    <n v="4"/>
    <n v="4"/>
    <s v=""/>
    <n v="0"/>
  </r>
  <r>
    <s v="MMR001CMP003"/>
    <x v="3"/>
    <s v="Tat Kone Galile Baptist Church"/>
    <s v="Myitkyina"/>
    <n v="32"/>
    <n v="169"/>
    <n v="0"/>
    <n v="0"/>
    <n v="0"/>
    <n v="64"/>
    <n v="32"/>
    <n v="32"/>
    <s v=""/>
    <n v="0"/>
  </r>
  <r>
    <s v="MMR001CMP005"/>
    <x v="3"/>
    <s v="Tat Kone San Pya Baptist Church"/>
    <s v="Myitkyina"/>
    <n v="46"/>
    <n v="228"/>
    <n v="0"/>
    <n v="0"/>
    <n v="0"/>
    <n v="92"/>
    <n v="46"/>
    <n v="46"/>
    <s v=""/>
    <n v="0"/>
  </r>
  <r>
    <s v="MMR001CMP037"/>
    <x v="3"/>
    <s v="Thargaya Lisu Baptist Church"/>
    <s v="Waingmaw"/>
    <n v="44"/>
    <n v="182"/>
    <n v="0"/>
    <n v="0"/>
    <n v="0"/>
    <n v="88"/>
    <n v="44"/>
    <n v="44"/>
    <s v=""/>
    <n v="0"/>
  </r>
  <r>
    <s v="MMR001CMP224"/>
    <x v="3"/>
    <s v="Tharthana Ahlin Yaung New Monastery"/>
    <s v="Bhamo"/>
    <n v="0"/>
    <n v="0"/>
    <n v="0"/>
    <n v="0"/>
    <n v="0"/>
    <n v="0"/>
    <n v="0"/>
    <n v="0"/>
    <s v=""/>
    <n v="0"/>
  </r>
  <r>
    <s v="MMR001CMP038"/>
    <x v="3"/>
    <s v="Waingmaw AG Church"/>
    <s v="Waingmaw"/>
    <n v="70"/>
    <n v="288"/>
    <n v="0"/>
    <n v="0"/>
    <n v="0"/>
    <n v="140"/>
    <n v="70"/>
    <n v="70"/>
    <s v=""/>
    <n v="0"/>
  </r>
  <r>
    <s v="MMR001CMP036"/>
    <x v="3"/>
    <s v="Waingmaw Baptist Zonal Office"/>
    <s v="Waingmaw"/>
    <n v="0"/>
    <n v="0"/>
    <n v="0"/>
    <n v="0"/>
    <n v="0"/>
    <n v="0"/>
    <n v="0"/>
    <n v="0"/>
    <s v=""/>
    <n v="0"/>
  </r>
  <r>
    <s v="MMR001CMP184"/>
    <x v="3"/>
    <s v="Ward 2 Sai Taung Baptist Church, Seik Mu "/>
    <s v="Hpakant"/>
    <n v="35"/>
    <n v="173"/>
    <n v="0"/>
    <n v="0"/>
    <n v="0"/>
    <n v="70"/>
    <n v="35"/>
    <n v="35"/>
    <s v=""/>
    <n v="0"/>
  </r>
  <r>
    <s v="MMR001CMP116"/>
    <x v="3"/>
    <s v="Woi Chyai "/>
    <s v="Waingmaw"/>
    <n v="1371"/>
    <n v="6701"/>
    <n v="0"/>
    <n v="0"/>
    <n v="0"/>
    <n v="2742"/>
    <n v="1371"/>
    <n v="1371"/>
    <s v=""/>
    <n v="0"/>
  </r>
  <r>
    <s v="MMR001CMP022"/>
    <x v="3"/>
    <s v="Wun Tho Buddhist Monastery"/>
    <s v="Myitkyina"/>
    <n v="7"/>
    <n v="37"/>
    <n v="0"/>
    <n v="0"/>
    <n v="0"/>
    <n v="14"/>
    <n v="7"/>
    <n v="7"/>
    <s v=""/>
    <n v="0"/>
  </r>
  <r>
    <s v="MMR001CMP053"/>
    <x v="3"/>
    <s v="Yoe Kyi Monastery"/>
    <s v="Bhamo"/>
    <n v="15"/>
    <n v="75"/>
    <n v="0"/>
    <n v="0"/>
    <n v="0"/>
    <n v="30"/>
    <n v="15"/>
    <n v="15"/>
    <s v=""/>
    <n v="0"/>
  </r>
  <r>
    <s v="MMR001CMP105"/>
    <x v="3"/>
    <s v="Yumar Baptist Church"/>
    <s v="Hpakant"/>
    <n v="12"/>
    <n v="43"/>
    <n v="0"/>
    <n v="0"/>
    <n v="0"/>
    <n v="24"/>
    <n v="12"/>
    <n v="12"/>
    <s v=""/>
    <n v="0"/>
  </r>
</pivotCacheRecords>
</file>

<file path=xl/pivotCache/pivotCacheRecords2.xml><?xml version="1.0" encoding="utf-8"?>
<pivotCacheRecords xmlns="http://schemas.openxmlformats.org/spreadsheetml/2006/main" xmlns:r="http://schemas.openxmlformats.org/officeDocument/2006/relationships" count="1335">
  <r>
    <n v="-0.73333333333333328"/>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0"/>
    <s v=""/>
    <s v=""/>
    <m/>
  </r>
  <r>
    <n v="26.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26.633333333333333"/>
    <d v="2014-10-25T00:00:00"/>
    <x v="1"/>
    <s v="MRCS"/>
    <s v="Kachin"/>
    <s v="Hpakant"/>
    <s v="5 Ward Baptist Church(lon Khin)"/>
    <m/>
    <m/>
    <m/>
    <m/>
    <m/>
    <m/>
    <m/>
    <m/>
    <m/>
    <m/>
    <n v="229"/>
    <n v="126"/>
    <m/>
    <m/>
    <m/>
    <m/>
    <m/>
    <n v="0"/>
    <n v="0"/>
    <n v="0"/>
    <n v="0"/>
    <n v="0"/>
    <n v="0"/>
    <n v="0"/>
    <n v="0"/>
    <n v="0"/>
    <n v="0"/>
    <n v="0"/>
    <n v="0"/>
    <n v="0"/>
    <n v="0"/>
    <n v="1"/>
    <n v="0"/>
    <n v="0"/>
    <n v="0"/>
    <s v="MMR001CMP179"/>
    <x v="0"/>
    <x v="1"/>
    <s v="P4"/>
    <n v="0"/>
    <m/>
  </r>
  <r>
    <n v="47.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47.56666666666667"/>
    <d v="2013-02-04T00:00:00"/>
    <x v="2"/>
    <s v="MRCS"/>
    <s v="Kachin"/>
    <s v="Hpakant"/>
    <s v="5 Ward Baptist Church(lon Khin)"/>
    <m/>
    <m/>
    <m/>
    <m/>
    <m/>
    <m/>
    <n v="162"/>
    <m/>
    <n v="0"/>
    <n v="0"/>
    <m/>
    <m/>
    <m/>
    <m/>
    <m/>
    <m/>
    <m/>
    <n v="0"/>
    <n v="0"/>
    <n v="0"/>
    <n v="0"/>
    <n v="0"/>
    <n v="0"/>
    <n v="0"/>
    <n v="0"/>
    <n v="0"/>
    <n v="0"/>
    <n v="0"/>
    <n v="0"/>
    <n v="0"/>
    <n v="0"/>
    <n v="0"/>
    <n v="0"/>
    <n v="0"/>
    <n v="0"/>
    <s v="MMR001CMP179"/>
    <x v="0"/>
    <x v="1"/>
    <s v="P4"/>
    <n v="3.9248940036341615E-3"/>
    <s v="No"/>
  </r>
  <r>
    <n v="48.733333333333334"/>
    <d v="2012-12-31T00:00:00"/>
    <x v="3"/>
    <s v="DRC"/>
    <s v="Kachin"/>
    <s v="Hpakant"/>
    <s v="5 Ward Baptist Church(lon Khin)"/>
    <n v="12"/>
    <m/>
    <m/>
    <m/>
    <m/>
    <m/>
    <m/>
    <m/>
    <n v="0"/>
    <n v="0"/>
    <m/>
    <m/>
    <m/>
    <m/>
    <m/>
    <m/>
    <m/>
    <n v="0"/>
    <n v="0"/>
    <n v="0"/>
    <n v="0"/>
    <n v="0"/>
    <n v="0"/>
    <n v="0"/>
    <n v="0"/>
    <n v="0"/>
    <n v="0"/>
    <n v="0"/>
    <n v="0"/>
    <n v="0"/>
    <n v="0"/>
    <n v="0"/>
    <n v="0"/>
    <n v="0"/>
    <n v="0"/>
    <s v="MMR001CMP179"/>
    <x v="0"/>
    <x v="1"/>
    <s v="P4"/>
    <n v="0"/>
    <s v="No"/>
  </r>
  <r>
    <n v="60.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0.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0.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23.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1"/>
    <s v="P4"/>
    <n v="2.4227740763173833E-3"/>
    <s v="No"/>
  </r>
  <r>
    <n v="26.433333333333334"/>
    <d v="2014-10-31T00:00:00"/>
    <x v="0"/>
    <m/>
    <s v="Kachin"/>
    <s v="Hpakant"/>
    <s v="5 Ward RC Church(lon Khin)"/>
    <m/>
    <m/>
    <n v="59"/>
    <n v="118"/>
    <n v="59"/>
    <n v="118"/>
    <n v="59"/>
    <m/>
    <n v="59"/>
    <n v="295"/>
    <m/>
    <m/>
    <m/>
    <m/>
    <m/>
    <m/>
    <m/>
    <n v="0"/>
    <n v="0"/>
    <n v="0"/>
    <n v="0"/>
    <n v="0"/>
    <n v="0"/>
    <n v="0"/>
    <n v="0"/>
    <n v="0"/>
    <n v="0"/>
    <n v="0"/>
    <n v="0"/>
    <n v="0"/>
    <n v="0"/>
    <n v="0"/>
    <n v="0"/>
    <n v="0"/>
    <n v="0"/>
    <s v="MMR001CMP168"/>
    <x v="0"/>
    <x v="1"/>
    <s v="P4"/>
    <n v="1.4294367050272563E-3"/>
    <m/>
  </r>
  <r>
    <n v="26.633333333333333"/>
    <d v="2014-10-25T00:00:00"/>
    <x v="1"/>
    <s v="MRCS"/>
    <s v="Kachin"/>
    <s v="Hpakant"/>
    <s v="5 Ward RC Church(lon Khin)"/>
    <m/>
    <m/>
    <m/>
    <m/>
    <m/>
    <m/>
    <m/>
    <m/>
    <m/>
    <m/>
    <n v="223"/>
    <n v="96"/>
    <m/>
    <m/>
    <m/>
    <m/>
    <m/>
    <n v="0"/>
    <n v="0"/>
    <n v="0"/>
    <n v="0"/>
    <n v="0"/>
    <n v="0"/>
    <n v="0"/>
    <n v="0"/>
    <n v="0"/>
    <n v="0"/>
    <n v="0"/>
    <n v="0"/>
    <n v="0"/>
    <n v="0"/>
    <n v="1"/>
    <n v="0"/>
    <n v="0"/>
    <n v="0"/>
    <s v="MMR001CMP168"/>
    <x v="0"/>
    <x v="1"/>
    <s v="P4"/>
    <n v="0"/>
    <m/>
  </r>
  <r>
    <n v="27.433333333333334"/>
    <d v="2014-10-01T00:00:00"/>
    <x v="0"/>
    <s v="KMSS"/>
    <s v="Kachin"/>
    <s v="Hpakant"/>
    <s v="5 Ward RC Church(lon Khin)"/>
    <m/>
    <m/>
    <m/>
    <n v="156"/>
    <m/>
    <m/>
    <m/>
    <m/>
    <m/>
    <m/>
    <m/>
    <m/>
    <m/>
    <m/>
    <m/>
    <m/>
    <m/>
    <n v="0"/>
    <n v="0"/>
    <n v="0"/>
    <n v="0"/>
    <n v="0"/>
    <n v="0"/>
    <n v="0"/>
    <n v="0"/>
    <n v="0"/>
    <n v="0"/>
    <n v="0"/>
    <n v="0"/>
    <n v="0"/>
    <n v="0"/>
    <n v="0"/>
    <n v="0"/>
    <n v="0"/>
    <n v="0"/>
    <s v="MMR001CMP168"/>
    <x v="0"/>
    <x v="1"/>
    <s v="P4"/>
    <n v="0"/>
    <m/>
  </r>
  <r>
    <n v="47.56666666666667"/>
    <d v="2013-02-04T00:00:00"/>
    <x v="2"/>
    <s v="MRCS"/>
    <s v="Kachin"/>
    <s v="Hpakant"/>
    <s v="5 Ward RC Church(lon Khin)"/>
    <m/>
    <m/>
    <m/>
    <m/>
    <m/>
    <m/>
    <n v="117"/>
    <m/>
    <n v="0"/>
    <n v="0"/>
    <m/>
    <m/>
    <m/>
    <m/>
    <m/>
    <m/>
    <m/>
    <n v="0"/>
    <n v="0"/>
    <n v="0"/>
    <n v="0"/>
    <n v="0"/>
    <n v="0"/>
    <n v="0"/>
    <n v="0"/>
    <n v="0"/>
    <n v="0"/>
    <n v="0"/>
    <n v="0"/>
    <n v="0"/>
    <n v="0"/>
    <n v="0"/>
    <n v="0"/>
    <n v="0"/>
    <n v="0"/>
    <s v="MMR001CMP168"/>
    <x v="0"/>
    <x v="1"/>
    <s v="P4"/>
    <n v="2.8346456692913387E-3"/>
    <s v="No"/>
  </r>
  <r>
    <n v="48.733333333333334"/>
    <d v="2012-12-31T00:00:00"/>
    <x v="3"/>
    <s v="DRC"/>
    <s v="Kachin"/>
    <s v="Hpakant"/>
    <s v="5 Ward RC Church(lon Khin)"/>
    <n v="19"/>
    <m/>
    <m/>
    <m/>
    <m/>
    <m/>
    <m/>
    <m/>
    <n v="0"/>
    <n v="0"/>
    <m/>
    <m/>
    <m/>
    <m/>
    <m/>
    <m/>
    <m/>
    <n v="0"/>
    <n v="0"/>
    <n v="0"/>
    <n v="0"/>
    <n v="0"/>
    <n v="0"/>
    <n v="0"/>
    <n v="0"/>
    <n v="0"/>
    <n v="0"/>
    <n v="0"/>
    <n v="0"/>
    <n v="0"/>
    <n v="0"/>
    <n v="0"/>
    <n v="0"/>
    <n v="0"/>
    <n v="0"/>
    <s v="MMR001CMP168"/>
    <x v="0"/>
    <x v="1"/>
    <s v="P4"/>
    <n v="0"/>
    <s v="No"/>
  </r>
  <r>
    <n v="4.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1"/>
    <x v="1"/>
    <n v="0"/>
    <n v="4.931429644937066E-4"/>
    <m/>
  </r>
  <r>
    <n v="4.9333333333333336"/>
    <d v="2016-08-06T00:00:00"/>
    <x v="0"/>
    <s v="KMSS_Myitkyina"/>
    <s v="Kachin"/>
    <s v="Hpakant"/>
    <s v="A Lo Taw Pyae monastery"/>
    <m/>
    <n v="21"/>
    <n v="21"/>
    <n v="27"/>
    <n v="21"/>
    <n v="30"/>
    <n v="21"/>
    <m/>
    <n v="21"/>
    <n v="33"/>
    <m/>
    <m/>
    <m/>
    <m/>
    <n v="21"/>
    <m/>
    <m/>
    <m/>
    <m/>
    <m/>
    <m/>
    <m/>
    <m/>
    <m/>
    <m/>
    <m/>
    <m/>
    <m/>
    <m/>
    <m/>
    <m/>
    <m/>
    <m/>
    <m/>
    <m/>
    <m/>
    <x v="2"/>
    <x v="1"/>
    <m/>
    <m/>
    <m/>
  </r>
  <r>
    <n v="4.0999999999999996"/>
    <d v="2016-08-31T00:00:00"/>
    <x v="4"/>
    <s v="Solidarities"/>
    <s v="Kachin"/>
    <s v="Bhamo"/>
    <s v="AD-2000 Tharthana Compound"/>
    <m/>
    <m/>
    <m/>
    <m/>
    <m/>
    <m/>
    <m/>
    <m/>
    <m/>
    <m/>
    <m/>
    <m/>
    <m/>
    <m/>
    <n v="1"/>
    <m/>
    <m/>
    <n v="0"/>
    <n v="0"/>
    <n v="0"/>
    <n v="0"/>
    <n v="0"/>
    <n v="0"/>
    <n v="0"/>
    <n v="0"/>
    <n v="0"/>
    <n v="0"/>
    <n v="0"/>
    <n v="0"/>
    <n v="0"/>
    <n v="0"/>
    <n v="0"/>
    <n v="1"/>
    <n v="0"/>
    <n v="0"/>
    <s v="MMR001CMP050"/>
    <x v="0"/>
    <x v="1"/>
    <s v="P4"/>
    <n v="0"/>
    <m/>
  </r>
  <r>
    <n v="6.166666666666667"/>
    <d v="2016-06-30T00:00:00"/>
    <x v="4"/>
    <s v="Solidarities"/>
    <s v="Kachin"/>
    <s v="Bhamo"/>
    <s v="AD-2000 Tharthana Compound"/>
    <m/>
    <m/>
    <m/>
    <m/>
    <m/>
    <m/>
    <m/>
    <m/>
    <m/>
    <m/>
    <m/>
    <m/>
    <m/>
    <m/>
    <n v="2"/>
    <m/>
    <m/>
    <n v="0"/>
    <n v="0"/>
    <n v="0"/>
    <n v="0"/>
    <n v="0"/>
    <n v="0"/>
    <n v="0"/>
    <n v="0"/>
    <n v="0"/>
    <n v="0"/>
    <n v="0"/>
    <n v="0"/>
    <n v="0"/>
    <n v="0"/>
    <n v="0"/>
    <n v="2"/>
    <n v="0"/>
    <n v="0"/>
    <s v="MMR001CMP050"/>
    <x v="0"/>
    <x v="1"/>
    <s v="P4"/>
    <n v="0"/>
    <m/>
  </r>
  <r>
    <n v="8.2333333333333325"/>
    <d v="2016-04-29T00:00:00"/>
    <x v="4"/>
    <s v="Solidarities"/>
    <s v="Kachin"/>
    <s v="Bhamo"/>
    <s v="AD-2000 Tharthana Compound"/>
    <m/>
    <m/>
    <m/>
    <m/>
    <m/>
    <m/>
    <m/>
    <m/>
    <m/>
    <m/>
    <m/>
    <m/>
    <m/>
    <m/>
    <m/>
    <n v="74"/>
    <m/>
    <n v="0"/>
    <n v="0"/>
    <n v="0"/>
    <n v="0"/>
    <n v="0"/>
    <n v="0"/>
    <n v="0"/>
    <n v="0"/>
    <n v="0"/>
    <n v="0"/>
    <n v="0"/>
    <n v="0"/>
    <n v="0"/>
    <n v="0"/>
    <n v="0"/>
    <n v="0"/>
    <n v="74"/>
    <n v="0"/>
    <s v="MMR001CMP050"/>
    <x v="0"/>
    <x v="1"/>
    <s v="P4"/>
    <n v="0"/>
    <m/>
  </r>
  <r>
    <n v="10.333333333333334"/>
    <d v="2016-02-26T00:00:00"/>
    <x v="4"/>
    <s v="Solidarities"/>
    <s v="Kachin"/>
    <s v="Bhamo"/>
    <s v="AD-2000 Tharthana Compound"/>
    <m/>
    <m/>
    <m/>
    <m/>
    <m/>
    <m/>
    <m/>
    <m/>
    <m/>
    <m/>
    <m/>
    <m/>
    <m/>
    <m/>
    <m/>
    <m/>
    <m/>
    <n v="0"/>
    <n v="0"/>
    <n v="0"/>
    <n v="0"/>
    <n v="0"/>
    <n v="0"/>
    <n v="0"/>
    <n v="0"/>
    <n v="0"/>
    <n v="0"/>
    <n v="0"/>
    <n v="0"/>
    <n v="0"/>
    <n v="0"/>
    <n v="0"/>
    <n v="0"/>
    <n v="0"/>
    <n v="0"/>
    <s v="MMR001CMP050"/>
    <x v="0"/>
    <x v="1"/>
    <s v="P4"/>
    <n v="0"/>
    <m/>
  </r>
  <r>
    <n v="11.133333333333333"/>
    <d v="2016-02-02T00:00:00"/>
    <x v="4"/>
    <s v="Solidarities"/>
    <s v="Kachin"/>
    <s v="Bhamo"/>
    <s v="AD-2000 Tharthana Compound"/>
    <m/>
    <m/>
    <n v="310"/>
    <m/>
    <m/>
    <m/>
    <m/>
    <m/>
    <m/>
    <m/>
    <m/>
    <m/>
    <m/>
    <m/>
    <m/>
    <m/>
    <m/>
    <n v="0"/>
    <n v="0"/>
    <n v="310"/>
    <n v="0"/>
    <n v="0"/>
    <n v="0"/>
    <n v="0"/>
    <n v="0"/>
    <n v="0"/>
    <n v="0"/>
    <n v="0"/>
    <n v="0"/>
    <n v="0"/>
    <n v="0"/>
    <n v="0"/>
    <n v="0"/>
    <n v="0"/>
    <n v="0"/>
    <s v="MMR001CMP050"/>
    <x v="0"/>
    <x v="1"/>
    <s v="P4"/>
    <n v="0"/>
    <m/>
  </r>
  <r>
    <n v="12.7"/>
    <d v="2015-12-17T00:00:00"/>
    <x v="4"/>
    <s v="Solidarities"/>
    <s v="Kachin"/>
    <s v="Bhamo"/>
    <s v="AD-2000 Tharthana Compound"/>
    <m/>
    <m/>
    <m/>
    <m/>
    <m/>
    <m/>
    <m/>
    <m/>
    <m/>
    <m/>
    <m/>
    <m/>
    <m/>
    <m/>
    <m/>
    <n v="38"/>
    <m/>
    <n v="0"/>
    <n v="0"/>
    <n v="0"/>
    <n v="0"/>
    <n v="0"/>
    <n v="0"/>
    <n v="0"/>
    <n v="0"/>
    <n v="0"/>
    <n v="0"/>
    <n v="0"/>
    <n v="0"/>
    <n v="0"/>
    <n v="0"/>
    <n v="0"/>
    <n v="0"/>
    <n v="0"/>
    <n v="0"/>
    <s v="MMR001CMP050"/>
    <x v="0"/>
    <x v="1"/>
    <s v="P4"/>
    <n v="0"/>
    <m/>
  </r>
  <r>
    <n v="18.366666666666667"/>
    <d v="2015-06-30T00:00:00"/>
    <x v="4"/>
    <s v="Solidarities"/>
    <s v="Kachin"/>
    <s v="Bhamo"/>
    <s v="AD-2000 Tharthana Compound"/>
    <m/>
    <m/>
    <m/>
    <m/>
    <m/>
    <m/>
    <m/>
    <m/>
    <m/>
    <m/>
    <m/>
    <m/>
    <m/>
    <m/>
    <n v="3"/>
    <m/>
    <m/>
    <n v="0"/>
    <n v="0"/>
    <n v="0"/>
    <n v="0"/>
    <n v="0"/>
    <n v="0"/>
    <n v="0"/>
    <n v="0"/>
    <n v="0"/>
    <n v="0"/>
    <n v="0"/>
    <n v="0"/>
    <n v="0"/>
    <n v="0"/>
    <n v="0"/>
    <n v="0"/>
    <n v="0"/>
    <n v="0"/>
    <s v="MMR001CMP050"/>
    <x v="0"/>
    <x v="1"/>
    <s v="P4"/>
    <n v="0"/>
    <m/>
  </r>
  <r>
    <n v="19.5"/>
    <d v="2015-05-27T00:00:00"/>
    <x v="4"/>
    <s v="Solidarities"/>
    <s v="Kachin"/>
    <s v="Bhamo"/>
    <s v="AD-2000 Tharthana Compound"/>
    <m/>
    <m/>
    <n v="424"/>
    <m/>
    <m/>
    <m/>
    <m/>
    <m/>
    <m/>
    <m/>
    <m/>
    <m/>
    <m/>
    <m/>
    <m/>
    <m/>
    <m/>
    <n v="0"/>
    <n v="0"/>
    <n v="0"/>
    <n v="0"/>
    <n v="0"/>
    <n v="0"/>
    <n v="0"/>
    <n v="0"/>
    <n v="0"/>
    <n v="0"/>
    <n v="0"/>
    <n v="0"/>
    <n v="0"/>
    <n v="0"/>
    <n v="0"/>
    <n v="0"/>
    <n v="0"/>
    <n v="0"/>
    <s v="MMR001CMP050"/>
    <x v="0"/>
    <x v="1"/>
    <s v="P4"/>
    <n v="0"/>
    <m/>
  </r>
  <r>
    <n v="21.133333333333333"/>
    <d v="2015-04-08T00:00:00"/>
    <x v="4"/>
    <s v="Solidarities"/>
    <s v="Kachin"/>
    <s v="Bhamo"/>
    <s v="AD-2000 Tharthana Compound"/>
    <m/>
    <m/>
    <m/>
    <m/>
    <m/>
    <m/>
    <m/>
    <m/>
    <m/>
    <m/>
    <m/>
    <m/>
    <m/>
    <m/>
    <m/>
    <n v="7"/>
    <m/>
    <n v="0"/>
    <n v="0"/>
    <n v="0"/>
    <n v="0"/>
    <n v="0"/>
    <n v="0"/>
    <n v="0"/>
    <n v="0"/>
    <n v="0"/>
    <n v="0"/>
    <n v="0"/>
    <n v="0"/>
    <n v="0"/>
    <n v="0"/>
    <n v="0"/>
    <n v="0"/>
    <n v="0"/>
    <n v="0"/>
    <s v="MMR001CMP050"/>
    <x v="0"/>
    <x v="1"/>
    <s v="P4"/>
    <n v="0"/>
    <m/>
  </r>
  <r>
    <n v="22.5"/>
    <d v="2015-02-26T00:00:00"/>
    <x v="4"/>
    <s v="Solidarities"/>
    <s v="Kachin"/>
    <s v="Bhamo"/>
    <s v="AD-2000 Tharthana Compound"/>
    <m/>
    <m/>
    <m/>
    <m/>
    <m/>
    <m/>
    <m/>
    <m/>
    <m/>
    <m/>
    <m/>
    <m/>
    <m/>
    <m/>
    <m/>
    <n v="37"/>
    <m/>
    <n v="0"/>
    <n v="0"/>
    <n v="0"/>
    <n v="0"/>
    <n v="0"/>
    <n v="0"/>
    <n v="0"/>
    <n v="0"/>
    <n v="0"/>
    <n v="0"/>
    <n v="0"/>
    <n v="0"/>
    <n v="0"/>
    <n v="0"/>
    <n v="0"/>
    <n v="0"/>
    <n v="0"/>
    <n v="0"/>
    <s v="MMR001CMP050"/>
    <x v="0"/>
    <x v="1"/>
    <s v="P4"/>
    <n v="0"/>
    <m/>
  </r>
  <r>
    <n v="25.133333333333333"/>
    <d v="2014-12-09T00:00:00"/>
    <x v="4"/>
    <s v="Solidarities"/>
    <s v="Kachin"/>
    <s v="Bhamo"/>
    <s v="AD-2000 Tharthana Compound"/>
    <m/>
    <m/>
    <n v="354"/>
    <m/>
    <m/>
    <m/>
    <m/>
    <m/>
    <m/>
    <m/>
    <m/>
    <m/>
    <m/>
    <m/>
    <m/>
    <m/>
    <m/>
    <n v="0"/>
    <n v="0"/>
    <n v="0"/>
    <n v="0"/>
    <n v="0"/>
    <n v="0"/>
    <n v="0"/>
    <n v="0"/>
    <n v="0"/>
    <n v="0"/>
    <n v="0"/>
    <n v="0"/>
    <n v="0"/>
    <n v="0"/>
    <n v="0"/>
    <n v="0"/>
    <n v="0"/>
    <n v="0"/>
    <s v="MMR001CMP050"/>
    <x v="0"/>
    <x v="1"/>
    <s v="P4"/>
    <n v="0"/>
    <m/>
  </r>
  <r>
    <n v="32.06666666666667"/>
    <d v="2014-05-15T00:00:00"/>
    <x v="0"/>
    <s v="UNHCR"/>
    <s v="Kachin"/>
    <s v="Bhamo"/>
    <s v="AD-2000 Tharthana Compound"/>
    <m/>
    <m/>
    <m/>
    <n v="10"/>
    <n v="4"/>
    <n v="12"/>
    <n v="4"/>
    <n v="4"/>
    <n v="4"/>
    <n v="12"/>
    <m/>
    <m/>
    <m/>
    <m/>
    <m/>
    <m/>
    <m/>
    <n v="0"/>
    <n v="0"/>
    <n v="0"/>
    <n v="0"/>
    <n v="0"/>
    <n v="0"/>
    <n v="0"/>
    <n v="0"/>
    <n v="0"/>
    <n v="0"/>
    <n v="0"/>
    <n v="0"/>
    <n v="0"/>
    <n v="0"/>
    <n v="0"/>
    <n v="0"/>
    <n v="0"/>
    <n v="0"/>
    <s v="MMR001CMP050"/>
    <x v="0"/>
    <x v="1"/>
    <s v="P4"/>
    <n v="9.7924010967489225E-5"/>
    <s v="No"/>
  </r>
  <r>
    <n v="32.1"/>
    <d v="2014-05-14T00:00:00"/>
    <x v="0"/>
    <s v="UNHCR"/>
    <s v="Kachin"/>
    <s v="Bhamo"/>
    <s v="AD-2000 Tharthana Compound"/>
    <m/>
    <m/>
    <n v="11"/>
    <n v="12"/>
    <n v="4"/>
    <n v="12"/>
    <n v="4"/>
    <n v="4"/>
    <n v="4"/>
    <n v="15"/>
    <m/>
    <m/>
    <m/>
    <m/>
    <m/>
    <m/>
    <m/>
    <n v="0"/>
    <n v="0"/>
    <n v="0"/>
    <n v="0"/>
    <n v="0"/>
    <n v="0"/>
    <n v="0"/>
    <n v="0"/>
    <n v="0"/>
    <n v="0"/>
    <n v="0"/>
    <n v="0"/>
    <n v="0"/>
    <n v="0"/>
    <n v="0"/>
    <n v="0"/>
    <n v="0"/>
    <n v="0"/>
    <s v="MMR001CMP050"/>
    <x v="0"/>
    <x v="1"/>
    <s v="P4"/>
    <n v="9.7924010967489225E-5"/>
    <s v="No"/>
  </r>
  <r>
    <n v="32.866666666666667"/>
    <d v="2014-04-21T00:00:00"/>
    <x v="0"/>
    <s v="UNHCR"/>
    <s v="Kachin"/>
    <s v="Bhamo"/>
    <s v="AD-2000 Tharthana Compound"/>
    <m/>
    <m/>
    <n v="5"/>
    <n v="6"/>
    <n v="2"/>
    <n v="6"/>
    <n v="2"/>
    <n v="2"/>
    <n v="2"/>
    <n v="6"/>
    <m/>
    <m/>
    <m/>
    <m/>
    <m/>
    <m/>
    <m/>
    <n v="0"/>
    <n v="0"/>
    <n v="0"/>
    <n v="0"/>
    <n v="0"/>
    <n v="0"/>
    <n v="0"/>
    <n v="0"/>
    <n v="0"/>
    <n v="0"/>
    <n v="0"/>
    <n v="0"/>
    <n v="0"/>
    <n v="0"/>
    <n v="0"/>
    <n v="0"/>
    <n v="0"/>
    <n v="0"/>
    <s v="MMR001CMP050"/>
    <x v="0"/>
    <x v="1"/>
    <s v="P4"/>
    <n v="4.8962005483744613E-5"/>
    <s v="No"/>
  </r>
  <r>
    <n v="36.833333333333336"/>
    <d v="2013-12-23T00:00:00"/>
    <x v="0"/>
    <s v="UNHCR"/>
    <s v="Kachin"/>
    <s v="Bhamo"/>
    <s v="AD-2000 Tharthana Compound"/>
    <m/>
    <m/>
    <n v="10"/>
    <n v="10"/>
    <n v="7"/>
    <n v="10"/>
    <n v="7"/>
    <n v="7"/>
    <m/>
    <m/>
    <m/>
    <m/>
    <m/>
    <m/>
    <m/>
    <m/>
    <m/>
    <n v="0"/>
    <n v="0"/>
    <n v="0"/>
    <n v="0"/>
    <n v="0"/>
    <n v="0"/>
    <n v="0"/>
    <n v="0"/>
    <n v="0"/>
    <n v="0"/>
    <n v="0"/>
    <n v="0"/>
    <n v="0"/>
    <n v="0"/>
    <n v="0"/>
    <n v="0"/>
    <n v="0"/>
    <n v="0"/>
    <s v="MMR001CMP050"/>
    <x v="0"/>
    <x v="1"/>
    <s v="P4"/>
    <n v="1.7136701919310616E-4"/>
    <s v="No"/>
  </r>
  <r>
    <n v="37.6"/>
    <d v="2013-11-30T00:00:00"/>
    <x v="5"/>
    <s v="MDCG"/>
    <s v="Kachin"/>
    <s v="Bhamo"/>
    <s v="AD-2000 Tharthana Compound"/>
    <m/>
    <m/>
    <m/>
    <m/>
    <m/>
    <n v="104"/>
    <m/>
    <m/>
    <m/>
    <m/>
    <n v="146"/>
    <n v="39"/>
    <n v="0"/>
    <m/>
    <m/>
    <m/>
    <m/>
    <n v="0"/>
    <n v="0"/>
    <n v="0"/>
    <n v="0"/>
    <n v="0"/>
    <n v="0"/>
    <n v="0"/>
    <n v="0"/>
    <n v="0"/>
    <n v="0"/>
    <n v="0"/>
    <n v="0"/>
    <n v="0"/>
    <n v="0"/>
    <n v="1"/>
    <n v="0"/>
    <n v="0"/>
    <n v="0"/>
    <s v="MMR001CMP050"/>
    <x v="0"/>
    <x v="1"/>
    <s v="P4"/>
    <n v="0"/>
    <s v="No"/>
  </r>
  <r>
    <n v="37.6"/>
    <d v="2013-11-30T00:00:00"/>
    <x v="4"/>
    <m/>
    <s v="Kachin"/>
    <s v="Bhamo"/>
    <s v="AD-2000 Tharthana Compound"/>
    <m/>
    <m/>
    <m/>
    <m/>
    <m/>
    <m/>
    <m/>
    <m/>
    <m/>
    <n v="660"/>
    <m/>
    <m/>
    <m/>
    <m/>
    <m/>
    <m/>
    <m/>
    <n v="0"/>
    <n v="0"/>
    <n v="0"/>
    <n v="0"/>
    <n v="0"/>
    <n v="0"/>
    <n v="0"/>
    <n v="0"/>
    <n v="0"/>
    <n v="0"/>
    <n v="0"/>
    <n v="0"/>
    <n v="0"/>
    <n v="0"/>
    <n v="0"/>
    <n v="0"/>
    <n v="0"/>
    <n v="0"/>
    <s v="MMR001CMP050"/>
    <x v="0"/>
    <x v="1"/>
    <s v="P4"/>
    <n v="0"/>
    <s v="No"/>
  </r>
  <r>
    <n v="6.833333333333333"/>
    <d v="2016-06-10T00:00:00"/>
    <x v="0"/>
    <s v="UNHCR"/>
    <s v="Kachin"/>
    <s v="Sumprabum"/>
    <s v="Lisu Manau Park"/>
    <m/>
    <m/>
    <m/>
    <n v="25"/>
    <n v="8"/>
    <n v="66"/>
    <n v="34"/>
    <m/>
    <n v="6"/>
    <n v="104"/>
    <m/>
    <m/>
    <m/>
    <m/>
    <m/>
    <m/>
    <m/>
    <n v="0"/>
    <n v="0"/>
    <n v="0"/>
    <n v="25"/>
    <n v="8"/>
    <n v="66"/>
    <n v="34"/>
    <n v="0"/>
    <n v="6"/>
    <n v="260"/>
    <n v="0"/>
    <n v="0"/>
    <n v="0"/>
    <n v="0"/>
    <n v="0"/>
    <n v="0"/>
    <n v="0"/>
    <n v="0"/>
    <s v=""/>
    <x v="2"/>
    <x v="2"/>
    <s v=""/>
    <s v=""/>
    <s v="No"/>
  </r>
  <r>
    <n v="37.6"/>
    <d v="2013-11-30T00:00:00"/>
    <x v="0"/>
    <s v="UNHCR"/>
    <s v="Kachin"/>
    <s v="Bhamo"/>
    <s v="AD-2000 Tharthana Compound"/>
    <m/>
    <m/>
    <m/>
    <n v="6"/>
    <n v="6"/>
    <n v="6"/>
    <n v="6"/>
    <n v="6"/>
    <m/>
    <m/>
    <m/>
    <m/>
    <m/>
    <m/>
    <m/>
    <m/>
    <m/>
    <n v="0"/>
    <n v="0"/>
    <n v="0"/>
    <n v="0"/>
    <n v="0"/>
    <n v="0"/>
    <n v="0"/>
    <n v="0"/>
    <n v="0"/>
    <n v="0"/>
    <n v="0"/>
    <n v="0"/>
    <n v="0"/>
    <n v="0"/>
    <n v="0"/>
    <n v="0"/>
    <n v="0"/>
    <n v="0"/>
    <s v="MMR001CMP050"/>
    <x v="0"/>
    <x v="1"/>
    <s v="P4"/>
    <n v="1.4688601645123384E-4"/>
    <s v="No"/>
  </r>
  <r>
    <n v="8.0333333333333332"/>
    <d v="2016-05-05T00:00:00"/>
    <x v="0"/>
    <s v="KMSS_Myitkyina"/>
    <s v="Kachin"/>
    <s v="Mogaung"/>
    <s v="Ma Hawng RC "/>
    <m/>
    <n v="7"/>
    <n v="7"/>
    <n v="13"/>
    <n v="7"/>
    <n v="13"/>
    <n v="7"/>
    <n v="7"/>
    <n v="7"/>
    <n v="13"/>
    <m/>
    <m/>
    <m/>
    <m/>
    <n v="7"/>
    <m/>
    <m/>
    <n v="0"/>
    <n v="7"/>
    <n v="7"/>
    <n v="13"/>
    <n v="7"/>
    <n v="13"/>
    <n v="7"/>
    <n v="7"/>
    <n v="7"/>
    <n v="32.5"/>
    <n v="0"/>
    <n v="0"/>
    <n v="0"/>
    <n v="0"/>
    <n v="0"/>
    <n v="7"/>
    <n v="0"/>
    <n v="0"/>
    <s v="MMR001CMP237"/>
    <x v="1"/>
    <x v="1"/>
    <n v="0"/>
    <n v="1.6617210682492583E-4"/>
    <m/>
  </r>
  <r>
    <n v="38.5"/>
    <d v="2013-11-03T00:00:00"/>
    <x v="2"/>
    <s v="MRCS"/>
    <s v="Kachin"/>
    <s v="Bhamo"/>
    <s v="AD-2000 Tharthana Compound"/>
    <m/>
    <m/>
    <n v="21"/>
    <m/>
    <m/>
    <m/>
    <n v="21"/>
    <m/>
    <m/>
    <m/>
    <m/>
    <m/>
    <m/>
    <m/>
    <m/>
    <m/>
    <m/>
    <n v="0"/>
    <n v="0"/>
    <n v="0"/>
    <n v="0"/>
    <n v="0"/>
    <n v="0"/>
    <n v="0"/>
    <n v="0"/>
    <n v="0"/>
    <n v="0"/>
    <n v="0"/>
    <n v="0"/>
    <n v="0"/>
    <n v="0"/>
    <n v="0"/>
    <n v="0"/>
    <n v="0"/>
    <n v="0"/>
    <s v="MMR001CMP050"/>
    <x v="0"/>
    <x v="1"/>
    <s v="P4"/>
    <n v="5.1410105757931847E-4"/>
    <s v="No"/>
  </r>
  <r>
    <n v="38.633333333333333"/>
    <d v="2013-10-30T00:00:00"/>
    <x v="0"/>
    <s v="UNHCR"/>
    <s v="Kachin"/>
    <s v="Bhamo"/>
    <s v="AD-2000 Tharthana Compound"/>
    <m/>
    <m/>
    <n v="22"/>
    <n v="40"/>
    <n v="21"/>
    <n v="40"/>
    <n v="21"/>
    <n v="21"/>
    <n v="21"/>
    <n v="21"/>
    <m/>
    <m/>
    <m/>
    <m/>
    <m/>
    <m/>
    <m/>
    <n v="0"/>
    <n v="0"/>
    <n v="0"/>
    <n v="0"/>
    <n v="0"/>
    <n v="0"/>
    <n v="0"/>
    <n v="0"/>
    <n v="0"/>
    <n v="0"/>
    <n v="0"/>
    <n v="0"/>
    <n v="0"/>
    <n v="0"/>
    <n v="0"/>
    <n v="0"/>
    <n v="0"/>
    <n v="0"/>
    <s v="MMR001CMP050"/>
    <x v="0"/>
    <x v="1"/>
    <s v="P4"/>
    <n v="5.1410105757931847E-4"/>
    <s v="No"/>
  </r>
  <r>
    <n v="48.266666666666666"/>
    <d v="2013-01-14T00:00:00"/>
    <x v="4"/>
    <s v="Solidarities"/>
    <s v="Kachin"/>
    <s v="Bhamo"/>
    <s v="AD-2000 Tharthana Compound"/>
    <n v="940"/>
    <m/>
    <m/>
    <m/>
    <m/>
    <m/>
    <m/>
    <m/>
    <n v="0"/>
    <n v="0"/>
    <m/>
    <m/>
    <m/>
    <m/>
    <m/>
    <m/>
    <m/>
    <n v="0"/>
    <n v="0"/>
    <n v="0"/>
    <n v="0"/>
    <n v="0"/>
    <n v="0"/>
    <n v="0"/>
    <n v="0"/>
    <n v="0"/>
    <n v="0"/>
    <n v="0"/>
    <n v="0"/>
    <n v="0"/>
    <n v="0"/>
    <n v="0"/>
    <n v="0"/>
    <n v="0"/>
    <n v="0"/>
    <s v="MMR001CMP050"/>
    <x v="0"/>
    <x v="1"/>
    <s v="P4"/>
    <n v="0"/>
    <s v="No"/>
  </r>
  <r>
    <n v="56.2"/>
    <d v="2012-05-21T00:00:00"/>
    <x v="0"/>
    <s v="UNHCR"/>
    <s v="Kachin"/>
    <s v="Bhamo"/>
    <s v="AD-2000 Tharthana Compound"/>
    <m/>
    <m/>
    <m/>
    <n v="0"/>
    <n v="15"/>
    <n v="0"/>
    <n v="0"/>
    <n v="0"/>
    <m/>
    <m/>
    <m/>
    <m/>
    <m/>
    <m/>
    <m/>
    <m/>
    <m/>
    <n v="0"/>
    <n v="0"/>
    <n v="0"/>
    <n v="0"/>
    <n v="0"/>
    <n v="0"/>
    <n v="0"/>
    <n v="0"/>
    <n v="0"/>
    <n v="0"/>
    <n v="0"/>
    <n v="0"/>
    <n v="0"/>
    <n v="0"/>
    <n v="0"/>
    <n v="0"/>
    <n v="0"/>
    <n v="0"/>
    <s v="MMR001CMP050"/>
    <x v="0"/>
    <x v="1"/>
    <s v="P4"/>
    <n v="0"/>
    <s v="No"/>
  </r>
  <r>
    <n v="56.4"/>
    <d v="2012-05-15T00:00:00"/>
    <x v="0"/>
    <s v="KBSS"/>
    <s v="Kachin"/>
    <s v="Bhamo"/>
    <s v="AD-2000 Tharthana Compound"/>
    <m/>
    <m/>
    <m/>
    <n v="90"/>
    <n v="0"/>
    <n v="0"/>
    <n v="0"/>
    <n v="0"/>
    <m/>
    <m/>
    <m/>
    <m/>
    <m/>
    <m/>
    <m/>
    <m/>
    <m/>
    <n v="0"/>
    <n v="0"/>
    <n v="0"/>
    <n v="0"/>
    <n v="0"/>
    <n v="0"/>
    <n v="0"/>
    <n v="0"/>
    <n v="0"/>
    <n v="0"/>
    <n v="0"/>
    <n v="0"/>
    <n v="0"/>
    <n v="0"/>
    <n v="0"/>
    <n v="0"/>
    <n v="0"/>
    <n v="0"/>
    <s v="MMR001CMP050"/>
    <x v="0"/>
    <x v="1"/>
    <s v="P4"/>
    <n v="0"/>
    <s v="No"/>
  </r>
  <r>
    <n v="57.06666666666667"/>
    <d v="2012-04-25T00:00:00"/>
    <x v="4"/>
    <m/>
    <s v="Kachin"/>
    <s v="Bhamo"/>
    <s v="AD-2000 Tharthana Compound"/>
    <n v="1173"/>
    <m/>
    <m/>
    <m/>
    <m/>
    <m/>
    <m/>
    <m/>
    <m/>
    <m/>
    <m/>
    <m/>
    <m/>
    <m/>
    <m/>
    <m/>
    <m/>
    <n v="0"/>
    <n v="0"/>
    <n v="0"/>
    <n v="0"/>
    <n v="0"/>
    <n v="0"/>
    <n v="0"/>
    <n v="0"/>
    <n v="0"/>
    <n v="0"/>
    <n v="0"/>
    <n v="0"/>
    <n v="0"/>
    <n v="0"/>
    <n v="0"/>
    <n v="0"/>
    <n v="0"/>
    <n v="0"/>
    <s v="MMR001CMP050"/>
    <x v="0"/>
    <x v="1"/>
    <s v="P4"/>
    <n v="0"/>
    <m/>
  </r>
  <r>
    <n v="57.633333333333333"/>
    <d v="2012-04-08T00:00:00"/>
    <x v="4"/>
    <m/>
    <s v="Kachin"/>
    <s v="Bhamo"/>
    <s v="AD-2000 Tharthana Compound"/>
    <n v="302"/>
    <m/>
    <m/>
    <m/>
    <m/>
    <m/>
    <m/>
    <m/>
    <m/>
    <m/>
    <m/>
    <m/>
    <m/>
    <m/>
    <m/>
    <m/>
    <m/>
    <n v="0"/>
    <n v="0"/>
    <n v="0"/>
    <n v="0"/>
    <n v="0"/>
    <n v="0"/>
    <n v="0"/>
    <n v="0"/>
    <n v="0"/>
    <n v="0"/>
    <n v="0"/>
    <n v="0"/>
    <n v="0"/>
    <n v="0"/>
    <n v="0"/>
    <n v="0"/>
    <n v="0"/>
    <n v="0"/>
    <s v="MMR001CMP050"/>
    <x v="0"/>
    <x v="1"/>
    <s v="P4"/>
    <n v="0"/>
    <m/>
  </r>
  <r>
    <n v="8.2333333333333325"/>
    <d v="2016-04-29T00:00:00"/>
    <x v="4"/>
    <s v="Solidarities"/>
    <s v="Kachin"/>
    <s v="Momauk"/>
    <s v="Edin"/>
    <m/>
    <m/>
    <m/>
    <m/>
    <m/>
    <m/>
    <m/>
    <m/>
    <m/>
    <m/>
    <m/>
    <m/>
    <m/>
    <m/>
    <m/>
    <n v="26"/>
    <m/>
    <n v="0"/>
    <n v="0"/>
    <n v="0"/>
    <n v="0"/>
    <n v="0"/>
    <n v="0"/>
    <n v="0"/>
    <n v="0"/>
    <n v="0"/>
    <n v="0"/>
    <n v="0"/>
    <n v="0"/>
    <n v="0"/>
    <n v="0"/>
    <n v="0"/>
    <n v="0"/>
    <n v="26"/>
    <n v="0"/>
    <s v=""/>
    <x v="2"/>
    <x v="2"/>
    <s v=""/>
    <s v=""/>
    <m/>
  </r>
  <r>
    <n v="8.2333333333333325"/>
    <d v="2016-04-29T00:00:00"/>
    <x v="4"/>
    <s v="Solidarities"/>
    <s v="Kachin"/>
    <s v="Momauk"/>
    <s v="Ni Thaw Ka Monestry"/>
    <m/>
    <m/>
    <m/>
    <m/>
    <m/>
    <m/>
    <m/>
    <m/>
    <m/>
    <m/>
    <m/>
    <m/>
    <m/>
    <m/>
    <m/>
    <n v="10"/>
    <m/>
    <n v="0"/>
    <n v="0"/>
    <n v="0"/>
    <n v="0"/>
    <n v="0"/>
    <n v="0"/>
    <n v="0"/>
    <n v="0"/>
    <n v="0"/>
    <n v="0"/>
    <n v="0"/>
    <n v="0"/>
    <n v="0"/>
    <n v="0"/>
    <n v="0"/>
    <n v="0"/>
    <n v="10"/>
    <n v="0"/>
    <s v="MMR001CMP059"/>
    <x v="0"/>
    <x v="0"/>
    <s v="P4"/>
    <n v="0"/>
    <m/>
  </r>
  <r>
    <n v="58.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1"/>
    <s v="P4"/>
    <n v="6.8546807677242463E-3"/>
    <s v="No"/>
  </r>
  <r>
    <n v="26.433333333333334"/>
    <d v="2014-10-31T00:00:00"/>
    <x v="0"/>
    <m/>
    <s v="Kachin"/>
    <s v="Hpakant"/>
    <s v="AG Church, Hmaw Si Sa"/>
    <m/>
    <m/>
    <n v="67"/>
    <n v="134"/>
    <n v="67"/>
    <n v="134"/>
    <n v="67"/>
    <m/>
    <n v="67"/>
    <n v="335"/>
    <m/>
    <m/>
    <m/>
    <m/>
    <m/>
    <m/>
    <m/>
    <n v="0"/>
    <n v="0"/>
    <n v="0"/>
    <n v="0"/>
    <n v="0"/>
    <n v="0"/>
    <n v="0"/>
    <n v="0"/>
    <n v="0"/>
    <n v="0"/>
    <n v="0"/>
    <n v="0"/>
    <n v="0"/>
    <n v="0"/>
    <n v="0"/>
    <n v="0"/>
    <n v="0"/>
    <n v="0"/>
    <s v="MMR001CMP176"/>
    <x v="0"/>
    <x v="1"/>
    <s v="P4"/>
    <n v="1.6232586311326468E-3"/>
    <m/>
  </r>
  <r>
    <n v="26.633333333333333"/>
    <d v="2014-10-25T00:00:00"/>
    <x v="1"/>
    <s v="MRCS"/>
    <s v="Kachin"/>
    <s v="Hpakant"/>
    <s v="AG Church, Hmaw Si Sa"/>
    <m/>
    <m/>
    <m/>
    <m/>
    <m/>
    <m/>
    <m/>
    <m/>
    <m/>
    <m/>
    <n v="232"/>
    <n v="105"/>
    <m/>
    <m/>
    <m/>
    <m/>
    <m/>
    <n v="0"/>
    <n v="0"/>
    <n v="0"/>
    <n v="0"/>
    <n v="0"/>
    <n v="0"/>
    <n v="0"/>
    <n v="0"/>
    <n v="0"/>
    <n v="0"/>
    <n v="0"/>
    <n v="0"/>
    <n v="0"/>
    <n v="0"/>
    <n v="1"/>
    <n v="0"/>
    <n v="0"/>
    <n v="0"/>
    <s v="MMR001CMP176"/>
    <x v="0"/>
    <x v="1"/>
    <s v="P4"/>
    <n v="0"/>
    <m/>
  </r>
  <r>
    <n v="8.8333333333333339"/>
    <d v="2016-04-11T00:00:00"/>
    <x v="0"/>
    <s v="KBC"/>
    <s v="Shan_North"/>
    <s v="Namhkan"/>
    <s v="Mine Wee (Man Jan)"/>
    <m/>
    <m/>
    <m/>
    <n v="126"/>
    <m/>
    <n v="126"/>
    <n v="64"/>
    <m/>
    <m/>
    <n v="122"/>
    <m/>
    <m/>
    <m/>
    <m/>
    <n v="64"/>
    <m/>
    <m/>
    <n v="0"/>
    <n v="0"/>
    <n v="0"/>
    <n v="126"/>
    <n v="0"/>
    <n v="126"/>
    <n v="64"/>
    <n v="0"/>
    <n v="0"/>
    <n v="305"/>
    <n v="0"/>
    <n v="0"/>
    <n v="0"/>
    <n v="0"/>
    <n v="0"/>
    <n v="64"/>
    <n v="0"/>
    <n v="0"/>
    <s v=""/>
    <x v="2"/>
    <x v="2"/>
    <s v=""/>
    <s v=""/>
    <m/>
  </r>
  <r>
    <n v="27.433333333333334"/>
    <d v="2014-10-01T00:00:00"/>
    <x v="0"/>
    <s v="Shalom"/>
    <s v="Kachin"/>
    <s v="Hpakant"/>
    <s v="AG Church, Hmaw Si Sa"/>
    <m/>
    <m/>
    <m/>
    <n v="130"/>
    <m/>
    <m/>
    <m/>
    <m/>
    <m/>
    <m/>
    <m/>
    <m/>
    <m/>
    <m/>
    <m/>
    <m/>
    <m/>
    <n v="0"/>
    <n v="0"/>
    <n v="0"/>
    <n v="0"/>
    <n v="0"/>
    <n v="0"/>
    <n v="0"/>
    <n v="0"/>
    <n v="0"/>
    <n v="0"/>
    <n v="0"/>
    <n v="0"/>
    <n v="0"/>
    <n v="0"/>
    <n v="0"/>
    <n v="0"/>
    <n v="0"/>
    <n v="0"/>
    <s v="MMR001CMP176"/>
    <x v="0"/>
    <x v="1"/>
    <s v="P4"/>
    <n v="0"/>
    <m/>
  </r>
  <r>
    <n v="48.733333333333334"/>
    <d v="2012-12-31T00:00:00"/>
    <x v="3"/>
    <s v="DRC"/>
    <s v="Kachin"/>
    <s v="Hpakant"/>
    <s v="AG Church, Hmaw Si Sa"/>
    <n v="7"/>
    <m/>
    <m/>
    <m/>
    <m/>
    <m/>
    <m/>
    <m/>
    <n v="0"/>
    <n v="0"/>
    <m/>
    <m/>
    <m/>
    <m/>
    <m/>
    <m/>
    <m/>
    <n v="0"/>
    <n v="0"/>
    <n v="0"/>
    <n v="0"/>
    <n v="0"/>
    <n v="0"/>
    <n v="0"/>
    <n v="0"/>
    <n v="0"/>
    <n v="0"/>
    <n v="0"/>
    <n v="0"/>
    <n v="0"/>
    <n v="0"/>
    <n v="0"/>
    <n v="0"/>
    <n v="0"/>
    <n v="0"/>
    <s v="MMR001CMP176"/>
    <x v="0"/>
    <x v="1"/>
    <s v="P4"/>
    <n v="0"/>
    <s v="No"/>
  </r>
  <r>
    <n v="26.433333333333334"/>
    <d v="2014-10-31T00:00:00"/>
    <x v="0"/>
    <m/>
    <s v="Kachin"/>
    <s v="Hpakant"/>
    <s v="AG Church, Maw Wan"/>
    <m/>
    <m/>
    <n v="14"/>
    <n v="28"/>
    <n v="14"/>
    <n v="28"/>
    <n v="14"/>
    <m/>
    <n v="14"/>
    <n v="70"/>
    <m/>
    <m/>
    <m/>
    <m/>
    <m/>
    <m/>
    <m/>
    <n v="0"/>
    <n v="0"/>
    <n v="0"/>
    <n v="0"/>
    <n v="0"/>
    <n v="0"/>
    <n v="0"/>
    <n v="0"/>
    <n v="0"/>
    <n v="0"/>
    <n v="0"/>
    <n v="0"/>
    <n v="0"/>
    <n v="0"/>
    <n v="0"/>
    <n v="0"/>
    <n v="0"/>
    <n v="0"/>
    <s v="MMR001CMP190"/>
    <x v="0"/>
    <x v="1"/>
    <s v="P4"/>
    <n v="3.391883706844337E-4"/>
    <m/>
  </r>
  <r>
    <n v="9.6999999999999993"/>
    <d v="2016-03-16T00:00:00"/>
    <x v="4"/>
    <s v="Solidarities"/>
    <s v="Kachin"/>
    <s v="Momauk"/>
    <s v="Ni Thaw Ka Monestry"/>
    <m/>
    <m/>
    <m/>
    <m/>
    <m/>
    <m/>
    <m/>
    <m/>
    <m/>
    <m/>
    <m/>
    <m/>
    <m/>
    <m/>
    <n v="1"/>
    <m/>
    <m/>
    <n v="0"/>
    <n v="0"/>
    <n v="0"/>
    <n v="0"/>
    <n v="0"/>
    <n v="0"/>
    <n v="0"/>
    <n v="0"/>
    <n v="0"/>
    <n v="0"/>
    <n v="0"/>
    <n v="0"/>
    <n v="0"/>
    <n v="0"/>
    <n v="0"/>
    <n v="1"/>
    <n v="0"/>
    <n v="0"/>
    <s v="MMR001CMP059"/>
    <x v="0"/>
    <x v="0"/>
    <s v="P4"/>
    <n v="0"/>
    <m/>
  </r>
  <r>
    <n v="26.633333333333333"/>
    <d v="2014-10-25T00:00:00"/>
    <x v="1"/>
    <s v="MRCS"/>
    <s v="Kachin"/>
    <s v="Hpakant"/>
    <s v="AG Church, Maw Wan"/>
    <m/>
    <m/>
    <m/>
    <m/>
    <m/>
    <m/>
    <m/>
    <m/>
    <m/>
    <m/>
    <n v="55"/>
    <n v="27"/>
    <m/>
    <m/>
    <m/>
    <m/>
    <m/>
    <n v="0"/>
    <n v="0"/>
    <n v="0"/>
    <n v="0"/>
    <n v="0"/>
    <n v="0"/>
    <n v="0"/>
    <n v="0"/>
    <n v="0"/>
    <n v="0"/>
    <n v="0"/>
    <n v="0"/>
    <n v="0"/>
    <n v="0"/>
    <n v="1"/>
    <n v="0"/>
    <n v="0"/>
    <n v="0"/>
    <s v="MMR001CMP190"/>
    <x v="0"/>
    <x v="1"/>
    <s v="P4"/>
    <n v="0"/>
    <m/>
  </r>
  <r>
    <n v="9.9666666666666668"/>
    <d v="2016-03-08T00:00:00"/>
    <x v="0"/>
    <s v="KMSS_LSO"/>
    <s v="Shan_North"/>
    <s v="Kutkai"/>
    <m/>
    <m/>
    <m/>
    <m/>
    <n v="600"/>
    <m/>
    <m/>
    <m/>
    <m/>
    <m/>
    <m/>
    <m/>
    <m/>
    <m/>
    <m/>
    <m/>
    <m/>
    <m/>
    <n v="0"/>
    <n v="0"/>
    <n v="0"/>
    <n v="600"/>
    <n v="0"/>
    <n v="0"/>
    <n v="0"/>
    <n v="0"/>
    <n v="0"/>
    <n v="0"/>
    <n v="0"/>
    <n v="0"/>
    <n v="0"/>
    <n v="0"/>
    <n v="0"/>
    <n v="0"/>
    <n v="0"/>
    <n v="0"/>
    <s v=""/>
    <x v="2"/>
    <x v="2"/>
    <s v=""/>
    <s v=""/>
    <m/>
  </r>
  <r>
    <n v="10.233333333333333"/>
    <d v="2016-02-29T00:00:00"/>
    <x v="4"/>
    <s v="Solidarities"/>
    <s v="Kachin"/>
    <s v="Momauk"/>
    <s v="Edin"/>
    <m/>
    <m/>
    <m/>
    <m/>
    <m/>
    <m/>
    <m/>
    <m/>
    <m/>
    <m/>
    <m/>
    <m/>
    <m/>
    <m/>
    <m/>
    <m/>
    <m/>
    <n v="0"/>
    <n v="0"/>
    <n v="0"/>
    <n v="0"/>
    <n v="0"/>
    <n v="0"/>
    <n v="0"/>
    <n v="0"/>
    <n v="0"/>
    <n v="0"/>
    <n v="0"/>
    <n v="0"/>
    <n v="0"/>
    <n v="0"/>
    <n v="0"/>
    <n v="0"/>
    <n v="0"/>
    <n v="0"/>
    <s v=""/>
    <x v="2"/>
    <x v="2"/>
    <s v=""/>
    <s v=""/>
    <m/>
  </r>
  <r>
    <n v="10.233333333333333"/>
    <d v="2016-02-29T00:00:00"/>
    <x v="4"/>
    <s v="Solidarities"/>
    <s v="Kachin"/>
    <s v="Momauk"/>
    <s v="Ni Thaw Ka Monestry"/>
    <m/>
    <m/>
    <m/>
    <m/>
    <m/>
    <m/>
    <m/>
    <m/>
    <m/>
    <m/>
    <m/>
    <m/>
    <m/>
    <m/>
    <m/>
    <m/>
    <m/>
    <n v="0"/>
    <n v="0"/>
    <n v="0"/>
    <n v="0"/>
    <n v="0"/>
    <n v="0"/>
    <n v="0"/>
    <n v="0"/>
    <n v="0"/>
    <n v="0"/>
    <n v="0"/>
    <n v="0"/>
    <n v="0"/>
    <n v="0"/>
    <n v="0"/>
    <n v="0"/>
    <n v="0"/>
    <n v="0"/>
    <s v="MMR001CMP059"/>
    <x v="0"/>
    <x v="0"/>
    <s v="P4"/>
    <n v="0"/>
    <m/>
  </r>
  <r>
    <n v="27.433333333333334"/>
    <d v="2014-10-01T00:00:00"/>
    <x v="0"/>
    <s v="Shalom"/>
    <s v="Kachin"/>
    <s v="Hpakant"/>
    <s v="AG Church, Maw Wan"/>
    <m/>
    <m/>
    <m/>
    <n v="30"/>
    <m/>
    <m/>
    <m/>
    <m/>
    <m/>
    <m/>
    <m/>
    <m/>
    <m/>
    <m/>
    <m/>
    <m/>
    <m/>
    <n v="0"/>
    <n v="0"/>
    <n v="0"/>
    <n v="0"/>
    <n v="0"/>
    <n v="0"/>
    <n v="0"/>
    <n v="0"/>
    <n v="0"/>
    <n v="0"/>
    <n v="0"/>
    <n v="0"/>
    <n v="0"/>
    <n v="0"/>
    <n v="0"/>
    <n v="0"/>
    <n v="0"/>
    <n v="0"/>
    <s v="MMR001CMP190"/>
    <x v="0"/>
    <x v="1"/>
    <s v="P4"/>
    <n v="0"/>
    <m/>
  </r>
  <r>
    <n v="46.1"/>
    <d v="2013-03-20T00:00:00"/>
    <x v="0"/>
    <s v="UNHCR"/>
    <s v="Kachin"/>
    <s v="Hpakant"/>
    <s v="AG Church, Maw Wan"/>
    <m/>
    <m/>
    <n v="24"/>
    <n v="17"/>
    <n v="17"/>
    <n v="41"/>
    <n v="17"/>
    <n v="41"/>
    <n v="41"/>
    <n v="41"/>
    <m/>
    <m/>
    <m/>
    <m/>
    <m/>
    <m/>
    <m/>
    <n v="0"/>
    <n v="0"/>
    <n v="0"/>
    <n v="0"/>
    <n v="0"/>
    <n v="0"/>
    <n v="0"/>
    <n v="0"/>
    <n v="0"/>
    <n v="0"/>
    <n v="0"/>
    <n v="0"/>
    <n v="0"/>
    <n v="0"/>
    <n v="0"/>
    <n v="0"/>
    <n v="0"/>
    <n v="0"/>
    <s v="MMR001CMP190"/>
    <x v="0"/>
    <x v="1"/>
    <s v="P4"/>
    <n v="4.1187159297395516E-4"/>
    <s v="No"/>
  </r>
  <r>
    <n v="47.033333333333331"/>
    <d v="2013-02-20T00:00:00"/>
    <x v="0"/>
    <s v="UNHCR"/>
    <s v="Kachin"/>
    <s v="Hpakant"/>
    <s v="AG Church, Maw Wan"/>
    <m/>
    <m/>
    <m/>
    <n v="59"/>
    <n v="28"/>
    <n v="0"/>
    <n v="28"/>
    <n v="28"/>
    <n v="28"/>
    <n v="28"/>
    <m/>
    <m/>
    <m/>
    <m/>
    <m/>
    <m/>
    <m/>
    <n v="0"/>
    <n v="0"/>
    <n v="0"/>
    <n v="0"/>
    <n v="0"/>
    <n v="0"/>
    <n v="0"/>
    <n v="0"/>
    <n v="0"/>
    <n v="0"/>
    <n v="0"/>
    <n v="0"/>
    <n v="0"/>
    <n v="0"/>
    <n v="0"/>
    <n v="0"/>
    <n v="0"/>
    <n v="0"/>
    <s v="MMR001CMP190"/>
    <x v="0"/>
    <x v="1"/>
    <s v="P4"/>
    <n v="6.783767413688674E-4"/>
    <s v="No"/>
  </r>
  <r>
    <n v="48.733333333333334"/>
    <d v="2012-12-31T00:00:00"/>
    <x v="3"/>
    <s v="DRC"/>
    <s v="Kachin"/>
    <s v="Hpakant"/>
    <s v="AG Church, Maw Wan"/>
    <n v="4"/>
    <m/>
    <m/>
    <m/>
    <m/>
    <m/>
    <m/>
    <m/>
    <n v="0"/>
    <n v="0"/>
    <m/>
    <m/>
    <m/>
    <m/>
    <m/>
    <m/>
    <m/>
    <n v="0"/>
    <n v="0"/>
    <n v="0"/>
    <n v="0"/>
    <n v="0"/>
    <n v="0"/>
    <n v="0"/>
    <n v="0"/>
    <n v="0"/>
    <n v="0"/>
    <n v="0"/>
    <n v="0"/>
    <n v="0"/>
    <n v="0"/>
    <n v="0"/>
    <n v="0"/>
    <n v="0"/>
    <n v="0"/>
    <s v="MMR001CMP190"/>
    <x v="0"/>
    <x v="1"/>
    <s v="P4"/>
    <n v="0"/>
    <s v="No"/>
  </r>
  <r>
    <n v="26.466666666666665"/>
    <d v="2014-10-30T00:00:00"/>
    <x v="0"/>
    <m/>
    <s v="Kachin"/>
    <s v="Bhamo"/>
    <s v="Aung Thar Church"/>
    <m/>
    <m/>
    <m/>
    <m/>
    <m/>
    <m/>
    <m/>
    <m/>
    <m/>
    <m/>
    <m/>
    <m/>
    <m/>
    <m/>
    <m/>
    <m/>
    <m/>
    <n v="0"/>
    <n v="0"/>
    <n v="0"/>
    <n v="0"/>
    <n v="0"/>
    <n v="0"/>
    <n v="0"/>
    <n v="0"/>
    <n v="0"/>
    <n v="0"/>
    <n v="0"/>
    <n v="0"/>
    <n v="0"/>
    <n v="0"/>
    <n v="0"/>
    <n v="0"/>
    <n v="0"/>
    <n v="0"/>
    <s v="MMR001CMP194"/>
    <x v="0"/>
    <x v="1"/>
    <s v="P4"/>
    <n v="0"/>
    <m/>
  </r>
  <r>
    <n v="37.466666666666669"/>
    <d v="2013-12-04T00:00:00"/>
    <x v="0"/>
    <s v="UNHCR"/>
    <s v="Kachin"/>
    <s v="Bhamo"/>
    <s v="Aung Thar Church"/>
    <m/>
    <m/>
    <m/>
    <m/>
    <m/>
    <n v="10"/>
    <n v="5"/>
    <n v="5"/>
    <m/>
    <m/>
    <m/>
    <m/>
    <m/>
    <m/>
    <m/>
    <m/>
    <m/>
    <n v="0"/>
    <n v="0"/>
    <n v="0"/>
    <n v="0"/>
    <n v="0"/>
    <n v="0"/>
    <n v="0"/>
    <n v="0"/>
    <n v="0"/>
    <n v="0"/>
    <n v="0"/>
    <n v="0"/>
    <n v="0"/>
    <n v="0"/>
    <n v="0"/>
    <n v="0"/>
    <n v="0"/>
    <n v="0"/>
    <s v="MMR001CMP194"/>
    <x v="0"/>
    <x v="1"/>
    <s v="P4"/>
    <n v="1.2258807953514599E-4"/>
    <s v="No"/>
  </r>
  <r>
    <n v="37.733333333333334"/>
    <d v="2013-11-26T00:00:00"/>
    <x v="0"/>
    <s v="UNHCR"/>
    <s v="Kachin"/>
    <s v="Bhamo"/>
    <s v="Aung Thar Church"/>
    <m/>
    <m/>
    <m/>
    <n v="11"/>
    <n v="5"/>
    <n v="11"/>
    <n v="5"/>
    <n v="5"/>
    <m/>
    <m/>
    <m/>
    <m/>
    <m/>
    <m/>
    <m/>
    <m/>
    <m/>
    <n v="0"/>
    <n v="0"/>
    <n v="0"/>
    <n v="0"/>
    <n v="0"/>
    <n v="0"/>
    <n v="0"/>
    <n v="0"/>
    <n v="0"/>
    <n v="0"/>
    <n v="0"/>
    <n v="0"/>
    <n v="0"/>
    <n v="0"/>
    <n v="0"/>
    <n v="0"/>
    <n v="0"/>
    <n v="0"/>
    <s v="MMR001CMP194"/>
    <x v="0"/>
    <x v="1"/>
    <s v="P4"/>
    <n v="1.2258807953514599E-4"/>
    <s v="No"/>
  </r>
  <r>
    <n v="37.9"/>
    <d v="2013-11-21T00:00:00"/>
    <x v="0"/>
    <s v="UNHCR"/>
    <s v="Kachin"/>
    <s v="Bhamo"/>
    <s v="Aung Thar Church"/>
    <m/>
    <m/>
    <m/>
    <n v="34"/>
    <n v="18"/>
    <n v="34"/>
    <n v="18"/>
    <n v="18"/>
    <m/>
    <m/>
    <m/>
    <m/>
    <m/>
    <m/>
    <m/>
    <m/>
    <m/>
    <n v="0"/>
    <n v="0"/>
    <n v="0"/>
    <n v="0"/>
    <n v="0"/>
    <n v="0"/>
    <n v="0"/>
    <n v="0"/>
    <n v="0"/>
    <n v="0"/>
    <n v="0"/>
    <n v="0"/>
    <n v="0"/>
    <n v="0"/>
    <n v="0"/>
    <n v="0"/>
    <n v="0"/>
    <n v="0"/>
    <s v="MMR001CMP194"/>
    <x v="0"/>
    <x v="1"/>
    <s v="P4"/>
    <n v="4.4131708632652562E-4"/>
    <s v="No"/>
  </r>
  <r>
    <n v="38.133333333333333"/>
    <d v="2013-11-14T00:00:00"/>
    <x v="0"/>
    <s v="UNHCR "/>
    <s v="Kachin"/>
    <s v="Bhamo"/>
    <s v="Aung Thar Church"/>
    <m/>
    <m/>
    <m/>
    <n v="12"/>
    <n v="9"/>
    <n v="12"/>
    <n v="9"/>
    <n v="9"/>
    <m/>
    <m/>
    <m/>
    <m/>
    <m/>
    <m/>
    <m/>
    <m/>
    <m/>
    <n v="0"/>
    <n v="0"/>
    <n v="0"/>
    <n v="0"/>
    <n v="0"/>
    <n v="0"/>
    <n v="0"/>
    <n v="0"/>
    <n v="0"/>
    <n v="0"/>
    <n v="0"/>
    <n v="0"/>
    <n v="0"/>
    <n v="0"/>
    <n v="0"/>
    <n v="0"/>
    <n v="0"/>
    <n v="0"/>
    <s v="MMR001CMP194"/>
    <x v="0"/>
    <x v="1"/>
    <s v="P4"/>
    <n v="2.2065854316326281E-4"/>
    <s v="No"/>
  </r>
  <r>
    <n v="38.56666666666667"/>
    <d v="2013-11-01T00:00:00"/>
    <x v="0"/>
    <s v="UNHCR"/>
    <s v="Kachin"/>
    <s v="Bhamo"/>
    <s v="Aung Thar Church"/>
    <m/>
    <m/>
    <n v="8"/>
    <n v="6"/>
    <n v="4"/>
    <n v="6"/>
    <n v="4"/>
    <n v="4"/>
    <m/>
    <m/>
    <m/>
    <m/>
    <m/>
    <m/>
    <m/>
    <m/>
    <m/>
    <n v="0"/>
    <n v="0"/>
    <n v="0"/>
    <n v="0"/>
    <n v="0"/>
    <n v="0"/>
    <n v="0"/>
    <n v="0"/>
    <n v="0"/>
    <n v="0"/>
    <n v="0"/>
    <n v="0"/>
    <n v="0"/>
    <n v="0"/>
    <n v="0"/>
    <n v="0"/>
    <n v="0"/>
    <n v="0"/>
    <s v="MMR001CMP194"/>
    <x v="0"/>
    <x v="1"/>
    <s v="P4"/>
    <n v="9.8070463628116802E-5"/>
    <s v="No"/>
  </r>
  <r>
    <n v="10.466666666666667"/>
    <d v="2016-02-22T00:00:00"/>
    <x v="0"/>
    <s v="KBC"/>
    <s v="Shan_North"/>
    <s v="Kutkai"/>
    <m/>
    <m/>
    <m/>
    <m/>
    <m/>
    <m/>
    <m/>
    <m/>
    <m/>
    <m/>
    <m/>
    <m/>
    <m/>
    <m/>
    <m/>
    <m/>
    <m/>
    <n v="71"/>
    <n v="0"/>
    <n v="0"/>
    <n v="0"/>
    <n v="0"/>
    <n v="0"/>
    <n v="0"/>
    <n v="0"/>
    <n v="0"/>
    <n v="0"/>
    <n v="0"/>
    <n v="0"/>
    <n v="0"/>
    <n v="0"/>
    <n v="0"/>
    <n v="0"/>
    <n v="0"/>
    <n v="0"/>
    <n v="71"/>
    <s v=""/>
    <x v="2"/>
    <x v="2"/>
    <s v=""/>
    <s v=""/>
    <m/>
  </r>
  <r>
    <n v="26.433333333333334"/>
    <d v="2014-10-31T00:00:00"/>
    <x v="0"/>
    <m/>
    <s v="Kachin"/>
    <s v="Hpakant"/>
    <s v="Baptist Church, Hmaw Si Sar(Lon Khin)"/>
    <m/>
    <m/>
    <n v="38"/>
    <n v="76"/>
    <n v="38"/>
    <n v="76"/>
    <n v="38"/>
    <m/>
    <n v="38"/>
    <n v="190"/>
    <m/>
    <m/>
    <m/>
    <m/>
    <m/>
    <m/>
    <m/>
    <n v="0"/>
    <n v="0"/>
    <n v="0"/>
    <n v="0"/>
    <n v="0"/>
    <n v="0"/>
    <n v="0"/>
    <n v="0"/>
    <n v="0"/>
    <n v="0"/>
    <n v="0"/>
    <n v="0"/>
    <n v="0"/>
    <n v="0"/>
    <n v="0"/>
    <n v="0"/>
    <n v="0"/>
    <n v="0"/>
    <s v="MMR001CMP169"/>
    <x v="0"/>
    <x v="1"/>
    <s v="P4"/>
    <n v="9.2065414900060572E-4"/>
    <m/>
  </r>
  <r>
    <n v="26.633333333333333"/>
    <d v="2014-10-25T00:00:00"/>
    <x v="1"/>
    <s v="MRCS"/>
    <s v="Kachin"/>
    <s v="Hpakant"/>
    <s v="Baptist Church, Hmaw Si Sar(Lon Khin)"/>
    <m/>
    <m/>
    <m/>
    <m/>
    <m/>
    <m/>
    <m/>
    <m/>
    <m/>
    <m/>
    <n v="123"/>
    <n v="104"/>
    <m/>
    <m/>
    <m/>
    <m/>
    <m/>
    <n v="0"/>
    <n v="0"/>
    <n v="0"/>
    <n v="0"/>
    <n v="0"/>
    <n v="0"/>
    <n v="0"/>
    <n v="0"/>
    <n v="0"/>
    <n v="0"/>
    <n v="0"/>
    <n v="0"/>
    <n v="0"/>
    <n v="0"/>
    <n v="1"/>
    <n v="0"/>
    <n v="0"/>
    <n v="0"/>
    <s v="MMR001CMP169"/>
    <x v="0"/>
    <x v="1"/>
    <s v="P4"/>
    <n v="0"/>
    <m/>
  </r>
  <r>
    <n v="47.56666666666667"/>
    <d v="2013-02-04T00:00:00"/>
    <x v="2"/>
    <s v="MRCS"/>
    <s v="Kachin"/>
    <s v="Hpakant"/>
    <s v="Baptist Church, Hmaw Si Sar(Lon Khin)"/>
    <m/>
    <m/>
    <m/>
    <m/>
    <m/>
    <m/>
    <n v="106"/>
    <m/>
    <n v="0"/>
    <n v="0"/>
    <m/>
    <m/>
    <m/>
    <m/>
    <m/>
    <m/>
    <m/>
    <n v="0"/>
    <n v="0"/>
    <n v="0"/>
    <n v="0"/>
    <n v="0"/>
    <n v="0"/>
    <n v="0"/>
    <n v="0"/>
    <n v="0"/>
    <n v="0"/>
    <n v="0"/>
    <n v="0"/>
    <n v="0"/>
    <n v="0"/>
    <n v="0"/>
    <n v="0"/>
    <n v="0"/>
    <n v="0"/>
    <s v="MMR001CMP169"/>
    <x v="0"/>
    <x v="1"/>
    <s v="P4"/>
    <n v="2.5681405208964263E-3"/>
    <s v="No"/>
  </r>
  <r>
    <n v="48.733333333333334"/>
    <d v="2012-12-31T00:00:00"/>
    <x v="3"/>
    <s v="DRC"/>
    <s v="Kachin"/>
    <s v="Hpakant"/>
    <s v="Baptist Church, Hmaw Si Sar(Lon Khin)"/>
    <n v="20"/>
    <m/>
    <m/>
    <m/>
    <m/>
    <m/>
    <m/>
    <m/>
    <n v="0"/>
    <n v="0"/>
    <m/>
    <m/>
    <m/>
    <m/>
    <m/>
    <m/>
    <m/>
    <n v="0"/>
    <n v="0"/>
    <n v="0"/>
    <n v="0"/>
    <n v="0"/>
    <n v="0"/>
    <n v="0"/>
    <n v="0"/>
    <n v="0"/>
    <n v="0"/>
    <n v="0"/>
    <n v="0"/>
    <n v="0"/>
    <n v="0"/>
    <n v="0"/>
    <n v="0"/>
    <n v="0"/>
    <n v="0"/>
    <s v="MMR001CMP169"/>
    <x v="0"/>
    <x v="1"/>
    <s v="P4"/>
    <n v="0"/>
    <s v="No"/>
  </r>
  <r>
    <n v="11.066666666666666"/>
    <d v="2016-02-04T00:00:00"/>
    <x v="4"/>
    <s v="Solidarities"/>
    <s v="Kachin"/>
    <s v="Momauk"/>
    <s v="Edin"/>
    <m/>
    <m/>
    <n v="96"/>
    <m/>
    <m/>
    <m/>
    <m/>
    <m/>
    <m/>
    <m/>
    <m/>
    <m/>
    <m/>
    <m/>
    <m/>
    <m/>
    <m/>
    <n v="0"/>
    <n v="0"/>
    <n v="96"/>
    <n v="0"/>
    <n v="0"/>
    <n v="0"/>
    <n v="0"/>
    <n v="0"/>
    <n v="0"/>
    <n v="0"/>
    <n v="0"/>
    <n v="0"/>
    <n v="0"/>
    <n v="0"/>
    <n v="0"/>
    <n v="0"/>
    <n v="0"/>
    <n v="0"/>
    <s v=""/>
    <x v="2"/>
    <x v="2"/>
    <s v=""/>
    <s v=""/>
    <m/>
  </r>
  <r>
    <n v="60.5"/>
    <d v="2012-01-13T00:00:00"/>
    <x v="0"/>
    <s v="KBC"/>
    <s v="Kachin"/>
    <s v="Hpakant"/>
    <s v="Baptist Church, Hmaw Si Sar(Lon Khin)"/>
    <m/>
    <m/>
    <m/>
    <n v="70"/>
    <n v="35"/>
    <n v="35"/>
    <n v="0"/>
    <n v="35"/>
    <n v="35"/>
    <n v="35"/>
    <m/>
    <m/>
    <m/>
    <m/>
    <m/>
    <m/>
    <m/>
    <n v="0"/>
    <n v="0"/>
    <n v="0"/>
    <n v="0"/>
    <n v="0"/>
    <n v="0"/>
    <n v="0"/>
    <n v="0"/>
    <n v="0"/>
    <n v="0"/>
    <n v="0"/>
    <n v="0"/>
    <n v="0"/>
    <n v="0"/>
    <n v="0"/>
    <n v="0"/>
    <n v="0"/>
    <n v="0"/>
    <s v="MMR001CMP169"/>
    <x v="0"/>
    <x v="1"/>
    <s v="P4"/>
    <n v="0"/>
    <s v="No"/>
  </r>
  <r>
    <n v="25.266666666666666"/>
    <d v="2014-12-05T00:00:00"/>
    <x v="0"/>
    <s v="KMSS"/>
    <s v="Kachin"/>
    <s v="Waingmaw"/>
    <s v="Border Post 8"/>
    <m/>
    <m/>
    <m/>
    <n v="164"/>
    <m/>
    <m/>
    <m/>
    <m/>
    <m/>
    <m/>
    <n v="302"/>
    <n v="440"/>
    <m/>
    <n v="297"/>
    <m/>
    <m/>
    <m/>
    <n v="0"/>
    <n v="0"/>
    <n v="0"/>
    <n v="0"/>
    <n v="0"/>
    <n v="0"/>
    <n v="0"/>
    <n v="0"/>
    <n v="0"/>
    <n v="0"/>
    <n v="0"/>
    <n v="0"/>
    <n v="0"/>
    <n v="0"/>
    <n v="1"/>
    <n v="0"/>
    <n v="0"/>
    <n v="0"/>
    <s v="MMR001CMP113"/>
    <x v="0"/>
    <x v="1"/>
    <s v="P1"/>
    <n v="0"/>
    <m/>
  </r>
  <r>
    <n v="36.1"/>
    <d v="2014-01-14T00:00:00"/>
    <x v="3"/>
    <s v="KMSS"/>
    <s v="Kachin"/>
    <s v="Waingmaw"/>
    <s v="Border Post 8"/>
    <m/>
    <m/>
    <m/>
    <m/>
    <m/>
    <m/>
    <m/>
    <n v="180"/>
    <m/>
    <m/>
    <m/>
    <m/>
    <m/>
    <m/>
    <m/>
    <m/>
    <m/>
    <n v="0"/>
    <n v="0"/>
    <n v="0"/>
    <n v="0"/>
    <n v="0"/>
    <n v="0"/>
    <n v="0"/>
    <n v="0"/>
    <n v="0"/>
    <n v="0"/>
    <n v="0"/>
    <n v="0"/>
    <n v="0"/>
    <n v="0"/>
    <n v="0"/>
    <n v="0"/>
    <n v="0"/>
    <n v="0"/>
    <s v="MMR001CMP113"/>
    <x v="0"/>
    <x v="1"/>
    <s v="P1"/>
    <n v="0"/>
    <s v="No"/>
  </r>
  <r>
    <n v="11.066666666666666"/>
    <d v="2016-02-04T00:00:00"/>
    <x v="4"/>
    <s v="Solidarities"/>
    <s v="Kachin"/>
    <s v="Momauk"/>
    <s v="Ni Thaw Ka Monestry"/>
    <m/>
    <m/>
    <n v="33"/>
    <m/>
    <m/>
    <m/>
    <m/>
    <m/>
    <m/>
    <m/>
    <m/>
    <m/>
    <m/>
    <m/>
    <m/>
    <m/>
    <m/>
    <n v="0"/>
    <n v="0"/>
    <n v="33"/>
    <n v="0"/>
    <n v="0"/>
    <n v="0"/>
    <n v="0"/>
    <n v="0"/>
    <n v="0"/>
    <n v="0"/>
    <n v="0"/>
    <n v="0"/>
    <n v="0"/>
    <n v="0"/>
    <n v="0"/>
    <n v="0"/>
    <n v="0"/>
    <n v="0"/>
    <s v="MMR001CMP059"/>
    <x v="0"/>
    <x v="0"/>
    <s v="P4"/>
    <n v="0"/>
    <m/>
  </r>
  <r>
    <n v="36.1"/>
    <d v="2014-01-14T00:00:00"/>
    <x v="3"/>
    <s v="KMSS"/>
    <s v="Kachin"/>
    <s v="Waingmaw"/>
    <s v="Border Post 8"/>
    <m/>
    <m/>
    <m/>
    <m/>
    <m/>
    <m/>
    <m/>
    <m/>
    <m/>
    <m/>
    <n v="501"/>
    <n v="335"/>
    <m/>
    <m/>
    <m/>
    <m/>
    <m/>
    <n v="0"/>
    <n v="0"/>
    <n v="0"/>
    <n v="0"/>
    <n v="0"/>
    <n v="0"/>
    <n v="0"/>
    <n v="0"/>
    <n v="0"/>
    <n v="0"/>
    <n v="0"/>
    <n v="0"/>
    <n v="0"/>
    <n v="0"/>
    <n v="1"/>
    <n v="0"/>
    <n v="0"/>
    <n v="0"/>
    <s v="MMR001CMP113"/>
    <x v="0"/>
    <x v="1"/>
    <s v="P1"/>
    <n v="0"/>
    <s v="No"/>
  </r>
  <r>
    <n v="37.5"/>
    <d v="2013-12-03T00:00:00"/>
    <x v="4"/>
    <s v="KBC"/>
    <s v="Kachin"/>
    <s v="Waingmaw"/>
    <s v="Border Post 8"/>
    <m/>
    <m/>
    <m/>
    <m/>
    <m/>
    <m/>
    <m/>
    <m/>
    <m/>
    <m/>
    <n v="181"/>
    <n v="362"/>
    <n v="1086"/>
    <n v="543"/>
    <m/>
    <m/>
    <m/>
    <n v="0"/>
    <n v="0"/>
    <n v="0"/>
    <n v="0"/>
    <n v="0"/>
    <n v="0"/>
    <n v="0"/>
    <n v="0"/>
    <n v="0"/>
    <n v="0"/>
    <n v="0"/>
    <n v="0"/>
    <n v="0"/>
    <n v="0"/>
    <n v="1"/>
    <n v="0"/>
    <n v="0"/>
    <n v="0"/>
    <s v="MMR001CMP113"/>
    <x v="0"/>
    <x v="1"/>
    <s v="P1"/>
    <n v="0"/>
    <m/>
  </r>
  <r>
    <n v="37.6"/>
    <d v="2013-11-30T00:00:00"/>
    <x v="4"/>
    <s v="KBC"/>
    <s v="Kachin"/>
    <s v="Waingmaw"/>
    <s v="Border Post 8"/>
    <m/>
    <m/>
    <m/>
    <m/>
    <m/>
    <m/>
    <m/>
    <m/>
    <m/>
    <m/>
    <m/>
    <m/>
    <m/>
    <m/>
    <m/>
    <m/>
    <m/>
    <n v="0"/>
    <n v="0"/>
    <n v="0"/>
    <n v="0"/>
    <n v="0"/>
    <n v="0"/>
    <n v="0"/>
    <n v="0"/>
    <n v="0"/>
    <n v="0"/>
    <n v="0"/>
    <n v="0"/>
    <n v="0"/>
    <n v="0"/>
    <n v="0"/>
    <n v="0"/>
    <n v="0"/>
    <n v="0"/>
    <s v="MMR001CMP113"/>
    <x v="0"/>
    <x v="1"/>
    <s v="P1"/>
    <n v="0"/>
    <s v="No"/>
  </r>
  <r>
    <n v="37.833333333333336"/>
    <d v="2013-11-23T00:00:00"/>
    <x v="3"/>
    <m/>
    <s v="Kachin"/>
    <s v="Waingmaw"/>
    <s v="Border Post 8"/>
    <m/>
    <m/>
    <m/>
    <m/>
    <m/>
    <n v="358"/>
    <m/>
    <m/>
    <m/>
    <m/>
    <m/>
    <m/>
    <m/>
    <m/>
    <m/>
    <m/>
    <m/>
    <n v="0"/>
    <n v="0"/>
    <n v="0"/>
    <n v="0"/>
    <n v="0"/>
    <n v="0"/>
    <n v="0"/>
    <n v="0"/>
    <n v="0"/>
    <n v="0"/>
    <n v="0"/>
    <n v="0"/>
    <n v="0"/>
    <n v="0"/>
    <n v="0"/>
    <n v="0"/>
    <n v="0"/>
    <n v="0"/>
    <s v="MMR001CMP113"/>
    <x v="0"/>
    <x v="1"/>
    <s v="P1"/>
    <n v="0"/>
    <s v="No"/>
  </r>
  <r>
    <n v="44.266666666666666"/>
    <d v="2013-05-14T00:00:00"/>
    <x v="6"/>
    <s v="KMSS"/>
    <s v="Kachin"/>
    <s v="Waingmaw"/>
    <s v="Border Post 8"/>
    <n v="604"/>
    <m/>
    <m/>
    <m/>
    <m/>
    <m/>
    <m/>
    <m/>
    <m/>
    <m/>
    <m/>
    <m/>
    <m/>
    <m/>
    <m/>
    <m/>
    <m/>
    <n v="0"/>
    <n v="0"/>
    <n v="0"/>
    <n v="0"/>
    <n v="0"/>
    <n v="0"/>
    <n v="0"/>
    <n v="0"/>
    <n v="0"/>
    <n v="0"/>
    <n v="0"/>
    <n v="0"/>
    <n v="0"/>
    <n v="0"/>
    <n v="0"/>
    <n v="0"/>
    <n v="0"/>
    <n v="0"/>
    <s v="MMR001CMP113"/>
    <x v="0"/>
    <x v="1"/>
    <s v="P1"/>
    <n v="0"/>
    <s v="No"/>
  </r>
  <r>
    <n v="54.3"/>
    <d v="2012-07-17T00:00:00"/>
    <x v="0"/>
    <s v="UNHCR"/>
    <s v="Kachin"/>
    <s v="Waingmaw"/>
    <s v="Border Post 8"/>
    <m/>
    <m/>
    <m/>
    <n v="19"/>
    <n v="19"/>
    <n v="19"/>
    <n v="19"/>
    <n v="19"/>
    <n v="19"/>
    <n v="19"/>
    <m/>
    <m/>
    <m/>
    <m/>
    <m/>
    <m/>
    <m/>
    <n v="0"/>
    <n v="0"/>
    <n v="0"/>
    <n v="0"/>
    <n v="0"/>
    <n v="0"/>
    <n v="0"/>
    <n v="0"/>
    <n v="0"/>
    <n v="0"/>
    <n v="0"/>
    <n v="0"/>
    <n v="0"/>
    <n v="0"/>
    <n v="0"/>
    <n v="0"/>
    <n v="0"/>
    <n v="0"/>
    <s v="MMR001CMP113"/>
    <x v="0"/>
    <x v="1"/>
    <s v="P1"/>
    <n v="4.6513905209557383E-4"/>
    <s v="No"/>
  </r>
  <r>
    <n v="58.033333333333331"/>
    <d v="2012-03-27T00:00:00"/>
    <x v="0"/>
    <s v="UNHCR"/>
    <s v="Kachin"/>
    <s v="Waingmaw"/>
    <s v="Border Post 8"/>
    <m/>
    <m/>
    <m/>
    <n v="460"/>
    <n v="228"/>
    <n v="460"/>
    <n v="228"/>
    <n v="228"/>
    <n v="228"/>
    <n v="228"/>
    <m/>
    <m/>
    <m/>
    <m/>
    <m/>
    <m/>
    <m/>
    <n v="0"/>
    <n v="0"/>
    <n v="0"/>
    <n v="0"/>
    <n v="0"/>
    <n v="0"/>
    <n v="0"/>
    <n v="0"/>
    <n v="0"/>
    <n v="0"/>
    <n v="0"/>
    <n v="0"/>
    <n v="0"/>
    <n v="0"/>
    <n v="0"/>
    <n v="0"/>
    <n v="0"/>
    <n v="0"/>
    <s v="MMR001CMP113"/>
    <x v="0"/>
    <x v="1"/>
    <s v="P1"/>
    <n v="5.5816686251468862E-3"/>
    <s v="No"/>
  </r>
  <r>
    <n v="58.06666666666667"/>
    <d v="2012-03-26T00:00:00"/>
    <x v="0"/>
    <s v="UNHCR"/>
    <s v="Kachin"/>
    <s v="Waingmaw"/>
    <s v="Border Post 8"/>
    <m/>
    <m/>
    <m/>
    <n v="460"/>
    <n v="250"/>
    <n v="460"/>
    <n v="230"/>
    <n v="0"/>
    <m/>
    <m/>
    <m/>
    <m/>
    <m/>
    <m/>
    <m/>
    <m/>
    <m/>
    <n v="0"/>
    <n v="0"/>
    <n v="0"/>
    <n v="0"/>
    <n v="0"/>
    <n v="0"/>
    <n v="0"/>
    <n v="0"/>
    <n v="0"/>
    <n v="0"/>
    <n v="0"/>
    <n v="0"/>
    <n v="0"/>
    <n v="0"/>
    <n v="0"/>
    <n v="0"/>
    <n v="0"/>
    <n v="0"/>
    <s v="MMR001CMP113"/>
    <x v="0"/>
    <x v="1"/>
    <s v="P1"/>
    <n v="5.6306306306306304E-3"/>
    <s v="No"/>
  </r>
  <r>
    <n v="21.6"/>
    <d v="2015-03-25T00:00:00"/>
    <x v="0"/>
    <s v="KMSS-BMO"/>
    <s v="Kachin"/>
    <s v="Mansi"/>
    <s v="Bum Tsit Pa "/>
    <m/>
    <m/>
    <m/>
    <m/>
    <m/>
    <n v="829"/>
    <m/>
    <m/>
    <m/>
    <m/>
    <m/>
    <m/>
    <m/>
    <m/>
    <m/>
    <m/>
    <m/>
    <n v="0"/>
    <n v="0"/>
    <n v="0"/>
    <n v="0"/>
    <n v="0"/>
    <n v="0"/>
    <n v="0"/>
    <n v="0"/>
    <n v="0"/>
    <n v="0"/>
    <n v="0"/>
    <n v="0"/>
    <n v="0"/>
    <n v="0"/>
    <n v="0"/>
    <n v="0"/>
    <n v="0"/>
    <n v="0"/>
    <s v="MMR001CMP129"/>
    <x v="0"/>
    <x v="1"/>
    <s v="P2"/>
    <n v="0"/>
    <s v="No"/>
  </r>
  <r>
    <n v="12.166666666666666"/>
    <d v="2016-01-02T00:00:00"/>
    <x v="0"/>
    <s v="KBC"/>
    <s v="Shan_North"/>
    <s v="Namhkan"/>
    <m/>
    <m/>
    <m/>
    <m/>
    <m/>
    <m/>
    <m/>
    <m/>
    <m/>
    <m/>
    <m/>
    <m/>
    <m/>
    <m/>
    <m/>
    <m/>
    <m/>
    <n v="37"/>
    <n v="0"/>
    <n v="0"/>
    <n v="0"/>
    <n v="0"/>
    <n v="0"/>
    <n v="0"/>
    <n v="0"/>
    <n v="0"/>
    <n v="0"/>
    <n v="0"/>
    <n v="0"/>
    <n v="0"/>
    <n v="0"/>
    <n v="0"/>
    <n v="0"/>
    <n v="0"/>
    <n v="0"/>
    <n v="0"/>
    <s v=""/>
    <x v="2"/>
    <x v="2"/>
    <s v=""/>
    <s v=""/>
    <m/>
  </r>
  <r>
    <n v="12.666666666666666"/>
    <d v="2015-12-18T00:00:00"/>
    <x v="4"/>
    <s v="Solidarities"/>
    <s v="Kachin"/>
    <s v="Momauk"/>
    <s v="Edin"/>
    <m/>
    <m/>
    <m/>
    <m/>
    <m/>
    <m/>
    <m/>
    <m/>
    <m/>
    <m/>
    <m/>
    <m/>
    <m/>
    <m/>
    <m/>
    <n v="13"/>
    <m/>
    <n v="0"/>
    <n v="0"/>
    <n v="0"/>
    <n v="0"/>
    <n v="0"/>
    <n v="0"/>
    <n v="0"/>
    <n v="0"/>
    <n v="0"/>
    <n v="0"/>
    <n v="0"/>
    <n v="0"/>
    <n v="0"/>
    <n v="0"/>
    <n v="0"/>
    <n v="0"/>
    <n v="0"/>
    <n v="0"/>
    <s v=""/>
    <x v="2"/>
    <x v="2"/>
    <s v=""/>
    <s v=""/>
    <m/>
  </r>
  <r>
    <n v="12.666666666666666"/>
    <d v="2015-12-18T00:00:00"/>
    <x v="4"/>
    <s v="Solidarities"/>
    <s v="Kachin"/>
    <s v="Momauk"/>
    <s v="Ni Thaw Ka Monestry"/>
    <m/>
    <m/>
    <m/>
    <m/>
    <m/>
    <m/>
    <m/>
    <m/>
    <m/>
    <m/>
    <m/>
    <m/>
    <m/>
    <m/>
    <m/>
    <n v="5"/>
    <m/>
    <n v="0"/>
    <n v="0"/>
    <n v="0"/>
    <n v="0"/>
    <n v="0"/>
    <n v="0"/>
    <n v="0"/>
    <n v="0"/>
    <n v="0"/>
    <n v="0"/>
    <n v="0"/>
    <n v="0"/>
    <n v="0"/>
    <n v="0"/>
    <n v="0"/>
    <n v="0"/>
    <n v="0"/>
    <n v="0"/>
    <s v="MMR001CMP059"/>
    <x v="0"/>
    <x v="0"/>
    <s v="P4"/>
    <n v="0"/>
    <m/>
  </r>
  <r>
    <n v="35.766666666666666"/>
    <d v="2014-01-24T00:00:00"/>
    <x v="3"/>
    <m/>
    <s v="Kachin"/>
    <s v="Mansi"/>
    <s v="Bum Tsit Pa "/>
    <m/>
    <m/>
    <m/>
    <m/>
    <m/>
    <m/>
    <m/>
    <m/>
    <m/>
    <m/>
    <m/>
    <n v="838"/>
    <m/>
    <m/>
    <m/>
    <m/>
    <m/>
    <n v="0"/>
    <n v="0"/>
    <n v="0"/>
    <n v="0"/>
    <n v="0"/>
    <n v="0"/>
    <n v="0"/>
    <n v="0"/>
    <n v="0"/>
    <n v="0"/>
    <n v="0"/>
    <n v="0"/>
    <n v="0"/>
    <n v="0"/>
    <n v="1"/>
    <n v="0"/>
    <n v="0"/>
    <n v="0"/>
    <s v="MMR001CMP129"/>
    <x v="0"/>
    <x v="1"/>
    <s v="P2"/>
    <n v="0"/>
    <s v="No"/>
  </r>
  <r>
    <n v="36.033333333333331"/>
    <d v="2014-01-16T00:00:00"/>
    <x v="0"/>
    <s v="UNHCR"/>
    <s v="Kachin"/>
    <s v="Mansi"/>
    <s v="Bum Tsit Pa "/>
    <m/>
    <m/>
    <m/>
    <n v="45"/>
    <n v="30"/>
    <n v="45"/>
    <n v="30"/>
    <m/>
    <n v="30"/>
    <n v="150"/>
    <m/>
    <m/>
    <m/>
    <m/>
    <m/>
    <m/>
    <m/>
    <n v="0"/>
    <n v="0"/>
    <n v="0"/>
    <n v="0"/>
    <n v="0"/>
    <n v="0"/>
    <n v="0"/>
    <n v="0"/>
    <n v="0"/>
    <n v="0"/>
    <n v="0"/>
    <n v="0"/>
    <n v="0"/>
    <n v="0"/>
    <n v="0"/>
    <n v="0"/>
    <n v="0"/>
    <n v="0"/>
    <s v="MMR001CMP129"/>
    <x v="0"/>
    <x v="1"/>
    <s v="P2"/>
    <n v="7.3498787270010043E-4"/>
    <s v="No"/>
  </r>
  <r>
    <n v="37.233333333333334"/>
    <d v="2013-12-11T00:00:00"/>
    <x v="7"/>
    <s v="WPN"/>
    <s v="Kachin"/>
    <s v="Mansi"/>
    <s v="Bum Tsit Pa "/>
    <m/>
    <m/>
    <m/>
    <m/>
    <m/>
    <n v="278"/>
    <m/>
    <m/>
    <m/>
    <m/>
    <m/>
    <m/>
    <m/>
    <m/>
    <m/>
    <m/>
    <m/>
    <n v="0"/>
    <n v="0"/>
    <n v="0"/>
    <n v="0"/>
    <n v="0"/>
    <n v="0"/>
    <n v="0"/>
    <n v="0"/>
    <n v="0"/>
    <n v="0"/>
    <n v="0"/>
    <n v="0"/>
    <n v="0"/>
    <n v="0"/>
    <n v="0"/>
    <n v="0"/>
    <n v="0"/>
    <n v="0"/>
    <s v="MMR001CMP129"/>
    <x v="0"/>
    <x v="1"/>
    <s v="P2"/>
    <n v="0"/>
    <s v="No"/>
  </r>
  <r>
    <n v="37.233333333333334"/>
    <d v="2013-12-11T00:00:00"/>
    <x v="7"/>
    <s v="WPN"/>
    <s v="Kachin"/>
    <s v="Mansi"/>
    <s v="Bum Tsit Pa "/>
    <m/>
    <m/>
    <m/>
    <m/>
    <m/>
    <n v="174"/>
    <m/>
    <m/>
    <m/>
    <m/>
    <m/>
    <m/>
    <m/>
    <m/>
    <m/>
    <m/>
    <m/>
    <n v="0"/>
    <n v="0"/>
    <n v="0"/>
    <n v="0"/>
    <n v="0"/>
    <n v="0"/>
    <n v="0"/>
    <n v="0"/>
    <n v="0"/>
    <n v="0"/>
    <n v="0"/>
    <n v="0"/>
    <n v="0"/>
    <n v="0"/>
    <n v="0"/>
    <n v="0"/>
    <n v="0"/>
    <n v="0"/>
    <s v="MMR001CMP129"/>
    <x v="0"/>
    <x v="1"/>
    <s v="P2"/>
    <n v="0"/>
    <s v="No"/>
  </r>
  <r>
    <n v="37.6"/>
    <d v="2013-11-30T00:00:00"/>
    <x v="5"/>
    <s v="MDCG"/>
    <s v="Kachin"/>
    <s v="Mansi"/>
    <s v="Bum Tsit Pa "/>
    <m/>
    <m/>
    <m/>
    <m/>
    <m/>
    <n v="819"/>
    <m/>
    <m/>
    <m/>
    <m/>
    <n v="966"/>
    <n v="484"/>
    <n v="0"/>
    <m/>
    <m/>
    <m/>
    <m/>
    <n v="0"/>
    <n v="0"/>
    <n v="0"/>
    <n v="0"/>
    <n v="0"/>
    <n v="0"/>
    <n v="0"/>
    <n v="0"/>
    <n v="0"/>
    <n v="0"/>
    <n v="0"/>
    <n v="0"/>
    <n v="0"/>
    <n v="0"/>
    <n v="1"/>
    <n v="0"/>
    <n v="0"/>
    <n v="0"/>
    <s v="MMR001CMP129"/>
    <x v="0"/>
    <x v="1"/>
    <s v="P2"/>
    <n v="0"/>
    <s v="No"/>
  </r>
  <r>
    <n v="37.6"/>
    <d v="2013-11-30T00:00:00"/>
    <x v="4"/>
    <s v="KBC"/>
    <s v="Kachin"/>
    <s v="Mansi"/>
    <s v="Bum Tsit Pa "/>
    <m/>
    <m/>
    <m/>
    <m/>
    <m/>
    <m/>
    <m/>
    <m/>
    <m/>
    <n v="321"/>
    <m/>
    <m/>
    <m/>
    <m/>
    <m/>
    <m/>
    <m/>
    <n v="0"/>
    <n v="0"/>
    <n v="0"/>
    <n v="0"/>
    <n v="0"/>
    <n v="0"/>
    <n v="0"/>
    <n v="0"/>
    <n v="0"/>
    <n v="0"/>
    <n v="0"/>
    <n v="0"/>
    <n v="0"/>
    <n v="0"/>
    <n v="0"/>
    <n v="0"/>
    <n v="0"/>
    <n v="0"/>
    <s v="MMR001CMP129"/>
    <x v="0"/>
    <x v="1"/>
    <s v="P2"/>
    <n v="0"/>
    <s v="No"/>
  </r>
  <r>
    <n v="37.6"/>
    <d v="2013-11-30T00:00:00"/>
    <x v="0"/>
    <s v="UNHCR"/>
    <s v="Kachin"/>
    <s v="Mansi"/>
    <s v="Bum Tsit Pa "/>
    <m/>
    <m/>
    <m/>
    <m/>
    <m/>
    <m/>
    <m/>
    <m/>
    <m/>
    <m/>
    <m/>
    <m/>
    <m/>
    <m/>
    <m/>
    <m/>
    <m/>
    <n v="0"/>
    <n v="0"/>
    <n v="0"/>
    <n v="0"/>
    <n v="0"/>
    <n v="0"/>
    <n v="0"/>
    <n v="0"/>
    <n v="0"/>
    <n v="0"/>
    <n v="0"/>
    <n v="0"/>
    <n v="0"/>
    <n v="0"/>
    <n v="0"/>
    <n v="0"/>
    <n v="0"/>
    <n v="0"/>
    <s v="MMR001CMP129"/>
    <x v="0"/>
    <x v="1"/>
    <s v="P2"/>
    <n v="0"/>
    <s v="No"/>
  </r>
  <r>
    <n v="38.5"/>
    <d v="2013-11-03T00:00:00"/>
    <x v="0"/>
    <s v="UNHCR "/>
    <s v="Kachin"/>
    <s v="Mansi"/>
    <s v="Bum Tsit Pa "/>
    <m/>
    <m/>
    <n v="130"/>
    <n v="130"/>
    <n v="65"/>
    <n v="65"/>
    <n v="65"/>
    <n v="65"/>
    <m/>
    <m/>
    <m/>
    <m/>
    <m/>
    <m/>
    <m/>
    <m/>
    <m/>
    <n v="0"/>
    <n v="0"/>
    <n v="0"/>
    <n v="0"/>
    <n v="0"/>
    <n v="0"/>
    <n v="0"/>
    <n v="0"/>
    <n v="0"/>
    <n v="0"/>
    <n v="0"/>
    <n v="0"/>
    <n v="0"/>
    <n v="0"/>
    <n v="0"/>
    <n v="0"/>
    <n v="0"/>
    <n v="0"/>
    <s v="MMR001CMP129"/>
    <x v="0"/>
    <x v="1"/>
    <s v="P2"/>
    <n v="1.5924737241835509E-3"/>
    <s v="No"/>
  </r>
  <r>
    <n v="49.266666666666666"/>
    <d v="2012-12-15T00:00:00"/>
    <x v="4"/>
    <s v="KBC"/>
    <s v="Kachin"/>
    <s v="Mansi"/>
    <s v="Bum Tsit Pa "/>
    <n v="587"/>
    <m/>
    <m/>
    <m/>
    <m/>
    <m/>
    <m/>
    <m/>
    <n v="0"/>
    <n v="0"/>
    <m/>
    <m/>
    <m/>
    <m/>
    <m/>
    <m/>
    <m/>
    <n v="0"/>
    <n v="0"/>
    <n v="0"/>
    <n v="0"/>
    <n v="0"/>
    <n v="0"/>
    <n v="0"/>
    <n v="0"/>
    <n v="0"/>
    <n v="0"/>
    <n v="0"/>
    <n v="0"/>
    <n v="0"/>
    <n v="0"/>
    <n v="0"/>
    <n v="0"/>
    <n v="0"/>
    <n v="0"/>
    <s v="MMR001CMP129"/>
    <x v="0"/>
    <x v="1"/>
    <s v="P2"/>
    <n v="0"/>
    <s v="No"/>
  </r>
  <r>
    <n v="57.766666666666666"/>
    <d v="2012-04-04T00:00:00"/>
    <x v="0"/>
    <s v="UNHCR"/>
    <s v="Kachin"/>
    <s v="Mansi"/>
    <s v="Bum Tsit Pa "/>
    <m/>
    <m/>
    <m/>
    <n v="216"/>
    <n v="108"/>
    <n v="216"/>
    <n v="108"/>
    <n v="108"/>
    <n v="108"/>
    <n v="108"/>
    <m/>
    <m/>
    <m/>
    <m/>
    <m/>
    <m/>
    <m/>
    <n v="0"/>
    <n v="0"/>
    <n v="0"/>
    <n v="0"/>
    <n v="0"/>
    <n v="0"/>
    <n v="0"/>
    <n v="0"/>
    <n v="0"/>
    <n v="0"/>
    <n v="0"/>
    <n v="0"/>
    <n v="0"/>
    <n v="0"/>
    <n v="0"/>
    <n v="0"/>
    <n v="0"/>
    <n v="0"/>
    <s v="MMR001CMP129"/>
    <x v="0"/>
    <x v="1"/>
    <s v="P2"/>
    <n v="2.6459563417203617E-3"/>
    <s v="No"/>
  </r>
  <r>
    <n v="57.966666666666669"/>
    <d v="2012-03-29T00:00:00"/>
    <x v="0"/>
    <s v="UNHCR"/>
    <s v="Kachin"/>
    <s v="Mansi"/>
    <s v="Bum Tsit Pa "/>
    <m/>
    <m/>
    <m/>
    <n v="66"/>
    <n v="66"/>
    <n v="0"/>
    <n v="0"/>
    <n v="0"/>
    <m/>
    <m/>
    <m/>
    <m/>
    <m/>
    <m/>
    <m/>
    <m/>
    <m/>
    <n v="0"/>
    <n v="0"/>
    <n v="0"/>
    <n v="0"/>
    <n v="0"/>
    <n v="0"/>
    <n v="0"/>
    <n v="0"/>
    <n v="0"/>
    <n v="0"/>
    <n v="0"/>
    <n v="0"/>
    <n v="0"/>
    <n v="0"/>
    <n v="0"/>
    <n v="0"/>
    <n v="0"/>
    <n v="0"/>
    <s v="MMR001CMP129"/>
    <x v="0"/>
    <x v="1"/>
    <s v="P2"/>
    <n v="0"/>
    <s v="No"/>
  </r>
  <r>
    <n v="26.433333333333334"/>
    <d v="2014-10-31T00:00:00"/>
    <x v="0"/>
    <m/>
    <s v="Kachin"/>
    <s v="Hpakant"/>
    <s v="Chin Church, Seik Mu"/>
    <m/>
    <m/>
    <n v="5"/>
    <n v="10"/>
    <n v="5"/>
    <n v="10"/>
    <n v="5"/>
    <m/>
    <n v="5"/>
    <n v="25"/>
    <m/>
    <m/>
    <m/>
    <m/>
    <m/>
    <m/>
    <m/>
    <n v="0"/>
    <n v="0"/>
    <n v="0"/>
    <n v="0"/>
    <n v="0"/>
    <n v="0"/>
    <n v="0"/>
    <n v="0"/>
    <n v="0"/>
    <n v="0"/>
    <n v="0"/>
    <n v="0"/>
    <n v="0"/>
    <n v="0"/>
    <n v="0"/>
    <n v="0"/>
    <n v="0"/>
    <n v="0"/>
    <s v="MMR001CMP109"/>
    <x v="0"/>
    <x v="1"/>
    <s v="P4"/>
    <n v="1.2051968086388508E-4"/>
    <m/>
  </r>
  <r>
    <n v="26.633333333333333"/>
    <d v="2014-10-25T00:00:00"/>
    <x v="1"/>
    <s v="MRCS"/>
    <s v="Kachin"/>
    <s v="Hpakant"/>
    <s v="Chin Church, Seik Mu"/>
    <m/>
    <m/>
    <m/>
    <m/>
    <m/>
    <m/>
    <m/>
    <m/>
    <m/>
    <m/>
    <n v="15"/>
    <n v="10"/>
    <m/>
    <m/>
    <m/>
    <m/>
    <m/>
    <n v="0"/>
    <n v="0"/>
    <n v="0"/>
    <n v="0"/>
    <n v="0"/>
    <n v="0"/>
    <n v="0"/>
    <n v="0"/>
    <n v="0"/>
    <n v="0"/>
    <n v="0"/>
    <n v="0"/>
    <n v="0"/>
    <n v="0"/>
    <n v="1"/>
    <n v="0"/>
    <n v="0"/>
    <n v="0"/>
    <s v="MMR001CMP109"/>
    <x v="0"/>
    <x v="1"/>
    <s v="P4"/>
    <n v="0"/>
    <m/>
  </r>
  <r>
    <n v="13.133333333333333"/>
    <d v="2015-12-04T00:00:00"/>
    <x v="4"/>
    <s v="Solidarities"/>
    <s v="Kachin"/>
    <s v="Momauk"/>
    <s v="Edin"/>
    <m/>
    <m/>
    <m/>
    <m/>
    <m/>
    <m/>
    <m/>
    <m/>
    <m/>
    <m/>
    <m/>
    <m/>
    <m/>
    <m/>
    <n v="1"/>
    <m/>
    <m/>
    <n v="0"/>
    <n v="0"/>
    <n v="0"/>
    <n v="0"/>
    <n v="0"/>
    <n v="0"/>
    <n v="0"/>
    <n v="0"/>
    <n v="0"/>
    <n v="0"/>
    <n v="0"/>
    <n v="0"/>
    <n v="0"/>
    <n v="0"/>
    <n v="0"/>
    <n v="0"/>
    <n v="0"/>
    <n v="0"/>
    <s v=""/>
    <x v="2"/>
    <x v="2"/>
    <s v=""/>
    <s v=""/>
    <m/>
  </r>
  <r>
    <n v="27.433333333333334"/>
    <d v="2014-10-01T00:00:00"/>
    <x v="0"/>
    <s v="Shalom"/>
    <s v="Kachin"/>
    <s v="Hpakant"/>
    <s v="Chin Church, Seik Mu"/>
    <m/>
    <m/>
    <m/>
    <n v="8"/>
    <m/>
    <m/>
    <m/>
    <m/>
    <m/>
    <m/>
    <m/>
    <m/>
    <m/>
    <m/>
    <m/>
    <m/>
    <m/>
    <n v="0"/>
    <n v="0"/>
    <n v="0"/>
    <n v="0"/>
    <n v="0"/>
    <n v="0"/>
    <n v="0"/>
    <n v="0"/>
    <n v="0"/>
    <n v="0"/>
    <n v="0"/>
    <n v="0"/>
    <n v="0"/>
    <n v="0"/>
    <n v="0"/>
    <n v="0"/>
    <n v="0"/>
    <n v="0"/>
    <s v="MMR001CMP109"/>
    <x v="0"/>
    <x v="1"/>
    <s v="P4"/>
    <n v="0"/>
    <m/>
  </r>
  <r>
    <n v="13.233333333333333"/>
    <d v="2015-12-01T00:00:00"/>
    <x v="4"/>
    <s v="Solidarities"/>
    <s v="Kachin"/>
    <s v="Momauk"/>
    <s v="Loi Je B.E.H.S"/>
    <m/>
    <m/>
    <m/>
    <m/>
    <m/>
    <m/>
    <m/>
    <m/>
    <m/>
    <m/>
    <m/>
    <m/>
    <m/>
    <m/>
    <n v="44"/>
    <m/>
    <m/>
    <n v="0"/>
    <n v="0"/>
    <n v="0"/>
    <n v="0"/>
    <n v="0"/>
    <n v="0"/>
    <n v="0"/>
    <n v="0"/>
    <n v="0"/>
    <n v="0"/>
    <n v="0"/>
    <n v="0"/>
    <n v="0"/>
    <n v="0"/>
    <n v="0"/>
    <n v="0"/>
    <n v="0"/>
    <n v="0"/>
    <s v=""/>
    <x v="2"/>
    <x v="2"/>
    <s v=""/>
    <s v=""/>
    <m/>
  </r>
  <r>
    <n v="46.1"/>
    <d v="2013-03-20T00:00:00"/>
    <x v="0"/>
    <s v="UNHCR"/>
    <s v="Kachin"/>
    <s v="Hpakant"/>
    <s v="Chin Church, Seik Mu"/>
    <m/>
    <m/>
    <n v="3"/>
    <n v="8"/>
    <n v="8"/>
    <n v="15"/>
    <n v="8"/>
    <n v="15"/>
    <n v="15"/>
    <n v="15"/>
    <m/>
    <m/>
    <m/>
    <m/>
    <m/>
    <m/>
    <m/>
    <n v="0"/>
    <n v="0"/>
    <n v="0"/>
    <n v="0"/>
    <n v="0"/>
    <n v="0"/>
    <n v="0"/>
    <n v="0"/>
    <n v="0"/>
    <n v="0"/>
    <n v="0"/>
    <n v="0"/>
    <n v="0"/>
    <n v="0"/>
    <n v="0"/>
    <n v="0"/>
    <n v="0"/>
    <n v="0"/>
    <s v="MMR001CMP109"/>
    <x v="0"/>
    <x v="1"/>
    <s v="P4"/>
    <n v="1.9283148938221612E-4"/>
    <s v="No"/>
  </r>
  <r>
    <n v="23.966666666666665"/>
    <d v="2015-01-13T00:00:00"/>
    <x v="1"/>
    <s v="MRCS"/>
    <s v="Kachin"/>
    <s v="Chipwi"/>
    <s v="Chipwi KBC camp"/>
    <m/>
    <m/>
    <m/>
    <m/>
    <m/>
    <m/>
    <m/>
    <m/>
    <m/>
    <m/>
    <n v="293"/>
    <n v="190"/>
    <m/>
    <n v="170"/>
    <m/>
    <m/>
    <m/>
    <n v="0"/>
    <n v="0"/>
    <n v="0"/>
    <n v="0"/>
    <n v="0"/>
    <n v="0"/>
    <n v="0"/>
    <n v="0"/>
    <n v="0"/>
    <n v="0"/>
    <n v="0"/>
    <n v="0"/>
    <n v="0"/>
    <n v="0"/>
    <n v="1"/>
    <n v="0"/>
    <n v="0"/>
    <n v="0"/>
    <s v="MMR001CMP042"/>
    <x v="0"/>
    <x v="1"/>
    <s v="P1"/>
    <n v="0"/>
    <m/>
  </r>
  <r>
    <n v="27.433333333333334"/>
    <d v="2014-10-01T00:00:00"/>
    <x v="0"/>
    <s v="Shalom"/>
    <s v="Kachin"/>
    <s v="Chipwi"/>
    <s v="Chipwi KBC camp"/>
    <m/>
    <m/>
    <m/>
    <n v="214"/>
    <m/>
    <m/>
    <m/>
    <m/>
    <m/>
    <m/>
    <m/>
    <m/>
    <m/>
    <n v="214"/>
    <m/>
    <m/>
    <m/>
    <n v="0"/>
    <n v="0"/>
    <n v="0"/>
    <n v="0"/>
    <n v="0"/>
    <n v="0"/>
    <n v="0"/>
    <n v="0"/>
    <n v="0"/>
    <n v="0"/>
    <n v="0"/>
    <n v="0"/>
    <n v="0"/>
    <n v="0"/>
    <n v="1"/>
    <n v="0"/>
    <n v="0"/>
    <n v="0"/>
    <s v="MMR001CMP042"/>
    <x v="0"/>
    <x v="1"/>
    <s v="P1"/>
    <n v="0"/>
    <m/>
  </r>
  <r>
    <n v="31.666666666666668"/>
    <d v="2014-05-27T00:00:00"/>
    <x v="0"/>
    <s v="Shalom"/>
    <s v="Kachin"/>
    <s v="Chipwi"/>
    <s v="Chipwi KBC camp"/>
    <m/>
    <m/>
    <n v="36"/>
    <n v="18"/>
    <n v="36"/>
    <n v="18"/>
    <m/>
    <n v="18"/>
    <n v="90"/>
    <m/>
    <m/>
    <m/>
    <m/>
    <m/>
    <m/>
    <m/>
    <m/>
    <n v="0"/>
    <n v="0"/>
    <n v="0"/>
    <n v="0"/>
    <n v="0"/>
    <n v="0"/>
    <n v="0"/>
    <n v="0"/>
    <n v="0"/>
    <n v="0"/>
    <n v="0"/>
    <n v="0"/>
    <n v="0"/>
    <n v="0"/>
    <n v="0"/>
    <n v="0"/>
    <n v="0"/>
    <n v="0"/>
    <s v="MMR001CMP042"/>
    <x v="0"/>
    <x v="1"/>
    <s v="P1"/>
    <n v="0"/>
    <m/>
  </r>
  <r>
    <n v="14.2"/>
    <d v="2015-11-02T00:00:00"/>
    <x v="0"/>
    <s v="KBC"/>
    <s v="Kachin"/>
    <s v="Mansi"/>
    <s v="Mai hkawng Camp (RC +KBC)"/>
    <m/>
    <m/>
    <n v="223"/>
    <m/>
    <n v="30"/>
    <m/>
    <m/>
    <m/>
    <m/>
    <n v="337"/>
    <m/>
    <m/>
    <m/>
    <m/>
    <m/>
    <m/>
    <m/>
    <n v="0"/>
    <n v="0"/>
    <n v="0"/>
    <n v="0"/>
    <n v="0"/>
    <n v="0"/>
    <n v="0"/>
    <n v="0"/>
    <n v="0"/>
    <n v="0"/>
    <n v="0"/>
    <n v="0"/>
    <n v="0"/>
    <n v="0"/>
    <n v="0"/>
    <n v="0"/>
    <n v="0"/>
    <n v="0"/>
    <s v=""/>
    <x v="2"/>
    <x v="2"/>
    <s v=""/>
    <s v=""/>
    <s v="No"/>
  </r>
  <r>
    <n v="15.266666666666667"/>
    <d v="2015-10-01T00:00:00"/>
    <x v="0"/>
    <s v="KBC"/>
    <s v="Kachin"/>
    <s v="Mansi"/>
    <s v="Mai hkawng Camp (RC +KBC)"/>
    <m/>
    <n v="77"/>
    <n v="232"/>
    <n v="200"/>
    <n v="89"/>
    <n v="200"/>
    <n v="119"/>
    <m/>
    <n v="119"/>
    <n v="345"/>
    <m/>
    <m/>
    <m/>
    <m/>
    <n v="119"/>
    <m/>
    <n v="45"/>
    <n v="0"/>
    <n v="0"/>
    <n v="0"/>
    <n v="0"/>
    <n v="0"/>
    <n v="0"/>
    <n v="0"/>
    <n v="0"/>
    <n v="0"/>
    <n v="0"/>
    <n v="0"/>
    <n v="0"/>
    <n v="0"/>
    <n v="0"/>
    <n v="0"/>
    <n v="0"/>
    <n v="0"/>
    <n v="0"/>
    <s v=""/>
    <x v="2"/>
    <x v="2"/>
    <s v=""/>
    <s v=""/>
    <s v="No"/>
  </r>
  <r>
    <n v="15.566666666666666"/>
    <d v="2015-09-22T00:00:00"/>
    <x v="0"/>
    <s v="KBC"/>
    <s v="Kachin"/>
    <s v="Mansi"/>
    <s v="Mai hkawng Camp (RC +KBC)"/>
    <m/>
    <m/>
    <n v="145"/>
    <n v="132"/>
    <n v="66"/>
    <n v="132"/>
    <n v="66"/>
    <m/>
    <n v="66"/>
    <n v="243"/>
    <m/>
    <m/>
    <m/>
    <m/>
    <n v="66"/>
    <m/>
    <m/>
    <n v="0"/>
    <n v="0"/>
    <n v="0"/>
    <n v="0"/>
    <n v="0"/>
    <n v="0"/>
    <n v="0"/>
    <n v="0"/>
    <n v="0"/>
    <n v="0"/>
    <n v="0"/>
    <n v="0"/>
    <n v="0"/>
    <n v="0"/>
    <n v="0"/>
    <n v="0"/>
    <n v="0"/>
    <n v="0"/>
    <s v=""/>
    <x v="2"/>
    <x v="2"/>
    <s v=""/>
    <s v=""/>
    <s v="No"/>
  </r>
  <r>
    <n v="34.766666666666666"/>
    <d v="2014-02-23T00:00:00"/>
    <x v="8"/>
    <s v="MRCS"/>
    <s v="Kachin"/>
    <s v="Chipwi"/>
    <s v="Chipwi KBC camp"/>
    <m/>
    <m/>
    <m/>
    <m/>
    <m/>
    <m/>
    <m/>
    <m/>
    <m/>
    <m/>
    <m/>
    <m/>
    <m/>
    <n v="222"/>
    <m/>
    <m/>
    <m/>
    <n v="0"/>
    <n v="0"/>
    <n v="0"/>
    <n v="0"/>
    <n v="0"/>
    <n v="0"/>
    <n v="0"/>
    <n v="0"/>
    <n v="0"/>
    <n v="0"/>
    <n v="0"/>
    <n v="0"/>
    <n v="0"/>
    <n v="0"/>
    <n v="1"/>
    <n v="0"/>
    <n v="0"/>
    <n v="0"/>
    <s v="MMR001CMP042"/>
    <x v="0"/>
    <x v="1"/>
    <s v="P1"/>
    <n v="0"/>
    <m/>
  </r>
  <r>
    <n v="15.6"/>
    <d v="2015-09-21T00:00:00"/>
    <x v="0"/>
    <s v="KMSS-MKN"/>
    <s v="Kachin"/>
    <s v="Myitkyina"/>
    <m/>
    <m/>
    <m/>
    <m/>
    <m/>
    <m/>
    <m/>
    <m/>
    <m/>
    <m/>
    <m/>
    <m/>
    <m/>
    <m/>
    <m/>
    <m/>
    <m/>
    <m/>
    <n v="0"/>
    <n v="0"/>
    <n v="0"/>
    <n v="0"/>
    <n v="0"/>
    <n v="0"/>
    <n v="0"/>
    <n v="0"/>
    <n v="0"/>
    <n v="0"/>
    <n v="0"/>
    <n v="0"/>
    <n v="0"/>
    <n v="0"/>
    <n v="0"/>
    <n v="0"/>
    <n v="0"/>
    <n v="0"/>
    <s v=""/>
    <x v="2"/>
    <x v="2"/>
    <s v=""/>
    <s v=""/>
    <s v="No"/>
  </r>
  <r>
    <n v="44"/>
    <d v="2013-05-22T00:00:00"/>
    <x v="6"/>
    <s v="KMSS"/>
    <s v="Kachin"/>
    <s v="Chipwi"/>
    <s v="Chipwi KBC camp"/>
    <n v="510"/>
    <m/>
    <m/>
    <m/>
    <m/>
    <m/>
    <m/>
    <m/>
    <m/>
    <m/>
    <m/>
    <m/>
    <m/>
    <m/>
    <m/>
    <m/>
    <m/>
    <n v="0"/>
    <n v="0"/>
    <n v="0"/>
    <n v="0"/>
    <n v="0"/>
    <n v="0"/>
    <n v="0"/>
    <n v="0"/>
    <n v="0"/>
    <n v="0"/>
    <n v="0"/>
    <n v="0"/>
    <n v="0"/>
    <n v="0"/>
    <n v="0"/>
    <n v="0"/>
    <n v="0"/>
    <n v="0"/>
    <s v="MMR001CMP042"/>
    <x v="0"/>
    <x v="1"/>
    <s v="P1"/>
    <n v="0"/>
    <s v="No"/>
  </r>
  <r>
    <n v="16.433333333333334"/>
    <d v="2015-08-27T00:00:00"/>
    <x v="0"/>
    <s v="KBC"/>
    <s v="Kachin"/>
    <s v="Myitkyina"/>
    <m/>
    <m/>
    <m/>
    <m/>
    <m/>
    <m/>
    <m/>
    <m/>
    <m/>
    <m/>
    <m/>
    <m/>
    <m/>
    <m/>
    <m/>
    <m/>
    <n v="10"/>
    <m/>
    <n v="0"/>
    <n v="0"/>
    <n v="0"/>
    <n v="0"/>
    <n v="0"/>
    <n v="0"/>
    <n v="0"/>
    <n v="0"/>
    <n v="0"/>
    <n v="0"/>
    <n v="0"/>
    <n v="0"/>
    <n v="0"/>
    <n v="0"/>
    <n v="0"/>
    <n v="0"/>
    <n v="0"/>
    <n v="0"/>
    <s v=""/>
    <x v="2"/>
    <x v="2"/>
    <s v=""/>
    <s v=""/>
    <s v="No"/>
  </r>
  <r>
    <n v="16.433333333333334"/>
    <d v="2015-08-27T00:00:00"/>
    <x v="0"/>
    <s v="KMSS-MKN"/>
    <s v="Kachin"/>
    <s v="Myitkyina"/>
    <m/>
    <m/>
    <m/>
    <m/>
    <m/>
    <m/>
    <m/>
    <m/>
    <m/>
    <m/>
    <m/>
    <m/>
    <m/>
    <m/>
    <m/>
    <m/>
    <n v="7"/>
    <m/>
    <n v="0"/>
    <n v="0"/>
    <n v="0"/>
    <n v="0"/>
    <n v="0"/>
    <n v="0"/>
    <n v="0"/>
    <n v="0"/>
    <n v="0"/>
    <n v="0"/>
    <n v="0"/>
    <n v="0"/>
    <n v="0"/>
    <n v="0"/>
    <n v="0"/>
    <n v="0"/>
    <n v="0"/>
    <n v="0"/>
    <s v=""/>
    <x v="2"/>
    <x v="2"/>
    <s v=""/>
    <s v=""/>
    <s v="No"/>
  </r>
  <r>
    <n v="16.433333333333334"/>
    <d v="2015-08-27T00:00:00"/>
    <x v="0"/>
    <s v="Shalom"/>
    <s v="Kachin"/>
    <s v="Myitkyina"/>
    <m/>
    <m/>
    <m/>
    <m/>
    <m/>
    <m/>
    <m/>
    <m/>
    <m/>
    <m/>
    <m/>
    <m/>
    <m/>
    <m/>
    <m/>
    <m/>
    <n v="8"/>
    <m/>
    <n v="0"/>
    <n v="0"/>
    <n v="0"/>
    <n v="0"/>
    <n v="0"/>
    <n v="0"/>
    <n v="0"/>
    <n v="0"/>
    <n v="0"/>
    <n v="0"/>
    <n v="0"/>
    <n v="0"/>
    <n v="0"/>
    <n v="0"/>
    <n v="0"/>
    <n v="0"/>
    <n v="0"/>
    <n v="0"/>
    <s v=""/>
    <x v="2"/>
    <x v="2"/>
    <s v=""/>
    <s v=""/>
    <s v="No"/>
  </r>
  <r>
    <n v="44"/>
    <d v="2013-05-22T00:00:00"/>
    <x v="0"/>
    <s v="UNHCR"/>
    <s v="Kachin"/>
    <s v="Chipwi"/>
    <s v="Chipwi KBC camp"/>
    <m/>
    <m/>
    <n v="80"/>
    <n v="84"/>
    <n v="41"/>
    <n v="84"/>
    <n v="41"/>
    <n v="41"/>
    <n v="41"/>
    <n v="41"/>
    <m/>
    <m/>
    <m/>
    <m/>
    <m/>
    <m/>
    <m/>
    <n v="0"/>
    <n v="0"/>
    <n v="0"/>
    <n v="0"/>
    <n v="0"/>
    <n v="0"/>
    <n v="0"/>
    <n v="0"/>
    <n v="0"/>
    <n v="0"/>
    <n v="0"/>
    <n v="0"/>
    <n v="0"/>
    <n v="0"/>
    <n v="0"/>
    <n v="0"/>
    <n v="0"/>
    <n v="0"/>
    <s v="MMR001CMP042"/>
    <x v="0"/>
    <x v="1"/>
    <s v="P1"/>
    <n v="9.9408398797400837E-4"/>
    <s v="No"/>
  </r>
  <r>
    <n v="46.866666666666667"/>
    <d v="2013-02-25T00:00:00"/>
    <x v="0"/>
    <s v="Chipwe CM"/>
    <s v="Kachin"/>
    <s v="Chipwi"/>
    <s v="Chipwi KBC camp"/>
    <m/>
    <m/>
    <n v="11"/>
    <n v="17"/>
    <n v="7"/>
    <n v="17"/>
    <n v="7"/>
    <n v="7"/>
    <n v="7"/>
    <n v="7"/>
    <m/>
    <m/>
    <m/>
    <m/>
    <m/>
    <m/>
    <m/>
    <n v="0"/>
    <n v="0"/>
    <n v="0"/>
    <n v="0"/>
    <n v="0"/>
    <n v="0"/>
    <n v="0"/>
    <n v="0"/>
    <n v="0"/>
    <n v="0"/>
    <n v="0"/>
    <n v="0"/>
    <n v="0"/>
    <n v="0"/>
    <n v="0"/>
    <n v="0"/>
    <n v="0"/>
    <n v="0"/>
    <s v="MMR001CMP042"/>
    <x v="0"/>
    <x v="1"/>
    <s v="P1"/>
    <n v="1.6972165648336727E-4"/>
    <s v="No"/>
  </r>
  <r>
    <n v="51.966666666666669"/>
    <d v="2012-09-25T00:00:00"/>
    <x v="0"/>
    <s v="Chipwe CM"/>
    <s v="Kachin"/>
    <s v="Chipwi"/>
    <s v="Chipwi KBC camp"/>
    <m/>
    <m/>
    <m/>
    <n v="33"/>
    <n v="11"/>
    <n v="33"/>
    <n v="11"/>
    <n v="11"/>
    <n v="11"/>
    <n v="11"/>
    <m/>
    <m/>
    <m/>
    <m/>
    <m/>
    <m/>
    <m/>
    <n v="0"/>
    <n v="0"/>
    <n v="0"/>
    <n v="0"/>
    <n v="0"/>
    <n v="0"/>
    <n v="0"/>
    <n v="0"/>
    <n v="0"/>
    <n v="0"/>
    <n v="0"/>
    <n v="0"/>
    <n v="0"/>
    <n v="0"/>
    <n v="0"/>
    <n v="0"/>
    <n v="0"/>
    <n v="0"/>
    <s v="MMR001CMP042"/>
    <x v="0"/>
    <x v="1"/>
    <s v="P1"/>
    <n v="2.667054601881486E-4"/>
    <s v="No"/>
  </r>
  <r>
    <n v="26.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1"/>
    <s v="P4"/>
    <n v="1.6232586311326468E-3"/>
    <m/>
  </r>
  <r>
    <n v="18.366666666666667"/>
    <d v="2015-06-30T00:00:00"/>
    <x v="4"/>
    <s v="Solidarities"/>
    <s v="Kachin"/>
    <s v="Momauk"/>
    <s v="Edin"/>
    <m/>
    <m/>
    <m/>
    <m/>
    <m/>
    <m/>
    <m/>
    <m/>
    <m/>
    <m/>
    <m/>
    <m/>
    <m/>
    <m/>
    <n v="2"/>
    <m/>
    <m/>
    <n v="0"/>
    <n v="0"/>
    <n v="0"/>
    <n v="0"/>
    <n v="0"/>
    <n v="0"/>
    <n v="0"/>
    <n v="0"/>
    <n v="0"/>
    <n v="0"/>
    <n v="0"/>
    <n v="0"/>
    <n v="0"/>
    <n v="0"/>
    <n v="0"/>
    <n v="0"/>
    <n v="0"/>
    <n v="0"/>
    <s v=""/>
    <x v="2"/>
    <x v="2"/>
    <s v=""/>
    <s v=""/>
    <m/>
  </r>
  <r>
    <n v="18.366666666666667"/>
    <d v="2015-06-30T00:00:00"/>
    <x v="4"/>
    <s v="Solidarities"/>
    <s v="Kachin"/>
    <s v="Waingmaw"/>
    <s v="Laiza Market 3 - Laiza Gat"/>
    <m/>
    <m/>
    <n v="825"/>
    <m/>
    <m/>
    <m/>
    <m/>
    <m/>
    <m/>
    <m/>
    <m/>
    <m/>
    <m/>
    <m/>
    <m/>
    <m/>
    <m/>
    <n v="0"/>
    <n v="0"/>
    <n v="0"/>
    <n v="0"/>
    <n v="0"/>
    <n v="0"/>
    <n v="0"/>
    <n v="0"/>
    <n v="0"/>
    <n v="0"/>
    <n v="0"/>
    <n v="0"/>
    <n v="0"/>
    <n v="0"/>
    <n v="0"/>
    <n v="0"/>
    <n v="0"/>
    <n v="0"/>
    <s v="MMR001CMP117"/>
    <x v="0"/>
    <x v="0"/>
    <s v="P2"/>
    <n v="0"/>
    <m/>
  </r>
  <r>
    <n v="26.633333333333333"/>
    <d v="2014-10-25T00:00:00"/>
    <x v="1"/>
    <s v="MRCS"/>
    <s v="Kachin"/>
    <s v="Hpakant"/>
    <s v="Dhama Rakhita, Nyein Chan Tar Yar Ward(Lon Khin)"/>
    <m/>
    <m/>
    <m/>
    <m/>
    <m/>
    <m/>
    <m/>
    <m/>
    <m/>
    <m/>
    <n v="214"/>
    <n v="112"/>
    <m/>
    <m/>
    <m/>
    <m/>
    <m/>
    <n v="0"/>
    <n v="0"/>
    <n v="0"/>
    <n v="0"/>
    <n v="0"/>
    <n v="0"/>
    <n v="0"/>
    <n v="0"/>
    <n v="0"/>
    <n v="0"/>
    <n v="0"/>
    <n v="0"/>
    <n v="0"/>
    <n v="0"/>
    <n v="1"/>
    <n v="0"/>
    <n v="0"/>
    <n v="0"/>
    <s v="MMR001CMP174"/>
    <x v="0"/>
    <x v="1"/>
    <s v="P4"/>
    <n v="0"/>
    <m/>
  </r>
  <r>
    <n v="27.433333333333334"/>
    <d v="2014-10-01T00:00:00"/>
    <x v="0"/>
    <s v="Shalom"/>
    <s v="Kachin"/>
    <s v="Hpakant"/>
    <s v="Dhama Rakhita, Nyein Chan Tar Yar Ward(Lon Khin)"/>
    <m/>
    <m/>
    <m/>
    <n v="130"/>
    <m/>
    <m/>
    <m/>
    <m/>
    <m/>
    <m/>
    <m/>
    <m/>
    <m/>
    <m/>
    <m/>
    <m/>
    <m/>
    <n v="0"/>
    <n v="0"/>
    <n v="0"/>
    <n v="0"/>
    <n v="0"/>
    <n v="0"/>
    <n v="0"/>
    <n v="0"/>
    <n v="0"/>
    <n v="0"/>
    <n v="0"/>
    <n v="0"/>
    <n v="0"/>
    <n v="0"/>
    <n v="0"/>
    <n v="0"/>
    <n v="0"/>
    <n v="0"/>
    <s v="MMR001CMP174"/>
    <x v="0"/>
    <x v="1"/>
    <s v="P4"/>
    <n v="0"/>
    <m/>
  </r>
  <r>
    <n v="47.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1"/>
    <s v="P4"/>
    <n v="1.4294367050272563E-3"/>
    <s v="No"/>
  </r>
  <r>
    <n v="47.56666666666667"/>
    <d v="2013-02-04T00:00:00"/>
    <x v="2"/>
    <s v="MRCS"/>
    <s v="Kachin"/>
    <s v="Hpakant"/>
    <s v="Dhama Rakhita, Nyein Chan Tar Yar Ward(Lon Khin)"/>
    <m/>
    <m/>
    <m/>
    <m/>
    <m/>
    <m/>
    <n v="58"/>
    <m/>
    <n v="0"/>
    <n v="0"/>
    <m/>
    <m/>
    <m/>
    <m/>
    <m/>
    <m/>
    <m/>
    <n v="0"/>
    <n v="0"/>
    <n v="0"/>
    <n v="0"/>
    <n v="0"/>
    <n v="0"/>
    <n v="0"/>
    <n v="0"/>
    <n v="0"/>
    <n v="0"/>
    <n v="0"/>
    <n v="0"/>
    <n v="0"/>
    <n v="0"/>
    <n v="0"/>
    <n v="0"/>
    <n v="0"/>
    <n v="0"/>
    <s v="MMR001CMP174"/>
    <x v="0"/>
    <x v="1"/>
    <s v="P4"/>
    <n v="1.4052089642640824E-3"/>
    <s v="No"/>
  </r>
  <r>
    <n v="48.733333333333334"/>
    <d v="2012-12-31T00:00:00"/>
    <x v="3"/>
    <s v="DRC"/>
    <s v="Kachin"/>
    <s v="Hpakant"/>
    <s v="Dhama Rakhita, Nyein Chan Tar Yar Ward(Lon Khin)"/>
    <n v="6"/>
    <m/>
    <m/>
    <m/>
    <m/>
    <m/>
    <m/>
    <m/>
    <n v="0"/>
    <n v="0"/>
    <m/>
    <m/>
    <m/>
    <m/>
    <m/>
    <m/>
    <m/>
    <n v="0"/>
    <n v="0"/>
    <n v="0"/>
    <n v="0"/>
    <n v="0"/>
    <n v="0"/>
    <n v="0"/>
    <n v="0"/>
    <n v="0"/>
    <n v="0"/>
    <n v="0"/>
    <n v="0"/>
    <n v="0"/>
    <n v="0"/>
    <n v="0"/>
    <n v="0"/>
    <n v="0"/>
    <n v="0"/>
    <s v="MMR001CMP174"/>
    <x v="0"/>
    <x v="1"/>
    <s v="P4"/>
    <n v="0"/>
    <s v="No"/>
  </r>
  <r>
    <n v="30.833333333333332"/>
    <d v="2014-06-21T00:00:00"/>
    <x v="8"/>
    <s v="MRCS"/>
    <s v="Kachin"/>
    <s v="Myitkyina"/>
    <s v="Du Kahtawng Qtr. 14"/>
    <m/>
    <m/>
    <m/>
    <m/>
    <m/>
    <m/>
    <m/>
    <m/>
    <m/>
    <m/>
    <m/>
    <m/>
    <m/>
    <n v="12"/>
    <m/>
    <m/>
    <m/>
    <n v="0"/>
    <n v="0"/>
    <n v="0"/>
    <n v="0"/>
    <n v="0"/>
    <n v="0"/>
    <n v="0"/>
    <n v="0"/>
    <n v="0"/>
    <n v="0"/>
    <n v="0"/>
    <n v="0"/>
    <n v="0"/>
    <n v="0"/>
    <n v="1"/>
    <n v="0"/>
    <n v="0"/>
    <n v="0"/>
    <s v="MMR001CMP012"/>
    <x v="0"/>
    <x v="1"/>
    <s v="P4"/>
    <n v="0"/>
    <m/>
  </r>
  <r>
    <n v="54.3"/>
    <d v="2012-07-17T00:00:00"/>
    <x v="0"/>
    <s v="UNHCR"/>
    <s v="Kachin"/>
    <s v="Myitkyina"/>
    <s v="Du Kahtawng Qtr. 14"/>
    <m/>
    <m/>
    <m/>
    <n v="5"/>
    <n v="5"/>
    <n v="5"/>
    <n v="5"/>
    <n v="5"/>
    <n v="5"/>
    <n v="5"/>
    <m/>
    <m/>
    <m/>
    <m/>
    <m/>
    <m/>
    <m/>
    <n v="0"/>
    <n v="0"/>
    <n v="0"/>
    <n v="0"/>
    <n v="0"/>
    <n v="0"/>
    <n v="0"/>
    <n v="0"/>
    <n v="0"/>
    <n v="0"/>
    <n v="0"/>
    <n v="0"/>
    <n v="0"/>
    <n v="0"/>
    <n v="0"/>
    <n v="0"/>
    <n v="0"/>
    <n v="0"/>
    <s v="MMR001CMP012"/>
    <x v="0"/>
    <x v="1"/>
    <s v="P4"/>
    <n v="1.2286521685710776E-4"/>
    <s v="No"/>
  </r>
  <r>
    <n v="62.9"/>
    <d v="2011-11-02T00:00:00"/>
    <x v="0"/>
    <s v="KBC"/>
    <s v="Kachin"/>
    <s v="Myitkyina"/>
    <s v="Du Kahtawng Qtr. 14"/>
    <m/>
    <m/>
    <m/>
    <n v="0"/>
    <n v="5"/>
    <n v="0"/>
    <n v="5"/>
    <n v="5"/>
    <n v="5"/>
    <n v="5"/>
    <m/>
    <m/>
    <m/>
    <m/>
    <m/>
    <m/>
    <m/>
    <n v="0"/>
    <n v="0"/>
    <n v="0"/>
    <n v="0"/>
    <n v="0"/>
    <n v="0"/>
    <n v="0"/>
    <n v="0"/>
    <n v="0"/>
    <n v="0"/>
    <n v="0"/>
    <n v="0"/>
    <n v="0"/>
    <n v="0"/>
    <n v="0"/>
    <n v="0"/>
    <n v="0"/>
    <n v="0"/>
    <s v="MMR001CMP012"/>
    <x v="0"/>
    <x v="1"/>
    <s v="P4"/>
    <n v="1.2286521685710776E-4"/>
    <s v="No"/>
  </r>
  <r>
    <n v="30.833333333333332"/>
    <d v="2014-06-21T00:00:00"/>
    <x v="8"/>
    <s v="MRCS"/>
    <s v="Kachin"/>
    <s v="Myitkyina"/>
    <s v="Du Kahtawng Qtr. 4"/>
    <m/>
    <m/>
    <m/>
    <m/>
    <m/>
    <m/>
    <m/>
    <m/>
    <m/>
    <m/>
    <m/>
    <m/>
    <m/>
    <n v="12"/>
    <m/>
    <m/>
    <m/>
    <n v="0"/>
    <n v="0"/>
    <n v="0"/>
    <n v="0"/>
    <n v="0"/>
    <n v="0"/>
    <n v="0"/>
    <n v="0"/>
    <n v="0"/>
    <n v="0"/>
    <n v="0"/>
    <n v="0"/>
    <n v="0"/>
    <n v="0"/>
    <n v="1"/>
    <n v="0"/>
    <n v="0"/>
    <n v="0"/>
    <s v="MMR001CMP010"/>
    <x v="0"/>
    <x v="1"/>
    <s v="P4"/>
    <n v="0"/>
    <m/>
  </r>
  <r>
    <n v="54.3"/>
    <d v="2012-07-17T00:00:00"/>
    <x v="0"/>
    <s v="UNHCR"/>
    <s v="Kachin"/>
    <s v="Myitkyina"/>
    <s v="Du Kahtawng Qtr. 4"/>
    <m/>
    <m/>
    <m/>
    <n v="6"/>
    <n v="6"/>
    <n v="6"/>
    <n v="6"/>
    <n v="6"/>
    <n v="6"/>
    <n v="6"/>
    <m/>
    <m/>
    <m/>
    <m/>
    <m/>
    <m/>
    <m/>
    <n v="0"/>
    <n v="0"/>
    <n v="0"/>
    <n v="0"/>
    <n v="0"/>
    <n v="0"/>
    <n v="0"/>
    <n v="0"/>
    <n v="0"/>
    <n v="0"/>
    <n v="0"/>
    <n v="0"/>
    <n v="0"/>
    <n v="0"/>
    <n v="0"/>
    <n v="0"/>
    <n v="0"/>
    <n v="0"/>
    <s v="MMR001CMP010"/>
    <x v="0"/>
    <x v="1"/>
    <s v="P4"/>
    <n v="1.474382602285293E-4"/>
    <s v="No"/>
  </r>
  <r>
    <n v="62.9"/>
    <d v="2011-11-02T00:00:00"/>
    <x v="0"/>
    <s v="KBC"/>
    <s v="Kachin"/>
    <s v="Myitkyina"/>
    <s v="Du Kahtawng Qtr. 4"/>
    <m/>
    <m/>
    <m/>
    <n v="0"/>
    <n v="6"/>
    <n v="0"/>
    <n v="6"/>
    <n v="6"/>
    <n v="6"/>
    <n v="6"/>
    <m/>
    <m/>
    <m/>
    <m/>
    <m/>
    <m/>
    <m/>
    <n v="0"/>
    <n v="0"/>
    <n v="0"/>
    <n v="0"/>
    <n v="0"/>
    <n v="0"/>
    <n v="0"/>
    <n v="0"/>
    <n v="0"/>
    <n v="0"/>
    <n v="0"/>
    <n v="0"/>
    <n v="0"/>
    <n v="0"/>
    <n v="0"/>
    <n v="0"/>
    <n v="0"/>
    <n v="0"/>
    <s v="MMR001CMP010"/>
    <x v="0"/>
    <x v="1"/>
    <s v="P4"/>
    <n v="1.474382602285293E-4"/>
    <s v="No"/>
  </r>
  <r>
    <n v="30.833333333333332"/>
    <d v="2014-06-21T00:00:00"/>
    <x v="8"/>
    <s v="MRCS"/>
    <s v="Kachin"/>
    <s v="Myitkyina"/>
    <s v="Du Kahtawng Qtr. 5"/>
    <m/>
    <m/>
    <m/>
    <m/>
    <m/>
    <m/>
    <m/>
    <m/>
    <m/>
    <m/>
    <m/>
    <m/>
    <m/>
    <n v="16"/>
    <m/>
    <m/>
    <m/>
    <n v="0"/>
    <n v="0"/>
    <n v="0"/>
    <n v="0"/>
    <n v="0"/>
    <n v="0"/>
    <n v="0"/>
    <n v="0"/>
    <n v="0"/>
    <n v="0"/>
    <n v="0"/>
    <n v="0"/>
    <n v="0"/>
    <n v="0"/>
    <n v="1"/>
    <n v="0"/>
    <n v="0"/>
    <n v="0"/>
    <s v="MMR001CMP011"/>
    <x v="0"/>
    <x v="1"/>
    <s v="P4"/>
    <n v="0"/>
    <m/>
  </r>
  <r>
    <n v="54.3"/>
    <d v="2012-07-17T00:00:00"/>
    <x v="0"/>
    <s v="UNHCR"/>
    <s v="Kachin"/>
    <s v="Myitkyina"/>
    <s v="Du Kahtawng Qtr. 5"/>
    <m/>
    <m/>
    <m/>
    <n v="6"/>
    <n v="6"/>
    <n v="6"/>
    <n v="6"/>
    <n v="6"/>
    <n v="6"/>
    <n v="6"/>
    <m/>
    <m/>
    <m/>
    <m/>
    <m/>
    <m/>
    <m/>
    <n v="0"/>
    <n v="0"/>
    <n v="0"/>
    <n v="0"/>
    <n v="0"/>
    <n v="0"/>
    <n v="0"/>
    <n v="0"/>
    <n v="0"/>
    <n v="0"/>
    <n v="0"/>
    <n v="0"/>
    <n v="0"/>
    <n v="0"/>
    <n v="0"/>
    <n v="0"/>
    <n v="0"/>
    <n v="0"/>
    <s v="MMR001CMP011"/>
    <x v="0"/>
    <x v="1"/>
    <s v="P4"/>
    <n v="1.474382602285293E-4"/>
    <s v="No"/>
  </r>
  <r>
    <n v="62.9"/>
    <d v="2011-11-02T00:00:00"/>
    <x v="0"/>
    <s v="KBC"/>
    <s v="Kachin"/>
    <s v="Myitkyina"/>
    <s v="Du Kahtawng Qtr. 5"/>
    <m/>
    <m/>
    <m/>
    <n v="39"/>
    <n v="8"/>
    <n v="39"/>
    <n v="8"/>
    <n v="8"/>
    <n v="8"/>
    <n v="8"/>
    <m/>
    <m/>
    <m/>
    <m/>
    <m/>
    <m/>
    <m/>
    <n v="0"/>
    <n v="0"/>
    <n v="0"/>
    <n v="0"/>
    <n v="0"/>
    <n v="0"/>
    <n v="0"/>
    <n v="0"/>
    <n v="0"/>
    <n v="0"/>
    <n v="0"/>
    <n v="0"/>
    <n v="0"/>
    <n v="0"/>
    <n v="0"/>
    <n v="0"/>
    <n v="0"/>
    <n v="0"/>
    <s v="MMR001CMP011"/>
    <x v="0"/>
    <x v="1"/>
    <s v="P4"/>
    <n v="1.965843469713724E-4"/>
    <s v="No"/>
  </r>
  <r>
    <n v="27.433333333333334"/>
    <d v="2014-10-01T00:00:00"/>
    <x v="0"/>
    <s v="KMSS"/>
    <s v="Kachin"/>
    <s v="Momauk"/>
    <s v="Dum Bung "/>
    <m/>
    <m/>
    <m/>
    <n v="238"/>
    <m/>
    <m/>
    <m/>
    <m/>
    <m/>
    <m/>
    <m/>
    <m/>
    <m/>
    <n v="238"/>
    <m/>
    <m/>
    <m/>
    <n v="0"/>
    <n v="0"/>
    <n v="0"/>
    <n v="0"/>
    <n v="0"/>
    <n v="0"/>
    <n v="0"/>
    <n v="0"/>
    <n v="0"/>
    <n v="0"/>
    <n v="0"/>
    <n v="0"/>
    <n v="0"/>
    <n v="0"/>
    <n v="1"/>
    <n v="0"/>
    <n v="0"/>
    <n v="0"/>
    <s v="MMR001CMP123"/>
    <x v="0"/>
    <x v="1"/>
    <s v="P2"/>
    <n v="0"/>
    <m/>
  </r>
  <r>
    <n v="35.733333333333334"/>
    <d v="2014-01-25T00:00:00"/>
    <x v="0"/>
    <s v="UNHCR"/>
    <s v="Kachin"/>
    <s v="Momauk"/>
    <s v="Dum Bung "/>
    <m/>
    <m/>
    <m/>
    <n v="62"/>
    <n v="31"/>
    <n v="62"/>
    <n v="31"/>
    <m/>
    <n v="31"/>
    <n v="155"/>
    <m/>
    <m/>
    <m/>
    <m/>
    <m/>
    <m/>
    <m/>
    <n v="0"/>
    <n v="0"/>
    <n v="0"/>
    <n v="0"/>
    <n v="0"/>
    <n v="0"/>
    <n v="0"/>
    <n v="0"/>
    <n v="0"/>
    <n v="0"/>
    <n v="0"/>
    <n v="0"/>
    <n v="0"/>
    <n v="0"/>
    <n v="0"/>
    <n v="0"/>
    <n v="0"/>
    <n v="0"/>
    <s v="MMR001CMP123"/>
    <x v="0"/>
    <x v="1"/>
    <s v="P2"/>
    <n v="7.6062420257140052E-4"/>
    <s v="No"/>
  </r>
  <r>
    <n v="19.366666666666667"/>
    <d v="2015-05-31T00:00:00"/>
    <x v="4"/>
    <s v="Solidarities"/>
    <s v="Kachin"/>
    <s v="Momauk"/>
    <s v="Ni Thaw Ka Monestry"/>
    <m/>
    <m/>
    <n v="34"/>
    <m/>
    <m/>
    <m/>
    <m/>
    <m/>
    <m/>
    <m/>
    <m/>
    <m/>
    <m/>
    <m/>
    <m/>
    <m/>
    <m/>
    <n v="0"/>
    <n v="0"/>
    <n v="0"/>
    <n v="0"/>
    <n v="0"/>
    <n v="0"/>
    <n v="0"/>
    <n v="0"/>
    <n v="0"/>
    <n v="0"/>
    <n v="0"/>
    <n v="0"/>
    <n v="0"/>
    <n v="0"/>
    <n v="0"/>
    <n v="0"/>
    <n v="0"/>
    <n v="0"/>
    <s v="MMR001CMP059"/>
    <x v="0"/>
    <x v="0"/>
    <s v="P4"/>
    <n v="0"/>
    <m/>
  </r>
  <r>
    <n v="36.166666666666664"/>
    <d v="2014-01-12T00:00:00"/>
    <x v="3"/>
    <s v="KMSS"/>
    <s v="Kachin"/>
    <s v="Momauk"/>
    <s v="Dum Bung "/>
    <m/>
    <m/>
    <m/>
    <m/>
    <m/>
    <m/>
    <m/>
    <n v="125"/>
    <m/>
    <m/>
    <m/>
    <m/>
    <m/>
    <m/>
    <m/>
    <m/>
    <m/>
    <n v="0"/>
    <n v="0"/>
    <n v="0"/>
    <n v="0"/>
    <n v="0"/>
    <n v="0"/>
    <n v="0"/>
    <n v="0"/>
    <n v="0"/>
    <n v="0"/>
    <n v="0"/>
    <n v="0"/>
    <n v="0"/>
    <n v="0"/>
    <n v="0"/>
    <n v="0"/>
    <n v="0"/>
    <n v="0"/>
    <s v="MMR001CMP123"/>
    <x v="0"/>
    <x v="1"/>
    <s v="P2"/>
    <n v="0"/>
    <s v="No"/>
  </r>
  <r>
    <n v="36.166666666666664"/>
    <d v="2014-01-12T00:00:00"/>
    <x v="3"/>
    <s v="KMSS"/>
    <s v="Kachin"/>
    <s v="Momauk"/>
    <s v="Dum Bung "/>
    <m/>
    <m/>
    <m/>
    <m/>
    <m/>
    <m/>
    <m/>
    <m/>
    <m/>
    <m/>
    <n v="393"/>
    <n v="232"/>
    <m/>
    <m/>
    <m/>
    <m/>
    <m/>
    <n v="0"/>
    <n v="0"/>
    <n v="0"/>
    <n v="0"/>
    <n v="0"/>
    <n v="0"/>
    <n v="0"/>
    <n v="0"/>
    <n v="0"/>
    <n v="0"/>
    <n v="0"/>
    <n v="0"/>
    <n v="0"/>
    <n v="0"/>
    <n v="1"/>
    <n v="0"/>
    <n v="0"/>
    <n v="0"/>
    <s v="MMR001CMP123"/>
    <x v="0"/>
    <x v="1"/>
    <s v="P2"/>
    <n v="0"/>
    <s v="No"/>
  </r>
  <r>
    <n v="37.43333333333333"/>
    <d v="2013-12-05T00:00:00"/>
    <x v="4"/>
    <s v="KBC"/>
    <s v="Kachin"/>
    <s v="Momauk"/>
    <s v="Dum Bung "/>
    <m/>
    <m/>
    <m/>
    <m/>
    <m/>
    <m/>
    <m/>
    <m/>
    <m/>
    <m/>
    <n v="120"/>
    <n v="240"/>
    <n v="720"/>
    <n v="360"/>
    <m/>
    <m/>
    <m/>
    <n v="0"/>
    <n v="0"/>
    <n v="0"/>
    <n v="0"/>
    <n v="0"/>
    <n v="0"/>
    <n v="0"/>
    <n v="0"/>
    <n v="0"/>
    <n v="0"/>
    <n v="0"/>
    <n v="0"/>
    <n v="0"/>
    <n v="0"/>
    <n v="1"/>
    <n v="0"/>
    <n v="0"/>
    <n v="0"/>
    <s v="MMR001CMP123"/>
    <x v="0"/>
    <x v="1"/>
    <s v="P2"/>
    <n v="0"/>
    <m/>
  </r>
  <r>
    <n v="19.433333333333334"/>
    <d v="2015-05-29T00:00:00"/>
    <x v="4"/>
    <s v="Solidarities"/>
    <s v="Kachin"/>
    <s v="Momauk"/>
    <s v="Edin"/>
    <m/>
    <m/>
    <n v="103"/>
    <m/>
    <m/>
    <m/>
    <m/>
    <m/>
    <m/>
    <m/>
    <m/>
    <m/>
    <m/>
    <m/>
    <m/>
    <m/>
    <m/>
    <n v="0"/>
    <n v="0"/>
    <n v="0"/>
    <n v="0"/>
    <n v="0"/>
    <n v="0"/>
    <n v="0"/>
    <n v="0"/>
    <n v="0"/>
    <n v="0"/>
    <n v="0"/>
    <n v="0"/>
    <n v="0"/>
    <n v="0"/>
    <n v="0"/>
    <n v="0"/>
    <n v="0"/>
    <n v="0"/>
    <s v=""/>
    <x v="2"/>
    <x v="2"/>
    <s v=""/>
    <s v=""/>
    <m/>
  </r>
  <r>
    <n v="37.6"/>
    <d v="2013-11-30T00:00:00"/>
    <x v="4"/>
    <s v="KBC"/>
    <s v="Kachin"/>
    <s v="Momauk"/>
    <s v="Dum Bung "/>
    <m/>
    <m/>
    <m/>
    <m/>
    <m/>
    <m/>
    <m/>
    <m/>
    <m/>
    <m/>
    <m/>
    <m/>
    <m/>
    <m/>
    <m/>
    <m/>
    <m/>
    <n v="0"/>
    <n v="0"/>
    <n v="0"/>
    <n v="0"/>
    <n v="0"/>
    <n v="0"/>
    <n v="0"/>
    <n v="0"/>
    <n v="0"/>
    <n v="0"/>
    <n v="0"/>
    <n v="0"/>
    <n v="0"/>
    <n v="0"/>
    <n v="0"/>
    <n v="0"/>
    <n v="0"/>
    <n v="0"/>
    <s v="MMR001CMP123"/>
    <x v="0"/>
    <x v="1"/>
    <s v="P2"/>
    <n v="0"/>
    <s v="No"/>
  </r>
  <r>
    <n v="37.6"/>
    <d v="2013-11-30T00:00:00"/>
    <x v="0"/>
    <s v="UNHCR"/>
    <s v="Kachin"/>
    <s v="Momauk"/>
    <s v="Dum Bung "/>
    <m/>
    <m/>
    <m/>
    <m/>
    <m/>
    <m/>
    <m/>
    <m/>
    <m/>
    <m/>
    <m/>
    <m/>
    <m/>
    <m/>
    <m/>
    <m/>
    <m/>
    <n v="0"/>
    <n v="0"/>
    <n v="0"/>
    <n v="0"/>
    <n v="0"/>
    <n v="0"/>
    <n v="0"/>
    <n v="0"/>
    <n v="0"/>
    <n v="0"/>
    <n v="0"/>
    <n v="0"/>
    <n v="0"/>
    <n v="0"/>
    <n v="0"/>
    <n v="0"/>
    <n v="0"/>
    <n v="0"/>
    <s v="MMR001CMP123"/>
    <x v="0"/>
    <x v="1"/>
    <s v="P2"/>
    <n v="0"/>
    <s v="No"/>
  </r>
  <r>
    <n v="54.266666666666666"/>
    <d v="2012-07-18T00:00:00"/>
    <x v="4"/>
    <s v="LDO"/>
    <s v="Kachin"/>
    <s v="Momauk"/>
    <s v="Dum Bung "/>
    <n v="33"/>
    <m/>
    <m/>
    <m/>
    <m/>
    <m/>
    <m/>
    <m/>
    <m/>
    <m/>
    <m/>
    <m/>
    <m/>
    <m/>
    <m/>
    <m/>
    <m/>
    <n v="0"/>
    <n v="0"/>
    <n v="0"/>
    <n v="0"/>
    <n v="0"/>
    <n v="0"/>
    <n v="0"/>
    <n v="0"/>
    <n v="0"/>
    <n v="0"/>
    <n v="0"/>
    <n v="0"/>
    <n v="0"/>
    <n v="0"/>
    <n v="0"/>
    <n v="0"/>
    <n v="0"/>
    <n v="0"/>
    <s v="MMR001CMP123"/>
    <x v="0"/>
    <x v="1"/>
    <s v="P2"/>
    <n v="0"/>
    <m/>
  </r>
  <r>
    <n v="54.3"/>
    <d v="2012-07-17T00:00:00"/>
    <x v="0"/>
    <s v="UNHCR"/>
    <s v="Kachin"/>
    <s v="Momauk"/>
    <s v="Dum Bung "/>
    <m/>
    <m/>
    <m/>
    <n v="380"/>
    <n v="156"/>
    <n v="380"/>
    <n v="156"/>
    <n v="156"/>
    <n v="156"/>
    <n v="156"/>
    <m/>
    <m/>
    <m/>
    <m/>
    <m/>
    <m/>
    <m/>
    <n v="0"/>
    <n v="0"/>
    <n v="0"/>
    <n v="0"/>
    <n v="0"/>
    <n v="0"/>
    <n v="0"/>
    <n v="0"/>
    <n v="0"/>
    <n v="0"/>
    <n v="0"/>
    <n v="0"/>
    <n v="0"/>
    <n v="0"/>
    <n v="0"/>
    <n v="0"/>
    <n v="0"/>
    <n v="0"/>
    <s v="MMR001CMP123"/>
    <x v="0"/>
    <x v="1"/>
    <s v="P2"/>
    <n v="3.8276572774560802E-3"/>
    <s v="No"/>
  </r>
  <r>
    <n v="55.1"/>
    <d v="2012-06-23T00:00:00"/>
    <x v="0"/>
    <s v="UNHCR"/>
    <s v="Kachin"/>
    <s v="Momauk"/>
    <s v="Dum Bung "/>
    <m/>
    <m/>
    <m/>
    <n v="24"/>
    <n v="13"/>
    <n v="24"/>
    <n v="13"/>
    <n v="13"/>
    <n v="13"/>
    <n v="13"/>
    <m/>
    <m/>
    <m/>
    <m/>
    <m/>
    <m/>
    <m/>
    <n v="0"/>
    <n v="0"/>
    <n v="0"/>
    <n v="0"/>
    <n v="0"/>
    <n v="0"/>
    <n v="0"/>
    <n v="0"/>
    <n v="0"/>
    <n v="0"/>
    <n v="0"/>
    <n v="0"/>
    <n v="0"/>
    <n v="0"/>
    <n v="0"/>
    <n v="0"/>
    <n v="0"/>
    <n v="0"/>
    <s v="MMR001CMP123"/>
    <x v="0"/>
    <x v="1"/>
    <s v="P2"/>
    <n v="3.1897143978800666E-4"/>
    <s v="No"/>
  </r>
  <r>
    <n v="57.06666666666667"/>
    <d v="2012-04-25T00:00:00"/>
    <x v="0"/>
    <s v="UNHCR"/>
    <s v="Kachin"/>
    <s v="Momauk"/>
    <s v="Dum Bung "/>
    <m/>
    <m/>
    <m/>
    <n v="198"/>
    <n v="99"/>
    <n v="198"/>
    <n v="99"/>
    <n v="99"/>
    <n v="99"/>
    <n v="99"/>
    <m/>
    <m/>
    <m/>
    <m/>
    <m/>
    <m/>
    <m/>
    <n v="0"/>
    <n v="0"/>
    <n v="0"/>
    <n v="0"/>
    <n v="0"/>
    <n v="0"/>
    <n v="0"/>
    <n v="0"/>
    <n v="0"/>
    <n v="0"/>
    <n v="0"/>
    <n v="0"/>
    <n v="0"/>
    <n v="0"/>
    <n v="0"/>
    <n v="0"/>
    <n v="0"/>
    <n v="0"/>
    <s v="MMR001CMP123"/>
    <x v="0"/>
    <x v="1"/>
    <s v="P2"/>
    <n v="2.429090195308666E-3"/>
    <s v="No"/>
  </r>
  <r>
    <n v="26.333333333333332"/>
    <d v="2014-11-03T00:00:00"/>
    <x v="0"/>
    <s v="Shalom"/>
    <s v="Kachin"/>
    <s v="Waingmaw"/>
    <s v="Hkat Cho "/>
    <m/>
    <m/>
    <n v="15"/>
    <n v="30"/>
    <n v="15"/>
    <n v="30"/>
    <n v="15"/>
    <m/>
    <n v="15"/>
    <n v="75"/>
    <m/>
    <m/>
    <m/>
    <m/>
    <m/>
    <m/>
    <m/>
    <n v="0"/>
    <n v="0"/>
    <n v="0"/>
    <n v="0"/>
    <n v="0"/>
    <n v="0"/>
    <n v="0"/>
    <n v="0"/>
    <n v="0"/>
    <n v="0"/>
    <n v="0"/>
    <n v="0"/>
    <n v="0"/>
    <n v="0"/>
    <n v="0"/>
    <n v="0"/>
    <n v="0"/>
    <n v="0"/>
    <s v="MMR001CMP028"/>
    <x v="0"/>
    <x v="1"/>
    <s v="P4"/>
    <n v="3.6859565057132326E-4"/>
    <m/>
  </r>
  <r>
    <n v="27.433333333333334"/>
    <d v="2014-10-01T00:00:00"/>
    <x v="0"/>
    <s v="Shalom"/>
    <s v="Kachin"/>
    <s v="Waingmaw"/>
    <s v="Hkat Cho "/>
    <m/>
    <m/>
    <m/>
    <n v="268"/>
    <m/>
    <m/>
    <m/>
    <m/>
    <m/>
    <m/>
    <m/>
    <m/>
    <m/>
    <m/>
    <m/>
    <m/>
    <m/>
    <n v="0"/>
    <n v="0"/>
    <n v="0"/>
    <n v="0"/>
    <n v="0"/>
    <n v="0"/>
    <n v="0"/>
    <n v="0"/>
    <n v="0"/>
    <n v="0"/>
    <n v="0"/>
    <n v="0"/>
    <n v="0"/>
    <n v="0"/>
    <n v="0"/>
    <n v="0"/>
    <n v="0"/>
    <n v="0"/>
    <s v="MMR001CMP028"/>
    <x v="0"/>
    <x v="1"/>
    <s v="P4"/>
    <n v="0"/>
    <m/>
  </r>
  <r>
    <n v="31.666666666666668"/>
    <d v="2014-05-27T00:00:00"/>
    <x v="0"/>
    <s v="Shalom"/>
    <s v="Kachin"/>
    <s v="Waingmaw"/>
    <s v="Hkat Cho "/>
    <m/>
    <m/>
    <n v="2"/>
    <n v="1"/>
    <n v="2"/>
    <n v="1"/>
    <m/>
    <n v="1"/>
    <n v="5"/>
    <m/>
    <m/>
    <m/>
    <m/>
    <m/>
    <m/>
    <m/>
    <m/>
    <n v="0"/>
    <n v="0"/>
    <n v="0"/>
    <n v="0"/>
    <n v="0"/>
    <n v="0"/>
    <n v="0"/>
    <n v="0"/>
    <n v="0"/>
    <n v="0"/>
    <n v="0"/>
    <n v="0"/>
    <n v="0"/>
    <n v="0"/>
    <n v="0"/>
    <n v="0"/>
    <n v="0"/>
    <n v="0"/>
    <s v="MMR001CMP028"/>
    <x v="0"/>
    <x v="1"/>
    <s v="P4"/>
    <n v="0"/>
    <m/>
  </r>
  <r>
    <n v="31.733333333333334"/>
    <d v="2014-05-25T00:00:00"/>
    <x v="8"/>
    <s v="MRCS"/>
    <s v="Kachin"/>
    <s v="Waingmaw"/>
    <s v="Hkat Cho "/>
    <m/>
    <m/>
    <m/>
    <m/>
    <m/>
    <m/>
    <m/>
    <m/>
    <m/>
    <m/>
    <m/>
    <m/>
    <m/>
    <n v="224"/>
    <m/>
    <m/>
    <m/>
    <n v="0"/>
    <n v="0"/>
    <n v="0"/>
    <n v="0"/>
    <n v="0"/>
    <n v="0"/>
    <n v="0"/>
    <n v="0"/>
    <n v="0"/>
    <n v="0"/>
    <n v="0"/>
    <n v="0"/>
    <n v="0"/>
    <n v="0"/>
    <n v="1"/>
    <n v="0"/>
    <n v="0"/>
    <n v="0"/>
    <s v="MMR001CMP028"/>
    <x v="0"/>
    <x v="1"/>
    <s v="P4"/>
    <n v="0"/>
    <m/>
  </r>
  <r>
    <n v="21.3"/>
    <d v="2015-04-03T00:00:00"/>
    <x v="0"/>
    <s v="Shalom-BM"/>
    <s v="Kachin"/>
    <s v="Bhamo"/>
    <s v="Lisu Baptist Church"/>
    <m/>
    <m/>
    <m/>
    <m/>
    <m/>
    <n v="15"/>
    <m/>
    <m/>
    <n v="26"/>
    <n v="720"/>
    <m/>
    <m/>
    <m/>
    <m/>
    <n v="26"/>
    <m/>
    <m/>
    <n v="0"/>
    <n v="0"/>
    <n v="0"/>
    <n v="0"/>
    <n v="0"/>
    <n v="0"/>
    <n v="0"/>
    <n v="0"/>
    <n v="0"/>
    <n v="0"/>
    <n v="0"/>
    <n v="0"/>
    <n v="0"/>
    <n v="0"/>
    <n v="0"/>
    <n v="0"/>
    <n v="0"/>
    <n v="0"/>
    <s v=""/>
    <x v="2"/>
    <x v="2"/>
    <s v=""/>
    <s v=""/>
    <s v="No"/>
  </r>
  <r>
    <n v="21.3"/>
    <d v="2015-04-03T00:00:00"/>
    <x v="0"/>
    <s v="Shalom"/>
    <s v="Kachin"/>
    <s v="Momauk"/>
    <s v="Mandalay Monestry"/>
    <m/>
    <m/>
    <m/>
    <m/>
    <m/>
    <m/>
    <m/>
    <m/>
    <m/>
    <m/>
    <m/>
    <m/>
    <m/>
    <m/>
    <m/>
    <m/>
    <m/>
    <n v="0"/>
    <n v="0"/>
    <n v="0"/>
    <n v="0"/>
    <n v="0"/>
    <n v="0"/>
    <n v="0"/>
    <n v="0"/>
    <n v="0"/>
    <n v="0"/>
    <n v="0"/>
    <n v="0"/>
    <n v="0"/>
    <n v="0"/>
    <n v="0"/>
    <n v="0"/>
    <n v="0"/>
    <n v="0"/>
    <s v="MMR001CMP058"/>
    <x v="0"/>
    <x v="0"/>
    <s v="P4"/>
    <n v="0"/>
    <s v="No"/>
  </r>
  <r>
    <n v="37"/>
    <d v="2013-12-18T00:00:00"/>
    <x v="4"/>
    <s v="KBC"/>
    <s v="Kachin"/>
    <s v="Waingmaw"/>
    <s v="Hkat Cho "/>
    <m/>
    <m/>
    <m/>
    <m/>
    <m/>
    <m/>
    <m/>
    <m/>
    <m/>
    <m/>
    <n v="134"/>
    <n v="238"/>
    <n v="744"/>
    <n v="372"/>
    <m/>
    <m/>
    <m/>
    <n v="0"/>
    <n v="0"/>
    <n v="0"/>
    <n v="0"/>
    <n v="0"/>
    <n v="0"/>
    <n v="0"/>
    <n v="0"/>
    <n v="0"/>
    <n v="0"/>
    <n v="0"/>
    <n v="0"/>
    <n v="0"/>
    <n v="0"/>
    <n v="1"/>
    <n v="0"/>
    <n v="0"/>
    <n v="0"/>
    <s v="MMR001CMP028"/>
    <x v="0"/>
    <x v="1"/>
    <s v="P4"/>
    <n v="0"/>
    <m/>
  </r>
  <r>
    <n v="37.6"/>
    <d v="2013-11-30T00:00:00"/>
    <x v="4"/>
    <s v="KBC"/>
    <s v="Kachin"/>
    <s v="Waingmaw"/>
    <s v="Hkat Cho "/>
    <m/>
    <m/>
    <m/>
    <m/>
    <m/>
    <m/>
    <m/>
    <m/>
    <m/>
    <m/>
    <m/>
    <m/>
    <m/>
    <m/>
    <m/>
    <m/>
    <m/>
    <n v="0"/>
    <n v="0"/>
    <n v="0"/>
    <n v="0"/>
    <n v="0"/>
    <n v="0"/>
    <n v="0"/>
    <n v="0"/>
    <n v="0"/>
    <n v="0"/>
    <n v="0"/>
    <n v="0"/>
    <n v="0"/>
    <n v="0"/>
    <n v="0"/>
    <n v="0"/>
    <n v="0"/>
    <n v="0"/>
    <s v="MMR001CMP028"/>
    <x v="0"/>
    <x v="1"/>
    <s v="P4"/>
    <n v="0"/>
    <s v="No"/>
  </r>
  <r>
    <n v="21.3"/>
    <d v="2015-04-03T00:00:00"/>
    <x v="0"/>
    <s v="Shalom"/>
    <s v="Kachin"/>
    <s v="Momauk"/>
    <s v="Ni Thaw Ka Monestry"/>
    <m/>
    <m/>
    <m/>
    <n v="105"/>
    <n v="26"/>
    <n v="308"/>
    <n v="29"/>
    <m/>
    <m/>
    <n v="69"/>
    <m/>
    <m/>
    <m/>
    <m/>
    <m/>
    <m/>
    <m/>
    <n v="0"/>
    <n v="0"/>
    <n v="0"/>
    <n v="0"/>
    <n v="0"/>
    <n v="0"/>
    <n v="0"/>
    <n v="0"/>
    <n v="0"/>
    <n v="0"/>
    <n v="0"/>
    <n v="0"/>
    <n v="0"/>
    <n v="0"/>
    <n v="0"/>
    <n v="0"/>
    <n v="0"/>
    <n v="0"/>
    <s v="MMR001CMP059"/>
    <x v="0"/>
    <x v="0"/>
    <s v="P4"/>
    <n v="7.1048827694343043E-4"/>
    <s v="No"/>
  </r>
  <r>
    <n v="21.5"/>
    <d v="2015-03-28T00:00:00"/>
    <x v="0"/>
    <s v="KMSS-BMO"/>
    <s v="Kachin"/>
    <s v="Mansi"/>
    <s v="Bum Tsit Pa Camp II"/>
    <m/>
    <m/>
    <m/>
    <m/>
    <m/>
    <n v="704"/>
    <m/>
    <m/>
    <n v="9"/>
    <m/>
    <m/>
    <m/>
    <m/>
    <m/>
    <m/>
    <m/>
    <m/>
    <n v="0"/>
    <n v="0"/>
    <n v="0"/>
    <n v="0"/>
    <n v="0"/>
    <n v="0"/>
    <n v="0"/>
    <n v="0"/>
    <n v="0"/>
    <n v="0"/>
    <n v="0"/>
    <n v="0"/>
    <n v="0"/>
    <n v="0"/>
    <n v="0"/>
    <n v="0"/>
    <n v="0"/>
    <n v="0"/>
    <s v="MMR001CMP226"/>
    <x v="0"/>
    <x v="0"/>
    <s v="P2"/>
    <n v="0"/>
    <s v="No"/>
  </r>
  <r>
    <n v="46.833333333333336"/>
    <d v="2013-02-26T00:00:00"/>
    <x v="2"/>
    <s v="MRCS"/>
    <s v="Kachin"/>
    <s v="Waingmaw"/>
    <s v="Hkat Cho "/>
    <m/>
    <m/>
    <n v="136"/>
    <m/>
    <n v="66"/>
    <m/>
    <n v="70"/>
    <m/>
    <n v="0"/>
    <n v="0"/>
    <m/>
    <m/>
    <m/>
    <m/>
    <m/>
    <m/>
    <m/>
    <n v="0"/>
    <n v="0"/>
    <n v="0"/>
    <n v="0"/>
    <n v="0"/>
    <n v="0"/>
    <n v="0"/>
    <n v="0"/>
    <n v="0"/>
    <n v="0"/>
    <n v="0"/>
    <n v="0"/>
    <n v="0"/>
    <n v="0"/>
    <n v="0"/>
    <n v="0"/>
    <n v="0"/>
    <n v="0"/>
    <s v="MMR001CMP028"/>
    <x v="0"/>
    <x v="1"/>
    <s v="P4"/>
    <n v="1.7201130359995086E-3"/>
    <s v="No"/>
  </r>
  <r>
    <n v="46.866666666666667"/>
    <d v="2013-02-25T00:00:00"/>
    <x v="2"/>
    <s v="MRCS"/>
    <s v="Kachin"/>
    <s v="Waingmaw"/>
    <s v="Hkat Cho "/>
    <m/>
    <m/>
    <m/>
    <m/>
    <n v="1"/>
    <m/>
    <m/>
    <m/>
    <n v="0"/>
    <n v="0"/>
    <m/>
    <m/>
    <m/>
    <m/>
    <m/>
    <m/>
    <m/>
    <n v="0"/>
    <n v="0"/>
    <n v="0"/>
    <n v="0"/>
    <n v="0"/>
    <n v="0"/>
    <n v="0"/>
    <n v="0"/>
    <n v="0"/>
    <n v="0"/>
    <n v="0"/>
    <n v="0"/>
    <n v="0"/>
    <n v="0"/>
    <n v="0"/>
    <n v="0"/>
    <n v="0"/>
    <n v="0"/>
    <s v="MMR001CMP028"/>
    <x v="0"/>
    <x v="1"/>
    <s v="P4"/>
    <n v="0"/>
    <s v="No"/>
  </r>
  <r>
    <n v="21.6"/>
    <d v="2015-03-25T00:00:00"/>
    <x v="4"/>
    <s v="Solidarities"/>
    <s v="Kachin"/>
    <s v="Momauk"/>
    <s v="Edin"/>
    <m/>
    <m/>
    <m/>
    <m/>
    <m/>
    <m/>
    <m/>
    <m/>
    <m/>
    <m/>
    <m/>
    <m/>
    <m/>
    <m/>
    <m/>
    <n v="3"/>
    <m/>
    <n v="0"/>
    <n v="0"/>
    <n v="0"/>
    <n v="0"/>
    <n v="0"/>
    <n v="0"/>
    <n v="0"/>
    <n v="0"/>
    <n v="0"/>
    <n v="0"/>
    <n v="0"/>
    <n v="0"/>
    <n v="0"/>
    <n v="0"/>
    <n v="0"/>
    <n v="0"/>
    <n v="0"/>
    <n v="0"/>
    <s v=""/>
    <x v="2"/>
    <x v="2"/>
    <s v=""/>
    <s v=""/>
    <m/>
  </r>
  <r>
    <n v="21.6"/>
    <d v="2015-03-25T00:00:00"/>
    <x v="0"/>
    <s v="UNHCR"/>
    <s v="Kachin"/>
    <s v="Mansi"/>
    <s v="Lana Zup Ja and Bumtsit pa (1) and (2)"/>
    <m/>
    <m/>
    <m/>
    <n v="1621"/>
    <m/>
    <m/>
    <m/>
    <m/>
    <m/>
    <m/>
    <m/>
    <m/>
    <m/>
    <m/>
    <m/>
    <m/>
    <m/>
    <n v="0"/>
    <n v="0"/>
    <n v="0"/>
    <n v="0"/>
    <n v="0"/>
    <n v="0"/>
    <n v="0"/>
    <n v="0"/>
    <n v="0"/>
    <n v="0"/>
    <n v="0"/>
    <n v="0"/>
    <n v="0"/>
    <n v="0"/>
    <n v="0"/>
    <n v="0"/>
    <n v="0"/>
    <n v="0"/>
    <s v=""/>
    <x v="2"/>
    <x v="2"/>
    <s v=""/>
    <s v=""/>
    <s v="No"/>
  </r>
  <r>
    <n v="21.6"/>
    <d v="2015-03-25T00:00:00"/>
    <x v="0"/>
    <s v="UNHCR"/>
    <s v="Kachin"/>
    <s v="Bhamo"/>
    <s v="Nhkawng Pa camp and Pa Kahtawng camp thru cross line mission with KMSS-Bhamo"/>
    <m/>
    <m/>
    <m/>
    <m/>
    <m/>
    <m/>
    <m/>
    <m/>
    <m/>
    <m/>
    <n v="2086"/>
    <n v="3036"/>
    <m/>
    <m/>
    <m/>
    <m/>
    <m/>
    <n v="0"/>
    <n v="0"/>
    <n v="0"/>
    <n v="0"/>
    <n v="0"/>
    <n v="0"/>
    <n v="0"/>
    <n v="0"/>
    <n v="0"/>
    <n v="0"/>
    <n v="0"/>
    <n v="0"/>
    <n v="0"/>
    <n v="0"/>
    <n v="1"/>
    <n v="0"/>
    <n v="0"/>
    <n v="0"/>
    <s v=""/>
    <x v="2"/>
    <x v="2"/>
    <s v=""/>
    <s v=""/>
    <s v="No"/>
  </r>
  <r>
    <n v="21.6"/>
    <d v="2015-03-25T00:00:00"/>
    <x v="4"/>
    <s v="Solidarities"/>
    <s v="Kachin"/>
    <s v="Momauk"/>
    <s v="Ni Thaw Ka Monestry"/>
    <m/>
    <m/>
    <m/>
    <m/>
    <m/>
    <m/>
    <m/>
    <m/>
    <m/>
    <m/>
    <m/>
    <m/>
    <m/>
    <m/>
    <m/>
    <n v="1"/>
    <m/>
    <n v="0"/>
    <n v="0"/>
    <n v="0"/>
    <n v="0"/>
    <n v="0"/>
    <n v="0"/>
    <n v="0"/>
    <n v="0"/>
    <n v="0"/>
    <n v="0"/>
    <n v="0"/>
    <n v="0"/>
    <n v="0"/>
    <n v="0"/>
    <n v="0"/>
    <n v="0"/>
    <n v="0"/>
    <n v="0"/>
    <s v="MMR001CMP059"/>
    <x v="0"/>
    <x v="0"/>
    <s v="P4"/>
    <n v="0"/>
    <m/>
  </r>
  <r>
    <n v="21.9"/>
    <d v="2015-03-16T00:00:00"/>
    <x v="0"/>
    <s v="UNHCR"/>
    <s v="Kachin"/>
    <s v="Bhamo"/>
    <s v="Nhkawng Pa camp and Pa Kahtawng camp thru cross line mission with KMSS-Bhamo"/>
    <m/>
    <m/>
    <m/>
    <m/>
    <m/>
    <m/>
    <m/>
    <m/>
    <m/>
    <m/>
    <n v="2460"/>
    <n v="3600"/>
    <m/>
    <m/>
    <m/>
    <m/>
    <m/>
    <n v="0"/>
    <n v="0"/>
    <n v="0"/>
    <n v="0"/>
    <n v="0"/>
    <n v="0"/>
    <n v="0"/>
    <n v="0"/>
    <n v="0"/>
    <n v="0"/>
    <n v="0"/>
    <n v="0"/>
    <n v="0"/>
    <n v="0"/>
    <n v="1"/>
    <n v="0"/>
    <n v="0"/>
    <n v="0"/>
    <s v=""/>
    <x v="2"/>
    <x v="2"/>
    <s v=""/>
    <s v=""/>
    <s v="No"/>
  </r>
  <r>
    <n v="47.7"/>
    <d v="2013-01-31T00:00:00"/>
    <x v="9"/>
    <s v="World Vision"/>
    <s v="Kachin"/>
    <s v="Waingmaw"/>
    <s v="Hkat Cho "/>
    <m/>
    <m/>
    <m/>
    <m/>
    <m/>
    <n v="256"/>
    <m/>
    <m/>
    <n v="0"/>
    <n v="0"/>
    <m/>
    <m/>
    <m/>
    <m/>
    <m/>
    <m/>
    <m/>
    <n v="0"/>
    <n v="0"/>
    <n v="0"/>
    <n v="0"/>
    <n v="0"/>
    <n v="0"/>
    <n v="0"/>
    <n v="0"/>
    <n v="0"/>
    <n v="0"/>
    <n v="0"/>
    <n v="0"/>
    <n v="0"/>
    <n v="0"/>
    <n v="0"/>
    <n v="0"/>
    <n v="0"/>
    <n v="0"/>
    <s v="MMR001CMP028"/>
    <x v="0"/>
    <x v="1"/>
    <s v="P4"/>
    <n v="0"/>
    <s v="No"/>
  </r>
  <r>
    <n v="48.733333333333334"/>
    <d v="2012-12-31T00:00:00"/>
    <x v="3"/>
    <s v="DRC"/>
    <s v="Kachin"/>
    <s v="Waingmaw"/>
    <s v="Hkat Cho "/>
    <n v="136"/>
    <m/>
    <m/>
    <m/>
    <m/>
    <m/>
    <m/>
    <m/>
    <n v="0"/>
    <n v="0"/>
    <m/>
    <m/>
    <m/>
    <m/>
    <m/>
    <m/>
    <m/>
    <n v="0"/>
    <n v="0"/>
    <n v="0"/>
    <n v="0"/>
    <n v="0"/>
    <n v="0"/>
    <n v="0"/>
    <n v="0"/>
    <n v="0"/>
    <n v="0"/>
    <n v="0"/>
    <n v="0"/>
    <n v="0"/>
    <n v="0"/>
    <n v="0"/>
    <n v="0"/>
    <n v="0"/>
    <n v="0"/>
    <s v="MMR001CMP028"/>
    <x v="0"/>
    <x v="1"/>
    <s v="P4"/>
    <n v="0"/>
    <s v="No"/>
  </r>
  <r>
    <n v="54.43333333333333"/>
    <d v="2012-07-13T00:00:00"/>
    <x v="0"/>
    <s v="UNHCR"/>
    <s v="Kachin"/>
    <s v="Waingmaw"/>
    <s v="Hkat Cho "/>
    <m/>
    <m/>
    <m/>
    <n v="9"/>
    <n v="9"/>
    <n v="9"/>
    <n v="9"/>
    <n v="9"/>
    <n v="9"/>
    <n v="9"/>
    <m/>
    <m/>
    <m/>
    <m/>
    <m/>
    <m/>
    <m/>
    <n v="0"/>
    <n v="0"/>
    <n v="0"/>
    <n v="0"/>
    <n v="0"/>
    <n v="0"/>
    <n v="0"/>
    <n v="0"/>
    <n v="0"/>
    <n v="0"/>
    <n v="0"/>
    <n v="0"/>
    <n v="0"/>
    <n v="0"/>
    <n v="0"/>
    <n v="0"/>
    <n v="0"/>
    <n v="0"/>
    <s v="MMR001CMP028"/>
    <x v="0"/>
    <x v="1"/>
    <s v="P4"/>
    <n v="2.2115739034279396E-4"/>
    <s v="No"/>
  </r>
  <r>
    <n v="61.033333333333331"/>
    <d v="2011-12-28T00:00:00"/>
    <x v="0"/>
    <s v="Shan Community"/>
    <s v="Kachin"/>
    <s v="Waingmaw"/>
    <s v="Hkat Cho "/>
    <m/>
    <m/>
    <m/>
    <n v="31"/>
    <n v="19"/>
    <n v="31"/>
    <n v="19"/>
    <n v="19"/>
    <n v="19"/>
    <n v="19"/>
    <m/>
    <m/>
    <m/>
    <m/>
    <m/>
    <m/>
    <m/>
    <n v="0"/>
    <n v="0"/>
    <n v="0"/>
    <n v="0"/>
    <n v="0"/>
    <n v="0"/>
    <n v="0"/>
    <n v="0"/>
    <n v="0"/>
    <n v="0"/>
    <n v="0"/>
    <n v="0"/>
    <n v="0"/>
    <n v="0"/>
    <n v="0"/>
    <n v="0"/>
    <n v="0"/>
    <n v="0"/>
    <s v="MMR001CMP028"/>
    <x v="0"/>
    <x v="1"/>
    <s v="P4"/>
    <n v="4.6688782405700946E-4"/>
    <s v="No"/>
  </r>
  <r>
    <n v="24.8"/>
    <d v="2014-12-19T00:00:00"/>
    <x v="0"/>
    <s v="KBC"/>
    <s v="Kachin"/>
    <s v="Waingmaw"/>
    <s v="Hkau Shau (BP 12)"/>
    <m/>
    <m/>
    <m/>
    <m/>
    <m/>
    <m/>
    <m/>
    <m/>
    <m/>
    <m/>
    <n v="364"/>
    <n v="543"/>
    <m/>
    <n v="362"/>
    <m/>
    <m/>
    <m/>
    <n v="0"/>
    <n v="0"/>
    <n v="0"/>
    <n v="0"/>
    <n v="0"/>
    <n v="0"/>
    <n v="0"/>
    <n v="0"/>
    <n v="0"/>
    <n v="0"/>
    <n v="0"/>
    <n v="0"/>
    <n v="0"/>
    <n v="0"/>
    <n v="1"/>
    <n v="0"/>
    <n v="0"/>
    <n v="0"/>
    <s v="MMR001CMP115"/>
    <x v="0"/>
    <x v="1"/>
    <s v="P1"/>
    <n v="0"/>
    <m/>
  </r>
  <r>
    <n v="28.433333333333334"/>
    <d v="2014-09-01T00:00:00"/>
    <x v="10"/>
    <m/>
    <s v="Kachin"/>
    <s v="Waingmaw"/>
    <s v="Hkau Shau (BP 12)"/>
    <m/>
    <m/>
    <m/>
    <m/>
    <m/>
    <m/>
    <m/>
    <m/>
    <m/>
    <m/>
    <m/>
    <n v="407"/>
    <m/>
    <m/>
    <m/>
    <m/>
    <m/>
    <n v="0"/>
    <n v="0"/>
    <n v="0"/>
    <n v="0"/>
    <n v="0"/>
    <n v="0"/>
    <n v="0"/>
    <n v="0"/>
    <n v="0"/>
    <n v="0"/>
    <n v="0"/>
    <n v="0"/>
    <n v="0"/>
    <n v="0"/>
    <n v="1"/>
    <n v="0"/>
    <n v="0"/>
    <n v="0"/>
    <s v="MMR001CMP115"/>
    <x v="0"/>
    <x v="1"/>
    <s v="P1"/>
    <n v="0"/>
    <m/>
  </r>
  <r>
    <n v="35.666666666666664"/>
    <d v="2014-01-27T00:00:00"/>
    <x v="10"/>
    <s v="KBC"/>
    <s v="Kachin"/>
    <s v="Waingmaw"/>
    <s v="Hkau Shau (BP 12)"/>
    <m/>
    <m/>
    <m/>
    <m/>
    <m/>
    <n v="181"/>
    <n v="181"/>
    <n v="181"/>
    <m/>
    <n v="181"/>
    <m/>
    <m/>
    <m/>
    <m/>
    <m/>
    <m/>
    <m/>
    <n v="0"/>
    <n v="0"/>
    <n v="0"/>
    <n v="0"/>
    <n v="0"/>
    <n v="0"/>
    <n v="0"/>
    <n v="0"/>
    <n v="0"/>
    <n v="0"/>
    <n v="0"/>
    <n v="0"/>
    <n v="0"/>
    <n v="0"/>
    <n v="0"/>
    <n v="0"/>
    <n v="0"/>
    <n v="0"/>
    <s v="MMR001CMP115"/>
    <x v="0"/>
    <x v="1"/>
    <s v="P1"/>
    <n v="4.4278095797250358E-3"/>
    <s v="No"/>
  </r>
  <r>
    <n v="37.6"/>
    <d v="2013-11-30T00:00:00"/>
    <x v="4"/>
    <s v="KBC"/>
    <s v="Kachin"/>
    <s v="Waingmaw"/>
    <s v="Hkau Shau (BP 12)"/>
    <m/>
    <m/>
    <m/>
    <m/>
    <m/>
    <m/>
    <m/>
    <m/>
    <m/>
    <m/>
    <m/>
    <m/>
    <m/>
    <m/>
    <m/>
    <m/>
    <m/>
    <n v="0"/>
    <n v="0"/>
    <n v="0"/>
    <n v="0"/>
    <n v="0"/>
    <n v="0"/>
    <n v="0"/>
    <n v="0"/>
    <n v="0"/>
    <n v="0"/>
    <n v="0"/>
    <n v="0"/>
    <n v="0"/>
    <n v="0"/>
    <n v="0"/>
    <n v="0"/>
    <n v="0"/>
    <n v="0"/>
    <s v="MMR001CMP115"/>
    <x v="0"/>
    <x v="1"/>
    <s v="P1"/>
    <n v="0"/>
    <s v="No"/>
  </r>
  <r>
    <n v="37.633333333333333"/>
    <d v="2013-11-29T00:00:00"/>
    <x v="4"/>
    <s v="KBC"/>
    <s v="Kachin"/>
    <s v="Waingmaw"/>
    <s v="Hkau Shau (BP 12)"/>
    <m/>
    <m/>
    <m/>
    <m/>
    <m/>
    <m/>
    <m/>
    <m/>
    <m/>
    <m/>
    <n v="177"/>
    <n v="354"/>
    <n v="1062"/>
    <n v="531"/>
    <m/>
    <m/>
    <m/>
    <n v="0"/>
    <n v="0"/>
    <n v="0"/>
    <n v="0"/>
    <n v="0"/>
    <n v="0"/>
    <n v="0"/>
    <n v="0"/>
    <n v="0"/>
    <n v="0"/>
    <n v="0"/>
    <n v="0"/>
    <n v="0"/>
    <n v="0"/>
    <n v="1"/>
    <n v="0"/>
    <n v="0"/>
    <n v="0"/>
    <s v="MMR001CMP115"/>
    <x v="0"/>
    <x v="1"/>
    <s v="P1"/>
    <n v="0"/>
    <m/>
  </r>
  <r>
    <n v="26.066666666666666"/>
    <d v="2014-11-11T00:00:00"/>
    <x v="0"/>
    <s v="KBC"/>
    <s v="Kachin"/>
    <s v="Hpakant"/>
    <s v="Hlaing Naung Baptist"/>
    <m/>
    <m/>
    <n v="19"/>
    <n v="38"/>
    <n v="19"/>
    <n v="38"/>
    <n v="19"/>
    <m/>
    <n v="19"/>
    <n v="95"/>
    <m/>
    <m/>
    <m/>
    <m/>
    <m/>
    <m/>
    <m/>
    <n v="0"/>
    <n v="0"/>
    <n v="0"/>
    <n v="0"/>
    <n v="0"/>
    <n v="0"/>
    <n v="0"/>
    <n v="0"/>
    <n v="0"/>
    <n v="0"/>
    <n v="0"/>
    <n v="0"/>
    <n v="0"/>
    <n v="0"/>
    <n v="0"/>
    <n v="0"/>
    <n v="0"/>
    <n v="0"/>
    <s v="MMR001CMP148"/>
    <x v="0"/>
    <x v="1"/>
    <s v="P4"/>
    <n v="4.6135541364155112E-4"/>
    <m/>
  </r>
  <r>
    <n v="26.633333333333333"/>
    <d v="2014-10-25T00:00:00"/>
    <x v="1"/>
    <s v="MRCS"/>
    <s v="Kachin"/>
    <s v="Hpakant"/>
    <s v="Hlaing Naung Baptist"/>
    <m/>
    <m/>
    <m/>
    <m/>
    <m/>
    <m/>
    <m/>
    <m/>
    <m/>
    <m/>
    <n v="37"/>
    <n v="24"/>
    <m/>
    <m/>
    <m/>
    <m/>
    <m/>
    <n v="0"/>
    <n v="0"/>
    <n v="0"/>
    <n v="0"/>
    <n v="0"/>
    <n v="0"/>
    <n v="0"/>
    <n v="0"/>
    <n v="0"/>
    <n v="0"/>
    <n v="0"/>
    <n v="0"/>
    <n v="0"/>
    <n v="0"/>
    <n v="1"/>
    <n v="0"/>
    <n v="0"/>
    <n v="0"/>
    <s v="MMR001CMP148"/>
    <x v="0"/>
    <x v="1"/>
    <s v="P4"/>
    <n v="0"/>
    <m/>
  </r>
  <r>
    <n v="33.4"/>
    <d v="2014-04-05T00:00:00"/>
    <x v="8"/>
    <s v="MRCS"/>
    <s v="Kachin"/>
    <s v="Hpakant"/>
    <s v="Hlaing Naung Baptist"/>
    <m/>
    <m/>
    <m/>
    <m/>
    <m/>
    <m/>
    <m/>
    <m/>
    <m/>
    <m/>
    <m/>
    <m/>
    <m/>
    <n v="44"/>
    <m/>
    <m/>
    <m/>
    <n v="0"/>
    <n v="0"/>
    <n v="0"/>
    <n v="0"/>
    <n v="0"/>
    <n v="0"/>
    <n v="0"/>
    <n v="0"/>
    <n v="0"/>
    <n v="0"/>
    <n v="0"/>
    <n v="0"/>
    <n v="0"/>
    <n v="0"/>
    <n v="1"/>
    <n v="0"/>
    <n v="0"/>
    <n v="0"/>
    <s v="MMR001CMP148"/>
    <x v="0"/>
    <x v="1"/>
    <s v="P4"/>
    <n v="0"/>
    <m/>
  </r>
  <r>
    <n v="22.666666666666668"/>
    <d v="2015-02-21T00:00:00"/>
    <x v="0"/>
    <s v="UNHCR"/>
    <s v="Shan_North"/>
    <s v="Kutkai"/>
    <s v="Namtit"/>
    <m/>
    <m/>
    <m/>
    <n v="161"/>
    <n v="76"/>
    <m/>
    <n v="76"/>
    <m/>
    <n v="76"/>
    <m/>
    <m/>
    <m/>
    <m/>
    <m/>
    <n v="76"/>
    <m/>
    <m/>
    <n v="0"/>
    <n v="0"/>
    <n v="0"/>
    <n v="0"/>
    <n v="0"/>
    <n v="0"/>
    <n v="0"/>
    <n v="0"/>
    <n v="0"/>
    <n v="0"/>
    <n v="0"/>
    <n v="0"/>
    <n v="0"/>
    <n v="0"/>
    <n v="0"/>
    <n v="0"/>
    <n v="0"/>
    <n v="0"/>
    <s v=""/>
    <x v="2"/>
    <x v="2"/>
    <s v=""/>
    <s v=""/>
    <s v="No"/>
  </r>
  <r>
    <n v="47.1"/>
    <d v="2013-02-18T00:00:00"/>
    <x v="0"/>
    <s v="UNHCR"/>
    <s v="Kachin"/>
    <s v="Hpakant"/>
    <s v="Hlaing Naung Baptist"/>
    <m/>
    <m/>
    <n v="30"/>
    <n v="0"/>
    <n v="0"/>
    <n v="0"/>
    <n v="0"/>
    <n v="0"/>
    <m/>
    <m/>
    <m/>
    <m/>
    <m/>
    <m/>
    <m/>
    <m/>
    <m/>
    <n v="0"/>
    <n v="0"/>
    <n v="0"/>
    <n v="0"/>
    <n v="0"/>
    <n v="0"/>
    <n v="0"/>
    <n v="0"/>
    <n v="0"/>
    <n v="0"/>
    <n v="0"/>
    <n v="0"/>
    <n v="0"/>
    <n v="0"/>
    <n v="0"/>
    <n v="0"/>
    <n v="0"/>
    <n v="0"/>
    <s v="MMR001CMP148"/>
    <x v="0"/>
    <x v="1"/>
    <s v="P4"/>
    <n v="0"/>
    <s v="No"/>
  </r>
  <r>
    <n v="48.733333333333334"/>
    <d v="2012-12-31T00:00:00"/>
    <x v="3"/>
    <s v="DRC"/>
    <s v="Kachin"/>
    <s v="Hpakant"/>
    <s v="Hlaing Naung Baptist"/>
    <n v="4"/>
    <m/>
    <m/>
    <m/>
    <m/>
    <m/>
    <m/>
    <m/>
    <n v="0"/>
    <n v="0"/>
    <m/>
    <m/>
    <m/>
    <m/>
    <m/>
    <m/>
    <m/>
    <n v="0"/>
    <n v="0"/>
    <n v="0"/>
    <n v="0"/>
    <n v="0"/>
    <n v="0"/>
    <n v="0"/>
    <n v="0"/>
    <n v="0"/>
    <n v="0"/>
    <n v="0"/>
    <n v="0"/>
    <n v="0"/>
    <n v="0"/>
    <n v="0"/>
    <n v="0"/>
    <n v="0"/>
    <n v="0"/>
    <s v="MMR001CMP148"/>
    <x v="0"/>
    <x v="1"/>
    <s v="P4"/>
    <n v="0"/>
    <s v="No"/>
  </r>
  <r>
    <n v="49.1"/>
    <d v="2012-12-20T00:00:00"/>
    <x v="0"/>
    <s v="KBC"/>
    <s v="Kachin"/>
    <s v="Hpakant"/>
    <s v="Hlaing Naung Baptist"/>
    <m/>
    <m/>
    <m/>
    <n v="12"/>
    <n v="0"/>
    <n v="12"/>
    <n v="0"/>
    <n v="0"/>
    <m/>
    <m/>
    <m/>
    <m/>
    <m/>
    <m/>
    <m/>
    <m/>
    <m/>
    <n v="0"/>
    <n v="0"/>
    <n v="0"/>
    <n v="0"/>
    <n v="0"/>
    <n v="0"/>
    <n v="0"/>
    <n v="0"/>
    <n v="0"/>
    <n v="0"/>
    <n v="0"/>
    <n v="0"/>
    <n v="0"/>
    <n v="0"/>
    <n v="0"/>
    <n v="0"/>
    <n v="0"/>
    <n v="0"/>
    <s v="MMR001CMP148"/>
    <x v="0"/>
    <x v="1"/>
    <s v="P4"/>
    <n v="0"/>
    <s v="No"/>
  </r>
  <r>
    <n v="22.833333333333332"/>
    <d v="2015-02-16T00:00:00"/>
    <x v="0"/>
    <s v="KMSS"/>
    <s v="Kachin"/>
    <s v="Waingmaw"/>
    <s v="Laiza Market 3 - Laiza Gat"/>
    <m/>
    <m/>
    <m/>
    <m/>
    <m/>
    <m/>
    <m/>
    <m/>
    <m/>
    <m/>
    <n v="1119"/>
    <n v="1455"/>
    <m/>
    <n v="1080"/>
    <m/>
    <m/>
    <m/>
    <n v="0"/>
    <n v="0"/>
    <n v="0"/>
    <n v="0"/>
    <n v="0"/>
    <n v="0"/>
    <n v="0"/>
    <n v="0"/>
    <n v="0"/>
    <n v="0"/>
    <n v="0"/>
    <n v="0"/>
    <n v="0"/>
    <n v="0"/>
    <n v="1"/>
    <n v="0"/>
    <n v="0"/>
    <n v="0"/>
    <s v="MMR001CMP117"/>
    <x v="0"/>
    <x v="0"/>
    <s v="P2"/>
    <n v="0"/>
    <s v="No"/>
  </r>
  <r>
    <n v="50.43333333333333"/>
    <d v="2012-11-10T00:00:00"/>
    <x v="0"/>
    <s v="UNHCR"/>
    <s v="Kachin"/>
    <s v="Hpakant"/>
    <s v="Hlaing Naung Baptist"/>
    <m/>
    <m/>
    <m/>
    <n v="12"/>
    <n v="0"/>
    <n v="12"/>
    <n v="0"/>
    <n v="0"/>
    <m/>
    <m/>
    <m/>
    <m/>
    <m/>
    <m/>
    <m/>
    <m/>
    <m/>
    <n v="0"/>
    <n v="0"/>
    <n v="0"/>
    <n v="0"/>
    <n v="0"/>
    <n v="0"/>
    <n v="0"/>
    <n v="0"/>
    <n v="0"/>
    <n v="0"/>
    <n v="0"/>
    <n v="0"/>
    <n v="0"/>
    <n v="0"/>
    <n v="0"/>
    <n v="0"/>
    <n v="0"/>
    <n v="0"/>
    <s v="MMR001CMP148"/>
    <x v="0"/>
    <x v="1"/>
    <s v="P4"/>
    <n v="0"/>
    <s v="No"/>
  </r>
  <r>
    <n v="50.6"/>
    <d v="2012-11-05T00:00:00"/>
    <x v="0"/>
    <s v="UNHCR"/>
    <s v="Kachin"/>
    <s v="Hpakant"/>
    <s v="Hlaing Naung Baptist"/>
    <m/>
    <m/>
    <m/>
    <n v="70"/>
    <n v="40"/>
    <n v="70"/>
    <n v="40"/>
    <n v="40"/>
    <n v="40"/>
    <n v="40"/>
    <m/>
    <m/>
    <m/>
    <m/>
    <m/>
    <m/>
    <m/>
    <n v="0"/>
    <n v="0"/>
    <n v="0"/>
    <n v="0"/>
    <n v="0"/>
    <n v="0"/>
    <n v="0"/>
    <n v="0"/>
    <n v="0"/>
    <n v="0"/>
    <n v="0"/>
    <n v="0"/>
    <n v="0"/>
    <n v="0"/>
    <n v="0"/>
    <n v="0"/>
    <n v="0"/>
    <n v="0"/>
    <s v="MMR001CMP148"/>
    <x v="0"/>
    <x v="1"/>
    <s v="P4"/>
    <n v="9.7127455503484453E-4"/>
    <s v="No"/>
  </r>
  <r>
    <n v="22.933333333333334"/>
    <d v="2015-02-13T00:00:00"/>
    <x v="0"/>
    <s v="KMSS-LSO"/>
    <s v="Shan_North"/>
    <s v="Kutkai"/>
    <s v="Pyi Lung Chan Tar"/>
    <m/>
    <n v="68"/>
    <n v="54"/>
    <n v="134"/>
    <n v="68"/>
    <n v="134"/>
    <n v="68"/>
    <m/>
    <n v="68"/>
    <n v="134"/>
    <m/>
    <m/>
    <m/>
    <m/>
    <n v="68"/>
    <m/>
    <m/>
    <n v="0"/>
    <n v="0"/>
    <n v="0"/>
    <n v="0"/>
    <n v="0"/>
    <n v="0"/>
    <n v="0"/>
    <n v="0"/>
    <n v="0"/>
    <n v="0"/>
    <n v="0"/>
    <n v="0"/>
    <n v="0"/>
    <n v="0"/>
    <n v="0"/>
    <n v="0"/>
    <n v="0"/>
    <n v="0"/>
    <s v=""/>
    <x v="2"/>
    <x v="2"/>
    <s v=""/>
    <s v=""/>
    <s v="No"/>
  </r>
  <r>
    <n v="23.033333333333335"/>
    <d v="2015-02-10T00:00:00"/>
    <x v="0"/>
    <s v="UNHCR"/>
    <s v="Shan_North"/>
    <s v="Mansi"/>
    <s v="Moe Gok (A Shae Kyaung)"/>
    <m/>
    <m/>
    <m/>
    <n v="49"/>
    <n v="16"/>
    <n v="49"/>
    <n v="16"/>
    <m/>
    <n v="16"/>
    <n v="92"/>
    <m/>
    <m/>
    <m/>
    <m/>
    <n v="15"/>
    <m/>
    <m/>
    <n v="0"/>
    <n v="0"/>
    <n v="0"/>
    <n v="0"/>
    <n v="0"/>
    <n v="0"/>
    <n v="0"/>
    <n v="0"/>
    <n v="0"/>
    <n v="0"/>
    <n v="0"/>
    <n v="0"/>
    <n v="0"/>
    <n v="0"/>
    <n v="0"/>
    <n v="0"/>
    <n v="0"/>
    <n v="0"/>
    <s v=""/>
    <x v="2"/>
    <x v="2"/>
    <s v=""/>
    <s v=""/>
    <s v="No"/>
  </r>
  <r>
    <n v="23.033333333333335"/>
    <d v="2015-02-10T00:00:00"/>
    <x v="0"/>
    <s v="UNHCR"/>
    <s v="Shan_North"/>
    <s v="Mansi"/>
    <s v="Moe Gok (Aung Daw Mu)"/>
    <m/>
    <m/>
    <m/>
    <n v="75"/>
    <n v="13"/>
    <n v="110"/>
    <n v="13"/>
    <m/>
    <n v="13"/>
    <n v="45"/>
    <m/>
    <m/>
    <m/>
    <m/>
    <m/>
    <m/>
    <m/>
    <n v="0"/>
    <n v="0"/>
    <n v="0"/>
    <n v="0"/>
    <n v="0"/>
    <n v="0"/>
    <n v="0"/>
    <n v="0"/>
    <n v="0"/>
    <n v="0"/>
    <n v="0"/>
    <n v="0"/>
    <n v="0"/>
    <n v="0"/>
    <n v="0"/>
    <n v="0"/>
    <n v="0"/>
    <n v="0"/>
    <s v=""/>
    <x v="2"/>
    <x v="2"/>
    <s v=""/>
    <s v=""/>
    <s v="No"/>
  </r>
  <r>
    <n v="23.033333333333335"/>
    <d v="2015-02-10T00:00:00"/>
    <x v="0"/>
    <s v="UNHCR"/>
    <s v="Shan_North"/>
    <s v="Mansi"/>
    <s v="Moe Gok (Pain Pyit Lisu Village)"/>
    <m/>
    <n v="200"/>
    <m/>
    <n v="86"/>
    <n v="28"/>
    <n v="173"/>
    <n v="28"/>
    <m/>
    <n v="43"/>
    <n v="199"/>
    <m/>
    <m/>
    <m/>
    <m/>
    <n v="42"/>
    <m/>
    <m/>
    <n v="0"/>
    <n v="0"/>
    <n v="0"/>
    <n v="0"/>
    <n v="0"/>
    <n v="0"/>
    <n v="0"/>
    <n v="0"/>
    <n v="0"/>
    <n v="0"/>
    <n v="0"/>
    <n v="0"/>
    <n v="0"/>
    <n v="0"/>
    <n v="0"/>
    <n v="0"/>
    <n v="0"/>
    <n v="0"/>
    <s v=""/>
    <x v="2"/>
    <x v="2"/>
    <s v=""/>
    <s v=""/>
    <s v="No"/>
  </r>
  <r>
    <n v="23.033333333333335"/>
    <d v="2015-02-10T00:00:00"/>
    <x v="0"/>
    <s v="UNHCR"/>
    <s v="Shan_North"/>
    <s v="Mansi"/>
    <s v="Moe Mait (Man Ohn0"/>
    <m/>
    <m/>
    <m/>
    <n v="90"/>
    <n v="43"/>
    <n v="93"/>
    <n v="43"/>
    <m/>
    <n v="32"/>
    <n v="164"/>
    <m/>
    <m/>
    <m/>
    <m/>
    <n v="43"/>
    <m/>
    <m/>
    <n v="0"/>
    <n v="0"/>
    <n v="0"/>
    <n v="0"/>
    <n v="0"/>
    <n v="0"/>
    <n v="0"/>
    <n v="0"/>
    <n v="0"/>
    <n v="0"/>
    <n v="0"/>
    <n v="0"/>
    <n v="0"/>
    <n v="0"/>
    <n v="0"/>
    <n v="0"/>
    <n v="0"/>
    <n v="0"/>
    <s v=""/>
    <x v="2"/>
    <x v="2"/>
    <s v=""/>
    <s v=""/>
    <s v="No"/>
  </r>
  <r>
    <n v="23.033333333333335"/>
    <d v="2015-02-10T00:00:00"/>
    <x v="0"/>
    <s v="KBC"/>
    <s v="Kachin"/>
    <s v="Puta-O"/>
    <s v="Resettlement place"/>
    <m/>
    <m/>
    <n v="46"/>
    <n v="92"/>
    <n v="46"/>
    <n v="92"/>
    <n v="46"/>
    <m/>
    <n v="46"/>
    <n v="230"/>
    <m/>
    <m/>
    <m/>
    <m/>
    <n v="46"/>
    <m/>
    <n v="55"/>
    <n v="0"/>
    <n v="0"/>
    <n v="0"/>
    <n v="0"/>
    <n v="0"/>
    <n v="0"/>
    <n v="0"/>
    <n v="0"/>
    <n v="0"/>
    <n v="0"/>
    <n v="0"/>
    <n v="0"/>
    <n v="0"/>
    <n v="0"/>
    <n v="0"/>
    <n v="0"/>
    <n v="0"/>
    <n v="0"/>
    <s v=""/>
    <x v="2"/>
    <x v="2"/>
    <s v=""/>
    <s v=""/>
    <s v="No"/>
  </r>
  <r>
    <n v="60.5"/>
    <d v="2012-01-13T00:00:00"/>
    <x v="0"/>
    <s v="KBC"/>
    <s v="Kachin"/>
    <s v="Hpakant"/>
    <s v="Hlaing Naung Baptist"/>
    <m/>
    <m/>
    <m/>
    <n v="10"/>
    <n v="5"/>
    <n v="5"/>
    <n v="0"/>
    <n v="5"/>
    <n v="5"/>
    <n v="5"/>
    <m/>
    <m/>
    <m/>
    <m/>
    <m/>
    <m/>
    <m/>
    <n v="0"/>
    <n v="0"/>
    <n v="0"/>
    <n v="0"/>
    <n v="0"/>
    <n v="0"/>
    <n v="0"/>
    <n v="0"/>
    <n v="0"/>
    <n v="0"/>
    <n v="0"/>
    <n v="0"/>
    <n v="0"/>
    <n v="0"/>
    <n v="0"/>
    <n v="0"/>
    <n v="0"/>
    <n v="0"/>
    <s v="MMR001CMP148"/>
    <x v="0"/>
    <x v="1"/>
    <s v="P4"/>
    <n v="0"/>
    <s v="No"/>
  </r>
  <r>
    <n v="23.533333333333335"/>
    <d v="2015-01-26T00:00:00"/>
    <x v="0"/>
    <s v="KMSS"/>
    <s v="Kachin"/>
    <s v="Hpakant"/>
    <s v="Emergency"/>
    <m/>
    <n v="200"/>
    <m/>
    <n v="400"/>
    <n v="250"/>
    <n v="400"/>
    <n v="200"/>
    <m/>
    <n v="200"/>
    <n v="1200"/>
    <m/>
    <m/>
    <m/>
    <m/>
    <n v="200"/>
    <m/>
    <n v="30"/>
    <n v="0"/>
    <n v="0"/>
    <n v="0"/>
    <n v="0"/>
    <n v="0"/>
    <n v="0"/>
    <n v="0"/>
    <n v="0"/>
    <n v="0"/>
    <n v="0"/>
    <n v="0"/>
    <n v="0"/>
    <n v="0"/>
    <n v="0"/>
    <n v="0"/>
    <n v="0"/>
    <n v="0"/>
    <n v="0"/>
    <s v=""/>
    <x v="2"/>
    <x v="2"/>
    <s v=""/>
    <s v=""/>
    <s v="No"/>
  </r>
  <r>
    <n v="26.433333333333334"/>
    <d v="2014-10-31T00:00:00"/>
    <x v="0"/>
    <m/>
    <s v="Kachin"/>
    <s v="Hpakant"/>
    <s v="Hmaw Wan, Anglican"/>
    <m/>
    <m/>
    <n v="10"/>
    <n v="20"/>
    <n v="10"/>
    <n v="20"/>
    <n v="10"/>
    <m/>
    <n v="10"/>
    <n v="50"/>
    <m/>
    <m/>
    <m/>
    <m/>
    <m/>
    <m/>
    <m/>
    <n v="0"/>
    <n v="0"/>
    <n v="0"/>
    <n v="0"/>
    <n v="0"/>
    <n v="0"/>
    <n v="0"/>
    <n v="0"/>
    <n v="0"/>
    <n v="0"/>
    <n v="0"/>
    <n v="0"/>
    <n v="0"/>
    <n v="0"/>
    <n v="0"/>
    <n v="0"/>
    <n v="0"/>
    <n v="0"/>
    <s v="MMR001CMP191"/>
    <x v="0"/>
    <x v="1"/>
    <s v="P4"/>
    <n v="2.431788337143135E-4"/>
    <m/>
  </r>
  <r>
    <n v="26.633333333333333"/>
    <d v="2014-10-25T00:00:00"/>
    <x v="1"/>
    <s v="MRCS"/>
    <s v="Kachin"/>
    <s v="Hpakant"/>
    <s v="Hmaw Wan, Anglican"/>
    <m/>
    <m/>
    <m/>
    <m/>
    <m/>
    <m/>
    <m/>
    <m/>
    <m/>
    <m/>
    <n v="33"/>
    <n v="24"/>
    <m/>
    <m/>
    <m/>
    <m/>
    <m/>
    <n v="0"/>
    <n v="0"/>
    <n v="0"/>
    <n v="0"/>
    <n v="0"/>
    <n v="0"/>
    <n v="0"/>
    <n v="0"/>
    <n v="0"/>
    <n v="0"/>
    <n v="0"/>
    <n v="0"/>
    <n v="0"/>
    <n v="0"/>
    <n v="1"/>
    <n v="0"/>
    <n v="0"/>
    <n v="0"/>
    <s v="MMR001CMP191"/>
    <x v="0"/>
    <x v="1"/>
    <s v="P4"/>
    <n v="0"/>
    <m/>
  </r>
  <r>
    <n v="27.433333333333334"/>
    <d v="2014-10-01T00:00:00"/>
    <x v="0"/>
    <s v="Shalom"/>
    <s v="Kachin"/>
    <s v="Hpakant"/>
    <s v="Hmaw Wan, Anglican"/>
    <m/>
    <m/>
    <m/>
    <n v="20"/>
    <m/>
    <m/>
    <m/>
    <m/>
    <m/>
    <m/>
    <m/>
    <m/>
    <m/>
    <m/>
    <m/>
    <m/>
    <m/>
    <n v="0"/>
    <n v="0"/>
    <n v="0"/>
    <n v="0"/>
    <n v="0"/>
    <n v="0"/>
    <n v="0"/>
    <n v="0"/>
    <n v="0"/>
    <n v="0"/>
    <n v="0"/>
    <n v="0"/>
    <n v="0"/>
    <n v="0"/>
    <n v="0"/>
    <n v="0"/>
    <n v="0"/>
    <n v="0"/>
    <s v="MMR001CMP191"/>
    <x v="0"/>
    <x v="1"/>
    <s v="P4"/>
    <n v="0"/>
    <m/>
  </r>
  <r>
    <n v="48.733333333333334"/>
    <d v="2012-12-31T00:00:00"/>
    <x v="3"/>
    <s v="DRC"/>
    <s v="Kachin"/>
    <s v="Hpakant"/>
    <s v="Hmaw Wan, Anglican"/>
    <n v="3"/>
    <m/>
    <m/>
    <m/>
    <m/>
    <m/>
    <m/>
    <m/>
    <n v="0"/>
    <n v="0"/>
    <m/>
    <m/>
    <m/>
    <m/>
    <m/>
    <m/>
    <m/>
    <n v="0"/>
    <n v="0"/>
    <n v="0"/>
    <n v="0"/>
    <n v="0"/>
    <n v="0"/>
    <n v="0"/>
    <n v="0"/>
    <n v="0"/>
    <n v="0"/>
    <n v="0"/>
    <n v="0"/>
    <n v="0"/>
    <n v="0"/>
    <n v="0"/>
    <n v="0"/>
    <n v="0"/>
    <n v="0"/>
    <s v="MMR001CMP191"/>
    <x v="0"/>
    <x v="1"/>
    <s v="P4"/>
    <n v="0"/>
    <s v="No"/>
  </r>
  <r>
    <n v="33.333333333333336"/>
    <d v="2014-04-07T00:00:00"/>
    <x v="8"/>
    <s v="MRCS"/>
    <s v="Kachin"/>
    <s v="Mansi"/>
    <s v="Host Families"/>
    <m/>
    <m/>
    <m/>
    <m/>
    <m/>
    <m/>
    <m/>
    <m/>
    <m/>
    <m/>
    <m/>
    <m/>
    <m/>
    <n v="558"/>
    <m/>
    <m/>
    <m/>
    <n v="0"/>
    <n v="0"/>
    <n v="0"/>
    <n v="0"/>
    <n v="0"/>
    <n v="0"/>
    <n v="0"/>
    <n v="0"/>
    <n v="0"/>
    <n v="0"/>
    <n v="0"/>
    <n v="0"/>
    <n v="0"/>
    <n v="0"/>
    <n v="1"/>
    <n v="0"/>
    <n v="0"/>
    <n v="0"/>
    <s v="MMR001CMP163"/>
    <x v="0"/>
    <x v="1"/>
    <s v="P4"/>
    <s v=""/>
    <m/>
  </r>
  <r>
    <n v="37"/>
    <d v="2013-12-18T00:00:00"/>
    <x v="0"/>
    <s v="UNHCR"/>
    <s v="Kachin"/>
    <s v="Bhamo"/>
    <s v="Host Families"/>
    <m/>
    <m/>
    <m/>
    <m/>
    <n v="4"/>
    <m/>
    <m/>
    <m/>
    <m/>
    <m/>
    <m/>
    <m/>
    <m/>
    <m/>
    <m/>
    <m/>
    <m/>
    <n v="0"/>
    <n v="0"/>
    <n v="0"/>
    <n v="0"/>
    <n v="0"/>
    <n v="0"/>
    <n v="0"/>
    <n v="0"/>
    <n v="0"/>
    <n v="0"/>
    <n v="0"/>
    <n v="0"/>
    <n v="0"/>
    <n v="0"/>
    <n v="0"/>
    <n v="0"/>
    <n v="0"/>
    <n v="0"/>
    <s v="MMR001CMP163"/>
    <x v="0"/>
    <x v="1"/>
    <s v="P4"/>
    <s v=""/>
    <s v="No"/>
  </r>
  <r>
    <n v="37.733333333333334"/>
    <d v="2013-11-26T00:00:00"/>
    <x v="0"/>
    <s v="UNHCR"/>
    <s v="Kachin"/>
    <s v="Bhamo"/>
    <s v="Host Families"/>
    <m/>
    <m/>
    <m/>
    <n v="25"/>
    <n v="13"/>
    <n v="25"/>
    <n v="13"/>
    <n v="13"/>
    <m/>
    <m/>
    <m/>
    <m/>
    <m/>
    <m/>
    <m/>
    <m/>
    <m/>
    <n v="0"/>
    <n v="0"/>
    <n v="0"/>
    <n v="0"/>
    <n v="0"/>
    <n v="0"/>
    <n v="0"/>
    <n v="0"/>
    <n v="0"/>
    <n v="0"/>
    <n v="0"/>
    <n v="0"/>
    <n v="0"/>
    <n v="0"/>
    <n v="0"/>
    <n v="0"/>
    <n v="0"/>
    <n v="0"/>
    <s v="MMR001CMP163"/>
    <x v="0"/>
    <x v="1"/>
    <s v="P4"/>
    <s v=""/>
    <s v="No"/>
  </r>
  <r>
    <n v="37.966666666666669"/>
    <d v="2013-11-19T00:00:00"/>
    <x v="0"/>
    <s v="UNHCR"/>
    <s v="Kachin"/>
    <s v="Bhamo"/>
    <s v="Host Families"/>
    <m/>
    <m/>
    <m/>
    <n v="57"/>
    <n v="33"/>
    <n v="57"/>
    <n v="33"/>
    <n v="33"/>
    <m/>
    <m/>
    <m/>
    <m/>
    <m/>
    <m/>
    <m/>
    <m/>
    <m/>
    <n v="0"/>
    <n v="0"/>
    <n v="0"/>
    <n v="0"/>
    <n v="0"/>
    <n v="0"/>
    <n v="0"/>
    <n v="0"/>
    <n v="0"/>
    <n v="0"/>
    <n v="0"/>
    <n v="0"/>
    <n v="0"/>
    <n v="0"/>
    <n v="0"/>
    <n v="0"/>
    <n v="0"/>
    <n v="0"/>
    <s v="MMR001CMP163"/>
    <x v="0"/>
    <x v="1"/>
    <s v="P4"/>
    <s v=""/>
    <s v="No"/>
  </r>
  <r>
    <n v="41.233333333333334"/>
    <d v="2013-08-13T00:00:00"/>
    <x v="0"/>
    <s v="KMSS"/>
    <s v="Shan_North"/>
    <s v="Manton"/>
    <s v="Host Families"/>
    <m/>
    <m/>
    <n v="49"/>
    <n v="90"/>
    <n v="30"/>
    <n v="90"/>
    <n v="30"/>
    <n v="30"/>
    <n v="30"/>
    <n v="30"/>
    <m/>
    <m/>
    <m/>
    <m/>
    <m/>
    <m/>
    <m/>
    <n v="0"/>
    <n v="0"/>
    <n v="0"/>
    <n v="0"/>
    <n v="0"/>
    <n v="0"/>
    <n v="0"/>
    <n v="0"/>
    <n v="0"/>
    <n v="0"/>
    <n v="0"/>
    <n v="0"/>
    <n v="0"/>
    <n v="0"/>
    <n v="0"/>
    <n v="0"/>
    <n v="0"/>
    <n v="0"/>
    <s v="MMR001CMP163"/>
    <x v="0"/>
    <x v="1"/>
    <s v="P4"/>
    <s v=""/>
    <s v="No"/>
  </r>
  <r>
    <n v="59.4"/>
    <d v="2012-02-15T00:00:00"/>
    <x v="4"/>
    <s v="Solidarities"/>
    <s v="Kachin"/>
    <s v="Shwegu"/>
    <s v="Host Families"/>
    <n v="1070"/>
    <m/>
    <m/>
    <m/>
    <m/>
    <m/>
    <m/>
    <m/>
    <m/>
    <m/>
    <m/>
    <m/>
    <m/>
    <m/>
    <m/>
    <m/>
    <m/>
    <n v="0"/>
    <n v="0"/>
    <n v="0"/>
    <n v="0"/>
    <n v="0"/>
    <n v="0"/>
    <n v="0"/>
    <n v="0"/>
    <n v="0"/>
    <n v="0"/>
    <n v="0"/>
    <n v="0"/>
    <n v="0"/>
    <n v="0"/>
    <n v="0"/>
    <n v="0"/>
    <n v="0"/>
    <n v="0"/>
    <s v="MMR001CMP163"/>
    <x v="0"/>
    <x v="1"/>
    <s v="P4"/>
    <s v=""/>
    <m/>
  </r>
  <r>
    <n v="59.43333333333333"/>
    <d v="2012-02-14T00:00:00"/>
    <x v="4"/>
    <s v="Solidarities"/>
    <s v="Kachin"/>
    <s v="Shwegu"/>
    <s v="Host Families"/>
    <n v="429"/>
    <m/>
    <m/>
    <m/>
    <m/>
    <m/>
    <m/>
    <m/>
    <m/>
    <m/>
    <m/>
    <m/>
    <m/>
    <m/>
    <m/>
    <m/>
    <m/>
    <n v="0"/>
    <n v="0"/>
    <n v="0"/>
    <n v="0"/>
    <n v="0"/>
    <n v="0"/>
    <n v="0"/>
    <n v="0"/>
    <n v="0"/>
    <n v="0"/>
    <n v="0"/>
    <n v="0"/>
    <n v="0"/>
    <n v="0"/>
    <n v="0"/>
    <n v="0"/>
    <n v="0"/>
    <n v="0"/>
    <s v="MMR001CMP163"/>
    <x v="0"/>
    <x v="1"/>
    <s v="P4"/>
    <s v=""/>
    <m/>
  </r>
  <r>
    <n v="26.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1"/>
    <s v="P4"/>
    <n v="1.5563445357716064E-3"/>
    <m/>
  </r>
  <r>
    <n v="26.633333333333333"/>
    <d v="2014-10-25T00:00:00"/>
    <x v="1"/>
    <s v="MRCS"/>
    <s v="Kachin"/>
    <s v="Hpakant"/>
    <s v="Hpakant Baptist Church, Nam Ma Hpit"/>
    <m/>
    <m/>
    <m/>
    <m/>
    <m/>
    <m/>
    <m/>
    <m/>
    <m/>
    <m/>
    <n v="186"/>
    <n v="125"/>
    <m/>
    <m/>
    <m/>
    <m/>
    <m/>
    <n v="0"/>
    <n v="0"/>
    <n v="0"/>
    <n v="0"/>
    <n v="0"/>
    <n v="0"/>
    <n v="0"/>
    <n v="0"/>
    <n v="0"/>
    <n v="0"/>
    <n v="0"/>
    <n v="0"/>
    <n v="0"/>
    <n v="0"/>
    <n v="1"/>
    <n v="0"/>
    <n v="0"/>
    <n v="0"/>
    <s v="MMR001CMP229"/>
    <x v="0"/>
    <x v="1"/>
    <s v="P4"/>
    <n v="0"/>
    <m/>
  </r>
  <r>
    <n v="24.066666666666666"/>
    <d v="2015-01-10T00:00:00"/>
    <x v="0"/>
    <s v="UNHCR"/>
    <s v="Kachin"/>
    <s v="Puta-O"/>
    <s v="Naung Khaing"/>
    <m/>
    <m/>
    <n v="55"/>
    <n v="110"/>
    <n v="55"/>
    <n v="110"/>
    <n v="55"/>
    <m/>
    <n v="55"/>
    <n v="275"/>
    <m/>
    <m/>
    <m/>
    <m/>
    <n v="55"/>
    <m/>
    <m/>
    <n v="0"/>
    <n v="0"/>
    <n v="0"/>
    <n v="0"/>
    <n v="0"/>
    <n v="0"/>
    <n v="0"/>
    <n v="0"/>
    <n v="0"/>
    <n v="0"/>
    <n v="0"/>
    <n v="0"/>
    <n v="0"/>
    <n v="0"/>
    <n v="0"/>
    <n v="0"/>
    <n v="0"/>
    <n v="0"/>
    <s v="MMR001CMP220"/>
    <x v="0"/>
    <x v="0"/>
    <s v="P3"/>
    <n v="1.3257164895027359E-3"/>
    <s v="No"/>
  </r>
  <r>
    <n v="10.266666666666667"/>
    <d v="2016-02-28T00:00:00"/>
    <x v="0"/>
    <s v="KBC"/>
    <s v="Kachin"/>
    <s v="Chipwi"/>
    <s v="Hpare Hkyer - BP6"/>
    <m/>
    <m/>
    <m/>
    <m/>
    <m/>
    <n v="345"/>
    <m/>
    <m/>
    <m/>
    <m/>
    <m/>
    <n v="765"/>
    <m/>
    <m/>
    <m/>
    <m/>
    <m/>
    <n v="0"/>
    <n v="0"/>
    <n v="0"/>
    <n v="0"/>
    <n v="0"/>
    <n v="345"/>
    <n v="0"/>
    <n v="0"/>
    <n v="0"/>
    <n v="0"/>
    <n v="0"/>
    <n v="765"/>
    <n v="0"/>
    <n v="0"/>
    <n v="1"/>
    <n v="0"/>
    <n v="0"/>
    <n v="0"/>
    <s v="MMR001CMP043"/>
    <x v="0"/>
    <x v="1"/>
    <s v="P1"/>
    <n v="0"/>
    <m/>
  </r>
  <r>
    <n v="10.3"/>
    <d v="2016-02-27T00:00:00"/>
    <x v="0"/>
    <s v="KBC"/>
    <s v="Kachin"/>
    <s v="Waingmaw"/>
    <s v="Hpare Hkyer - BP6"/>
    <m/>
    <m/>
    <m/>
    <m/>
    <m/>
    <m/>
    <m/>
    <m/>
    <m/>
    <m/>
    <n v="380"/>
    <n v="380"/>
    <m/>
    <m/>
    <m/>
    <m/>
    <m/>
    <n v="0"/>
    <n v="0"/>
    <n v="0"/>
    <n v="0"/>
    <n v="0"/>
    <n v="0"/>
    <n v="0"/>
    <n v="0"/>
    <n v="0"/>
    <n v="0"/>
    <n v="380"/>
    <n v="380"/>
    <n v="0"/>
    <n v="0"/>
    <n v="1"/>
    <n v="0"/>
    <n v="0"/>
    <n v="0"/>
    <s v="MMR001CMP043"/>
    <x v="0"/>
    <x v="1"/>
    <s v="P1"/>
    <n v="0"/>
    <m/>
  </r>
  <r>
    <n v="24.8"/>
    <d v="2014-12-19T00:00:00"/>
    <x v="0"/>
    <m/>
    <s v="Kachin"/>
    <s v="Chipwi"/>
    <s v="Hpare Hkyer - BP6"/>
    <m/>
    <m/>
    <m/>
    <m/>
    <m/>
    <m/>
    <m/>
    <m/>
    <m/>
    <m/>
    <n v="320"/>
    <n v="465"/>
    <m/>
    <n v="310"/>
    <m/>
    <m/>
    <m/>
    <n v="0"/>
    <n v="0"/>
    <n v="0"/>
    <n v="0"/>
    <n v="0"/>
    <n v="0"/>
    <n v="0"/>
    <n v="0"/>
    <n v="0"/>
    <n v="0"/>
    <n v="0"/>
    <n v="0"/>
    <n v="0"/>
    <n v="0"/>
    <n v="1"/>
    <n v="0"/>
    <n v="0"/>
    <n v="0"/>
    <s v="MMR001CMP043"/>
    <x v="0"/>
    <x v="1"/>
    <s v="P1"/>
    <n v="0"/>
    <m/>
  </r>
  <r>
    <n v="28.433333333333334"/>
    <d v="2014-09-01T00:00:00"/>
    <x v="10"/>
    <m/>
    <s v="Kachin"/>
    <s v="Chipwi"/>
    <s v="Hpare Hkyer - BP6"/>
    <m/>
    <m/>
    <m/>
    <m/>
    <m/>
    <m/>
    <m/>
    <m/>
    <m/>
    <m/>
    <m/>
    <n v="347"/>
    <m/>
    <m/>
    <m/>
    <m/>
    <m/>
    <n v="0"/>
    <n v="0"/>
    <n v="0"/>
    <n v="0"/>
    <n v="0"/>
    <n v="0"/>
    <n v="0"/>
    <n v="0"/>
    <n v="0"/>
    <n v="0"/>
    <n v="0"/>
    <n v="0"/>
    <n v="0"/>
    <n v="0"/>
    <n v="1"/>
    <n v="0"/>
    <n v="0"/>
    <n v="0"/>
    <s v="MMR001CMP043"/>
    <x v="0"/>
    <x v="1"/>
    <s v="P1"/>
    <n v="0"/>
    <m/>
  </r>
  <r>
    <n v="35.666666666666664"/>
    <d v="2014-01-27T00:00:00"/>
    <x v="10"/>
    <s v="KBC"/>
    <s v="Kachin"/>
    <s v="Chipwi"/>
    <s v="Hpare Hkyer - BP6"/>
    <m/>
    <m/>
    <m/>
    <m/>
    <m/>
    <n v="155"/>
    <n v="155"/>
    <n v="155"/>
    <m/>
    <n v="155"/>
    <m/>
    <m/>
    <m/>
    <m/>
    <m/>
    <m/>
    <m/>
    <n v="0"/>
    <n v="0"/>
    <n v="0"/>
    <n v="0"/>
    <n v="0"/>
    <n v="0"/>
    <n v="0"/>
    <n v="0"/>
    <n v="0"/>
    <n v="0"/>
    <n v="0"/>
    <n v="0"/>
    <n v="0"/>
    <n v="0"/>
    <n v="0"/>
    <n v="0"/>
    <n v="0"/>
    <n v="0"/>
    <s v="MMR001CMP043"/>
    <x v="0"/>
    <x v="1"/>
    <s v="P1"/>
    <n v="3.777723616865708E-3"/>
    <s v="No"/>
  </r>
  <r>
    <n v="46.866666666666667"/>
    <d v="2013-02-25T00:00:00"/>
    <x v="0"/>
    <s v="Chipwe CM"/>
    <s v="Kachin"/>
    <s v="Chipwi"/>
    <s v="Hpare Hkyer - BP6"/>
    <m/>
    <m/>
    <n v="11"/>
    <n v="17"/>
    <n v="7"/>
    <n v="17"/>
    <n v="7"/>
    <n v="7"/>
    <n v="7"/>
    <n v="7"/>
    <m/>
    <m/>
    <m/>
    <m/>
    <m/>
    <m/>
    <m/>
    <n v="0"/>
    <n v="0"/>
    <n v="0"/>
    <n v="0"/>
    <n v="0"/>
    <n v="0"/>
    <n v="0"/>
    <n v="0"/>
    <n v="0"/>
    <n v="0"/>
    <n v="0"/>
    <n v="0"/>
    <n v="0"/>
    <n v="0"/>
    <n v="0"/>
    <n v="0"/>
    <n v="0"/>
    <n v="0"/>
    <s v="MMR001CMP043"/>
    <x v="0"/>
    <x v="1"/>
    <s v="P1"/>
    <n v="1.7060687301974166E-4"/>
    <s v="No"/>
  </r>
  <r>
    <n v="51.9"/>
    <d v="2012-09-27T00:00:00"/>
    <x v="0"/>
    <s v="Chipwe CM"/>
    <s v="Kachin"/>
    <s v="Chipwi"/>
    <s v="Hpare Hkyer - BP6"/>
    <m/>
    <m/>
    <m/>
    <n v="33"/>
    <n v="11"/>
    <n v="33"/>
    <n v="11"/>
    <n v="11"/>
    <n v="11"/>
    <n v="11"/>
    <m/>
    <m/>
    <m/>
    <m/>
    <m/>
    <m/>
    <m/>
    <n v="0"/>
    <n v="0"/>
    <n v="0"/>
    <n v="0"/>
    <n v="0"/>
    <n v="0"/>
    <n v="0"/>
    <n v="0"/>
    <n v="0"/>
    <n v="0"/>
    <n v="0"/>
    <n v="0"/>
    <n v="0"/>
    <n v="0"/>
    <n v="0"/>
    <n v="0"/>
    <n v="0"/>
    <n v="0"/>
    <s v="MMR001CMP043"/>
    <x v="0"/>
    <x v="1"/>
    <s v="P1"/>
    <n v="2.6809651474530834E-4"/>
    <s v="No"/>
  </r>
  <r>
    <n v="22.833333333333332"/>
    <d v="2015-02-16T00:00:00"/>
    <x v="0"/>
    <s v="KMSS"/>
    <s v="Kachin"/>
    <s v="Waingmaw"/>
    <s v="Hpun Lum Yang "/>
    <m/>
    <m/>
    <m/>
    <m/>
    <m/>
    <m/>
    <m/>
    <m/>
    <m/>
    <m/>
    <n v="865"/>
    <n v="924"/>
    <m/>
    <n v="918"/>
    <m/>
    <m/>
    <m/>
    <n v="0"/>
    <n v="0"/>
    <n v="0"/>
    <n v="0"/>
    <n v="0"/>
    <n v="0"/>
    <n v="0"/>
    <n v="0"/>
    <n v="0"/>
    <n v="0"/>
    <n v="0"/>
    <n v="0"/>
    <n v="0"/>
    <n v="0"/>
    <n v="1"/>
    <n v="0"/>
    <n v="0"/>
    <n v="0"/>
    <s v="MMR001CMP122"/>
    <x v="0"/>
    <x v="1"/>
    <s v="P2"/>
    <n v="0"/>
    <s v="No"/>
  </r>
  <r>
    <n v="37.6"/>
    <d v="2013-11-30T00:00:00"/>
    <x v="4"/>
    <s v="KBC"/>
    <s v="Kachin"/>
    <s v="Momauk"/>
    <s v="Hpun Lum Yang "/>
    <m/>
    <m/>
    <m/>
    <m/>
    <m/>
    <m/>
    <m/>
    <m/>
    <m/>
    <n v="978"/>
    <m/>
    <m/>
    <m/>
    <m/>
    <m/>
    <m/>
    <m/>
    <n v="0"/>
    <n v="0"/>
    <n v="0"/>
    <n v="0"/>
    <n v="0"/>
    <n v="0"/>
    <n v="0"/>
    <n v="0"/>
    <n v="0"/>
    <n v="0"/>
    <n v="0"/>
    <n v="0"/>
    <n v="0"/>
    <n v="0"/>
    <n v="0"/>
    <n v="0"/>
    <n v="0"/>
    <n v="0"/>
    <s v="MMR001CMP122"/>
    <x v="0"/>
    <x v="1"/>
    <s v="P2"/>
    <n v="0"/>
    <s v="No"/>
  </r>
  <r>
    <n v="39.766666666666666"/>
    <d v="2013-09-26T00:00:00"/>
    <x v="0"/>
    <s v="UNHCR"/>
    <s v="Kachin"/>
    <s v="Momauk"/>
    <s v="Hpun Lum Yang "/>
    <m/>
    <m/>
    <n v="882"/>
    <n v="882"/>
    <n v="441"/>
    <n v="882"/>
    <n v="441"/>
    <m/>
    <n v="441"/>
    <n v="882"/>
    <m/>
    <m/>
    <m/>
    <m/>
    <m/>
    <m/>
    <m/>
    <n v="0"/>
    <n v="0"/>
    <n v="0"/>
    <n v="0"/>
    <n v="0"/>
    <n v="0"/>
    <n v="0"/>
    <n v="0"/>
    <n v="0"/>
    <n v="0"/>
    <n v="0"/>
    <n v="0"/>
    <n v="0"/>
    <n v="0"/>
    <n v="0"/>
    <n v="0"/>
    <n v="0"/>
    <n v="0"/>
    <s v="MMR001CMP122"/>
    <x v="0"/>
    <x v="1"/>
    <s v="P2"/>
    <n v="1.0836712126796905E-2"/>
    <s v="No"/>
  </r>
  <r>
    <n v="49.4"/>
    <d v="2012-12-11T00:00:00"/>
    <x v="4"/>
    <s v="Solidarities"/>
    <s v="Kachin"/>
    <s v="Momauk"/>
    <s v="Hpun Lum Yang "/>
    <n v="1658"/>
    <m/>
    <m/>
    <m/>
    <m/>
    <m/>
    <m/>
    <m/>
    <n v="0"/>
    <n v="0"/>
    <m/>
    <m/>
    <m/>
    <m/>
    <m/>
    <m/>
    <m/>
    <n v="0"/>
    <n v="0"/>
    <n v="0"/>
    <n v="0"/>
    <n v="0"/>
    <n v="0"/>
    <n v="0"/>
    <n v="0"/>
    <n v="0"/>
    <n v="0"/>
    <n v="0"/>
    <n v="0"/>
    <n v="0"/>
    <n v="0"/>
    <n v="0"/>
    <n v="0"/>
    <n v="0"/>
    <n v="0"/>
    <s v="MMR001CMP122"/>
    <x v="0"/>
    <x v="1"/>
    <s v="P2"/>
    <n v="0"/>
    <s v="No"/>
  </r>
  <r>
    <n v="25.1"/>
    <d v="2014-12-10T00:00:00"/>
    <x v="4"/>
    <s v="Solidarities"/>
    <s v="Kachin"/>
    <s v="Momauk"/>
    <s v="Edin"/>
    <m/>
    <m/>
    <n v="85"/>
    <m/>
    <m/>
    <m/>
    <m/>
    <m/>
    <m/>
    <m/>
    <m/>
    <m/>
    <m/>
    <m/>
    <m/>
    <m/>
    <m/>
    <n v="0"/>
    <n v="0"/>
    <n v="0"/>
    <n v="0"/>
    <n v="0"/>
    <n v="0"/>
    <n v="0"/>
    <n v="0"/>
    <n v="0"/>
    <n v="0"/>
    <n v="0"/>
    <n v="0"/>
    <n v="0"/>
    <n v="0"/>
    <n v="0"/>
    <n v="0"/>
    <n v="0"/>
    <n v="0"/>
    <s v=""/>
    <x v="2"/>
    <x v="2"/>
    <s v=""/>
    <s v=""/>
    <m/>
  </r>
  <r>
    <n v="25.1"/>
    <d v="2014-12-10T00:00:00"/>
    <x v="4"/>
    <s v="Solidarities"/>
    <s v="Kachin"/>
    <s v="Momauk"/>
    <s v="Ni Thaw Ka Monestry"/>
    <m/>
    <m/>
    <n v="33"/>
    <m/>
    <m/>
    <m/>
    <m/>
    <m/>
    <m/>
    <m/>
    <m/>
    <m/>
    <m/>
    <m/>
    <m/>
    <m/>
    <m/>
    <n v="0"/>
    <n v="0"/>
    <n v="0"/>
    <n v="0"/>
    <n v="0"/>
    <n v="0"/>
    <n v="0"/>
    <n v="0"/>
    <n v="0"/>
    <n v="0"/>
    <n v="0"/>
    <n v="0"/>
    <n v="0"/>
    <n v="0"/>
    <n v="0"/>
    <n v="0"/>
    <n v="0"/>
    <n v="0"/>
    <s v="MMR001CMP059"/>
    <x v="0"/>
    <x v="0"/>
    <s v="P4"/>
    <n v="0"/>
    <m/>
  </r>
  <r>
    <n v="54.3"/>
    <d v="2012-07-17T00:00:00"/>
    <x v="0"/>
    <s v="UNHCR"/>
    <s v="Kachin"/>
    <s v="Momauk"/>
    <s v="Hpun Lum Yang "/>
    <m/>
    <m/>
    <m/>
    <n v="0"/>
    <n v="0"/>
    <n v="0"/>
    <n v="0"/>
    <n v="0"/>
    <m/>
    <m/>
    <m/>
    <m/>
    <m/>
    <m/>
    <m/>
    <m/>
    <m/>
    <n v="0"/>
    <n v="0"/>
    <n v="0"/>
    <n v="0"/>
    <n v="0"/>
    <n v="0"/>
    <n v="0"/>
    <n v="0"/>
    <n v="0"/>
    <n v="0"/>
    <n v="0"/>
    <n v="0"/>
    <n v="0"/>
    <n v="0"/>
    <n v="0"/>
    <n v="0"/>
    <n v="0"/>
    <n v="0"/>
    <s v="MMR001CMP122"/>
    <x v="0"/>
    <x v="1"/>
    <s v="P2"/>
    <n v="0"/>
    <s v="No"/>
  </r>
  <r>
    <n v="55.666666666666664"/>
    <d v="2012-06-06T00:00:00"/>
    <x v="0"/>
    <s v="UNHCR "/>
    <s v="Kachin"/>
    <s v="Momauk"/>
    <s v="Hpun Lum Yang "/>
    <m/>
    <m/>
    <m/>
    <n v="0"/>
    <n v="200"/>
    <n v="0"/>
    <n v="0"/>
    <n v="0"/>
    <m/>
    <m/>
    <m/>
    <m/>
    <m/>
    <m/>
    <m/>
    <m/>
    <m/>
    <n v="0"/>
    <n v="0"/>
    <n v="0"/>
    <n v="0"/>
    <n v="0"/>
    <n v="0"/>
    <n v="0"/>
    <n v="0"/>
    <n v="0"/>
    <n v="0"/>
    <n v="0"/>
    <n v="0"/>
    <n v="0"/>
    <n v="0"/>
    <n v="0"/>
    <n v="0"/>
    <n v="0"/>
    <n v="0"/>
    <s v="MMR001CMP122"/>
    <x v="0"/>
    <x v="1"/>
    <s v="P2"/>
    <n v="0"/>
    <s v="No"/>
  </r>
  <r>
    <n v="61.533333333333331"/>
    <d v="2011-12-13T00:00:00"/>
    <x v="0"/>
    <s v="IRRC"/>
    <s v="Kachin"/>
    <s v="Momauk"/>
    <s v="Hpun Lum Yang "/>
    <m/>
    <m/>
    <m/>
    <n v="250"/>
    <n v="125"/>
    <n v="250"/>
    <n v="125"/>
    <n v="125"/>
    <n v="125"/>
    <n v="125"/>
    <m/>
    <m/>
    <m/>
    <m/>
    <m/>
    <m/>
    <m/>
    <n v="0"/>
    <n v="0"/>
    <n v="0"/>
    <n v="0"/>
    <n v="0"/>
    <n v="0"/>
    <n v="0"/>
    <n v="0"/>
    <n v="0"/>
    <n v="0"/>
    <n v="0"/>
    <n v="0"/>
    <n v="0"/>
    <n v="0"/>
    <n v="0"/>
    <n v="0"/>
    <n v="0"/>
    <n v="0"/>
    <s v="MMR001CMP122"/>
    <x v="0"/>
    <x v="1"/>
    <s v="P2"/>
    <n v="3.0716304214276936E-3"/>
    <s v="No"/>
  </r>
  <r>
    <n v="33.299999999999997"/>
    <d v="2014-04-08T00:00:00"/>
    <x v="8"/>
    <s v="MRCS"/>
    <s v="Kachin"/>
    <s v="Bhamo"/>
    <s v="Htoi San Church"/>
    <m/>
    <m/>
    <m/>
    <m/>
    <m/>
    <m/>
    <m/>
    <m/>
    <m/>
    <m/>
    <m/>
    <m/>
    <m/>
    <n v="90"/>
    <m/>
    <m/>
    <m/>
    <n v="0"/>
    <n v="0"/>
    <n v="0"/>
    <n v="0"/>
    <n v="0"/>
    <n v="0"/>
    <n v="0"/>
    <n v="0"/>
    <n v="0"/>
    <n v="0"/>
    <n v="0"/>
    <n v="0"/>
    <n v="0"/>
    <n v="0"/>
    <n v="1"/>
    <n v="0"/>
    <n v="0"/>
    <n v="0"/>
    <s v="MMR001CMP052"/>
    <x v="0"/>
    <x v="1"/>
    <s v="P4"/>
    <n v="0"/>
    <m/>
  </r>
  <r>
    <n v="37.6"/>
    <d v="2013-11-30T00:00:00"/>
    <x v="5"/>
    <s v="MDCG"/>
    <s v="Kachin"/>
    <s v="Bhamo"/>
    <s v="Htoi San Church"/>
    <m/>
    <m/>
    <m/>
    <m/>
    <m/>
    <n v="105"/>
    <m/>
    <m/>
    <m/>
    <m/>
    <n v="154"/>
    <n v="26"/>
    <n v="0"/>
    <m/>
    <m/>
    <m/>
    <m/>
    <n v="0"/>
    <n v="0"/>
    <n v="0"/>
    <n v="0"/>
    <n v="0"/>
    <n v="0"/>
    <n v="0"/>
    <n v="0"/>
    <n v="0"/>
    <n v="0"/>
    <n v="0"/>
    <n v="0"/>
    <n v="0"/>
    <n v="0"/>
    <n v="1"/>
    <n v="0"/>
    <n v="0"/>
    <n v="0"/>
    <s v="MMR001CMP052"/>
    <x v="0"/>
    <x v="1"/>
    <s v="P4"/>
    <n v="0"/>
    <s v="No"/>
  </r>
  <r>
    <n v="37.6"/>
    <d v="2013-11-30T00:00:00"/>
    <x v="4"/>
    <m/>
    <s v="Kachin"/>
    <s v="Bhamo"/>
    <s v="Htoi San Church"/>
    <m/>
    <m/>
    <m/>
    <m/>
    <m/>
    <m/>
    <m/>
    <m/>
    <m/>
    <n v="138"/>
    <m/>
    <m/>
    <m/>
    <m/>
    <m/>
    <m/>
    <m/>
    <n v="0"/>
    <n v="0"/>
    <n v="0"/>
    <n v="0"/>
    <n v="0"/>
    <n v="0"/>
    <n v="0"/>
    <n v="0"/>
    <n v="0"/>
    <n v="0"/>
    <n v="0"/>
    <n v="0"/>
    <n v="0"/>
    <n v="0"/>
    <n v="0"/>
    <n v="0"/>
    <n v="0"/>
    <n v="0"/>
    <s v="MMR001CMP052"/>
    <x v="0"/>
    <x v="1"/>
    <s v="P4"/>
    <n v="0"/>
    <s v="No"/>
  </r>
  <r>
    <n v="38.5"/>
    <d v="2013-11-03T00:00:00"/>
    <x v="2"/>
    <s v="MRCS"/>
    <s v="Kachin"/>
    <s v="Bhamo"/>
    <s v="Htoi San Church"/>
    <m/>
    <m/>
    <n v="41"/>
    <m/>
    <m/>
    <m/>
    <n v="41"/>
    <m/>
    <m/>
    <m/>
    <m/>
    <m/>
    <m/>
    <m/>
    <m/>
    <m/>
    <m/>
    <n v="0"/>
    <n v="0"/>
    <n v="0"/>
    <n v="0"/>
    <n v="0"/>
    <n v="0"/>
    <n v="0"/>
    <n v="0"/>
    <n v="0"/>
    <n v="0"/>
    <n v="0"/>
    <n v="0"/>
    <n v="0"/>
    <n v="0"/>
    <n v="0"/>
    <n v="0"/>
    <n v="0"/>
    <n v="0"/>
    <s v="MMR001CMP052"/>
    <x v="0"/>
    <x v="1"/>
    <s v="P4"/>
    <n v="1.0029844904349528E-3"/>
    <s v="No"/>
  </r>
  <r>
    <n v="38.56666666666667"/>
    <d v="2013-11-01T00:00:00"/>
    <x v="0"/>
    <s v="UNHCR"/>
    <s v="Kachin"/>
    <s v="Bhamo"/>
    <s v="Htoi San Church"/>
    <m/>
    <m/>
    <n v="12"/>
    <n v="9"/>
    <n v="6"/>
    <n v="9"/>
    <n v="6"/>
    <n v="6"/>
    <n v="6"/>
    <m/>
    <m/>
    <m/>
    <m/>
    <m/>
    <m/>
    <m/>
    <m/>
    <n v="0"/>
    <n v="0"/>
    <n v="0"/>
    <n v="0"/>
    <n v="0"/>
    <n v="0"/>
    <n v="0"/>
    <n v="0"/>
    <n v="0"/>
    <n v="0"/>
    <n v="0"/>
    <n v="0"/>
    <n v="0"/>
    <n v="0"/>
    <n v="0"/>
    <n v="0"/>
    <n v="0"/>
    <n v="0"/>
    <s v="MMR001CMP052"/>
    <x v="0"/>
    <x v="1"/>
    <s v="P4"/>
    <n v="1.4677821811243211E-4"/>
    <s v="No"/>
  </r>
  <r>
    <n v="38.633333333333333"/>
    <d v="2013-10-30T00:00:00"/>
    <x v="0"/>
    <s v="UNHCR"/>
    <s v="Kachin"/>
    <s v="Bhamo"/>
    <s v="Htoi San Church"/>
    <m/>
    <m/>
    <n v="72"/>
    <n v="61"/>
    <n v="36"/>
    <n v="61"/>
    <n v="36"/>
    <n v="36"/>
    <n v="36"/>
    <n v="36"/>
    <m/>
    <m/>
    <m/>
    <m/>
    <m/>
    <m/>
    <m/>
    <n v="0"/>
    <n v="0"/>
    <n v="0"/>
    <n v="0"/>
    <n v="0"/>
    <n v="0"/>
    <n v="0"/>
    <n v="0"/>
    <n v="0"/>
    <n v="0"/>
    <n v="0"/>
    <n v="0"/>
    <n v="0"/>
    <n v="0"/>
    <n v="0"/>
    <n v="0"/>
    <n v="0"/>
    <n v="0"/>
    <s v="MMR001CMP052"/>
    <x v="0"/>
    <x v="1"/>
    <s v="P4"/>
    <n v="8.8066930867459266E-4"/>
    <s v="No"/>
  </r>
  <r>
    <n v="48.4"/>
    <d v="2013-01-10T00:00:00"/>
    <x v="4"/>
    <s v="Solidarities"/>
    <s v="Kachin"/>
    <s v="Bhamo"/>
    <s v="Htoi San Church"/>
    <n v="212"/>
    <m/>
    <m/>
    <m/>
    <m/>
    <m/>
    <m/>
    <m/>
    <n v="0"/>
    <n v="0"/>
    <m/>
    <m/>
    <m/>
    <m/>
    <m/>
    <m/>
    <m/>
    <n v="0"/>
    <n v="0"/>
    <n v="0"/>
    <n v="0"/>
    <n v="0"/>
    <n v="0"/>
    <n v="0"/>
    <n v="0"/>
    <n v="0"/>
    <n v="0"/>
    <n v="0"/>
    <n v="0"/>
    <n v="0"/>
    <n v="0"/>
    <n v="0"/>
    <n v="0"/>
    <n v="0"/>
    <n v="0"/>
    <s v="MMR001CMP052"/>
    <x v="0"/>
    <x v="1"/>
    <s v="P4"/>
    <n v="0"/>
    <s v="No"/>
  </r>
  <r>
    <n v="26.1"/>
    <d v="2014-11-10T00:00:00"/>
    <x v="1"/>
    <s v="MRCS"/>
    <s v="Kachin"/>
    <s v="Puta-O"/>
    <s v="Naung Khaing"/>
    <m/>
    <m/>
    <m/>
    <m/>
    <m/>
    <m/>
    <m/>
    <m/>
    <m/>
    <m/>
    <n v="52"/>
    <n v="16"/>
    <m/>
    <m/>
    <m/>
    <m/>
    <m/>
    <n v="0"/>
    <n v="0"/>
    <n v="0"/>
    <n v="0"/>
    <n v="0"/>
    <n v="0"/>
    <n v="0"/>
    <n v="0"/>
    <n v="0"/>
    <n v="0"/>
    <n v="0"/>
    <n v="0"/>
    <n v="0"/>
    <n v="0"/>
    <n v="1"/>
    <n v="0"/>
    <n v="0"/>
    <n v="0"/>
    <s v="MMR001CMP220"/>
    <x v="0"/>
    <x v="0"/>
    <s v="P3"/>
    <n v="0"/>
    <m/>
  </r>
  <r>
    <n v="55.6"/>
    <d v="2012-06-08T00:00:00"/>
    <x v="4"/>
    <s v="Solidarities"/>
    <s v="Kachin"/>
    <s v="Bhamo"/>
    <s v="Htoi San Church"/>
    <n v="22"/>
    <m/>
    <m/>
    <m/>
    <m/>
    <m/>
    <m/>
    <m/>
    <m/>
    <m/>
    <m/>
    <m/>
    <m/>
    <m/>
    <m/>
    <m/>
    <m/>
    <n v="0"/>
    <n v="0"/>
    <n v="0"/>
    <n v="0"/>
    <n v="0"/>
    <n v="0"/>
    <n v="0"/>
    <n v="0"/>
    <n v="0"/>
    <n v="0"/>
    <n v="0"/>
    <n v="0"/>
    <n v="0"/>
    <n v="0"/>
    <n v="0"/>
    <n v="0"/>
    <n v="0"/>
    <n v="0"/>
    <s v="MMR001CMP052"/>
    <x v="0"/>
    <x v="1"/>
    <s v="P4"/>
    <n v="0"/>
    <m/>
  </r>
  <r>
    <n v="59.333333333333336"/>
    <d v="2012-02-17T00:00:00"/>
    <x v="4"/>
    <s v="Solidarities"/>
    <s v="Kachin"/>
    <s v="Bhamo"/>
    <s v="Htoi San Church"/>
    <n v="240"/>
    <m/>
    <m/>
    <m/>
    <m/>
    <m/>
    <m/>
    <m/>
    <m/>
    <m/>
    <m/>
    <m/>
    <m/>
    <m/>
    <m/>
    <m/>
    <m/>
    <n v="0"/>
    <n v="0"/>
    <n v="0"/>
    <n v="0"/>
    <n v="0"/>
    <n v="0"/>
    <n v="0"/>
    <n v="0"/>
    <n v="0"/>
    <n v="0"/>
    <n v="0"/>
    <n v="0"/>
    <n v="0"/>
    <n v="0"/>
    <n v="0"/>
    <n v="0"/>
    <n v="0"/>
    <n v="0"/>
    <s v="MMR001CMP052"/>
    <x v="0"/>
    <x v="1"/>
    <s v="P4"/>
    <n v="0"/>
    <m/>
  </r>
  <r>
    <n v="36.833333333333336"/>
    <d v="2013-12-23T00:00:00"/>
    <x v="4"/>
    <s v="KBC"/>
    <s v="Kachin"/>
    <s v="Waingmaw"/>
    <s v="IDP Boarding School, A Len Bum"/>
    <m/>
    <m/>
    <m/>
    <m/>
    <m/>
    <m/>
    <m/>
    <m/>
    <m/>
    <m/>
    <n v="2"/>
    <n v="111"/>
    <n v="226"/>
    <n v="113"/>
    <m/>
    <m/>
    <m/>
    <n v="0"/>
    <n v="0"/>
    <n v="0"/>
    <n v="0"/>
    <n v="0"/>
    <n v="0"/>
    <n v="0"/>
    <n v="0"/>
    <n v="0"/>
    <n v="0"/>
    <n v="0"/>
    <n v="0"/>
    <n v="0"/>
    <n v="0"/>
    <n v="1"/>
    <n v="0"/>
    <n v="0"/>
    <n v="0"/>
    <s v="MMR001CMP208"/>
    <x v="0"/>
    <x v="1"/>
    <s v="P2"/>
    <s v=""/>
    <m/>
  </r>
  <r>
    <n v="25.666666666666668"/>
    <d v="2014-11-23T00:00:00"/>
    <x v="0"/>
    <s v="KBC"/>
    <s v="Kachin"/>
    <s v="Myitkyina"/>
    <s v="Jan Mai Kawng Baptist Church"/>
    <m/>
    <m/>
    <m/>
    <n v="72"/>
    <n v="36"/>
    <n v="72"/>
    <n v="36"/>
    <m/>
    <n v="36"/>
    <n v="180"/>
    <m/>
    <m/>
    <m/>
    <m/>
    <m/>
    <m/>
    <m/>
    <n v="0"/>
    <n v="0"/>
    <n v="0"/>
    <n v="0"/>
    <n v="0"/>
    <n v="0"/>
    <n v="0"/>
    <n v="0"/>
    <n v="0"/>
    <n v="0"/>
    <n v="0"/>
    <n v="0"/>
    <n v="0"/>
    <n v="0"/>
    <n v="0"/>
    <n v="0"/>
    <n v="0"/>
    <n v="0"/>
    <s v="MMR001CMP018"/>
    <x v="0"/>
    <x v="1"/>
    <s v="P4"/>
    <n v="8.8397790055248619E-4"/>
    <m/>
  </r>
  <r>
    <n v="31.066666666666666"/>
    <d v="2014-06-14T00:00:00"/>
    <x v="8"/>
    <s v="MRCS"/>
    <s v="Kachin"/>
    <s v="Myitkyina"/>
    <s v="Jan Mai Kawng Baptist Church"/>
    <m/>
    <m/>
    <m/>
    <m/>
    <m/>
    <m/>
    <m/>
    <m/>
    <m/>
    <m/>
    <m/>
    <m/>
    <m/>
    <n v="406"/>
    <m/>
    <m/>
    <m/>
    <n v="0"/>
    <n v="0"/>
    <n v="0"/>
    <n v="0"/>
    <n v="0"/>
    <n v="0"/>
    <n v="0"/>
    <n v="0"/>
    <n v="0"/>
    <n v="0"/>
    <n v="0"/>
    <n v="0"/>
    <n v="0"/>
    <n v="0"/>
    <n v="1"/>
    <n v="0"/>
    <n v="0"/>
    <n v="0"/>
    <s v="MMR001CMP018"/>
    <x v="0"/>
    <x v="1"/>
    <s v="P4"/>
    <n v="0"/>
    <m/>
  </r>
  <r>
    <n v="47.4"/>
    <d v="2013-02-09T00:00:00"/>
    <x v="2"/>
    <s v="MRCS"/>
    <s v="Kachin"/>
    <s v="Myitkyina"/>
    <s v="Jan Mai Kawng Baptist Church"/>
    <m/>
    <m/>
    <m/>
    <m/>
    <n v="177"/>
    <n v="10"/>
    <n v="10"/>
    <m/>
    <n v="0"/>
    <n v="0"/>
    <m/>
    <m/>
    <m/>
    <m/>
    <m/>
    <m/>
    <m/>
    <n v="0"/>
    <n v="0"/>
    <n v="0"/>
    <n v="0"/>
    <n v="0"/>
    <n v="0"/>
    <n v="0"/>
    <n v="0"/>
    <n v="0"/>
    <n v="0"/>
    <n v="0"/>
    <n v="0"/>
    <n v="0"/>
    <n v="0"/>
    <n v="0"/>
    <n v="0"/>
    <n v="0"/>
    <n v="0"/>
    <s v="MMR001CMP018"/>
    <x v="0"/>
    <x v="1"/>
    <s v="P4"/>
    <n v="2.4554941682013506E-4"/>
    <s v="No"/>
  </r>
  <r>
    <n v="47.533333333333331"/>
    <d v="2013-02-05T00:00:00"/>
    <x v="2"/>
    <s v="MRCS"/>
    <s v="Kachin"/>
    <s v="Myitkyina"/>
    <s v="Jan Mai Kawng Baptist Church"/>
    <n v="22"/>
    <m/>
    <m/>
    <m/>
    <m/>
    <m/>
    <m/>
    <m/>
    <n v="0"/>
    <n v="0"/>
    <m/>
    <m/>
    <m/>
    <m/>
    <m/>
    <m/>
    <m/>
    <n v="0"/>
    <n v="0"/>
    <n v="0"/>
    <n v="0"/>
    <n v="0"/>
    <n v="0"/>
    <n v="0"/>
    <n v="0"/>
    <n v="0"/>
    <n v="0"/>
    <n v="0"/>
    <n v="0"/>
    <n v="0"/>
    <n v="0"/>
    <n v="0"/>
    <n v="0"/>
    <n v="0"/>
    <n v="0"/>
    <s v="MMR001CMP018"/>
    <x v="0"/>
    <x v="1"/>
    <s v="P4"/>
    <n v="0"/>
    <s v="No"/>
  </r>
  <r>
    <n v="49.1"/>
    <d v="2012-12-20T00:00:00"/>
    <x v="0"/>
    <s v="UNHCR"/>
    <s v="Kachin"/>
    <s v="Myitkyina"/>
    <s v="Jan Mai Kawng Baptist Church"/>
    <m/>
    <m/>
    <m/>
    <n v="19"/>
    <n v="10"/>
    <n v="19"/>
    <n v="10"/>
    <n v="10"/>
    <n v="10"/>
    <n v="10"/>
    <m/>
    <m/>
    <m/>
    <m/>
    <m/>
    <m/>
    <m/>
    <n v="0"/>
    <n v="0"/>
    <n v="0"/>
    <n v="0"/>
    <n v="0"/>
    <n v="0"/>
    <n v="0"/>
    <n v="0"/>
    <n v="0"/>
    <n v="0"/>
    <n v="0"/>
    <n v="0"/>
    <n v="0"/>
    <n v="0"/>
    <n v="0"/>
    <n v="0"/>
    <n v="0"/>
    <n v="0"/>
    <s v="MMR001CMP018"/>
    <x v="0"/>
    <x v="1"/>
    <s v="P4"/>
    <n v="2.4554941682013506E-4"/>
    <s v="No"/>
  </r>
  <r>
    <n v="52.93333333333333"/>
    <d v="2012-08-27T00:00:00"/>
    <x v="0"/>
    <s v="UNHCR"/>
    <s v="Kachin"/>
    <s v="Myitkyina"/>
    <s v="Jan Mai Kawng Baptist Church"/>
    <m/>
    <m/>
    <m/>
    <n v="7"/>
    <n v="4"/>
    <n v="7"/>
    <n v="3"/>
    <n v="3"/>
    <n v="3"/>
    <n v="3"/>
    <m/>
    <m/>
    <m/>
    <m/>
    <m/>
    <m/>
    <m/>
    <n v="0"/>
    <n v="0"/>
    <n v="0"/>
    <n v="0"/>
    <n v="0"/>
    <n v="0"/>
    <n v="0"/>
    <n v="0"/>
    <n v="0"/>
    <n v="0"/>
    <n v="0"/>
    <n v="0"/>
    <n v="0"/>
    <n v="0"/>
    <n v="0"/>
    <n v="0"/>
    <n v="0"/>
    <n v="0"/>
    <s v="MMR001CMP018"/>
    <x v="0"/>
    <x v="1"/>
    <s v="P4"/>
    <n v="7.3664825046040511E-5"/>
    <s v="No"/>
  </r>
  <r>
    <n v="53.533333333333331"/>
    <d v="2012-08-09T00:00:00"/>
    <x v="0"/>
    <s v="UNHCR"/>
    <s v="Kachin"/>
    <s v="Myitkyina"/>
    <s v="Jan Mai Kawng Baptist Church"/>
    <m/>
    <m/>
    <m/>
    <n v="7"/>
    <n v="3"/>
    <n v="7"/>
    <n v="3"/>
    <n v="3"/>
    <n v="3"/>
    <n v="3"/>
    <m/>
    <m/>
    <m/>
    <m/>
    <m/>
    <m/>
    <m/>
    <n v="0"/>
    <n v="0"/>
    <n v="0"/>
    <n v="0"/>
    <n v="0"/>
    <n v="0"/>
    <n v="0"/>
    <n v="0"/>
    <n v="0"/>
    <n v="0"/>
    <n v="0"/>
    <n v="0"/>
    <n v="0"/>
    <n v="0"/>
    <n v="0"/>
    <n v="0"/>
    <n v="0"/>
    <n v="0"/>
    <s v="MMR001CMP018"/>
    <x v="0"/>
    <x v="1"/>
    <s v="P4"/>
    <n v="7.3664825046040511E-5"/>
    <s v="No"/>
  </r>
  <r>
    <n v="54.3"/>
    <d v="2012-07-17T00:00:00"/>
    <x v="0"/>
    <s v="UNHCR"/>
    <s v="Kachin"/>
    <s v="Myitkyina"/>
    <s v="Jan Mai Kawng Baptist Church"/>
    <m/>
    <m/>
    <m/>
    <n v="21"/>
    <n v="21"/>
    <n v="21"/>
    <n v="21"/>
    <n v="21"/>
    <n v="21"/>
    <n v="21"/>
    <m/>
    <m/>
    <m/>
    <m/>
    <m/>
    <m/>
    <m/>
    <n v="0"/>
    <n v="0"/>
    <n v="0"/>
    <n v="0"/>
    <n v="0"/>
    <n v="0"/>
    <n v="0"/>
    <n v="0"/>
    <n v="0"/>
    <n v="0"/>
    <n v="0"/>
    <n v="0"/>
    <n v="0"/>
    <n v="0"/>
    <n v="0"/>
    <n v="0"/>
    <n v="0"/>
    <n v="0"/>
    <s v="MMR001CMP018"/>
    <x v="0"/>
    <x v="1"/>
    <s v="P4"/>
    <n v="5.1565377532228362E-4"/>
    <s v="No"/>
  </r>
  <r>
    <n v="56.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1"/>
    <s v="P4"/>
    <n v="3.6832412523020257E-4"/>
    <s v="No"/>
  </r>
  <r>
    <n v="60.3"/>
    <d v="2012-01-19T00:00:00"/>
    <x v="0"/>
    <s v="KBC"/>
    <s v="Kachin"/>
    <s v="Myitkyina"/>
    <s v="Jan Mai Kawng Baptist Church"/>
    <m/>
    <m/>
    <m/>
    <n v="0"/>
    <n v="0"/>
    <n v="0"/>
    <n v="0"/>
    <n v="118"/>
    <n v="118"/>
    <n v="118"/>
    <m/>
    <m/>
    <m/>
    <m/>
    <m/>
    <m/>
    <m/>
    <n v="0"/>
    <n v="0"/>
    <n v="0"/>
    <n v="0"/>
    <n v="0"/>
    <n v="0"/>
    <n v="0"/>
    <n v="0"/>
    <n v="0"/>
    <n v="0"/>
    <n v="0"/>
    <n v="0"/>
    <n v="0"/>
    <n v="0"/>
    <n v="0"/>
    <n v="0"/>
    <n v="0"/>
    <n v="0"/>
    <s v="MMR001CMP018"/>
    <x v="0"/>
    <x v="1"/>
    <s v="P4"/>
    <n v="0"/>
    <s v="No"/>
  </r>
  <r>
    <n v="26.433333333333334"/>
    <d v="2014-10-31T00:00:00"/>
    <x v="1"/>
    <s v="MRCS"/>
    <s v="Kachin"/>
    <s v="Machanbaw"/>
    <s v="Machanbaw - KBC"/>
    <m/>
    <m/>
    <m/>
    <m/>
    <m/>
    <m/>
    <m/>
    <m/>
    <m/>
    <m/>
    <n v="20"/>
    <n v="8"/>
    <m/>
    <m/>
    <m/>
    <m/>
    <m/>
    <n v="0"/>
    <n v="0"/>
    <n v="0"/>
    <n v="0"/>
    <n v="0"/>
    <n v="0"/>
    <n v="0"/>
    <n v="0"/>
    <n v="0"/>
    <n v="0"/>
    <n v="0"/>
    <n v="0"/>
    <n v="0"/>
    <n v="0"/>
    <n v="1"/>
    <n v="0"/>
    <n v="0"/>
    <n v="0"/>
    <s v="MMR001CMP221"/>
    <x v="0"/>
    <x v="0"/>
    <s v="P3"/>
    <n v="0"/>
    <m/>
  </r>
  <r>
    <n v="60.7"/>
    <d v="2012-01-07T00:00:00"/>
    <x v="0"/>
    <s v="KMSS"/>
    <s v="Kachin"/>
    <s v="Myitkyina"/>
    <s v="Jan Mai Kawng Baptist Church"/>
    <m/>
    <m/>
    <m/>
    <n v="32"/>
    <n v="16"/>
    <n v="32"/>
    <n v="16"/>
    <n v="16"/>
    <n v="16"/>
    <n v="16"/>
    <m/>
    <m/>
    <m/>
    <m/>
    <m/>
    <m/>
    <m/>
    <n v="0"/>
    <n v="0"/>
    <n v="0"/>
    <n v="0"/>
    <n v="0"/>
    <n v="0"/>
    <n v="0"/>
    <n v="0"/>
    <n v="0"/>
    <n v="0"/>
    <n v="0"/>
    <n v="0"/>
    <n v="0"/>
    <n v="0"/>
    <n v="0"/>
    <n v="0"/>
    <n v="0"/>
    <n v="0"/>
    <s v="MMR001CMP018"/>
    <x v="0"/>
    <x v="1"/>
    <s v="P4"/>
    <n v="3.9287906691221606E-4"/>
    <s v="No"/>
  </r>
  <r>
    <n v="60.966666666666669"/>
    <d v="2011-12-30T00:00:00"/>
    <x v="0"/>
    <s v="KBC"/>
    <s v="Kachin"/>
    <s v="Myitkyina"/>
    <s v="Jan Mai Kawng Baptist Church"/>
    <m/>
    <m/>
    <m/>
    <n v="56"/>
    <n v="29"/>
    <n v="56"/>
    <n v="29"/>
    <n v="29"/>
    <n v="29"/>
    <n v="29"/>
    <m/>
    <m/>
    <m/>
    <m/>
    <m/>
    <m/>
    <m/>
    <n v="0"/>
    <n v="0"/>
    <n v="0"/>
    <n v="0"/>
    <n v="0"/>
    <n v="0"/>
    <n v="0"/>
    <n v="0"/>
    <n v="0"/>
    <n v="0"/>
    <n v="0"/>
    <n v="0"/>
    <n v="0"/>
    <n v="0"/>
    <n v="0"/>
    <n v="0"/>
    <n v="0"/>
    <n v="0"/>
    <s v="MMR001CMP018"/>
    <x v="0"/>
    <x v="1"/>
    <s v="P4"/>
    <n v="7.1209330877839165E-4"/>
    <s v="No"/>
  </r>
  <r>
    <n v="61.8"/>
    <d v="2011-12-05T00:00:00"/>
    <x v="0"/>
    <s v="KMSS"/>
    <s v="Kachin"/>
    <s v="Myitkyina"/>
    <s v="Jan Mai Kawng Baptist Church"/>
    <m/>
    <m/>
    <m/>
    <n v="80"/>
    <n v="45"/>
    <n v="80"/>
    <n v="45"/>
    <n v="45"/>
    <n v="45"/>
    <n v="45"/>
    <m/>
    <m/>
    <m/>
    <m/>
    <m/>
    <m/>
    <m/>
    <n v="0"/>
    <n v="0"/>
    <n v="0"/>
    <n v="0"/>
    <n v="0"/>
    <n v="0"/>
    <n v="0"/>
    <n v="0"/>
    <n v="0"/>
    <n v="0"/>
    <n v="0"/>
    <n v="0"/>
    <n v="0"/>
    <n v="0"/>
    <n v="0"/>
    <n v="0"/>
    <n v="0"/>
    <n v="0"/>
    <s v="MMR001CMP018"/>
    <x v="0"/>
    <x v="1"/>
    <s v="P4"/>
    <n v="1.1049723756906078E-3"/>
    <s v="No"/>
  </r>
  <r>
    <n v="62.833333333333336"/>
    <d v="2011-11-04T00:00:00"/>
    <x v="0"/>
    <s v="KBC"/>
    <s v="Kachin"/>
    <s v="Myitkyina"/>
    <s v="Jan Mai Kawng Baptist Church"/>
    <m/>
    <m/>
    <m/>
    <n v="208"/>
    <n v="102"/>
    <n v="208"/>
    <n v="102"/>
    <n v="102"/>
    <n v="102"/>
    <n v="102"/>
    <m/>
    <m/>
    <m/>
    <m/>
    <m/>
    <m/>
    <m/>
    <n v="0"/>
    <n v="0"/>
    <n v="0"/>
    <n v="0"/>
    <n v="0"/>
    <n v="0"/>
    <n v="0"/>
    <n v="0"/>
    <n v="0"/>
    <n v="0"/>
    <n v="0"/>
    <n v="0"/>
    <n v="0"/>
    <n v="0"/>
    <n v="0"/>
    <n v="0"/>
    <n v="0"/>
    <n v="0"/>
    <s v="MMR001CMP018"/>
    <x v="0"/>
    <x v="1"/>
    <s v="P4"/>
    <n v="2.5046040515653775E-3"/>
    <s v="No"/>
  </r>
  <r>
    <n v="62.866666666666667"/>
    <d v="2011-11-03T00:00:00"/>
    <x v="0"/>
    <s v="KMSS"/>
    <s v="Kachin"/>
    <s v="Myitkyina"/>
    <s v="Jan Mai Kawng Baptist Church"/>
    <m/>
    <m/>
    <m/>
    <n v="106"/>
    <n v="52"/>
    <n v="106"/>
    <n v="52"/>
    <n v="52"/>
    <n v="52"/>
    <n v="52"/>
    <m/>
    <m/>
    <m/>
    <m/>
    <m/>
    <m/>
    <m/>
    <n v="0"/>
    <n v="0"/>
    <n v="0"/>
    <n v="0"/>
    <n v="0"/>
    <n v="0"/>
    <n v="0"/>
    <n v="0"/>
    <n v="0"/>
    <n v="0"/>
    <n v="0"/>
    <n v="0"/>
    <n v="0"/>
    <n v="0"/>
    <n v="0"/>
    <n v="0"/>
    <n v="0"/>
    <n v="0"/>
    <s v="MMR001CMP018"/>
    <x v="0"/>
    <x v="1"/>
    <s v="P4"/>
    <n v="1.2768569674647024E-3"/>
    <s v="No"/>
  </r>
  <r>
    <n v="27.433333333333334"/>
    <d v="2014-10-01T00:00:00"/>
    <x v="0"/>
    <s v="KMSS"/>
    <s v="Kachin"/>
    <s v="Myitkyina"/>
    <s v="Jan Mai Kawng Catholic Church"/>
    <m/>
    <m/>
    <m/>
    <n v="218"/>
    <m/>
    <m/>
    <m/>
    <m/>
    <m/>
    <m/>
    <m/>
    <m/>
    <m/>
    <m/>
    <m/>
    <m/>
    <m/>
    <n v="0"/>
    <n v="0"/>
    <n v="0"/>
    <n v="0"/>
    <n v="0"/>
    <n v="0"/>
    <n v="0"/>
    <n v="0"/>
    <n v="0"/>
    <n v="0"/>
    <n v="0"/>
    <n v="0"/>
    <n v="0"/>
    <n v="0"/>
    <n v="0"/>
    <n v="0"/>
    <n v="0"/>
    <n v="0"/>
    <s v="MMR001CMP019"/>
    <x v="0"/>
    <x v="1"/>
    <s v="P4"/>
    <n v="0"/>
    <m/>
  </r>
  <r>
    <n v="31.066666666666666"/>
    <d v="2014-06-14T00:00:00"/>
    <x v="8"/>
    <s v="MRCS"/>
    <s v="Kachin"/>
    <s v="Myitkyina"/>
    <s v="Jan Mai Kawng Catholic Church"/>
    <m/>
    <m/>
    <m/>
    <m/>
    <m/>
    <m/>
    <m/>
    <m/>
    <m/>
    <m/>
    <m/>
    <m/>
    <m/>
    <n v="216"/>
    <m/>
    <m/>
    <m/>
    <n v="0"/>
    <n v="0"/>
    <n v="0"/>
    <n v="0"/>
    <n v="0"/>
    <n v="0"/>
    <n v="0"/>
    <n v="0"/>
    <n v="0"/>
    <n v="0"/>
    <n v="0"/>
    <n v="0"/>
    <n v="0"/>
    <n v="0"/>
    <n v="1"/>
    <n v="0"/>
    <n v="0"/>
    <n v="0"/>
    <s v="MMR001CMP019"/>
    <x v="0"/>
    <x v="1"/>
    <s v="P4"/>
    <n v="0"/>
    <m/>
  </r>
  <r>
    <n v="44.43333333333333"/>
    <d v="2013-05-09T00:00:00"/>
    <x v="6"/>
    <s v="KMSS"/>
    <s v="Kachin"/>
    <s v="Myitkyina"/>
    <s v="Jan Mai Kawng Catholic Church"/>
    <n v="460"/>
    <m/>
    <m/>
    <m/>
    <m/>
    <m/>
    <m/>
    <m/>
    <m/>
    <m/>
    <m/>
    <m/>
    <m/>
    <m/>
    <m/>
    <m/>
    <m/>
    <n v="0"/>
    <n v="0"/>
    <n v="0"/>
    <n v="0"/>
    <n v="0"/>
    <n v="0"/>
    <n v="0"/>
    <n v="0"/>
    <n v="0"/>
    <n v="0"/>
    <n v="0"/>
    <n v="0"/>
    <n v="0"/>
    <n v="0"/>
    <n v="0"/>
    <n v="0"/>
    <n v="0"/>
    <n v="0"/>
    <s v="MMR001CMP019"/>
    <x v="0"/>
    <x v="1"/>
    <s v="P4"/>
    <n v="0"/>
    <s v="No"/>
  </r>
  <r>
    <n v="46.833333333333336"/>
    <d v="2013-02-26T00:00:00"/>
    <x v="2"/>
    <s v="MRCS"/>
    <s v="Kachin"/>
    <s v="Myitkyina"/>
    <s v="Jan Mai Kawng Catholic Church"/>
    <m/>
    <m/>
    <n v="99"/>
    <m/>
    <n v="99"/>
    <m/>
    <m/>
    <m/>
    <n v="0"/>
    <n v="0"/>
    <m/>
    <m/>
    <m/>
    <m/>
    <m/>
    <m/>
    <m/>
    <n v="0"/>
    <n v="0"/>
    <n v="0"/>
    <n v="0"/>
    <n v="0"/>
    <n v="0"/>
    <n v="0"/>
    <n v="0"/>
    <n v="0"/>
    <n v="0"/>
    <n v="0"/>
    <n v="0"/>
    <n v="0"/>
    <n v="0"/>
    <n v="0"/>
    <n v="0"/>
    <n v="0"/>
    <n v="0"/>
    <s v="MMR001CMP019"/>
    <x v="0"/>
    <x v="1"/>
    <s v="P4"/>
    <n v="0"/>
    <s v="No"/>
  </r>
  <r>
    <n v="54.1"/>
    <d v="2012-07-23T00:00:00"/>
    <x v="0"/>
    <s v="UNHCR"/>
    <s v="Kachin"/>
    <s v="Myitkyina"/>
    <s v="Jan Mai Kawng Catholic Church"/>
    <m/>
    <m/>
    <m/>
    <n v="19"/>
    <n v="10"/>
    <n v="19"/>
    <n v="10"/>
    <n v="11"/>
    <n v="11"/>
    <n v="11"/>
    <m/>
    <m/>
    <m/>
    <m/>
    <m/>
    <m/>
    <m/>
    <n v="0"/>
    <n v="0"/>
    <n v="0"/>
    <n v="0"/>
    <n v="0"/>
    <n v="0"/>
    <n v="0"/>
    <n v="0"/>
    <n v="0"/>
    <n v="0"/>
    <n v="0"/>
    <n v="0"/>
    <n v="0"/>
    <n v="0"/>
    <n v="0"/>
    <n v="0"/>
    <n v="0"/>
    <n v="0"/>
    <s v="MMR001CMP019"/>
    <x v="0"/>
    <x v="1"/>
    <s v="P4"/>
    <n v="2.4554941682013506E-4"/>
    <s v="No"/>
  </r>
  <r>
    <n v="60.733333333333334"/>
    <d v="2012-01-06T00:00:00"/>
    <x v="0"/>
    <s v="KMSS"/>
    <s v="Kachin"/>
    <s v="Myitkyina"/>
    <s v="Jan Mai Kawng Catholic Church"/>
    <m/>
    <m/>
    <m/>
    <n v="0"/>
    <n v="0"/>
    <n v="0"/>
    <n v="0"/>
    <n v="9"/>
    <n v="9"/>
    <n v="9"/>
    <m/>
    <m/>
    <m/>
    <m/>
    <m/>
    <m/>
    <m/>
    <n v="0"/>
    <n v="0"/>
    <n v="0"/>
    <n v="0"/>
    <n v="0"/>
    <n v="0"/>
    <n v="0"/>
    <n v="0"/>
    <n v="0"/>
    <n v="0"/>
    <n v="0"/>
    <n v="0"/>
    <n v="0"/>
    <n v="0"/>
    <n v="0"/>
    <n v="0"/>
    <n v="0"/>
    <n v="0"/>
    <s v="MMR001CMP019"/>
    <x v="0"/>
    <x v="1"/>
    <s v="P4"/>
    <n v="0"/>
    <s v="No"/>
  </r>
  <r>
    <n v="10.4"/>
    <d v="2016-02-24T00:00:00"/>
    <x v="4"/>
    <s v="KBC"/>
    <s v="Kachin"/>
    <s v="Momauk"/>
    <s v="Je Yang Hka "/>
    <m/>
    <m/>
    <m/>
    <m/>
    <m/>
    <m/>
    <m/>
    <m/>
    <m/>
    <m/>
    <m/>
    <m/>
    <m/>
    <m/>
    <m/>
    <m/>
    <m/>
    <n v="0"/>
    <n v="0"/>
    <n v="0"/>
    <n v="0"/>
    <n v="0"/>
    <n v="0"/>
    <n v="0"/>
    <n v="0"/>
    <n v="0"/>
    <n v="0"/>
    <n v="0"/>
    <n v="0"/>
    <n v="0"/>
    <n v="0"/>
    <n v="0"/>
    <n v="0"/>
    <n v="0"/>
    <n v="0"/>
    <s v="MMR001CMP121"/>
    <x v="0"/>
    <x v="1"/>
    <s v="P2"/>
    <n v="0"/>
    <m/>
  </r>
  <r>
    <n v="10.433333333333334"/>
    <d v="2016-02-23T00:00:00"/>
    <x v="4"/>
    <s v="KBC"/>
    <s v="Kachin"/>
    <s v="Momauk"/>
    <s v="Je Yang Hka "/>
    <m/>
    <m/>
    <n v="1807"/>
    <m/>
    <m/>
    <m/>
    <m/>
    <m/>
    <m/>
    <m/>
    <m/>
    <m/>
    <m/>
    <m/>
    <m/>
    <m/>
    <m/>
    <n v="0"/>
    <n v="0"/>
    <n v="1807"/>
    <n v="0"/>
    <n v="0"/>
    <n v="0"/>
    <n v="0"/>
    <n v="0"/>
    <n v="0"/>
    <n v="0"/>
    <n v="0"/>
    <n v="0"/>
    <n v="0"/>
    <n v="0"/>
    <n v="0"/>
    <n v="0"/>
    <n v="0"/>
    <n v="0"/>
    <s v="MMR001CMP121"/>
    <x v="0"/>
    <x v="1"/>
    <s v="P2"/>
    <n v="0"/>
    <m/>
  </r>
  <r>
    <n v="18.399999999999999"/>
    <d v="2015-06-29T00:00:00"/>
    <x v="4"/>
    <s v="KBC"/>
    <s v="Kachin"/>
    <s v="Momauk"/>
    <s v="Je Yang Hka "/>
    <m/>
    <m/>
    <n v="2350"/>
    <m/>
    <m/>
    <m/>
    <m/>
    <m/>
    <m/>
    <m/>
    <m/>
    <m/>
    <m/>
    <m/>
    <m/>
    <m/>
    <m/>
    <n v="0"/>
    <n v="0"/>
    <n v="0"/>
    <n v="0"/>
    <n v="0"/>
    <n v="0"/>
    <n v="0"/>
    <n v="0"/>
    <n v="0"/>
    <n v="0"/>
    <n v="0"/>
    <n v="0"/>
    <n v="0"/>
    <n v="0"/>
    <n v="0"/>
    <n v="0"/>
    <n v="0"/>
    <n v="0"/>
    <s v="MMR001CMP121"/>
    <x v="0"/>
    <x v="1"/>
    <s v="P2"/>
    <n v="0"/>
    <m/>
  </r>
  <r>
    <n v="26.633333333333333"/>
    <d v="2014-10-25T00:00:00"/>
    <x v="1"/>
    <s v="MRCS"/>
    <s v="Kachin"/>
    <s v="Hpakant"/>
    <s v="Baptist Church, Naung Hmee VT"/>
    <m/>
    <m/>
    <m/>
    <m/>
    <m/>
    <m/>
    <m/>
    <m/>
    <m/>
    <m/>
    <n v="48"/>
    <n v="30"/>
    <m/>
    <m/>
    <m/>
    <m/>
    <m/>
    <n v="0"/>
    <n v="0"/>
    <n v="0"/>
    <n v="0"/>
    <n v="0"/>
    <n v="0"/>
    <n v="0"/>
    <n v="0"/>
    <n v="0"/>
    <n v="0"/>
    <n v="0"/>
    <n v="0"/>
    <n v="0"/>
    <n v="0"/>
    <n v="1"/>
    <n v="0"/>
    <n v="0"/>
    <n v="0"/>
    <s v="MMR001CMP188"/>
    <x v="0"/>
    <x v="0"/>
    <s v="P4"/>
    <s v=""/>
    <m/>
  </r>
  <r>
    <n v="22.833333333333332"/>
    <d v="2015-02-16T00:00:00"/>
    <x v="0"/>
    <s v="KMSS"/>
    <s v="Kachin"/>
    <s v="Waingmaw"/>
    <s v="Je Yang Hka "/>
    <m/>
    <m/>
    <m/>
    <m/>
    <m/>
    <m/>
    <m/>
    <m/>
    <m/>
    <m/>
    <n v="2676"/>
    <n v="2672"/>
    <m/>
    <n v="3186"/>
    <m/>
    <m/>
    <m/>
    <n v="0"/>
    <n v="0"/>
    <n v="0"/>
    <n v="0"/>
    <n v="0"/>
    <n v="0"/>
    <n v="0"/>
    <n v="0"/>
    <n v="0"/>
    <n v="0"/>
    <n v="0"/>
    <n v="0"/>
    <n v="0"/>
    <n v="0"/>
    <n v="1"/>
    <n v="0"/>
    <n v="0"/>
    <n v="0"/>
    <s v="MMR001CMP121"/>
    <x v="0"/>
    <x v="1"/>
    <s v="P2"/>
    <n v="0"/>
    <s v="No"/>
  </r>
  <r>
    <n v="29.566666666666666"/>
    <d v="2014-07-29T00:00:00"/>
    <x v="0"/>
    <m/>
    <s v="Kachin"/>
    <s v="Momauk"/>
    <s v="Je Yang Hka "/>
    <m/>
    <m/>
    <m/>
    <n v="254"/>
    <n v="204"/>
    <n v="254"/>
    <n v="134"/>
    <m/>
    <n v="134"/>
    <n v="608"/>
    <m/>
    <m/>
    <m/>
    <m/>
    <m/>
    <m/>
    <m/>
    <n v="0"/>
    <n v="0"/>
    <n v="0"/>
    <n v="0"/>
    <n v="0"/>
    <n v="0"/>
    <n v="0"/>
    <n v="0"/>
    <n v="0"/>
    <n v="0"/>
    <n v="0"/>
    <n v="0"/>
    <n v="0"/>
    <n v="0"/>
    <n v="0"/>
    <n v="0"/>
    <n v="0"/>
    <n v="0"/>
    <s v="MMR001CMP121"/>
    <x v="0"/>
    <x v="1"/>
    <s v="P2"/>
    <n v="3.2634373249555539E-3"/>
    <m/>
  </r>
  <r>
    <n v="37.6"/>
    <d v="2013-11-30T00:00:00"/>
    <x v="4"/>
    <s v="KBC"/>
    <s v="Kachin"/>
    <s v="Momauk"/>
    <s v="Je Yang Hka "/>
    <m/>
    <m/>
    <m/>
    <m/>
    <m/>
    <m/>
    <m/>
    <m/>
    <m/>
    <n v="5268"/>
    <m/>
    <m/>
    <m/>
    <m/>
    <m/>
    <m/>
    <m/>
    <n v="0"/>
    <n v="0"/>
    <n v="0"/>
    <n v="0"/>
    <n v="0"/>
    <n v="0"/>
    <n v="0"/>
    <n v="0"/>
    <n v="0"/>
    <n v="0"/>
    <n v="0"/>
    <n v="0"/>
    <n v="0"/>
    <n v="0"/>
    <n v="0"/>
    <n v="0"/>
    <n v="0"/>
    <n v="0"/>
    <s v="MMR001CMP121"/>
    <x v="0"/>
    <x v="1"/>
    <s v="P2"/>
    <n v="0"/>
    <s v="No"/>
  </r>
  <r>
    <n v="39.766666666666666"/>
    <d v="2013-09-26T00:00:00"/>
    <x v="0"/>
    <s v="UNHCR"/>
    <s v="Kachin"/>
    <s v="Momauk"/>
    <s v="Je Yang Hka "/>
    <m/>
    <m/>
    <n v="1628"/>
    <n v="3256"/>
    <n v="1628"/>
    <n v="3256"/>
    <n v="1628"/>
    <m/>
    <n v="1628"/>
    <n v="3256"/>
    <m/>
    <m/>
    <m/>
    <m/>
    <m/>
    <m/>
    <m/>
    <n v="0"/>
    <n v="0"/>
    <n v="0"/>
    <n v="0"/>
    <n v="0"/>
    <n v="0"/>
    <n v="0"/>
    <n v="0"/>
    <n v="0"/>
    <n v="0"/>
    <n v="0"/>
    <n v="0"/>
    <n v="0"/>
    <n v="0"/>
    <n v="0"/>
    <n v="0"/>
    <n v="0"/>
    <n v="0"/>
    <s v="MMR001CMP121"/>
    <x v="0"/>
    <x v="1"/>
    <s v="P2"/>
    <n v="3.9648328097221207E-2"/>
    <s v="No"/>
  </r>
  <r>
    <n v="49.366666666666667"/>
    <d v="2012-12-12T00:00:00"/>
    <x v="4"/>
    <s v="Solidarities"/>
    <s v="Kachin"/>
    <s v="Momauk"/>
    <s v="Je Yang Hka "/>
    <n v="5228"/>
    <m/>
    <m/>
    <m/>
    <m/>
    <m/>
    <m/>
    <m/>
    <n v="0"/>
    <n v="0"/>
    <m/>
    <m/>
    <m/>
    <m/>
    <m/>
    <m/>
    <m/>
    <n v="0"/>
    <n v="0"/>
    <n v="0"/>
    <n v="0"/>
    <n v="0"/>
    <n v="0"/>
    <n v="0"/>
    <n v="0"/>
    <n v="0"/>
    <n v="0"/>
    <n v="0"/>
    <n v="0"/>
    <n v="0"/>
    <n v="0"/>
    <n v="0"/>
    <n v="0"/>
    <n v="0"/>
    <n v="0"/>
    <s v="MMR001CMP121"/>
    <x v="0"/>
    <x v="1"/>
    <s v="P2"/>
    <n v="0"/>
    <s v="No"/>
  </r>
  <r>
    <n v="61.533333333333331"/>
    <d v="2011-12-13T00:00:00"/>
    <x v="0"/>
    <s v="IRRC"/>
    <s v="Kachin"/>
    <s v="Momauk"/>
    <s v="Je Yang Hka "/>
    <m/>
    <m/>
    <m/>
    <n v="250"/>
    <n v="125"/>
    <n v="250"/>
    <n v="125"/>
    <n v="125"/>
    <n v="125"/>
    <n v="125"/>
    <m/>
    <m/>
    <m/>
    <m/>
    <m/>
    <m/>
    <m/>
    <n v="0"/>
    <n v="0"/>
    <n v="0"/>
    <n v="0"/>
    <n v="0"/>
    <n v="0"/>
    <n v="0"/>
    <n v="0"/>
    <n v="0"/>
    <n v="0"/>
    <n v="0"/>
    <n v="0"/>
    <n v="0"/>
    <n v="0"/>
    <n v="0"/>
    <n v="0"/>
    <n v="0"/>
    <n v="0"/>
    <s v="MMR001CMP121"/>
    <x v="0"/>
    <x v="1"/>
    <s v="P2"/>
    <n v="3.0442512359660019E-3"/>
    <s v="No"/>
  </r>
  <r>
    <n v="50.966666666666669"/>
    <d v="2012-10-25T00:00:00"/>
    <x v="4"/>
    <s v="Solidarities"/>
    <s v="Kachin"/>
    <s v="Momauk"/>
    <s v="Khun Sint Village"/>
    <n v="23"/>
    <m/>
    <m/>
    <m/>
    <m/>
    <m/>
    <m/>
    <m/>
    <m/>
    <m/>
    <m/>
    <m/>
    <m/>
    <m/>
    <m/>
    <m/>
    <m/>
    <n v="0"/>
    <n v="0"/>
    <n v="0"/>
    <n v="0"/>
    <n v="0"/>
    <n v="0"/>
    <n v="0"/>
    <n v="0"/>
    <n v="0"/>
    <n v="0"/>
    <n v="0"/>
    <n v="0"/>
    <n v="0"/>
    <n v="0"/>
    <n v="0"/>
    <n v="0"/>
    <n v="0"/>
    <n v="0"/>
    <s v="MMR001CMP200"/>
    <x v="0"/>
    <x v="1"/>
    <s v="P4"/>
    <s v=""/>
    <m/>
  </r>
  <r>
    <n v="58.333333333333336"/>
    <d v="2012-03-18T00:00:00"/>
    <x v="4"/>
    <s v="Solidarities"/>
    <s v="Kachin"/>
    <s v="Momauk"/>
    <s v="Khun Sint Village"/>
    <n v="850"/>
    <m/>
    <m/>
    <m/>
    <m/>
    <m/>
    <m/>
    <m/>
    <m/>
    <m/>
    <m/>
    <m/>
    <m/>
    <m/>
    <m/>
    <m/>
    <m/>
    <n v="0"/>
    <n v="0"/>
    <n v="0"/>
    <n v="0"/>
    <n v="0"/>
    <n v="0"/>
    <n v="0"/>
    <n v="0"/>
    <n v="0"/>
    <n v="0"/>
    <n v="0"/>
    <n v="0"/>
    <n v="0"/>
    <n v="0"/>
    <n v="0"/>
    <n v="0"/>
    <n v="0"/>
    <n v="0"/>
    <s v="MMR001CMP200"/>
    <x v="0"/>
    <x v="1"/>
    <s v="P4"/>
    <s v=""/>
    <m/>
  </r>
  <r>
    <n v="41.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7.1"/>
    <d v="2013-02-18T00:00:00"/>
    <x v="0"/>
    <s v="KBC"/>
    <s v="Shan_North"/>
    <s v="Kutkai"/>
    <s v="Kutkai downtown (KBC Church)"/>
    <m/>
    <m/>
    <n v="120"/>
    <n v="120"/>
    <n v="60"/>
    <n v="120"/>
    <n v="60"/>
    <n v="60"/>
    <n v="60"/>
    <n v="60"/>
    <m/>
    <m/>
    <m/>
    <m/>
    <m/>
    <m/>
    <m/>
    <n v="0"/>
    <n v="0"/>
    <n v="0"/>
    <n v="0"/>
    <n v="0"/>
    <n v="0"/>
    <n v="0"/>
    <n v="0"/>
    <n v="0"/>
    <n v="0"/>
    <n v="0"/>
    <n v="0"/>
    <n v="0"/>
    <n v="0"/>
    <n v="0"/>
    <n v="0"/>
    <n v="0"/>
    <n v="0"/>
    <s v="MMR015CMP016"/>
    <x v="0"/>
    <x v="1"/>
    <s v="P3"/>
    <n v="1.4547570555717194E-3"/>
    <s v="No"/>
  </r>
  <r>
    <n v="20.866666666666667"/>
    <d v="2015-04-16T00:00:00"/>
    <x v="0"/>
    <s v="KMSS-LSO"/>
    <s v="Shan_North"/>
    <s v="Kutkai"/>
    <s v="Kutkai downtown (RC Church)"/>
    <m/>
    <m/>
    <m/>
    <m/>
    <m/>
    <m/>
    <m/>
    <m/>
    <m/>
    <n v="69"/>
    <m/>
    <m/>
    <m/>
    <m/>
    <m/>
    <m/>
    <m/>
    <n v="0"/>
    <n v="0"/>
    <n v="0"/>
    <n v="0"/>
    <n v="0"/>
    <n v="0"/>
    <n v="0"/>
    <n v="0"/>
    <n v="0"/>
    <n v="0"/>
    <n v="0"/>
    <n v="0"/>
    <n v="0"/>
    <n v="0"/>
    <n v="0"/>
    <n v="0"/>
    <n v="0"/>
    <n v="0"/>
    <s v="MMR015CMP017"/>
    <x v="0"/>
    <x v="1"/>
    <s v="P3"/>
    <n v="0"/>
    <s v="No"/>
  </r>
  <r>
    <n v="41.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1"/>
    <s v="P3"/>
    <n v="9.9408398797400837E-4"/>
    <s v="No"/>
  </r>
  <r>
    <n v="31.9"/>
    <d v="2014-05-20T00:00:00"/>
    <x v="8"/>
    <s v="MRCS"/>
    <s v="Kachin"/>
    <s v="Myitkyina"/>
    <s v="Kyun Pin Thar Baptist Church"/>
    <m/>
    <m/>
    <m/>
    <m/>
    <m/>
    <m/>
    <m/>
    <m/>
    <m/>
    <m/>
    <m/>
    <m/>
    <m/>
    <n v="88"/>
    <m/>
    <m/>
    <m/>
    <n v="0"/>
    <n v="0"/>
    <n v="0"/>
    <n v="0"/>
    <n v="0"/>
    <n v="0"/>
    <n v="0"/>
    <n v="0"/>
    <n v="0"/>
    <n v="0"/>
    <n v="0"/>
    <n v="0"/>
    <n v="0"/>
    <n v="0"/>
    <n v="1"/>
    <n v="0"/>
    <n v="0"/>
    <n v="0"/>
    <s v="MMR001CMP013"/>
    <x v="0"/>
    <x v="1"/>
    <s v="P4"/>
    <n v="0"/>
    <m/>
  </r>
  <r>
    <n v="54.233333333333334"/>
    <d v="2012-07-19T00:00:00"/>
    <x v="0"/>
    <s v="UNHCR"/>
    <s v="Kachin"/>
    <s v="Myitkyina"/>
    <s v="Kyun Pin Thar Baptist Church"/>
    <m/>
    <m/>
    <m/>
    <n v="6"/>
    <n v="4"/>
    <n v="6"/>
    <n v="4"/>
    <n v="4"/>
    <n v="4"/>
    <n v="4"/>
    <m/>
    <m/>
    <m/>
    <m/>
    <m/>
    <m/>
    <m/>
    <n v="0"/>
    <n v="0"/>
    <n v="0"/>
    <n v="0"/>
    <n v="0"/>
    <n v="0"/>
    <n v="0"/>
    <n v="0"/>
    <n v="0"/>
    <n v="0"/>
    <n v="0"/>
    <n v="0"/>
    <n v="0"/>
    <n v="0"/>
    <n v="0"/>
    <n v="0"/>
    <n v="0"/>
    <n v="0"/>
    <s v="MMR001CMP013"/>
    <x v="0"/>
    <x v="1"/>
    <s v="P4"/>
    <n v="9.7777995062211254E-5"/>
    <s v="No"/>
  </r>
  <r>
    <n v="54.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1"/>
    <s v="P4"/>
    <n v="8.0666845926324286E-4"/>
    <s v="No"/>
  </r>
  <r>
    <n v="62.5"/>
    <d v="2011-11-14T00:00:00"/>
    <x v="0"/>
    <s v="KBC"/>
    <s v="Kachin"/>
    <s v="Myitkyina"/>
    <s v="Kyun Pin Thar Baptist Church"/>
    <m/>
    <m/>
    <m/>
    <n v="47"/>
    <n v="28"/>
    <n v="47"/>
    <n v="28"/>
    <n v="28"/>
    <n v="28"/>
    <n v="28"/>
    <m/>
    <m/>
    <m/>
    <m/>
    <m/>
    <m/>
    <m/>
    <n v="0"/>
    <n v="0"/>
    <n v="0"/>
    <n v="0"/>
    <n v="0"/>
    <n v="0"/>
    <n v="0"/>
    <n v="0"/>
    <n v="0"/>
    <n v="0"/>
    <n v="0"/>
    <n v="0"/>
    <n v="0"/>
    <n v="0"/>
    <n v="0"/>
    <n v="0"/>
    <n v="0"/>
    <n v="0"/>
    <s v="MMR001CMP013"/>
    <x v="0"/>
    <x v="1"/>
    <s v="P4"/>
    <n v="6.8444596543547874E-4"/>
    <s v="No"/>
  </r>
  <r>
    <n v="16.966666666666665"/>
    <d v="2015-08-11T00:00:00"/>
    <x v="0"/>
    <s v="KBC"/>
    <s v="Kachin"/>
    <s v="Mogaung"/>
    <s v="Kyun Taw Baptist Church "/>
    <m/>
    <m/>
    <m/>
    <n v="14"/>
    <n v="14"/>
    <m/>
    <m/>
    <m/>
    <m/>
    <m/>
    <m/>
    <m/>
    <m/>
    <m/>
    <m/>
    <m/>
    <m/>
    <n v="0"/>
    <n v="0"/>
    <n v="0"/>
    <n v="0"/>
    <n v="0"/>
    <n v="0"/>
    <n v="0"/>
    <n v="0"/>
    <n v="0"/>
    <n v="0"/>
    <n v="0"/>
    <n v="0"/>
    <n v="0"/>
    <n v="0"/>
    <n v="0"/>
    <n v="0"/>
    <n v="0"/>
    <n v="0"/>
    <s v="MMR001CMP078"/>
    <x v="0"/>
    <x v="1"/>
    <s v="P4"/>
    <n v="0"/>
    <s v="No"/>
  </r>
  <r>
    <n v="27.433333333333334"/>
    <d v="2014-10-01T00:00:00"/>
    <x v="0"/>
    <s v="Shalom"/>
    <s v="Kachin"/>
    <s v="Hpakant"/>
    <s v="Baptist Church, Naung Hmee VT"/>
    <m/>
    <m/>
    <m/>
    <n v="30"/>
    <m/>
    <m/>
    <m/>
    <m/>
    <m/>
    <m/>
    <m/>
    <m/>
    <m/>
    <m/>
    <m/>
    <m/>
    <m/>
    <n v="0"/>
    <n v="0"/>
    <n v="0"/>
    <n v="0"/>
    <n v="0"/>
    <n v="0"/>
    <n v="0"/>
    <n v="0"/>
    <n v="0"/>
    <n v="0"/>
    <n v="0"/>
    <n v="0"/>
    <n v="0"/>
    <n v="0"/>
    <n v="0"/>
    <n v="0"/>
    <n v="0"/>
    <n v="0"/>
    <s v="MMR001CMP188"/>
    <x v="0"/>
    <x v="0"/>
    <s v="P4"/>
    <s v=""/>
    <m/>
  </r>
  <r>
    <n v="34.700000000000003"/>
    <d v="2014-02-25T00:00:00"/>
    <x v="8"/>
    <s v="MRCS"/>
    <s v="Kachin"/>
    <s v="Mogaung"/>
    <s v="Kyun Taw Baptist Church "/>
    <m/>
    <m/>
    <m/>
    <m/>
    <m/>
    <m/>
    <m/>
    <m/>
    <m/>
    <m/>
    <m/>
    <m/>
    <m/>
    <n v="26"/>
    <m/>
    <m/>
    <m/>
    <n v="0"/>
    <n v="0"/>
    <n v="0"/>
    <n v="0"/>
    <n v="0"/>
    <n v="0"/>
    <n v="0"/>
    <n v="0"/>
    <n v="0"/>
    <n v="0"/>
    <n v="0"/>
    <n v="0"/>
    <n v="0"/>
    <n v="0"/>
    <n v="1"/>
    <n v="0"/>
    <n v="0"/>
    <n v="0"/>
    <s v="MMR001CMP078"/>
    <x v="0"/>
    <x v="1"/>
    <s v="P4"/>
    <n v="0"/>
    <m/>
  </r>
  <r>
    <n v="53.966666666666669"/>
    <d v="2012-07-27T00:00:00"/>
    <x v="0"/>
    <s v="UNHCR"/>
    <s v="Kachin"/>
    <s v="Mogaung"/>
    <s v="Kyun Taw Baptist Church "/>
    <m/>
    <m/>
    <m/>
    <n v="35"/>
    <n v="14"/>
    <n v="35"/>
    <n v="14"/>
    <n v="14"/>
    <n v="14"/>
    <n v="14"/>
    <m/>
    <m/>
    <m/>
    <m/>
    <m/>
    <m/>
    <m/>
    <n v="0"/>
    <n v="0"/>
    <n v="0"/>
    <n v="0"/>
    <n v="0"/>
    <n v="0"/>
    <n v="0"/>
    <n v="0"/>
    <n v="0"/>
    <n v="0"/>
    <n v="0"/>
    <n v="0"/>
    <n v="0"/>
    <n v="0"/>
    <n v="0"/>
    <n v="0"/>
    <n v="0"/>
    <n v="0"/>
    <s v="MMR001CMP078"/>
    <x v="0"/>
    <x v="1"/>
    <s v="P4"/>
    <n v="3.4121374603948332E-4"/>
    <s v="No"/>
  </r>
  <r>
    <n v="46.866666666666667"/>
    <d v="2013-02-25T00:00:00"/>
    <x v="0"/>
    <s v="Chipwe CM"/>
    <s v="Kachin"/>
    <s v="Chipwi"/>
    <s v="Lan Jaw "/>
    <m/>
    <m/>
    <n v="11"/>
    <n v="17"/>
    <n v="7"/>
    <n v="17"/>
    <n v="7"/>
    <n v="7"/>
    <n v="7"/>
    <n v="7"/>
    <m/>
    <m/>
    <m/>
    <m/>
    <m/>
    <m/>
    <m/>
    <n v="0"/>
    <n v="0"/>
    <n v="0"/>
    <n v="0"/>
    <n v="0"/>
    <n v="0"/>
    <n v="0"/>
    <n v="0"/>
    <n v="0"/>
    <n v="0"/>
    <n v="0"/>
    <n v="0"/>
    <n v="0"/>
    <n v="0"/>
    <n v="0"/>
    <n v="0"/>
    <n v="0"/>
    <n v="0"/>
    <s v="MMR001CMP045"/>
    <x v="0"/>
    <x v="1"/>
    <s v="P1"/>
    <s v=""/>
    <s v="No"/>
  </r>
  <r>
    <n v="51.866666666666667"/>
    <d v="2012-09-28T00:00:00"/>
    <x v="0"/>
    <s v="Chipwe CM"/>
    <s v="Kachin"/>
    <s v="Chipwi"/>
    <s v="Lan Jaw "/>
    <m/>
    <m/>
    <m/>
    <n v="33"/>
    <n v="11"/>
    <n v="33"/>
    <n v="11"/>
    <n v="11"/>
    <n v="11"/>
    <n v="11"/>
    <m/>
    <m/>
    <m/>
    <m/>
    <m/>
    <m/>
    <m/>
    <n v="0"/>
    <n v="0"/>
    <n v="0"/>
    <n v="0"/>
    <n v="0"/>
    <n v="0"/>
    <n v="0"/>
    <n v="0"/>
    <n v="0"/>
    <n v="0"/>
    <n v="0"/>
    <n v="0"/>
    <n v="0"/>
    <n v="0"/>
    <n v="0"/>
    <n v="0"/>
    <n v="0"/>
    <n v="0"/>
    <s v="MMR001CMP045"/>
    <x v="0"/>
    <x v="1"/>
    <s v="P1"/>
    <s v=""/>
    <s v="No"/>
  </r>
  <r>
    <n v="21.533333333333335"/>
    <d v="2015-03-27T00:00:00"/>
    <x v="0"/>
    <s v="KMSS-BMO"/>
    <s v="Kachin"/>
    <s v="Mansi"/>
    <s v="Lana Zup Ja "/>
    <m/>
    <m/>
    <m/>
    <m/>
    <m/>
    <n v="357"/>
    <m/>
    <m/>
    <m/>
    <m/>
    <m/>
    <m/>
    <m/>
    <m/>
    <m/>
    <m/>
    <m/>
    <n v="0"/>
    <n v="0"/>
    <n v="0"/>
    <n v="0"/>
    <n v="0"/>
    <n v="0"/>
    <n v="0"/>
    <n v="0"/>
    <n v="0"/>
    <n v="0"/>
    <n v="0"/>
    <n v="0"/>
    <n v="0"/>
    <n v="0"/>
    <n v="0"/>
    <n v="0"/>
    <n v="0"/>
    <n v="0"/>
    <s v="MMR001CMP128"/>
    <x v="0"/>
    <x v="1"/>
    <s v="P2"/>
    <n v="0"/>
    <s v="No"/>
  </r>
  <r>
    <n v="36.1"/>
    <d v="2014-01-14T00:00:00"/>
    <x v="0"/>
    <s v="UNHCR"/>
    <s v="Kachin"/>
    <s v="Mansi"/>
    <s v="Lana Zup Ja "/>
    <m/>
    <m/>
    <m/>
    <n v="140"/>
    <n v="70"/>
    <n v="140"/>
    <n v="70"/>
    <m/>
    <n v="70"/>
    <n v="350"/>
    <m/>
    <m/>
    <m/>
    <m/>
    <m/>
    <m/>
    <m/>
    <n v="0"/>
    <n v="0"/>
    <n v="0"/>
    <n v="0"/>
    <n v="0"/>
    <n v="0"/>
    <n v="0"/>
    <n v="0"/>
    <n v="0"/>
    <n v="0"/>
    <n v="0"/>
    <n v="0"/>
    <n v="0"/>
    <n v="0"/>
    <n v="0"/>
    <n v="0"/>
    <n v="0"/>
    <n v="0"/>
    <s v="MMR001CMP128"/>
    <x v="0"/>
    <x v="1"/>
    <s v="P2"/>
    <n v="1.7149717029669011E-3"/>
    <s v="No"/>
  </r>
  <r>
    <n v="37.233333333333334"/>
    <d v="2013-12-11T00:00:00"/>
    <x v="7"/>
    <s v="WPN"/>
    <s v="Kachin"/>
    <s v="Mansi"/>
    <s v="Lana Zup Ja "/>
    <m/>
    <m/>
    <m/>
    <m/>
    <m/>
    <n v="543"/>
    <m/>
    <m/>
    <m/>
    <m/>
    <m/>
    <m/>
    <m/>
    <m/>
    <m/>
    <m/>
    <m/>
    <n v="0"/>
    <n v="0"/>
    <n v="0"/>
    <n v="0"/>
    <n v="0"/>
    <n v="0"/>
    <n v="0"/>
    <n v="0"/>
    <n v="0"/>
    <n v="0"/>
    <n v="0"/>
    <n v="0"/>
    <n v="0"/>
    <n v="0"/>
    <n v="0"/>
    <n v="0"/>
    <n v="0"/>
    <n v="0"/>
    <s v="MMR001CMP128"/>
    <x v="0"/>
    <x v="1"/>
    <s v="P2"/>
    <n v="0"/>
    <s v="No"/>
  </r>
  <r>
    <n v="37.6"/>
    <d v="2013-11-30T00:00:00"/>
    <x v="4"/>
    <s v="LDO"/>
    <s v="Kachin"/>
    <s v="Mansi"/>
    <s v="Lana Zup Ja "/>
    <m/>
    <m/>
    <m/>
    <m/>
    <m/>
    <m/>
    <m/>
    <m/>
    <m/>
    <m/>
    <m/>
    <m/>
    <m/>
    <m/>
    <m/>
    <m/>
    <m/>
    <n v="0"/>
    <n v="0"/>
    <n v="0"/>
    <n v="0"/>
    <n v="0"/>
    <n v="0"/>
    <n v="0"/>
    <n v="0"/>
    <n v="0"/>
    <n v="0"/>
    <n v="0"/>
    <n v="0"/>
    <n v="0"/>
    <n v="0"/>
    <n v="0"/>
    <n v="0"/>
    <n v="0"/>
    <n v="0"/>
    <s v="MMR001CMP128"/>
    <x v="0"/>
    <x v="1"/>
    <s v="P2"/>
    <n v="0"/>
    <s v="No"/>
  </r>
  <r>
    <n v="37.6"/>
    <d v="2013-11-30T00:00:00"/>
    <x v="0"/>
    <s v="UNHCR"/>
    <s v="Kachin"/>
    <s v="Mansi"/>
    <s v="Lana Zup Ja "/>
    <m/>
    <m/>
    <m/>
    <m/>
    <m/>
    <m/>
    <m/>
    <m/>
    <m/>
    <m/>
    <m/>
    <m/>
    <m/>
    <m/>
    <m/>
    <m/>
    <m/>
    <n v="0"/>
    <n v="0"/>
    <n v="0"/>
    <n v="0"/>
    <n v="0"/>
    <n v="0"/>
    <n v="0"/>
    <n v="0"/>
    <n v="0"/>
    <n v="0"/>
    <n v="0"/>
    <n v="0"/>
    <n v="0"/>
    <n v="0"/>
    <n v="0"/>
    <n v="0"/>
    <n v="0"/>
    <n v="0"/>
    <s v="MMR001CMP128"/>
    <x v="0"/>
    <x v="1"/>
    <s v="P2"/>
    <n v="0"/>
    <s v="No"/>
  </r>
  <r>
    <n v="38.133333333333333"/>
    <d v="2013-11-14T00:00:00"/>
    <x v="4"/>
    <s v="LDO"/>
    <s v="Kachin"/>
    <s v="Mansi"/>
    <s v="Lana Zup Ja "/>
    <m/>
    <m/>
    <m/>
    <m/>
    <m/>
    <m/>
    <m/>
    <m/>
    <m/>
    <m/>
    <n v="550"/>
    <n v="1101"/>
    <n v="3302"/>
    <n v="1651"/>
    <m/>
    <m/>
    <m/>
    <n v="0"/>
    <n v="0"/>
    <n v="0"/>
    <n v="0"/>
    <n v="0"/>
    <n v="0"/>
    <n v="0"/>
    <n v="0"/>
    <n v="0"/>
    <n v="0"/>
    <n v="0"/>
    <n v="0"/>
    <n v="0"/>
    <n v="0"/>
    <n v="1"/>
    <n v="0"/>
    <n v="0"/>
    <n v="0"/>
    <s v="MMR001CMP128"/>
    <x v="0"/>
    <x v="1"/>
    <s v="P2"/>
    <n v="0"/>
    <m/>
  </r>
  <r>
    <n v="38.5"/>
    <d v="2013-11-03T00:00:00"/>
    <x v="0"/>
    <s v="UNHCR "/>
    <s v="Kachin"/>
    <s v="Mansi"/>
    <s v="Lana Zup Ja "/>
    <m/>
    <m/>
    <n v="592"/>
    <n v="592"/>
    <n v="296"/>
    <n v="296"/>
    <n v="296"/>
    <n v="296"/>
    <m/>
    <m/>
    <m/>
    <m/>
    <m/>
    <m/>
    <m/>
    <m/>
    <m/>
    <n v="0"/>
    <n v="0"/>
    <n v="0"/>
    <n v="0"/>
    <n v="0"/>
    <n v="0"/>
    <n v="0"/>
    <n v="0"/>
    <n v="0"/>
    <n v="0"/>
    <n v="0"/>
    <n v="0"/>
    <n v="0"/>
    <n v="0"/>
    <n v="0"/>
    <n v="0"/>
    <n v="0"/>
    <n v="0"/>
    <s v="MMR001CMP128"/>
    <x v="0"/>
    <x v="1"/>
    <s v="P2"/>
    <n v="7.2518803439743243E-3"/>
    <s v="No"/>
  </r>
  <r>
    <n v="57.8"/>
    <d v="2012-04-03T00:00:00"/>
    <x v="0"/>
    <s v="UNHCR"/>
    <s v="Kachin"/>
    <s v="Mansi"/>
    <s v="Lana Zup Ja "/>
    <m/>
    <m/>
    <m/>
    <n v="510"/>
    <n v="0"/>
    <n v="510"/>
    <n v="255"/>
    <n v="255"/>
    <n v="255"/>
    <n v="255"/>
    <m/>
    <m/>
    <m/>
    <m/>
    <m/>
    <m/>
    <m/>
    <n v="0"/>
    <n v="0"/>
    <n v="0"/>
    <n v="0"/>
    <n v="0"/>
    <n v="0"/>
    <n v="0"/>
    <n v="0"/>
    <n v="0"/>
    <n v="0"/>
    <n v="0"/>
    <n v="0"/>
    <n v="0"/>
    <n v="0"/>
    <n v="0"/>
    <n v="0"/>
    <n v="0"/>
    <n v="0"/>
    <s v="MMR001CMP128"/>
    <x v="0"/>
    <x v="1"/>
    <s v="P2"/>
    <n v="6.2473969179508539E-3"/>
    <s v="No"/>
  </r>
  <r>
    <n v="37.799999999999997"/>
    <d v="2013-11-24T00:00:00"/>
    <x v="4"/>
    <s v="Solidarities"/>
    <s v="Kachin"/>
    <s v="Shwegu"/>
    <s v="Lawk Awng Mare D. (Sinbo Area)"/>
    <m/>
    <m/>
    <m/>
    <m/>
    <m/>
    <m/>
    <m/>
    <m/>
    <m/>
    <m/>
    <n v="45"/>
    <n v="90"/>
    <n v="270"/>
    <n v="135"/>
    <m/>
    <m/>
    <m/>
    <n v="0"/>
    <n v="0"/>
    <n v="0"/>
    <n v="0"/>
    <n v="0"/>
    <n v="0"/>
    <n v="0"/>
    <n v="0"/>
    <n v="0"/>
    <n v="0"/>
    <n v="0"/>
    <n v="0"/>
    <n v="0"/>
    <n v="0"/>
    <n v="1"/>
    <n v="0"/>
    <n v="0"/>
    <n v="0"/>
    <s v="MMR001CMP147"/>
    <x v="1"/>
    <x v="1"/>
    <s v="P4"/>
    <n v="0"/>
    <m/>
  </r>
  <r>
    <n v="56.033333333333331"/>
    <d v="2012-05-26T00:00:00"/>
    <x v="0"/>
    <s v="KBC"/>
    <s v="Kachin"/>
    <s v="Shwegu"/>
    <s v="Lawk Awng Mare D. (Sinbo Area)"/>
    <m/>
    <m/>
    <m/>
    <n v="200"/>
    <n v="200"/>
    <n v="0"/>
    <n v="0"/>
    <n v="0"/>
    <m/>
    <m/>
    <m/>
    <m/>
    <m/>
    <m/>
    <m/>
    <m/>
    <m/>
    <n v="0"/>
    <n v="0"/>
    <n v="0"/>
    <n v="0"/>
    <n v="0"/>
    <n v="0"/>
    <n v="0"/>
    <n v="0"/>
    <n v="0"/>
    <n v="0"/>
    <n v="0"/>
    <n v="0"/>
    <n v="0"/>
    <n v="0"/>
    <n v="0"/>
    <n v="0"/>
    <n v="0"/>
    <n v="0"/>
    <s v="MMR001CMP147"/>
    <x v="1"/>
    <x v="1"/>
    <s v="P4"/>
    <n v="0"/>
    <s v="No"/>
  </r>
  <r>
    <n v="31.9"/>
    <d v="2014-05-20T00:00:00"/>
    <x v="8"/>
    <s v="MRCS"/>
    <s v="Kachin"/>
    <s v="Myitkyina"/>
    <s v="Le Kone Bethlehem Church"/>
    <m/>
    <m/>
    <m/>
    <m/>
    <m/>
    <m/>
    <m/>
    <m/>
    <m/>
    <m/>
    <m/>
    <m/>
    <m/>
    <n v="188"/>
    <m/>
    <m/>
    <m/>
    <n v="0"/>
    <n v="0"/>
    <n v="0"/>
    <n v="0"/>
    <n v="0"/>
    <n v="0"/>
    <n v="0"/>
    <n v="0"/>
    <n v="0"/>
    <n v="0"/>
    <n v="0"/>
    <n v="0"/>
    <n v="0"/>
    <n v="0"/>
    <n v="1"/>
    <n v="0"/>
    <n v="0"/>
    <n v="0"/>
    <s v="MMR001CMP015"/>
    <x v="0"/>
    <x v="1"/>
    <s v="P4"/>
    <n v="0"/>
    <m/>
  </r>
  <r>
    <n v="41.9"/>
    <d v="2013-07-24T00:00:00"/>
    <x v="0"/>
    <s v="KBC"/>
    <s v="Kachin"/>
    <s v="Myitkyina"/>
    <s v="Le Kone Bethlehem Church"/>
    <m/>
    <m/>
    <n v="66"/>
    <n v="98"/>
    <n v="45"/>
    <n v="98"/>
    <n v="45"/>
    <n v="45"/>
    <n v="45"/>
    <n v="45"/>
    <m/>
    <m/>
    <m/>
    <m/>
    <m/>
    <m/>
    <m/>
    <n v="0"/>
    <n v="0"/>
    <n v="0"/>
    <n v="0"/>
    <n v="0"/>
    <n v="0"/>
    <n v="0"/>
    <n v="0"/>
    <n v="0"/>
    <n v="0"/>
    <n v="0"/>
    <n v="0"/>
    <n v="0"/>
    <n v="0"/>
    <n v="0"/>
    <n v="0"/>
    <n v="0"/>
    <n v="0"/>
    <s v="MMR001CMP015"/>
    <x v="0"/>
    <x v="1"/>
    <s v="P4"/>
    <n v="1.1082924907026574E-3"/>
    <s v="No"/>
  </r>
  <r>
    <n v="27.433333333333334"/>
    <d v="2014-10-01T00:00:00"/>
    <x v="0"/>
    <s v="Shalom"/>
    <s v="Kachin"/>
    <s v="Myitkyina"/>
    <s v="Myay Myint Baptist Church"/>
    <m/>
    <m/>
    <m/>
    <n v="24"/>
    <m/>
    <m/>
    <m/>
    <m/>
    <m/>
    <m/>
    <m/>
    <m/>
    <m/>
    <m/>
    <m/>
    <m/>
    <m/>
    <n v="0"/>
    <n v="0"/>
    <n v="0"/>
    <n v="0"/>
    <n v="0"/>
    <n v="0"/>
    <n v="0"/>
    <n v="0"/>
    <n v="0"/>
    <n v="0"/>
    <n v="0"/>
    <n v="0"/>
    <n v="0"/>
    <n v="0"/>
    <n v="0"/>
    <n v="0"/>
    <n v="0"/>
    <n v="0"/>
    <s v="MMR001CMP017"/>
    <x v="0"/>
    <x v="0"/>
    <s v="P4"/>
    <n v="0"/>
    <m/>
  </r>
  <r>
    <n v="54.333333333333336"/>
    <d v="2012-07-16T00:00:00"/>
    <x v="0"/>
    <s v="UNHCR"/>
    <s v="Kachin"/>
    <s v="Myitkyina"/>
    <s v="Le Kone Bethlehem Church"/>
    <m/>
    <m/>
    <m/>
    <n v="6"/>
    <n v="6"/>
    <n v="6"/>
    <n v="6"/>
    <n v="6"/>
    <n v="6"/>
    <n v="6"/>
    <m/>
    <m/>
    <m/>
    <m/>
    <m/>
    <m/>
    <m/>
    <n v="0"/>
    <n v="0"/>
    <n v="0"/>
    <n v="0"/>
    <n v="0"/>
    <n v="0"/>
    <n v="0"/>
    <n v="0"/>
    <n v="0"/>
    <n v="0"/>
    <n v="0"/>
    <n v="0"/>
    <n v="0"/>
    <n v="0"/>
    <n v="0"/>
    <n v="0"/>
    <n v="0"/>
    <n v="0"/>
    <s v="MMR001CMP015"/>
    <x v="0"/>
    <x v="1"/>
    <s v="P4"/>
    <n v="1.4777233209368765E-4"/>
    <s v="No"/>
  </r>
  <r>
    <n v="54.333333333333336"/>
    <d v="2012-07-16T00:00:00"/>
    <x v="0"/>
    <s v="UNHCR"/>
    <s v="Kachin"/>
    <s v="Myitkyina"/>
    <s v="Le Kone Bethlehem Church"/>
    <m/>
    <m/>
    <m/>
    <n v="13"/>
    <n v="13"/>
    <n v="13"/>
    <n v="13"/>
    <n v="13"/>
    <n v="13"/>
    <n v="13"/>
    <m/>
    <m/>
    <m/>
    <m/>
    <m/>
    <m/>
    <m/>
    <n v="0"/>
    <n v="0"/>
    <n v="0"/>
    <n v="0"/>
    <n v="0"/>
    <n v="0"/>
    <n v="0"/>
    <n v="0"/>
    <n v="0"/>
    <n v="0"/>
    <n v="0"/>
    <n v="0"/>
    <n v="0"/>
    <n v="0"/>
    <n v="0"/>
    <n v="0"/>
    <n v="0"/>
    <n v="0"/>
    <s v="MMR001CMP015"/>
    <x v="0"/>
    <x v="1"/>
    <s v="P4"/>
    <n v="3.2017338620298993E-4"/>
    <s v="No"/>
  </r>
  <r>
    <n v="61.666666666666664"/>
    <d v="2011-12-09T00:00:00"/>
    <x v="0"/>
    <s v="KBC"/>
    <s v="Kachin"/>
    <s v="Myitkyina"/>
    <s v="Le Kone Bethlehem Church"/>
    <m/>
    <m/>
    <m/>
    <n v="13"/>
    <n v="6"/>
    <n v="13"/>
    <n v="6"/>
    <n v="6"/>
    <n v="6"/>
    <n v="6"/>
    <m/>
    <m/>
    <m/>
    <m/>
    <m/>
    <m/>
    <m/>
    <n v="0"/>
    <n v="0"/>
    <n v="0"/>
    <n v="0"/>
    <n v="0"/>
    <n v="0"/>
    <n v="0"/>
    <n v="0"/>
    <n v="0"/>
    <n v="0"/>
    <n v="0"/>
    <n v="0"/>
    <n v="0"/>
    <n v="0"/>
    <n v="0"/>
    <n v="0"/>
    <n v="0"/>
    <n v="0"/>
    <s v="MMR001CMP015"/>
    <x v="0"/>
    <x v="1"/>
    <s v="P4"/>
    <n v="1.4777233209368765E-4"/>
    <s v="No"/>
  </r>
  <r>
    <n v="62.5"/>
    <d v="2011-11-14T00:00:00"/>
    <x v="0"/>
    <s v="KBC"/>
    <s v="Kachin"/>
    <s v="Myitkyina"/>
    <s v="Le Kone Bethlehem Church"/>
    <m/>
    <m/>
    <m/>
    <n v="52"/>
    <n v="25"/>
    <n v="52"/>
    <n v="25"/>
    <n v="25"/>
    <n v="25"/>
    <n v="25"/>
    <m/>
    <m/>
    <m/>
    <m/>
    <m/>
    <m/>
    <m/>
    <n v="0"/>
    <n v="0"/>
    <n v="0"/>
    <n v="0"/>
    <n v="0"/>
    <n v="0"/>
    <n v="0"/>
    <n v="0"/>
    <n v="0"/>
    <n v="0"/>
    <n v="0"/>
    <n v="0"/>
    <n v="0"/>
    <n v="0"/>
    <n v="0"/>
    <n v="0"/>
    <n v="0"/>
    <n v="0"/>
    <s v="MMR001CMP015"/>
    <x v="0"/>
    <x v="1"/>
    <s v="P4"/>
    <n v="6.1571805039036529E-4"/>
    <s v="No"/>
  </r>
  <r>
    <n v="31.9"/>
    <d v="2014-05-20T00:00:00"/>
    <x v="8"/>
    <s v="MRCS"/>
    <s v="Kachin"/>
    <s v="Myitkyina"/>
    <s v="Le Kone Ziun Baptist Church "/>
    <m/>
    <m/>
    <m/>
    <m/>
    <m/>
    <m/>
    <m/>
    <m/>
    <m/>
    <m/>
    <m/>
    <m/>
    <m/>
    <n v="278"/>
    <m/>
    <m/>
    <m/>
    <n v="0"/>
    <n v="0"/>
    <n v="0"/>
    <n v="0"/>
    <n v="0"/>
    <n v="0"/>
    <n v="0"/>
    <n v="0"/>
    <n v="0"/>
    <n v="0"/>
    <n v="0"/>
    <n v="0"/>
    <n v="0"/>
    <n v="0"/>
    <n v="1"/>
    <n v="0"/>
    <n v="0"/>
    <n v="0"/>
    <s v="MMR001CMP014"/>
    <x v="0"/>
    <x v="1"/>
    <s v="P4"/>
    <n v="0"/>
    <m/>
  </r>
  <r>
    <n v="41.9"/>
    <d v="2013-07-24T00:00:00"/>
    <x v="0"/>
    <s v="KBC"/>
    <s v="Kachin"/>
    <s v="Myitkyina"/>
    <s v="Le Kone Ziun Baptist Church "/>
    <m/>
    <m/>
    <n v="100"/>
    <n v="158"/>
    <n v="65"/>
    <n v="158"/>
    <n v="65"/>
    <n v="65"/>
    <n v="65"/>
    <n v="65"/>
    <m/>
    <m/>
    <m/>
    <m/>
    <m/>
    <m/>
    <m/>
    <n v="0"/>
    <n v="0"/>
    <n v="0"/>
    <n v="0"/>
    <n v="0"/>
    <n v="0"/>
    <n v="0"/>
    <n v="0"/>
    <n v="0"/>
    <n v="0"/>
    <n v="0"/>
    <n v="0"/>
    <n v="0"/>
    <n v="0"/>
    <n v="0"/>
    <n v="0"/>
    <n v="0"/>
    <n v="0"/>
    <s v="MMR001CMP014"/>
    <x v="0"/>
    <x v="1"/>
    <s v="P4"/>
    <n v="1.5972478191424008E-3"/>
    <s v="No"/>
  </r>
  <r>
    <n v="54.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1"/>
    <s v="P4"/>
    <n v="1.2286521685710775E-3"/>
    <s v="No"/>
  </r>
  <r>
    <n v="62.866666666666667"/>
    <d v="2011-11-03T00:00:00"/>
    <x v="0"/>
    <s v="KBC"/>
    <s v="Kachin"/>
    <s v="Myitkyina"/>
    <s v="Le Kone Ziun Baptist Church "/>
    <m/>
    <m/>
    <m/>
    <n v="116"/>
    <n v="49"/>
    <n v="116"/>
    <n v="49"/>
    <n v="49"/>
    <n v="49"/>
    <n v="49"/>
    <m/>
    <m/>
    <m/>
    <m/>
    <m/>
    <m/>
    <m/>
    <n v="0"/>
    <n v="0"/>
    <n v="0"/>
    <n v="0"/>
    <n v="0"/>
    <n v="0"/>
    <n v="0"/>
    <n v="0"/>
    <n v="0"/>
    <n v="0"/>
    <n v="0"/>
    <n v="0"/>
    <n v="0"/>
    <n v="0"/>
    <n v="0"/>
    <n v="0"/>
    <n v="0"/>
    <n v="0"/>
    <s v="MMR001CMP014"/>
    <x v="0"/>
    <x v="1"/>
    <s v="P4"/>
    <n v="1.204079125199656E-3"/>
    <s v="No"/>
  </r>
  <r>
    <n v="23.966666666666665"/>
    <d v="2015-01-13T00:00:00"/>
    <x v="1"/>
    <s v="MRCS"/>
    <s v="Kachin"/>
    <s v="Chipwi"/>
    <s v="Lhaovao Baptist Church (LBC)"/>
    <m/>
    <m/>
    <m/>
    <m/>
    <m/>
    <m/>
    <m/>
    <m/>
    <m/>
    <m/>
    <n v="350"/>
    <n v="236"/>
    <m/>
    <n v="203"/>
    <m/>
    <m/>
    <m/>
    <n v="0"/>
    <n v="0"/>
    <n v="0"/>
    <n v="0"/>
    <n v="0"/>
    <n v="0"/>
    <n v="0"/>
    <n v="0"/>
    <n v="0"/>
    <n v="0"/>
    <n v="0"/>
    <n v="0"/>
    <n v="0"/>
    <n v="0"/>
    <n v="1"/>
    <n v="0"/>
    <n v="0"/>
    <n v="0"/>
    <s v="MMR001CMP195"/>
    <x v="0"/>
    <x v="1"/>
    <s v="P1"/>
    <n v="0"/>
    <m/>
  </r>
  <r>
    <n v="27.433333333333334"/>
    <d v="2014-10-01T00:00:00"/>
    <x v="0"/>
    <s v="Shalom"/>
    <s v="Kachin"/>
    <s v="Chipwi"/>
    <s v="Lhaovao Baptist Church (LBC)"/>
    <m/>
    <m/>
    <m/>
    <n v="278"/>
    <m/>
    <m/>
    <m/>
    <m/>
    <m/>
    <m/>
    <m/>
    <m/>
    <m/>
    <n v="278"/>
    <m/>
    <m/>
    <m/>
    <n v="0"/>
    <n v="0"/>
    <n v="0"/>
    <n v="0"/>
    <n v="0"/>
    <n v="0"/>
    <n v="0"/>
    <n v="0"/>
    <n v="0"/>
    <n v="0"/>
    <n v="0"/>
    <n v="0"/>
    <n v="0"/>
    <n v="0"/>
    <n v="1"/>
    <n v="0"/>
    <n v="0"/>
    <n v="0"/>
    <s v="MMR001CMP195"/>
    <x v="0"/>
    <x v="1"/>
    <s v="P1"/>
    <n v="0"/>
    <m/>
  </r>
  <r>
    <n v="29.266666666666666"/>
    <d v="2014-08-07T00:00:00"/>
    <x v="0"/>
    <s v="Shalom"/>
    <s v="Kachin"/>
    <s v="Chipwi"/>
    <s v="Lhaovao Baptist Church (LBC)"/>
    <m/>
    <m/>
    <n v="50"/>
    <n v="25"/>
    <n v="50"/>
    <n v="25"/>
    <m/>
    <n v="25"/>
    <n v="125"/>
    <m/>
    <m/>
    <m/>
    <m/>
    <m/>
    <m/>
    <m/>
    <m/>
    <n v="0"/>
    <n v="0"/>
    <n v="0"/>
    <n v="0"/>
    <n v="0"/>
    <n v="0"/>
    <n v="0"/>
    <n v="0"/>
    <n v="0"/>
    <n v="0"/>
    <n v="0"/>
    <n v="0"/>
    <n v="0"/>
    <n v="0"/>
    <n v="0"/>
    <n v="0"/>
    <n v="0"/>
    <n v="0"/>
    <s v="MMR001CMP195"/>
    <x v="0"/>
    <x v="1"/>
    <s v="P1"/>
    <n v="0"/>
    <m/>
  </r>
  <r>
    <n v="34.766666666666666"/>
    <d v="2014-02-23T00:00:00"/>
    <x v="8"/>
    <s v="MRCS"/>
    <s v="Kachin"/>
    <s v="Chipwi"/>
    <s v="Lhaovao Baptist Church (LBC)"/>
    <m/>
    <m/>
    <m/>
    <m/>
    <m/>
    <m/>
    <m/>
    <m/>
    <m/>
    <m/>
    <m/>
    <m/>
    <m/>
    <n v="278"/>
    <m/>
    <m/>
    <m/>
    <n v="0"/>
    <n v="0"/>
    <n v="0"/>
    <n v="0"/>
    <n v="0"/>
    <n v="0"/>
    <n v="0"/>
    <n v="0"/>
    <n v="0"/>
    <n v="0"/>
    <n v="0"/>
    <n v="0"/>
    <n v="0"/>
    <n v="0"/>
    <n v="1"/>
    <n v="0"/>
    <n v="0"/>
    <n v="0"/>
    <s v="MMR001CMP195"/>
    <x v="0"/>
    <x v="1"/>
    <s v="P1"/>
    <n v="0"/>
    <m/>
  </r>
  <r>
    <n v="37.6"/>
    <d v="2013-11-30T00:00:00"/>
    <x v="4"/>
    <s v="KBC"/>
    <s v="Kachin"/>
    <s v="Chipwi"/>
    <s v="Lhaovao Baptist Church (LBC)"/>
    <m/>
    <m/>
    <m/>
    <m/>
    <m/>
    <m/>
    <m/>
    <m/>
    <m/>
    <m/>
    <m/>
    <m/>
    <m/>
    <m/>
    <m/>
    <m/>
    <m/>
    <n v="0"/>
    <n v="0"/>
    <n v="0"/>
    <n v="0"/>
    <n v="0"/>
    <n v="0"/>
    <n v="0"/>
    <n v="0"/>
    <n v="0"/>
    <n v="0"/>
    <n v="0"/>
    <n v="0"/>
    <n v="0"/>
    <n v="0"/>
    <n v="0"/>
    <n v="0"/>
    <n v="0"/>
    <n v="0"/>
    <s v="MMR001CMP195"/>
    <x v="0"/>
    <x v="1"/>
    <s v="P1"/>
    <n v="0"/>
    <s v="No"/>
  </r>
  <r>
    <n v="44"/>
    <d v="2013-05-22T00:00:00"/>
    <x v="6"/>
    <s v="KMSS"/>
    <s v="Kachin"/>
    <s v="Chipwi"/>
    <s v="Lhaovao Baptist Church (LBC)"/>
    <n v="35"/>
    <m/>
    <m/>
    <m/>
    <m/>
    <m/>
    <m/>
    <m/>
    <m/>
    <m/>
    <m/>
    <m/>
    <m/>
    <m/>
    <m/>
    <m/>
    <m/>
    <n v="0"/>
    <n v="0"/>
    <n v="0"/>
    <n v="0"/>
    <n v="0"/>
    <n v="0"/>
    <n v="0"/>
    <n v="0"/>
    <n v="0"/>
    <n v="0"/>
    <n v="0"/>
    <n v="0"/>
    <n v="0"/>
    <n v="0"/>
    <n v="0"/>
    <n v="0"/>
    <n v="0"/>
    <n v="0"/>
    <s v="MMR001CMP195"/>
    <x v="0"/>
    <x v="1"/>
    <s v="P1"/>
    <n v="0"/>
    <s v="No"/>
  </r>
  <r>
    <n v="46.866666666666667"/>
    <d v="2013-02-25T00:00:00"/>
    <x v="0"/>
    <s v="Chipwe CM"/>
    <s v="Kachin"/>
    <s v="Chipwi"/>
    <s v="Lhaovao Baptist Church (LBC)"/>
    <m/>
    <m/>
    <n v="12"/>
    <n v="17"/>
    <n v="7"/>
    <n v="17"/>
    <n v="7"/>
    <n v="7"/>
    <n v="7"/>
    <n v="7"/>
    <m/>
    <m/>
    <m/>
    <m/>
    <m/>
    <m/>
    <m/>
    <n v="0"/>
    <n v="0"/>
    <n v="0"/>
    <n v="0"/>
    <n v="0"/>
    <n v="0"/>
    <n v="0"/>
    <n v="0"/>
    <n v="0"/>
    <n v="0"/>
    <n v="0"/>
    <n v="0"/>
    <n v="0"/>
    <n v="0"/>
    <n v="0"/>
    <n v="0"/>
    <n v="0"/>
    <n v="0"/>
    <s v="MMR001CMP195"/>
    <x v="0"/>
    <x v="1"/>
    <s v="P1"/>
    <n v="1.7098192476795311E-4"/>
    <s v="No"/>
  </r>
  <r>
    <n v="51.833333333333336"/>
    <d v="2012-09-29T00:00:00"/>
    <x v="0"/>
    <s v="Chipwe CM"/>
    <s v="Kachin"/>
    <s v="Chipwi"/>
    <s v="Lhaovao Baptist Church (LBC)"/>
    <m/>
    <m/>
    <m/>
    <n v="34"/>
    <n v="12"/>
    <n v="34"/>
    <n v="12"/>
    <n v="12"/>
    <n v="12"/>
    <n v="12"/>
    <m/>
    <m/>
    <m/>
    <m/>
    <m/>
    <m/>
    <m/>
    <n v="0"/>
    <n v="0"/>
    <n v="0"/>
    <n v="0"/>
    <n v="0"/>
    <n v="0"/>
    <n v="0"/>
    <n v="0"/>
    <n v="0"/>
    <n v="0"/>
    <n v="0"/>
    <n v="0"/>
    <n v="0"/>
    <n v="0"/>
    <n v="0"/>
    <n v="0"/>
    <n v="0"/>
    <n v="0"/>
    <s v="MMR001CMP195"/>
    <x v="0"/>
    <x v="1"/>
    <s v="P1"/>
    <n v="2.9311187103077673E-4"/>
    <s v="No"/>
  </r>
  <r>
    <n v="55.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1"/>
    <s v="P1"/>
    <n v="2.4425989252564728E-3"/>
    <s v="No"/>
  </r>
  <r>
    <n v="26.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1"/>
    <s v="P4"/>
    <n v="6.0569351907934583E-4"/>
    <m/>
  </r>
  <r>
    <n v="26.633333333333333"/>
    <d v="2014-10-25T00:00:00"/>
    <x v="1"/>
    <s v="MRCS"/>
    <s v="Kachin"/>
    <s v="Hpakant"/>
    <s v="Lisu Baptist Church, Maw Shan Vil,. Seik Mu"/>
    <m/>
    <m/>
    <m/>
    <m/>
    <m/>
    <m/>
    <m/>
    <m/>
    <m/>
    <m/>
    <n v="90"/>
    <n v="39"/>
    <m/>
    <m/>
    <m/>
    <m/>
    <m/>
    <n v="0"/>
    <n v="0"/>
    <n v="0"/>
    <n v="0"/>
    <n v="0"/>
    <n v="0"/>
    <n v="0"/>
    <n v="0"/>
    <n v="0"/>
    <n v="0"/>
    <n v="0"/>
    <n v="0"/>
    <n v="0"/>
    <n v="0"/>
    <n v="1"/>
    <n v="0"/>
    <n v="0"/>
    <n v="0"/>
    <s v="MMR001CMP181"/>
    <x v="0"/>
    <x v="1"/>
    <s v="P4"/>
    <n v="0"/>
    <m/>
  </r>
  <r>
    <n v="27.433333333333334"/>
    <d v="2014-10-01T00:00:00"/>
    <x v="0"/>
    <s v="Shalom"/>
    <s v="Kachin"/>
    <s v="Hpakant"/>
    <s v="Lisu Baptist Church, Maw Shan Vil,. Seik Mu"/>
    <m/>
    <m/>
    <m/>
    <n v="40"/>
    <m/>
    <m/>
    <m/>
    <m/>
    <m/>
    <m/>
    <m/>
    <m/>
    <m/>
    <m/>
    <m/>
    <m/>
    <m/>
    <n v="0"/>
    <n v="0"/>
    <n v="0"/>
    <n v="0"/>
    <n v="0"/>
    <n v="0"/>
    <n v="0"/>
    <n v="0"/>
    <n v="0"/>
    <n v="0"/>
    <n v="0"/>
    <n v="0"/>
    <n v="0"/>
    <n v="0"/>
    <n v="0"/>
    <n v="0"/>
    <n v="0"/>
    <n v="0"/>
    <s v="MMR001CMP181"/>
    <x v="0"/>
    <x v="1"/>
    <s v="P4"/>
    <n v="0"/>
    <m/>
  </r>
  <r>
    <n v="46.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1"/>
    <s v="P4"/>
    <n v="9.6910963052695336E-4"/>
    <s v="No"/>
  </r>
  <r>
    <n v="26.433333333333334"/>
    <d v="2014-10-31T00:00:00"/>
    <x v="0"/>
    <m/>
    <s v="Kachin"/>
    <s v="Hpakant"/>
    <s v="Lisu Baptist Church, Maw Wan Ward"/>
    <m/>
    <m/>
    <n v="15"/>
    <n v="30"/>
    <n v="15"/>
    <n v="30"/>
    <n v="15"/>
    <m/>
    <n v="15"/>
    <n v="75"/>
    <m/>
    <m/>
    <m/>
    <m/>
    <m/>
    <m/>
    <m/>
    <n v="0"/>
    <n v="0"/>
    <n v="0"/>
    <n v="0"/>
    <n v="0"/>
    <n v="0"/>
    <n v="0"/>
    <n v="0"/>
    <n v="0"/>
    <n v="0"/>
    <n v="0"/>
    <n v="0"/>
    <n v="0"/>
    <n v="0"/>
    <n v="0"/>
    <n v="0"/>
    <n v="0"/>
    <n v="0"/>
    <s v="MMR001CMP167"/>
    <x v="0"/>
    <x v="1"/>
    <s v="P4"/>
    <n v="3.6341611144760752E-4"/>
    <m/>
  </r>
  <r>
    <n v="26.633333333333333"/>
    <d v="2014-10-25T00:00:00"/>
    <x v="1"/>
    <s v="MRCS"/>
    <s v="Kachin"/>
    <s v="Hpakant"/>
    <s v="Lisu Baptist Church, Maw Wan Ward"/>
    <m/>
    <m/>
    <m/>
    <m/>
    <m/>
    <m/>
    <m/>
    <m/>
    <m/>
    <m/>
    <n v="48"/>
    <n v="23"/>
    <m/>
    <m/>
    <m/>
    <m/>
    <m/>
    <n v="0"/>
    <n v="0"/>
    <n v="0"/>
    <n v="0"/>
    <n v="0"/>
    <n v="0"/>
    <n v="0"/>
    <n v="0"/>
    <n v="0"/>
    <n v="0"/>
    <n v="0"/>
    <n v="0"/>
    <n v="0"/>
    <n v="0"/>
    <n v="1"/>
    <n v="0"/>
    <n v="0"/>
    <n v="0"/>
    <s v="MMR001CMP167"/>
    <x v="0"/>
    <x v="1"/>
    <s v="P4"/>
    <n v="0"/>
    <m/>
  </r>
  <r>
    <n v="27.433333333333334"/>
    <d v="2014-10-01T00:00:00"/>
    <x v="0"/>
    <s v="Shalom"/>
    <s v="Kachin"/>
    <s v="Hpakant"/>
    <s v="Lisu Baptist Church, Maw Wan Ward"/>
    <m/>
    <m/>
    <m/>
    <n v="16"/>
    <m/>
    <m/>
    <m/>
    <m/>
    <m/>
    <m/>
    <m/>
    <m/>
    <m/>
    <m/>
    <m/>
    <m/>
    <m/>
    <n v="0"/>
    <n v="0"/>
    <n v="0"/>
    <n v="0"/>
    <n v="0"/>
    <n v="0"/>
    <n v="0"/>
    <n v="0"/>
    <n v="0"/>
    <n v="0"/>
    <n v="0"/>
    <n v="0"/>
    <n v="0"/>
    <n v="0"/>
    <n v="0"/>
    <n v="0"/>
    <n v="0"/>
    <n v="0"/>
    <s v="MMR001CMP167"/>
    <x v="0"/>
    <x v="1"/>
    <s v="P4"/>
    <n v="0"/>
    <m/>
  </r>
  <r>
    <n v="46.1"/>
    <d v="2013-03-20T00:00:00"/>
    <x v="0"/>
    <s v="UNHCR"/>
    <s v="Kachin"/>
    <s v="Hpakant"/>
    <s v="Lisu Baptist Church, Maw Wan Ward"/>
    <m/>
    <m/>
    <n v="32"/>
    <n v="27"/>
    <n v="27"/>
    <n v="66"/>
    <n v="27"/>
    <n v="66"/>
    <n v="66"/>
    <n v="66"/>
    <m/>
    <m/>
    <m/>
    <m/>
    <m/>
    <m/>
    <m/>
    <n v="0"/>
    <n v="0"/>
    <n v="0"/>
    <n v="0"/>
    <n v="0"/>
    <n v="0"/>
    <n v="0"/>
    <n v="0"/>
    <n v="0"/>
    <n v="0"/>
    <n v="0"/>
    <n v="0"/>
    <n v="0"/>
    <n v="0"/>
    <n v="0"/>
    <n v="0"/>
    <n v="0"/>
    <n v="0"/>
    <s v="MMR001CMP167"/>
    <x v="0"/>
    <x v="1"/>
    <s v="P4"/>
    <n v="6.5414900060569347E-4"/>
    <s v="No"/>
  </r>
  <r>
    <n v="28.9"/>
    <d v="2014-08-18T00:00:00"/>
    <x v="0"/>
    <m/>
    <s v="Kachin"/>
    <s v="Mansi"/>
    <s v="Bum Tsit Pa Camp II"/>
    <m/>
    <m/>
    <m/>
    <m/>
    <n v="70"/>
    <m/>
    <m/>
    <m/>
    <m/>
    <m/>
    <m/>
    <m/>
    <m/>
    <m/>
    <m/>
    <m/>
    <m/>
    <n v="0"/>
    <n v="0"/>
    <n v="0"/>
    <n v="0"/>
    <n v="0"/>
    <n v="0"/>
    <n v="0"/>
    <n v="0"/>
    <n v="0"/>
    <n v="0"/>
    <n v="0"/>
    <n v="0"/>
    <n v="0"/>
    <n v="0"/>
    <n v="0"/>
    <n v="0"/>
    <n v="0"/>
    <n v="0"/>
    <s v="MMR001CMP226"/>
    <x v="0"/>
    <x v="0"/>
    <s v="P2"/>
    <n v="0"/>
    <m/>
  </r>
  <r>
    <n v="47.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1"/>
    <s v="P4"/>
    <n v="1.9382192610539067E-4"/>
    <s v="No"/>
  </r>
  <r>
    <n v="48.733333333333334"/>
    <d v="2012-12-31T00:00:00"/>
    <x v="3"/>
    <s v="DRC"/>
    <s v="Kachin"/>
    <s v="Hpakant"/>
    <s v="Lisu Baptist Church, Maw Wan Ward"/>
    <n v="1"/>
    <m/>
    <m/>
    <m/>
    <m/>
    <m/>
    <m/>
    <m/>
    <n v="0"/>
    <n v="0"/>
    <m/>
    <m/>
    <m/>
    <m/>
    <m/>
    <m/>
    <m/>
    <n v="0"/>
    <n v="0"/>
    <n v="0"/>
    <n v="0"/>
    <n v="0"/>
    <n v="0"/>
    <n v="0"/>
    <n v="0"/>
    <n v="0"/>
    <n v="0"/>
    <n v="0"/>
    <n v="0"/>
    <n v="0"/>
    <n v="0"/>
    <n v="0"/>
    <n v="0"/>
    <n v="0"/>
    <n v="0"/>
    <s v="MMR001CMP167"/>
    <x v="0"/>
    <x v="1"/>
    <s v="P4"/>
    <n v="0"/>
    <s v="No"/>
  </r>
  <r>
    <n v="8.9333333333333336"/>
    <d v="2016-04-08T00:00:00"/>
    <x v="0"/>
    <s v="KBC"/>
    <s v="Kachin"/>
    <s v="Bhamo"/>
    <s v="Lisu Boarding-House"/>
    <m/>
    <m/>
    <m/>
    <m/>
    <n v="10"/>
    <m/>
    <m/>
    <m/>
    <m/>
    <m/>
    <m/>
    <m/>
    <m/>
    <m/>
    <m/>
    <m/>
    <m/>
    <n v="0"/>
    <n v="0"/>
    <n v="0"/>
    <n v="0"/>
    <n v="10"/>
    <n v="0"/>
    <n v="0"/>
    <n v="0"/>
    <n v="0"/>
    <n v="0"/>
    <n v="0"/>
    <n v="0"/>
    <n v="0"/>
    <n v="0"/>
    <n v="0"/>
    <n v="0"/>
    <n v="0"/>
    <n v="0"/>
    <s v="MMR001CMP049"/>
    <x v="0"/>
    <x v="1"/>
    <s v="P4"/>
    <n v="0"/>
    <m/>
  </r>
  <r>
    <n v="29.7"/>
    <d v="2014-07-25T00:00:00"/>
    <x v="0"/>
    <m/>
    <s v="Kachin"/>
    <s v="Bhamo"/>
    <s v="Lisu Boarding-House"/>
    <m/>
    <m/>
    <m/>
    <m/>
    <n v="7"/>
    <n v="3"/>
    <m/>
    <m/>
    <n v="4"/>
    <n v="9"/>
    <m/>
    <m/>
    <m/>
    <m/>
    <m/>
    <m/>
    <m/>
    <n v="0"/>
    <n v="0"/>
    <n v="0"/>
    <n v="0"/>
    <n v="0"/>
    <n v="0"/>
    <n v="0"/>
    <n v="0"/>
    <n v="0"/>
    <n v="0"/>
    <n v="0"/>
    <n v="0"/>
    <n v="0"/>
    <n v="0"/>
    <n v="0"/>
    <n v="0"/>
    <n v="0"/>
    <n v="0"/>
    <s v="MMR001CMP049"/>
    <x v="0"/>
    <x v="1"/>
    <s v="P4"/>
    <n v="0"/>
    <m/>
  </r>
  <r>
    <n v="29.833333333333332"/>
    <d v="2014-07-21T00:00:00"/>
    <x v="0"/>
    <m/>
    <s v="Kachin"/>
    <s v="Bhamo"/>
    <s v="Lisu Boarding-House"/>
    <m/>
    <m/>
    <m/>
    <n v="10"/>
    <n v="36"/>
    <n v="10"/>
    <n v="5"/>
    <m/>
    <n v="33"/>
    <n v="117"/>
    <m/>
    <m/>
    <m/>
    <m/>
    <m/>
    <m/>
    <m/>
    <n v="0"/>
    <n v="0"/>
    <n v="0"/>
    <n v="0"/>
    <n v="0"/>
    <n v="0"/>
    <n v="0"/>
    <n v="0"/>
    <n v="0"/>
    <n v="0"/>
    <n v="0"/>
    <n v="0"/>
    <n v="0"/>
    <n v="0"/>
    <n v="0"/>
    <n v="0"/>
    <n v="0"/>
    <n v="0"/>
    <s v="MMR001CMP049"/>
    <x v="0"/>
    <x v="1"/>
    <s v="P4"/>
    <n v="1.2286521685710776E-4"/>
    <m/>
  </r>
  <r>
    <n v="37.6"/>
    <d v="2013-11-30T00:00:00"/>
    <x v="5"/>
    <s v="MDCG"/>
    <s v="Kachin"/>
    <s v="Bhamo"/>
    <s v="Lisu Boarding-House"/>
    <m/>
    <m/>
    <m/>
    <m/>
    <m/>
    <n v="206"/>
    <m/>
    <m/>
    <m/>
    <m/>
    <n v="242"/>
    <n v="156"/>
    <n v="0"/>
    <m/>
    <m/>
    <m/>
    <m/>
    <n v="0"/>
    <n v="0"/>
    <n v="0"/>
    <n v="0"/>
    <n v="0"/>
    <n v="0"/>
    <n v="0"/>
    <n v="0"/>
    <n v="0"/>
    <n v="0"/>
    <n v="0"/>
    <n v="0"/>
    <n v="0"/>
    <n v="0"/>
    <n v="1"/>
    <n v="0"/>
    <n v="0"/>
    <n v="0"/>
    <s v="MMR001CMP049"/>
    <x v="0"/>
    <x v="1"/>
    <s v="P4"/>
    <n v="0"/>
    <s v="No"/>
  </r>
  <r>
    <n v="29.366666666666667"/>
    <d v="2014-08-04T00:00:00"/>
    <x v="0"/>
    <m/>
    <s v="Kachin"/>
    <s v="Bhamo"/>
    <m/>
    <m/>
    <m/>
    <m/>
    <m/>
    <n v="5"/>
    <m/>
    <m/>
    <m/>
    <m/>
    <m/>
    <m/>
    <m/>
    <m/>
    <m/>
    <m/>
    <m/>
    <m/>
    <n v="0"/>
    <n v="0"/>
    <n v="0"/>
    <n v="0"/>
    <n v="0"/>
    <n v="0"/>
    <n v="0"/>
    <n v="0"/>
    <n v="0"/>
    <n v="0"/>
    <n v="0"/>
    <n v="0"/>
    <n v="0"/>
    <n v="0"/>
    <n v="0"/>
    <n v="0"/>
    <n v="0"/>
    <n v="0"/>
    <s v=""/>
    <x v="2"/>
    <x v="2"/>
    <s v=""/>
    <s v=""/>
    <m/>
  </r>
  <r>
    <n v="37.6"/>
    <d v="2013-11-30T00:00:00"/>
    <x v="4"/>
    <m/>
    <s v="Kachin"/>
    <s v="Bhamo"/>
    <s v="Lisu Boarding-House"/>
    <m/>
    <m/>
    <m/>
    <m/>
    <m/>
    <m/>
    <m/>
    <m/>
    <m/>
    <n v="120"/>
    <m/>
    <m/>
    <m/>
    <m/>
    <m/>
    <m/>
    <m/>
    <n v="0"/>
    <n v="0"/>
    <n v="0"/>
    <n v="0"/>
    <n v="0"/>
    <n v="0"/>
    <n v="0"/>
    <n v="0"/>
    <n v="0"/>
    <n v="0"/>
    <n v="0"/>
    <n v="0"/>
    <n v="0"/>
    <n v="0"/>
    <n v="0"/>
    <n v="0"/>
    <n v="0"/>
    <n v="0"/>
    <s v="MMR001CMP049"/>
    <x v="0"/>
    <x v="1"/>
    <s v="P4"/>
    <n v="0"/>
    <s v="No"/>
  </r>
  <r>
    <n v="37.733333333333334"/>
    <d v="2013-11-26T00:00:00"/>
    <x v="0"/>
    <s v="UNHCR"/>
    <s v="Kachin"/>
    <s v="Bhamo"/>
    <s v="Lisu Boarding-House"/>
    <m/>
    <m/>
    <m/>
    <n v="31"/>
    <n v="13"/>
    <n v="31"/>
    <n v="13"/>
    <n v="13"/>
    <m/>
    <m/>
    <m/>
    <m/>
    <m/>
    <m/>
    <m/>
    <m/>
    <m/>
    <n v="0"/>
    <n v="0"/>
    <n v="0"/>
    <n v="0"/>
    <n v="0"/>
    <n v="0"/>
    <n v="0"/>
    <n v="0"/>
    <n v="0"/>
    <n v="0"/>
    <n v="0"/>
    <n v="0"/>
    <n v="0"/>
    <n v="0"/>
    <n v="0"/>
    <n v="0"/>
    <n v="0"/>
    <n v="0"/>
    <s v="MMR001CMP049"/>
    <x v="0"/>
    <x v="1"/>
    <s v="P4"/>
    <n v="3.1944956382848013E-4"/>
    <s v="No"/>
  </r>
  <r>
    <n v="48.43333333333333"/>
    <d v="2013-01-09T00:00:00"/>
    <x v="4"/>
    <s v="Solidarities"/>
    <s v="Kachin"/>
    <s v="Bhamo"/>
    <s v="Lisu Boarding-House"/>
    <n v="205"/>
    <m/>
    <m/>
    <m/>
    <m/>
    <m/>
    <m/>
    <m/>
    <n v="0"/>
    <n v="0"/>
    <m/>
    <m/>
    <m/>
    <m/>
    <m/>
    <m/>
    <m/>
    <n v="0"/>
    <n v="0"/>
    <n v="0"/>
    <n v="0"/>
    <n v="0"/>
    <n v="0"/>
    <n v="0"/>
    <n v="0"/>
    <n v="0"/>
    <n v="0"/>
    <n v="0"/>
    <n v="0"/>
    <n v="0"/>
    <n v="0"/>
    <n v="0"/>
    <n v="0"/>
    <n v="0"/>
    <n v="0"/>
    <s v="MMR001CMP049"/>
    <x v="0"/>
    <x v="1"/>
    <s v="P4"/>
    <n v="0"/>
    <s v="No"/>
  </r>
  <r>
    <n v="49.06666666666667"/>
    <d v="2012-12-21T00:00:00"/>
    <x v="0"/>
    <s v="UNHCR"/>
    <s v="Kachin"/>
    <s v="Bhamo"/>
    <s v="Lisu Boarding-House"/>
    <m/>
    <m/>
    <m/>
    <n v="0"/>
    <n v="12"/>
    <n v="0"/>
    <n v="12"/>
    <n v="12"/>
    <n v="12"/>
    <n v="12"/>
    <m/>
    <m/>
    <m/>
    <m/>
    <m/>
    <m/>
    <m/>
    <n v="0"/>
    <n v="0"/>
    <n v="0"/>
    <n v="0"/>
    <n v="0"/>
    <n v="0"/>
    <n v="0"/>
    <n v="0"/>
    <n v="0"/>
    <n v="0"/>
    <n v="0"/>
    <n v="0"/>
    <n v="0"/>
    <n v="0"/>
    <n v="0"/>
    <n v="0"/>
    <n v="0"/>
    <n v="0"/>
    <s v="MMR001CMP049"/>
    <x v="0"/>
    <x v="1"/>
    <s v="P4"/>
    <n v="2.948765204570586E-4"/>
    <s v="No"/>
  </r>
  <r>
    <n v="60.1"/>
    <d v="2012-01-25T00:00:00"/>
    <x v="4"/>
    <m/>
    <s v="Kachin"/>
    <s v="Bhamo"/>
    <s v="Lisu Boarding-House"/>
    <n v="94"/>
    <m/>
    <m/>
    <m/>
    <m/>
    <m/>
    <m/>
    <m/>
    <m/>
    <m/>
    <m/>
    <m/>
    <m/>
    <m/>
    <m/>
    <m/>
    <m/>
    <n v="0"/>
    <n v="0"/>
    <n v="0"/>
    <n v="0"/>
    <n v="0"/>
    <n v="0"/>
    <n v="0"/>
    <n v="0"/>
    <n v="0"/>
    <n v="0"/>
    <n v="0"/>
    <n v="0"/>
    <n v="0"/>
    <n v="0"/>
    <n v="0"/>
    <n v="0"/>
    <n v="0"/>
    <n v="0"/>
    <s v="MMR001CMP049"/>
    <x v="0"/>
    <x v="1"/>
    <s v="P4"/>
    <n v="0"/>
    <m/>
  </r>
  <r>
    <n v="6.166666666666667"/>
    <d v="2016-06-30T00:00:00"/>
    <x v="4"/>
    <s v="Solidarities"/>
    <s v="Kachin"/>
    <s v="Momauk"/>
    <s v="Loi Je Baptist Church"/>
    <m/>
    <m/>
    <m/>
    <m/>
    <m/>
    <m/>
    <m/>
    <m/>
    <m/>
    <m/>
    <m/>
    <m/>
    <m/>
    <m/>
    <n v="2"/>
    <m/>
    <m/>
    <n v="0"/>
    <n v="0"/>
    <n v="0"/>
    <n v="0"/>
    <n v="0"/>
    <n v="0"/>
    <n v="0"/>
    <n v="0"/>
    <n v="0"/>
    <n v="0"/>
    <n v="0"/>
    <n v="0"/>
    <n v="0"/>
    <n v="0"/>
    <n v="0"/>
    <n v="2"/>
    <n v="0"/>
    <n v="0"/>
    <s v="MMR001CMP071"/>
    <x v="0"/>
    <x v="1"/>
    <s v="P3"/>
    <n v="0"/>
    <m/>
  </r>
  <r>
    <n v="8.1999999999999993"/>
    <d v="2016-04-30T00:00:00"/>
    <x v="4"/>
    <s v="Solidarities"/>
    <s v="Kachin"/>
    <s v="Momauk"/>
    <s v="Loi Je Baptist Church"/>
    <m/>
    <m/>
    <m/>
    <m/>
    <m/>
    <m/>
    <m/>
    <m/>
    <m/>
    <m/>
    <m/>
    <m/>
    <m/>
    <m/>
    <m/>
    <n v="3"/>
    <m/>
    <n v="0"/>
    <n v="0"/>
    <n v="0"/>
    <n v="0"/>
    <n v="0"/>
    <n v="0"/>
    <n v="0"/>
    <n v="0"/>
    <n v="0"/>
    <n v="0"/>
    <n v="0"/>
    <n v="0"/>
    <n v="0"/>
    <n v="0"/>
    <n v="0"/>
    <n v="0"/>
    <n v="3"/>
    <n v="0"/>
    <s v="MMR001CMP071"/>
    <x v="0"/>
    <x v="1"/>
    <s v="P3"/>
    <n v="0"/>
    <m/>
  </r>
  <r>
    <n v="8.1999999999999993"/>
    <d v="2016-04-30T00:00:00"/>
    <x v="4"/>
    <s v="Solidarities"/>
    <s v="Kachin"/>
    <s v="Momauk"/>
    <s v="Loi Je Baptist Church"/>
    <m/>
    <m/>
    <m/>
    <m/>
    <m/>
    <m/>
    <m/>
    <m/>
    <m/>
    <m/>
    <m/>
    <m/>
    <m/>
    <m/>
    <m/>
    <m/>
    <m/>
    <n v="0"/>
    <n v="0"/>
    <n v="0"/>
    <n v="0"/>
    <n v="0"/>
    <n v="0"/>
    <n v="0"/>
    <n v="0"/>
    <n v="0"/>
    <n v="0"/>
    <n v="0"/>
    <n v="0"/>
    <n v="0"/>
    <n v="0"/>
    <n v="0"/>
    <n v="0"/>
    <n v="0"/>
    <n v="0"/>
    <s v="MMR001CMP071"/>
    <x v="0"/>
    <x v="1"/>
    <s v="P3"/>
    <n v="0"/>
    <m/>
  </r>
  <r>
    <n v="11.066666666666666"/>
    <d v="2016-02-04T00:00:00"/>
    <x v="4"/>
    <s v="Solidarities"/>
    <s v="Kachin"/>
    <s v="Momauk"/>
    <s v="Loi Je Baptist Church"/>
    <m/>
    <m/>
    <n v="55"/>
    <m/>
    <m/>
    <m/>
    <m/>
    <m/>
    <m/>
    <m/>
    <m/>
    <m/>
    <m/>
    <m/>
    <m/>
    <m/>
    <m/>
    <n v="0"/>
    <n v="0"/>
    <n v="55"/>
    <n v="0"/>
    <n v="0"/>
    <n v="0"/>
    <n v="0"/>
    <n v="0"/>
    <n v="0"/>
    <n v="0"/>
    <n v="0"/>
    <n v="0"/>
    <n v="0"/>
    <n v="0"/>
    <n v="0"/>
    <n v="0"/>
    <n v="0"/>
    <n v="0"/>
    <s v="MMR001CMP071"/>
    <x v="0"/>
    <x v="1"/>
    <s v="P3"/>
    <n v="0"/>
    <m/>
  </r>
  <r>
    <n v="11.066666666666666"/>
    <d v="2016-02-04T00:00:00"/>
    <x v="4"/>
    <s v="Solidarities"/>
    <s v="Kachin"/>
    <s v="Momauk"/>
    <s v="Loi Je Baptist Church"/>
    <m/>
    <m/>
    <m/>
    <m/>
    <m/>
    <m/>
    <m/>
    <m/>
    <m/>
    <m/>
    <m/>
    <m/>
    <m/>
    <m/>
    <m/>
    <m/>
    <m/>
    <n v="0"/>
    <n v="0"/>
    <n v="0"/>
    <n v="0"/>
    <n v="0"/>
    <n v="0"/>
    <n v="0"/>
    <n v="0"/>
    <n v="0"/>
    <n v="0"/>
    <n v="0"/>
    <n v="0"/>
    <n v="0"/>
    <n v="0"/>
    <n v="0"/>
    <n v="0"/>
    <n v="0"/>
    <n v="0"/>
    <s v="MMR001CMP071"/>
    <x v="0"/>
    <x v="1"/>
    <s v="P3"/>
    <n v="0"/>
    <m/>
  </r>
  <r>
    <n v="11.266666666666667"/>
    <d v="2016-01-29T00:00:00"/>
    <x v="4"/>
    <s v="Solidarities"/>
    <s v="Kachin"/>
    <s v="Momauk"/>
    <s v="Loi Je Baptist Church"/>
    <m/>
    <m/>
    <m/>
    <m/>
    <m/>
    <m/>
    <m/>
    <m/>
    <m/>
    <m/>
    <m/>
    <m/>
    <m/>
    <m/>
    <n v="2"/>
    <m/>
    <m/>
    <n v="0"/>
    <n v="0"/>
    <n v="0"/>
    <n v="0"/>
    <n v="0"/>
    <n v="0"/>
    <n v="0"/>
    <n v="0"/>
    <n v="0"/>
    <n v="0"/>
    <n v="0"/>
    <n v="0"/>
    <n v="0"/>
    <n v="0"/>
    <n v="0"/>
    <n v="2"/>
    <n v="0"/>
    <n v="0"/>
    <s v="MMR001CMP071"/>
    <x v="0"/>
    <x v="1"/>
    <s v="P3"/>
    <n v="0"/>
    <m/>
  </r>
  <r>
    <n v="12.766666666666667"/>
    <d v="2015-12-15T00:00:00"/>
    <x v="4"/>
    <s v="Solidarities"/>
    <s v="Kachin"/>
    <s v="Momauk"/>
    <s v="Loi Je Baptist Church"/>
    <m/>
    <m/>
    <m/>
    <m/>
    <m/>
    <m/>
    <m/>
    <m/>
    <m/>
    <m/>
    <m/>
    <m/>
    <m/>
    <m/>
    <m/>
    <n v="3"/>
    <m/>
    <n v="0"/>
    <n v="0"/>
    <n v="0"/>
    <n v="0"/>
    <n v="0"/>
    <n v="0"/>
    <n v="0"/>
    <n v="0"/>
    <n v="0"/>
    <n v="0"/>
    <n v="0"/>
    <n v="0"/>
    <n v="0"/>
    <n v="0"/>
    <n v="0"/>
    <n v="0"/>
    <n v="0"/>
    <n v="0"/>
    <s v="MMR001CMP071"/>
    <x v="0"/>
    <x v="1"/>
    <s v="P3"/>
    <n v="0"/>
    <m/>
  </r>
  <r>
    <n v="12.766666666666667"/>
    <d v="2015-12-15T00:00:00"/>
    <x v="4"/>
    <s v="Solidarities"/>
    <s v="Kachin"/>
    <s v="Momauk"/>
    <s v="Loi Je Baptist Church"/>
    <m/>
    <m/>
    <m/>
    <m/>
    <m/>
    <m/>
    <m/>
    <m/>
    <m/>
    <m/>
    <m/>
    <m/>
    <m/>
    <m/>
    <m/>
    <m/>
    <m/>
    <n v="0"/>
    <n v="0"/>
    <n v="0"/>
    <n v="0"/>
    <n v="0"/>
    <n v="0"/>
    <n v="0"/>
    <n v="0"/>
    <n v="0"/>
    <n v="0"/>
    <n v="0"/>
    <n v="0"/>
    <n v="0"/>
    <n v="0"/>
    <n v="0"/>
    <n v="0"/>
    <n v="0"/>
    <n v="0"/>
    <s v="MMR001CMP071"/>
    <x v="0"/>
    <x v="1"/>
    <s v="P3"/>
    <n v="0"/>
    <m/>
  </r>
  <r>
    <n v="19.233333333333334"/>
    <d v="2015-06-04T00:00:00"/>
    <x v="4"/>
    <s v="Solidarities"/>
    <s v="Kachin"/>
    <s v="Momauk"/>
    <s v="Loi Je Baptist Church"/>
    <m/>
    <m/>
    <n v="54"/>
    <m/>
    <m/>
    <m/>
    <m/>
    <m/>
    <m/>
    <m/>
    <m/>
    <m/>
    <m/>
    <m/>
    <m/>
    <m/>
    <m/>
    <n v="0"/>
    <n v="0"/>
    <n v="0"/>
    <n v="0"/>
    <n v="0"/>
    <n v="0"/>
    <n v="0"/>
    <n v="0"/>
    <n v="0"/>
    <n v="0"/>
    <n v="0"/>
    <n v="0"/>
    <n v="0"/>
    <n v="0"/>
    <n v="0"/>
    <n v="0"/>
    <n v="0"/>
    <n v="0"/>
    <s v="MMR001CMP071"/>
    <x v="0"/>
    <x v="1"/>
    <s v="P3"/>
    <n v="0"/>
    <m/>
  </r>
  <r>
    <n v="19.266666666666666"/>
    <d v="2015-06-03T00:00:00"/>
    <x v="4"/>
    <s v="Solidarities"/>
    <s v="Kachin"/>
    <s v="Momauk"/>
    <s v="Loi Je Baptist Church"/>
    <m/>
    <m/>
    <m/>
    <m/>
    <m/>
    <m/>
    <m/>
    <m/>
    <m/>
    <m/>
    <m/>
    <m/>
    <m/>
    <m/>
    <m/>
    <m/>
    <m/>
    <n v="0"/>
    <n v="0"/>
    <n v="0"/>
    <n v="0"/>
    <n v="0"/>
    <n v="0"/>
    <n v="0"/>
    <n v="0"/>
    <n v="0"/>
    <n v="0"/>
    <n v="0"/>
    <n v="0"/>
    <n v="0"/>
    <n v="0"/>
    <n v="0"/>
    <n v="0"/>
    <n v="0"/>
    <n v="0"/>
    <s v="MMR001CMP071"/>
    <x v="0"/>
    <x v="1"/>
    <s v="P3"/>
    <n v="0"/>
    <m/>
  </r>
  <r>
    <n v="30.8"/>
    <d v="2014-06-22T00:00:00"/>
    <x v="8"/>
    <s v="MRCS"/>
    <s v="Kachin"/>
    <s v="Momauk"/>
    <s v="Momauk Catholic Church (St. Patrick)"/>
    <m/>
    <m/>
    <m/>
    <m/>
    <m/>
    <m/>
    <m/>
    <m/>
    <m/>
    <m/>
    <m/>
    <m/>
    <m/>
    <n v="462"/>
    <m/>
    <m/>
    <m/>
    <n v="0"/>
    <n v="0"/>
    <n v="0"/>
    <n v="0"/>
    <n v="0"/>
    <n v="0"/>
    <n v="0"/>
    <n v="0"/>
    <n v="0"/>
    <n v="0"/>
    <n v="0"/>
    <n v="0"/>
    <n v="0"/>
    <n v="0"/>
    <n v="1"/>
    <n v="0"/>
    <n v="0"/>
    <n v="0"/>
    <s v="MMR001CMP057"/>
    <x v="0"/>
    <x v="0"/>
    <s v="P4"/>
    <n v="0"/>
    <m/>
  </r>
  <r>
    <n v="19.366666666666667"/>
    <d v="2015-05-31T00:00:00"/>
    <x v="4"/>
    <s v="Solidarities"/>
    <s v="Kachin"/>
    <s v="Momauk"/>
    <s v="Loi Je Baptist Church"/>
    <m/>
    <m/>
    <m/>
    <m/>
    <m/>
    <m/>
    <m/>
    <m/>
    <m/>
    <m/>
    <m/>
    <m/>
    <m/>
    <m/>
    <n v="2"/>
    <m/>
    <m/>
    <n v="0"/>
    <n v="0"/>
    <n v="0"/>
    <n v="0"/>
    <n v="0"/>
    <n v="0"/>
    <n v="0"/>
    <n v="0"/>
    <n v="0"/>
    <n v="0"/>
    <n v="0"/>
    <n v="0"/>
    <n v="0"/>
    <n v="0"/>
    <n v="0"/>
    <n v="0"/>
    <n v="0"/>
    <n v="0"/>
    <s v="MMR001CMP071"/>
    <x v="0"/>
    <x v="1"/>
    <s v="P3"/>
    <n v="0"/>
    <m/>
  </r>
  <r>
    <n v="22.033333333333335"/>
    <d v="2015-03-12T00:00:00"/>
    <x v="4"/>
    <s v="Solidarities"/>
    <s v="Kachin"/>
    <s v="Momauk"/>
    <s v="Loi Je Baptist Church"/>
    <m/>
    <m/>
    <m/>
    <m/>
    <m/>
    <m/>
    <m/>
    <m/>
    <m/>
    <m/>
    <m/>
    <m/>
    <m/>
    <m/>
    <m/>
    <n v="1"/>
    <m/>
    <n v="0"/>
    <n v="0"/>
    <n v="0"/>
    <n v="0"/>
    <n v="0"/>
    <n v="0"/>
    <n v="0"/>
    <n v="0"/>
    <n v="0"/>
    <n v="0"/>
    <n v="0"/>
    <n v="0"/>
    <n v="0"/>
    <n v="0"/>
    <n v="0"/>
    <n v="0"/>
    <n v="0"/>
    <n v="0"/>
    <s v="MMR001CMP071"/>
    <x v="0"/>
    <x v="1"/>
    <s v="P3"/>
    <n v="0"/>
    <m/>
  </r>
  <r>
    <n v="22.033333333333335"/>
    <d v="2015-03-12T00:00:00"/>
    <x v="4"/>
    <s v="Solidarities"/>
    <s v="Kachin"/>
    <s v="Momauk"/>
    <s v="Loi Je Baptist Church"/>
    <m/>
    <m/>
    <m/>
    <m/>
    <m/>
    <m/>
    <m/>
    <m/>
    <m/>
    <m/>
    <m/>
    <m/>
    <m/>
    <m/>
    <m/>
    <m/>
    <m/>
    <n v="0"/>
    <n v="0"/>
    <n v="0"/>
    <n v="0"/>
    <n v="0"/>
    <n v="0"/>
    <n v="0"/>
    <n v="0"/>
    <n v="0"/>
    <n v="0"/>
    <n v="0"/>
    <n v="0"/>
    <n v="0"/>
    <n v="0"/>
    <n v="0"/>
    <n v="0"/>
    <n v="0"/>
    <n v="0"/>
    <s v="MMR001CMP071"/>
    <x v="0"/>
    <x v="1"/>
    <s v="P3"/>
    <n v="0"/>
    <m/>
  </r>
  <r>
    <n v="24.866666666666667"/>
    <d v="2014-12-17T00:00:00"/>
    <x v="4"/>
    <s v="Solidarities"/>
    <s v="Kachin"/>
    <s v="Momauk"/>
    <s v="Loi Je Baptist Church"/>
    <m/>
    <m/>
    <m/>
    <m/>
    <m/>
    <m/>
    <m/>
    <m/>
    <m/>
    <m/>
    <m/>
    <m/>
    <m/>
    <m/>
    <m/>
    <m/>
    <m/>
    <n v="0"/>
    <n v="0"/>
    <n v="0"/>
    <n v="0"/>
    <n v="0"/>
    <n v="0"/>
    <n v="0"/>
    <n v="0"/>
    <n v="0"/>
    <n v="0"/>
    <n v="0"/>
    <n v="0"/>
    <n v="0"/>
    <n v="0"/>
    <n v="0"/>
    <n v="0"/>
    <n v="0"/>
    <n v="0"/>
    <s v="MMR001CMP071"/>
    <x v="0"/>
    <x v="1"/>
    <s v="P3"/>
    <n v="0"/>
    <m/>
  </r>
  <r>
    <n v="26.633333333333333"/>
    <d v="2014-10-25T00:00:00"/>
    <x v="1"/>
    <s v="MRCS"/>
    <s v="Kachin"/>
    <s v="Momauk"/>
    <s v="Loi Je Baptist Church"/>
    <m/>
    <m/>
    <m/>
    <m/>
    <m/>
    <m/>
    <m/>
    <m/>
    <m/>
    <m/>
    <n v="112"/>
    <n v="59"/>
    <m/>
    <n v="74"/>
    <m/>
    <m/>
    <m/>
    <n v="0"/>
    <n v="0"/>
    <n v="0"/>
    <n v="0"/>
    <n v="0"/>
    <n v="0"/>
    <n v="0"/>
    <n v="0"/>
    <n v="0"/>
    <n v="0"/>
    <n v="0"/>
    <n v="0"/>
    <n v="0"/>
    <n v="0"/>
    <n v="1"/>
    <n v="0"/>
    <n v="0"/>
    <n v="0"/>
    <s v="MMR001CMP071"/>
    <x v="0"/>
    <x v="1"/>
    <s v="P3"/>
    <n v="0"/>
    <m/>
  </r>
  <r>
    <n v="27.133333333333333"/>
    <d v="2014-10-10T00:00:00"/>
    <x v="0"/>
    <m/>
    <s v="Kachin"/>
    <s v="Momauk"/>
    <s v="Loi Je Baptist Church"/>
    <m/>
    <m/>
    <m/>
    <m/>
    <n v="60"/>
    <m/>
    <m/>
    <m/>
    <m/>
    <m/>
    <m/>
    <m/>
    <m/>
    <m/>
    <m/>
    <m/>
    <m/>
    <n v="0"/>
    <n v="0"/>
    <n v="0"/>
    <n v="0"/>
    <n v="0"/>
    <n v="0"/>
    <n v="0"/>
    <n v="0"/>
    <n v="0"/>
    <n v="0"/>
    <n v="0"/>
    <n v="0"/>
    <n v="0"/>
    <n v="0"/>
    <n v="0"/>
    <n v="0"/>
    <n v="0"/>
    <n v="0"/>
    <s v="MMR001CMP071"/>
    <x v="0"/>
    <x v="1"/>
    <s v="P3"/>
    <n v="0"/>
    <m/>
  </r>
  <r>
    <n v="37.6"/>
    <d v="2013-11-30T00:00:00"/>
    <x v="4"/>
    <m/>
    <s v="Kachin"/>
    <s v="Momauk"/>
    <s v="Loi Je Baptist Church"/>
    <m/>
    <m/>
    <m/>
    <m/>
    <m/>
    <m/>
    <m/>
    <m/>
    <m/>
    <n v="105"/>
    <m/>
    <m/>
    <m/>
    <m/>
    <m/>
    <m/>
    <m/>
    <n v="0"/>
    <n v="0"/>
    <n v="0"/>
    <n v="0"/>
    <n v="0"/>
    <n v="0"/>
    <n v="0"/>
    <n v="0"/>
    <n v="0"/>
    <n v="0"/>
    <n v="0"/>
    <n v="0"/>
    <n v="0"/>
    <n v="0"/>
    <n v="0"/>
    <n v="0"/>
    <n v="0"/>
    <n v="0"/>
    <s v="MMR001CMP071"/>
    <x v="0"/>
    <x v="1"/>
    <s v="P3"/>
    <n v="0"/>
    <s v="No"/>
  </r>
  <r>
    <n v="38.133333333333333"/>
    <d v="2013-11-14T00:00:00"/>
    <x v="3"/>
    <m/>
    <s v="Kachin"/>
    <s v="Momauk"/>
    <s v="Loi Je Baptist Church"/>
    <m/>
    <m/>
    <m/>
    <m/>
    <m/>
    <n v="75"/>
    <m/>
    <m/>
    <m/>
    <m/>
    <m/>
    <m/>
    <m/>
    <m/>
    <m/>
    <m/>
    <m/>
    <n v="0"/>
    <n v="0"/>
    <n v="0"/>
    <n v="0"/>
    <n v="0"/>
    <n v="0"/>
    <n v="0"/>
    <n v="0"/>
    <n v="0"/>
    <n v="0"/>
    <n v="0"/>
    <n v="0"/>
    <n v="0"/>
    <n v="0"/>
    <n v="0"/>
    <n v="0"/>
    <n v="0"/>
    <n v="0"/>
    <s v="MMR001CMP071"/>
    <x v="0"/>
    <x v="1"/>
    <s v="P3"/>
    <n v="0"/>
    <s v="No"/>
  </r>
  <r>
    <n v="43.266666666666666"/>
    <d v="2013-06-13T00:00:00"/>
    <x v="0"/>
    <s v="UNHCR"/>
    <s v="Kachin"/>
    <s v="Momauk"/>
    <s v="Loi Je Baptist Church"/>
    <m/>
    <m/>
    <n v="152"/>
    <n v="11"/>
    <n v="4"/>
    <n v="11"/>
    <n v="4"/>
    <n v="4"/>
    <n v="4"/>
    <n v="4"/>
    <m/>
    <m/>
    <m/>
    <m/>
    <m/>
    <m/>
    <m/>
    <n v="0"/>
    <n v="0"/>
    <n v="0"/>
    <n v="0"/>
    <n v="0"/>
    <n v="0"/>
    <n v="0"/>
    <n v="0"/>
    <n v="0"/>
    <n v="0"/>
    <n v="0"/>
    <n v="0"/>
    <n v="0"/>
    <n v="0"/>
    <n v="0"/>
    <n v="0"/>
    <n v="0"/>
    <n v="0"/>
    <s v="MMR001CMP071"/>
    <x v="0"/>
    <x v="1"/>
    <s v="P3"/>
    <n v="9.7489641725566662E-5"/>
    <s v="No"/>
  </r>
  <r>
    <n v="46.7"/>
    <d v="2013-03-02T00:00:00"/>
    <x v="4"/>
    <s v="Solidarities"/>
    <s v="Kachin"/>
    <s v="Momauk"/>
    <s v="Loi Je Baptist Church"/>
    <n v="3"/>
    <m/>
    <m/>
    <m/>
    <m/>
    <m/>
    <m/>
    <m/>
    <n v="0"/>
    <n v="0"/>
    <m/>
    <m/>
    <m/>
    <m/>
    <m/>
    <m/>
    <m/>
    <n v="0"/>
    <n v="0"/>
    <n v="0"/>
    <n v="0"/>
    <n v="0"/>
    <n v="0"/>
    <n v="0"/>
    <n v="0"/>
    <n v="0"/>
    <n v="0"/>
    <n v="0"/>
    <n v="0"/>
    <n v="0"/>
    <n v="0"/>
    <n v="0"/>
    <n v="0"/>
    <n v="0"/>
    <n v="0"/>
    <s v="MMR001CMP071"/>
    <x v="0"/>
    <x v="1"/>
    <s v="P3"/>
    <n v="0"/>
    <s v="No"/>
  </r>
  <r>
    <n v="49.166666666666664"/>
    <d v="2012-12-18T00:00:00"/>
    <x v="4"/>
    <s v="Solidarities"/>
    <s v="Kachin"/>
    <s v="Momauk"/>
    <s v="Loi Je Baptist Church"/>
    <m/>
    <m/>
    <n v="54"/>
    <m/>
    <m/>
    <m/>
    <m/>
    <m/>
    <m/>
    <m/>
    <m/>
    <m/>
    <m/>
    <m/>
    <m/>
    <m/>
    <m/>
    <n v="0"/>
    <n v="0"/>
    <n v="0"/>
    <n v="0"/>
    <n v="0"/>
    <n v="0"/>
    <n v="0"/>
    <n v="0"/>
    <n v="0"/>
    <n v="0"/>
    <n v="0"/>
    <n v="0"/>
    <n v="0"/>
    <n v="0"/>
    <n v="0"/>
    <n v="0"/>
    <n v="0"/>
    <n v="0"/>
    <s v="MMR001CMP071"/>
    <x v="0"/>
    <x v="1"/>
    <s v="P3"/>
    <n v="0"/>
    <m/>
  </r>
  <r>
    <n v="52.633333333333333"/>
    <d v="2012-09-05T00:00:00"/>
    <x v="0"/>
    <s v="UNHCR"/>
    <s v="Kachin"/>
    <s v="Momauk"/>
    <s v="Loi Je Baptist Church"/>
    <m/>
    <m/>
    <m/>
    <n v="40"/>
    <n v="17"/>
    <n v="40"/>
    <n v="17"/>
    <n v="17"/>
    <n v="17"/>
    <n v="17"/>
    <m/>
    <m/>
    <m/>
    <m/>
    <m/>
    <m/>
    <m/>
    <n v="0"/>
    <n v="0"/>
    <n v="0"/>
    <n v="0"/>
    <n v="0"/>
    <n v="0"/>
    <n v="0"/>
    <n v="0"/>
    <n v="0"/>
    <n v="0"/>
    <n v="0"/>
    <n v="0"/>
    <n v="0"/>
    <n v="0"/>
    <n v="0"/>
    <n v="0"/>
    <n v="0"/>
    <n v="0"/>
    <s v="MMR001CMP071"/>
    <x v="0"/>
    <x v="1"/>
    <s v="P3"/>
    <n v="4.1433097733365831E-4"/>
    <s v="No"/>
  </r>
  <r>
    <n v="59.133333333333333"/>
    <d v="2012-02-23T00:00:00"/>
    <x v="4"/>
    <s v="Solidarities"/>
    <s v="Kachin"/>
    <s v="Momauk"/>
    <s v="Loi Je Baptist Church"/>
    <n v="172"/>
    <m/>
    <m/>
    <m/>
    <m/>
    <m/>
    <m/>
    <m/>
    <m/>
    <m/>
    <m/>
    <m/>
    <m/>
    <m/>
    <m/>
    <m/>
    <m/>
    <n v="0"/>
    <n v="0"/>
    <n v="0"/>
    <n v="0"/>
    <n v="0"/>
    <n v="0"/>
    <n v="0"/>
    <n v="0"/>
    <n v="0"/>
    <n v="0"/>
    <n v="0"/>
    <n v="0"/>
    <n v="0"/>
    <n v="0"/>
    <n v="0"/>
    <n v="0"/>
    <n v="0"/>
    <n v="0"/>
    <s v="MMR001CMP071"/>
    <x v="0"/>
    <x v="1"/>
    <s v="P3"/>
    <n v="0"/>
    <m/>
  </r>
  <r>
    <n v="2.0666666666666669"/>
    <d v="2016-10-31T00:00:00"/>
    <x v="4"/>
    <s v="Solidarities"/>
    <s v="Kachin"/>
    <s v="Momauk"/>
    <s v="Loi Je Catholic Church"/>
    <m/>
    <m/>
    <m/>
    <m/>
    <m/>
    <m/>
    <m/>
    <m/>
    <m/>
    <m/>
    <m/>
    <m/>
    <m/>
    <m/>
    <n v="1"/>
    <m/>
    <m/>
    <n v="0"/>
    <n v="0"/>
    <n v="0"/>
    <n v="0"/>
    <n v="0"/>
    <n v="0"/>
    <n v="0"/>
    <n v="0"/>
    <n v="0"/>
    <n v="0"/>
    <n v="0"/>
    <n v="0"/>
    <n v="0"/>
    <n v="0"/>
    <n v="0"/>
    <n v="1"/>
    <n v="0"/>
    <n v="0"/>
    <s v="MMR001CMP069"/>
    <x v="0"/>
    <x v="1"/>
    <s v="P3"/>
    <n v="0"/>
    <m/>
  </r>
  <r>
    <n v="8.1999999999999993"/>
    <d v="2016-04-30T00:00:00"/>
    <x v="4"/>
    <s v="Solidarities"/>
    <s v="Kachin"/>
    <s v="Momauk"/>
    <s v="Loi Je Catholic Church"/>
    <m/>
    <m/>
    <m/>
    <m/>
    <m/>
    <m/>
    <m/>
    <m/>
    <m/>
    <m/>
    <m/>
    <m/>
    <m/>
    <m/>
    <m/>
    <n v="6"/>
    <m/>
    <n v="0"/>
    <n v="0"/>
    <n v="0"/>
    <n v="0"/>
    <n v="0"/>
    <n v="0"/>
    <n v="0"/>
    <n v="0"/>
    <n v="0"/>
    <n v="0"/>
    <n v="0"/>
    <n v="0"/>
    <n v="0"/>
    <n v="0"/>
    <n v="0"/>
    <n v="0"/>
    <n v="6"/>
    <n v="0"/>
    <s v="MMR001CMP069"/>
    <x v="0"/>
    <x v="1"/>
    <s v="P3"/>
    <n v="0"/>
    <m/>
  </r>
  <r>
    <n v="11.066666666666666"/>
    <d v="2016-02-04T00:00:00"/>
    <x v="4"/>
    <s v="Solidarities"/>
    <s v="Kachin"/>
    <s v="Momauk"/>
    <s v="Loi Je Catholic Church"/>
    <m/>
    <m/>
    <n v="71"/>
    <m/>
    <m/>
    <m/>
    <m/>
    <m/>
    <m/>
    <m/>
    <m/>
    <m/>
    <m/>
    <m/>
    <m/>
    <m/>
    <m/>
    <n v="0"/>
    <n v="0"/>
    <n v="71"/>
    <n v="0"/>
    <n v="0"/>
    <n v="0"/>
    <n v="0"/>
    <n v="0"/>
    <n v="0"/>
    <n v="0"/>
    <n v="0"/>
    <n v="0"/>
    <n v="0"/>
    <n v="0"/>
    <n v="0"/>
    <n v="0"/>
    <n v="0"/>
    <n v="0"/>
    <s v="MMR001CMP069"/>
    <x v="0"/>
    <x v="1"/>
    <s v="P3"/>
    <n v="0"/>
    <m/>
  </r>
  <r>
    <n v="12.766666666666667"/>
    <d v="2015-12-15T00:00:00"/>
    <x v="4"/>
    <s v="Solidarities"/>
    <s v="Kachin"/>
    <s v="Momauk"/>
    <s v="Loi Je Catholic Church"/>
    <m/>
    <m/>
    <m/>
    <m/>
    <m/>
    <m/>
    <m/>
    <m/>
    <m/>
    <m/>
    <m/>
    <m/>
    <m/>
    <m/>
    <m/>
    <n v="20"/>
    <m/>
    <n v="0"/>
    <n v="0"/>
    <n v="0"/>
    <n v="0"/>
    <n v="0"/>
    <n v="0"/>
    <n v="0"/>
    <n v="0"/>
    <n v="0"/>
    <n v="0"/>
    <n v="0"/>
    <n v="0"/>
    <n v="0"/>
    <n v="0"/>
    <n v="0"/>
    <n v="0"/>
    <n v="0"/>
    <n v="0"/>
    <s v="MMR001CMP069"/>
    <x v="0"/>
    <x v="1"/>
    <s v="P3"/>
    <n v="0"/>
    <m/>
  </r>
  <r>
    <n v="19.266666666666666"/>
    <d v="2015-06-03T00:00:00"/>
    <x v="4"/>
    <s v="Solidarities"/>
    <s v="Kachin"/>
    <s v="Momauk"/>
    <s v="Loi Je Catholic Church"/>
    <m/>
    <m/>
    <n v="115"/>
    <m/>
    <m/>
    <m/>
    <m/>
    <m/>
    <m/>
    <m/>
    <m/>
    <m/>
    <m/>
    <m/>
    <m/>
    <m/>
    <m/>
    <n v="0"/>
    <n v="0"/>
    <n v="0"/>
    <n v="0"/>
    <n v="0"/>
    <n v="0"/>
    <n v="0"/>
    <n v="0"/>
    <n v="0"/>
    <n v="0"/>
    <n v="0"/>
    <n v="0"/>
    <n v="0"/>
    <n v="0"/>
    <n v="0"/>
    <n v="0"/>
    <n v="0"/>
    <n v="0"/>
    <s v="MMR001CMP069"/>
    <x v="0"/>
    <x v="1"/>
    <s v="P3"/>
    <n v="0"/>
    <m/>
  </r>
  <r>
    <n v="22.033333333333335"/>
    <d v="2015-03-12T00:00:00"/>
    <x v="4"/>
    <s v="Solidarities"/>
    <s v="Kachin"/>
    <s v="Momauk"/>
    <s v="Loi Je Catholic Church"/>
    <m/>
    <m/>
    <m/>
    <m/>
    <m/>
    <m/>
    <m/>
    <m/>
    <m/>
    <m/>
    <m/>
    <m/>
    <m/>
    <m/>
    <m/>
    <n v="2"/>
    <m/>
    <n v="0"/>
    <n v="0"/>
    <n v="0"/>
    <n v="0"/>
    <n v="0"/>
    <n v="0"/>
    <n v="0"/>
    <n v="0"/>
    <n v="0"/>
    <n v="0"/>
    <n v="0"/>
    <n v="0"/>
    <n v="0"/>
    <n v="0"/>
    <n v="0"/>
    <n v="0"/>
    <n v="0"/>
    <n v="0"/>
    <s v="MMR001CMP069"/>
    <x v="0"/>
    <x v="1"/>
    <s v="P3"/>
    <n v="0"/>
    <m/>
  </r>
  <r>
    <n v="24.866666666666667"/>
    <d v="2014-12-17T00:00:00"/>
    <x v="4"/>
    <s v="Solidarities"/>
    <s v="Kachin"/>
    <s v="Momauk"/>
    <s v="Loi Je Catholic Church"/>
    <m/>
    <m/>
    <n v="124"/>
    <m/>
    <m/>
    <m/>
    <m/>
    <m/>
    <m/>
    <m/>
    <m/>
    <m/>
    <m/>
    <m/>
    <m/>
    <m/>
    <m/>
    <n v="0"/>
    <n v="0"/>
    <n v="0"/>
    <n v="0"/>
    <n v="0"/>
    <n v="0"/>
    <n v="0"/>
    <n v="0"/>
    <n v="0"/>
    <n v="0"/>
    <n v="0"/>
    <n v="0"/>
    <n v="0"/>
    <n v="0"/>
    <n v="0"/>
    <n v="0"/>
    <n v="0"/>
    <n v="0"/>
    <s v="MMR001CMP069"/>
    <x v="0"/>
    <x v="1"/>
    <s v="P3"/>
    <n v="0"/>
    <m/>
  </r>
  <r>
    <n v="26.633333333333333"/>
    <d v="2014-10-25T00:00:00"/>
    <x v="1"/>
    <s v="MRCS"/>
    <s v="Kachin"/>
    <s v="Momauk"/>
    <s v="Loi Je Catholic Church"/>
    <m/>
    <m/>
    <m/>
    <m/>
    <m/>
    <m/>
    <m/>
    <m/>
    <m/>
    <m/>
    <n v="203"/>
    <n v="102"/>
    <m/>
    <n v="138"/>
    <m/>
    <m/>
    <m/>
    <n v="0"/>
    <n v="0"/>
    <n v="0"/>
    <n v="0"/>
    <n v="0"/>
    <n v="0"/>
    <n v="0"/>
    <n v="0"/>
    <n v="0"/>
    <n v="0"/>
    <n v="0"/>
    <n v="0"/>
    <n v="0"/>
    <n v="0"/>
    <n v="1"/>
    <n v="0"/>
    <n v="0"/>
    <n v="0"/>
    <s v="MMR001CMP069"/>
    <x v="0"/>
    <x v="1"/>
    <s v="P3"/>
    <n v="0"/>
    <m/>
  </r>
  <r>
    <n v="29.366666666666667"/>
    <d v="2014-08-04T00:00:00"/>
    <x v="0"/>
    <m/>
    <s v="Kachin"/>
    <s v="Momauk"/>
    <s v="Loi Je Catholic Church"/>
    <m/>
    <m/>
    <m/>
    <m/>
    <n v="116"/>
    <m/>
    <m/>
    <m/>
    <m/>
    <m/>
    <m/>
    <m/>
    <m/>
    <m/>
    <m/>
    <m/>
    <m/>
    <n v="0"/>
    <n v="0"/>
    <n v="0"/>
    <n v="0"/>
    <n v="0"/>
    <n v="0"/>
    <n v="0"/>
    <n v="0"/>
    <n v="0"/>
    <n v="0"/>
    <n v="0"/>
    <n v="0"/>
    <n v="0"/>
    <n v="0"/>
    <n v="0"/>
    <n v="0"/>
    <n v="0"/>
    <n v="0"/>
    <s v="MMR001CMP069"/>
    <x v="0"/>
    <x v="1"/>
    <s v="P3"/>
    <n v="0"/>
    <m/>
  </r>
  <r>
    <n v="37.6"/>
    <d v="2013-11-30T00:00:00"/>
    <x v="4"/>
    <m/>
    <s v="Kachin"/>
    <s v="Momauk"/>
    <s v="Loi Je Catholic Church"/>
    <m/>
    <m/>
    <m/>
    <m/>
    <m/>
    <m/>
    <m/>
    <m/>
    <m/>
    <n v="246"/>
    <m/>
    <m/>
    <m/>
    <m/>
    <m/>
    <m/>
    <m/>
    <n v="0"/>
    <n v="0"/>
    <n v="0"/>
    <n v="0"/>
    <n v="0"/>
    <n v="0"/>
    <n v="0"/>
    <n v="0"/>
    <n v="0"/>
    <n v="0"/>
    <n v="0"/>
    <n v="0"/>
    <n v="0"/>
    <n v="0"/>
    <n v="0"/>
    <n v="0"/>
    <n v="0"/>
    <n v="0"/>
    <s v="MMR001CMP069"/>
    <x v="0"/>
    <x v="1"/>
    <s v="P3"/>
    <n v="0"/>
    <s v="No"/>
  </r>
  <r>
    <n v="38.033333333333331"/>
    <d v="2013-11-17T00:00:00"/>
    <x v="3"/>
    <m/>
    <s v="Kachin"/>
    <s v="Momauk"/>
    <s v="Loi Je Catholic Church"/>
    <m/>
    <m/>
    <m/>
    <m/>
    <m/>
    <n v="141"/>
    <m/>
    <m/>
    <m/>
    <m/>
    <m/>
    <m/>
    <m/>
    <m/>
    <m/>
    <m/>
    <m/>
    <n v="0"/>
    <n v="0"/>
    <n v="0"/>
    <n v="0"/>
    <n v="0"/>
    <n v="0"/>
    <n v="0"/>
    <n v="0"/>
    <n v="0"/>
    <n v="0"/>
    <n v="0"/>
    <n v="0"/>
    <n v="0"/>
    <n v="0"/>
    <n v="0"/>
    <n v="0"/>
    <n v="0"/>
    <n v="0"/>
    <s v="MMR001CMP069"/>
    <x v="0"/>
    <x v="1"/>
    <s v="P3"/>
    <n v="0"/>
    <s v="No"/>
  </r>
  <r>
    <n v="43.266666666666666"/>
    <d v="2013-06-13T00:00:00"/>
    <x v="0"/>
    <s v="UNHCR"/>
    <s v="Kachin"/>
    <s v="Momauk"/>
    <s v="Loi Je Catholic Church"/>
    <m/>
    <m/>
    <n v="425"/>
    <n v="30"/>
    <n v="11"/>
    <n v="30"/>
    <n v="11"/>
    <n v="11"/>
    <n v="11"/>
    <n v="11"/>
    <m/>
    <m/>
    <m/>
    <m/>
    <m/>
    <m/>
    <m/>
    <n v="0"/>
    <n v="0"/>
    <n v="0"/>
    <n v="0"/>
    <n v="0"/>
    <n v="0"/>
    <n v="0"/>
    <n v="0"/>
    <n v="0"/>
    <n v="0"/>
    <n v="0"/>
    <n v="0"/>
    <n v="0"/>
    <n v="0"/>
    <n v="0"/>
    <n v="0"/>
    <n v="0"/>
    <n v="0"/>
    <s v="MMR001CMP069"/>
    <x v="0"/>
    <x v="1"/>
    <s v="P3"/>
    <n v="2.6929103016059538E-4"/>
    <s v="No"/>
  </r>
  <r>
    <n v="48.466666666666669"/>
    <d v="2013-01-08T00:00:00"/>
    <x v="4"/>
    <s v="Solidarities"/>
    <s v="Kachin"/>
    <s v="Momauk"/>
    <s v="Loi Je Catholic Church"/>
    <n v="353"/>
    <m/>
    <m/>
    <m/>
    <m/>
    <m/>
    <m/>
    <m/>
    <n v="0"/>
    <n v="0"/>
    <m/>
    <m/>
    <m/>
    <m/>
    <m/>
    <m/>
    <m/>
    <n v="0"/>
    <n v="0"/>
    <n v="0"/>
    <n v="0"/>
    <n v="0"/>
    <n v="0"/>
    <n v="0"/>
    <n v="0"/>
    <n v="0"/>
    <n v="0"/>
    <n v="0"/>
    <n v="0"/>
    <n v="0"/>
    <n v="0"/>
    <n v="0"/>
    <n v="0"/>
    <n v="0"/>
    <n v="0"/>
    <s v="MMR001CMP069"/>
    <x v="0"/>
    <x v="1"/>
    <s v="P3"/>
    <n v="0"/>
    <s v="No"/>
  </r>
  <r>
    <n v="52.633333333333333"/>
    <d v="2012-09-05T00:00:00"/>
    <x v="0"/>
    <s v="UNHCR"/>
    <s v="Kachin"/>
    <s v="Momauk"/>
    <s v="Loi Je Catholic Church"/>
    <m/>
    <m/>
    <m/>
    <n v="21"/>
    <n v="10"/>
    <n v="21"/>
    <n v="10"/>
    <n v="10"/>
    <n v="10"/>
    <n v="10"/>
    <m/>
    <m/>
    <m/>
    <m/>
    <m/>
    <m/>
    <m/>
    <n v="0"/>
    <n v="0"/>
    <n v="0"/>
    <n v="0"/>
    <n v="0"/>
    <n v="0"/>
    <n v="0"/>
    <n v="0"/>
    <n v="0"/>
    <n v="0"/>
    <n v="0"/>
    <n v="0"/>
    <n v="0"/>
    <n v="0"/>
    <n v="0"/>
    <n v="0"/>
    <n v="0"/>
    <n v="0"/>
    <s v="MMR001CMP069"/>
    <x v="0"/>
    <x v="1"/>
    <s v="P3"/>
    <n v="2.4481002741872309E-4"/>
    <s v="No"/>
  </r>
  <r>
    <n v="53.333333333333336"/>
    <d v="2012-08-15T00:00:00"/>
    <x v="4"/>
    <s v="Solidarities"/>
    <s v="Kachin"/>
    <s v="Momauk"/>
    <s v="Loi Je Catholic Church"/>
    <n v="73"/>
    <m/>
    <m/>
    <m/>
    <m/>
    <m/>
    <m/>
    <m/>
    <m/>
    <m/>
    <m/>
    <m/>
    <m/>
    <m/>
    <m/>
    <m/>
    <m/>
    <n v="0"/>
    <n v="0"/>
    <n v="0"/>
    <n v="0"/>
    <n v="0"/>
    <n v="0"/>
    <n v="0"/>
    <n v="0"/>
    <n v="0"/>
    <n v="0"/>
    <n v="0"/>
    <n v="0"/>
    <n v="0"/>
    <n v="0"/>
    <n v="0"/>
    <n v="0"/>
    <n v="0"/>
    <n v="0"/>
    <s v="MMR001CMP069"/>
    <x v="0"/>
    <x v="1"/>
    <s v="P3"/>
    <n v="0"/>
    <m/>
  </r>
  <r>
    <n v="59.133333333333333"/>
    <d v="2012-02-23T00:00:00"/>
    <x v="4"/>
    <s v="Solidarities"/>
    <s v="Kachin"/>
    <s v="Momauk"/>
    <s v="Loi Je Catholic Church"/>
    <n v="227"/>
    <m/>
    <m/>
    <m/>
    <m/>
    <m/>
    <m/>
    <m/>
    <m/>
    <m/>
    <m/>
    <m/>
    <m/>
    <m/>
    <m/>
    <m/>
    <m/>
    <n v="0"/>
    <n v="0"/>
    <n v="0"/>
    <n v="0"/>
    <n v="0"/>
    <n v="0"/>
    <n v="0"/>
    <n v="0"/>
    <n v="0"/>
    <n v="0"/>
    <n v="0"/>
    <n v="0"/>
    <n v="0"/>
    <n v="0"/>
    <n v="0"/>
    <n v="0"/>
    <n v="0"/>
    <n v="0"/>
    <s v="MMR001CMP069"/>
    <x v="0"/>
    <x v="1"/>
    <s v="P3"/>
    <n v="0"/>
    <m/>
  </r>
  <r>
    <n v="31.866666666666667"/>
    <d v="2014-05-21T00:00:00"/>
    <x v="8"/>
    <s v="MRCS"/>
    <s v="Kachin"/>
    <s v="Myitkyina"/>
    <s v="Myay Myint Baptist Church"/>
    <m/>
    <m/>
    <m/>
    <m/>
    <m/>
    <m/>
    <m/>
    <m/>
    <m/>
    <m/>
    <m/>
    <m/>
    <m/>
    <n v="24"/>
    <m/>
    <m/>
    <m/>
    <n v="0"/>
    <n v="0"/>
    <n v="0"/>
    <n v="0"/>
    <n v="0"/>
    <n v="0"/>
    <n v="0"/>
    <n v="0"/>
    <n v="0"/>
    <n v="0"/>
    <n v="0"/>
    <n v="0"/>
    <n v="0"/>
    <n v="0"/>
    <n v="1"/>
    <n v="0"/>
    <n v="0"/>
    <n v="0"/>
    <s v="MMR001CMP017"/>
    <x v="0"/>
    <x v="0"/>
    <s v="P4"/>
    <n v="0"/>
    <m/>
  </r>
  <r>
    <n v="6.166666666666667"/>
    <d v="2016-06-30T00:00:00"/>
    <x v="4"/>
    <s v="Solidarities"/>
    <s v="Kachin"/>
    <s v="Momauk"/>
    <s v="Loi Je Lisu Camp"/>
    <m/>
    <m/>
    <m/>
    <m/>
    <m/>
    <m/>
    <m/>
    <m/>
    <m/>
    <m/>
    <m/>
    <m/>
    <m/>
    <m/>
    <n v="1"/>
    <m/>
    <m/>
    <n v="0"/>
    <n v="0"/>
    <n v="0"/>
    <n v="0"/>
    <n v="0"/>
    <n v="0"/>
    <n v="0"/>
    <n v="0"/>
    <n v="0"/>
    <n v="0"/>
    <n v="0"/>
    <n v="0"/>
    <n v="0"/>
    <n v="0"/>
    <n v="0"/>
    <n v="1"/>
    <n v="0"/>
    <n v="0"/>
    <s v="MMR001CMP070"/>
    <x v="0"/>
    <x v="1"/>
    <s v="P3"/>
    <n v="0"/>
    <m/>
  </r>
  <r>
    <n v="8.1999999999999993"/>
    <d v="2016-04-30T00:00:00"/>
    <x v="4"/>
    <s v="Solidarities"/>
    <s v="Kachin"/>
    <s v="Momauk"/>
    <s v="Loi Je Lisu Camp"/>
    <m/>
    <m/>
    <m/>
    <m/>
    <m/>
    <m/>
    <m/>
    <m/>
    <m/>
    <m/>
    <m/>
    <m/>
    <m/>
    <m/>
    <m/>
    <n v="14"/>
    <m/>
    <n v="0"/>
    <n v="0"/>
    <n v="0"/>
    <n v="0"/>
    <n v="0"/>
    <n v="0"/>
    <n v="0"/>
    <n v="0"/>
    <n v="0"/>
    <n v="0"/>
    <n v="0"/>
    <n v="0"/>
    <n v="0"/>
    <n v="0"/>
    <n v="0"/>
    <n v="0"/>
    <n v="14"/>
    <n v="0"/>
    <s v="MMR001CMP070"/>
    <x v="0"/>
    <x v="1"/>
    <s v="P3"/>
    <n v="0"/>
    <m/>
  </r>
  <r>
    <n v="11.033333333333333"/>
    <d v="2016-02-05T00:00:00"/>
    <x v="4"/>
    <s v="Solidarities"/>
    <s v="Kachin"/>
    <s v="Momauk"/>
    <s v="Loi Je Lisu Camp"/>
    <m/>
    <m/>
    <n v="258"/>
    <m/>
    <m/>
    <m/>
    <m/>
    <m/>
    <m/>
    <m/>
    <m/>
    <m/>
    <m/>
    <m/>
    <m/>
    <m/>
    <m/>
    <n v="0"/>
    <n v="0"/>
    <n v="258"/>
    <n v="0"/>
    <n v="0"/>
    <n v="0"/>
    <n v="0"/>
    <n v="0"/>
    <n v="0"/>
    <n v="0"/>
    <n v="0"/>
    <n v="0"/>
    <n v="0"/>
    <n v="0"/>
    <n v="0"/>
    <n v="0"/>
    <n v="0"/>
    <n v="0"/>
    <s v="MMR001CMP070"/>
    <x v="0"/>
    <x v="1"/>
    <s v="P3"/>
    <n v="0"/>
    <m/>
  </r>
  <r>
    <n v="11.266666666666667"/>
    <d v="2016-01-29T00:00:00"/>
    <x v="4"/>
    <s v="Solidarities"/>
    <s v="Kachin"/>
    <s v="Momauk"/>
    <s v="Loi Je Lisu Camp"/>
    <m/>
    <m/>
    <m/>
    <m/>
    <m/>
    <m/>
    <m/>
    <m/>
    <m/>
    <m/>
    <m/>
    <m/>
    <m/>
    <m/>
    <n v="3"/>
    <m/>
    <m/>
    <n v="0"/>
    <n v="0"/>
    <n v="0"/>
    <n v="0"/>
    <n v="0"/>
    <n v="0"/>
    <n v="0"/>
    <n v="0"/>
    <n v="0"/>
    <n v="0"/>
    <n v="0"/>
    <n v="0"/>
    <n v="0"/>
    <n v="0"/>
    <n v="0"/>
    <n v="3"/>
    <n v="0"/>
    <n v="0"/>
    <s v="MMR001CMP070"/>
    <x v="0"/>
    <x v="1"/>
    <s v="P3"/>
    <n v="0"/>
    <m/>
  </r>
  <r>
    <n v="12.766666666666667"/>
    <d v="2015-12-15T00:00:00"/>
    <x v="4"/>
    <s v="Solidarities"/>
    <s v="Kachin"/>
    <s v="Momauk"/>
    <s v="Loi Je Lisu Camp"/>
    <m/>
    <m/>
    <m/>
    <m/>
    <m/>
    <m/>
    <m/>
    <m/>
    <m/>
    <m/>
    <m/>
    <m/>
    <m/>
    <m/>
    <m/>
    <n v="14"/>
    <m/>
    <n v="0"/>
    <n v="0"/>
    <n v="0"/>
    <n v="0"/>
    <n v="0"/>
    <n v="0"/>
    <n v="0"/>
    <n v="0"/>
    <n v="0"/>
    <n v="0"/>
    <n v="0"/>
    <n v="0"/>
    <n v="0"/>
    <n v="0"/>
    <n v="0"/>
    <n v="0"/>
    <n v="0"/>
    <n v="0"/>
    <s v="MMR001CMP070"/>
    <x v="0"/>
    <x v="1"/>
    <s v="P3"/>
    <n v="0"/>
    <m/>
  </r>
  <r>
    <n v="19.233333333333334"/>
    <d v="2015-06-04T00:00:00"/>
    <x v="0"/>
    <s v="KBC"/>
    <s v="Kachin"/>
    <s v="Momauk"/>
    <s v="Loi Je Lisu Camp"/>
    <m/>
    <m/>
    <m/>
    <m/>
    <n v="88"/>
    <n v="27"/>
    <n v="9"/>
    <m/>
    <n v="9"/>
    <n v="48"/>
    <m/>
    <m/>
    <m/>
    <m/>
    <n v="9"/>
    <m/>
    <m/>
    <n v="0"/>
    <n v="0"/>
    <n v="0"/>
    <n v="0"/>
    <n v="0"/>
    <n v="0"/>
    <n v="0"/>
    <n v="0"/>
    <n v="0"/>
    <n v="0"/>
    <n v="0"/>
    <n v="0"/>
    <n v="0"/>
    <n v="0"/>
    <n v="0"/>
    <n v="0"/>
    <n v="0"/>
    <n v="0"/>
    <s v="MMR001CMP070"/>
    <x v="0"/>
    <x v="1"/>
    <s v="P3"/>
    <n v="2.1951219512195122E-4"/>
    <s v="No"/>
  </r>
  <r>
    <n v="19.266666666666666"/>
    <d v="2015-06-03T00:00:00"/>
    <x v="4"/>
    <s v="Solidarities"/>
    <s v="Kachin"/>
    <s v="Momauk"/>
    <s v="Loi Je Lisu Camp"/>
    <m/>
    <m/>
    <n v="270"/>
    <m/>
    <m/>
    <m/>
    <m/>
    <m/>
    <m/>
    <m/>
    <m/>
    <m/>
    <m/>
    <m/>
    <m/>
    <m/>
    <m/>
    <n v="0"/>
    <n v="0"/>
    <n v="0"/>
    <n v="0"/>
    <n v="0"/>
    <n v="0"/>
    <n v="0"/>
    <n v="0"/>
    <n v="0"/>
    <n v="0"/>
    <n v="0"/>
    <n v="0"/>
    <n v="0"/>
    <n v="0"/>
    <n v="0"/>
    <n v="0"/>
    <n v="0"/>
    <n v="0"/>
    <s v="MMR001CMP070"/>
    <x v="0"/>
    <x v="1"/>
    <s v="P3"/>
    <n v="0"/>
    <m/>
  </r>
  <r>
    <n v="19.366666666666667"/>
    <d v="2015-05-31T00:00:00"/>
    <x v="4"/>
    <s v="Solidarities"/>
    <s v="Kachin"/>
    <s v="Momauk"/>
    <s v="Loi Je Lisu Camp"/>
    <m/>
    <m/>
    <m/>
    <m/>
    <m/>
    <m/>
    <m/>
    <m/>
    <m/>
    <m/>
    <m/>
    <m/>
    <m/>
    <m/>
    <n v="4"/>
    <m/>
    <m/>
    <n v="0"/>
    <n v="0"/>
    <n v="0"/>
    <n v="0"/>
    <n v="0"/>
    <n v="0"/>
    <n v="0"/>
    <n v="0"/>
    <n v="0"/>
    <n v="0"/>
    <n v="0"/>
    <n v="0"/>
    <n v="0"/>
    <n v="0"/>
    <n v="0"/>
    <n v="0"/>
    <n v="0"/>
    <n v="0"/>
    <s v="MMR001CMP070"/>
    <x v="0"/>
    <x v="1"/>
    <s v="P3"/>
    <n v="0"/>
    <m/>
  </r>
  <r>
    <n v="20.6"/>
    <d v="2015-04-24T00:00:00"/>
    <x v="0"/>
    <s v="KBC"/>
    <s v="Kachin"/>
    <s v="Momauk"/>
    <s v="Loi Je Lisu Camp"/>
    <m/>
    <m/>
    <m/>
    <m/>
    <m/>
    <m/>
    <m/>
    <m/>
    <n v="9"/>
    <m/>
    <m/>
    <m/>
    <m/>
    <m/>
    <m/>
    <m/>
    <m/>
    <n v="0"/>
    <n v="0"/>
    <n v="0"/>
    <n v="0"/>
    <n v="0"/>
    <n v="0"/>
    <n v="0"/>
    <n v="0"/>
    <n v="0"/>
    <n v="0"/>
    <n v="0"/>
    <n v="0"/>
    <n v="0"/>
    <n v="0"/>
    <n v="0"/>
    <n v="0"/>
    <n v="0"/>
    <n v="0"/>
    <s v="MMR001CMP070"/>
    <x v="0"/>
    <x v="1"/>
    <s v="P3"/>
    <n v="0"/>
    <s v="No"/>
  </r>
  <r>
    <n v="22.033333333333335"/>
    <d v="2015-03-12T00:00:00"/>
    <x v="4"/>
    <s v="Solidarities"/>
    <s v="Kachin"/>
    <s v="Momauk"/>
    <s v="Loi Je Lisu Camp"/>
    <m/>
    <m/>
    <m/>
    <m/>
    <m/>
    <m/>
    <m/>
    <m/>
    <m/>
    <m/>
    <m/>
    <m/>
    <m/>
    <m/>
    <m/>
    <n v="5"/>
    <m/>
    <n v="0"/>
    <n v="0"/>
    <n v="0"/>
    <n v="0"/>
    <n v="0"/>
    <n v="0"/>
    <n v="0"/>
    <n v="0"/>
    <n v="0"/>
    <n v="0"/>
    <n v="0"/>
    <n v="0"/>
    <n v="0"/>
    <n v="0"/>
    <n v="0"/>
    <n v="0"/>
    <n v="0"/>
    <n v="0"/>
    <s v="MMR001CMP070"/>
    <x v="0"/>
    <x v="1"/>
    <s v="P3"/>
    <n v="0"/>
    <m/>
  </r>
  <r>
    <n v="24.866666666666667"/>
    <d v="2014-12-17T00:00:00"/>
    <x v="4"/>
    <s v="Solidarities"/>
    <s v="Kachin"/>
    <s v="Momauk"/>
    <s v="Loi Je Lisu Camp"/>
    <m/>
    <m/>
    <n v="283"/>
    <m/>
    <m/>
    <m/>
    <m/>
    <m/>
    <m/>
    <m/>
    <m/>
    <m/>
    <m/>
    <m/>
    <m/>
    <m/>
    <m/>
    <n v="0"/>
    <n v="0"/>
    <n v="0"/>
    <n v="0"/>
    <n v="0"/>
    <n v="0"/>
    <n v="0"/>
    <n v="0"/>
    <n v="0"/>
    <n v="0"/>
    <n v="0"/>
    <n v="0"/>
    <n v="0"/>
    <n v="0"/>
    <n v="0"/>
    <n v="0"/>
    <n v="0"/>
    <n v="0"/>
    <s v="MMR001CMP070"/>
    <x v="0"/>
    <x v="1"/>
    <s v="P3"/>
    <n v="0"/>
    <m/>
  </r>
  <r>
    <n v="26.633333333333333"/>
    <d v="2014-10-25T00:00:00"/>
    <x v="1"/>
    <s v="MRCS"/>
    <s v="Kachin"/>
    <s v="Momauk"/>
    <s v="Loi Je Lisu Camp"/>
    <m/>
    <m/>
    <m/>
    <m/>
    <m/>
    <m/>
    <m/>
    <m/>
    <m/>
    <m/>
    <n v="591"/>
    <n v="347"/>
    <m/>
    <n v="311"/>
    <m/>
    <m/>
    <m/>
    <n v="0"/>
    <n v="0"/>
    <n v="0"/>
    <n v="0"/>
    <n v="0"/>
    <n v="0"/>
    <n v="0"/>
    <n v="0"/>
    <n v="0"/>
    <n v="0"/>
    <n v="0"/>
    <n v="0"/>
    <n v="0"/>
    <n v="0"/>
    <n v="1"/>
    <n v="0"/>
    <n v="0"/>
    <n v="0"/>
    <s v="MMR001CMP070"/>
    <x v="0"/>
    <x v="1"/>
    <s v="P3"/>
    <n v="0"/>
    <m/>
  </r>
  <r>
    <n v="27.133333333333333"/>
    <d v="2014-10-10T00:00:00"/>
    <x v="0"/>
    <m/>
    <s v="Kachin"/>
    <s v="Momauk"/>
    <s v="Loi Je Lisu Camp"/>
    <m/>
    <m/>
    <m/>
    <m/>
    <n v="30"/>
    <m/>
    <m/>
    <m/>
    <m/>
    <m/>
    <m/>
    <m/>
    <m/>
    <m/>
    <m/>
    <m/>
    <m/>
    <n v="0"/>
    <n v="0"/>
    <n v="0"/>
    <n v="0"/>
    <n v="0"/>
    <n v="0"/>
    <n v="0"/>
    <n v="0"/>
    <n v="0"/>
    <n v="0"/>
    <n v="0"/>
    <n v="0"/>
    <n v="0"/>
    <n v="0"/>
    <n v="0"/>
    <n v="0"/>
    <n v="0"/>
    <n v="0"/>
    <s v="MMR001CMP070"/>
    <x v="0"/>
    <x v="1"/>
    <s v="P3"/>
    <n v="0"/>
    <m/>
  </r>
  <r>
    <n v="29.366666666666667"/>
    <d v="2014-08-04T00:00:00"/>
    <x v="0"/>
    <m/>
    <s v="Kachin"/>
    <s v="Momauk"/>
    <s v="Loi Je Lisu Camp"/>
    <m/>
    <m/>
    <m/>
    <n v="84"/>
    <n v="36"/>
    <n v="84"/>
    <n v="36"/>
    <m/>
    <n v="36"/>
    <n v="180"/>
    <m/>
    <m/>
    <m/>
    <m/>
    <m/>
    <m/>
    <m/>
    <n v="0"/>
    <n v="0"/>
    <n v="0"/>
    <n v="0"/>
    <n v="0"/>
    <n v="0"/>
    <n v="0"/>
    <n v="0"/>
    <n v="0"/>
    <n v="0"/>
    <n v="0"/>
    <n v="0"/>
    <n v="0"/>
    <n v="0"/>
    <n v="0"/>
    <n v="0"/>
    <n v="0"/>
    <n v="0"/>
    <s v="MMR001CMP070"/>
    <x v="0"/>
    <x v="1"/>
    <s v="P3"/>
    <n v="8.780487804878049E-4"/>
    <m/>
  </r>
  <r>
    <n v="37.6"/>
    <d v="2013-11-30T00:00:00"/>
    <x v="4"/>
    <m/>
    <s v="Kachin"/>
    <s v="Momauk"/>
    <s v="Loi Je Lisu Camp"/>
    <m/>
    <m/>
    <m/>
    <m/>
    <m/>
    <m/>
    <m/>
    <m/>
    <m/>
    <n v="369"/>
    <m/>
    <m/>
    <m/>
    <m/>
    <m/>
    <m/>
    <m/>
    <n v="0"/>
    <n v="0"/>
    <n v="0"/>
    <n v="0"/>
    <n v="0"/>
    <n v="0"/>
    <n v="0"/>
    <n v="0"/>
    <n v="0"/>
    <n v="0"/>
    <n v="0"/>
    <n v="0"/>
    <n v="0"/>
    <n v="0"/>
    <n v="0"/>
    <n v="0"/>
    <n v="0"/>
    <n v="0"/>
    <s v="MMR001CMP070"/>
    <x v="0"/>
    <x v="1"/>
    <s v="P3"/>
    <n v="0"/>
    <s v="No"/>
  </r>
  <r>
    <n v="38"/>
    <d v="2013-11-18T00:00:00"/>
    <x v="3"/>
    <m/>
    <s v="Kachin"/>
    <s v="Momauk"/>
    <s v="Loi Je Lisu Camp"/>
    <m/>
    <m/>
    <m/>
    <m/>
    <m/>
    <n v="395"/>
    <m/>
    <m/>
    <m/>
    <m/>
    <m/>
    <m/>
    <m/>
    <m/>
    <m/>
    <m/>
    <m/>
    <n v="0"/>
    <n v="0"/>
    <n v="0"/>
    <n v="0"/>
    <n v="0"/>
    <n v="0"/>
    <n v="0"/>
    <n v="0"/>
    <n v="0"/>
    <n v="0"/>
    <n v="0"/>
    <n v="0"/>
    <n v="0"/>
    <n v="0"/>
    <n v="0"/>
    <n v="0"/>
    <n v="0"/>
    <n v="0"/>
    <s v="MMR001CMP070"/>
    <x v="0"/>
    <x v="1"/>
    <s v="P3"/>
    <n v="0"/>
    <s v="No"/>
  </r>
  <r>
    <n v="38.5"/>
    <d v="2013-11-03T00:00:00"/>
    <x v="0"/>
    <s v="UNHCR "/>
    <s v="Kachin"/>
    <s v="Momauk"/>
    <s v="Loi Je Lisu Camp"/>
    <m/>
    <m/>
    <n v="24"/>
    <n v="24"/>
    <n v="12"/>
    <n v="12"/>
    <n v="12"/>
    <n v="12"/>
    <m/>
    <m/>
    <m/>
    <m/>
    <m/>
    <m/>
    <m/>
    <m/>
    <m/>
    <n v="0"/>
    <n v="0"/>
    <n v="0"/>
    <n v="0"/>
    <n v="0"/>
    <n v="0"/>
    <n v="0"/>
    <n v="0"/>
    <n v="0"/>
    <n v="0"/>
    <n v="0"/>
    <n v="0"/>
    <n v="0"/>
    <n v="0"/>
    <n v="0"/>
    <n v="0"/>
    <n v="0"/>
    <n v="0"/>
    <s v="MMR001CMP070"/>
    <x v="0"/>
    <x v="1"/>
    <s v="P3"/>
    <n v="2.9268292682926828E-4"/>
    <s v="No"/>
  </r>
  <r>
    <n v="43.266666666666666"/>
    <d v="2013-06-13T00:00:00"/>
    <x v="0"/>
    <s v="UNHCR"/>
    <s v="Kachin"/>
    <s v="Momauk"/>
    <s v="Loi Je Lisu Camp"/>
    <m/>
    <m/>
    <n v="941"/>
    <n v="67"/>
    <n v="24"/>
    <n v="67"/>
    <n v="24"/>
    <n v="24"/>
    <n v="24"/>
    <n v="24"/>
    <m/>
    <m/>
    <m/>
    <m/>
    <m/>
    <m/>
    <m/>
    <n v="0"/>
    <n v="0"/>
    <n v="0"/>
    <n v="0"/>
    <n v="0"/>
    <n v="0"/>
    <n v="0"/>
    <n v="0"/>
    <n v="0"/>
    <n v="0"/>
    <n v="0"/>
    <n v="0"/>
    <n v="0"/>
    <n v="0"/>
    <n v="0"/>
    <n v="0"/>
    <n v="0"/>
    <n v="0"/>
    <s v="MMR001CMP070"/>
    <x v="0"/>
    <x v="1"/>
    <s v="P3"/>
    <n v="5.8536585365853656E-4"/>
    <s v="No"/>
  </r>
  <r>
    <n v="46.7"/>
    <d v="2013-03-02T00:00:00"/>
    <x v="4"/>
    <s v="Solidarities"/>
    <s v="Kachin"/>
    <s v="Momauk"/>
    <s v="Loi Je Lisu Camp"/>
    <n v="368"/>
    <m/>
    <m/>
    <m/>
    <m/>
    <m/>
    <m/>
    <m/>
    <n v="0"/>
    <n v="0"/>
    <m/>
    <m/>
    <m/>
    <m/>
    <m/>
    <m/>
    <m/>
    <n v="0"/>
    <n v="0"/>
    <n v="0"/>
    <n v="0"/>
    <n v="0"/>
    <n v="0"/>
    <n v="0"/>
    <n v="0"/>
    <n v="0"/>
    <n v="0"/>
    <n v="0"/>
    <n v="0"/>
    <n v="0"/>
    <n v="0"/>
    <n v="0"/>
    <n v="0"/>
    <n v="0"/>
    <n v="0"/>
    <s v="MMR001CMP070"/>
    <x v="0"/>
    <x v="1"/>
    <s v="P3"/>
    <n v="0"/>
    <s v="No"/>
  </r>
  <r>
    <n v="51.833333333333336"/>
    <d v="2012-09-29T00:00:00"/>
    <x v="0"/>
    <s v="UNHCR"/>
    <s v="Kachin"/>
    <s v="Momauk"/>
    <s v="Loi Je Lisu Camp"/>
    <m/>
    <m/>
    <m/>
    <n v="151"/>
    <n v="59"/>
    <n v="151"/>
    <n v="59"/>
    <n v="59"/>
    <n v="59"/>
    <n v="59"/>
    <m/>
    <m/>
    <m/>
    <m/>
    <m/>
    <m/>
    <m/>
    <n v="0"/>
    <n v="0"/>
    <n v="0"/>
    <n v="0"/>
    <n v="0"/>
    <n v="0"/>
    <n v="0"/>
    <n v="0"/>
    <n v="0"/>
    <n v="0"/>
    <n v="0"/>
    <n v="0"/>
    <n v="0"/>
    <n v="0"/>
    <n v="0"/>
    <n v="0"/>
    <n v="0"/>
    <n v="0"/>
    <s v="MMR001CMP070"/>
    <x v="0"/>
    <x v="1"/>
    <s v="P3"/>
    <n v="1.4390243902439024E-3"/>
    <s v="No"/>
  </r>
  <r>
    <n v="52.633333333333333"/>
    <d v="2012-09-05T00:00:00"/>
    <x v="0"/>
    <s v="UNHCR"/>
    <s v="Kachin"/>
    <s v="Momauk"/>
    <s v="Loi Je Lisu Camp"/>
    <m/>
    <m/>
    <m/>
    <n v="133"/>
    <n v="62"/>
    <n v="133"/>
    <n v="62"/>
    <n v="62"/>
    <n v="62"/>
    <n v="62"/>
    <m/>
    <m/>
    <m/>
    <m/>
    <m/>
    <m/>
    <m/>
    <n v="0"/>
    <n v="0"/>
    <n v="0"/>
    <n v="0"/>
    <n v="0"/>
    <n v="0"/>
    <n v="0"/>
    <n v="0"/>
    <n v="0"/>
    <n v="0"/>
    <n v="0"/>
    <n v="0"/>
    <n v="0"/>
    <n v="0"/>
    <n v="0"/>
    <n v="0"/>
    <n v="0"/>
    <n v="0"/>
    <s v="MMR001CMP070"/>
    <x v="0"/>
    <x v="1"/>
    <s v="P3"/>
    <n v="1.5121951219512196E-3"/>
    <s v="No"/>
  </r>
  <r>
    <n v="54.3"/>
    <d v="2012-07-17T00:00:00"/>
    <x v="0"/>
    <s v="UNHCR"/>
    <s v="Kachin"/>
    <s v="Momauk"/>
    <s v="Loi Je Lisu Camp"/>
    <m/>
    <m/>
    <m/>
    <n v="0"/>
    <n v="0"/>
    <n v="0"/>
    <n v="0"/>
    <n v="0"/>
    <m/>
    <m/>
    <m/>
    <m/>
    <m/>
    <m/>
    <m/>
    <m/>
    <m/>
    <n v="0"/>
    <n v="0"/>
    <n v="0"/>
    <n v="0"/>
    <n v="0"/>
    <n v="0"/>
    <n v="0"/>
    <n v="0"/>
    <n v="0"/>
    <n v="0"/>
    <n v="0"/>
    <n v="0"/>
    <n v="0"/>
    <n v="0"/>
    <n v="0"/>
    <n v="0"/>
    <n v="0"/>
    <n v="0"/>
    <s v="MMR001CMP070"/>
    <x v="0"/>
    <x v="1"/>
    <s v="P3"/>
    <n v="0"/>
    <s v="No"/>
  </r>
  <r>
    <n v="31.833333333333332"/>
    <d v="2014-05-22T00:00:00"/>
    <x v="8"/>
    <s v="MRCS"/>
    <s v="Kachin"/>
    <s v="Waingmaw"/>
    <s v="Mading Baptist Church"/>
    <m/>
    <m/>
    <m/>
    <m/>
    <m/>
    <m/>
    <m/>
    <m/>
    <m/>
    <m/>
    <m/>
    <m/>
    <m/>
    <n v="46"/>
    <m/>
    <m/>
    <m/>
    <n v="0"/>
    <n v="0"/>
    <n v="0"/>
    <n v="0"/>
    <n v="0"/>
    <n v="0"/>
    <n v="0"/>
    <n v="0"/>
    <n v="0"/>
    <n v="0"/>
    <n v="0"/>
    <n v="0"/>
    <n v="0"/>
    <n v="0"/>
    <n v="1"/>
    <n v="0"/>
    <n v="0"/>
    <n v="0"/>
    <s v="MMR001CMP027"/>
    <x v="0"/>
    <x v="1"/>
    <s v="P4"/>
    <n v="0"/>
    <m/>
  </r>
  <r>
    <n v="37"/>
    <d v="2013-12-18T00:00:00"/>
    <x v="4"/>
    <s v="KBC"/>
    <s v="Kachin"/>
    <s v="Waingmaw"/>
    <s v="Mading Baptist Church"/>
    <m/>
    <m/>
    <m/>
    <m/>
    <m/>
    <m/>
    <m/>
    <m/>
    <m/>
    <m/>
    <n v="23"/>
    <n v="45"/>
    <n v="136"/>
    <n v="68"/>
    <m/>
    <m/>
    <m/>
    <n v="0"/>
    <n v="0"/>
    <n v="0"/>
    <n v="0"/>
    <n v="0"/>
    <n v="0"/>
    <n v="0"/>
    <n v="0"/>
    <n v="0"/>
    <n v="0"/>
    <n v="0"/>
    <n v="0"/>
    <n v="0"/>
    <n v="0"/>
    <n v="1"/>
    <n v="0"/>
    <n v="0"/>
    <n v="0"/>
    <s v="MMR001CMP027"/>
    <x v="0"/>
    <x v="1"/>
    <s v="P4"/>
    <n v="0"/>
    <m/>
  </r>
  <r>
    <n v="37.6"/>
    <d v="2013-11-30T00:00:00"/>
    <x v="4"/>
    <s v="KBC"/>
    <s v="Kachin"/>
    <s v="Waingmaw"/>
    <s v="Mading Baptist Church"/>
    <m/>
    <m/>
    <m/>
    <m/>
    <m/>
    <m/>
    <m/>
    <m/>
    <m/>
    <m/>
    <m/>
    <m/>
    <m/>
    <m/>
    <m/>
    <m/>
    <m/>
    <n v="0"/>
    <n v="0"/>
    <n v="0"/>
    <n v="0"/>
    <n v="0"/>
    <n v="0"/>
    <n v="0"/>
    <n v="0"/>
    <n v="0"/>
    <n v="0"/>
    <n v="0"/>
    <n v="0"/>
    <n v="0"/>
    <n v="0"/>
    <n v="0"/>
    <n v="0"/>
    <n v="0"/>
    <n v="0"/>
    <s v="MMR001CMP027"/>
    <x v="0"/>
    <x v="1"/>
    <s v="P4"/>
    <n v="0"/>
    <s v="No"/>
  </r>
  <r>
    <n v="41.43333333333333"/>
    <d v="2013-08-07T00:00:00"/>
    <x v="0"/>
    <s v="UNHCR"/>
    <s v="Kachin"/>
    <s v="Waingmaw"/>
    <s v="Mading Baptist Church"/>
    <m/>
    <m/>
    <n v="15"/>
    <n v="57"/>
    <n v="24"/>
    <n v="57"/>
    <n v="24"/>
    <n v="24"/>
    <n v="24"/>
    <n v="24"/>
    <m/>
    <m/>
    <m/>
    <m/>
    <m/>
    <m/>
    <m/>
    <n v="0"/>
    <n v="0"/>
    <n v="0"/>
    <n v="0"/>
    <n v="0"/>
    <n v="0"/>
    <n v="0"/>
    <n v="0"/>
    <n v="0"/>
    <n v="0"/>
    <n v="0"/>
    <n v="0"/>
    <n v="0"/>
    <n v="0"/>
    <n v="0"/>
    <n v="0"/>
    <n v="0"/>
    <n v="0"/>
    <s v="MMR001CMP027"/>
    <x v="0"/>
    <x v="1"/>
    <s v="P4"/>
    <n v="5.849378503534E-4"/>
    <s v="No"/>
  </r>
  <r>
    <n v="47.7"/>
    <d v="2013-01-31T00:00:00"/>
    <x v="9"/>
    <s v="World Vision"/>
    <s v="Kachin"/>
    <s v="Waingmaw"/>
    <s v="Mading Baptist Church"/>
    <m/>
    <m/>
    <m/>
    <m/>
    <m/>
    <n v="42"/>
    <m/>
    <m/>
    <n v="0"/>
    <n v="0"/>
    <m/>
    <m/>
    <m/>
    <m/>
    <m/>
    <m/>
    <m/>
    <n v="0"/>
    <n v="0"/>
    <n v="0"/>
    <n v="0"/>
    <n v="0"/>
    <n v="0"/>
    <n v="0"/>
    <n v="0"/>
    <n v="0"/>
    <n v="0"/>
    <n v="0"/>
    <n v="0"/>
    <n v="0"/>
    <n v="0"/>
    <n v="0"/>
    <n v="0"/>
    <n v="0"/>
    <n v="0"/>
    <s v="MMR001CMP027"/>
    <x v="0"/>
    <x v="1"/>
    <s v="P4"/>
    <n v="0"/>
    <s v="No"/>
  </r>
  <r>
    <n v="48.733333333333334"/>
    <d v="2012-12-31T00:00:00"/>
    <x v="3"/>
    <s v="DRC"/>
    <s v="Kachin"/>
    <s v="Waingmaw"/>
    <s v="Mading Baptist Church"/>
    <n v="23"/>
    <m/>
    <m/>
    <m/>
    <m/>
    <m/>
    <m/>
    <m/>
    <n v="0"/>
    <n v="0"/>
    <m/>
    <m/>
    <m/>
    <m/>
    <m/>
    <m/>
    <m/>
    <n v="0"/>
    <n v="0"/>
    <n v="0"/>
    <n v="0"/>
    <n v="0"/>
    <n v="0"/>
    <n v="0"/>
    <n v="0"/>
    <n v="0"/>
    <n v="0"/>
    <n v="0"/>
    <n v="0"/>
    <n v="0"/>
    <n v="0"/>
    <n v="0"/>
    <n v="0"/>
    <n v="0"/>
    <n v="0"/>
    <s v="MMR001CMP027"/>
    <x v="0"/>
    <x v="1"/>
    <s v="P4"/>
    <n v="0"/>
    <s v="No"/>
  </r>
  <r>
    <n v="27.433333333333334"/>
    <d v="2014-10-01T00:00:00"/>
    <x v="0"/>
    <s v="KMSS"/>
    <s v="Kachin"/>
    <s v="Waingmaw"/>
    <s v="Maga Yang "/>
    <m/>
    <m/>
    <m/>
    <n v="1248"/>
    <m/>
    <m/>
    <m/>
    <m/>
    <m/>
    <m/>
    <m/>
    <m/>
    <m/>
    <n v="1248"/>
    <m/>
    <m/>
    <m/>
    <n v="0"/>
    <n v="0"/>
    <n v="0"/>
    <n v="0"/>
    <n v="0"/>
    <n v="0"/>
    <n v="0"/>
    <n v="0"/>
    <n v="0"/>
    <n v="0"/>
    <n v="0"/>
    <n v="0"/>
    <n v="0"/>
    <n v="0"/>
    <n v="1"/>
    <n v="0"/>
    <n v="0"/>
    <n v="0"/>
    <s v="MMR001CMP119"/>
    <x v="0"/>
    <x v="1"/>
    <s v="P2"/>
    <n v="0"/>
    <m/>
  </r>
  <r>
    <n v="32.866666666666667"/>
    <d v="2014-04-21T00:00:00"/>
    <x v="0"/>
    <m/>
    <s v="Kachin"/>
    <s v="Mansi"/>
    <s v="Bum Tsit Pa Camp II"/>
    <m/>
    <m/>
    <m/>
    <n v="800"/>
    <n v="400"/>
    <m/>
    <n v="100"/>
    <m/>
    <n v="400"/>
    <n v="2000"/>
    <m/>
    <m/>
    <m/>
    <m/>
    <m/>
    <m/>
    <m/>
    <n v="0"/>
    <n v="0"/>
    <n v="0"/>
    <n v="0"/>
    <n v="0"/>
    <n v="0"/>
    <n v="0"/>
    <n v="0"/>
    <n v="0"/>
    <n v="0"/>
    <n v="0"/>
    <n v="0"/>
    <n v="0"/>
    <n v="0"/>
    <n v="0"/>
    <n v="0"/>
    <n v="0"/>
    <n v="0"/>
    <s v="MMR001CMP226"/>
    <x v="0"/>
    <x v="0"/>
    <s v="P2"/>
    <n v="2.4499595756670013E-3"/>
    <m/>
  </r>
  <r>
    <n v="28.433333333333334"/>
    <d v="2014-09-01T00:00:00"/>
    <x v="10"/>
    <m/>
    <s v="Kachin"/>
    <s v="Waingmaw"/>
    <s v="Maga Yang "/>
    <m/>
    <m/>
    <m/>
    <m/>
    <m/>
    <m/>
    <m/>
    <m/>
    <m/>
    <m/>
    <m/>
    <n v="917"/>
    <m/>
    <m/>
    <m/>
    <m/>
    <m/>
    <n v="0"/>
    <n v="0"/>
    <n v="0"/>
    <n v="0"/>
    <n v="0"/>
    <n v="0"/>
    <n v="0"/>
    <n v="0"/>
    <n v="0"/>
    <n v="0"/>
    <n v="0"/>
    <n v="0"/>
    <n v="0"/>
    <n v="0"/>
    <n v="1"/>
    <n v="0"/>
    <n v="0"/>
    <n v="0"/>
    <s v="MMR001CMP119"/>
    <x v="0"/>
    <x v="1"/>
    <s v="P2"/>
    <n v="0"/>
    <m/>
  </r>
  <r>
    <n v="35.9"/>
    <d v="2014-01-20T00:00:00"/>
    <x v="3"/>
    <s v="KMSS"/>
    <s v="Kachin"/>
    <s v="Waingmaw"/>
    <s v="Maga Yang "/>
    <m/>
    <m/>
    <m/>
    <m/>
    <m/>
    <m/>
    <m/>
    <m/>
    <m/>
    <m/>
    <n v="1497"/>
    <n v="925"/>
    <m/>
    <m/>
    <m/>
    <m/>
    <m/>
    <n v="0"/>
    <n v="0"/>
    <n v="0"/>
    <n v="0"/>
    <n v="0"/>
    <n v="0"/>
    <n v="0"/>
    <n v="0"/>
    <n v="0"/>
    <n v="0"/>
    <n v="0"/>
    <n v="0"/>
    <n v="0"/>
    <n v="0"/>
    <n v="1"/>
    <n v="0"/>
    <n v="0"/>
    <n v="0"/>
    <s v="MMR001CMP119"/>
    <x v="0"/>
    <x v="1"/>
    <s v="P2"/>
    <n v="0"/>
    <s v="No"/>
  </r>
  <r>
    <n v="36.033333333333331"/>
    <d v="2014-01-16T00:00:00"/>
    <x v="3"/>
    <s v="KMSS"/>
    <s v="Kachin"/>
    <s v="Waingmaw"/>
    <s v="Maga Yang "/>
    <m/>
    <m/>
    <m/>
    <m/>
    <m/>
    <m/>
    <m/>
    <n v="600"/>
    <m/>
    <m/>
    <m/>
    <m/>
    <m/>
    <m/>
    <m/>
    <m/>
    <m/>
    <n v="0"/>
    <n v="0"/>
    <n v="0"/>
    <n v="0"/>
    <n v="0"/>
    <n v="0"/>
    <n v="0"/>
    <n v="0"/>
    <n v="0"/>
    <n v="0"/>
    <n v="0"/>
    <n v="0"/>
    <n v="0"/>
    <n v="0"/>
    <n v="0"/>
    <n v="0"/>
    <n v="0"/>
    <n v="0"/>
    <s v="MMR001CMP119"/>
    <x v="0"/>
    <x v="1"/>
    <s v="P2"/>
    <n v="0"/>
    <s v="No"/>
  </r>
  <r>
    <n v="37.6"/>
    <d v="2013-11-30T00:00:00"/>
    <x v="4"/>
    <s v="KBC"/>
    <s v="Kachin"/>
    <s v="Waingmaw"/>
    <s v="Maga Yang "/>
    <m/>
    <m/>
    <m/>
    <m/>
    <m/>
    <m/>
    <m/>
    <m/>
    <m/>
    <m/>
    <m/>
    <m/>
    <m/>
    <m/>
    <m/>
    <m/>
    <m/>
    <n v="0"/>
    <n v="0"/>
    <n v="0"/>
    <n v="0"/>
    <n v="0"/>
    <n v="0"/>
    <n v="0"/>
    <n v="0"/>
    <n v="0"/>
    <n v="0"/>
    <n v="0"/>
    <n v="0"/>
    <n v="0"/>
    <n v="0"/>
    <n v="0"/>
    <n v="0"/>
    <n v="0"/>
    <n v="0"/>
    <s v="MMR001CMP119"/>
    <x v="0"/>
    <x v="1"/>
    <s v="P2"/>
    <n v="0"/>
    <s v="No"/>
  </r>
  <r>
    <n v="37.966666666666669"/>
    <d v="2013-11-19T00:00:00"/>
    <x v="4"/>
    <s v="KBC"/>
    <s v="Kachin"/>
    <s v="Waingmaw"/>
    <s v="Maga Yang "/>
    <m/>
    <m/>
    <m/>
    <m/>
    <m/>
    <m/>
    <m/>
    <m/>
    <m/>
    <m/>
    <n v="613"/>
    <n v="1226"/>
    <n v="3678"/>
    <n v="1839"/>
    <m/>
    <m/>
    <m/>
    <n v="0"/>
    <n v="0"/>
    <n v="0"/>
    <n v="0"/>
    <n v="0"/>
    <n v="0"/>
    <n v="0"/>
    <n v="0"/>
    <n v="0"/>
    <n v="0"/>
    <n v="0"/>
    <n v="0"/>
    <n v="0"/>
    <n v="0"/>
    <n v="1"/>
    <n v="0"/>
    <n v="0"/>
    <n v="0"/>
    <s v="MMR001CMP119"/>
    <x v="0"/>
    <x v="1"/>
    <s v="P2"/>
    <n v="0"/>
    <m/>
  </r>
  <r>
    <n v="54.533333333333331"/>
    <d v="2012-07-10T00:00:00"/>
    <x v="0"/>
    <s v="KMSS"/>
    <s v="Kachin"/>
    <s v="Waingmaw"/>
    <s v="Maga Yang "/>
    <m/>
    <m/>
    <m/>
    <n v="0"/>
    <n v="599"/>
    <n v="675"/>
    <n v="599"/>
    <n v="0"/>
    <m/>
    <m/>
    <m/>
    <m/>
    <m/>
    <m/>
    <m/>
    <m/>
    <m/>
    <n v="0"/>
    <n v="0"/>
    <n v="0"/>
    <n v="0"/>
    <n v="0"/>
    <n v="0"/>
    <n v="0"/>
    <n v="0"/>
    <n v="0"/>
    <n v="0"/>
    <n v="0"/>
    <n v="0"/>
    <n v="0"/>
    <n v="0"/>
    <n v="0"/>
    <n v="0"/>
    <n v="0"/>
    <n v="0"/>
    <s v="MMR001CMP119"/>
    <x v="0"/>
    <x v="1"/>
    <s v="P2"/>
    <n v="1.4719252979481508E-2"/>
    <s v="No"/>
  </r>
  <r>
    <n v="61.533333333333331"/>
    <d v="2011-12-13T00:00:00"/>
    <x v="0"/>
    <s v="IRRC"/>
    <s v="Kachin"/>
    <s v="Waingmaw"/>
    <s v="Maga Yang "/>
    <m/>
    <m/>
    <m/>
    <n v="250"/>
    <n v="125"/>
    <n v="250"/>
    <n v="125"/>
    <n v="125"/>
    <n v="125"/>
    <n v="125"/>
    <m/>
    <m/>
    <m/>
    <m/>
    <m/>
    <m/>
    <m/>
    <n v="0"/>
    <n v="0"/>
    <n v="0"/>
    <n v="0"/>
    <n v="0"/>
    <n v="0"/>
    <n v="0"/>
    <n v="0"/>
    <n v="0"/>
    <n v="0"/>
    <n v="0"/>
    <n v="0"/>
    <n v="0"/>
    <n v="0"/>
    <n v="0"/>
    <n v="0"/>
    <n v="0"/>
    <n v="0"/>
    <s v="MMR001CMP119"/>
    <x v="0"/>
    <x v="1"/>
    <s v="P2"/>
    <n v="3.0716304214276936E-3"/>
    <s v="No"/>
  </r>
  <r>
    <n v="54.3"/>
    <d v="2012-07-17T00:00:00"/>
    <x v="0"/>
    <s v="UNHCR"/>
    <s v="Kachin"/>
    <s v="Momauk"/>
    <s v="Mai Khat "/>
    <m/>
    <m/>
    <m/>
    <n v="0"/>
    <n v="0"/>
    <n v="0"/>
    <n v="0"/>
    <n v="0"/>
    <m/>
    <m/>
    <m/>
    <m/>
    <m/>
    <m/>
    <m/>
    <m/>
    <m/>
    <n v="0"/>
    <n v="0"/>
    <n v="0"/>
    <n v="0"/>
    <n v="0"/>
    <n v="0"/>
    <n v="0"/>
    <n v="0"/>
    <n v="0"/>
    <n v="0"/>
    <n v="0"/>
    <n v="0"/>
    <n v="0"/>
    <n v="0"/>
    <n v="0"/>
    <n v="0"/>
    <n v="0"/>
    <n v="0"/>
    <s v="MMR001CMP064"/>
    <x v="0"/>
    <x v="1"/>
    <s v="P4"/>
    <s v=""/>
    <s v="No"/>
  </r>
  <r>
    <n v="54.3"/>
    <d v="2012-07-17T00:00:00"/>
    <x v="0"/>
    <s v="UNHCR"/>
    <s v="Kachin"/>
    <s v="Momauk"/>
    <s v="Mai Khat "/>
    <m/>
    <m/>
    <m/>
    <n v="0"/>
    <n v="0"/>
    <n v="0"/>
    <n v="0"/>
    <n v="0"/>
    <m/>
    <m/>
    <m/>
    <m/>
    <m/>
    <m/>
    <m/>
    <m/>
    <m/>
    <n v="0"/>
    <n v="0"/>
    <n v="0"/>
    <n v="0"/>
    <n v="0"/>
    <n v="0"/>
    <n v="0"/>
    <n v="0"/>
    <n v="0"/>
    <n v="0"/>
    <n v="0"/>
    <n v="0"/>
    <n v="0"/>
    <n v="0"/>
    <n v="0"/>
    <n v="0"/>
    <n v="0"/>
    <n v="0"/>
    <s v="MMR001CMP064"/>
    <x v="0"/>
    <x v="1"/>
    <s v="P4"/>
    <s v=""/>
    <s v="No"/>
  </r>
  <r>
    <n v="27.433333333333334"/>
    <d v="2014-10-01T00:00:00"/>
    <x v="0"/>
    <s v="Shalom"/>
    <s v="Kachin"/>
    <s v="Waingmaw"/>
    <s v="Maina AG Church"/>
    <m/>
    <m/>
    <m/>
    <n v="286"/>
    <m/>
    <m/>
    <m/>
    <m/>
    <m/>
    <m/>
    <m/>
    <m/>
    <m/>
    <m/>
    <m/>
    <m/>
    <m/>
    <n v="0"/>
    <n v="0"/>
    <n v="0"/>
    <n v="0"/>
    <n v="0"/>
    <n v="0"/>
    <n v="0"/>
    <n v="0"/>
    <n v="0"/>
    <n v="0"/>
    <n v="0"/>
    <n v="0"/>
    <n v="0"/>
    <n v="0"/>
    <n v="0"/>
    <n v="0"/>
    <n v="0"/>
    <n v="0"/>
    <s v="MMR001CMP031"/>
    <x v="0"/>
    <x v="1"/>
    <s v="P4"/>
    <n v="0"/>
    <m/>
  </r>
  <r>
    <n v="31.666666666666668"/>
    <d v="2014-05-27T00:00:00"/>
    <x v="0"/>
    <s v="Shalom"/>
    <s v="Kachin"/>
    <s v="Waingmaw"/>
    <s v="Maina AG Church"/>
    <m/>
    <m/>
    <n v="50"/>
    <n v="25"/>
    <n v="50"/>
    <n v="25"/>
    <m/>
    <n v="25"/>
    <n v="125"/>
    <m/>
    <m/>
    <m/>
    <m/>
    <m/>
    <m/>
    <m/>
    <m/>
    <n v="0"/>
    <n v="0"/>
    <n v="0"/>
    <n v="0"/>
    <n v="0"/>
    <n v="0"/>
    <n v="0"/>
    <n v="0"/>
    <n v="0"/>
    <n v="0"/>
    <n v="0"/>
    <n v="0"/>
    <n v="0"/>
    <n v="0"/>
    <n v="0"/>
    <n v="0"/>
    <n v="0"/>
    <n v="0"/>
    <s v="MMR001CMP031"/>
    <x v="0"/>
    <x v="1"/>
    <s v="P4"/>
    <n v="0"/>
    <m/>
  </r>
  <r>
    <n v="33.299999999999997"/>
    <d v="2014-04-08T00:00:00"/>
    <x v="8"/>
    <s v="MRCS"/>
    <s v="Kachin"/>
    <s v="Momauk"/>
    <s v="Mandalay Monestry"/>
    <m/>
    <m/>
    <m/>
    <m/>
    <m/>
    <m/>
    <m/>
    <m/>
    <m/>
    <m/>
    <m/>
    <m/>
    <m/>
    <n v="10"/>
    <m/>
    <m/>
    <m/>
    <n v="0"/>
    <n v="0"/>
    <n v="0"/>
    <n v="0"/>
    <n v="0"/>
    <n v="0"/>
    <n v="0"/>
    <n v="0"/>
    <n v="0"/>
    <n v="0"/>
    <n v="0"/>
    <n v="0"/>
    <n v="0"/>
    <n v="0"/>
    <n v="1"/>
    <n v="0"/>
    <n v="0"/>
    <n v="0"/>
    <s v="MMR001CMP058"/>
    <x v="0"/>
    <x v="0"/>
    <s v="P4"/>
    <n v="0"/>
    <m/>
  </r>
  <r>
    <n v="33.299999999999997"/>
    <d v="2014-04-08T00:00:00"/>
    <x v="8"/>
    <s v="MRCS"/>
    <s v="Kachin"/>
    <s v="Momauk"/>
    <s v="Ni Thaw Ka Monestry"/>
    <m/>
    <m/>
    <m/>
    <m/>
    <m/>
    <m/>
    <m/>
    <m/>
    <m/>
    <m/>
    <m/>
    <m/>
    <m/>
    <n v="46"/>
    <m/>
    <m/>
    <m/>
    <n v="0"/>
    <n v="0"/>
    <n v="0"/>
    <n v="0"/>
    <n v="0"/>
    <n v="0"/>
    <n v="0"/>
    <n v="0"/>
    <n v="0"/>
    <n v="0"/>
    <n v="0"/>
    <n v="0"/>
    <n v="0"/>
    <n v="0"/>
    <n v="1"/>
    <n v="0"/>
    <n v="0"/>
    <n v="0"/>
    <s v="MMR001CMP059"/>
    <x v="0"/>
    <x v="0"/>
    <s v="P4"/>
    <n v="0"/>
    <m/>
  </r>
  <r>
    <n v="31.933333333333334"/>
    <d v="2014-05-19T00:00:00"/>
    <x v="8"/>
    <s v="MRCS"/>
    <s v="Kachin"/>
    <s v="Waingmaw"/>
    <s v="Maina AG Church"/>
    <m/>
    <m/>
    <m/>
    <m/>
    <m/>
    <m/>
    <m/>
    <m/>
    <m/>
    <m/>
    <m/>
    <m/>
    <m/>
    <n v="224"/>
    <m/>
    <m/>
    <m/>
    <n v="0"/>
    <n v="0"/>
    <n v="0"/>
    <n v="0"/>
    <n v="0"/>
    <n v="0"/>
    <n v="0"/>
    <n v="0"/>
    <n v="0"/>
    <n v="0"/>
    <n v="0"/>
    <n v="0"/>
    <n v="0"/>
    <n v="0"/>
    <n v="1"/>
    <n v="0"/>
    <n v="0"/>
    <n v="0"/>
    <s v="MMR001CMP031"/>
    <x v="0"/>
    <x v="1"/>
    <s v="P4"/>
    <n v="0"/>
    <m/>
  </r>
  <r>
    <n v="36.93333333333333"/>
    <d v="2013-12-20T00:00:00"/>
    <x v="4"/>
    <s v="KBC"/>
    <s v="Kachin"/>
    <s v="Waingmaw"/>
    <s v="Maina AG Church"/>
    <m/>
    <m/>
    <m/>
    <m/>
    <m/>
    <m/>
    <m/>
    <m/>
    <m/>
    <m/>
    <n v="141"/>
    <n v="265"/>
    <n v="812"/>
    <n v="406"/>
    <m/>
    <m/>
    <m/>
    <n v="0"/>
    <n v="0"/>
    <n v="0"/>
    <n v="0"/>
    <n v="0"/>
    <n v="0"/>
    <n v="0"/>
    <n v="0"/>
    <n v="0"/>
    <n v="0"/>
    <n v="0"/>
    <n v="0"/>
    <n v="0"/>
    <n v="0"/>
    <n v="1"/>
    <n v="0"/>
    <n v="0"/>
    <n v="0"/>
    <s v="MMR001CMP031"/>
    <x v="0"/>
    <x v="1"/>
    <s v="P4"/>
    <n v="0"/>
    <m/>
  </r>
  <r>
    <n v="37.6"/>
    <d v="2013-11-30T00:00:00"/>
    <x v="4"/>
    <s v="KBC"/>
    <s v="Kachin"/>
    <s v="Waingmaw"/>
    <s v="Maina AG Church"/>
    <m/>
    <m/>
    <m/>
    <m/>
    <m/>
    <m/>
    <m/>
    <m/>
    <m/>
    <m/>
    <m/>
    <m/>
    <m/>
    <m/>
    <m/>
    <m/>
    <m/>
    <n v="0"/>
    <n v="0"/>
    <n v="0"/>
    <n v="0"/>
    <n v="0"/>
    <n v="0"/>
    <n v="0"/>
    <n v="0"/>
    <n v="0"/>
    <n v="0"/>
    <n v="0"/>
    <n v="0"/>
    <n v="0"/>
    <n v="0"/>
    <n v="0"/>
    <n v="0"/>
    <n v="0"/>
    <n v="0"/>
    <s v="MMR001CMP031"/>
    <x v="0"/>
    <x v="1"/>
    <s v="P4"/>
    <n v="0"/>
    <s v="No"/>
  </r>
  <r>
    <n v="41.43333333333333"/>
    <d v="2013-08-07T00:00:00"/>
    <x v="0"/>
    <s v="UNHCR"/>
    <s v="Kachin"/>
    <s v="Waingmaw"/>
    <s v="Maina AG Church"/>
    <m/>
    <m/>
    <n v="20"/>
    <n v="40"/>
    <n v="17"/>
    <n v="40"/>
    <n v="17"/>
    <n v="17"/>
    <n v="17"/>
    <n v="17"/>
    <m/>
    <m/>
    <m/>
    <m/>
    <m/>
    <m/>
    <m/>
    <n v="0"/>
    <n v="0"/>
    <n v="0"/>
    <n v="0"/>
    <n v="0"/>
    <n v="0"/>
    <n v="0"/>
    <n v="0"/>
    <n v="0"/>
    <n v="0"/>
    <n v="0"/>
    <n v="0"/>
    <n v="0"/>
    <n v="0"/>
    <n v="0"/>
    <n v="0"/>
    <n v="0"/>
    <n v="0"/>
    <s v="MMR001CMP031"/>
    <x v="0"/>
    <x v="1"/>
    <s v="P4"/>
    <n v="4.1007333076032419E-4"/>
    <s v="No"/>
  </r>
  <r>
    <n v="41.9"/>
    <d v="2013-07-24T00:00:00"/>
    <x v="0"/>
    <s v="Shalom"/>
    <s v="Kachin"/>
    <s v="Waingmaw"/>
    <s v="Maina AG Church"/>
    <m/>
    <m/>
    <n v="10"/>
    <n v="14"/>
    <n v="7"/>
    <n v="14"/>
    <n v="7"/>
    <n v="7"/>
    <n v="7"/>
    <n v="7"/>
    <m/>
    <m/>
    <m/>
    <m/>
    <m/>
    <m/>
    <m/>
    <n v="0"/>
    <n v="0"/>
    <n v="0"/>
    <n v="0"/>
    <n v="0"/>
    <n v="0"/>
    <n v="0"/>
    <n v="0"/>
    <n v="0"/>
    <n v="0"/>
    <n v="0"/>
    <n v="0"/>
    <n v="0"/>
    <n v="0"/>
    <n v="0"/>
    <n v="0"/>
    <n v="0"/>
    <n v="0"/>
    <s v="MMR001CMP031"/>
    <x v="0"/>
    <x v="1"/>
    <s v="P4"/>
    <n v="1.6885372443072174E-4"/>
    <s v="No"/>
  </r>
  <r>
    <n v="33.366666666666667"/>
    <d v="2014-04-06T00:00:00"/>
    <x v="8"/>
    <s v="MRCS"/>
    <s v="Kachin"/>
    <s v="Hpakant"/>
    <s v="Baptist Church, Naung Hmee VT"/>
    <m/>
    <m/>
    <m/>
    <m/>
    <m/>
    <m/>
    <m/>
    <m/>
    <m/>
    <m/>
    <m/>
    <m/>
    <m/>
    <n v="30"/>
    <m/>
    <m/>
    <m/>
    <n v="0"/>
    <n v="0"/>
    <n v="0"/>
    <n v="0"/>
    <n v="0"/>
    <n v="0"/>
    <n v="0"/>
    <n v="0"/>
    <n v="0"/>
    <n v="0"/>
    <n v="0"/>
    <n v="0"/>
    <n v="0"/>
    <n v="0"/>
    <n v="1"/>
    <n v="0"/>
    <n v="0"/>
    <n v="0"/>
    <s v="MMR001CMP188"/>
    <x v="0"/>
    <x v="0"/>
    <s v="P4"/>
    <s v=""/>
    <m/>
  </r>
  <r>
    <n v="45.633333333333333"/>
    <d v="2013-04-03T00:00:00"/>
    <x v="0"/>
    <s v="UNHCR"/>
    <s v="Kachin"/>
    <s v="Waingmaw"/>
    <s v="Maina AG Church"/>
    <m/>
    <m/>
    <n v="15"/>
    <n v="22"/>
    <n v="11"/>
    <n v="22"/>
    <n v="11"/>
    <n v="11"/>
    <n v="11"/>
    <n v="11"/>
    <m/>
    <m/>
    <m/>
    <m/>
    <m/>
    <m/>
    <m/>
    <n v="0"/>
    <n v="0"/>
    <n v="0"/>
    <n v="0"/>
    <n v="0"/>
    <n v="0"/>
    <n v="0"/>
    <n v="0"/>
    <n v="0"/>
    <n v="0"/>
    <n v="0"/>
    <n v="0"/>
    <n v="0"/>
    <n v="0"/>
    <n v="0"/>
    <n v="0"/>
    <n v="0"/>
    <n v="0"/>
    <s v="MMR001CMP031"/>
    <x v="0"/>
    <x v="1"/>
    <s v="P4"/>
    <n v="2.6534156696256272E-4"/>
    <s v="No"/>
  </r>
  <r>
    <n v="46.8"/>
    <d v="2013-02-27T00:00:00"/>
    <x v="0"/>
    <s v="UNHCR"/>
    <s v="Kachin"/>
    <s v="Waingmaw"/>
    <s v="Maina AG Church"/>
    <m/>
    <m/>
    <n v="23"/>
    <n v="40"/>
    <n v="18"/>
    <n v="40"/>
    <n v="18"/>
    <n v="18"/>
    <n v="18"/>
    <n v="18"/>
    <m/>
    <m/>
    <m/>
    <m/>
    <m/>
    <m/>
    <m/>
    <n v="0"/>
    <n v="0"/>
    <n v="0"/>
    <n v="0"/>
    <n v="0"/>
    <n v="0"/>
    <n v="0"/>
    <n v="0"/>
    <n v="0"/>
    <n v="0"/>
    <n v="0"/>
    <n v="0"/>
    <n v="0"/>
    <n v="0"/>
    <n v="0"/>
    <n v="0"/>
    <n v="0"/>
    <n v="0"/>
    <s v="MMR001CMP031"/>
    <x v="0"/>
    <x v="1"/>
    <s v="P4"/>
    <n v="4.3419529139328446E-4"/>
    <s v="No"/>
  </r>
  <r>
    <n v="47.533333333333331"/>
    <d v="2013-02-05T00:00:00"/>
    <x v="0"/>
    <s v="UNHCR"/>
    <s v="Kachin"/>
    <s v="Waingmaw"/>
    <s v="Maina AG Church"/>
    <m/>
    <m/>
    <n v="37"/>
    <n v="70"/>
    <n v="34"/>
    <n v="70"/>
    <n v="34"/>
    <n v="34"/>
    <n v="34"/>
    <n v="34"/>
    <m/>
    <m/>
    <m/>
    <m/>
    <m/>
    <m/>
    <m/>
    <n v="0"/>
    <n v="0"/>
    <n v="0"/>
    <n v="0"/>
    <n v="0"/>
    <n v="0"/>
    <n v="0"/>
    <n v="0"/>
    <n v="0"/>
    <n v="0"/>
    <n v="0"/>
    <n v="0"/>
    <n v="0"/>
    <n v="0"/>
    <n v="0"/>
    <n v="0"/>
    <n v="0"/>
    <n v="0"/>
    <s v="MMR001CMP031"/>
    <x v="0"/>
    <x v="1"/>
    <s v="P4"/>
    <n v="8.2014666152064838E-4"/>
    <s v="No"/>
  </r>
  <r>
    <n v="47.7"/>
    <d v="2013-01-31T00:00:00"/>
    <x v="9"/>
    <s v="World Vision"/>
    <s v="Kachin"/>
    <s v="Waingmaw"/>
    <s v="Maina AG Church"/>
    <m/>
    <m/>
    <m/>
    <m/>
    <m/>
    <n v="128"/>
    <m/>
    <m/>
    <n v="0"/>
    <n v="0"/>
    <m/>
    <m/>
    <m/>
    <m/>
    <m/>
    <m/>
    <m/>
    <n v="0"/>
    <n v="0"/>
    <n v="0"/>
    <n v="0"/>
    <n v="0"/>
    <n v="0"/>
    <n v="0"/>
    <n v="0"/>
    <n v="0"/>
    <n v="0"/>
    <n v="0"/>
    <n v="0"/>
    <n v="0"/>
    <n v="0"/>
    <n v="0"/>
    <n v="0"/>
    <n v="0"/>
    <n v="0"/>
    <s v="MMR001CMP031"/>
    <x v="0"/>
    <x v="1"/>
    <s v="P4"/>
    <n v="0"/>
    <s v="No"/>
  </r>
  <r>
    <n v="48.733333333333334"/>
    <d v="2012-12-31T00:00:00"/>
    <x v="3"/>
    <s v="DRC"/>
    <s v="Kachin"/>
    <s v="Waingmaw"/>
    <s v="Maina AG Church"/>
    <n v="79"/>
    <m/>
    <m/>
    <m/>
    <m/>
    <m/>
    <m/>
    <m/>
    <n v="0"/>
    <n v="0"/>
    <m/>
    <m/>
    <m/>
    <m/>
    <m/>
    <m/>
    <m/>
    <n v="0"/>
    <n v="0"/>
    <n v="0"/>
    <n v="0"/>
    <n v="0"/>
    <n v="0"/>
    <n v="0"/>
    <n v="0"/>
    <n v="0"/>
    <n v="0"/>
    <n v="0"/>
    <n v="0"/>
    <n v="0"/>
    <n v="0"/>
    <n v="0"/>
    <n v="0"/>
    <n v="0"/>
    <n v="0"/>
    <s v="MMR001CMP031"/>
    <x v="0"/>
    <x v="1"/>
    <s v="P4"/>
    <n v="0"/>
    <s v="No"/>
  </r>
  <r>
    <n v="56.8"/>
    <d v="2012-05-03T00:00:00"/>
    <x v="0"/>
    <s v="UNHCR"/>
    <s v="Kachin"/>
    <s v="Waingmaw"/>
    <s v="Maina AG Church"/>
    <m/>
    <m/>
    <m/>
    <n v="42"/>
    <n v="0"/>
    <n v="42"/>
    <n v="0"/>
    <n v="20"/>
    <n v="20"/>
    <n v="20"/>
    <m/>
    <m/>
    <m/>
    <m/>
    <m/>
    <m/>
    <m/>
    <n v="0"/>
    <n v="0"/>
    <n v="0"/>
    <n v="0"/>
    <n v="0"/>
    <n v="0"/>
    <n v="0"/>
    <n v="0"/>
    <n v="0"/>
    <n v="0"/>
    <n v="0"/>
    <n v="0"/>
    <n v="0"/>
    <n v="0"/>
    <n v="0"/>
    <n v="0"/>
    <n v="0"/>
    <n v="0"/>
    <s v="MMR001CMP031"/>
    <x v="0"/>
    <x v="1"/>
    <s v="P4"/>
    <n v="0"/>
    <s v="No"/>
  </r>
  <r>
    <n v="15.6"/>
    <d v="2015-09-21T00:00:00"/>
    <x v="0"/>
    <s v="KMSS"/>
    <s v="Kachin"/>
    <s v="Waingmaw"/>
    <s v="Maina Catholic Church (St. Joseph)"/>
    <m/>
    <m/>
    <m/>
    <n v="41"/>
    <n v="16"/>
    <n v="41"/>
    <n v="16"/>
    <m/>
    <n v="16"/>
    <n v="80"/>
    <m/>
    <m/>
    <m/>
    <m/>
    <n v="16"/>
    <m/>
    <m/>
    <n v="0"/>
    <n v="0"/>
    <n v="0"/>
    <n v="0"/>
    <n v="0"/>
    <n v="0"/>
    <n v="0"/>
    <n v="0"/>
    <n v="0"/>
    <n v="0"/>
    <n v="0"/>
    <n v="0"/>
    <n v="0"/>
    <n v="0"/>
    <n v="0"/>
    <n v="0"/>
    <n v="0"/>
    <n v="0"/>
    <s v="MMR001CMP029"/>
    <x v="0"/>
    <x v="1"/>
    <s v="P4"/>
    <n v="3.8623086950224499E-4"/>
    <s v="No"/>
  </r>
  <r>
    <n v="22"/>
    <d v="2015-03-13T00:00:00"/>
    <x v="0"/>
    <s v="KMSS"/>
    <s v="Kachin"/>
    <s v="Waingmaw"/>
    <s v="Maina Catholic Church (St. Joseph)"/>
    <m/>
    <m/>
    <m/>
    <m/>
    <n v="1"/>
    <m/>
    <m/>
    <m/>
    <m/>
    <m/>
    <m/>
    <m/>
    <m/>
    <m/>
    <m/>
    <m/>
    <m/>
    <n v="0"/>
    <n v="0"/>
    <n v="0"/>
    <n v="0"/>
    <n v="0"/>
    <n v="0"/>
    <n v="0"/>
    <n v="0"/>
    <n v="0"/>
    <n v="0"/>
    <n v="0"/>
    <n v="0"/>
    <n v="0"/>
    <n v="0"/>
    <n v="0"/>
    <n v="0"/>
    <n v="0"/>
    <n v="0"/>
    <s v="MMR001CMP029"/>
    <x v="0"/>
    <x v="1"/>
    <s v="P4"/>
    <n v="0"/>
    <s v="No"/>
  </r>
  <r>
    <n v="27.433333333333334"/>
    <d v="2014-10-01T00:00:00"/>
    <x v="0"/>
    <s v="KMSS"/>
    <s v="Kachin"/>
    <s v="Waingmaw"/>
    <s v="Maina Catholic Church (St. Joseph)"/>
    <m/>
    <m/>
    <m/>
    <n v="462"/>
    <m/>
    <m/>
    <m/>
    <m/>
    <m/>
    <m/>
    <m/>
    <m/>
    <m/>
    <m/>
    <m/>
    <m/>
    <m/>
    <n v="0"/>
    <n v="0"/>
    <n v="0"/>
    <n v="0"/>
    <n v="0"/>
    <n v="0"/>
    <n v="0"/>
    <n v="0"/>
    <n v="0"/>
    <n v="0"/>
    <n v="0"/>
    <n v="0"/>
    <n v="0"/>
    <n v="0"/>
    <n v="0"/>
    <n v="0"/>
    <n v="0"/>
    <n v="0"/>
    <s v="MMR001CMP029"/>
    <x v="0"/>
    <x v="1"/>
    <s v="P4"/>
    <n v="0"/>
    <m/>
  </r>
  <r>
    <n v="32.033333333333331"/>
    <d v="2014-05-16T00:00:00"/>
    <x v="8"/>
    <s v="MRCS"/>
    <s v="Kachin"/>
    <s v="Waingmaw"/>
    <s v="Maina Catholic Church (St. Joseph)"/>
    <m/>
    <m/>
    <m/>
    <m/>
    <m/>
    <m/>
    <m/>
    <m/>
    <m/>
    <m/>
    <m/>
    <m/>
    <m/>
    <n v="470"/>
    <m/>
    <m/>
    <m/>
    <n v="0"/>
    <n v="0"/>
    <n v="0"/>
    <n v="0"/>
    <n v="0"/>
    <n v="0"/>
    <n v="0"/>
    <n v="0"/>
    <n v="0"/>
    <n v="0"/>
    <n v="0"/>
    <n v="0"/>
    <n v="0"/>
    <n v="0"/>
    <n v="1"/>
    <n v="0"/>
    <n v="0"/>
    <n v="0"/>
    <s v="MMR001CMP029"/>
    <x v="0"/>
    <x v="1"/>
    <s v="P4"/>
    <n v="0"/>
    <m/>
  </r>
  <r>
    <n v="41.9"/>
    <d v="2013-07-24T00:00:00"/>
    <x v="0"/>
    <s v="KMSS"/>
    <s v="Kachin"/>
    <s v="Waingmaw"/>
    <s v="Maina Catholic Church (St. Joseph)"/>
    <m/>
    <m/>
    <n v="40"/>
    <n v="49"/>
    <n v="23"/>
    <n v="49"/>
    <n v="23"/>
    <n v="23"/>
    <n v="23"/>
    <n v="23"/>
    <m/>
    <m/>
    <m/>
    <m/>
    <m/>
    <m/>
    <m/>
    <n v="0"/>
    <n v="0"/>
    <n v="0"/>
    <n v="0"/>
    <n v="0"/>
    <n v="0"/>
    <n v="0"/>
    <n v="0"/>
    <n v="0"/>
    <n v="0"/>
    <n v="0"/>
    <n v="0"/>
    <n v="0"/>
    <n v="0"/>
    <n v="0"/>
    <n v="0"/>
    <n v="0"/>
    <n v="0"/>
    <s v="MMR001CMP029"/>
    <x v="0"/>
    <x v="1"/>
    <s v="P4"/>
    <n v="5.5520687490947715E-4"/>
    <s v="No"/>
  </r>
  <r>
    <n v="44.466666666666669"/>
    <d v="2013-05-08T00:00:00"/>
    <x v="6"/>
    <s v="KMSS"/>
    <s v="Kachin"/>
    <s v="Waingmaw"/>
    <s v="Maina Catholic Church (St. Joseph)"/>
    <n v="1062"/>
    <m/>
    <m/>
    <m/>
    <m/>
    <m/>
    <m/>
    <m/>
    <m/>
    <m/>
    <m/>
    <m/>
    <m/>
    <m/>
    <m/>
    <m/>
    <m/>
    <n v="0"/>
    <n v="0"/>
    <n v="0"/>
    <n v="0"/>
    <n v="0"/>
    <n v="0"/>
    <n v="0"/>
    <n v="0"/>
    <n v="0"/>
    <n v="0"/>
    <n v="0"/>
    <n v="0"/>
    <n v="0"/>
    <n v="0"/>
    <n v="0"/>
    <n v="0"/>
    <n v="0"/>
    <n v="0"/>
    <s v="MMR001CMP029"/>
    <x v="0"/>
    <x v="1"/>
    <s v="P4"/>
    <n v="0"/>
    <s v="No"/>
  </r>
  <r>
    <n v="47.533333333333331"/>
    <d v="2013-02-05T00:00:00"/>
    <x v="2"/>
    <s v="MRCS"/>
    <s v="Kachin"/>
    <s v="Waingmaw"/>
    <s v="Maina Catholic Church (St. Joseph)"/>
    <n v="46"/>
    <m/>
    <m/>
    <m/>
    <m/>
    <m/>
    <m/>
    <m/>
    <n v="0"/>
    <n v="0"/>
    <m/>
    <m/>
    <m/>
    <m/>
    <m/>
    <m/>
    <m/>
    <n v="0"/>
    <n v="0"/>
    <n v="0"/>
    <n v="0"/>
    <n v="0"/>
    <n v="0"/>
    <n v="0"/>
    <n v="0"/>
    <n v="0"/>
    <n v="0"/>
    <n v="0"/>
    <n v="0"/>
    <n v="0"/>
    <n v="0"/>
    <n v="0"/>
    <n v="0"/>
    <n v="0"/>
    <n v="0"/>
    <s v="MMR001CMP029"/>
    <x v="0"/>
    <x v="1"/>
    <s v="P4"/>
    <n v="0"/>
    <s v="No"/>
  </r>
  <r>
    <n v="47.7"/>
    <d v="2013-01-31T00:00:00"/>
    <x v="9"/>
    <s v="World Vision"/>
    <s v="Kachin"/>
    <s v="Waingmaw"/>
    <s v="Maina Catholic Church (St. Joseph)"/>
    <m/>
    <m/>
    <m/>
    <m/>
    <m/>
    <n v="442"/>
    <m/>
    <m/>
    <n v="0"/>
    <n v="0"/>
    <m/>
    <m/>
    <m/>
    <m/>
    <m/>
    <m/>
    <m/>
    <n v="0"/>
    <n v="0"/>
    <n v="0"/>
    <n v="0"/>
    <n v="0"/>
    <n v="0"/>
    <n v="0"/>
    <n v="0"/>
    <n v="0"/>
    <n v="0"/>
    <n v="0"/>
    <n v="0"/>
    <n v="0"/>
    <n v="0"/>
    <n v="0"/>
    <n v="0"/>
    <n v="0"/>
    <n v="0"/>
    <s v="MMR001CMP029"/>
    <x v="0"/>
    <x v="1"/>
    <s v="P4"/>
    <n v="0"/>
    <s v="No"/>
  </r>
  <r>
    <n v="52.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1"/>
    <s v="P4"/>
    <n v="1.1586926085067348E-3"/>
    <s v="No"/>
  </r>
  <r>
    <n v="56.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1"/>
    <s v="P4"/>
    <n v="7.00043450972819E-4"/>
    <s v="No"/>
  </r>
  <r>
    <n v="60.7"/>
    <d v="2012-01-07T00:00:00"/>
    <x v="0"/>
    <s v="KMSS"/>
    <s v="Kachin"/>
    <s v="Waingmaw"/>
    <s v="Maina Catholic Church (St. Joseph)"/>
    <m/>
    <m/>
    <m/>
    <n v="50"/>
    <n v="25"/>
    <n v="50"/>
    <n v="25"/>
    <n v="27"/>
    <n v="27"/>
    <n v="27"/>
    <m/>
    <m/>
    <m/>
    <m/>
    <m/>
    <m/>
    <m/>
    <n v="0"/>
    <n v="0"/>
    <n v="0"/>
    <n v="0"/>
    <n v="0"/>
    <n v="0"/>
    <n v="0"/>
    <n v="0"/>
    <n v="0"/>
    <n v="0"/>
    <n v="0"/>
    <n v="0"/>
    <n v="0"/>
    <n v="0"/>
    <n v="0"/>
    <n v="0"/>
    <n v="0"/>
    <n v="0"/>
    <s v="MMR001CMP029"/>
    <x v="0"/>
    <x v="1"/>
    <s v="P4"/>
    <n v="6.0348573359725777E-4"/>
    <s v="No"/>
  </r>
  <r>
    <n v="60.93333333333333"/>
    <d v="2011-12-31T00:00:00"/>
    <x v="0"/>
    <s v="KMSS"/>
    <s v="Kachin"/>
    <s v="Waingmaw"/>
    <s v="Maina Catholic Church (St. Joseph)"/>
    <m/>
    <m/>
    <m/>
    <n v="46"/>
    <n v="27"/>
    <n v="47"/>
    <n v="27"/>
    <n v="27"/>
    <n v="27"/>
    <n v="27"/>
    <m/>
    <m/>
    <m/>
    <m/>
    <m/>
    <m/>
    <m/>
    <n v="0"/>
    <n v="0"/>
    <n v="0"/>
    <n v="0"/>
    <n v="0"/>
    <n v="0"/>
    <n v="0"/>
    <n v="0"/>
    <n v="0"/>
    <n v="0"/>
    <n v="0"/>
    <n v="0"/>
    <n v="0"/>
    <n v="0"/>
    <n v="0"/>
    <n v="0"/>
    <n v="0"/>
    <n v="0"/>
    <s v="MMR001CMP029"/>
    <x v="0"/>
    <x v="1"/>
    <s v="P4"/>
    <n v="6.5176459228503839E-4"/>
    <s v="No"/>
  </r>
  <r>
    <n v="31.9"/>
    <d v="2014-05-20T00:00:00"/>
    <x v="8"/>
    <s v="MRCS"/>
    <s v="Kachin"/>
    <s v="Waingmaw"/>
    <s v="Maina KBC (Bawng Ring)"/>
    <m/>
    <m/>
    <m/>
    <m/>
    <m/>
    <m/>
    <m/>
    <m/>
    <m/>
    <m/>
    <m/>
    <m/>
    <m/>
    <n v="824"/>
    <m/>
    <m/>
    <m/>
    <n v="0"/>
    <n v="0"/>
    <n v="0"/>
    <n v="0"/>
    <n v="0"/>
    <n v="0"/>
    <n v="0"/>
    <n v="0"/>
    <n v="0"/>
    <n v="0"/>
    <n v="0"/>
    <n v="0"/>
    <n v="0"/>
    <n v="0"/>
    <n v="1"/>
    <n v="0"/>
    <n v="0"/>
    <n v="0"/>
    <s v="MMR001CMP040"/>
    <x v="0"/>
    <x v="1"/>
    <s v="P4"/>
    <n v="0"/>
    <m/>
  </r>
  <r>
    <n v="36.966666666666669"/>
    <d v="2013-12-19T00:00:00"/>
    <x v="4"/>
    <s v="KBC"/>
    <s v="Kachin"/>
    <s v="Waingmaw"/>
    <s v="Maina KBC (Bawng Ring)"/>
    <m/>
    <m/>
    <m/>
    <m/>
    <m/>
    <m/>
    <m/>
    <m/>
    <m/>
    <m/>
    <n v="414"/>
    <n v="764"/>
    <n v="2356"/>
    <n v="1178"/>
    <m/>
    <m/>
    <m/>
    <n v="0"/>
    <n v="0"/>
    <n v="0"/>
    <n v="0"/>
    <n v="0"/>
    <n v="0"/>
    <n v="0"/>
    <n v="0"/>
    <n v="0"/>
    <n v="0"/>
    <n v="0"/>
    <n v="0"/>
    <n v="0"/>
    <n v="0"/>
    <n v="1"/>
    <n v="0"/>
    <n v="0"/>
    <n v="0"/>
    <s v="MMR001CMP040"/>
    <x v="0"/>
    <x v="1"/>
    <s v="P4"/>
    <n v="0"/>
    <m/>
  </r>
  <r>
    <n v="37.6"/>
    <d v="2013-11-30T00:00:00"/>
    <x v="4"/>
    <s v="KBC"/>
    <s v="Kachin"/>
    <s v="Waingmaw"/>
    <s v="Maina KBC (Bawng Ring)"/>
    <m/>
    <m/>
    <m/>
    <m/>
    <m/>
    <m/>
    <m/>
    <m/>
    <m/>
    <m/>
    <m/>
    <m/>
    <m/>
    <m/>
    <m/>
    <m/>
    <m/>
    <n v="0"/>
    <n v="0"/>
    <n v="0"/>
    <n v="0"/>
    <n v="0"/>
    <n v="0"/>
    <n v="0"/>
    <n v="0"/>
    <n v="0"/>
    <n v="0"/>
    <n v="0"/>
    <n v="0"/>
    <n v="0"/>
    <n v="0"/>
    <n v="0"/>
    <n v="0"/>
    <n v="0"/>
    <n v="0"/>
    <s v="MMR001CMP040"/>
    <x v="0"/>
    <x v="1"/>
    <s v="P4"/>
    <n v="0"/>
    <s v="No"/>
  </r>
  <r>
    <n v="35.9"/>
    <d v="2014-01-20T00:00:00"/>
    <x v="1"/>
    <s v="MRCS"/>
    <s v="Kachin"/>
    <s v="Machanbaw"/>
    <s v="Machanbaw - KBC"/>
    <m/>
    <m/>
    <m/>
    <n v="8"/>
    <n v="16"/>
    <n v="16"/>
    <n v="8"/>
    <m/>
    <m/>
    <m/>
    <n v="19"/>
    <n v="9"/>
    <m/>
    <m/>
    <m/>
    <m/>
    <m/>
    <n v="0"/>
    <n v="0"/>
    <n v="0"/>
    <n v="0"/>
    <n v="0"/>
    <n v="0"/>
    <n v="0"/>
    <n v="0"/>
    <n v="0"/>
    <n v="0"/>
    <n v="0"/>
    <n v="0"/>
    <n v="0"/>
    <n v="0"/>
    <n v="1"/>
    <n v="0"/>
    <n v="0"/>
    <n v="0"/>
    <s v="MMR001CMP221"/>
    <x v="0"/>
    <x v="0"/>
    <s v="P3"/>
    <n v="1.9268750903222699E-4"/>
    <m/>
  </r>
  <r>
    <n v="46.56666666666667"/>
    <d v="2013-03-06T00:00:00"/>
    <x v="0"/>
    <s v="UNHCR"/>
    <s v="Kachin"/>
    <s v="Waingmaw"/>
    <s v="Maina KBC (Bawng Ring)"/>
    <m/>
    <m/>
    <n v="34"/>
    <n v="73"/>
    <n v="38"/>
    <n v="73"/>
    <n v="38"/>
    <n v="33"/>
    <n v="33"/>
    <n v="33"/>
    <m/>
    <m/>
    <m/>
    <m/>
    <m/>
    <m/>
    <m/>
    <n v="0"/>
    <n v="0"/>
    <n v="0"/>
    <n v="0"/>
    <n v="0"/>
    <n v="0"/>
    <n v="0"/>
    <n v="0"/>
    <n v="0"/>
    <n v="0"/>
    <n v="0"/>
    <n v="0"/>
    <n v="0"/>
    <n v="0"/>
    <n v="0"/>
    <n v="0"/>
    <n v="0"/>
    <n v="0"/>
    <s v="MMR001CMP040"/>
    <x v="0"/>
    <x v="1"/>
    <s v="P4"/>
    <n v="9.2545237573366456E-4"/>
    <s v="No"/>
  </r>
  <r>
    <n v="35.9"/>
    <d v="2014-01-20T00:00:00"/>
    <x v="1"/>
    <s v="MRCS"/>
    <s v="Kachin"/>
    <s v="Puta-O"/>
    <s v="Naung Khaing"/>
    <m/>
    <m/>
    <m/>
    <n v="17"/>
    <n v="34"/>
    <n v="34"/>
    <n v="17"/>
    <m/>
    <m/>
    <m/>
    <n v="31"/>
    <n v="28"/>
    <m/>
    <m/>
    <m/>
    <m/>
    <m/>
    <n v="0"/>
    <n v="0"/>
    <n v="0"/>
    <n v="0"/>
    <n v="0"/>
    <n v="0"/>
    <n v="0"/>
    <n v="0"/>
    <n v="0"/>
    <n v="0"/>
    <n v="0"/>
    <n v="0"/>
    <n v="0"/>
    <n v="0"/>
    <n v="1"/>
    <n v="0"/>
    <n v="0"/>
    <n v="0"/>
    <s v="MMR001CMP220"/>
    <x v="0"/>
    <x v="0"/>
    <s v="P3"/>
    <n v="4.0976691493720927E-4"/>
    <m/>
  </r>
  <r>
    <n v="46.866666666666667"/>
    <d v="2013-02-25T00:00:00"/>
    <x v="2"/>
    <s v="MRCS"/>
    <s v="Kachin"/>
    <s v="Waingmaw"/>
    <s v="Maina KBC (Bawng Ring)"/>
    <m/>
    <m/>
    <n v="235"/>
    <m/>
    <n v="174"/>
    <m/>
    <n v="61"/>
    <m/>
    <n v="0"/>
    <n v="0"/>
    <m/>
    <m/>
    <m/>
    <m/>
    <m/>
    <m/>
    <m/>
    <n v="0"/>
    <n v="0"/>
    <n v="0"/>
    <n v="0"/>
    <n v="0"/>
    <n v="0"/>
    <n v="0"/>
    <n v="0"/>
    <n v="0"/>
    <n v="0"/>
    <n v="0"/>
    <n v="0"/>
    <n v="0"/>
    <n v="0"/>
    <n v="0"/>
    <n v="0"/>
    <n v="0"/>
    <n v="0"/>
    <s v="MMR001CMP040"/>
    <x v="0"/>
    <x v="1"/>
    <s v="P4"/>
    <n v="1.4855946031514088E-3"/>
    <s v="No"/>
  </r>
  <r>
    <n v="47.7"/>
    <d v="2013-01-31T00:00:00"/>
    <x v="9"/>
    <s v="World Vision"/>
    <s v="Kachin"/>
    <s v="Waingmaw"/>
    <s v="Maina KBC (Bawng Ring)"/>
    <m/>
    <m/>
    <m/>
    <m/>
    <m/>
    <n v="324"/>
    <m/>
    <m/>
    <n v="0"/>
    <n v="0"/>
    <m/>
    <m/>
    <m/>
    <m/>
    <m/>
    <m/>
    <m/>
    <n v="0"/>
    <n v="0"/>
    <n v="0"/>
    <n v="0"/>
    <n v="0"/>
    <n v="0"/>
    <n v="0"/>
    <n v="0"/>
    <n v="0"/>
    <n v="0"/>
    <n v="0"/>
    <n v="0"/>
    <n v="0"/>
    <n v="0"/>
    <n v="0"/>
    <n v="0"/>
    <n v="0"/>
    <n v="0"/>
    <s v="MMR001CMP040"/>
    <x v="0"/>
    <x v="1"/>
    <s v="P4"/>
    <n v="0"/>
    <s v="No"/>
  </r>
  <r>
    <n v="55.233333333333334"/>
    <d v="2012-06-19T00:00:00"/>
    <x v="0"/>
    <s v="UNHCR"/>
    <s v="Kachin"/>
    <s v="Waingmaw"/>
    <s v="Maina KBC (Bawng Ring)"/>
    <m/>
    <m/>
    <m/>
    <n v="32"/>
    <n v="17"/>
    <n v="32"/>
    <n v="17"/>
    <n v="17"/>
    <n v="17"/>
    <n v="17"/>
    <m/>
    <m/>
    <m/>
    <m/>
    <m/>
    <m/>
    <m/>
    <n v="0"/>
    <n v="0"/>
    <n v="0"/>
    <n v="0"/>
    <n v="0"/>
    <n v="0"/>
    <n v="0"/>
    <n v="0"/>
    <n v="0"/>
    <n v="0"/>
    <n v="0"/>
    <n v="0"/>
    <n v="0"/>
    <n v="0"/>
    <n v="0"/>
    <n v="0"/>
    <n v="0"/>
    <n v="0"/>
    <s v="MMR001CMP040"/>
    <x v="0"/>
    <x v="1"/>
    <s v="P4"/>
    <n v="4.1401816809137626E-4"/>
    <s v="No"/>
  </r>
  <r>
    <n v="56.533333333333331"/>
    <d v="2012-05-11T00:00:00"/>
    <x v="0"/>
    <s v="UNHCR"/>
    <s v="Kachin"/>
    <s v="Waingmaw"/>
    <s v="Maina KBC (Bawng Ring)"/>
    <m/>
    <m/>
    <m/>
    <n v="50"/>
    <n v="25"/>
    <n v="50"/>
    <n v="24"/>
    <n v="13"/>
    <n v="13"/>
    <n v="13"/>
    <m/>
    <m/>
    <m/>
    <m/>
    <m/>
    <m/>
    <m/>
    <n v="0"/>
    <n v="0"/>
    <n v="0"/>
    <n v="0"/>
    <n v="0"/>
    <n v="0"/>
    <n v="0"/>
    <n v="0"/>
    <n v="0"/>
    <n v="0"/>
    <n v="0"/>
    <n v="0"/>
    <n v="0"/>
    <n v="0"/>
    <n v="0"/>
    <n v="0"/>
    <n v="0"/>
    <n v="0"/>
    <s v="MMR001CMP040"/>
    <x v="0"/>
    <x v="1"/>
    <s v="P4"/>
    <n v="5.8449623730547236E-4"/>
    <s v="No"/>
  </r>
  <r>
    <n v="31.933333333333334"/>
    <d v="2014-05-19T00:00:00"/>
    <x v="8"/>
    <s v="MRCS"/>
    <s v="Kachin"/>
    <s v="Waingmaw"/>
    <s v="Maina Lawang Baptist Church"/>
    <m/>
    <m/>
    <m/>
    <m/>
    <m/>
    <m/>
    <m/>
    <m/>
    <m/>
    <m/>
    <m/>
    <m/>
    <m/>
    <n v="230"/>
    <m/>
    <m/>
    <m/>
    <n v="0"/>
    <n v="0"/>
    <n v="0"/>
    <n v="0"/>
    <n v="0"/>
    <n v="0"/>
    <n v="0"/>
    <n v="0"/>
    <n v="0"/>
    <n v="0"/>
    <n v="0"/>
    <n v="0"/>
    <n v="0"/>
    <n v="0"/>
    <n v="1"/>
    <n v="0"/>
    <n v="0"/>
    <n v="0"/>
    <s v="MMR001CMP039"/>
    <x v="0"/>
    <x v="1"/>
    <s v="P4"/>
    <n v="0"/>
    <m/>
  </r>
  <r>
    <n v="36.93333333333333"/>
    <d v="2013-12-20T00:00:00"/>
    <x v="4"/>
    <s v="KBC"/>
    <s v="Kachin"/>
    <s v="Waingmaw"/>
    <s v="Maina Lawang Baptist Church"/>
    <m/>
    <m/>
    <m/>
    <m/>
    <m/>
    <m/>
    <m/>
    <m/>
    <m/>
    <m/>
    <n v="47"/>
    <n v="85"/>
    <n v="264"/>
    <n v="132"/>
    <m/>
    <m/>
    <m/>
    <n v="0"/>
    <n v="0"/>
    <n v="0"/>
    <n v="0"/>
    <n v="0"/>
    <n v="0"/>
    <n v="0"/>
    <n v="0"/>
    <n v="0"/>
    <n v="0"/>
    <n v="0"/>
    <n v="0"/>
    <n v="0"/>
    <n v="0"/>
    <n v="1"/>
    <n v="0"/>
    <n v="0"/>
    <n v="0"/>
    <s v="MMR001CMP039"/>
    <x v="0"/>
    <x v="1"/>
    <s v="P4"/>
    <n v="0"/>
    <m/>
  </r>
  <r>
    <n v="37.6"/>
    <d v="2013-11-30T00:00:00"/>
    <x v="4"/>
    <s v="KBC"/>
    <s v="Kachin"/>
    <s v="Waingmaw"/>
    <s v="Maina Lawang Baptist Church"/>
    <m/>
    <m/>
    <m/>
    <m/>
    <m/>
    <m/>
    <m/>
    <m/>
    <m/>
    <m/>
    <m/>
    <m/>
    <m/>
    <m/>
    <m/>
    <m/>
    <m/>
    <n v="0"/>
    <n v="0"/>
    <n v="0"/>
    <n v="0"/>
    <n v="0"/>
    <n v="0"/>
    <n v="0"/>
    <n v="0"/>
    <n v="0"/>
    <n v="0"/>
    <n v="0"/>
    <n v="0"/>
    <n v="0"/>
    <n v="0"/>
    <n v="0"/>
    <n v="0"/>
    <n v="0"/>
    <n v="0"/>
    <s v="MMR001CMP039"/>
    <x v="0"/>
    <x v="1"/>
    <s v="P4"/>
    <n v="0"/>
    <s v="No"/>
  </r>
  <r>
    <n v="47.7"/>
    <d v="2013-01-31T00:00:00"/>
    <x v="9"/>
    <s v="World Vision"/>
    <s v="Kachin"/>
    <s v="Waingmaw"/>
    <s v="Maina Lawang Baptist Church"/>
    <m/>
    <m/>
    <m/>
    <m/>
    <m/>
    <n v="94"/>
    <m/>
    <m/>
    <n v="0"/>
    <n v="0"/>
    <m/>
    <m/>
    <m/>
    <m/>
    <m/>
    <m/>
    <m/>
    <n v="0"/>
    <n v="0"/>
    <n v="0"/>
    <n v="0"/>
    <n v="0"/>
    <n v="0"/>
    <n v="0"/>
    <n v="0"/>
    <n v="0"/>
    <n v="0"/>
    <n v="0"/>
    <n v="0"/>
    <n v="0"/>
    <n v="0"/>
    <n v="0"/>
    <n v="0"/>
    <n v="0"/>
    <n v="0"/>
    <s v="MMR001CMP039"/>
    <x v="0"/>
    <x v="1"/>
    <s v="P4"/>
    <n v="0"/>
    <s v="No"/>
  </r>
  <r>
    <n v="54.43333333333333"/>
    <d v="2012-07-13T00:00:00"/>
    <x v="0"/>
    <s v="UNHCR"/>
    <s v="Kachin"/>
    <s v="Waingmaw"/>
    <s v="Maina Lawang Baptist Church"/>
    <m/>
    <m/>
    <m/>
    <n v="6"/>
    <n v="6"/>
    <n v="6"/>
    <n v="6"/>
    <n v="6"/>
    <n v="6"/>
    <n v="6"/>
    <m/>
    <m/>
    <m/>
    <m/>
    <m/>
    <m/>
    <m/>
    <n v="0"/>
    <n v="0"/>
    <n v="0"/>
    <n v="0"/>
    <n v="0"/>
    <n v="0"/>
    <n v="0"/>
    <n v="0"/>
    <n v="0"/>
    <n v="0"/>
    <n v="0"/>
    <n v="0"/>
    <n v="0"/>
    <n v="0"/>
    <n v="0"/>
    <n v="0"/>
    <n v="0"/>
    <n v="0"/>
    <s v="MMR001CMP039"/>
    <x v="0"/>
    <x v="1"/>
    <s v="P4"/>
    <n v="1.4677821811243211E-4"/>
    <s v="No"/>
  </r>
  <r>
    <n v="60.5"/>
    <d v="2012-01-13T00:00:00"/>
    <x v="0"/>
    <s v="UNHCR"/>
    <s v="Kachin"/>
    <s v="Waingmaw"/>
    <s v="Maina Lawang Baptist Church"/>
    <m/>
    <m/>
    <m/>
    <n v="35"/>
    <n v="17"/>
    <n v="35"/>
    <n v="17"/>
    <n v="17"/>
    <n v="17"/>
    <n v="17"/>
    <m/>
    <m/>
    <m/>
    <m/>
    <m/>
    <m/>
    <m/>
    <n v="0"/>
    <n v="0"/>
    <n v="0"/>
    <n v="0"/>
    <n v="0"/>
    <n v="0"/>
    <n v="0"/>
    <n v="0"/>
    <n v="0"/>
    <n v="0"/>
    <n v="0"/>
    <n v="0"/>
    <n v="0"/>
    <n v="0"/>
    <n v="0"/>
    <n v="0"/>
    <n v="0"/>
    <n v="0"/>
    <s v="MMR001CMP039"/>
    <x v="0"/>
    <x v="1"/>
    <s v="P4"/>
    <n v="4.158716179852243E-4"/>
    <s v="No"/>
  </r>
  <r>
    <n v="60.766666666666666"/>
    <d v="2012-01-05T00:00:00"/>
    <x v="0"/>
    <s v="KBC"/>
    <s v="Kachin"/>
    <s v="Waingmaw"/>
    <s v="Maina Lawang Baptist Church"/>
    <m/>
    <m/>
    <m/>
    <n v="52"/>
    <n v="29"/>
    <n v="52"/>
    <n v="29"/>
    <n v="29"/>
    <n v="29"/>
    <n v="29"/>
    <m/>
    <m/>
    <m/>
    <m/>
    <m/>
    <m/>
    <m/>
    <n v="0"/>
    <n v="0"/>
    <n v="0"/>
    <n v="0"/>
    <n v="0"/>
    <n v="0"/>
    <n v="0"/>
    <n v="0"/>
    <n v="0"/>
    <n v="0"/>
    <n v="0"/>
    <n v="0"/>
    <n v="0"/>
    <n v="0"/>
    <n v="0"/>
    <n v="0"/>
    <n v="0"/>
    <n v="0"/>
    <s v="MMR001CMP039"/>
    <x v="0"/>
    <x v="1"/>
    <s v="P4"/>
    <n v="7.0942805421008858E-4"/>
    <s v="No"/>
  </r>
  <r>
    <n v="36.266666666666666"/>
    <d v="2014-01-09T00:00:00"/>
    <x v="4"/>
    <s v="KBC"/>
    <s v="Kachin"/>
    <s v="Mansi"/>
    <s v="IDPs scattered in South Mansi"/>
    <m/>
    <m/>
    <m/>
    <m/>
    <m/>
    <m/>
    <m/>
    <m/>
    <m/>
    <m/>
    <n v="142"/>
    <n v="284"/>
    <n v="852"/>
    <n v="426"/>
    <m/>
    <m/>
    <m/>
    <n v="0"/>
    <n v="0"/>
    <n v="0"/>
    <n v="0"/>
    <n v="0"/>
    <n v="0"/>
    <n v="0"/>
    <n v="0"/>
    <n v="0"/>
    <n v="0"/>
    <n v="0"/>
    <n v="0"/>
    <n v="0"/>
    <n v="0"/>
    <n v="1"/>
    <n v="0"/>
    <n v="0"/>
    <n v="0"/>
    <s v="MMR001CMP217"/>
    <x v="0"/>
    <x v="0"/>
    <s v=""/>
    <s v=""/>
    <m/>
  </r>
  <r>
    <n v="7.166666666666667"/>
    <d v="2016-05-31T00:00:00"/>
    <x v="4"/>
    <s v="Solidarities"/>
    <s v="Kachin"/>
    <s v="Mansi"/>
    <s v="Maing Khaung"/>
    <n v="25"/>
    <n v="25"/>
    <m/>
    <m/>
    <n v="25"/>
    <m/>
    <m/>
    <m/>
    <m/>
    <m/>
    <m/>
    <m/>
    <m/>
    <m/>
    <m/>
    <m/>
    <m/>
    <n v="25"/>
    <n v="25"/>
    <n v="0"/>
    <n v="0"/>
    <n v="25"/>
    <n v="0"/>
    <n v="0"/>
    <n v="0"/>
    <n v="0"/>
    <n v="0"/>
    <n v="0"/>
    <n v="0"/>
    <n v="0"/>
    <n v="0"/>
    <n v="0"/>
    <n v="0"/>
    <n v="0"/>
    <n v="0"/>
    <s v="MMR001CMP218"/>
    <x v="0"/>
    <x v="1"/>
    <s v="P4"/>
    <n v="0"/>
    <m/>
  </r>
  <r>
    <n v="19.266666666666666"/>
    <d v="2015-06-03T00:00:00"/>
    <x v="0"/>
    <s v="KBC"/>
    <s v="Kachin"/>
    <s v="Mansi"/>
    <s v="Maing Khaung"/>
    <m/>
    <m/>
    <m/>
    <n v="6"/>
    <n v="12"/>
    <n v="24"/>
    <n v="3"/>
    <m/>
    <n v="3"/>
    <n v="9"/>
    <m/>
    <m/>
    <m/>
    <m/>
    <n v="3"/>
    <m/>
    <m/>
    <n v="0"/>
    <n v="0"/>
    <n v="0"/>
    <n v="0"/>
    <n v="0"/>
    <n v="0"/>
    <n v="0"/>
    <n v="0"/>
    <n v="0"/>
    <n v="0"/>
    <n v="0"/>
    <n v="0"/>
    <n v="0"/>
    <n v="0"/>
    <n v="0"/>
    <n v="0"/>
    <n v="0"/>
    <n v="0"/>
    <s v="MMR001CMP218"/>
    <x v="0"/>
    <x v="1"/>
    <s v="P4"/>
    <n v="7.2205641667468946E-5"/>
    <s v="No"/>
  </r>
  <r>
    <n v="36.533333333333331"/>
    <d v="2014-01-01T00:00:00"/>
    <x v="11"/>
    <s v="MRCS"/>
    <s v="Kachin"/>
    <s v="Mohnyin"/>
    <s v="Nant Mun"/>
    <m/>
    <m/>
    <m/>
    <m/>
    <m/>
    <m/>
    <n v="12"/>
    <m/>
    <m/>
    <m/>
    <m/>
    <m/>
    <m/>
    <m/>
    <m/>
    <m/>
    <m/>
    <n v="0"/>
    <n v="0"/>
    <n v="0"/>
    <n v="0"/>
    <n v="0"/>
    <n v="0"/>
    <n v="0"/>
    <n v="0"/>
    <n v="0"/>
    <n v="0"/>
    <n v="0"/>
    <n v="0"/>
    <n v="0"/>
    <n v="0"/>
    <n v="0"/>
    <n v="0"/>
    <n v="0"/>
    <n v="0"/>
    <s v="MMR001CMP081"/>
    <x v="0"/>
    <x v="0"/>
    <s v="P4"/>
    <n v="2.9290439112499695E-4"/>
    <s v="No"/>
  </r>
  <r>
    <n v="21.133333333333333"/>
    <d v="2015-04-08T00:00:00"/>
    <x v="0"/>
    <s v="KBC"/>
    <s v="Kachin"/>
    <s v="Mansi"/>
    <s v="Maing Khaung"/>
    <m/>
    <m/>
    <m/>
    <n v="8"/>
    <n v="4"/>
    <m/>
    <n v="4"/>
    <m/>
    <n v="4"/>
    <m/>
    <m/>
    <m/>
    <m/>
    <m/>
    <m/>
    <m/>
    <m/>
    <n v="0"/>
    <n v="0"/>
    <n v="0"/>
    <n v="0"/>
    <n v="0"/>
    <n v="0"/>
    <n v="0"/>
    <n v="0"/>
    <n v="0"/>
    <n v="0"/>
    <n v="0"/>
    <n v="0"/>
    <n v="0"/>
    <n v="0"/>
    <n v="0"/>
    <n v="0"/>
    <n v="0"/>
    <n v="0"/>
    <s v="MMR001CMP218"/>
    <x v="0"/>
    <x v="1"/>
    <s v="P4"/>
    <n v="9.6274188889958599E-5"/>
    <s v="No"/>
  </r>
  <r>
    <n v="30.233333333333334"/>
    <d v="2014-07-09T00:00:00"/>
    <x v="0"/>
    <m/>
    <s v="Kachin"/>
    <s v="Mansi"/>
    <s v="Maing Khaung"/>
    <m/>
    <m/>
    <m/>
    <m/>
    <m/>
    <n v="10"/>
    <m/>
    <m/>
    <m/>
    <m/>
    <m/>
    <m/>
    <m/>
    <m/>
    <m/>
    <m/>
    <m/>
    <n v="0"/>
    <n v="0"/>
    <n v="0"/>
    <n v="0"/>
    <n v="0"/>
    <n v="0"/>
    <n v="0"/>
    <n v="0"/>
    <n v="0"/>
    <n v="0"/>
    <n v="0"/>
    <n v="0"/>
    <n v="0"/>
    <n v="0"/>
    <n v="0"/>
    <n v="0"/>
    <n v="0"/>
    <n v="0"/>
    <s v="MMR001CMP218"/>
    <x v="0"/>
    <x v="1"/>
    <s v="P4"/>
    <n v="0"/>
    <m/>
  </r>
  <r>
    <n v="30.433333333333334"/>
    <d v="2014-07-03T00:00:00"/>
    <x v="0"/>
    <m/>
    <s v="Kachin"/>
    <s v="Mansi"/>
    <s v="Maing Khaung"/>
    <m/>
    <m/>
    <m/>
    <m/>
    <m/>
    <n v="9"/>
    <m/>
    <m/>
    <n v="19"/>
    <n v="1"/>
    <m/>
    <m/>
    <m/>
    <m/>
    <m/>
    <m/>
    <m/>
    <n v="0"/>
    <n v="0"/>
    <n v="0"/>
    <n v="0"/>
    <n v="0"/>
    <n v="0"/>
    <n v="0"/>
    <n v="0"/>
    <n v="0"/>
    <n v="0"/>
    <n v="0"/>
    <n v="0"/>
    <n v="0"/>
    <n v="0"/>
    <n v="0"/>
    <n v="0"/>
    <n v="0"/>
    <n v="0"/>
    <s v="MMR001CMP218"/>
    <x v="0"/>
    <x v="1"/>
    <s v="P4"/>
    <n v="0"/>
    <m/>
  </r>
  <r>
    <n v="30.5"/>
    <d v="2014-07-01T00:00:00"/>
    <x v="0"/>
    <m/>
    <s v="Kachin"/>
    <s v="Mansi"/>
    <s v="Maing Khaung"/>
    <m/>
    <m/>
    <m/>
    <m/>
    <n v="19"/>
    <m/>
    <n v="19"/>
    <m/>
    <m/>
    <n v="100"/>
    <m/>
    <m/>
    <m/>
    <m/>
    <m/>
    <m/>
    <m/>
    <n v="0"/>
    <n v="0"/>
    <n v="0"/>
    <n v="0"/>
    <n v="0"/>
    <n v="0"/>
    <n v="0"/>
    <n v="0"/>
    <n v="0"/>
    <n v="0"/>
    <n v="0"/>
    <n v="0"/>
    <n v="0"/>
    <n v="0"/>
    <n v="0"/>
    <n v="0"/>
    <n v="0"/>
    <n v="0"/>
    <s v="MMR001CMP218"/>
    <x v="0"/>
    <x v="1"/>
    <s v="P4"/>
    <n v="4.5730239722730338E-4"/>
    <m/>
  </r>
  <r>
    <n v="30.966666666666665"/>
    <d v="2014-06-17T00:00:00"/>
    <x v="0"/>
    <m/>
    <s v="Kachin"/>
    <s v="Mansi"/>
    <s v="Maing Khaung"/>
    <m/>
    <m/>
    <m/>
    <n v="10"/>
    <n v="3"/>
    <n v="10"/>
    <n v="3"/>
    <m/>
    <n v="3"/>
    <n v="10"/>
    <m/>
    <m/>
    <m/>
    <m/>
    <m/>
    <m/>
    <m/>
    <n v="0"/>
    <n v="0"/>
    <n v="0"/>
    <n v="0"/>
    <n v="0"/>
    <n v="0"/>
    <n v="0"/>
    <n v="0"/>
    <n v="0"/>
    <n v="0"/>
    <n v="0"/>
    <n v="0"/>
    <n v="0"/>
    <n v="0"/>
    <n v="0"/>
    <n v="0"/>
    <n v="0"/>
    <n v="0"/>
    <s v="MMR001CMP218"/>
    <x v="0"/>
    <x v="1"/>
    <s v="P4"/>
    <n v="7.2205641667468946E-5"/>
    <m/>
  </r>
  <r>
    <n v="31.1"/>
    <d v="2014-06-13T00:00:00"/>
    <x v="0"/>
    <m/>
    <s v="Kachin"/>
    <s v="Mansi"/>
    <s v="Maing Khaung"/>
    <m/>
    <m/>
    <m/>
    <n v="54"/>
    <n v="18"/>
    <n v="45"/>
    <n v="18"/>
    <m/>
    <n v="18"/>
    <n v="50"/>
    <m/>
    <m/>
    <m/>
    <m/>
    <m/>
    <m/>
    <m/>
    <n v="0"/>
    <n v="0"/>
    <n v="0"/>
    <n v="0"/>
    <n v="0"/>
    <n v="0"/>
    <n v="0"/>
    <n v="0"/>
    <n v="0"/>
    <n v="0"/>
    <n v="0"/>
    <n v="0"/>
    <n v="0"/>
    <n v="0"/>
    <n v="0"/>
    <n v="0"/>
    <n v="0"/>
    <n v="0"/>
    <s v="MMR001CMP218"/>
    <x v="0"/>
    <x v="1"/>
    <s v="P4"/>
    <n v="4.332338500048137E-4"/>
    <m/>
  </r>
  <r>
    <n v="32.06666666666667"/>
    <d v="2014-05-15T00:00:00"/>
    <x v="0"/>
    <s v="UNHCR"/>
    <s v="Kachin"/>
    <s v="Mansi"/>
    <s v="Maing Khaung"/>
    <m/>
    <m/>
    <n v="10"/>
    <n v="10"/>
    <n v="5"/>
    <n v="15"/>
    <n v="5"/>
    <n v="5"/>
    <n v="5"/>
    <n v="20"/>
    <m/>
    <m/>
    <m/>
    <m/>
    <m/>
    <m/>
    <m/>
    <n v="0"/>
    <n v="0"/>
    <n v="0"/>
    <n v="0"/>
    <n v="0"/>
    <n v="0"/>
    <n v="0"/>
    <n v="0"/>
    <n v="0"/>
    <n v="0"/>
    <n v="0"/>
    <n v="0"/>
    <n v="0"/>
    <n v="0"/>
    <n v="0"/>
    <n v="0"/>
    <n v="0"/>
    <n v="0"/>
    <s v="MMR001CMP218"/>
    <x v="0"/>
    <x v="1"/>
    <s v="P4"/>
    <n v="1.2034273611244825E-4"/>
    <s v="No"/>
  </r>
  <r>
    <n v="33.333333333333336"/>
    <d v="2014-04-07T00:00:00"/>
    <x v="8"/>
    <s v="MRCS"/>
    <s v="Kachin"/>
    <s v="Mansi"/>
    <s v="Maing Khaung"/>
    <m/>
    <m/>
    <m/>
    <m/>
    <m/>
    <m/>
    <m/>
    <m/>
    <m/>
    <m/>
    <m/>
    <m/>
    <m/>
    <n v="478"/>
    <m/>
    <m/>
    <m/>
    <n v="0"/>
    <n v="0"/>
    <n v="0"/>
    <n v="0"/>
    <n v="0"/>
    <n v="0"/>
    <n v="0"/>
    <n v="0"/>
    <n v="0"/>
    <n v="0"/>
    <n v="0"/>
    <n v="0"/>
    <n v="0"/>
    <n v="0"/>
    <n v="1"/>
    <n v="0"/>
    <n v="0"/>
    <n v="0"/>
    <s v="MMR001CMP218"/>
    <x v="0"/>
    <x v="1"/>
    <s v="P4"/>
    <n v="0"/>
    <m/>
  </r>
  <r>
    <n v="35.6"/>
    <d v="2014-01-29T00:00:00"/>
    <x v="0"/>
    <s v="UNHCR"/>
    <s v="Kachin"/>
    <s v="Mansi"/>
    <s v="Maing Khaung"/>
    <m/>
    <m/>
    <m/>
    <n v="100"/>
    <n v="58"/>
    <n v="100"/>
    <n v="58"/>
    <m/>
    <n v="58"/>
    <n v="290"/>
    <m/>
    <m/>
    <m/>
    <m/>
    <m/>
    <m/>
    <m/>
    <n v="0"/>
    <n v="0"/>
    <n v="0"/>
    <n v="0"/>
    <n v="0"/>
    <n v="0"/>
    <n v="0"/>
    <n v="0"/>
    <n v="0"/>
    <n v="0"/>
    <n v="0"/>
    <n v="0"/>
    <n v="0"/>
    <n v="0"/>
    <n v="0"/>
    <n v="0"/>
    <n v="0"/>
    <n v="0"/>
    <s v="MMR001CMP218"/>
    <x v="0"/>
    <x v="1"/>
    <s v="P4"/>
    <n v="1.3959757389043997E-3"/>
    <s v="No"/>
  </r>
  <r>
    <n v="42.7"/>
    <d v="2013-06-30T00:00:00"/>
    <x v="0"/>
    <m/>
    <s v="Kachin"/>
    <s v="Mansi"/>
    <s v="Maing Khaung"/>
    <m/>
    <m/>
    <m/>
    <m/>
    <m/>
    <n v="9"/>
    <m/>
    <m/>
    <n v="19"/>
    <n v="1"/>
    <m/>
    <m/>
    <m/>
    <m/>
    <m/>
    <m/>
    <m/>
    <n v="0"/>
    <n v="0"/>
    <n v="0"/>
    <n v="0"/>
    <n v="0"/>
    <n v="0"/>
    <n v="0"/>
    <n v="0"/>
    <n v="0"/>
    <n v="0"/>
    <n v="0"/>
    <n v="0"/>
    <n v="0"/>
    <n v="0"/>
    <n v="0"/>
    <n v="0"/>
    <n v="0"/>
    <n v="0"/>
    <s v="MMR001CMP218"/>
    <x v="0"/>
    <x v="1"/>
    <s v="P4"/>
    <n v="0"/>
    <m/>
  </r>
  <r>
    <n v="42.733333333333334"/>
    <d v="2013-06-29T00:00:00"/>
    <x v="0"/>
    <m/>
    <s v="Kachin"/>
    <s v="Mansi"/>
    <s v="Maing Khaung"/>
    <m/>
    <m/>
    <m/>
    <m/>
    <n v="19"/>
    <m/>
    <n v="19"/>
    <m/>
    <m/>
    <n v="100"/>
    <m/>
    <m/>
    <m/>
    <m/>
    <m/>
    <m/>
    <m/>
    <n v="0"/>
    <n v="0"/>
    <n v="0"/>
    <n v="0"/>
    <n v="0"/>
    <n v="0"/>
    <n v="0"/>
    <n v="0"/>
    <n v="0"/>
    <n v="0"/>
    <n v="0"/>
    <n v="0"/>
    <n v="0"/>
    <n v="0"/>
    <n v="0"/>
    <n v="0"/>
    <n v="0"/>
    <n v="0"/>
    <s v="MMR001CMP218"/>
    <x v="0"/>
    <x v="1"/>
    <s v="P4"/>
    <n v="4.5730239722730338E-4"/>
    <m/>
  </r>
  <r>
    <n v="42.766666666666666"/>
    <d v="2013-06-28T00:00:00"/>
    <x v="0"/>
    <m/>
    <s v="Kachin"/>
    <s v="Mansi"/>
    <s v="Maing Khaung"/>
    <m/>
    <m/>
    <m/>
    <n v="10"/>
    <n v="3"/>
    <n v="10"/>
    <n v="3"/>
    <m/>
    <n v="3"/>
    <n v="10"/>
    <m/>
    <m/>
    <m/>
    <m/>
    <m/>
    <m/>
    <m/>
    <n v="0"/>
    <n v="0"/>
    <n v="0"/>
    <n v="0"/>
    <n v="0"/>
    <n v="0"/>
    <n v="0"/>
    <n v="0"/>
    <n v="0"/>
    <n v="0"/>
    <n v="0"/>
    <n v="0"/>
    <n v="0"/>
    <n v="0"/>
    <n v="0"/>
    <n v="0"/>
    <n v="0"/>
    <n v="0"/>
    <s v="MMR001CMP218"/>
    <x v="0"/>
    <x v="1"/>
    <s v="P4"/>
    <n v="7.2205641667468946E-5"/>
    <m/>
  </r>
  <r>
    <n v="42.8"/>
    <d v="2013-06-27T00:00:00"/>
    <x v="0"/>
    <m/>
    <s v="Kachin"/>
    <s v="Mansi"/>
    <s v="Maing Khaung"/>
    <m/>
    <m/>
    <m/>
    <n v="54"/>
    <n v="18"/>
    <n v="45"/>
    <n v="18"/>
    <m/>
    <n v="18"/>
    <n v="50"/>
    <m/>
    <m/>
    <m/>
    <m/>
    <m/>
    <m/>
    <m/>
    <n v="0"/>
    <n v="0"/>
    <n v="0"/>
    <n v="0"/>
    <n v="0"/>
    <n v="0"/>
    <n v="0"/>
    <n v="0"/>
    <n v="0"/>
    <n v="0"/>
    <n v="0"/>
    <n v="0"/>
    <n v="0"/>
    <n v="0"/>
    <n v="0"/>
    <n v="0"/>
    <n v="0"/>
    <n v="0"/>
    <s v="MMR001CMP218"/>
    <x v="0"/>
    <x v="1"/>
    <s v="P4"/>
    <n v="4.332338500048137E-4"/>
    <m/>
  </r>
  <r>
    <n v="29.366666666666667"/>
    <d v="2014-08-04T00:00:00"/>
    <x v="0"/>
    <m/>
    <s v="Kachin"/>
    <s v="Mansi"/>
    <s v="Maing Khaung Catholic Church"/>
    <m/>
    <m/>
    <m/>
    <m/>
    <m/>
    <m/>
    <m/>
    <m/>
    <n v="2"/>
    <m/>
    <m/>
    <m/>
    <m/>
    <m/>
    <m/>
    <m/>
    <m/>
    <n v="0"/>
    <n v="0"/>
    <n v="0"/>
    <n v="0"/>
    <n v="0"/>
    <n v="0"/>
    <n v="0"/>
    <n v="0"/>
    <n v="0"/>
    <n v="0"/>
    <n v="0"/>
    <n v="0"/>
    <n v="0"/>
    <n v="0"/>
    <n v="0"/>
    <n v="0"/>
    <n v="0"/>
    <n v="0"/>
    <s v="MMR001CMP223"/>
    <x v="0"/>
    <x v="1"/>
    <s v="P4"/>
    <n v="0"/>
    <m/>
  </r>
  <r>
    <n v="30.233333333333334"/>
    <d v="2014-07-09T00:00:00"/>
    <x v="0"/>
    <m/>
    <s v="Kachin"/>
    <s v="Mansi"/>
    <s v="Maing Khaung Catholic Church"/>
    <m/>
    <m/>
    <m/>
    <n v="35"/>
    <n v="13"/>
    <n v="70"/>
    <n v="13"/>
    <m/>
    <n v="13"/>
    <n v="25"/>
    <m/>
    <m/>
    <m/>
    <m/>
    <m/>
    <m/>
    <m/>
    <n v="0"/>
    <n v="0"/>
    <n v="0"/>
    <n v="0"/>
    <n v="0"/>
    <n v="0"/>
    <n v="0"/>
    <n v="0"/>
    <n v="0"/>
    <n v="0"/>
    <n v="0"/>
    <n v="0"/>
    <n v="0"/>
    <n v="0"/>
    <n v="0"/>
    <n v="0"/>
    <n v="0"/>
    <n v="0"/>
    <s v="MMR001CMP223"/>
    <x v="0"/>
    <x v="1"/>
    <s v="P4"/>
    <n v="3.1289111389236547E-4"/>
    <m/>
  </r>
  <r>
    <n v="30.433333333333334"/>
    <d v="2014-07-03T00:00:00"/>
    <x v="0"/>
    <m/>
    <s v="Kachin"/>
    <s v="Mansi"/>
    <s v="Maing Khaung Catholic Church"/>
    <m/>
    <m/>
    <m/>
    <n v="50"/>
    <n v="15"/>
    <m/>
    <n v="15"/>
    <m/>
    <n v="15"/>
    <n v="60"/>
    <m/>
    <m/>
    <m/>
    <m/>
    <m/>
    <m/>
    <m/>
    <n v="0"/>
    <n v="0"/>
    <n v="0"/>
    <n v="0"/>
    <n v="0"/>
    <n v="0"/>
    <n v="0"/>
    <n v="0"/>
    <n v="0"/>
    <n v="0"/>
    <n v="0"/>
    <n v="0"/>
    <n v="0"/>
    <n v="0"/>
    <n v="0"/>
    <n v="0"/>
    <n v="0"/>
    <n v="0"/>
    <s v="MMR001CMP223"/>
    <x v="0"/>
    <x v="1"/>
    <s v="P4"/>
    <n v="3.6102820833734477E-4"/>
    <m/>
  </r>
  <r>
    <n v="33.333333333333336"/>
    <d v="2014-04-07T00:00:00"/>
    <x v="8"/>
    <s v="MRCS"/>
    <s v="Kachin"/>
    <s v="Mansi"/>
    <s v="Maing Khaung Catholic Church"/>
    <m/>
    <m/>
    <m/>
    <m/>
    <m/>
    <m/>
    <m/>
    <m/>
    <m/>
    <m/>
    <m/>
    <m/>
    <m/>
    <n v="158"/>
    <m/>
    <m/>
    <m/>
    <n v="0"/>
    <n v="0"/>
    <n v="0"/>
    <n v="0"/>
    <n v="0"/>
    <n v="0"/>
    <n v="0"/>
    <n v="0"/>
    <n v="0"/>
    <n v="0"/>
    <n v="0"/>
    <n v="0"/>
    <n v="0"/>
    <n v="0"/>
    <n v="1"/>
    <n v="0"/>
    <n v="0"/>
    <n v="0"/>
    <s v="MMR001CMP223"/>
    <x v="0"/>
    <x v="1"/>
    <s v="P4"/>
    <n v="0"/>
    <m/>
  </r>
  <r>
    <n v="35.633333333333333"/>
    <d v="2014-01-28T00:00:00"/>
    <x v="0"/>
    <m/>
    <s v="Kachin"/>
    <s v="Mansi"/>
    <s v="Maing Khaung Catholic Church"/>
    <m/>
    <m/>
    <m/>
    <n v="18"/>
    <n v="10"/>
    <n v="18"/>
    <n v="40"/>
    <m/>
    <n v="10"/>
    <n v="50"/>
    <m/>
    <m/>
    <m/>
    <m/>
    <m/>
    <m/>
    <m/>
    <n v="0"/>
    <n v="0"/>
    <n v="0"/>
    <n v="0"/>
    <n v="0"/>
    <n v="0"/>
    <n v="0"/>
    <n v="0"/>
    <n v="0"/>
    <n v="0"/>
    <n v="0"/>
    <n v="0"/>
    <n v="0"/>
    <n v="0"/>
    <n v="0"/>
    <n v="0"/>
    <n v="0"/>
    <n v="0"/>
    <s v="MMR001CMP223"/>
    <x v="0"/>
    <x v="1"/>
    <s v="P4"/>
    <n v="9.6274188889958602E-4"/>
    <m/>
  </r>
  <r>
    <n v="42.7"/>
    <d v="2013-06-30T00:00:00"/>
    <x v="0"/>
    <m/>
    <s v="Kachin"/>
    <s v="Mansi"/>
    <s v="Maing Khaung Catholic Church"/>
    <m/>
    <m/>
    <m/>
    <n v="50"/>
    <n v="15"/>
    <m/>
    <n v="15"/>
    <m/>
    <n v="15"/>
    <n v="60"/>
    <m/>
    <m/>
    <m/>
    <m/>
    <m/>
    <m/>
    <m/>
    <n v="0"/>
    <n v="0"/>
    <n v="0"/>
    <n v="0"/>
    <n v="0"/>
    <n v="0"/>
    <n v="0"/>
    <n v="0"/>
    <n v="0"/>
    <n v="0"/>
    <n v="0"/>
    <n v="0"/>
    <n v="0"/>
    <n v="0"/>
    <n v="0"/>
    <n v="0"/>
    <n v="0"/>
    <n v="0"/>
    <s v="MMR001CMP223"/>
    <x v="0"/>
    <x v="1"/>
    <s v="P4"/>
    <n v="3.6102820833734477E-4"/>
    <m/>
  </r>
  <r>
    <n v="31.9"/>
    <d v="2014-05-20T00:00:00"/>
    <x v="8"/>
    <s v="MRCS"/>
    <s v="Kachin"/>
    <s v="Myitkyina"/>
    <s v="Maliyang Baptist Church"/>
    <m/>
    <m/>
    <m/>
    <m/>
    <m/>
    <m/>
    <m/>
    <m/>
    <m/>
    <m/>
    <m/>
    <m/>
    <m/>
    <n v="142"/>
    <m/>
    <m/>
    <m/>
    <n v="0"/>
    <n v="0"/>
    <n v="0"/>
    <n v="0"/>
    <n v="0"/>
    <n v="0"/>
    <n v="0"/>
    <n v="0"/>
    <n v="0"/>
    <n v="0"/>
    <n v="0"/>
    <n v="0"/>
    <n v="0"/>
    <n v="0"/>
    <n v="1"/>
    <n v="0"/>
    <n v="0"/>
    <n v="0"/>
    <s v="MMR001CMP016"/>
    <x v="0"/>
    <x v="1"/>
    <s v="P4"/>
    <n v="0"/>
    <m/>
  </r>
  <r>
    <n v="41.43333333333333"/>
    <d v="2013-08-07T00:00:00"/>
    <x v="0"/>
    <s v="UNHCR"/>
    <s v="Kachin"/>
    <s v="Myitkyina"/>
    <s v="Maliyang Baptist Church"/>
    <m/>
    <m/>
    <n v="15"/>
    <n v="25"/>
    <n v="11"/>
    <n v="25"/>
    <n v="11"/>
    <n v="11"/>
    <n v="11"/>
    <n v="11"/>
    <m/>
    <m/>
    <m/>
    <m/>
    <m/>
    <m/>
    <m/>
    <n v="0"/>
    <n v="0"/>
    <n v="0"/>
    <n v="0"/>
    <n v="0"/>
    <n v="0"/>
    <n v="0"/>
    <n v="0"/>
    <n v="0"/>
    <n v="0"/>
    <n v="0"/>
    <n v="0"/>
    <n v="0"/>
    <n v="0"/>
    <n v="0"/>
    <n v="0"/>
    <n v="0"/>
    <n v="0"/>
    <s v="MMR001CMP016"/>
    <x v="0"/>
    <x v="1"/>
    <s v="P4"/>
    <n v="2.6989891058985181E-4"/>
    <s v="No"/>
  </r>
  <r>
    <n v="37.233333333333334"/>
    <d v="2013-12-11T00:00:00"/>
    <x v="7"/>
    <s v="WPN"/>
    <s v="Kachin"/>
    <s v="Mansi"/>
    <s v="Lung Kawk  ( Hka Hkye Zup)"/>
    <m/>
    <m/>
    <m/>
    <m/>
    <m/>
    <n v="38"/>
    <m/>
    <m/>
    <m/>
    <m/>
    <m/>
    <m/>
    <m/>
    <m/>
    <m/>
    <m/>
    <m/>
    <n v="0"/>
    <n v="0"/>
    <n v="0"/>
    <n v="0"/>
    <n v="0"/>
    <n v="0"/>
    <n v="0"/>
    <n v="0"/>
    <n v="0"/>
    <n v="0"/>
    <n v="0"/>
    <n v="0"/>
    <n v="0"/>
    <n v="0"/>
    <n v="0"/>
    <n v="0"/>
    <n v="0"/>
    <n v="0"/>
    <s v="MMR001CMP135"/>
    <x v="0"/>
    <x v="0"/>
    <s v="P2"/>
    <n v="0"/>
    <s v="No"/>
  </r>
  <r>
    <n v="52.93333333333333"/>
    <d v="2012-08-27T00:00:00"/>
    <x v="0"/>
    <s v="UNHCR"/>
    <s v="Kachin"/>
    <s v="Myitkyina"/>
    <s v="Maliyang Baptist Church"/>
    <m/>
    <m/>
    <m/>
    <n v="2"/>
    <n v="1"/>
    <n v="2"/>
    <n v="1"/>
    <n v="1"/>
    <n v="1"/>
    <n v="1"/>
    <m/>
    <m/>
    <m/>
    <m/>
    <m/>
    <m/>
    <m/>
    <n v="0"/>
    <n v="0"/>
    <n v="0"/>
    <n v="0"/>
    <n v="0"/>
    <n v="0"/>
    <n v="0"/>
    <n v="0"/>
    <n v="0"/>
    <n v="0"/>
    <n v="0"/>
    <n v="0"/>
    <n v="0"/>
    <n v="0"/>
    <n v="0"/>
    <n v="0"/>
    <n v="0"/>
    <n v="0"/>
    <s v="MMR001CMP016"/>
    <x v="0"/>
    <x v="1"/>
    <s v="P4"/>
    <n v="2.4536264599077437E-5"/>
    <s v="No"/>
  </r>
  <r>
    <n v="53.533333333333331"/>
    <d v="2012-08-09T00:00:00"/>
    <x v="0"/>
    <s v="UNHCR"/>
    <s v="Kachin"/>
    <s v="Myitkyina"/>
    <s v="Maliyang Baptist Church"/>
    <m/>
    <m/>
    <m/>
    <n v="2"/>
    <n v="1"/>
    <n v="2"/>
    <n v="1"/>
    <n v="1"/>
    <n v="1"/>
    <n v="1"/>
    <m/>
    <m/>
    <m/>
    <m/>
    <m/>
    <m/>
    <m/>
    <n v="0"/>
    <n v="0"/>
    <n v="0"/>
    <n v="0"/>
    <n v="0"/>
    <n v="0"/>
    <n v="0"/>
    <n v="0"/>
    <n v="0"/>
    <n v="0"/>
    <n v="0"/>
    <n v="0"/>
    <n v="0"/>
    <n v="0"/>
    <n v="0"/>
    <n v="0"/>
    <n v="0"/>
    <n v="0"/>
    <s v="MMR001CMP016"/>
    <x v="0"/>
    <x v="1"/>
    <s v="P4"/>
    <n v="2.4536264599077437E-5"/>
    <s v="No"/>
  </r>
  <r>
    <n v="54.1"/>
    <d v="2012-07-23T00:00:00"/>
    <x v="0"/>
    <s v="UNHCR"/>
    <s v="Kachin"/>
    <s v="Myitkyina"/>
    <s v="Maliyang Baptist Church"/>
    <m/>
    <m/>
    <m/>
    <n v="72"/>
    <n v="39"/>
    <n v="72"/>
    <n v="39"/>
    <n v="39"/>
    <n v="39"/>
    <n v="39"/>
    <m/>
    <m/>
    <m/>
    <m/>
    <m/>
    <m/>
    <m/>
    <n v="0"/>
    <n v="0"/>
    <n v="0"/>
    <n v="0"/>
    <n v="0"/>
    <n v="0"/>
    <n v="0"/>
    <n v="0"/>
    <n v="0"/>
    <n v="0"/>
    <n v="0"/>
    <n v="0"/>
    <n v="0"/>
    <n v="0"/>
    <n v="0"/>
    <n v="0"/>
    <n v="0"/>
    <n v="0"/>
    <s v="MMR001CMP016"/>
    <x v="0"/>
    <x v="1"/>
    <s v="P4"/>
    <n v="9.5691431936402005E-4"/>
    <s v="No"/>
  </r>
  <r>
    <n v="54.333333333333336"/>
    <d v="2012-07-16T00:00:00"/>
    <x v="0"/>
    <s v="UNHCR"/>
    <s v="Kachin"/>
    <s v="Myitkyina"/>
    <s v="Maliyang Baptist Church"/>
    <m/>
    <m/>
    <m/>
    <n v="3"/>
    <n v="3"/>
    <n v="3"/>
    <n v="3"/>
    <n v="3"/>
    <n v="3"/>
    <n v="3"/>
    <m/>
    <m/>
    <m/>
    <m/>
    <m/>
    <m/>
    <m/>
    <n v="0"/>
    <n v="0"/>
    <n v="0"/>
    <n v="0"/>
    <n v="0"/>
    <n v="0"/>
    <n v="0"/>
    <n v="0"/>
    <n v="0"/>
    <n v="0"/>
    <n v="0"/>
    <n v="0"/>
    <n v="0"/>
    <n v="0"/>
    <n v="0"/>
    <n v="0"/>
    <n v="0"/>
    <n v="0"/>
    <s v="MMR001CMP016"/>
    <x v="0"/>
    <x v="1"/>
    <s v="P4"/>
    <n v="7.3608793797232309E-5"/>
    <s v="No"/>
  </r>
  <r>
    <n v="62.5"/>
    <d v="2011-11-14T00:00:00"/>
    <x v="0"/>
    <s v="KBC"/>
    <s v="Kachin"/>
    <s v="Myitkyina"/>
    <s v="Maliyang Baptist Church"/>
    <m/>
    <m/>
    <m/>
    <n v="57"/>
    <n v="30"/>
    <n v="57"/>
    <n v="30"/>
    <n v="30"/>
    <n v="30"/>
    <n v="30"/>
    <m/>
    <m/>
    <m/>
    <m/>
    <m/>
    <m/>
    <m/>
    <n v="0"/>
    <n v="0"/>
    <n v="0"/>
    <n v="0"/>
    <n v="0"/>
    <n v="0"/>
    <n v="0"/>
    <n v="0"/>
    <n v="0"/>
    <n v="0"/>
    <n v="0"/>
    <n v="0"/>
    <n v="0"/>
    <n v="0"/>
    <n v="0"/>
    <n v="0"/>
    <n v="0"/>
    <n v="0"/>
    <s v="MMR001CMP016"/>
    <x v="0"/>
    <x v="1"/>
    <s v="P4"/>
    <n v="7.3608793797232315E-4"/>
    <s v="No"/>
  </r>
  <r>
    <n v="19.966666666666665"/>
    <d v="2015-05-13T00:00:00"/>
    <x v="0"/>
    <s v="KMSS-BMO"/>
    <s v="Kachin"/>
    <s v="Momauk"/>
    <s v="Man Bung Catholic compound"/>
    <m/>
    <m/>
    <m/>
    <m/>
    <m/>
    <n v="28"/>
    <m/>
    <m/>
    <m/>
    <m/>
    <m/>
    <m/>
    <m/>
    <m/>
    <m/>
    <m/>
    <m/>
    <n v="0"/>
    <n v="0"/>
    <n v="0"/>
    <n v="0"/>
    <n v="0"/>
    <n v="0"/>
    <n v="0"/>
    <n v="0"/>
    <n v="0"/>
    <n v="0"/>
    <n v="0"/>
    <n v="0"/>
    <n v="0"/>
    <n v="0"/>
    <n v="0"/>
    <n v="0"/>
    <n v="0"/>
    <n v="0"/>
    <s v="MMR001CMP062"/>
    <x v="0"/>
    <x v="1"/>
    <s v="P4"/>
    <n v="0"/>
    <s v="No"/>
  </r>
  <r>
    <n v="27.066666666666666"/>
    <d v="2014-10-12T00:00:00"/>
    <x v="0"/>
    <m/>
    <s v="Kachin"/>
    <s v="Momauk"/>
    <s v="Man Bung Catholic compound"/>
    <m/>
    <m/>
    <m/>
    <m/>
    <n v="25"/>
    <m/>
    <m/>
    <m/>
    <m/>
    <m/>
    <m/>
    <m/>
    <m/>
    <m/>
    <m/>
    <m/>
    <m/>
    <n v="0"/>
    <n v="0"/>
    <n v="0"/>
    <n v="0"/>
    <n v="0"/>
    <n v="0"/>
    <n v="0"/>
    <n v="0"/>
    <n v="0"/>
    <n v="0"/>
    <n v="0"/>
    <n v="0"/>
    <n v="0"/>
    <n v="0"/>
    <n v="0"/>
    <n v="0"/>
    <n v="0"/>
    <n v="0"/>
    <s v="MMR001CMP062"/>
    <x v="0"/>
    <x v="1"/>
    <s v="P4"/>
    <n v="0"/>
    <m/>
  </r>
  <r>
    <n v="37.6"/>
    <d v="2013-11-30T00:00:00"/>
    <x v="4"/>
    <m/>
    <s v="Kachin"/>
    <s v="Momauk"/>
    <s v="Man Bung Catholic compound"/>
    <m/>
    <m/>
    <m/>
    <m/>
    <m/>
    <m/>
    <m/>
    <m/>
    <m/>
    <n v="141"/>
    <m/>
    <m/>
    <m/>
    <m/>
    <m/>
    <m/>
    <m/>
    <n v="0"/>
    <n v="0"/>
    <n v="0"/>
    <n v="0"/>
    <n v="0"/>
    <n v="0"/>
    <n v="0"/>
    <n v="0"/>
    <n v="0"/>
    <n v="0"/>
    <n v="0"/>
    <n v="0"/>
    <n v="0"/>
    <n v="0"/>
    <n v="0"/>
    <n v="0"/>
    <n v="0"/>
    <n v="0"/>
    <s v="MMR001CMP062"/>
    <x v="0"/>
    <x v="1"/>
    <s v="P4"/>
    <n v="0"/>
    <s v="No"/>
  </r>
  <r>
    <n v="47.93333333333333"/>
    <d v="2013-01-24T00:00:00"/>
    <x v="4"/>
    <s v="Solidarities"/>
    <s v="Kachin"/>
    <s v="Momauk"/>
    <s v="Man Bung Catholic compound"/>
    <n v="200"/>
    <m/>
    <m/>
    <m/>
    <m/>
    <m/>
    <m/>
    <m/>
    <n v="0"/>
    <n v="0"/>
    <m/>
    <m/>
    <m/>
    <m/>
    <m/>
    <m/>
    <m/>
    <n v="0"/>
    <n v="0"/>
    <n v="0"/>
    <n v="0"/>
    <n v="0"/>
    <n v="0"/>
    <n v="0"/>
    <n v="0"/>
    <n v="0"/>
    <n v="0"/>
    <n v="0"/>
    <n v="0"/>
    <n v="0"/>
    <n v="0"/>
    <n v="0"/>
    <n v="0"/>
    <n v="0"/>
    <n v="0"/>
    <s v="MMR001CMP062"/>
    <x v="0"/>
    <x v="1"/>
    <s v="P4"/>
    <n v="0"/>
    <s v="No"/>
  </r>
  <r>
    <n v="52.233333333333334"/>
    <d v="2012-09-17T00:00:00"/>
    <x v="0"/>
    <s v="UNHCR"/>
    <s v="Kachin"/>
    <s v="Momauk"/>
    <s v="Man Bung Catholic compound"/>
    <m/>
    <m/>
    <m/>
    <n v="86"/>
    <n v="43"/>
    <n v="86"/>
    <n v="43"/>
    <n v="43"/>
    <n v="43"/>
    <n v="43"/>
    <m/>
    <m/>
    <m/>
    <m/>
    <m/>
    <m/>
    <m/>
    <n v="0"/>
    <n v="0"/>
    <n v="0"/>
    <n v="0"/>
    <n v="0"/>
    <n v="0"/>
    <n v="0"/>
    <n v="0"/>
    <n v="0"/>
    <n v="0"/>
    <n v="0"/>
    <n v="0"/>
    <n v="0"/>
    <n v="0"/>
    <n v="0"/>
    <n v="0"/>
    <n v="0"/>
    <n v="0"/>
    <s v="MMR001CMP062"/>
    <x v="0"/>
    <x v="1"/>
    <s v="P4"/>
    <n v="1.0480136485498416E-3"/>
    <s v="No"/>
  </r>
  <r>
    <n v="59.4"/>
    <d v="2012-02-15T00:00:00"/>
    <x v="4"/>
    <s v="Solidarities"/>
    <s v="Kachin"/>
    <s v="Momauk"/>
    <s v="Man Bung Catholic compound"/>
    <n v="8"/>
    <m/>
    <m/>
    <m/>
    <m/>
    <m/>
    <m/>
    <m/>
    <m/>
    <m/>
    <m/>
    <m/>
    <m/>
    <m/>
    <m/>
    <m/>
    <m/>
    <n v="0"/>
    <n v="0"/>
    <n v="0"/>
    <n v="0"/>
    <n v="0"/>
    <n v="0"/>
    <n v="0"/>
    <n v="0"/>
    <n v="0"/>
    <n v="0"/>
    <n v="0"/>
    <n v="0"/>
    <n v="0"/>
    <n v="0"/>
    <n v="0"/>
    <n v="0"/>
    <n v="0"/>
    <n v="0"/>
    <s v="MMR001CMP062"/>
    <x v="0"/>
    <x v="1"/>
    <s v="P4"/>
    <n v="0"/>
    <m/>
  </r>
  <r>
    <n v="4.5333333333333332"/>
    <d v="2016-08-18T00:00:00"/>
    <x v="12"/>
    <s v="KBC"/>
    <s v="Kachin"/>
    <s v="Myitkyina"/>
    <s v="Man Hkring Baptist Church"/>
    <m/>
    <m/>
    <m/>
    <m/>
    <n v="29"/>
    <m/>
    <m/>
    <m/>
    <m/>
    <m/>
    <m/>
    <m/>
    <m/>
    <m/>
    <m/>
    <m/>
    <m/>
    <n v="0"/>
    <n v="0"/>
    <n v="0"/>
    <n v="0"/>
    <n v="29"/>
    <n v="0"/>
    <n v="0"/>
    <n v="0"/>
    <n v="0"/>
    <n v="0"/>
    <n v="0"/>
    <n v="0"/>
    <n v="0"/>
    <n v="0"/>
    <n v="0"/>
    <n v="0"/>
    <n v="0"/>
    <n v="0"/>
    <s v="MMR001CMP008"/>
    <x v="0"/>
    <x v="1"/>
    <s v="P4"/>
    <n v="0"/>
    <m/>
  </r>
  <r>
    <n v="12.766666666666667"/>
    <d v="2015-12-15T00:00:00"/>
    <x v="0"/>
    <s v="KBC"/>
    <s v="Kachin"/>
    <s v="Myitkyina"/>
    <s v="Man Hkring Baptist Church"/>
    <m/>
    <m/>
    <m/>
    <n v="7"/>
    <n v="7"/>
    <m/>
    <n v="7"/>
    <m/>
    <n v="7"/>
    <n v="27"/>
    <m/>
    <m/>
    <m/>
    <n v="27"/>
    <n v="7"/>
    <m/>
    <m/>
    <n v="0"/>
    <n v="0"/>
    <n v="0"/>
    <n v="0"/>
    <n v="0"/>
    <n v="0"/>
    <n v="0"/>
    <n v="0"/>
    <n v="0"/>
    <n v="0"/>
    <n v="0"/>
    <n v="0"/>
    <n v="0"/>
    <n v="0"/>
    <n v="1"/>
    <n v="0"/>
    <n v="0"/>
    <n v="0"/>
    <s v="MMR001CMP008"/>
    <x v="0"/>
    <x v="1"/>
    <s v="P4"/>
    <n v="1.7188459177409454E-4"/>
    <s v="No"/>
  </r>
  <r>
    <n v="32.166666666666664"/>
    <d v="2014-05-12T00:00:00"/>
    <x v="8"/>
    <s v="MRCS"/>
    <s v="Kachin"/>
    <s v="Myitkyina"/>
    <s v="Man Hkring Baptist Church"/>
    <m/>
    <m/>
    <m/>
    <m/>
    <m/>
    <m/>
    <m/>
    <m/>
    <m/>
    <m/>
    <m/>
    <m/>
    <m/>
    <n v="184"/>
    <m/>
    <m/>
    <m/>
    <n v="0"/>
    <n v="0"/>
    <n v="0"/>
    <n v="0"/>
    <n v="0"/>
    <n v="0"/>
    <n v="0"/>
    <n v="0"/>
    <n v="0"/>
    <n v="0"/>
    <n v="0"/>
    <n v="0"/>
    <n v="0"/>
    <n v="0"/>
    <n v="1"/>
    <n v="0"/>
    <n v="0"/>
    <n v="0"/>
    <s v="MMR001CMP008"/>
    <x v="0"/>
    <x v="1"/>
    <s v="P4"/>
    <n v="0"/>
    <m/>
  </r>
  <r>
    <n v="37.6"/>
    <d v="2013-11-30T00:00:00"/>
    <x v="4"/>
    <m/>
    <s v="Kachin"/>
    <s v="Bhamo"/>
    <s v="Aung Thar Church"/>
    <m/>
    <m/>
    <m/>
    <m/>
    <m/>
    <m/>
    <m/>
    <m/>
    <m/>
    <m/>
    <m/>
    <m/>
    <m/>
    <m/>
    <m/>
    <m/>
    <m/>
    <n v="0"/>
    <n v="0"/>
    <n v="0"/>
    <n v="0"/>
    <n v="0"/>
    <n v="0"/>
    <n v="0"/>
    <n v="0"/>
    <n v="0"/>
    <n v="0"/>
    <n v="0"/>
    <n v="0"/>
    <n v="0"/>
    <n v="0"/>
    <n v="0"/>
    <n v="0"/>
    <n v="0"/>
    <n v="0"/>
    <s v="MMR001CMP194"/>
    <x v="0"/>
    <x v="0"/>
    <s v="P4"/>
    <n v="0"/>
    <s v="No"/>
  </r>
  <r>
    <n v="61.6"/>
    <d v="2011-12-11T00:00:00"/>
    <x v="0"/>
    <s v="KBC"/>
    <s v="Kachin"/>
    <s v="Myitkyina"/>
    <s v="Man Hkring Baptist Church"/>
    <m/>
    <m/>
    <m/>
    <n v="6"/>
    <n v="4"/>
    <n v="6"/>
    <n v="4"/>
    <n v="4"/>
    <n v="4"/>
    <n v="4"/>
    <m/>
    <m/>
    <m/>
    <m/>
    <m/>
    <m/>
    <m/>
    <n v="0"/>
    <n v="0"/>
    <n v="0"/>
    <n v="0"/>
    <n v="0"/>
    <n v="0"/>
    <n v="0"/>
    <n v="0"/>
    <n v="0"/>
    <n v="0"/>
    <n v="0"/>
    <n v="0"/>
    <n v="0"/>
    <n v="0"/>
    <n v="0"/>
    <n v="0"/>
    <n v="0"/>
    <n v="0"/>
    <s v="MMR001CMP008"/>
    <x v="0"/>
    <x v="1"/>
    <s v="P4"/>
    <n v="9.8219766728054015E-5"/>
    <s v="No"/>
  </r>
  <r>
    <n v="62.9"/>
    <d v="2011-11-02T00:00:00"/>
    <x v="0"/>
    <s v="KBC"/>
    <s v="Kachin"/>
    <s v="Myitkyina"/>
    <s v="Man Hkring Baptist Church"/>
    <m/>
    <m/>
    <m/>
    <n v="112"/>
    <n v="68"/>
    <n v="112"/>
    <n v="68"/>
    <n v="68"/>
    <n v="68"/>
    <n v="68"/>
    <m/>
    <m/>
    <m/>
    <m/>
    <m/>
    <m/>
    <m/>
    <n v="0"/>
    <n v="0"/>
    <n v="0"/>
    <n v="0"/>
    <n v="0"/>
    <n v="0"/>
    <n v="0"/>
    <n v="0"/>
    <n v="0"/>
    <n v="0"/>
    <n v="0"/>
    <n v="0"/>
    <n v="0"/>
    <n v="0"/>
    <n v="0"/>
    <n v="0"/>
    <n v="0"/>
    <n v="0"/>
    <s v="MMR001CMP008"/>
    <x v="0"/>
    <x v="1"/>
    <s v="P4"/>
    <n v="1.6697360343769184E-3"/>
    <s v="No"/>
  </r>
  <r>
    <n v="4.7333333333333334"/>
    <d v="2016-08-12T00:00:00"/>
    <x v="13"/>
    <s v="Relief International"/>
    <s v="Shan_North"/>
    <s v="Hsipaw"/>
    <s v="Man Kaung/Naung Ti Kyar Village"/>
    <m/>
    <m/>
    <m/>
    <m/>
    <n v="38"/>
    <m/>
    <m/>
    <m/>
    <m/>
    <m/>
    <m/>
    <m/>
    <m/>
    <m/>
    <m/>
    <m/>
    <m/>
    <n v="0"/>
    <n v="0"/>
    <n v="0"/>
    <n v="0"/>
    <n v="38"/>
    <n v="0"/>
    <n v="0"/>
    <n v="0"/>
    <n v="0"/>
    <n v="0"/>
    <n v="0"/>
    <n v="0"/>
    <n v="0"/>
    <n v="0"/>
    <n v="0"/>
    <n v="0"/>
    <n v="0"/>
    <n v="0"/>
    <s v="MMR015CMP244"/>
    <x v="0"/>
    <x v="1"/>
    <n v="0"/>
    <s v=""/>
    <m/>
  </r>
  <r>
    <n v="32.9"/>
    <d v="2014-04-20T00:00:00"/>
    <x v="0"/>
    <m/>
    <s v="Kachin"/>
    <s v="Mansi"/>
    <s v="Man Wing Baptist Church"/>
    <m/>
    <m/>
    <m/>
    <n v="220"/>
    <n v="110"/>
    <n v="1000"/>
    <n v="110"/>
    <m/>
    <n v="110"/>
    <n v="550"/>
    <m/>
    <m/>
    <m/>
    <m/>
    <m/>
    <m/>
    <m/>
    <n v="0"/>
    <n v="0"/>
    <n v="0"/>
    <n v="0"/>
    <n v="0"/>
    <n v="0"/>
    <n v="0"/>
    <n v="0"/>
    <n v="0"/>
    <n v="0"/>
    <n v="0"/>
    <n v="0"/>
    <n v="0"/>
    <n v="0"/>
    <n v="0"/>
    <n v="0"/>
    <n v="0"/>
    <n v="0"/>
    <s v="MMR001CMP133"/>
    <x v="0"/>
    <x v="1"/>
    <s v="P4"/>
    <n v="2.6868588177821201E-3"/>
    <m/>
  </r>
  <r>
    <n v="37.6"/>
    <d v="2013-11-30T00:00:00"/>
    <x v="5"/>
    <s v="MDCG"/>
    <s v="Kachin"/>
    <s v="Mansi"/>
    <s v="Man Wing Baptist Church"/>
    <m/>
    <m/>
    <m/>
    <m/>
    <m/>
    <n v="347"/>
    <m/>
    <m/>
    <m/>
    <m/>
    <n v="386"/>
    <n v="234"/>
    <n v="0"/>
    <m/>
    <m/>
    <m/>
    <m/>
    <n v="0"/>
    <n v="0"/>
    <n v="0"/>
    <n v="0"/>
    <n v="0"/>
    <n v="0"/>
    <n v="0"/>
    <n v="0"/>
    <n v="0"/>
    <n v="0"/>
    <n v="0"/>
    <n v="0"/>
    <n v="0"/>
    <n v="0"/>
    <n v="1"/>
    <n v="0"/>
    <n v="0"/>
    <n v="0"/>
    <s v="MMR001CMP133"/>
    <x v="0"/>
    <x v="1"/>
    <s v="P4"/>
    <n v="0"/>
    <s v="No"/>
  </r>
  <r>
    <n v="37.6"/>
    <d v="2013-11-30T00:00:00"/>
    <x v="4"/>
    <m/>
    <s v="Kachin"/>
    <s v="Mansi"/>
    <s v="Man Wing Baptist Church"/>
    <m/>
    <m/>
    <m/>
    <m/>
    <m/>
    <m/>
    <m/>
    <m/>
    <m/>
    <n v="444"/>
    <m/>
    <m/>
    <m/>
    <m/>
    <m/>
    <m/>
    <m/>
    <n v="0"/>
    <n v="0"/>
    <n v="0"/>
    <n v="0"/>
    <n v="0"/>
    <n v="0"/>
    <n v="0"/>
    <n v="0"/>
    <n v="0"/>
    <n v="0"/>
    <n v="0"/>
    <n v="0"/>
    <n v="0"/>
    <n v="0"/>
    <n v="0"/>
    <n v="0"/>
    <n v="0"/>
    <n v="0"/>
    <s v="MMR001CMP133"/>
    <x v="0"/>
    <x v="1"/>
    <s v="P4"/>
    <n v="0"/>
    <s v="No"/>
  </r>
  <r>
    <n v="37.766666666666666"/>
    <d v="2013-11-25T00:00:00"/>
    <x v="4"/>
    <s v="Solidarities"/>
    <s v="Kachin"/>
    <s v="Mansi"/>
    <s v="Man Wing Baptist Church"/>
    <m/>
    <m/>
    <m/>
    <m/>
    <m/>
    <m/>
    <m/>
    <m/>
    <m/>
    <m/>
    <m/>
    <m/>
    <m/>
    <m/>
    <m/>
    <m/>
    <m/>
    <n v="0"/>
    <n v="0"/>
    <n v="0"/>
    <n v="0"/>
    <n v="0"/>
    <n v="0"/>
    <n v="0"/>
    <n v="0"/>
    <n v="0"/>
    <n v="0"/>
    <n v="0"/>
    <n v="0"/>
    <n v="0"/>
    <n v="0"/>
    <n v="0"/>
    <n v="0"/>
    <n v="0"/>
    <n v="0"/>
    <s v="MMR001CMP133"/>
    <x v="0"/>
    <x v="1"/>
    <s v="P4"/>
    <n v="0"/>
    <m/>
  </r>
  <r>
    <n v="37.766666666666666"/>
    <d v="2013-11-25T00:00:00"/>
    <x v="4"/>
    <s v="Solidarities"/>
    <s v="Kachin"/>
    <s v="Mansi"/>
    <s v="Man Wing Baptist Church"/>
    <m/>
    <m/>
    <m/>
    <m/>
    <m/>
    <m/>
    <m/>
    <m/>
    <m/>
    <m/>
    <n v="19"/>
    <n v="38"/>
    <n v="114"/>
    <n v="57"/>
    <m/>
    <m/>
    <m/>
    <n v="0"/>
    <n v="0"/>
    <n v="0"/>
    <n v="0"/>
    <n v="0"/>
    <n v="0"/>
    <n v="0"/>
    <n v="0"/>
    <n v="0"/>
    <n v="0"/>
    <n v="0"/>
    <n v="0"/>
    <n v="0"/>
    <n v="0"/>
    <n v="1"/>
    <n v="0"/>
    <n v="0"/>
    <n v="0"/>
    <s v="MMR001CMP133"/>
    <x v="0"/>
    <x v="1"/>
    <s v="P4"/>
    <n v="0"/>
    <m/>
  </r>
  <r>
    <n v="38.133333333333333"/>
    <d v="2013-11-14T00:00:00"/>
    <x v="3"/>
    <m/>
    <s v="Kachin"/>
    <s v="Mansi"/>
    <s v="Man Wing Baptist Church"/>
    <m/>
    <m/>
    <m/>
    <m/>
    <m/>
    <m/>
    <m/>
    <m/>
    <m/>
    <m/>
    <m/>
    <n v="32"/>
    <m/>
    <m/>
    <m/>
    <m/>
    <m/>
    <n v="0"/>
    <n v="0"/>
    <n v="0"/>
    <n v="0"/>
    <n v="0"/>
    <n v="0"/>
    <n v="0"/>
    <n v="0"/>
    <n v="0"/>
    <n v="0"/>
    <n v="0"/>
    <n v="0"/>
    <n v="0"/>
    <n v="0"/>
    <n v="1"/>
    <n v="0"/>
    <n v="0"/>
    <n v="0"/>
    <s v="MMR001CMP133"/>
    <x v="0"/>
    <x v="1"/>
    <s v="P4"/>
    <n v="0"/>
    <s v="No"/>
  </r>
  <r>
    <n v="38.166666666666664"/>
    <d v="2013-11-13T00:00:00"/>
    <x v="4"/>
    <s v="Solidarities"/>
    <s v="Kachin"/>
    <s v="Mansi"/>
    <s v="Man Wing Baptist Church"/>
    <m/>
    <m/>
    <m/>
    <m/>
    <m/>
    <m/>
    <m/>
    <m/>
    <m/>
    <m/>
    <m/>
    <n v="160"/>
    <n v="320"/>
    <n v="160"/>
    <m/>
    <m/>
    <m/>
    <n v="0"/>
    <n v="0"/>
    <n v="0"/>
    <n v="0"/>
    <n v="0"/>
    <n v="0"/>
    <n v="0"/>
    <n v="0"/>
    <n v="0"/>
    <n v="0"/>
    <n v="0"/>
    <n v="0"/>
    <n v="0"/>
    <n v="0"/>
    <n v="1"/>
    <n v="0"/>
    <n v="0"/>
    <n v="0"/>
    <s v="MMR001CMP133"/>
    <x v="0"/>
    <x v="1"/>
    <s v="P4"/>
    <n v="0"/>
    <m/>
  </r>
  <r>
    <n v="46.8"/>
    <d v="2013-02-27T00:00:00"/>
    <x v="4"/>
    <s v="Solidarities"/>
    <s v="Kachin"/>
    <s v="Mansi"/>
    <s v="Man Wing Baptist Church"/>
    <n v="595"/>
    <m/>
    <m/>
    <m/>
    <m/>
    <m/>
    <m/>
    <m/>
    <n v="0"/>
    <n v="0"/>
    <m/>
    <m/>
    <m/>
    <m/>
    <m/>
    <m/>
    <m/>
    <n v="0"/>
    <n v="0"/>
    <n v="0"/>
    <n v="0"/>
    <n v="0"/>
    <n v="0"/>
    <n v="0"/>
    <n v="0"/>
    <n v="0"/>
    <n v="0"/>
    <n v="0"/>
    <n v="0"/>
    <n v="0"/>
    <n v="0"/>
    <n v="0"/>
    <n v="0"/>
    <n v="0"/>
    <n v="0"/>
    <s v="MMR001CMP133"/>
    <x v="0"/>
    <x v="1"/>
    <s v="P4"/>
    <n v="0"/>
    <s v="No"/>
  </r>
  <r>
    <n v="47.1"/>
    <d v="2013-02-18T00:00:00"/>
    <x v="0"/>
    <s v="KBC"/>
    <s v="Kachin"/>
    <s v="Mansi"/>
    <s v="Man Wing Baptist Church"/>
    <m/>
    <m/>
    <n v="221"/>
    <n v="221"/>
    <n v="110"/>
    <n v="221"/>
    <n v="110"/>
    <n v="110"/>
    <n v="110"/>
    <n v="110"/>
    <m/>
    <m/>
    <m/>
    <m/>
    <m/>
    <m/>
    <m/>
    <n v="0"/>
    <n v="0"/>
    <n v="0"/>
    <n v="0"/>
    <n v="0"/>
    <n v="0"/>
    <n v="0"/>
    <n v="0"/>
    <n v="0"/>
    <n v="0"/>
    <n v="0"/>
    <n v="0"/>
    <n v="0"/>
    <n v="0"/>
    <n v="0"/>
    <n v="0"/>
    <n v="0"/>
    <n v="0"/>
    <s v="MMR001CMP133"/>
    <x v="0"/>
    <x v="1"/>
    <s v="P4"/>
    <n v="2.6868588177821201E-3"/>
    <s v="No"/>
  </r>
  <r>
    <n v="37.6"/>
    <d v="2013-11-30T00:00:00"/>
    <x v="5"/>
    <s v="MDCG"/>
    <s v="Kachin"/>
    <s v="Mansi"/>
    <s v="Lagatyan "/>
    <m/>
    <m/>
    <m/>
    <m/>
    <m/>
    <n v="447"/>
    <m/>
    <m/>
    <m/>
    <m/>
    <n v="398"/>
    <n v="390"/>
    <n v="0"/>
    <m/>
    <m/>
    <m/>
    <m/>
    <n v="0"/>
    <n v="0"/>
    <n v="0"/>
    <n v="0"/>
    <n v="0"/>
    <n v="0"/>
    <n v="0"/>
    <n v="0"/>
    <n v="0"/>
    <n v="0"/>
    <n v="0"/>
    <n v="0"/>
    <n v="0"/>
    <n v="0"/>
    <n v="1"/>
    <n v="0"/>
    <n v="0"/>
    <n v="0"/>
    <s v="MMR001CMP202"/>
    <x v="0"/>
    <x v="0"/>
    <s v="P4"/>
    <n v="0"/>
    <s v="No"/>
  </r>
  <r>
    <n v="37.6"/>
    <d v="2013-11-30T00:00:00"/>
    <x v="4"/>
    <m/>
    <s v="Kachin"/>
    <s v="Mansi"/>
    <s v="Lagatyan "/>
    <m/>
    <m/>
    <m/>
    <m/>
    <m/>
    <m/>
    <m/>
    <m/>
    <m/>
    <m/>
    <m/>
    <m/>
    <m/>
    <m/>
    <m/>
    <m/>
    <m/>
    <n v="0"/>
    <n v="0"/>
    <n v="0"/>
    <n v="0"/>
    <n v="0"/>
    <n v="0"/>
    <n v="0"/>
    <n v="0"/>
    <n v="0"/>
    <n v="0"/>
    <n v="0"/>
    <n v="0"/>
    <n v="0"/>
    <n v="0"/>
    <n v="0"/>
    <n v="0"/>
    <n v="0"/>
    <n v="0"/>
    <s v="MMR001CMP202"/>
    <x v="0"/>
    <x v="0"/>
    <s v="P4"/>
    <n v="0"/>
    <s v="No"/>
  </r>
  <r>
    <n v="37.6"/>
    <d v="2013-11-30T00:00:00"/>
    <x v="4"/>
    <s v="KBC"/>
    <s v="Kachin"/>
    <s v="Waingmaw"/>
    <s v="Laiza Market 3 - Laiza Gat"/>
    <m/>
    <m/>
    <m/>
    <m/>
    <m/>
    <m/>
    <m/>
    <m/>
    <m/>
    <n v="729"/>
    <m/>
    <m/>
    <m/>
    <m/>
    <m/>
    <m/>
    <m/>
    <n v="0"/>
    <n v="0"/>
    <n v="0"/>
    <n v="0"/>
    <n v="0"/>
    <n v="0"/>
    <n v="0"/>
    <n v="0"/>
    <n v="0"/>
    <n v="0"/>
    <n v="0"/>
    <n v="0"/>
    <n v="0"/>
    <n v="0"/>
    <n v="0"/>
    <n v="0"/>
    <n v="0"/>
    <n v="0"/>
    <s v="MMR001CMP117"/>
    <x v="0"/>
    <x v="0"/>
    <s v="P2"/>
    <n v="0"/>
    <s v="No"/>
  </r>
  <r>
    <n v="54.3"/>
    <d v="2012-07-17T00:00:00"/>
    <x v="0"/>
    <s v="UNHCR"/>
    <s v="Kachin"/>
    <s v="Mansi"/>
    <s v="Man Wing Baptist Church"/>
    <m/>
    <m/>
    <m/>
    <n v="0"/>
    <n v="0"/>
    <n v="0"/>
    <n v="0"/>
    <n v="0"/>
    <m/>
    <m/>
    <m/>
    <m/>
    <m/>
    <m/>
    <m/>
    <m/>
    <m/>
    <n v="0"/>
    <n v="0"/>
    <n v="0"/>
    <n v="0"/>
    <n v="0"/>
    <n v="0"/>
    <n v="0"/>
    <n v="0"/>
    <n v="0"/>
    <n v="0"/>
    <n v="0"/>
    <n v="0"/>
    <n v="0"/>
    <n v="0"/>
    <n v="0"/>
    <n v="0"/>
    <n v="0"/>
    <n v="0"/>
    <s v="MMR001CMP133"/>
    <x v="0"/>
    <x v="1"/>
    <s v="P4"/>
    <n v="0"/>
    <s v="No"/>
  </r>
  <r>
    <n v="32.93333333333333"/>
    <d v="2014-04-19T00:00:00"/>
    <x v="0"/>
    <m/>
    <s v="Kachin"/>
    <s v="Mansi"/>
    <s v="Man Wing Catholic Church"/>
    <m/>
    <m/>
    <m/>
    <n v="400"/>
    <n v="190"/>
    <n v="870"/>
    <n v="190"/>
    <m/>
    <n v="190"/>
    <n v="1000"/>
    <m/>
    <m/>
    <m/>
    <m/>
    <m/>
    <m/>
    <m/>
    <n v="0"/>
    <n v="0"/>
    <n v="0"/>
    <n v="0"/>
    <n v="0"/>
    <n v="0"/>
    <n v="0"/>
    <n v="0"/>
    <n v="0"/>
    <n v="0"/>
    <n v="0"/>
    <n v="0"/>
    <n v="0"/>
    <n v="0"/>
    <n v="0"/>
    <n v="0"/>
    <n v="0"/>
    <n v="0"/>
    <s v="MMR001CMP132"/>
    <x v="0"/>
    <x v="1"/>
    <s v="P4"/>
    <n v="4.6513905209557387E-3"/>
    <m/>
  </r>
  <r>
    <n v="37.266666666666666"/>
    <d v="2013-12-10T00:00:00"/>
    <x v="3"/>
    <m/>
    <s v="Kachin"/>
    <s v="Mansi"/>
    <s v="Man Wing Catholic Church"/>
    <m/>
    <m/>
    <m/>
    <m/>
    <m/>
    <m/>
    <m/>
    <m/>
    <m/>
    <m/>
    <m/>
    <n v="256"/>
    <m/>
    <m/>
    <m/>
    <m/>
    <m/>
    <n v="0"/>
    <n v="0"/>
    <n v="0"/>
    <n v="0"/>
    <n v="0"/>
    <n v="0"/>
    <n v="0"/>
    <n v="0"/>
    <n v="0"/>
    <n v="0"/>
    <n v="0"/>
    <n v="0"/>
    <n v="0"/>
    <n v="0"/>
    <n v="1"/>
    <n v="0"/>
    <n v="0"/>
    <n v="0"/>
    <s v="MMR001CMP132"/>
    <x v="0"/>
    <x v="1"/>
    <s v="P4"/>
    <n v="0"/>
    <s v="No"/>
  </r>
  <r>
    <n v="37.6"/>
    <d v="2013-11-30T00:00:00"/>
    <x v="5"/>
    <s v="MDCG"/>
    <s v="Kachin"/>
    <s v="Mansi"/>
    <s v="Man Wing Catholic Church"/>
    <m/>
    <m/>
    <m/>
    <m/>
    <m/>
    <n v="770"/>
    <m/>
    <m/>
    <m/>
    <m/>
    <n v="889"/>
    <n v="492"/>
    <n v="0"/>
    <m/>
    <m/>
    <m/>
    <m/>
    <n v="0"/>
    <n v="0"/>
    <n v="0"/>
    <n v="0"/>
    <n v="0"/>
    <n v="0"/>
    <n v="0"/>
    <n v="0"/>
    <n v="0"/>
    <n v="0"/>
    <n v="0"/>
    <n v="0"/>
    <n v="0"/>
    <n v="0"/>
    <n v="1"/>
    <n v="0"/>
    <n v="0"/>
    <n v="0"/>
    <s v="MMR001CMP132"/>
    <x v="0"/>
    <x v="1"/>
    <s v="P4"/>
    <n v="0"/>
    <s v="No"/>
  </r>
  <r>
    <n v="37.6"/>
    <d v="2013-11-30T00:00:00"/>
    <x v="4"/>
    <m/>
    <s v="Kachin"/>
    <s v="Mansi"/>
    <s v="Man Wing Catholic Church"/>
    <m/>
    <m/>
    <m/>
    <m/>
    <m/>
    <m/>
    <m/>
    <m/>
    <m/>
    <n v="1080"/>
    <m/>
    <m/>
    <m/>
    <m/>
    <m/>
    <m/>
    <m/>
    <n v="0"/>
    <n v="0"/>
    <n v="0"/>
    <n v="0"/>
    <n v="0"/>
    <n v="0"/>
    <n v="0"/>
    <n v="0"/>
    <n v="0"/>
    <n v="0"/>
    <n v="0"/>
    <n v="0"/>
    <n v="0"/>
    <n v="0"/>
    <n v="0"/>
    <n v="0"/>
    <n v="0"/>
    <n v="0"/>
    <s v="MMR001CMP132"/>
    <x v="0"/>
    <x v="1"/>
    <s v="P4"/>
    <n v="0"/>
    <s v="No"/>
  </r>
  <r>
    <n v="37.766666666666666"/>
    <d v="2013-11-25T00:00:00"/>
    <x v="4"/>
    <s v="Solidarities"/>
    <s v="Kachin"/>
    <s v="Mansi"/>
    <s v="Man Wing Catholic Church"/>
    <m/>
    <m/>
    <m/>
    <m/>
    <m/>
    <m/>
    <m/>
    <m/>
    <m/>
    <m/>
    <n v="60"/>
    <n v="120"/>
    <n v="360"/>
    <n v="180"/>
    <m/>
    <m/>
    <m/>
    <n v="0"/>
    <n v="0"/>
    <n v="0"/>
    <n v="0"/>
    <n v="0"/>
    <n v="0"/>
    <n v="0"/>
    <n v="0"/>
    <n v="0"/>
    <n v="0"/>
    <n v="0"/>
    <n v="0"/>
    <n v="0"/>
    <n v="0"/>
    <n v="1"/>
    <n v="0"/>
    <n v="0"/>
    <n v="0"/>
    <s v="MMR001CMP132"/>
    <x v="0"/>
    <x v="1"/>
    <s v="P4"/>
    <n v="0"/>
    <m/>
  </r>
  <r>
    <n v="38.033333333333331"/>
    <d v="2013-11-17T00:00:00"/>
    <x v="0"/>
    <s v="UNHCR "/>
    <s v="Kachin"/>
    <s v="Mansi"/>
    <s v="Man Wing Catholic Church"/>
    <m/>
    <m/>
    <m/>
    <n v="700"/>
    <n v="350"/>
    <n v="700"/>
    <n v="350"/>
    <n v="350"/>
    <m/>
    <m/>
    <m/>
    <m/>
    <m/>
    <m/>
    <m/>
    <m/>
    <m/>
    <n v="0"/>
    <n v="0"/>
    <n v="0"/>
    <n v="0"/>
    <n v="0"/>
    <n v="0"/>
    <n v="0"/>
    <n v="0"/>
    <n v="0"/>
    <n v="0"/>
    <n v="0"/>
    <n v="0"/>
    <n v="0"/>
    <n v="0"/>
    <n v="0"/>
    <n v="0"/>
    <n v="0"/>
    <n v="0"/>
    <s v="MMR001CMP132"/>
    <x v="0"/>
    <x v="1"/>
    <s v="P4"/>
    <n v="8.5683509596553072E-3"/>
    <s v="No"/>
  </r>
  <r>
    <n v="38.133333333333333"/>
    <d v="2013-11-14T00:00:00"/>
    <x v="4"/>
    <s v="Solidarities"/>
    <s v="Kachin"/>
    <s v="Mansi"/>
    <s v="Man Wing Catholic Church"/>
    <m/>
    <m/>
    <m/>
    <m/>
    <m/>
    <m/>
    <m/>
    <m/>
    <m/>
    <m/>
    <m/>
    <n v="176"/>
    <n v="352"/>
    <n v="176"/>
    <m/>
    <m/>
    <m/>
    <n v="0"/>
    <n v="0"/>
    <n v="0"/>
    <n v="0"/>
    <n v="0"/>
    <n v="0"/>
    <n v="0"/>
    <n v="0"/>
    <n v="0"/>
    <n v="0"/>
    <n v="0"/>
    <n v="0"/>
    <n v="0"/>
    <n v="0"/>
    <n v="1"/>
    <n v="0"/>
    <n v="0"/>
    <n v="0"/>
    <s v="MMR001CMP132"/>
    <x v="0"/>
    <x v="1"/>
    <s v="P4"/>
    <n v="0"/>
    <m/>
  </r>
  <r>
    <n v="37.6"/>
    <d v="2013-11-30T00:00:00"/>
    <x v="4"/>
    <s v="LDO"/>
    <s v="Kachin"/>
    <s v="Mansi"/>
    <s v="Lung Kawk  ( Hka Hkye Zup)"/>
    <m/>
    <m/>
    <m/>
    <m/>
    <m/>
    <m/>
    <m/>
    <m/>
    <m/>
    <m/>
    <m/>
    <m/>
    <m/>
    <m/>
    <m/>
    <m/>
    <m/>
    <n v="0"/>
    <n v="0"/>
    <n v="0"/>
    <n v="0"/>
    <n v="0"/>
    <n v="0"/>
    <n v="0"/>
    <n v="0"/>
    <n v="0"/>
    <n v="0"/>
    <n v="0"/>
    <n v="0"/>
    <n v="0"/>
    <n v="0"/>
    <n v="0"/>
    <n v="0"/>
    <n v="0"/>
    <n v="0"/>
    <s v="MMR001CMP135"/>
    <x v="0"/>
    <x v="0"/>
    <s v="P2"/>
    <n v="0"/>
    <s v="No"/>
  </r>
  <r>
    <n v="46.7"/>
    <d v="2013-03-02T00:00:00"/>
    <x v="4"/>
    <s v="Solidarities"/>
    <s v="Kachin"/>
    <s v="Mansi"/>
    <s v="Man Wing Catholic Church"/>
    <n v="1542"/>
    <m/>
    <m/>
    <m/>
    <m/>
    <m/>
    <m/>
    <m/>
    <n v="0"/>
    <n v="0"/>
    <m/>
    <m/>
    <m/>
    <m/>
    <m/>
    <m/>
    <m/>
    <n v="0"/>
    <n v="0"/>
    <n v="0"/>
    <n v="0"/>
    <n v="0"/>
    <n v="0"/>
    <n v="0"/>
    <n v="0"/>
    <n v="0"/>
    <n v="0"/>
    <n v="0"/>
    <n v="0"/>
    <n v="0"/>
    <n v="0"/>
    <n v="0"/>
    <n v="0"/>
    <n v="0"/>
    <n v="0"/>
    <s v="MMR001CMP132"/>
    <x v="0"/>
    <x v="1"/>
    <s v="P4"/>
    <n v="0"/>
    <s v="No"/>
  </r>
  <r>
    <n v="41.233333333333334"/>
    <d v="2013-08-13T00:00:00"/>
    <x v="0"/>
    <s v="KBC"/>
    <s v="Shan_North"/>
    <s v="Manton"/>
    <s v="Mandung - Jinghpaw"/>
    <m/>
    <m/>
    <n v="36"/>
    <n v="84"/>
    <n v="42"/>
    <n v="84"/>
    <n v="42"/>
    <n v="42"/>
    <n v="42"/>
    <n v="42"/>
    <m/>
    <m/>
    <m/>
    <m/>
    <m/>
    <m/>
    <m/>
    <n v="0"/>
    <n v="0"/>
    <n v="0"/>
    <n v="0"/>
    <n v="0"/>
    <n v="0"/>
    <n v="0"/>
    <n v="0"/>
    <n v="0"/>
    <n v="0"/>
    <n v="0"/>
    <n v="0"/>
    <n v="0"/>
    <n v="0"/>
    <n v="0"/>
    <n v="0"/>
    <n v="0"/>
    <n v="0"/>
    <s v="MMR015CMP009"/>
    <x v="0"/>
    <x v="1"/>
    <s v="P2"/>
    <n v="1.0243902439024391E-3"/>
    <s v="No"/>
  </r>
  <r>
    <n v="47.1"/>
    <d v="2013-02-18T00:00:00"/>
    <x v="0"/>
    <s v="KBC"/>
    <s v="Shan_North"/>
    <s v="Manton"/>
    <s v="Mandung - Jinghpaw"/>
    <m/>
    <m/>
    <n v="57"/>
    <n v="57"/>
    <n v="29"/>
    <n v="57"/>
    <n v="29"/>
    <n v="29"/>
    <n v="29"/>
    <n v="29"/>
    <m/>
    <m/>
    <m/>
    <m/>
    <m/>
    <m/>
    <m/>
    <n v="0"/>
    <n v="0"/>
    <n v="0"/>
    <n v="0"/>
    <n v="0"/>
    <n v="0"/>
    <n v="0"/>
    <n v="0"/>
    <n v="0"/>
    <n v="0"/>
    <n v="0"/>
    <n v="0"/>
    <n v="0"/>
    <n v="0"/>
    <n v="0"/>
    <n v="0"/>
    <n v="0"/>
    <n v="0"/>
    <s v="MMR015CMP009"/>
    <x v="0"/>
    <x v="1"/>
    <s v="P2"/>
    <n v="7.0731707317073169E-4"/>
    <s v="No"/>
  </r>
  <r>
    <n v="4.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1"/>
    <s v="P3"/>
    <n v="1.2917377528637581E-3"/>
    <m/>
  </r>
  <r>
    <n v="34.700000000000003"/>
    <d v="2014-02-25T00:00:00"/>
    <x v="8"/>
    <s v="MRCS"/>
    <s v="Kachin"/>
    <s v="Mogaung"/>
    <s v="Mang Hawng Baptist Church"/>
    <m/>
    <m/>
    <m/>
    <m/>
    <m/>
    <m/>
    <m/>
    <m/>
    <m/>
    <m/>
    <m/>
    <m/>
    <m/>
    <n v="26"/>
    <m/>
    <m/>
    <m/>
    <n v="0"/>
    <n v="0"/>
    <n v="0"/>
    <n v="0"/>
    <n v="0"/>
    <n v="0"/>
    <n v="0"/>
    <n v="0"/>
    <n v="0"/>
    <n v="0"/>
    <n v="0"/>
    <n v="0"/>
    <n v="0"/>
    <n v="0"/>
    <n v="1"/>
    <n v="0"/>
    <n v="0"/>
    <n v="0"/>
    <s v="MMR001CMP077"/>
    <x v="0"/>
    <x v="1"/>
    <s v="P4"/>
    <n v="0"/>
    <m/>
  </r>
  <r>
    <n v="36.533333333333331"/>
    <d v="2014-01-01T00:00:00"/>
    <x v="11"/>
    <s v="MRCS"/>
    <s v="Kachin"/>
    <s v="Mogaung"/>
    <s v="Mang Hawng Baptist Church"/>
    <m/>
    <m/>
    <m/>
    <m/>
    <m/>
    <m/>
    <n v="14"/>
    <m/>
    <m/>
    <m/>
    <m/>
    <m/>
    <m/>
    <m/>
    <m/>
    <m/>
    <m/>
    <n v="0"/>
    <n v="0"/>
    <n v="0"/>
    <n v="0"/>
    <n v="0"/>
    <n v="0"/>
    <n v="0"/>
    <n v="0"/>
    <n v="0"/>
    <n v="0"/>
    <n v="0"/>
    <n v="0"/>
    <n v="0"/>
    <n v="0"/>
    <n v="0"/>
    <n v="0"/>
    <n v="0"/>
    <n v="0"/>
    <s v="MMR001CMP077"/>
    <x v="0"/>
    <x v="1"/>
    <s v="P4"/>
    <n v="3.4121374603948332E-4"/>
    <s v="No"/>
  </r>
  <r>
    <n v="54"/>
    <d v="2012-07-26T00:00:00"/>
    <x v="0"/>
    <s v="UNHCR"/>
    <s v="Kachin"/>
    <s v="Mogaung"/>
    <s v="Mang Hawng Baptist Church"/>
    <m/>
    <m/>
    <m/>
    <n v="31"/>
    <n v="15"/>
    <n v="31"/>
    <n v="15"/>
    <n v="16"/>
    <n v="16"/>
    <n v="16"/>
    <m/>
    <m/>
    <m/>
    <m/>
    <m/>
    <m/>
    <m/>
    <n v="0"/>
    <n v="0"/>
    <n v="0"/>
    <n v="0"/>
    <n v="0"/>
    <n v="0"/>
    <n v="0"/>
    <n v="0"/>
    <n v="0"/>
    <n v="0"/>
    <n v="0"/>
    <n v="0"/>
    <n v="0"/>
    <n v="0"/>
    <n v="0"/>
    <n v="0"/>
    <n v="0"/>
    <n v="0"/>
    <s v="MMR001CMP077"/>
    <x v="0"/>
    <x v="1"/>
    <s v="P4"/>
    <n v="3.6558615647087499E-4"/>
    <s v="No"/>
  </r>
  <r>
    <n v="32.866666666666667"/>
    <d v="2014-04-21T00:00:00"/>
    <x v="0"/>
    <s v="UNHCR"/>
    <s v="Kachin"/>
    <s v="Mansi"/>
    <s v="Mansi Baptist Church"/>
    <m/>
    <m/>
    <n v="20"/>
    <n v="30"/>
    <n v="13"/>
    <n v="40"/>
    <n v="13"/>
    <n v="13"/>
    <n v="13"/>
    <n v="25"/>
    <m/>
    <m/>
    <m/>
    <m/>
    <m/>
    <m/>
    <m/>
    <n v="0"/>
    <n v="0"/>
    <n v="0"/>
    <n v="0"/>
    <n v="0"/>
    <n v="0"/>
    <n v="0"/>
    <n v="0"/>
    <n v="0"/>
    <n v="0"/>
    <n v="0"/>
    <n v="0"/>
    <n v="0"/>
    <n v="0"/>
    <n v="0"/>
    <n v="0"/>
    <n v="0"/>
    <n v="0"/>
    <s v="MMR001CMP066"/>
    <x v="0"/>
    <x v="1"/>
    <s v="P4"/>
    <n v="3.1265783207869358E-4"/>
    <s v="No"/>
  </r>
  <r>
    <n v="33.333333333333336"/>
    <d v="2014-04-07T00:00:00"/>
    <x v="8"/>
    <s v="MRCS"/>
    <s v="Kachin"/>
    <s v="Mansi"/>
    <s v="Mansi Baptist Church"/>
    <m/>
    <m/>
    <m/>
    <m/>
    <m/>
    <m/>
    <m/>
    <m/>
    <m/>
    <m/>
    <m/>
    <m/>
    <m/>
    <n v="262"/>
    <m/>
    <m/>
    <m/>
    <n v="0"/>
    <n v="0"/>
    <n v="0"/>
    <n v="0"/>
    <n v="0"/>
    <n v="0"/>
    <n v="0"/>
    <n v="0"/>
    <n v="0"/>
    <n v="0"/>
    <n v="0"/>
    <n v="0"/>
    <n v="0"/>
    <n v="0"/>
    <n v="1"/>
    <n v="0"/>
    <n v="0"/>
    <n v="0"/>
    <s v="MMR001CMP066"/>
    <x v="0"/>
    <x v="1"/>
    <s v="P4"/>
    <n v="0"/>
    <m/>
  </r>
  <r>
    <n v="37.166666666666664"/>
    <d v="2013-12-13T00:00:00"/>
    <x v="4"/>
    <s v="Solidarities"/>
    <s v="Kachin"/>
    <s v="Mansi"/>
    <s v="Mansi Baptist Church"/>
    <m/>
    <m/>
    <m/>
    <m/>
    <m/>
    <m/>
    <m/>
    <m/>
    <m/>
    <m/>
    <n v="13"/>
    <n v="53"/>
    <n v="132"/>
    <n v="66"/>
    <m/>
    <m/>
    <m/>
    <n v="0"/>
    <n v="0"/>
    <n v="0"/>
    <n v="0"/>
    <n v="0"/>
    <n v="0"/>
    <n v="0"/>
    <n v="0"/>
    <n v="0"/>
    <n v="0"/>
    <n v="0"/>
    <n v="0"/>
    <n v="0"/>
    <n v="0"/>
    <n v="1"/>
    <n v="0"/>
    <n v="0"/>
    <n v="0"/>
    <s v="MMR001CMP066"/>
    <x v="0"/>
    <x v="1"/>
    <s v="P4"/>
    <n v="0"/>
    <m/>
  </r>
  <r>
    <n v="37.6"/>
    <d v="2013-11-30T00:00:00"/>
    <x v="4"/>
    <m/>
    <s v="Kachin"/>
    <s v="Mansi"/>
    <s v="Mansi Baptist Church"/>
    <m/>
    <m/>
    <m/>
    <m/>
    <m/>
    <m/>
    <m/>
    <m/>
    <m/>
    <n v="225"/>
    <m/>
    <m/>
    <m/>
    <m/>
    <m/>
    <m/>
    <m/>
    <n v="0"/>
    <n v="0"/>
    <n v="0"/>
    <n v="0"/>
    <n v="0"/>
    <n v="0"/>
    <n v="0"/>
    <n v="0"/>
    <n v="0"/>
    <n v="0"/>
    <n v="0"/>
    <n v="0"/>
    <n v="0"/>
    <n v="0"/>
    <n v="0"/>
    <n v="0"/>
    <n v="0"/>
    <n v="0"/>
    <s v="MMR001CMP066"/>
    <x v="0"/>
    <x v="1"/>
    <s v="P4"/>
    <n v="0"/>
    <s v="No"/>
  </r>
  <r>
    <n v="37.666666666666664"/>
    <d v="2013-11-28T00:00:00"/>
    <x v="0"/>
    <s v="UNHCR"/>
    <s v="Kachin"/>
    <s v="Mansi"/>
    <s v="Mansi Baptist Church"/>
    <m/>
    <m/>
    <m/>
    <n v="20"/>
    <n v="7"/>
    <n v="22"/>
    <n v="7"/>
    <n v="7"/>
    <m/>
    <m/>
    <m/>
    <m/>
    <m/>
    <m/>
    <m/>
    <m/>
    <m/>
    <n v="0"/>
    <n v="0"/>
    <n v="0"/>
    <n v="0"/>
    <n v="0"/>
    <n v="0"/>
    <n v="0"/>
    <n v="0"/>
    <n v="0"/>
    <n v="0"/>
    <n v="0"/>
    <n v="0"/>
    <n v="0"/>
    <n v="0"/>
    <n v="0"/>
    <n v="0"/>
    <n v="0"/>
    <n v="0"/>
    <s v="MMR001CMP066"/>
    <x v="0"/>
    <x v="1"/>
    <s v="P4"/>
    <n v="1.6835421727314268E-4"/>
    <s v="No"/>
  </r>
  <r>
    <n v="38.133333333333333"/>
    <d v="2013-11-14T00:00:00"/>
    <x v="0"/>
    <s v="UNHCR"/>
    <s v="Kachin"/>
    <s v="Mansi"/>
    <s v="Mansi Baptist Church"/>
    <m/>
    <m/>
    <n v="18"/>
    <n v="31"/>
    <n v="18"/>
    <n v="31"/>
    <n v="18"/>
    <n v="18"/>
    <m/>
    <m/>
    <m/>
    <m/>
    <m/>
    <m/>
    <m/>
    <m/>
    <m/>
    <n v="0"/>
    <n v="0"/>
    <n v="0"/>
    <n v="0"/>
    <n v="0"/>
    <n v="0"/>
    <n v="0"/>
    <n v="0"/>
    <n v="0"/>
    <n v="0"/>
    <n v="0"/>
    <n v="0"/>
    <n v="0"/>
    <n v="0"/>
    <n v="0"/>
    <n v="0"/>
    <n v="0"/>
    <n v="0"/>
    <s v="MMR001CMP066"/>
    <x v="0"/>
    <x v="1"/>
    <s v="P4"/>
    <n v="4.3291084441665265E-4"/>
    <s v="No"/>
  </r>
  <r>
    <n v="37.6"/>
    <d v="2013-11-30T00:00:00"/>
    <x v="4"/>
    <m/>
    <s v="Kachin"/>
    <s v="Momauk"/>
    <s v="Momauk Catholic Church (St. Patrick)"/>
    <m/>
    <m/>
    <m/>
    <m/>
    <m/>
    <m/>
    <m/>
    <m/>
    <m/>
    <n v="543"/>
    <m/>
    <m/>
    <m/>
    <m/>
    <m/>
    <m/>
    <m/>
    <n v="0"/>
    <n v="0"/>
    <n v="0"/>
    <n v="0"/>
    <n v="0"/>
    <n v="0"/>
    <n v="0"/>
    <n v="0"/>
    <n v="0"/>
    <n v="0"/>
    <n v="0"/>
    <n v="0"/>
    <n v="0"/>
    <n v="0"/>
    <n v="0"/>
    <n v="0"/>
    <n v="0"/>
    <n v="0"/>
    <s v="MMR001CMP057"/>
    <x v="0"/>
    <x v="0"/>
    <s v="P4"/>
    <n v="0"/>
    <s v="No"/>
  </r>
  <r>
    <n v="37.6"/>
    <d v="2013-11-30T00:00:00"/>
    <x v="4"/>
    <s v="KBC"/>
    <s v="Kachin"/>
    <s v="Mansi"/>
    <s v="Nam Lim Pa - Scattered IDPs in forest"/>
    <m/>
    <m/>
    <m/>
    <m/>
    <m/>
    <m/>
    <m/>
    <m/>
    <m/>
    <m/>
    <m/>
    <m/>
    <m/>
    <m/>
    <m/>
    <m/>
    <m/>
    <n v="0"/>
    <n v="0"/>
    <n v="0"/>
    <n v="0"/>
    <n v="0"/>
    <n v="0"/>
    <n v="0"/>
    <n v="0"/>
    <n v="0"/>
    <n v="0"/>
    <n v="0"/>
    <n v="0"/>
    <n v="0"/>
    <n v="0"/>
    <n v="0"/>
    <n v="0"/>
    <n v="0"/>
    <n v="0"/>
    <s v="MMR001CMP137"/>
    <x v="0"/>
    <x v="0"/>
    <s v=""/>
    <s v=""/>
    <s v="No"/>
  </r>
  <r>
    <n v="38.43333333333333"/>
    <d v="2013-11-05T00:00:00"/>
    <x v="0"/>
    <s v="UNHCR"/>
    <s v="Kachin"/>
    <s v="Mansi"/>
    <s v="Mansi Baptist Church"/>
    <m/>
    <m/>
    <n v="60"/>
    <n v="54"/>
    <n v="30"/>
    <n v="54"/>
    <n v="30"/>
    <n v="30"/>
    <m/>
    <m/>
    <m/>
    <m/>
    <m/>
    <m/>
    <m/>
    <m/>
    <m/>
    <n v="0"/>
    <n v="0"/>
    <n v="0"/>
    <n v="0"/>
    <n v="0"/>
    <n v="0"/>
    <n v="0"/>
    <n v="0"/>
    <n v="0"/>
    <n v="0"/>
    <n v="0"/>
    <n v="0"/>
    <n v="0"/>
    <n v="0"/>
    <n v="0"/>
    <n v="0"/>
    <n v="0"/>
    <n v="0"/>
    <s v="MMR001CMP066"/>
    <x v="0"/>
    <x v="1"/>
    <s v="P4"/>
    <n v="7.215180740277544E-4"/>
    <s v="No"/>
  </r>
  <r>
    <n v="38.5"/>
    <d v="2013-11-03T00:00:00"/>
    <x v="2"/>
    <s v="MRCS"/>
    <s v="Kachin"/>
    <s v="Mansi"/>
    <s v="Mansi Baptist Church"/>
    <m/>
    <m/>
    <n v="29"/>
    <m/>
    <m/>
    <m/>
    <n v="29"/>
    <m/>
    <m/>
    <m/>
    <m/>
    <m/>
    <m/>
    <m/>
    <m/>
    <m/>
    <m/>
    <n v="0"/>
    <n v="0"/>
    <n v="0"/>
    <n v="0"/>
    <n v="0"/>
    <n v="0"/>
    <n v="0"/>
    <n v="0"/>
    <n v="0"/>
    <n v="0"/>
    <n v="0"/>
    <n v="0"/>
    <n v="0"/>
    <n v="0"/>
    <n v="0"/>
    <n v="0"/>
    <n v="0"/>
    <n v="0"/>
    <s v="MMR001CMP066"/>
    <x v="0"/>
    <x v="1"/>
    <s v="P4"/>
    <n v="6.9746747156016256E-4"/>
    <s v="No"/>
  </r>
  <r>
    <n v="48.533333333333331"/>
    <d v="2013-01-06T00:00:00"/>
    <x v="4"/>
    <s v="Solidarities"/>
    <s v="Kachin"/>
    <s v="Mansi"/>
    <s v="Mansi Baptist Church"/>
    <n v="351"/>
    <m/>
    <m/>
    <m/>
    <m/>
    <m/>
    <m/>
    <m/>
    <n v="0"/>
    <n v="0"/>
    <m/>
    <m/>
    <m/>
    <m/>
    <m/>
    <m/>
    <m/>
    <n v="0"/>
    <n v="0"/>
    <n v="0"/>
    <n v="0"/>
    <n v="0"/>
    <n v="0"/>
    <n v="0"/>
    <n v="0"/>
    <n v="0"/>
    <n v="0"/>
    <n v="0"/>
    <n v="0"/>
    <n v="0"/>
    <n v="0"/>
    <n v="0"/>
    <n v="0"/>
    <n v="0"/>
    <n v="0"/>
    <s v="MMR001CMP066"/>
    <x v="0"/>
    <x v="1"/>
    <s v="P4"/>
    <n v="0"/>
    <s v="No"/>
  </r>
  <r>
    <n v="37.6"/>
    <d v="2013-11-30T00:00:00"/>
    <x v="4"/>
    <m/>
    <s v="Kachin"/>
    <s v="Momauk"/>
    <s v="Ni Thaw Ka Monestry"/>
    <m/>
    <m/>
    <m/>
    <m/>
    <m/>
    <m/>
    <m/>
    <m/>
    <m/>
    <n v="60"/>
    <m/>
    <m/>
    <m/>
    <m/>
    <m/>
    <m/>
    <m/>
    <n v="0"/>
    <n v="0"/>
    <n v="0"/>
    <n v="0"/>
    <n v="0"/>
    <n v="0"/>
    <n v="0"/>
    <n v="0"/>
    <n v="0"/>
    <n v="0"/>
    <n v="0"/>
    <n v="0"/>
    <n v="0"/>
    <n v="0"/>
    <n v="0"/>
    <n v="0"/>
    <n v="0"/>
    <n v="0"/>
    <s v="MMR001CMP059"/>
    <x v="0"/>
    <x v="0"/>
    <s v="P4"/>
    <n v="0"/>
    <s v="No"/>
  </r>
  <r>
    <n v="53.6"/>
    <d v="2012-08-07T00:00:00"/>
    <x v="0"/>
    <s v="UNHCR "/>
    <s v="Kachin"/>
    <s v="Mansi"/>
    <s v="Mansi Baptist Church"/>
    <m/>
    <m/>
    <m/>
    <n v="0"/>
    <n v="73"/>
    <n v="0"/>
    <n v="73"/>
    <n v="73"/>
    <n v="73"/>
    <n v="73"/>
    <m/>
    <m/>
    <m/>
    <m/>
    <m/>
    <m/>
    <m/>
    <n v="0"/>
    <n v="0"/>
    <n v="0"/>
    <n v="0"/>
    <n v="0"/>
    <n v="0"/>
    <n v="0"/>
    <n v="0"/>
    <n v="0"/>
    <n v="0"/>
    <n v="0"/>
    <n v="0"/>
    <n v="0"/>
    <n v="0"/>
    <n v="0"/>
    <n v="0"/>
    <n v="0"/>
    <n v="0"/>
    <s v="MMR001CMP066"/>
    <x v="0"/>
    <x v="1"/>
    <s v="P4"/>
    <n v="1.7556939801342023E-3"/>
    <s v="No"/>
  </r>
  <r>
    <n v="59.833333333333336"/>
    <d v="2012-02-02T00:00:00"/>
    <x v="0"/>
    <s v="UNHCR"/>
    <s v="Kachin"/>
    <s v="Mansi"/>
    <s v="Mansi Baptist Church"/>
    <n v="718"/>
    <m/>
    <m/>
    <m/>
    <m/>
    <m/>
    <m/>
    <m/>
    <m/>
    <m/>
    <m/>
    <m/>
    <m/>
    <m/>
    <m/>
    <m/>
    <m/>
    <n v="0"/>
    <n v="0"/>
    <n v="0"/>
    <n v="0"/>
    <n v="0"/>
    <n v="0"/>
    <n v="0"/>
    <n v="0"/>
    <n v="0"/>
    <n v="0"/>
    <n v="0"/>
    <n v="0"/>
    <n v="0"/>
    <n v="0"/>
    <n v="0"/>
    <n v="0"/>
    <n v="0"/>
    <n v="0"/>
    <s v="MMR001CMP066"/>
    <x v="0"/>
    <x v="1"/>
    <s v="P4"/>
    <n v="0"/>
    <m/>
  </r>
  <r>
    <n v="59.833333333333336"/>
    <d v="2012-02-02T00:00:00"/>
    <x v="4"/>
    <s v="Solidarities"/>
    <s v="Kachin"/>
    <s v="Mansi"/>
    <s v="Mansi Baptist Church"/>
    <n v="718"/>
    <m/>
    <m/>
    <m/>
    <m/>
    <m/>
    <m/>
    <m/>
    <m/>
    <m/>
    <m/>
    <m/>
    <m/>
    <m/>
    <m/>
    <m/>
    <m/>
    <n v="0"/>
    <n v="0"/>
    <n v="0"/>
    <n v="0"/>
    <n v="0"/>
    <n v="0"/>
    <n v="0"/>
    <n v="0"/>
    <n v="0"/>
    <n v="0"/>
    <n v="0"/>
    <n v="0"/>
    <n v="0"/>
    <n v="0"/>
    <n v="0"/>
    <n v="0"/>
    <n v="0"/>
    <n v="0"/>
    <s v="MMR001CMP066"/>
    <x v="0"/>
    <x v="1"/>
    <s v="P4"/>
    <n v="0"/>
    <m/>
  </r>
  <r>
    <n v="27.433333333333334"/>
    <d v="2014-10-01T00:00:00"/>
    <x v="0"/>
    <s v="Shalom"/>
    <s v="Kachin"/>
    <s v="Myitkyina"/>
    <s v="Maw Hpawng Hka Nan Baptist Church"/>
    <m/>
    <m/>
    <m/>
    <n v="52"/>
    <m/>
    <m/>
    <m/>
    <m/>
    <m/>
    <m/>
    <m/>
    <m/>
    <m/>
    <m/>
    <m/>
    <m/>
    <m/>
    <n v="0"/>
    <n v="0"/>
    <n v="0"/>
    <n v="0"/>
    <n v="0"/>
    <n v="0"/>
    <n v="0"/>
    <n v="0"/>
    <n v="0"/>
    <n v="0"/>
    <n v="0"/>
    <n v="0"/>
    <n v="0"/>
    <n v="0"/>
    <n v="0"/>
    <n v="0"/>
    <n v="0"/>
    <n v="0"/>
    <s v="MMR001CMP020"/>
    <x v="0"/>
    <x v="1"/>
    <s v="P4"/>
    <n v="0"/>
    <m/>
  </r>
  <r>
    <n v="30.733333333333334"/>
    <d v="2014-06-24T00:00:00"/>
    <x v="8"/>
    <s v="MRCS"/>
    <s v="Kachin"/>
    <s v="Myitkyina"/>
    <s v="Maw Hpawng Hka Nan Baptist Church"/>
    <m/>
    <m/>
    <m/>
    <m/>
    <m/>
    <m/>
    <m/>
    <m/>
    <m/>
    <m/>
    <m/>
    <m/>
    <m/>
    <n v="44"/>
    <m/>
    <m/>
    <m/>
    <n v="0"/>
    <n v="0"/>
    <n v="0"/>
    <n v="0"/>
    <n v="0"/>
    <n v="0"/>
    <n v="0"/>
    <n v="0"/>
    <n v="0"/>
    <n v="0"/>
    <n v="0"/>
    <n v="0"/>
    <n v="0"/>
    <n v="0"/>
    <n v="1"/>
    <n v="0"/>
    <n v="0"/>
    <n v="0"/>
    <s v="MMR001CMP020"/>
    <x v="0"/>
    <x v="1"/>
    <s v="P4"/>
    <n v="0"/>
    <m/>
  </r>
  <r>
    <n v="31.666666666666668"/>
    <d v="2014-05-27T00:00:00"/>
    <x v="0"/>
    <s v="Shalom"/>
    <s v="Kachin"/>
    <s v="Myitkyina"/>
    <s v="Maw Hpawng Hka Nan Baptist Church"/>
    <m/>
    <m/>
    <n v="12"/>
    <n v="6"/>
    <n v="12"/>
    <n v="6"/>
    <m/>
    <n v="6"/>
    <n v="30"/>
    <m/>
    <m/>
    <m/>
    <m/>
    <m/>
    <m/>
    <m/>
    <m/>
    <n v="0"/>
    <n v="0"/>
    <n v="0"/>
    <n v="0"/>
    <n v="0"/>
    <n v="0"/>
    <n v="0"/>
    <n v="0"/>
    <n v="0"/>
    <n v="0"/>
    <n v="0"/>
    <n v="0"/>
    <n v="0"/>
    <n v="0"/>
    <n v="0"/>
    <n v="0"/>
    <n v="0"/>
    <n v="0"/>
    <s v="MMR001CMP020"/>
    <x v="0"/>
    <x v="1"/>
    <s v="P4"/>
    <n v="0"/>
    <m/>
  </r>
  <r>
    <n v="48.733333333333334"/>
    <d v="2012-12-31T00:00:00"/>
    <x v="3"/>
    <s v="DRC"/>
    <s v="Kachin"/>
    <s v="Myitkyina"/>
    <s v="Maw Hpawng Hka Nan Baptist Church"/>
    <n v="14"/>
    <m/>
    <m/>
    <m/>
    <m/>
    <m/>
    <m/>
    <m/>
    <n v="0"/>
    <n v="0"/>
    <m/>
    <m/>
    <m/>
    <m/>
    <m/>
    <m/>
    <m/>
    <n v="0"/>
    <n v="0"/>
    <n v="0"/>
    <n v="0"/>
    <n v="0"/>
    <n v="0"/>
    <n v="0"/>
    <n v="0"/>
    <n v="0"/>
    <n v="0"/>
    <n v="0"/>
    <n v="0"/>
    <n v="0"/>
    <n v="0"/>
    <n v="0"/>
    <n v="0"/>
    <n v="0"/>
    <n v="0"/>
    <s v="MMR001CMP020"/>
    <x v="0"/>
    <x v="1"/>
    <s v="P4"/>
    <n v="0"/>
    <s v="No"/>
  </r>
  <r>
    <n v="52.93333333333333"/>
    <d v="2012-08-27T00:00:00"/>
    <x v="0"/>
    <s v="UNHCR"/>
    <s v="Kachin"/>
    <s v="Myitkyina"/>
    <s v="Maw Hpawng Hka Nan Baptist Church"/>
    <m/>
    <m/>
    <m/>
    <n v="2"/>
    <n v="1"/>
    <n v="2"/>
    <n v="1"/>
    <n v="1"/>
    <n v="1"/>
    <n v="1"/>
    <m/>
    <m/>
    <m/>
    <m/>
    <m/>
    <m/>
    <m/>
    <n v="0"/>
    <n v="0"/>
    <n v="0"/>
    <n v="0"/>
    <n v="0"/>
    <n v="0"/>
    <n v="0"/>
    <n v="0"/>
    <n v="0"/>
    <n v="0"/>
    <n v="0"/>
    <n v="0"/>
    <n v="0"/>
    <n v="0"/>
    <n v="0"/>
    <n v="0"/>
    <n v="0"/>
    <n v="0"/>
    <s v="MMR001CMP020"/>
    <x v="0"/>
    <x v="1"/>
    <s v="P4"/>
    <n v="2.4499595756670014E-5"/>
    <s v="No"/>
  </r>
  <r>
    <n v="53.533333333333331"/>
    <d v="2012-08-09T00:00:00"/>
    <x v="0"/>
    <s v="UNHCR"/>
    <s v="Kachin"/>
    <s v="Myitkyina"/>
    <s v="Maw Hpawng Hka Nan Baptist Church"/>
    <m/>
    <m/>
    <m/>
    <n v="2"/>
    <n v="1"/>
    <n v="2"/>
    <n v="1"/>
    <n v="1"/>
    <n v="1"/>
    <n v="1"/>
    <m/>
    <m/>
    <m/>
    <m/>
    <m/>
    <m/>
    <m/>
    <n v="0"/>
    <n v="0"/>
    <n v="0"/>
    <n v="0"/>
    <n v="0"/>
    <n v="0"/>
    <n v="0"/>
    <n v="0"/>
    <n v="0"/>
    <n v="0"/>
    <n v="0"/>
    <n v="0"/>
    <n v="0"/>
    <n v="0"/>
    <n v="0"/>
    <n v="0"/>
    <n v="0"/>
    <n v="0"/>
    <s v="MMR001CMP020"/>
    <x v="0"/>
    <x v="1"/>
    <s v="P4"/>
    <n v="2.4499595756670014E-5"/>
    <s v="No"/>
  </r>
  <r>
    <n v="54.3"/>
    <d v="2012-07-17T00:00:00"/>
    <x v="0"/>
    <s v="UNHCR"/>
    <s v="Kachin"/>
    <s v="Myitkyina"/>
    <s v="Maw Hpawng Hka Nan Baptist Church"/>
    <m/>
    <m/>
    <m/>
    <n v="0"/>
    <n v="0"/>
    <n v="0"/>
    <n v="0"/>
    <n v="0"/>
    <m/>
    <m/>
    <m/>
    <m/>
    <m/>
    <m/>
    <m/>
    <m/>
    <m/>
    <n v="0"/>
    <n v="0"/>
    <n v="0"/>
    <n v="0"/>
    <n v="0"/>
    <n v="0"/>
    <n v="0"/>
    <n v="0"/>
    <n v="0"/>
    <n v="0"/>
    <n v="0"/>
    <n v="0"/>
    <n v="0"/>
    <n v="0"/>
    <n v="0"/>
    <n v="0"/>
    <n v="0"/>
    <n v="0"/>
    <s v="MMR001CMP020"/>
    <x v="0"/>
    <x v="1"/>
    <s v="P4"/>
    <n v="0"/>
    <s v="No"/>
  </r>
  <r>
    <n v="54.3"/>
    <d v="2012-07-17T00:00:00"/>
    <x v="0"/>
    <s v="UNHCR"/>
    <s v="Kachin"/>
    <s v="Myitkyina"/>
    <s v="Maw Hpawng Hka Nan Baptist Church"/>
    <m/>
    <m/>
    <m/>
    <n v="19"/>
    <n v="19"/>
    <n v="19"/>
    <n v="19"/>
    <n v="19"/>
    <n v="19"/>
    <n v="19"/>
    <m/>
    <m/>
    <m/>
    <m/>
    <m/>
    <m/>
    <m/>
    <n v="0"/>
    <n v="0"/>
    <n v="0"/>
    <n v="0"/>
    <n v="0"/>
    <n v="0"/>
    <n v="0"/>
    <n v="0"/>
    <n v="0"/>
    <n v="0"/>
    <n v="0"/>
    <n v="0"/>
    <n v="0"/>
    <n v="0"/>
    <n v="0"/>
    <n v="0"/>
    <n v="0"/>
    <n v="0"/>
    <s v="MMR001CMP020"/>
    <x v="0"/>
    <x v="1"/>
    <s v="P4"/>
    <n v="4.6549231937673027E-4"/>
    <s v="No"/>
  </r>
  <r>
    <n v="55.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1"/>
    <s v="P4"/>
    <n v="2.6949555332337016E-4"/>
    <s v="No"/>
  </r>
  <r>
    <n v="59.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1"/>
    <s v="P4"/>
    <n v="4.4099272362006027E-4"/>
    <s v="No"/>
  </r>
  <r>
    <n v="27.433333333333334"/>
    <d v="2014-10-01T00:00:00"/>
    <x v="0"/>
    <s v="Shalom"/>
    <s v="Kachin"/>
    <s v="Myitkyina"/>
    <s v="Maw Hpawng Lhaovo Baptist Church"/>
    <m/>
    <m/>
    <m/>
    <n v="42"/>
    <m/>
    <m/>
    <m/>
    <m/>
    <m/>
    <m/>
    <m/>
    <m/>
    <m/>
    <m/>
    <m/>
    <m/>
    <m/>
    <n v="0"/>
    <n v="0"/>
    <n v="0"/>
    <n v="0"/>
    <n v="0"/>
    <n v="0"/>
    <n v="0"/>
    <n v="0"/>
    <n v="0"/>
    <n v="0"/>
    <n v="0"/>
    <n v="0"/>
    <n v="0"/>
    <n v="0"/>
    <n v="0"/>
    <n v="0"/>
    <n v="0"/>
    <n v="0"/>
    <s v="MMR001CMP021"/>
    <x v="0"/>
    <x v="1"/>
    <s v="P4"/>
    <n v="0"/>
    <m/>
  </r>
  <r>
    <n v="30.733333333333334"/>
    <d v="2014-06-24T00:00:00"/>
    <x v="8"/>
    <s v="MRCS"/>
    <s v="Kachin"/>
    <s v="Myitkyina"/>
    <s v="Maw Hpawng Lhaovo Baptist Church"/>
    <m/>
    <m/>
    <m/>
    <m/>
    <m/>
    <m/>
    <m/>
    <m/>
    <m/>
    <m/>
    <m/>
    <m/>
    <m/>
    <n v="28"/>
    <m/>
    <m/>
    <m/>
    <n v="0"/>
    <n v="0"/>
    <n v="0"/>
    <n v="0"/>
    <n v="0"/>
    <n v="0"/>
    <n v="0"/>
    <n v="0"/>
    <n v="0"/>
    <n v="0"/>
    <n v="0"/>
    <n v="0"/>
    <n v="0"/>
    <n v="0"/>
    <n v="1"/>
    <n v="0"/>
    <n v="0"/>
    <n v="0"/>
    <s v="MMR001CMP021"/>
    <x v="0"/>
    <x v="1"/>
    <s v="P4"/>
    <n v="0"/>
    <m/>
  </r>
  <r>
    <n v="47.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1"/>
    <s v="P4"/>
    <n v="1.7149717029669011E-4"/>
    <s v="No"/>
  </r>
  <r>
    <n v="48.733333333333334"/>
    <d v="2012-12-31T00:00:00"/>
    <x v="3"/>
    <s v="DRC"/>
    <s v="Kachin"/>
    <s v="Myitkyina"/>
    <s v="Maw Hpawng Lhaovo Baptist Church"/>
    <n v="23"/>
    <m/>
    <m/>
    <m/>
    <m/>
    <m/>
    <m/>
    <m/>
    <n v="0"/>
    <n v="0"/>
    <m/>
    <m/>
    <m/>
    <m/>
    <m/>
    <m/>
    <m/>
    <n v="0"/>
    <n v="0"/>
    <n v="0"/>
    <n v="0"/>
    <n v="0"/>
    <n v="0"/>
    <n v="0"/>
    <n v="0"/>
    <n v="0"/>
    <n v="0"/>
    <n v="0"/>
    <n v="0"/>
    <n v="0"/>
    <n v="0"/>
    <n v="0"/>
    <n v="0"/>
    <n v="0"/>
    <n v="0"/>
    <s v="MMR001CMP021"/>
    <x v="0"/>
    <x v="1"/>
    <s v="P4"/>
    <n v="0"/>
    <s v="No"/>
  </r>
  <r>
    <n v="52.93333333333333"/>
    <d v="2012-08-27T00:00:00"/>
    <x v="0"/>
    <s v="UNHCR"/>
    <s v="Kachin"/>
    <s v="Myitkyina"/>
    <s v="Maw Hpawng Lhaovo Baptist Church"/>
    <m/>
    <m/>
    <m/>
    <n v="10"/>
    <n v="5"/>
    <n v="10"/>
    <n v="5"/>
    <n v="5"/>
    <n v="5"/>
    <n v="5"/>
    <m/>
    <m/>
    <m/>
    <m/>
    <m/>
    <m/>
    <m/>
    <n v="0"/>
    <n v="0"/>
    <n v="0"/>
    <n v="0"/>
    <n v="0"/>
    <n v="0"/>
    <n v="0"/>
    <n v="0"/>
    <n v="0"/>
    <n v="0"/>
    <n v="0"/>
    <n v="0"/>
    <n v="0"/>
    <n v="0"/>
    <n v="0"/>
    <n v="0"/>
    <n v="0"/>
    <n v="0"/>
    <s v="MMR001CMP021"/>
    <x v="0"/>
    <x v="1"/>
    <s v="P4"/>
    <n v="1.2249797878335008E-4"/>
    <s v="No"/>
  </r>
  <r>
    <n v="53.533333333333331"/>
    <d v="2012-08-09T00:00:00"/>
    <x v="0"/>
    <s v="UNHCR"/>
    <s v="Kachin"/>
    <s v="Myitkyina"/>
    <s v="Maw Hpawng Lhaovo Baptist Church"/>
    <m/>
    <m/>
    <m/>
    <n v="10"/>
    <n v="5"/>
    <n v="10"/>
    <n v="5"/>
    <n v="5"/>
    <n v="5"/>
    <n v="5"/>
    <m/>
    <m/>
    <m/>
    <m/>
    <m/>
    <m/>
    <m/>
    <n v="0"/>
    <n v="0"/>
    <n v="0"/>
    <n v="0"/>
    <n v="0"/>
    <n v="0"/>
    <n v="0"/>
    <n v="0"/>
    <n v="0"/>
    <n v="0"/>
    <n v="0"/>
    <n v="0"/>
    <n v="0"/>
    <n v="0"/>
    <n v="0"/>
    <n v="0"/>
    <n v="0"/>
    <n v="0"/>
    <s v="MMR001CMP021"/>
    <x v="0"/>
    <x v="1"/>
    <s v="P4"/>
    <n v="1.2249797878335008E-4"/>
    <s v="No"/>
  </r>
  <r>
    <n v="55.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1"/>
    <s v="P4"/>
    <n v="4.1649312786339027E-4"/>
    <s v="No"/>
  </r>
  <r>
    <n v="26.433333333333334"/>
    <d v="2014-10-31T00:00:00"/>
    <x v="1"/>
    <s v="MRCS"/>
    <s v="Kachin"/>
    <s v="Hpakant"/>
    <s v="Maw Wan, Mu-yin Baptist Church"/>
    <m/>
    <m/>
    <m/>
    <m/>
    <m/>
    <m/>
    <m/>
    <m/>
    <m/>
    <m/>
    <n v="11"/>
    <n v="15"/>
    <m/>
    <m/>
    <m/>
    <m/>
    <m/>
    <n v="0"/>
    <n v="0"/>
    <n v="0"/>
    <n v="0"/>
    <n v="0"/>
    <n v="0"/>
    <n v="0"/>
    <n v="0"/>
    <n v="0"/>
    <n v="0"/>
    <n v="0"/>
    <n v="0"/>
    <n v="0"/>
    <n v="0"/>
    <n v="1"/>
    <n v="0"/>
    <n v="0"/>
    <n v="0"/>
    <s v="MMR001CMP091"/>
    <x v="0"/>
    <x v="1"/>
    <s v="P4"/>
    <n v="0"/>
    <m/>
  </r>
  <r>
    <n v="26.433333333333334"/>
    <d v="2014-10-31T00:00:00"/>
    <x v="0"/>
    <m/>
    <s v="Kachin"/>
    <s v="Hpakant"/>
    <s v="Maw Wan, Mu-yin Baptist Church"/>
    <m/>
    <m/>
    <n v="5"/>
    <n v="10"/>
    <n v="5"/>
    <n v="10"/>
    <n v="5"/>
    <m/>
    <n v="5"/>
    <n v="25"/>
    <m/>
    <m/>
    <m/>
    <m/>
    <m/>
    <m/>
    <m/>
    <n v="0"/>
    <n v="0"/>
    <n v="0"/>
    <n v="0"/>
    <n v="0"/>
    <n v="0"/>
    <n v="0"/>
    <n v="0"/>
    <n v="0"/>
    <n v="0"/>
    <n v="0"/>
    <n v="0"/>
    <n v="0"/>
    <n v="0"/>
    <n v="0"/>
    <n v="0"/>
    <n v="0"/>
    <n v="0"/>
    <s v="MMR001CMP091"/>
    <x v="0"/>
    <x v="1"/>
    <s v="P4"/>
    <n v="1.2158941685715675E-4"/>
    <m/>
  </r>
  <r>
    <n v="27.433333333333334"/>
    <d v="2014-10-01T00:00:00"/>
    <x v="0"/>
    <s v="Shalom"/>
    <s v="Kachin"/>
    <s v="Hpakant"/>
    <s v="Maw Wan, Mu-yin Baptist Church"/>
    <m/>
    <m/>
    <m/>
    <n v="10"/>
    <m/>
    <m/>
    <m/>
    <m/>
    <m/>
    <m/>
    <m/>
    <m/>
    <m/>
    <m/>
    <m/>
    <m/>
    <m/>
    <n v="0"/>
    <n v="0"/>
    <n v="0"/>
    <n v="0"/>
    <n v="0"/>
    <n v="0"/>
    <n v="0"/>
    <n v="0"/>
    <n v="0"/>
    <n v="0"/>
    <n v="0"/>
    <n v="0"/>
    <n v="0"/>
    <n v="0"/>
    <n v="0"/>
    <n v="0"/>
    <n v="0"/>
    <n v="0"/>
    <s v="MMR001CMP091"/>
    <x v="0"/>
    <x v="1"/>
    <s v="P4"/>
    <n v="0"/>
    <m/>
  </r>
  <r>
    <n v="46.1"/>
    <d v="2013-03-20T00:00:00"/>
    <x v="0"/>
    <s v="UNHCR"/>
    <s v="Kachin"/>
    <s v="Hpakant"/>
    <s v="Maw Wan, Mu-yin Baptist Church"/>
    <m/>
    <m/>
    <n v="17"/>
    <n v="17"/>
    <n v="17"/>
    <n v="41"/>
    <n v="17"/>
    <n v="41"/>
    <n v="41"/>
    <n v="41"/>
    <m/>
    <m/>
    <m/>
    <m/>
    <m/>
    <m/>
    <m/>
    <n v="0"/>
    <n v="0"/>
    <n v="0"/>
    <n v="0"/>
    <n v="0"/>
    <n v="0"/>
    <n v="0"/>
    <n v="0"/>
    <n v="0"/>
    <n v="0"/>
    <n v="0"/>
    <n v="0"/>
    <n v="0"/>
    <n v="0"/>
    <n v="0"/>
    <n v="0"/>
    <n v="0"/>
    <n v="0"/>
    <s v="MMR001CMP091"/>
    <x v="0"/>
    <x v="1"/>
    <s v="P4"/>
    <n v="4.1340401731433294E-4"/>
    <s v="No"/>
  </r>
  <r>
    <n v="48.733333333333334"/>
    <d v="2012-12-31T00:00:00"/>
    <x v="3"/>
    <s v="DRC"/>
    <s v="Kachin"/>
    <s v="Hpakant"/>
    <s v="Maw Wan, Mu-yin Baptist Church"/>
    <n v="2"/>
    <m/>
    <m/>
    <m/>
    <m/>
    <m/>
    <m/>
    <m/>
    <n v="0"/>
    <n v="0"/>
    <m/>
    <m/>
    <m/>
    <m/>
    <m/>
    <m/>
    <m/>
    <n v="0"/>
    <n v="0"/>
    <n v="0"/>
    <n v="0"/>
    <n v="0"/>
    <n v="0"/>
    <n v="0"/>
    <n v="0"/>
    <n v="0"/>
    <n v="0"/>
    <n v="0"/>
    <n v="0"/>
    <n v="0"/>
    <n v="0"/>
    <n v="0"/>
    <n v="0"/>
    <n v="0"/>
    <n v="0"/>
    <s v="MMR001CMP091"/>
    <x v="0"/>
    <x v="1"/>
    <s v="P4"/>
    <n v="0"/>
    <s v="No"/>
  </r>
  <r>
    <n v="37.6"/>
    <d v="2013-11-30T00:00:00"/>
    <x v="5"/>
    <s v="MDCG"/>
    <s v="Shan_North"/>
    <s v="Kutkai"/>
    <s v="Mine Yu Lay village"/>
    <m/>
    <m/>
    <m/>
    <m/>
    <m/>
    <n v="258"/>
    <m/>
    <m/>
    <m/>
    <m/>
    <n v="349"/>
    <n v="175"/>
    <n v="0"/>
    <m/>
    <m/>
    <m/>
    <m/>
    <n v="0"/>
    <n v="0"/>
    <n v="0"/>
    <n v="0"/>
    <n v="0"/>
    <n v="0"/>
    <n v="0"/>
    <n v="0"/>
    <n v="0"/>
    <n v="0"/>
    <n v="0"/>
    <n v="0"/>
    <n v="0"/>
    <n v="0"/>
    <n v="1"/>
    <n v="0"/>
    <n v="0"/>
    <n v="0"/>
    <s v="MMR015CMP018"/>
    <x v="0"/>
    <x v="1"/>
    <s v="P3"/>
    <n v="0"/>
    <s v="No"/>
  </r>
  <r>
    <n v="41.233333333333334"/>
    <d v="2013-08-13T00:00:00"/>
    <x v="0"/>
    <s v="KBC"/>
    <s v="Shan_North"/>
    <s v="Kutkai"/>
    <s v="Mine Yu Lay village"/>
    <m/>
    <m/>
    <n v="113"/>
    <n v="160"/>
    <n v="32"/>
    <n v="160"/>
    <n v="32"/>
    <n v="32"/>
    <n v="32"/>
    <n v="32"/>
    <m/>
    <m/>
    <m/>
    <m/>
    <m/>
    <m/>
    <m/>
    <n v="0"/>
    <n v="0"/>
    <n v="0"/>
    <n v="0"/>
    <n v="0"/>
    <n v="0"/>
    <n v="0"/>
    <n v="0"/>
    <n v="0"/>
    <n v="0"/>
    <n v="0"/>
    <n v="0"/>
    <n v="0"/>
    <n v="0"/>
    <n v="0"/>
    <n v="0"/>
    <n v="0"/>
    <n v="0"/>
    <s v="MMR015CMP018"/>
    <x v="0"/>
    <x v="1"/>
    <s v="P3"/>
    <n v="7.7528770442156269E-4"/>
    <s v="No"/>
  </r>
  <r>
    <n v="3.1"/>
    <d v="2016-09-30T00:00:00"/>
    <x v="4"/>
    <s v="Solidarities"/>
    <s v="Kachin"/>
    <s v="Momauk"/>
    <s v="Momauk Baptist Church"/>
    <m/>
    <m/>
    <m/>
    <m/>
    <m/>
    <m/>
    <m/>
    <m/>
    <m/>
    <m/>
    <m/>
    <m/>
    <m/>
    <m/>
    <n v="1"/>
    <m/>
    <m/>
    <n v="0"/>
    <n v="0"/>
    <n v="0"/>
    <n v="0"/>
    <n v="0"/>
    <n v="0"/>
    <n v="0"/>
    <n v="0"/>
    <n v="0"/>
    <n v="0"/>
    <n v="0"/>
    <n v="0"/>
    <n v="0"/>
    <n v="0"/>
    <n v="0"/>
    <n v="1"/>
    <n v="0"/>
    <n v="0"/>
    <s v="MMR001CMP056"/>
    <x v="0"/>
    <x v="1"/>
    <s v="P4"/>
    <n v="0"/>
    <m/>
  </r>
  <r>
    <n v="19.233333333333334"/>
    <d v="2015-06-04T00:00:00"/>
    <x v="0"/>
    <s v="KBC"/>
    <s v="Kachin"/>
    <s v="Momauk"/>
    <s v="Momauk Baptist Church"/>
    <m/>
    <m/>
    <m/>
    <m/>
    <n v="80"/>
    <m/>
    <m/>
    <m/>
    <m/>
    <m/>
    <m/>
    <m/>
    <m/>
    <m/>
    <m/>
    <m/>
    <m/>
    <n v="0"/>
    <n v="0"/>
    <n v="0"/>
    <n v="0"/>
    <n v="0"/>
    <n v="0"/>
    <n v="0"/>
    <n v="0"/>
    <n v="0"/>
    <n v="0"/>
    <n v="0"/>
    <n v="0"/>
    <n v="0"/>
    <n v="0"/>
    <n v="0"/>
    <n v="0"/>
    <n v="0"/>
    <n v="0"/>
    <s v="MMR001CMP056"/>
    <x v="0"/>
    <x v="1"/>
    <s v="P4"/>
    <n v="0"/>
    <s v="No"/>
  </r>
  <r>
    <n v="29.833333333333332"/>
    <d v="2014-07-21T00:00:00"/>
    <x v="0"/>
    <m/>
    <s v="Kachin"/>
    <s v="Momauk"/>
    <s v="Momauk Baptist Church"/>
    <m/>
    <m/>
    <m/>
    <m/>
    <n v="75"/>
    <m/>
    <m/>
    <m/>
    <m/>
    <m/>
    <m/>
    <m/>
    <m/>
    <m/>
    <m/>
    <m/>
    <m/>
    <n v="0"/>
    <n v="0"/>
    <n v="0"/>
    <n v="0"/>
    <n v="0"/>
    <n v="0"/>
    <n v="0"/>
    <n v="0"/>
    <n v="0"/>
    <n v="0"/>
    <n v="0"/>
    <n v="0"/>
    <n v="0"/>
    <n v="0"/>
    <n v="0"/>
    <n v="0"/>
    <n v="0"/>
    <n v="0"/>
    <s v="MMR001CMP056"/>
    <x v="0"/>
    <x v="1"/>
    <s v="P4"/>
    <n v="0"/>
    <m/>
  </r>
  <r>
    <n v="30.7"/>
    <d v="2014-06-25T00:00:00"/>
    <x v="8"/>
    <s v="MRCS"/>
    <s v="Kachin"/>
    <s v="Momauk"/>
    <s v="Momauk Baptist Church"/>
    <m/>
    <m/>
    <m/>
    <m/>
    <m/>
    <m/>
    <m/>
    <m/>
    <m/>
    <m/>
    <m/>
    <m/>
    <m/>
    <n v="832"/>
    <m/>
    <m/>
    <m/>
    <n v="0"/>
    <n v="0"/>
    <n v="0"/>
    <n v="0"/>
    <n v="0"/>
    <n v="0"/>
    <n v="0"/>
    <n v="0"/>
    <n v="0"/>
    <n v="0"/>
    <n v="0"/>
    <n v="0"/>
    <n v="0"/>
    <n v="0"/>
    <n v="1"/>
    <n v="0"/>
    <n v="0"/>
    <n v="0"/>
    <s v="MMR001CMP056"/>
    <x v="0"/>
    <x v="1"/>
    <s v="P4"/>
    <n v="0"/>
    <m/>
  </r>
  <r>
    <n v="37.733333333333334"/>
    <d v="2013-11-26T00:00:00"/>
    <x v="4"/>
    <s v="Solidarities"/>
    <s v="Kachin"/>
    <s v="Mansi"/>
    <s v="Lagatyan "/>
    <m/>
    <m/>
    <m/>
    <m/>
    <m/>
    <m/>
    <m/>
    <m/>
    <m/>
    <m/>
    <n v="80"/>
    <n v="160"/>
    <n v="480"/>
    <n v="240"/>
    <m/>
    <m/>
    <m/>
    <n v="0"/>
    <n v="0"/>
    <n v="0"/>
    <n v="0"/>
    <n v="0"/>
    <n v="0"/>
    <n v="0"/>
    <n v="0"/>
    <n v="0"/>
    <n v="0"/>
    <n v="0"/>
    <n v="0"/>
    <n v="0"/>
    <n v="0"/>
    <n v="1"/>
    <n v="0"/>
    <n v="0"/>
    <n v="0"/>
    <s v="MMR001CMP202"/>
    <x v="0"/>
    <x v="0"/>
    <s v="P4"/>
    <n v="0"/>
    <m/>
  </r>
  <r>
    <n v="31.4"/>
    <d v="2014-06-04T00:00:00"/>
    <x v="0"/>
    <s v="KBC"/>
    <s v="Kachin"/>
    <s v="Momauk"/>
    <s v="Momauk Baptist Church"/>
    <m/>
    <m/>
    <m/>
    <m/>
    <n v="80"/>
    <m/>
    <m/>
    <m/>
    <m/>
    <m/>
    <m/>
    <m/>
    <m/>
    <m/>
    <m/>
    <m/>
    <m/>
    <n v="0"/>
    <n v="0"/>
    <n v="0"/>
    <n v="0"/>
    <n v="0"/>
    <n v="0"/>
    <n v="0"/>
    <n v="0"/>
    <n v="0"/>
    <n v="0"/>
    <n v="0"/>
    <n v="0"/>
    <n v="0"/>
    <n v="0"/>
    <n v="0"/>
    <n v="0"/>
    <n v="0"/>
    <n v="0"/>
    <s v="MMR001CMP056"/>
    <x v="0"/>
    <x v="1"/>
    <s v="P4"/>
    <n v="0"/>
    <s v="No"/>
  </r>
  <r>
    <n v="32.1"/>
    <d v="2014-05-14T00:00:00"/>
    <x v="0"/>
    <s v="UNHCR"/>
    <s v="Kachin"/>
    <s v="Momauk"/>
    <s v="Momauk Baptist Church"/>
    <m/>
    <m/>
    <n v="5"/>
    <n v="6"/>
    <n v="32"/>
    <n v="6"/>
    <n v="2"/>
    <n v="2"/>
    <n v="2"/>
    <n v="10"/>
    <m/>
    <m/>
    <m/>
    <m/>
    <m/>
    <m/>
    <m/>
    <n v="0"/>
    <n v="0"/>
    <n v="0"/>
    <n v="0"/>
    <n v="0"/>
    <n v="0"/>
    <n v="0"/>
    <n v="0"/>
    <n v="0"/>
    <n v="0"/>
    <n v="0"/>
    <n v="0"/>
    <n v="0"/>
    <n v="0"/>
    <n v="0"/>
    <n v="0"/>
    <n v="0"/>
    <n v="0"/>
    <s v="MMR001CMP056"/>
    <x v="0"/>
    <x v="1"/>
    <s v="P4"/>
    <n v="4.9146086742843099E-5"/>
    <s v="No"/>
  </r>
  <r>
    <n v="32.866666666666667"/>
    <d v="2014-04-21T00:00:00"/>
    <x v="0"/>
    <s v="UNHCR"/>
    <s v="Kachin"/>
    <s v="Momauk"/>
    <s v="Momauk Baptist Church"/>
    <m/>
    <m/>
    <n v="15"/>
    <n v="16"/>
    <n v="50"/>
    <n v="16"/>
    <n v="7"/>
    <n v="7"/>
    <n v="7"/>
    <n v="13"/>
    <m/>
    <m/>
    <m/>
    <m/>
    <m/>
    <m/>
    <m/>
    <n v="0"/>
    <n v="0"/>
    <n v="0"/>
    <n v="0"/>
    <n v="0"/>
    <n v="0"/>
    <n v="0"/>
    <n v="0"/>
    <n v="0"/>
    <n v="0"/>
    <n v="0"/>
    <n v="0"/>
    <n v="0"/>
    <n v="0"/>
    <n v="0"/>
    <n v="0"/>
    <n v="0"/>
    <n v="0"/>
    <s v="MMR001CMP056"/>
    <x v="0"/>
    <x v="1"/>
    <s v="P4"/>
    <n v="1.7201130359995086E-4"/>
    <s v="No"/>
  </r>
  <r>
    <n v="33"/>
    <d v="2014-04-17T00:00:00"/>
    <x v="0"/>
    <s v="UNHCR"/>
    <s v="Kachin"/>
    <s v="Momauk"/>
    <s v="Momauk Baptist Church"/>
    <m/>
    <m/>
    <m/>
    <n v="8"/>
    <n v="4"/>
    <n v="12"/>
    <n v="4"/>
    <n v="4"/>
    <n v="4"/>
    <n v="41"/>
    <m/>
    <m/>
    <m/>
    <m/>
    <m/>
    <m/>
    <m/>
    <n v="0"/>
    <n v="0"/>
    <n v="0"/>
    <n v="0"/>
    <n v="0"/>
    <n v="0"/>
    <n v="0"/>
    <n v="0"/>
    <n v="0"/>
    <n v="0"/>
    <n v="0"/>
    <n v="0"/>
    <n v="0"/>
    <n v="0"/>
    <n v="0"/>
    <n v="0"/>
    <n v="0"/>
    <n v="0"/>
    <s v="MMR001CMP056"/>
    <x v="0"/>
    <x v="1"/>
    <s v="P4"/>
    <n v="9.8292173485686198E-5"/>
    <s v="No"/>
  </r>
  <r>
    <n v="33.1"/>
    <d v="2014-04-14T00:00:00"/>
    <x v="0"/>
    <s v="UNHCR"/>
    <s v="Kachin"/>
    <s v="Momauk"/>
    <s v="Momauk Baptist Church"/>
    <m/>
    <m/>
    <m/>
    <n v="10"/>
    <n v="5"/>
    <n v="15"/>
    <n v="5"/>
    <n v="5"/>
    <n v="5"/>
    <m/>
    <m/>
    <m/>
    <m/>
    <m/>
    <m/>
    <m/>
    <m/>
    <n v="0"/>
    <n v="0"/>
    <n v="0"/>
    <n v="0"/>
    <n v="0"/>
    <n v="0"/>
    <n v="0"/>
    <n v="0"/>
    <n v="0"/>
    <n v="0"/>
    <n v="0"/>
    <n v="0"/>
    <n v="0"/>
    <n v="0"/>
    <n v="0"/>
    <n v="0"/>
    <n v="0"/>
    <n v="0"/>
    <s v="MMR001CMP056"/>
    <x v="0"/>
    <x v="1"/>
    <s v="P4"/>
    <n v="1.2286521685710776E-4"/>
    <s v="No"/>
  </r>
  <r>
    <n v="37.5"/>
    <d v="2013-12-03T00:00:00"/>
    <x v="0"/>
    <s v="UNHCR"/>
    <s v="Kachin"/>
    <s v="Momauk"/>
    <s v="Momauk Baptist Church"/>
    <m/>
    <m/>
    <m/>
    <n v="25"/>
    <n v="13"/>
    <n v="25"/>
    <n v="13"/>
    <n v="13"/>
    <m/>
    <m/>
    <m/>
    <m/>
    <m/>
    <m/>
    <m/>
    <m/>
    <m/>
    <n v="0"/>
    <n v="0"/>
    <n v="0"/>
    <n v="0"/>
    <n v="0"/>
    <n v="0"/>
    <n v="0"/>
    <n v="0"/>
    <n v="0"/>
    <n v="0"/>
    <n v="0"/>
    <n v="0"/>
    <n v="0"/>
    <n v="0"/>
    <n v="0"/>
    <n v="0"/>
    <n v="0"/>
    <n v="0"/>
    <s v="MMR001CMP056"/>
    <x v="0"/>
    <x v="1"/>
    <s v="P4"/>
    <n v="3.1944956382848013E-4"/>
    <s v="No"/>
  </r>
  <r>
    <n v="37.799999999999997"/>
    <d v="2013-11-24T00:00:00"/>
    <x v="4"/>
    <s v="Solidarities"/>
    <s v="Kachin"/>
    <s v="Mansi"/>
    <s v="Ban Hkung (School)"/>
    <m/>
    <m/>
    <m/>
    <m/>
    <m/>
    <m/>
    <m/>
    <m/>
    <m/>
    <m/>
    <n v="24"/>
    <n v="48"/>
    <n v="144"/>
    <n v="72"/>
    <m/>
    <m/>
    <m/>
    <n v="0"/>
    <n v="0"/>
    <n v="0"/>
    <n v="0"/>
    <n v="0"/>
    <n v="0"/>
    <n v="0"/>
    <n v="0"/>
    <n v="0"/>
    <n v="0"/>
    <n v="0"/>
    <n v="0"/>
    <n v="0"/>
    <n v="0"/>
    <n v="1"/>
    <n v="0"/>
    <n v="0"/>
    <n v="0"/>
    <s v="MMR001CMP215"/>
    <x v="0"/>
    <x v="0"/>
    <s v=""/>
    <s v=""/>
    <m/>
  </r>
  <r>
    <n v="37.799999999999997"/>
    <d v="2013-11-24T00:00:00"/>
    <x v="4"/>
    <s v="Solidarities"/>
    <s v="Kachin"/>
    <s v="Mansi"/>
    <s v="Ban Hkung Yang (Boarding School)"/>
    <m/>
    <m/>
    <m/>
    <m/>
    <m/>
    <m/>
    <m/>
    <m/>
    <m/>
    <m/>
    <n v="135"/>
    <n v="270"/>
    <n v="810"/>
    <n v="405"/>
    <m/>
    <m/>
    <m/>
    <n v="0"/>
    <n v="0"/>
    <n v="0"/>
    <n v="0"/>
    <n v="0"/>
    <n v="0"/>
    <n v="0"/>
    <n v="0"/>
    <n v="0"/>
    <n v="0"/>
    <n v="0"/>
    <n v="0"/>
    <n v="0"/>
    <n v="0"/>
    <n v="1"/>
    <n v="0"/>
    <n v="0"/>
    <n v="0"/>
    <s v="MMR001CMP214"/>
    <x v="0"/>
    <x v="0"/>
    <s v=""/>
    <s v=""/>
    <m/>
  </r>
  <r>
    <n v="37.6"/>
    <d v="2013-11-30T00:00:00"/>
    <x v="4"/>
    <m/>
    <s v="Kachin"/>
    <s v="Momauk"/>
    <s v="Momauk Baptist Church"/>
    <m/>
    <m/>
    <m/>
    <m/>
    <m/>
    <m/>
    <m/>
    <m/>
    <m/>
    <n v="906"/>
    <m/>
    <m/>
    <m/>
    <m/>
    <m/>
    <m/>
    <m/>
    <n v="0"/>
    <n v="0"/>
    <n v="0"/>
    <n v="0"/>
    <n v="0"/>
    <n v="0"/>
    <n v="0"/>
    <n v="0"/>
    <n v="0"/>
    <n v="0"/>
    <n v="0"/>
    <n v="0"/>
    <n v="0"/>
    <n v="0"/>
    <n v="0"/>
    <n v="0"/>
    <n v="0"/>
    <n v="0"/>
    <s v="MMR001CMP056"/>
    <x v="0"/>
    <x v="1"/>
    <s v="P4"/>
    <n v="0"/>
    <s v="No"/>
  </r>
  <r>
    <n v="48.2"/>
    <d v="2013-01-16T00:00:00"/>
    <x v="4"/>
    <s v="Solidarities"/>
    <s v="Kachin"/>
    <s v="Momauk"/>
    <s v="Momauk Baptist Church"/>
    <n v="1215"/>
    <m/>
    <m/>
    <m/>
    <m/>
    <m/>
    <m/>
    <m/>
    <n v="0"/>
    <n v="0"/>
    <m/>
    <m/>
    <m/>
    <m/>
    <m/>
    <m/>
    <m/>
    <n v="0"/>
    <n v="0"/>
    <n v="0"/>
    <n v="0"/>
    <n v="0"/>
    <n v="0"/>
    <n v="0"/>
    <n v="0"/>
    <n v="0"/>
    <n v="0"/>
    <n v="0"/>
    <n v="0"/>
    <n v="0"/>
    <n v="0"/>
    <n v="0"/>
    <n v="0"/>
    <n v="0"/>
    <n v="0"/>
    <s v="MMR001CMP056"/>
    <x v="0"/>
    <x v="1"/>
    <s v="P4"/>
    <n v="0"/>
    <s v="No"/>
  </r>
  <r>
    <n v="54.6"/>
    <d v="2012-07-08T00:00:00"/>
    <x v="4"/>
    <s v="Solidarities"/>
    <s v="Kachin"/>
    <s v="Momauk"/>
    <s v="Momauk Baptist Church"/>
    <n v="64"/>
    <m/>
    <m/>
    <m/>
    <m/>
    <m/>
    <m/>
    <m/>
    <m/>
    <m/>
    <m/>
    <m/>
    <m/>
    <m/>
    <m/>
    <m/>
    <m/>
    <n v="0"/>
    <n v="0"/>
    <n v="0"/>
    <n v="0"/>
    <n v="0"/>
    <n v="0"/>
    <n v="0"/>
    <n v="0"/>
    <n v="0"/>
    <n v="0"/>
    <n v="0"/>
    <n v="0"/>
    <n v="0"/>
    <n v="0"/>
    <n v="0"/>
    <n v="0"/>
    <n v="0"/>
    <n v="0"/>
    <s v="MMR001CMP056"/>
    <x v="0"/>
    <x v="1"/>
    <s v="P4"/>
    <n v="0"/>
    <m/>
  </r>
  <r>
    <n v="37.9"/>
    <d v="2013-11-21T00:00:00"/>
    <x v="0"/>
    <s v="UNHCR "/>
    <s v="Kachin"/>
    <s v="Mansi"/>
    <s v="Man Kawng Baptist Church"/>
    <m/>
    <m/>
    <m/>
    <n v="400"/>
    <n v="210"/>
    <n v="400"/>
    <n v="210"/>
    <m/>
    <m/>
    <n v="210"/>
    <m/>
    <m/>
    <m/>
    <m/>
    <m/>
    <m/>
    <m/>
    <n v="0"/>
    <n v="0"/>
    <n v="0"/>
    <n v="0"/>
    <n v="0"/>
    <n v="0"/>
    <n v="0"/>
    <n v="0"/>
    <n v="0"/>
    <n v="0"/>
    <n v="0"/>
    <n v="0"/>
    <n v="0"/>
    <n v="0"/>
    <n v="0"/>
    <n v="0"/>
    <n v="0"/>
    <n v="0"/>
    <s v="MMR001CMP212"/>
    <x v="0"/>
    <x v="0"/>
    <s v=""/>
    <s v=""/>
    <s v="No"/>
  </r>
  <r>
    <n v="55.033333333333331"/>
    <d v="2012-06-25T00:00:00"/>
    <x v="0"/>
    <s v="UNHCR"/>
    <s v="Kachin"/>
    <s v="Momauk"/>
    <s v="Momauk Baptist Church"/>
    <m/>
    <m/>
    <m/>
    <n v="290"/>
    <n v="145"/>
    <n v="290"/>
    <n v="145"/>
    <n v="145"/>
    <n v="145"/>
    <n v="145"/>
    <m/>
    <m/>
    <m/>
    <m/>
    <m/>
    <m/>
    <m/>
    <n v="0"/>
    <n v="0"/>
    <n v="0"/>
    <n v="0"/>
    <n v="0"/>
    <n v="0"/>
    <n v="0"/>
    <n v="0"/>
    <n v="0"/>
    <n v="0"/>
    <n v="0"/>
    <n v="0"/>
    <n v="0"/>
    <n v="0"/>
    <n v="0"/>
    <n v="0"/>
    <n v="0"/>
    <n v="0"/>
    <s v="MMR001CMP056"/>
    <x v="0"/>
    <x v="1"/>
    <s v="P4"/>
    <n v="3.5630912888561248E-3"/>
    <s v="No"/>
  </r>
  <r>
    <n v="59.6"/>
    <d v="2012-02-09T00:00:00"/>
    <x v="4"/>
    <s v="Solidarities"/>
    <s v="Kachin"/>
    <s v="Momauk"/>
    <s v="Momauk Baptist Church"/>
    <n v="138"/>
    <m/>
    <m/>
    <m/>
    <m/>
    <m/>
    <m/>
    <m/>
    <m/>
    <m/>
    <m/>
    <m/>
    <m/>
    <m/>
    <m/>
    <m/>
    <m/>
    <n v="0"/>
    <n v="0"/>
    <n v="0"/>
    <n v="0"/>
    <n v="0"/>
    <n v="0"/>
    <n v="0"/>
    <n v="0"/>
    <n v="0"/>
    <n v="0"/>
    <n v="0"/>
    <n v="0"/>
    <n v="0"/>
    <n v="0"/>
    <n v="0"/>
    <n v="0"/>
    <n v="0"/>
    <n v="0"/>
    <s v="MMR001CMP056"/>
    <x v="0"/>
    <x v="1"/>
    <s v="P4"/>
    <n v="0"/>
    <m/>
  </r>
  <r>
    <n v="41.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1"/>
    <s v="P1"/>
    <n v="5.6390516586167158E-4"/>
    <s v="No"/>
  </r>
  <r>
    <n v="47.1"/>
    <d v="2013-02-18T00:00:00"/>
    <x v="0"/>
    <s v="KBC"/>
    <s v="Shan_North"/>
    <s v="Kutkai"/>
    <s v="Mungji Pa Dabang (Baptist Church)         "/>
    <m/>
    <m/>
    <n v="93"/>
    <n v="93"/>
    <n v="46"/>
    <n v="93"/>
    <n v="46"/>
    <n v="46"/>
    <n v="46"/>
    <n v="46"/>
    <m/>
    <m/>
    <m/>
    <m/>
    <m/>
    <m/>
    <m/>
    <n v="0"/>
    <n v="0"/>
    <n v="0"/>
    <n v="0"/>
    <n v="0"/>
    <n v="0"/>
    <n v="0"/>
    <n v="0"/>
    <n v="0"/>
    <n v="0"/>
    <n v="0"/>
    <n v="0"/>
    <n v="0"/>
    <n v="0"/>
    <n v="0"/>
    <n v="0"/>
    <n v="0"/>
    <n v="0"/>
    <s v="MMR015CMP006"/>
    <x v="0"/>
    <x v="1"/>
    <s v="P1"/>
    <n v="1.1278103317233432E-3"/>
    <s v="No"/>
  </r>
  <r>
    <n v="1.1333333333333333"/>
    <d v="2016-11-28T00:00:00"/>
    <x v="0"/>
    <s v="KBC"/>
    <s v="Shan_North"/>
    <s v="Muse"/>
    <s v="Muse Baptist Church"/>
    <m/>
    <m/>
    <m/>
    <n v="76"/>
    <n v="38"/>
    <n v="76"/>
    <m/>
    <m/>
    <n v="38"/>
    <n v="114"/>
    <m/>
    <m/>
    <m/>
    <m/>
    <m/>
    <m/>
    <m/>
    <n v="0"/>
    <n v="0"/>
    <n v="0"/>
    <n v="76"/>
    <n v="38"/>
    <n v="76"/>
    <n v="0"/>
    <n v="0"/>
    <n v="38"/>
    <n v="285"/>
    <n v="0"/>
    <n v="0"/>
    <n v="0"/>
    <n v="0"/>
    <n v="0"/>
    <n v="0"/>
    <n v="0"/>
    <n v="0"/>
    <s v="MMR015CMP213"/>
    <x v="1"/>
    <x v="1"/>
    <s v="P4"/>
    <n v="0"/>
    <m/>
  </r>
  <r>
    <n v="37.966666666666669"/>
    <d v="2013-11-19T00:00:00"/>
    <x v="0"/>
    <s v="UNHCR"/>
    <s v="Kachin"/>
    <s v="Bhamo"/>
    <s v="Thu Kha Waddy"/>
    <m/>
    <m/>
    <m/>
    <n v="13"/>
    <n v="9"/>
    <n v="13"/>
    <n v="9"/>
    <n v="9"/>
    <m/>
    <m/>
    <m/>
    <m/>
    <m/>
    <m/>
    <m/>
    <m/>
    <m/>
    <n v="0"/>
    <n v="0"/>
    <n v="0"/>
    <n v="0"/>
    <n v="0"/>
    <n v="0"/>
    <n v="0"/>
    <n v="0"/>
    <n v="0"/>
    <n v="0"/>
    <n v="0"/>
    <n v="0"/>
    <n v="0"/>
    <n v="0"/>
    <n v="0"/>
    <n v="0"/>
    <n v="0"/>
    <n v="0"/>
    <s v="MMR001CMP211"/>
    <x v="0"/>
    <x v="0"/>
    <s v=""/>
    <s v=""/>
    <s v="No"/>
  </r>
  <r>
    <n v="32.200000000000003"/>
    <d v="2014-05-11T00:00:00"/>
    <x v="0"/>
    <m/>
    <s v="Shan_North"/>
    <s v="Muse"/>
    <s v="Muse Baptist Church"/>
    <m/>
    <m/>
    <m/>
    <n v="138"/>
    <n v="19"/>
    <n v="238"/>
    <n v="19"/>
    <n v="0"/>
    <n v="19"/>
    <n v="95"/>
    <m/>
    <m/>
    <m/>
    <m/>
    <m/>
    <m/>
    <m/>
    <n v="0"/>
    <n v="0"/>
    <n v="0"/>
    <n v="0"/>
    <n v="0"/>
    <n v="0"/>
    <n v="0"/>
    <n v="0"/>
    <n v="0"/>
    <n v="0"/>
    <n v="0"/>
    <n v="0"/>
    <n v="0"/>
    <n v="0"/>
    <n v="0"/>
    <n v="0"/>
    <n v="0"/>
    <n v="0"/>
    <s v="MMR015CMP213"/>
    <x v="1"/>
    <x v="1"/>
    <s v="P4"/>
    <n v="4.5560271443301442E-4"/>
    <m/>
  </r>
  <r>
    <n v="32.200000000000003"/>
    <d v="2014-05-11T00:00:00"/>
    <x v="0"/>
    <m/>
    <s v="Shan_North"/>
    <s v="Muse"/>
    <s v="Muse Baptist Church"/>
    <m/>
    <m/>
    <m/>
    <n v="162"/>
    <n v="81"/>
    <n v="162"/>
    <n v="81"/>
    <m/>
    <n v="81"/>
    <n v="405"/>
    <m/>
    <m/>
    <m/>
    <m/>
    <m/>
    <m/>
    <m/>
    <n v="0"/>
    <n v="0"/>
    <n v="0"/>
    <n v="0"/>
    <n v="0"/>
    <n v="0"/>
    <n v="0"/>
    <n v="0"/>
    <n v="0"/>
    <n v="0"/>
    <n v="0"/>
    <n v="0"/>
    <n v="0"/>
    <n v="0"/>
    <n v="0"/>
    <n v="0"/>
    <n v="0"/>
    <n v="0"/>
    <s v="MMR015CMP213"/>
    <x v="1"/>
    <x v="1"/>
    <s v="P4"/>
    <n v="1.9423063088986404E-3"/>
    <m/>
  </r>
  <r>
    <n v="32.166666666666664"/>
    <d v="2014-05-12T00:00:00"/>
    <x v="0"/>
    <m/>
    <s v="Shan_North"/>
    <s v="Muse"/>
    <s v="Muse Catholic Church"/>
    <m/>
    <m/>
    <m/>
    <n v="68"/>
    <n v="9"/>
    <n v="118"/>
    <n v="9"/>
    <n v="0"/>
    <n v="9"/>
    <n v="45"/>
    <m/>
    <m/>
    <m/>
    <m/>
    <m/>
    <m/>
    <m/>
    <n v="0"/>
    <n v="0"/>
    <n v="0"/>
    <n v="0"/>
    <n v="0"/>
    <n v="0"/>
    <n v="0"/>
    <n v="0"/>
    <n v="0"/>
    <n v="0"/>
    <n v="0"/>
    <n v="0"/>
    <n v="0"/>
    <n v="0"/>
    <n v="0"/>
    <n v="0"/>
    <n v="0"/>
    <n v="0"/>
    <s v="MMR015CMP216"/>
    <x v="1"/>
    <x v="1"/>
    <s v="P4"/>
    <n v="2.156515071644223E-4"/>
    <m/>
  </r>
  <r>
    <n v="32.166666666666664"/>
    <d v="2014-05-12T00:00:00"/>
    <x v="0"/>
    <m/>
    <s v="Shan_North"/>
    <s v="Muse"/>
    <s v="Muse Catholic Church"/>
    <m/>
    <m/>
    <m/>
    <n v="82"/>
    <n v="41"/>
    <n v="82"/>
    <n v="41"/>
    <m/>
    <n v="41"/>
    <n v="205"/>
    <m/>
    <m/>
    <m/>
    <m/>
    <m/>
    <m/>
    <m/>
    <n v="0"/>
    <n v="0"/>
    <n v="0"/>
    <n v="0"/>
    <n v="0"/>
    <n v="0"/>
    <n v="0"/>
    <n v="0"/>
    <n v="0"/>
    <n v="0"/>
    <n v="0"/>
    <n v="0"/>
    <n v="0"/>
    <n v="0"/>
    <n v="0"/>
    <n v="0"/>
    <n v="0"/>
    <n v="0"/>
    <s v="MMR015CMP216"/>
    <x v="1"/>
    <x v="1"/>
    <s v="P4"/>
    <n v="9.8241242152681259E-4"/>
    <m/>
  </r>
  <r>
    <n v="9.1999999999999993"/>
    <d v="2016-03-31T00:00:00"/>
    <x v="0"/>
    <s v="Shalom"/>
    <s v="Kachin"/>
    <s v="Bhamo"/>
    <s v="Mu-yin Baptist Church"/>
    <m/>
    <m/>
    <m/>
    <m/>
    <n v="4"/>
    <m/>
    <m/>
    <m/>
    <m/>
    <m/>
    <m/>
    <m/>
    <m/>
    <m/>
    <m/>
    <m/>
    <m/>
    <n v="0"/>
    <n v="0"/>
    <n v="0"/>
    <n v="0"/>
    <n v="4"/>
    <n v="0"/>
    <n v="0"/>
    <n v="0"/>
    <n v="0"/>
    <n v="0"/>
    <n v="0"/>
    <n v="0"/>
    <n v="0"/>
    <n v="0"/>
    <n v="0"/>
    <n v="0"/>
    <n v="0"/>
    <n v="0"/>
    <s v="MMR001CMP051"/>
    <x v="0"/>
    <x v="1"/>
    <s v="P4"/>
    <n v="0"/>
    <m/>
  </r>
  <r>
    <n v="21.3"/>
    <d v="2015-04-03T00:00:00"/>
    <x v="0"/>
    <s v="Shalom-BM"/>
    <s v="Kachin"/>
    <s v="Bhamo"/>
    <s v="Mu-yin Baptist Church"/>
    <m/>
    <m/>
    <m/>
    <m/>
    <n v="3"/>
    <n v="53"/>
    <m/>
    <m/>
    <n v="3"/>
    <n v="11"/>
    <m/>
    <m/>
    <m/>
    <m/>
    <n v="3"/>
    <m/>
    <m/>
    <n v="0"/>
    <n v="0"/>
    <n v="0"/>
    <n v="0"/>
    <n v="0"/>
    <n v="0"/>
    <n v="0"/>
    <n v="0"/>
    <n v="0"/>
    <n v="0"/>
    <n v="0"/>
    <n v="0"/>
    <n v="0"/>
    <n v="0"/>
    <n v="0"/>
    <n v="0"/>
    <n v="0"/>
    <n v="0"/>
    <s v="MMR001CMP051"/>
    <x v="0"/>
    <x v="1"/>
    <s v="P4"/>
    <n v="0"/>
    <s v="No"/>
  </r>
  <r>
    <n v="38.1"/>
    <d v="2013-11-15T00:00:00"/>
    <x v="4"/>
    <s v="LDO"/>
    <s v="Kachin"/>
    <s v="Mansi"/>
    <s v="Lung Kawk  ( Hka Hkye Zup)"/>
    <m/>
    <m/>
    <m/>
    <m/>
    <m/>
    <m/>
    <m/>
    <m/>
    <m/>
    <m/>
    <n v="54"/>
    <n v="106"/>
    <n v="320"/>
    <n v="160"/>
    <m/>
    <m/>
    <m/>
    <n v="0"/>
    <n v="0"/>
    <n v="0"/>
    <n v="0"/>
    <n v="0"/>
    <n v="0"/>
    <n v="0"/>
    <n v="0"/>
    <n v="0"/>
    <n v="0"/>
    <n v="0"/>
    <n v="0"/>
    <n v="0"/>
    <n v="0"/>
    <n v="1"/>
    <n v="0"/>
    <n v="0"/>
    <n v="0"/>
    <s v="MMR001CMP135"/>
    <x v="0"/>
    <x v="0"/>
    <s v="P2"/>
    <n v="0"/>
    <m/>
  </r>
  <r>
    <n v="32.033333333333331"/>
    <d v="2014-05-16T00:00:00"/>
    <x v="0"/>
    <s v="UNHCR"/>
    <s v="Kachin"/>
    <s v="Bhamo"/>
    <s v="Mu-yin Baptist Church"/>
    <m/>
    <m/>
    <m/>
    <n v="10"/>
    <n v="4"/>
    <n v="10"/>
    <n v="4"/>
    <n v="4"/>
    <n v="4"/>
    <n v="18"/>
    <m/>
    <m/>
    <m/>
    <m/>
    <m/>
    <m/>
    <m/>
    <n v="0"/>
    <n v="0"/>
    <n v="0"/>
    <n v="0"/>
    <n v="0"/>
    <n v="0"/>
    <n v="0"/>
    <n v="0"/>
    <n v="0"/>
    <n v="0"/>
    <n v="0"/>
    <n v="0"/>
    <n v="0"/>
    <n v="0"/>
    <n v="0"/>
    <n v="0"/>
    <n v="0"/>
    <n v="0"/>
    <s v="MMR001CMP051"/>
    <x v="0"/>
    <x v="1"/>
    <s v="P4"/>
    <n v="9.7127455503484453E-5"/>
    <s v="No"/>
  </r>
  <r>
    <n v="38.1"/>
    <d v="2013-11-15T00:00:00"/>
    <x v="0"/>
    <s v="UNHCR "/>
    <s v="Kachin"/>
    <s v="Bhamo"/>
    <m/>
    <m/>
    <m/>
    <m/>
    <m/>
    <n v="12"/>
    <m/>
    <m/>
    <m/>
    <m/>
    <m/>
    <m/>
    <m/>
    <m/>
    <m/>
    <m/>
    <m/>
    <m/>
    <n v="0"/>
    <n v="0"/>
    <n v="0"/>
    <n v="0"/>
    <n v="0"/>
    <n v="0"/>
    <n v="0"/>
    <n v="0"/>
    <n v="0"/>
    <n v="0"/>
    <n v="0"/>
    <n v="0"/>
    <n v="0"/>
    <n v="0"/>
    <n v="0"/>
    <n v="0"/>
    <n v="0"/>
    <n v="0"/>
    <s v=""/>
    <x v="2"/>
    <x v="2"/>
    <s v=""/>
    <s v=""/>
    <s v="No"/>
  </r>
  <r>
    <n v="33.5"/>
    <d v="2014-04-02T00:00:00"/>
    <x v="0"/>
    <s v="UNHCR"/>
    <s v="Kachin"/>
    <s v="Bhamo"/>
    <s v="Mu-yin Baptist Church"/>
    <m/>
    <m/>
    <m/>
    <m/>
    <n v="1"/>
    <n v="3"/>
    <n v="2"/>
    <m/>
    <n v="3"/>
    <m/>
    <m/>
    <m/>
    <m/>
    <m/>
    <m/>
    <m/>
    <m/>
    <n v="0"/>
    <n v="0"/>
    <n v="0"/>
    <n v="0"/>
    <n v="0"/>
    <n v="0"/>
    <n v="0"/>
    <n v="0"/>
    <n v="0"/>
    <n v="0"/>
    <n v="0"/>
    <n v="0"/>
    <n v="0"/>
    <n v="0"/>
    <n v="0"/>
    <n v="0"/>
    <n v="0"/>
    <n v="0"/>
    <s v="MMR001CMP051"/>
    <x v="0"/>
    <x v="1"/>
    <s v="P4"/>
    <n v="4.8563727751742226E-5"/>
    <s v="No"/>
  </r>
  <r>
    <n v="38.133333333333333"/>
    <d v="2013-11-14T00:00:00"/>
    <x v="4"/>
    <s v="Solidarities"/>
    <s v="Kachin"/>
    <s v="Mansi"/>
    <s v="Lagatyan "/>
    <m/>
    <m/>
    <m/>
    <m/>
    <m/>
    <m/>
    <m/>
    <m/>
    <m/>
    <m/>
    <n v="120"/>
    <n v="207"/>
    <n v="654"/>
    <n v="327"/>
    <m/>
    <m/>
    <m/>
    <n v="0"/>
    <n v="0"/>
    <n v="0"/>
    <n v="0"/>
    <n v="0"/>
    <n v="0"/>
    <n v="0"/>
    <n v="0"/>
    <n v="0"/>
    <n v="0"/>
    <n v="0"/>
    <n v="0"/>
    <n v="0"/>
    <n v="0"/>
    <n v="1"/>
    <n v="0"/>
    <n v="0"/>
    <n v="0"/>
    <s v="MMR001CMP202"/>
    <x v="0"/>
    <x v="0"/>
    <s v="P4"/>
    <n v="0"/>
    <m/>
  </r>
  <r>
    <n v="37.733333333333334"/>
    <d v="2013-11-26T00:00:00"/>
    <x v="0"/>
    <s v="UNHCR"/>
    <s v="Kachin"/>
    <s v="Bhamo"/>
    <s v="Mu-yin Baptist Church"/>
    <m/>
    <m/>
    <m/>
    <n v="22"/>
    <n v="11"/>
    <n v="22"/>
    <n v="11"/>
    <n v="11"/>
    <m/>
    <m/>
    <m/>
    <m/>
    <m/>
    <m/>
    <m/>
    <m/>
    <m/>
    <n v="0"/>
    <n v="0"/>
    <n v="0"/>
    <n v="0"/>
    <n v="0"/>
    <n v="0"/>
    <n v="0"/>
    <n v="0"/>
    <n v="0"/>
    <n v="0"/>
    <n v="0"/>
    <n v="0"/>
    <n v="0"/>
    <n v="0"/>
    <n v="0"/>
    <n v="0"/>
    <n v="0"/>
    <n v="0"/>
    <s v="MMR001CMP051"/>
    <x v="0"/>
    <x v="1"/>
    <s v="P4"/>
    <n v="2.6710050263458222E-4"/>
    <s v="No"/>
  </r>
  <r>
    <n v="4.9333333333333336"/>
    <d v="2016-08-06T00:00:00"/>
    <x v="0"/>
    <s v="KMSS"/>
    <s v="Kachin"/>
    <s v="Hpakant"/>
    <s v="Muyin church (Aung Yar pre-school compound)"/>
    <m/>
    <n v="25"/>
    <n v="25"/>
    <n v="38"/>
    <n v="25"/>
    <n v="49"/>
    <n v="25"/>
    <m/>
    <n v="25"/>
    <n v="47"/>
    <m/>
    <m/>
    <m/>
    <m/>
    <n v="25"/>
    <m/>
    <m/>
    <m/>
    <m/>
    <m/>
    <m/>
    <m/>
    <m/>
    <m/>
    <m/>
    <m/>
    <m/>
    <m/>
    <m/>
    <m/>
    <m/>
    <m/>
    <m/>
    <n v="0"/>
    <n v="0"/>
    <s v="MMR001CMP247"/>
    <x v="1"/>
    <x v="1"/>
    <n v="0"/>
    <n v="5.8707495773060309E-4"/>
    <s v="No"/>
  </r>
  <r>
    <n v="41.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1"/>
    <s v="P3"/>
    <n v="2.2350933692230047E-3"/>
    <s v="No"/>
  </r>
  <r>
    <n v="47.1"/>
    <d v="2013-02-18T00:00:00"/>
    <x v="0"/>
    <s v="KBC"/>
    <s v="Shan_North"/>
    <s v="Namhkan"/>
    <s v="Nam Hkam - Nay Win Ni (Palawng)"/>
    <m/>
    <m/>
    <n v="118"/>
    <n v="118"/>
    <n v="59"/>
    <n v="118"/>
    <n v="59"/>
    <n v="59"/>
    <n v="59"/>
    <n v="59"/>
    <m/>
    <m/>
    <m/>
    <m/>
    <m/>
    <m/>
    <m/>
    <n v="0"/>
    <n v="0"/>
    <n v="0"/>
    <n v="0"/>
    <n v="0"/>
    <n v="0"/>
    <n v="0"/>
    <n v="0"/>
    <n v="0"/>
    <n v="0"/>
    <n v="0"/>
    <n v="0"/>
    <n v="0"/>
    <n v="0"/>
    <n v="0"/>
    <n v="0"/>
    <n v="0"/>
    <n v="0"/>
    <s v="MMR015CMP004"/>
    <x v="0"/>
    <x v="1"/>
    <s v="P3"/>
    <n v="1.4179624600447018E-3"/>
    <s v="No"/>
  </r>
  <r>
    <n v="41.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1"/>
    <s v="P3"/>
    <n v="1.8347277264054015E-3"/>
    <s v="No"/>
  </r>
  <r>
    <n v="47.1"/>
    <d v="2013-02-18T00:00:00"/>
    <x v="0"/>
    <s v="KBC"/>
    <s v="Shan_North"/>
    <s v="Namhkan"/>
    <s v="Nam Hkam (KBC Jaw Wang)"/>
    <m/>
    <m/>
    <n v="139"/>
    <n v="139"/>
    <n v="70"/>
    <n v="139"/>
    <n v="70"/>
    <n v="70"/>
    <n v="70"/>
    <n v="70"/>
    <m/>
    <m/>
    <m/>
    <m/>
    <m/>
    <m/>
    <m/>
    <n v="0"/>
    <n v="0"/>
    <n v="0"/>
    <n v="0"/>
    <n v="0"/>
    <n v="0"/>
    <n v="0"/>
    <n v="0"/>
    <n v="0"/>
    <n v="0"/>
    <n v="0"/>
    <n v="0"/>
    <n v="0"/>
    <n v="0"/>
    <n v="0"/>
    <n v="0"/>
    <n v="0"/>
    <n v="0"/>
    <s v="MMR015CMP001"/>
    <x v="0"/>
    <x v="1"/>
    <s v="P3"/>
    <n v="1.7124125446450413E-3"/>
    <s v="No"/>
  </r>
  <r>
    <n v="32.866666666666667"/>
    <d v="2014-04-21T00:00:00"/>
    <x v="0"/>
    <m/>
    <s v="Shan_North"/>
    <s v="Namhkan"/>
    <s v="Nam Hkam (KBC Jaw Wang) II"/>
    <m/>
    <m/>
    <m/>
    <n v="0"/>
    <n v="1"/>
    <n v="167"/>
    <n v="1"/>
    <n v="0"/>
    <n v="1"/>
    <n v="0"/>
    <m/>
    <m/>
    <m/>
    <m/>
    <m/>
    <m/>
    <m/>
    <n v="0"/>
    <n v="0"/>
    <n v="0"/>
    <n v="0"/>
    <n v="0"/>
    <n v="0"/>
    <n v="0"/>
    <n v="0"/>
    <n v="0"/>
    <n v="0"/>
    <n v="0"/>
    <n v="0"/>
    <n v="0"/>
    <n v="0"/>
    <n v="0"/>
    <n v="0"/>
    <n v="0"/>
    <n v="0"/>
    <s v="MMR015CMP214"/>
    <x v="1"/>
    <x v="1"/>
    <s v="P4"/>
    <n v="2.3839607123274607E-5"/>
    <m/>
  </r>
  <r>
    <n v="32.866666666666667"/>
    <d v="2014-04-21T00:00:00"/>
    <x v="0"/>
    <m/>
    <s v="Shan_North"/>
    <s v="Namhkan"/>
    <s v="Nam Hkam (KBC Jaw Wang) II"/>
    <m/>
    <m/>
    <m/>
    <n v="90"/>
    <n v="49"/>
    <n v="98"/>
    <n v="49"/>
    <m/>
    <n v="49"/>
    <n v="225"/>
    <m/>
    <m/>
    <m/>
    <m/>
    <m/>
    <m/>
    <m/>
    <n v="0"/>
    <n v="0"/>
    <n v="0"/>
    <n v="0"/>
    <n v="0"/>
    <n v="0"/>
    <n v="0"/>
    <n v="0"/>
    <n v="0"/>
    <n v="0"/>
    <n v="0"/>
    <n v="0"/>
    <n v="0"/>
    <n v="0"/>
    <n v="0"/>
    <n v="0"/>
    <n v="0"/>
    <n v="0"/>
    <s v="MMR015CMP214"/>
    <x v="1"/>
    <x v="1"/>
    <s v="P4"/>
    <n v="1.1681407490404558E-3"/>
    <m/>
  </r>
  <r>
    <n v="41.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1"/>
    <s v="P3"/>
    <n v="8.0728019961837658E-4"/>
    <s v="No"/>
  </r>
  <r>
    <n v="38.366666666666667"/>
    <d v="2013-11-07T00:00:00"/>
    <x v="4"/>
    <s v="Solidarities"/>
    <s v="Kachin"/>
    <s v="Bhamo"/>
    <s v="Aung Thar Church"/>
    <m/>
    <m/>
    <m/>
    <m/>
    <m/>
    <m/>
    <m/>
    <m/>
    <m/>
    <m/>
    <n v="25"/>
    <n v="73"/>
    <n v="196"/>
    <n v="98"/>
    <m/>
    <m/>
    <m/>
    <n v="0"/>
    <n v="0"/>
    <n v="0"/>
    <n v="0"/>
    <n v="0"/>
    <n v="0"/>
    <n v="0"/>
    <n v="0"/>
    <n v="0"/>
    <n v="0"/>
    <n v="0"/>
    <n v="0"/>
    <n v="0"/>
    <n v="0"/>
    <n v="1"/>
    <n v="0"/>
    <n v="0"/>
    <n v="0"/>
    <s v="MMR001CMP194"/>
    <x v="0"/>
    <x v="0"/>
    <s v="P4"/>
    <n v="0"/>
    <m/>
  </r>
  <r>
    <n v="38.366666666666667"/>
    <d v="2013-11-07T00:00:00"/>
    <x v="0"/>
    <s v="UNHCR"/>
    <s v="Kachin"/>
    <s v="Hpakant"/>
    <s v="Baptist Church, Naung Hmee VT"/>
    <m/>
    <m/>
    <n v="13"/>
    <n v="32"/>
    <n v="15"/>
    <n v="32"/>
    <n v="15"/>
    <m/>
    <n v="15"/>
    <n v="32"/>
    <m/>
    <m/>
    <m/>
    <m/>
    <m/>
    <m/>
    <m/>
    <n v="0"/>
    <n v="0"/>
    <n v="0"/>
    <n v="0"/>
    <n v="0"/>
    <n v="0"/>
    <n v="0"/>
    <n v="0"/>
    <n v="0"/>
    <n v="0"/>
    <n v="0"/>
    <n v="0"/>
    <n v="0"/>
    <n v="0"/>
    <n v="0"/>
    <n v="0"/>
    <n v="0"/>
    <n v="0"/>
    <s v="MMR001CMP188"/>
    <x v="0"/>
    <x v="0"/>
    <s v="P4"/>
    <s v=""/>
    <s v="No"/>
  </r>
  <r>
    <n v="47.1"/>
    <d v="2013-02-18T00:00:00"/>
    <x v="0"/>
    <s v="KBC"/>
    <s v="Shan_North"/>
    <s v="Kutkai"/>
    <s v="Nam Hpak Ka Mare "/>
    <m/>
    <m/>
    <n v="86"/>
    <n v="86"/>
    <n v="43"/>
    <n v="86"/>
    <n v="43"/>
    <n v="43"/>
    <n v="43"/>
    <n v="43"/>
    <m/>
    <m/>
    <m/>
    <m/>
    <m/>
    <m/>
    <m/>
    <n v="0"/>
    <n v="0"/>
    <n v="0"/>
    <n v="0"/>
    <n v="0"/>
    <n v="0"/>
    <n v="0"/>
    <n v="0"/>
    <n v="0"/>
    <n v="0"/>
    <n v="0"/>
    <n v="0"/>
    <n v="0"/>
    <n v="0"/>
    <n v="0"/>
    <n v="0"/>
    <n v="0"/>
    <n v="0"/>
    <s v="MMR015CMP007"/>
    <x v="0"/>
    <x v="1"/>
    <s v="P3"/>
    <n v="1.0519105631390969E-3"/>
    <s v="No"/>
  </r>
  <r>
    <n v="26.1"/>
    <d v="2014-11-10T00:00:00"/>
    <x v="1"/>
    <s v="MRCS"/>
    <s v="Kachin"/>
    <s v="Hpakant"/>
    <s v="Nam Ma Phyit, COC"/>
    <m/>
    <m/>
    <m/>
    <m/>
    <m/>
    <m/>
    <m/>
    <m/>
    <m/>
    <m/>
    <n v="50"/>
    <n v="17"/>
    <m/>
    <m/>
    <m/>
    <m/>
    <m/>
    <n v="0"/>
    <n v="0"/>
    <n v="0"/>
    <n v="0"/>
    <n v="0"/>
    <n v="0"/>
    <n v="0"/>
    <n v="0"/>
    <n v="0"/>
    <n v="0"/>
    <n v="0"/>
    <n v="0"/>
    <n v="0"/>
    <n v="0"/>
    <n v="1"/>
    <n v="0"/>
    <n v="0"/>
    <n v="0"/>
    <s v="MMR001CMP192"/>
    <x v="0"/>
    <x v="1"/>
    <s v="P4"/>
    <n v="0"/>
    <m/>
  </r>
  <r>
    <n v="26.433333333333334"/>
    <d v="2014-10-31T00:00:00"/>
    <x v="0"/>
    <m/>
    <s v="Kachin"/>
    <s v="Hpakant"/>
    <s v="Nam Ma Phyit, COC"/>
    <m/>
    <m/>
    <n v="17"/>
    <n v="34"/>
    <n v="17"/>
    <n v="34"/>
    <n v="17"/>
    <m/>
    <n v="17"/>
    <n v="85"/>
    <m/>
    <m/>
    <m/>
    <m/>
    <m/>
    <m/>
    <m/>
    <n v="0"/>
    <n v="0"/>
    <n v="0"/>
    <n v="0"/>
    <n v="0"/>
    <n v="0"/>
    <n v="0"/>
    <n v="0"/>
    <n v="0"/>
    <n v="0"/>
    <n v="0"/>
    <n v="0"/>
    <n v="0"/>
    <n v="0"/>
    <n v="0"/>
    <n v="0"/>
    <n v="0"/>
    <n v="0"/>
    <s v="MMR001CMP192"/>
    <x v="0"/>
    <x v="1"/>
    <s v="P4"/>
    <n v="4.1187159297395516E-4"/>
    <m/>
  </r>
  <r>
    <n v="27.433333333333334"/>
    <d v="2014-10-01T00:00:00"/>
    <x v="0"/>
    <s v="Shalom"/>
    <s v="Kachin"/>
    <s v="Hpakant"/>
    <s v="Nam Ma Phyit, COC"/>
    <m/>
    <m/>
    <m/>
    <n v="36"/>
    <m/>
    <m/>
    <m/>
    <m/>
    <m/>
    <m/>
    <m/>
    <m/>
    <m/>
    <m/>
    <m/>
    <m/>
    <m/>
    <n v="0"/>
    <n v="0"/>
    <n v="0"/>
    <n v="0"/>
    <n v="0"/>
    <n v="0"/>
    <n v="0"/>
    <n v="0"/>
    <n v="0"/>
    <n v="0"/>
    <n v="0"/>
    <n v="0"/>
    <n v="0"/>
    <n v="0"/>
    <n v="0"/>
    <n v="0"/>
    <n v="0"/>
    <n v="0"/>
    <s v="MMR001CMP192"/>
    <x v="0"/>
    <x v="1"/>
    <s v="P4"/>
    <n v="0"/>
    <m/>
  </r>
  <r>
    <n v="44"/>
    <d v="2013-05-22T00:00:00"/>
    <x v="0"/>
    <s v="UNHCR"/>
    <s v="Kachin"/>
    <s v="Hpakant"/>
    <s v="Nam Ma Phyit, COC"/>
    <m/>
    <m/>
    <n v="34"/>
    <n v="61"/>
    <n v="30"/>
    <n v="61"/>
    <n v="30"/>
    <n v="30"/>
    <n v="30"/>
    <n v="30"/>
    <m/>
    <m/>
    <m/>
    <m/>
    <m/>
    <m/>
    <m/>
    <n v="0"/>
    <n v="0"/>
    <n v="0"/>
    <n v="0"/>
    <n v="0"/>
    <n v="0"/>
    <n v="0"/>
    <n v="0"/>
    <n v="0"/>
    <n v="0"/>
    <n v="0"/>
    <n v="0"/>
    <n v="0"/>
    <n v="0"/>
    <n v="0"/>
    <n v="0"/>
    <n v="0"/>
    <n v="0"/>
    <s v="MMR001CMP192"/>
    <x v="0"/>
    <x v="1"/>
    <s v="P4"/>
    <n v="7.2683222289521504E-4"/>
    <s v="No"/>
  </r>
  <r>
    <n v="47.06666666666667"/>
    <d v="2013-02-19T00:00:00"/>
    <x v="0"/>
    <s v="UNHCR"/>
    <s v="Kachin"/>
    <s v="Hpakant"/>
    <s v="Nam Ma Phyit, COC"/>
    <m/>
    <m/>
    <n v="19"/>
    <n v="30"/>
    <n v="18"/>
    <n v="68"/>
    <n v="18"/>
    <n v="18"/>
    <n v="18"/>
    <n v="18"/>
    <m/>
    <m/>
    <m/>
    <m/>
    <m/>
    <m/>
    <m/>
    <n v="0"/>
    <n v="0"/>
    <n v="0"/>
    <n v="0"/>
    <n v="0"/>
    <n v="0"/>
    <n v="0"/>
    <n v="0"/>
    <n v="0"/>
    <n v="0"/>
    <n v="0"/>
    <n v="0"/>
    <n v="0"/>
    <n v="0"/>
    <n v="0"/>
    <n v="0"/>
    <n v="0"/>
    <n v="0"/>
    <s v="MMR001CMP192"/>
    <x v="0"/>
    <x v="1"/>
    <s v="P4"/>
    <n v="4.3609933373712904E-4"/>
    <s v="No"/>
  </r>
  <r>
    <n v="48.733333333333334"/>
    <d v="2012-12-31T00:00:00"/>
    <x v="3"/>
    <s v="DRC"/>
    <s v="Kachin"/>
    <s v="Hpakant"/>
    <s v="Nam Ma Phyit, COC"/>
    <n v="32"/>
    <m/>
    <m/>
    <m/>
    <m/>
    <m/>
    <m/>
    <m/>
    <n v="0"/>
    <n v="0"/>
    <m/>
    <m/>
    <m/>
    <m/>
    <m/>
    <m/>
    <m/>
    <n v="0"/>
    <n v="0"/>
    <n v="0"/>
    <n v="0"/>
    <n v="0"/>
    <n v="0"/>
    <n v="0"/>
    <n v="0"/>
    <n v="0"/>
    <n v="0"/>
    <n v="0"/>
    <n v="0"/>
    <n v="0"/>
    <n v="0"/>
    <n v="0"/>
    <n v="0"/>
    <n v="0"/>
    <n v="0"/>
    <s v="MMR001CMP192"/>
    <x v="0"/>
    <x v="1"/>
    <s v="P4"/>
    <n v="0"/>
    <s v="No"/>
  </r>
  <r>
    <n v="22.266666666666666"/>
    <d v="2015-03-05T00:00:00"/>
    <x v="0"/>
    <s v="KMSS-LSO"/>
    <s v="Shan_North"/>
    <s v="Hseni"/>
    <s v="Nam Sa Larp"/>
    <m/>
    <n v="43"/>
    <n v="43"/>
    <n v="85"/>
    <n v="43"/>
    <n v="95"/>
    <n v="43"/>
    <n v="43"/>
    <n v="43"/>
    <n v="95"/>
    <m/>
    <m/>
    <m/>
    <m/>
    <n v="43"/>
    <m/>
    <m/>
    <n v="0"/>
    <n v="0"/>
    <n v="0"/>
    <n v="0"/>
    <n v="0"/>
    <n v="0"/>
    <n v="0"/>
    <n v="0"/>
    <n v="0"/>
    <n v="0"/>
    <n v="0"/>
    <n v="0"/>
    <n v="0"/>
    <n v="0"/>
    <n v="0"/>
    <n v="0"/>
    <n v="0"/>
    <n v="0"/>
    <s v="MMR015CMP218"/>
    <x v="1"/>
    <x v="1"/>
    <n v="0"/>
    <n v="1.0229327243315254E-3"/>
    <s v="No"/>
  </r>
  <r>
    <n v="3.1"/>
    <d v="2016-09-30T00:00:00"/>
    <x v="13"/>
    <s v="Relief International"/>
    <s v="Shan_North"/>
    <s v="Namtu"/>
    <s v="Nam Tu Baptist"/>
    <n v="11"/>
    <m/>
    <m/>
    <m/>
    <n v="11"/>
    <m/>
    <m/>
    <m/>
    <m/>
    <m/>
    <m/>
    <m/>
    <m/>
    <m/>
    <m/>
    <m/>
    <m/>
    <n v="11"/>
    <n v="0"/>
    <n v="0"/>
    <n v="0"/>
    <n v="11"/>
    <n v="0"/>
    <n v="0"/>
    <n v="0"/>
    <n v="0"/>
    <n v="0"/>
    <n v="0"/>
    <n v="0"/>
    <n v="0"/>
    <n v="0"/>
    <n v="0"/>
    <n v="0"/>
    <n v="0"/>
    <n v="0"/>
    <s v="MMR015CMP014"/>
    <x v="0"/>
    <x v="1"/>
    <s v="P3"/>
    <n v="0"/>
    <m/>
  </r>
  <r>
    <n v="5.6333333333333337"/>
    <d v="2016-07-16T00:00:00"/>
    <x v="13"/>
    <s v="Relief International"/>
    <s v="Shan_North"/>
    <s v="Namtu"/>
    <s v="Nam Tu Baptist"/>
    <n v="40"/>
    <m/>
    <m/>
    <m/>
    <n v="40"/>
    <m/>
    <m/>
    <m/>
    <m/>
    <m/>
    <m/>
    <m/>
    <m/>
    <m/>
    <m/>
    <m/>
    <m/>
    <n v="40"/>
    <n v="0"/>
    <n v="0"/>
    <n v="0"/>
    <n v="40"/>
    <n v="0"/>
    <n v="0"/>
    <n v="0"/>
    <n v="0"/>
    <n v="0"/>
    <n v="0"/>
    <n v="0"/>
    <n v="0"/>
    <n v="0"/>
    <n v="0"/>
    <n v="0"/>
    <n v="0"/>
    <n v="0"/>
    <s v="MMR015CMP014"/>
    <x v="0"/>
    <x v="1"/>
    <s v="P3"/>
    <n v="0"/>
    <m/>
  </r>
  <r>
    <n v="11.966666666666667"/>
    <d v="2016-01-08T00:00:00"/>
    <x v="0"/>
    <s v="KBC"/>
    <s v="Shan_North"/>
    <s v="Namtu"/>
    <s v="Nam Tu Baptist"/>
    <m/>
    <m/>
    <m/>
    <n v="35"/>
    <m/>
    <n v="35"/>
    <n v="18"/>
    <m/>
    <n v="18"/>
    <n v="82"/>
    <m/>
    <m/>
    <m/>
    <m/>
    <n v="18"/>
    <m/>
    <m/>
    <n v="0"/>
    <n v="0"/>
    <n v="0"/>
    <n v="35"/>
    <n v="0"/>
    <n v="35"/>
    <n v="18"/>
    <n v="0"/>
    <n v="18"/>
    <n v="205"/>
    <n v="0"/>
    <n v="0"/>
    <n v="0"/>
    <n v="0"/>
    <n v="0"/>
    <n v="18"/>
    <n v="0"/>
    <n v="0"/>
    <s v="MMR015CMP014"/>
    <x v="0"/>
    <x v="1"/>
    <s v="P3"/>
    <n v="4.3902439024390245E-4"/>
    <m/>
  </r>
  <r>
    <n v="41.233333333333334"/>
    <d v="2013-08-13T00:00:00"/>
    <x v="0"/>
    <s v="KMSS"/>
    <s v="Shan_North"/>
    <s v="Namtu"/>
    <s v="Nam Tu RC"/>
    <m/>
    <m/>
    <n v="130"/>
    <n v="288"/>
    <n v="115"/>
    <n v="288"/>
    <n v="115"/>
    <n v="115"/>
    <n v="115"/>
    <n v="115"/>
    <m/>
    <m/>
    <m/>
    <m/>
    <m/>
    <m/>
    <m/>
    <n v="0"/>
    <n v="0"/>
    <n v="0"/>
    <n v="0"/>
    <n v="0"/>
    <n v="0"/>
    <n v="0"/>
    <n v="0"/>
    <n v="0"/>
    <n v="0"/>
    <n v="0"/>
    <n v="0"/>
    <n v="0"/>
    <n v="0"/>
    <n v="0"/>
    <n v="0"/>
    <n v="0"/>
    <n v="0"/>
    <s v="MMR015CMP210"/>
    <x v="0"/>
    <x v="1"/>
    <s v="P3"/>
    <s v=""/>
    <s v="No"/>
  </r>
  <r>
    <n v="47.1"/>
    <d v="2013-02-18T00:00:00"/>
    <x v="0"/>
    <s v="KBC"/>
    <s v="Shan_North"/>
    <s v="Namtu"/>
    <s v="Nam Tu RC"/>
    <m/>
    <m/>
    <n v="90"/>
    <n v="90"/>
    <n v="45"/>
    <n v="90"/>
    <n v="45"/>
    <n v="45"/>
    <n v="45"/>
    <n v="45"/>
    <m/>
    <m/>
    <m/>
    <m/>
    <m/>
    <m/>
    <m/>
    <n v="0"/>
    <n v="0"/>
    <n v="0"/>
    <n v="0"/>
    <n v="0"/>
    <n v="0"/>
    <n v="0"/>
    <n v="0"/>
    <n v="0"/>
    <n v="0"/>
    <n v="0"/>
    <n v="0"/>
    <n v="0"/>
    <n v="0"/>
    <n v="0"/>
    <n v="0"/>
    <n v="0"/>
    <n v="0"/>
    <s v="MMR015CMP210"/>
    <x v="0"/>
    <x v="1"/>
    <s v="P3"/>
    <s v=""/>
    <s v="No"/>
  </r>
  <r>
    <n v="6.7666666666666666"/>
    <d v="2016-06-12T00:00:00"/>
    <x v="13"/>
    <s v="Relief International"/>
    <s v="Shan_North"/>
    <s v="Namtu"/>
    <s v="Namtu KBC 1"/>
    <m/>
    <m/>
    <m/>
    <m/>
    <n v="41"/>
    <m/>
    <m/>
    <m/>
    <m/>
    <m/>
    <m/>
    <m/>
    <m/>
    <m/>
    <m/>
    <m/>
    <m/>
    <n v="0"/>
    <n v="0"/>
    <n v="0"/>
    <n v="0"/>
    <n v="41"/>
    <n v="0"/>
    <n v="0"/>
    <n v="0"/>
    <n v="0"/>
    <n v="0"/>
    <n v="0"/>
    <n v="0"/>
    <n v="0"/>
    <n v="0"/>
    <n v="0"/>
    <n v="0"/>
    <n v="0"/>
    <n v="0"/>
    <s v="MMR015CMP230"/>
    <x v="0"/>
    <x v="1"/>
    <n v="0"/>
    <s v=""/>
    <m/>
  </r>
  <r>
    <n v="3.7"/>
    <d v="2016-09-12T00:00:00"/>
    <x v="13"/>
    <s v="Relief International"/>
    <s v="Shan_North"/>
    <s v="Namtu"/>
    <s v="Namtu KBC 2"/>
    <m/>
    <m/>
    <m/>
    <m/>
    <n v="18"/>
    <m/>
    <m/>
    <m/>
    <m/>
    <m/>
    <m/>
    <m/>
    <m/>
    <m/>
    <m/>
    <m/>
    <m/>
    <n v="0"/>
    <n v="0"/>
    <n v="0"/>
    <n v="0"/>
    <n v="18"/>
    <n v="0"/>
    <n v="0"/>
    <n v="0"/>
    <n v="0"/>
    <n v="0"/>
    <n v="0"/>
    <n v="0"/>
    <n v="0"/>
    <n v="0"/>
    <n v="0"/>
    <n v="0"/>
    <n v="0"/>
    <n v="0"/>
    <s v="MMR015CMP231"/>
    <x v="0"/>
    <x v="1"/>
    <n v="0"/>
    <s v=""/>
    <m/>
  </r>
  <r>
    <n v="6.7666666666666666"/>
    <d v="2016-06-12T00:00:00"/>
    <x v="13"/>
    <s v="Relief International"/>
    <s v="Shan_North"/>
    <s v="Namtu"/>
    <s v="Namtu RC"/>
    <m/>
    <m/>
    <m/>
    <m/>
    <n v="23"/>
    <m/>
    <m/>
    <m/>
    <m/>
    <m/>
    <m/>
    <m/>
    <m/>
    <m/>
    <m/>
    <m/>
    <m/>
    <n v="0"/>
    <n v="0"/>
    <n v="0"/>
    <n v="0"/>
    <n v="23"/>
    <n v="0"/>
    <n v="0"/>
    <n v="0"/>
    <n v="0"/>
    <n v="0"/>
    <n v="0"/>
    <n v="0"/>
    <n v="0"/>
    <n v="0"/>
    <n v="0"/>
    <n v="0"/>
    <n v="0"/>
    <n v="0"/>
    <s v="MMR015CMP229"/>
    <x v="0"/>
    <x v="1"/>
    <n v="0"/>
    <s v=""/>
    <m/>
  </r>
  <r>
    <n v="27.433333333333334"/>
    <d v="2014-10-01T00:00:00"/>
    <x v="0"/>
    <s v="KMSS"/>
    <s v="Kachin"/>
    <s v="Myitkyina"/>
    <s v="Nan Kway St. John Catholic Church"/>
    <m/>
    <m/>
    <m/>
    <n v="144"/>
    <m/>
    <m/>
    <m/>
    <m/>
    <m/>
    <m/>
    <m/>
    <m/>
    <m/>
    <m/>
    <m/>
    <m/>
    <m/>
    <n v="0"/>
    <n v="0"/>
    <n v="0"/>
    <n v="0"/>
    <n v="0"/>
    <n v="0"/>
    <n v="0"/>
    <n v="0"/>
    <n v="0"/>
    <n v="0"/>
    <n v="0"/>
    <n v="0"/>
    <n v="0"/>
    <n v="0"/>
    <n v="0"/>
    <n v="0"/>
    <n v="0"/>
    <n v="0"/>
    <s v="MMR001CMP024"/>
    <x v="0"/>
    <x v="1"/>
    <s v="P4"/>
    <n v="0"/>
    <m/>
  </r>
  <r>
    <n v="32.033333333333331"/>
    <d v="2014-05-16T00:00:00"/>
    <x v="8"/>
    <s v="MRCS"/>
    <s v="Kachin"/>
    <s v="Myitkyina"/>
    <s v="Nan Kway St. John Catholic Church"/>
    <m/>
    <m/>
    <m/>
    <m/>
    <m/>
    <m/>
    <m/>
    <m/>
    <m/>
    <m/>
    <m/>
    <m/>
    <m/>
    <n v="142"/>
    <m/>
    <m/>
    <m/>
    <n v="0"/>
    <n v="0"/>
    <n v="0"/>
    <n v="0"/>
    <n v="0"/>
    <n v="0"/>
    <n v="0"/>
    <n v="0"/>
    <n v="0"/>
    <n v="0"/>
    <n v="0"/>
    <n v="0"/>
    <n v="0"/>
    <n v="0"/>
    <n v="1"/>
    <n v="0"/>
    <n v="0"/>
    <n v="0"/>
    <s v="MMR001CMP024"/>
    <x v="0"/>
    <x v="1"/>
    <s v="P4"/>
    <n v="0"/>
    <m/>
  </r>
  <r>
    <n v="41.9"/>
    <d v="2013-07-24T00:00:00"/>
    <x v="0"/>
    <s v="KMSS"/>
    <s v="Kachin"/>
    <s v="Myitkyina"/>
    <s v="Nan Kway St. John Catholic Church"/>
    <m/>
    <m/>
    <n v="21"/>
    <n v="30"/>
    <n v="15"/>
    <n v="30"/>
    <n v="15"/>
    <n v="15"/>
    <n v="15"/>
    <n v="15"/>
    <m/>
    <m/>
    <m/>
    <m/>
    <m/>
    <m/>
    <m/>
    <n v="0"/>
    <n v="0"/>
    <n v="0"/>
    <n v="0"/>
    <n v="0"/>
    <n v="0"/>
    <n v="0"/>
    <n v="0"/>
    <n v="0"/>
    <n v="0"/>
    <n v="0"/>
    <n v="0"/>
    <n v="0"/>
    <n v="0"/>
    <n v="0"/>
    <n v="0"/>
    <n v="0"/>
    <n v="0"/>
    <s v="MMR001CMP024"/>
    <x v="0"/>
    <x v="1"/>
    <s v="P4"/>
    <n v="3.6666748148329219E-4"/>
    <s v="No"/>
  </r>
  <r>
    <n v="39.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0"/>
    <s v="P2"/>
    <n v="1.0738419953311217E-2"/>
    <s v="No"/>
  </r>
  <r>
    <n v="44.43333333333333"/>
    <d v="2013-05-09T00:00:00"/>
    <x v="6"/>
    <s v="KMSS"/>
    <s v="Kachin"/>
    <s v="Myitkyina"/>
    <s v="Nan Kway St. John Catholic Church"/>
    <n v="324"/>
    <m/>
    <m/>
    <m/>
    <m/>
    <m/>
    <m/>
    <m/>
    <m/>
    <m/>
    <m/>
    <m/>
    <m/>
    <m/>
    <m/>
    <m/>
    <m/>
    <n v="0"/>
    <n v="0"/>
    <n v="0"/>
    <n v="0"/>
    <n v="0"/>
    <n v="0"/>
    <n v="0"/>
    <n v="0"/>
    <n v="0"/>
    <n v="0"/>
    <n v="0"/>
    <n v="0"/>
    <n v="0"/>
    <n v="0"/>
    <n v="0"/>
    <n v="0"/>
    <n v="0"/>
    <n v="0"/>
    <s v="MMR001CMP024"/>
    <x v="0"/>
    <x v="1"/>
    <s v="P4"/>
    <n v="0"/>
    <s v="No"/>
  </r>
  <r>
    <n v="49.333333333333336"/>
    <d v="2012-12-13T00:00:00"/>
    <x v="0"/>
    <s v="UNHCR"/>
    <s v="Kachin"/>
    <s v="Myitkyina"/>
    <s v="Nan Kway St. John Catholic Church"/>
    <m/>
    <m/>
    <m/>
    <n v="16"/>
    <n v="7"/>
    <n v="16"/>
    <n v="7"/>
    <n v="7"/>
    <n v="7"/>
    <n v="7"/>
    <m/>
    <m/>
    <m/>
    <m/>
    <m/>
    <m/>
    <m/>
    <n v="0"/>
    <n v="0"/>
    <n v="0"/>
    <n v="0"/>
    <n v="0"/>
    <n v="0"/>
    <n v="0"/>
    <n v="0"/>
    <n v="0"/>
    <n v="0"/>
    <n v="0"/>
    <n v="0"/>
    <n v="0"/>
    <n v="0"/>
    <n v="0"/>
    <n v="0"/>
    <n v="0"/>
    <n v="0"/>
    <s v="MMR001CMP024"/>
    <x v="0"/>
    <x v="1"/>
    <s v="P4"/>
    <n v="1.7111149135886968E-4"/>
    <s v="No"/>
  </r>
  <r>
    <n v="53.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1"/>
    <s v="P4"/>
    <n v="4.8888997531105626E-4"/>
    <s v="No"/>
  </r>
  <r>
    <n v="54.3"/>
    <d v="2012-07-17T00:00:00"/>
    <x v="0"/>
    <s v="UNHCR"/>
    <s v="Kachin"/>
    <s v="Myitkyina"/>
    <s v="Nan Kway St. John Catholic Church"/>
    <m/>
    <m/>
    <m/>
    <n v="6"/>
    <n v="6"/>
    <n v="6"/>
    <n v="6"/>
    <n v="6"/>
    <n v="6"/>
    <n v="6"/>
    <m/>
    <m/>
    <m/>
    <m/>
    <m/>
    <m/>
    <m/>
    <n v="0"/>
    <n v="0"/>
    <n v="0"/>
    <n v="0"/>
    <n v="0"/>
    <n v="0"/>
    <n v="0"/>
    <n v="0"/>
    <n v="0"/>
    <n v="0"/>
    <n v="0"/>
    <n v="0"/>
    <n v="0"/>
    <n v="0"/>
    <n v="0"/>
    <n v="0"/>
    <n v="0"/>
    <n v="0"/>
    <s v="MMR001CMP024"/>
    <x v="0"/>
    <x v="1"/>
    <s v="P4"/>
    <n v="1.4666699259331686E-4"/>
    <s v="No"/>
  </r>
  <r>
    <n v="56.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1"/>
    <s v="P4"/>
    <n v="7.0889046420103156E-4"/>
    <s v="No"/>
  </r>
  <r>
    <n v="37.6"/>
    <d v="2013-11-30T00:00:00"/>
    <x v="4"/>
    <m/>
    <s v="Kachin"/>
    <s v="Bhamo"/>
    <s v="Nant Hlaing Church"/>
    <m/>
    <m/>
    <m/>
    <m/>
    <m/>
    <m/>
    <m/>
    <m/>
    <m/>
    <n v="57"/>
    <m/>
    <m/>
    <m/>
    <m/>
    <m/>
    <m/>
    <m/>
    <n v="0"/>
    <n v="0"/>
    <n v="0"/>
    <n v="0"/>
    <n v="0"/>
    <n v="0"/>
    <n v="0"/>
    <n v="0"/>
    <n v="0"/>
    <n v="0"/>
    <n v="0"/>
    <n v="0"/>
    <n v="0"/>
    <n v="0"/>
    <n v="0"/>
    <n v="0"/>
    <n v="0"/>
    <n v="0"/>
    <s v="MMR001CMP054"/>
    <x v="0"/>
    <x v="1"/>
    <s v="P4"/>
    <n v="0"/>
    <s v="No"/>
  </r>
  <r>
    <n v="48.033333333333331"/>
    <d v="2013-01-21T00:00:00"/>
    <x v="4"/>
    <s v="Solidarities"/>
    <s v="Kachin"/>
    <s v="Bhamo"/>
    <s v="Nant Hlaing Church"/>
    <n v="85"/>
    <m/>
    <m/>
    <m/>
    <m/>
    <m/>
    <m/>
    <m/>
    <n v="0"/>
    <n v="0"/>
    <m/>
    <m/>
    <m/>
    <m/>
    <m/>
    <m/>
    <m/>
    <n v="0"/>
    <n v="0"/>
    <n v="0"/>
    <n v="0"/>
    <n v="0"/>
    <n v="0"/>
    <n v="0"/>
    <n v="0"/>
    <n v="0"/>
    <n v="0"/>
    <n v="0"/>
    <n v="0"/>
    <n v="0"/>
    <n v="0"/>
    <n v="0"/>
    <n v="0"/>
    <n v="0"/>
    <n v="0"/>
    <s v="MMR001CMP054"/>
    <x v="0"/>
    <x v="1"/>
    <s v="P4"/>
    <n v="0"/>
    <s v="No"/>
  </r>
  <r>
    <n v="55.6"/>
    <d v="2012-06-08T00:00:00"/>
    <x v="4"/>
    <s v="Solidarities"/>
    <s v="Kachin"/>
    <s v="Bhamo"/>
    <s v="Nant Hlaing Church"/>
    <n v="21"/>
    <m/>
    <m/>
    <m/>
    <m/>
    <m/>
    <m/>
    <m/>
    <m/>
    <m/>
    <m/>
    <m/>
    <m/>
    <m/>
    <m/>
    <m/>
    <m/>
    <n v="0"/>
    <n v="0"/>
    <n v="0"/>
    <n v="0"/>
    <n v="0"/>
    <n v="0"/>
    <n v="0"/>
    <n v="0"/>
    <n v="0"/>
    <n v="0"/>
    <n v="0"/>
    <n v="0"/>
    <n v="0"/>
    <n v="0"/>
    <n v="0"/>
    <n v="0"/>
    <n v="0"/>
    <n v="0"/>
    <s v="MMR001CMP054"/>
    <x v="0"/>
    <x v="1"/>
    <s v="P4"/>
    <n v="0"/>
    <m/>
  </r>
  <r>
    <n v="41.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0"/>
    <s v=""/>
    <n v="1.2749160271655184E-3"/>
    <s v="No"/>
  </r>
  <r>
    <n v="41.233333333333334"/>
    <d v="2013-08-13T00:00:00"/>
    <x v="0"/>
    <s v="KBC"/>
    <s v="Shan_North"/>
    <s v="Hseni"/>
    <s v="Na Ti (Koe Kant Traditional school)"/>
    <m/>
    <m/>
    <n v="67"/>
    <n v="90"/>
    <n v="30"/>
    <n v="90"/>
    <n v="30"/>
    <n v="30"/>
    <n v="30"/>
    <n v="30"/>
    <m/>
    <m/>
    <m/>
    <m/>
    <m/>
    <m/>
    <m/>
    <n v="0"/>
    <n v="0"/>
    <n v="0"/>
    <n v="0"/>
    <n v="0"/>
    <n v="0"/>
    <n v="0"/>
    <n v="0"/>
    <n v="0"/>
    <n v="0"/>
    <n v="0"/>
    <n v="0"/>
    <n v="0"/>
    <n v="0"/>
    <n v="0"/>
    <n v="0"/>
    <n v="0"/>
    <n v="0"/>
    <s v=""/>
    <x v="2"/>
    <x v="2"/>
    <s v=""/>
    <s v=""/>
    <s v="No"/>
  </r>
  <r>
    <n v="55.6"/>
    <d v="2012-06-08T00:00:00"/>
    <x v="0"/>
    <s v="UNHCR"/>
    <s v="Kachin"/>
    <s v="Bhamo"/>
    <s v="Nant Hlaing Church"/>
    <m/>
    <m/>
    <m/>
    <n v="12"/>
    <n v="6"/>
    <n v="12"/>
    <n v="6"/>
    <n v="6"/>
    <n v="6"/>
    <n v="6"/>
    <m/>
    <m/>
    <m/>
    <m/>
    <m/>
    <m/>
    <m/>
    <n v="0"/>
    <n v="0"/>
    <n v="0"/>
    <n v="0"/>
    <n v="0"/>
    <n v="0"/>
    <n v="0"/>
    <n v="0"/>
    <n v="0"/>
    <n v="0"/>
    <n v="0"/>
    <n v="0"/>
    <n v="0"/>
    <n v="0"/>
    <n v="0"/>
    <n v="0"/>
    <n v="0"/>
    <n v="0"/>
    <s v="MMR001CMP054"/>
    <x v="0"/>
    <x v="1"/>
    <s v="P4"/>
    <n v="1.4688601645123384E-4"/>
    <s v="No"/>
  </r>
  <r>
    <n v="59.666666666666664"/>
    <d v="2012-02-07T00:00:00"/>
    <x v="4"/>
    <s v="Solidarities"/>
    <s v="Kachin"/>
    <s v="Bhamo"/>
    <s v="Nant Hlaing Church"/>
    <n v="90"/>
    <m/>
    <m/>
    <m/>
    <m/>
    <m/>
    <m/>
    <m/>
    <m/>
    <m/>
    <m/>
    <m/>
    <m/>
    <m/>
    <m/>
    <m/>
    <m/>
    <n v="0"/>
    <n v="0"/>
    <n v="0"/>
    <n v="0"/>
    <n v="0"/>
    <n v="0"/>
    <n v="0"/>
    <n v="0"/>
    <n v="0"/>
    <n v="0"/>
    <n v="0"/>
    <n v="0"/>
    <n v="0"/>
    <n v="0"/>
    <n v="0"/>
    <n v="0"/>
    <n v="0"/>
    <n v="0"/>
    <s v="MMR001CMP054"/>
    <x v="0"/>
    <x v="1"/>
    <s v="P4"/>
    <n v="0"/>
    <m/>
  </r>
  <r>
    <n v="26.1"/>
    <d v="2014-11-10T00:00:00"/>
    <x v="1"/>
    <s v="MRCS"/>
    <s v="Kachin"/>
    <s v="Hpakant"/>
    <s v="Nant Ma Hpit Catholic Church"/>
    <m/>
    <m/>
    <m/>
    <m/>
    <m/>
    <m/>
    <m/>
    <m/>
    <m/>
    <m/>
    <n v="117"/>
    <n v="65"/>
    <m/>
    <m/>
    <m/>
    <m/>
    <m/>
    <n v="0"/>
    <n v="0"/>
    <n v="0"/>
    <n v="0"/>
    <n v="0"/>
    <n v="0"/>
    <n v="0"/>
    <n v="0"/>
    <n v="0"/>
    <n v="0"/>
    <n v="0"/>
    <n v="0"/>
    <n v="0"/>
    <n v="0"/>
    <n v="1"/>
    <n v="0"/>
    <n v="0"/>
    <n v="0"/>
    <s v="MMR001CMP103"/>
    <x v="0"/>
    <x v="1"/>
    <s v="P4"/>
    <n v="0"/>
    <m/>
  </r>
  <r>
    <n v="41.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0"/>
    <s v=""/>
    <s v=""/>
    <s v="No"/>
  </r>
  <r>
    <n v="26.433333333333334"/>
    <d v="2014-10-31T00:00:00"/>
    <x v="0"/>
    <m/>
    <s v="Kachin"/>
    <s v="Hpakant"/>
    <s v="Nant Ma Hpit Catholic Church"/>
    <m/>
    <m/>
    <n v="36"/>
    <n v="72"/>
    <n v="36"/>
    <n v="72"/>
    <n v="36"/>
    <m/>
    <n v="36"/>
    <n v="180"/>
    <m/>
    <m/>
    <m/>
    <m/>
    <m/>
    <m/>
    <m/>
    <n v="0"/>
    <n v="0"/>
    <n v="0"/>
    <n v="0"/>
    <n v="0"/>
    <n v="0"/>
    <n v="0"/>
    <n v="0"/>
    <n v="0"/>
    <n v="0"/>
    <n v="0"/>
    <n v="0"/>
    <n v="0"/>
    <n v="0"/>
    <n v="0"/>
    <n v="0"/>
    <n v="0"/>
    <n v="0"/>
    <s v="MMR001CMP103"/>
    <x v="0"/>
    <x v="1"/>
    <s v="P4"/>
    <n v="8.6774170221997249E-4"/>
    <m/>
  </r>
  <r>
    <n v="27.433333333333334"/>
    <d v="2014-10-01T00:00:00"/>
    <x v="0"/>
    <s v="KMSS"/>
    <s v="Kachin"/>
    <s v="Hpakant"/>
    <s v="Nant Ma Hpit Catholic Church"/>
    <m/>
    <m/>
    <m/>
    <n v="80"/>
    <m/>
    <m/>
    <m/>
    <m/>
    <m/>
    <m/>
    <m/>
    <m/>
    <m/>
    <m/>
    <m/>
    <m/>
    <m/>
    <n v="0"/>
    <n v="0"/>
    <n v="0"/>
    <n v="0"/>
    <n v="0"/>
    <n v="0"/>
    <n v="0"/>
    <n v="0"/>
    <n v="0"/>
    <n v="0"/>
    <n v="0"/>
    <n v="0"/>
    <n v="0"/>
    <n v="0"/>
    <n v="0"/>
    <n v="0"/>
    <n v="0"/>
    <n v="0"/>
    <s v="MMR001CMP103"/>
    <x v="0"/>
    <x v="1"/>
    <s v="P4"/>
    <n v="0"/>
    <m/>
  </r>
  <r>
    <n v="41.9"/>
    <d v="2013-07-24T00:00:00"/>
    <x v="0"/>
    <s v="KMSS"/>
    <s v="Kachin"/>
    <s v="Hpakant"/>
    <s v="Nant Ma Hpit Catholic Church"/>
    <m/>
    <m/>
    <n v="15"/>
    <n v="25"/>
    <n v="10"/>
    <n v="25"/>
    <n v="10"/>
    <n v="10"/>
    <n v="10"/>
    <n v="10"/>
    <m/>
    <m/>
    <m/>
    <m/>
    <m/>
    <m/>
    <m/>
    <n v="0"/>
    <n v="0"/>
    <n v="0"/>
    <n v="0"/>
    <n v="0"/>
    <n v="0"/>
    <n v="0"/>
    <n v="0"/>
    <n v="0"/>
    <n v="0"/>
    <n v="0"/>
    <n v="0"/>
    <n v="0"/>
    <n v="0"/>
    <n v="0"/>
    <n v="0"/>
    <n v="0"/>
    <n v="0"/>
    <s v="MMR001CMP103"/>
    <x v="0"/>
    <x v="1"/>
    <s v="P4"/>
    <n v="2.4103936172777015E-4"/>
    <s v="No"/>
  </r>
  <r>
    <n v="44.2"/>
    <d v="2013-05-16T00:00:00"/>
    <x v="6"/>
    <s v="KMSS"/>
    <s v="Kachin"/>
    <s v="Hpakant"/>
    <s v="Nant Ma Hpit Catholic Church"/>
    <n v="423"/>
    <m/>
    <m/>
    <m/>
    <m/>
    <m/>
    <m/>
    <m/>
    <m/>
    <m/>
    <m/>
    <m/>
    <m/>
    <m/>
    <m/>
    <m/>
    <m/>
    <n v="0"/>
    <n v="0"/>
    <n v="0"/>
    <n v="0"/>
    <n v="0"/>
    <n v="0"/>
    <n v="0"/>
    <n v="0"/>
    <n v="0"/>
    <n v="0"/>
    <n v="0"/>
    <n v="0"/>
    <n v="0"/>
    <n v="0"/>
    <n v="0"/>
    <n v="0"/>
    <n v="0"/>
    <n v="0"/>
    <s v="MMR001CMP103"/>
    <x v="0"/>
    <x v="1"/>
    <s v="P4"/>
    <n v="0"/>
    <s v="No"/>
  </r>
  <r>
    <n v="47.033333333333331"/>
    <d v="2013-02-20T00:00:00"/>
    <x v="0"/>
    <s v="UNHCR"/>
    <s v="Kachin"/>
    <s v="Hpakant"/>
    <s v="Nant Ma Hpit Catholic Church"/>
    <m/>
    <m/>
    <n v="35"/>
    <n v="0"/>
    <n v="0"/>
    <n v="0"/>
    <n v="0"/>
    <n v="0"/>
    <m/>
    <m/>
    <m/>
    <m/>
    <m/>
    <m/>
    <m/>
    <m/>
    <m/>
    <n v="0"/>
    <n v="0"/>
    <n v="0"/>
    <n v="0"/>
    <n v="0"/>
    <n v="0"/>
    <n v="0"/>
    <n v="0"/>
    <n v="0"/>
    <n v="0"/>
    <n v="0"/>
    <n v="0"/>
    <n v="0"/>
    <n v="0"/>
    <n v="0"/>
    <n v="0"/>
    <n v="0"/>
    <n v="0"/>
    <s v="MMR001CMP103"/>
    <x v="0"/>
    <x v="1"/>
    <s v="P4"/>
    <n v="0"/>
    <s v="No"/>
  </r>
  <r>
    <n v="47.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1"/>
    <s v="P4"/>
    <n v="7.954298937016415E-4"/>
    <s v="No"/>
  </r>
  <r>
    <n v="48.733333333333334"/>
    <d v="2012-12-31T00:00:00"/>
    <x v="3"/>
    <s v="DRC"/>
    <s v="Kachin"/>
    <s v="Hpakant"/>
    <s v="Nant Ma Hpit Catholic Church"/>
    <n v="4"/>
    <m/>
    <m/>
    <m/>
    <m/>
    <m/>
    <m/>
    <m/>
    <n v="0"/>
    <n v="0"/>
    <m/>
    <m/>
    <m/>
    <m/>
    <m/>
    <m/>
    <m/>
    <n v="0"/>
    <n v="0"/>
    <n v="0"/>
    <n v="0"/>
    <n v="0"/>
    <n v="0"/>
    <n v="0"/>
    <n v="0"/>
    <n v="0"/>
    <n v="0"/>
    <n v="0"/>
    <n v="0"/>
    <n v="0"/>
    <n v="0"/>
    <n v="0"/>
    <n v="0"/>
    <n v="0"/>
    <n v="0"/>
    <s v="MMR001CMP103"/>
    <x v="0"/>
    <x v="1"/>
    <s v="P4"/>
    <n v="0"/>
    <s v="No"/>
  </r>
  <r>
    <n v="37.6"/>
    <d v="2013-11-30T00:00:00"/>
    <x v="5"/>
    <s v="MDCG"/>
    <s v="Shan_North"/>
    <s v="Hseni"/>
    <s v="Narte"/>
    <m/>
    <m/>
    <m/>
    <m/>
    <m/>
    <n v="201"/>
    <m/>
    <m/>
    <m/>
    <m/>
    <n v="266"/>
    <n v="126"/>
    <n v="0"/>
    <m/>
    <m/>
    <m/>
    <m/>
    <n v="0"/>
    <n v="0"/>
    <n v="0"/>
    <n v="0"/>
    <n v="0"/>
    <n v="0"/>
    <n v="0"/>
    <n v="0"/>
    <n v="0"/>
    <n v="0"/>
    <n v="0"/>
    <n v="0"/>
    <n v="0"/>
    <n v="0"/>
    <n v="1"/>
    <n v="0"/>
    <n v="0"/>
    <n v="0"/>
    <s v="MMR015CMP207"/>
    <x v="0"/>
    <x v="1"/>
    <s v="P4"/>
    <n v="0"/>
    <s v="No"/>
  </r>
  <r>
    <n v="41.233333333333334"/>
    <d v="2013-08-13T00:00:00"/>
    <x v="0"/>
    <s v="KBC"/>
    <s v="Shan_North"/>
    <s v="Hseni"/>
    <s v="Narte"/>
    <m/>
    <m/>
    <n v="27"/>
    <n v="43"/>
    <n v="17"/>
    <n v="43"/>
    <n v="17"/>
    <n v="17"/>
    <n v="17"/>
    <n v="17"/>
    <m/>
    <m/>
    <m/>
    <m/>
    <m/>
    <m/>
    <m/>
    <n v="0"/>
    <n v="0"/>
    <n v="0"/>
    <n v="0"/>
    <n v="0"/>
    <n v="0"/>
    <n v="0"/>
    <n v="0"/>
    <n v="0"/>
    <n v="0"/>
    <n v="0"/>
    <n v="0"/>
    <n v="0"/>
    <n v="0"/>
    <n v="0"/>
    <n v="0"/>
    <n v="0"/>
    <n v="0"/>
    <s v="MMR015CMP207"/>
    <x v="0"/>
    <x v="1"/>
    <s v="P4"/>
    <n v="4.1097546234739513E-4"/>
    <s v="No"/>
  </r>
  <r>
    <n v="34.700000000000003"/>
    <d v="2014-02-25T00:00:00"/>
    <x v="8"/>
    <s v="MRCS"/>
    <s v="Kachin"/>
    <s v="Mogaung"/>
    <s v="Nat Gyi Kone Baptist Church "/>
    <m/>
    <m/>
    <m/>
    <m/>
    <m/>
    <m/>
    <m/>
    <m/>
    <m/>
    <m/>
    <m/>
    <m/>
    <m/>
    <n v="28"/>
    <m/>
    <m/>
    <m/>
    <n v="0"/>
    <n v="0"/>
    <n v="0"/>
    <n v="0"/>
    <n v="0"/>
    <n v="0"/>
    <n v="0"/>
    <n v="0"/>
    <n v="0"/>
    <n v="0"/>
    <n v="0"/>
    <n v="0"/>
    <n v="0"/>
    <n v="0"/>
    <n v="1"/>
    <n v="0"/>
    <n v="0"/>
    <n v="0"/>
    <s v="MMR001CMP079"/>
    <x v="0"/>
    <x v="1"/>
    <s v="P4"/>
    <n v="0"/>
    <m/>
  </r>
  <r>
    <n v="36.533333333333331"/>
    <d v="2014-01-01T00:00:00"/>
    <x v="11"/>
    <s v="MRCS"/>
    <s v="Kachin"/>
    <s v="Mogaung"/>
    <s v="Nat Gyi Kone Baptist Church "/>
    <m/>
    <m/>
    <m/>
    <m/>
    <m/>
    <m/>
    <n v="13"/>
    <m/>
    <m/>
    <m/>
    <m/>
    <m/>
    <m/>
    <m/>
    <m/>
    <m/>
    <m/>
    <n v="0"/>
    <n v="0"/>
    <n v="0"/>
    <n v="0"/>
    <n v="0"/>
    <n v="0"/>
    <n v="0"/>
    <n v="0"/>
    <n v="0"/>
    <n v="0"/>
    <n v="0"/>
    <n v="0"/>
    <n v="0"/>
    <n v="0"/>
    <n v="0"/>
    <n v="0"/>
    <n v="0"/>
    <n v="0"/>
    <s v="MMR001CMP079"/>
    <x v="0"/>
    <x v="1"/>
    <s v="P4"/>
    <n v="3.1731309038541335E-4"/>
    <s v="No"/>
  </r>
  <r>
    <n v="54"/>
    <d v="2012-07-26T00:00:00"/>
    <x v="0"/>
    <s v="UNHCR"/>
    <s v="Kachin"/>
    <s v="Mogaung"/>
    <s v="Nat Gyi Kone Baptist Church "/>
    <m/>
    <m/>
    <m/>
    <n v="21"/>
    <n v="17"/>
    <n v="21"/>
    <n v="17"/>
    <n v="17"/>
    <n v="17"/>
    <n v="17"/>
    <m/>
    <m/>
    <m/>
    <m/>
    <m/>
    <m/>
    <m/>
    <n v="0"/>
    <n v="0"/>
    <n v="0"/>
    <n v="0"/>
    <n v="0"/>
    <n v="0"/>
    <n v="0"/>
    <n v="0"/>
    <n v="0"/>
    <n v="0"/>
    <n v="0"/>
    <n v="0"/>
    <n v="0"/>
    <n v="0"/>
    <n v="0"/>
    <n v="0"/>
    <n v="0"/>
    <n v="0"/>
    <s v="MMR001CMP079"/>
    <x v="0"/>
    <x v="1"/>
    <s v="P4"/>
    <n v="4.1494788742707902E-4"/>
    <s v="No"/>
  </r>
  <r>
    <n v="27.433333333333334"/>
    <d v="2014-10-01T00:00:00"/>
    <x v="0"/>
    <s v="Shalom"/>
    <s v="Kachin"/>
    <s v="Waingmaw"/>
    <s v="Nawng Hee Village"/>
    <m/>
    <m/>
    <m/>
    <n v="36"/>
    <m/>
    <m/>
    <m/>
    <m/>
    <m/>
    <m/>
    <m/>
    <m/>
    <m/>
    <m/>
    <m/>
    <m/>
    <m/>
    <n v="0"/>
    <n v="0"/>
    <n v="0"/>
    <n v="0"/>
    <n v="0"/>
    <n v="0"/>
    <n v="0"/>
    <n v="0"/>
    <n v="0"/>
    <n v="0"/>
    <n v="0"/>
    <n v="0"/>
    <n v="0"/>
    <n v="0"/>
    <n v="0"/>
    <n v="0"/>
    <n v="0"/>
    <n v="0"/>
    <s v="MMR001CMP033"/>
    <x v="0"/>
    <x v="1"/>
    <s v="P4"/>
    <n v="0"/>
    <m/>
  </r>
  <r>
    <n v="31.7"/>
    <d v="2014-05-26T00:00:00"/>
    <x v="8"/>
    <s v="MRCS"/>
    <s v="Kachin"/>
    <s v="Waingmaw"/>
    <s v="Nawng Hee Village"/>
    <m/>
    <m/>
    <m/>
    <m/>
    <m/>
    <m/>
    <m/>
    <m/>
    <m/>
    <m/>
    <m/>
    <m/>
    <m/>
    <n v="36"/>
    <m/>
    <m/>
    <m/>
    <n v="0"/>
    <n v="0"/>
    <n v="0"/>
    <n v="0"/>
    <n v="0"/>
    <n v="0"/>
    <n v="0"/>
    <n v="0"/>
    <n v="0"/>
    <n v="0"/>
    <n v="0"/>
    <n v="0"/>
    <n v="0"/>
    <n v="0"/>
    <n v="1"/>
    <n v="0"/>
    <n v="0"/>
    <n v="0"/>
    <s v="MMR001CMP033"/>
    <x v="0"/>
    <x v="1"/>
    <s v="P4"/>
    <n v="0"/>
    <m/>
  </r>
  <r>
    <n v="31.3"/>
    <d v="2014-06-07T00:00:00"/>
    <x v="8"/>
    <s v="MRCS"/>
    <s v="Kachin"/>
    <s v="Mohnyin"/>
    <s v="Nawng Ing (Indawgyi) Baptist Church  "/>
    <m/>
    <m/>
    <m/>
    <m/>
    <m/>
    <m/>
    <m/>
    <m/>
    <m/>
    <m/>
    <m/>
    <m/>
    <m/>
    <n v="40"/>
    <m/>
    <m/>
    <m/>
    <n v="0"/>
    <n v="0"/>
    <n v="0"/>
    <n v="0"/>
    <n v="0"/>
    <n v="0"/>
    <n v="0"/>
    <n v="0"/>
    <n v="0"/>
    <n v="0"/>
    <n v="0"/>
    <n v="0"/>
    <n v="0"/>
    <n v="0"/>
    <n v="1"/>
    <n v="0"/>
    <n v="0"/>
    <n v="0"/>
    <s v="MMR001CMP152"/>
    <x v="0"/>
    <x v="1"/>
    <s v="P4"/>
    <n v="0"/>
    <m/>
  </r>
  <r>
    <n v="21.3"/>
    <d v="2015-04-03T00:00:00"/>
    <x v="0"/>
    <s v="UNHCR"/>
    <s v="Kachin"/>
    <s v="Momauk"/>
    <s v="Nhkawng Pa "/>
    <m/>
    <m/>
    <m/>
    <m/>
    <m/>
    <m/>
    <m/>
    <m/>
    <m/>
    <m/>
    <m/>
    <m/>
    <m/>
    <m/>
    <n v="405"/>
    <m/>
    <m/>
    <n v="0"/>
    <n v="0"/>
    <n v="0"/>
    <n v="0"/>
    <n v="0"/>
    <n v="0"/>
    <n v="0"/>
    <n v="0"/>
    <n v="0"/>
    <n v="0"/>
    <n v="0"/>
    <n v="0"/>
    <n v="0"/>
    <n v="0"/>
    <n v="0"/>
    <n v="0"/>
    <n v="0"/>
    <n v="0"/>
    <s v="MMR001CMP131"/>
    <x v="0"/>
    <x v="1"/>
    <s v="P1"/>
    <n v="0"/>
    <s v="No"/>
  </r>
  <r>
    <n v="27.766666666666666"/>
    <d v="2014-09-21T00:00:00"/>
    <x v="0"/>
    <m/>
    <s v="Kachin"/>
    <s v="Momauk"/>
    <s v="Nhkawng Pa "/>
    <m/>
    <m/>
    <m/>
    <n v="604"/>
    <m/>
    <m/>
    <m/>
    <m/>
    <m/>
    <m/>
    <m/>
    <m/>
    <m/>
    <n v="784"/>
    <m/>
    <m/>
    <m/>
    <n v="0"/>
    <n v="0"/>
    <n v="0"/>
    <n v="0"/>
    <n v="0"/>
    <n v="0"/>
    <n v="0"/>
    <n v="0"/>
    <n v="0"/>
    <n v="0"/>
    <n v="0"/>
    <n v="0"/>
    <n v="0"/>
    <n v="0"/>
    <n v="1"/>
    <n v="0"/>
    <n v="0"/>
    <n v="0"/>
    <s v="MMR001CMP131"/>
    <x v="0"/>
    <x v="1"/>
    <s v="P1"/>
    <n v="0"/>
    <m/>
  </r>
  <r>
    <n v="37.233333333333334"/>
    <d v="2013-12-11T00:00:00"/>
    <x v="7"/>
    <s v="WPN"/>
    <s v="Kachin"/>
    <s v="Momauk"/>
    <s v="Nhkawng Pa "/>
    <m/>
    <m/>
    <m/>
    <m/>
    <m/>
    <n v="350"/>
    <m/>
    <m/>
    <m/>
    <m/>
    <m/>
    <m/>
    <m/>
    <m/>
    <m/>
    <m/>
    <m/>
    <n v="0"/>
    <n v="0"/>
    <n v="0"/>
    <n v="0"/>
    <n v="0"/>
    <n v="0"/>
    <n v="0"/>
    <n v="0"/>
    <n v="0"/>
    <n v="0"/>
    <n v="0"/>
    <n v="0"/>
    <n v="0"/>
    <n v="0"/>
    <n v="0"/>
    <n v="0"/>
    <n v="0"/>
    <n v="0"/>
    <s v="MMR001CMP131"/>
    <x v="0"/>
    <x v="1"/>
    <s v="P1"/>
    <n v="0"/>
    <s v="No"/>
  </r>
  <r>
    <n v="37.6"/>
    <d v="2013-11-30T00:00:00"/>
    <x v="4"/>
    <s v="LDO"/>
    <s v="Kachin"/>
    <s v="Momauk"/>
    <s v="Nhkawng Pa "/>
    <m/>
    <m/>
    <m/>
    <m/>
    <m/>
    <m/>
    <m/>
    <m/>
    <m/>
    <m/>
    <m/>
    <m/>
    <m/>
    <m/>
    <m/>
    <m/>
    <m/>
    <n v="0"/>
    <n v="0"/>
    <n v="0"/>
    <n v="0"/>
    <n v="0"/>
    <n v="0"/>
    <n v="0"/>
    <n v="0"/>
    <n v="0"/>
    <n v="0"/>
    <n v="0"/>
    <n v="0"/>
    <n v="0"/>
    <n v="0"/>
    <n v="0"/>
    <n v="0"/>
    <n v="0"/>
    <n v="0"/>
    <s v="MMR001CMP131"/>
    <x v="0"/>
    <x v="1"/>
    <s v="P1"/>
    <n v="0"/>
    <s v="No"/>
  </r>
  <r>
    <n v="38.1"/>
    <d v="2013-11-15T00:00:00"/>
    <x v="4"/>
    <s v="LDO"/>
    <s v="Kachin"/>
    <s v="Momauk"/>
    <s v="Nhkawng Pa "/>
    <m/>
    <m/>
    <m/>
    <m/>
    <m/>
    <m/>
    <m/>
    <m/>
    <m/>
    <m/>
    <n v="387"/>
    <n v="760"/>
    <n v="2294"/>
    <n v="1147"/>
    <m/>
    <m/>
    <m/>
    <n v="0"/>
    <n v="0"/>
    <n v="0"/>
    <n v="0"/>
    <n v="0"/>
    <n v="0"/>
    <n v="0"/>
    <n v="0"/>
    <n v="0"/>
    <n v="0"/>
    <n v="0"/>
    <n v="0"/>
    <n v="0"/>
    <n v="0"/>
    <n v="1"/>
    <n v="0"/>
    <n v="0"/>
    <n v="0"/>
    <s v="MMR001CMP131"/>
    <x v="0"/>
    <x v="1"/>
    <s v="P1"/>
    <n v="0"/>
    <m/>
  </r>
  <r>
    <n v="38.233333333333334"/>
    <d v="2013-11-11T00:00:00"/>
    <x v="0"/>
    <s v="UNHCR "/>
    <s v="Kachin"/>
    <s v="Momauk"/>
    <s v="Nhkawng Pa "/>
    <m/>
    <m/>
    <n v="36"/>
    <n v="200"/>
    <n v="100"/>
    <m/>
    <n v="100"/>
    <n v="100"/>
    <m/>
    <m/>
    <m/>
    <m/>
    <m/>
    <m/>
    <m/>
    <m/>
    <m/>
    <n v="0"/>
    <n v="0"/>
    <n v="0"/>
    <n v="0"/>
    <n v="0"/>
    <n v="0"/>
    <n v="0"/>
    <n v="0"/>
    <n v="0"/>
    <n v="0"/>
    <n v="0"/>
    <n v="0"/>
    <n v="0"/>
    <n v="0"/>
    <n v="0"/>
    <n v="0"/>
    <n v="0"/>
    <n v="0"/>
    <s v="MMR001CMP131"/>
    <x v="0"/>
    <x v="1"/>
    <s v="P1"/>
    <n v="2.4390243902439024E-3"/>
    <s v="No"/>
  </r>
  <r>
    <n v="40.233333333333334"/>
    <d v="2013-09-12T00:00:00"/>
    <x v="0"/>
    <s v="UNHCR"/>
    <s v="Kachin"/>
    <s v="Momauk"/>
    <s v="Nhkawng Pa "/>
    <m/>
    <m/>
    <n v="640"/>
    <n v="640"/>
    <n v="320"/>
    <n v="320"/>
    <n v="320"/>
    <n v="320"/>
    <n v="640"/>
    <n v="320"/>
    <m/>
    <m/>
    <m/>
    <m/>
    <m/>
    <m/>
    <m/>
    <n v="0"/>
    <n v="0"/>
    <n v="0"/>
    <n v="0"/>
    <n v="0"/>
    <n v="0"/>
    <n v="0"/>
    <n v="0"/>
    <n v="0"/>
    <n v="0"/>
    <n v="0"/>
    <n v="0"/>
    <n v="0"/>
    <n v="0"/>
    <n v="0"/>
    <n v="0"/>
    <n v="0"/>
    <n v="0"/>
    <s v="MMR001CMP131"/>
    <x v="0"/>
    <x v="1"/>
    <s v="P1"/>
    <n v="7.8048780487804878E-3"/>
    <s v="No"/>
  </r>
  <r>
    <n v="55.133333333333333"/>
    <d v="2012-06-22T00:00:00"/>
    <x v="0"/>
    <s v="UNHCR"/>
    <s v="Kachin"/>
    <s v="Momauk"/>
    <s v="Nhkawng Pa "/>
    <m/>
    <m/>
    <m/>
    <n v="140"/>
    <n v="70"/>
    <n v="140"/>
    <n v="70"/>
    <n v="70"/>
    <n v="70"/>
    <n v="70"/>
    <m/>
    <m/>
    <m/>
    <m/>
    <m/>
    <m/>
    <m/>
    <n v="0"/>
    <n v="0"/>
    <n v="0"/>
    <n v="0"/>
    <n v="0"/>
    <n v="0"/>
    <n v="0"/>
    <n v="0"/>
    <n v="0"/>
    <n v="0"/>
    <n v="0"/>
    <n v="0"/>
    <n v="0"/>
    <n v="0"/>
    <n v="0"/>
    <n v="0"/>
    <n v="0"/>
    <n v="0"/>
    <s v="MMR001CMP131"/>
    <x v="0"/>
    <x v="1"/>
    <s v="P1"/>
    <n v="1.7073170731707317E-3"/>
    <s v="No"/>
  </r>
  <r>
    <n v="4.8"/>
    <d v="2016-08-10T00:00:00"/>
    <x v="0"/>
    <s v="KBC"/>
    <s v="Kachin"/>
    <s v="Hpakant"/>
    <s v="Njang Dung Baptist Church "/>
    <m/>
    <n v="4"/>
    <n v="4"/>
    <n v="10"/>
    <n v="117"/>
    <n v="10"/>
    <n v="4"/>
    <m/>
    <n v="8"/>
    <n v="16"/>
    <m/>
    <m/>
    <m/>
    <m/>
    <n v="4"/>
    <m/>
    <m/>
    <m/>
    <m/>
    <m/>
    <m/>
    <m/>
    <m/>
    <m/>
    <m/>
    <m/>
    <m/>
    <m/>
    <m/>
    <m/>
    <m/>
    <m/>
    <m/>
    <n v="0"/>
    <n v="0"/>
    <s v="MMR001CMP002"/>
    <x v="0"/>
    <x v="1"/>
    <m/>
    <m/>
    <m/>
  </r>
  <r>
    <n v="32.133333333333333"/>
    <d v="2014-05-13T00:00:00"/>
    <x v="8"/>
    <s v="MRCS"/>
    <s v="Kachin"/>
    <s v="Myitkyina"/>
    <s v="Njang Dung Baptist Church "/>
    <m/>
    <m/>
    <m/>
    <m/>
    <m/>
    <m/>
    <m/>
    <m/>
    <m/>
    <m/>
    <m/>
    <m/>
    <m/>
    <n v="112"/>
    <m/>
    <m/>
    <m/>
    <n v="0"/>
    <n v="0"/>
    <n v="0"/>
    <n v="0"/>
    <n v="0"/>
    <n v="0"/>
    <n v="0"/>
    <n v="0"/>
    <n v="0"/>
    <n v="0"/>
    <n v="0"/>
    <n v="0"/>
    <n v="0"/>
    <n v="0"/>
    <n v="1"/>
    <n v="0"/>
    <n v="0"/>
    <n v="0"/>
    <s v="MMR001CMP002"/>
    <x v="0"/>
    <x v="1"/>
    <s v="P4"/>
    <n v="0"/>
    <m/>
  </r>
  <r>
    <n v="54.333333333333336"/>
    <d v="2012-07-16T00:00:00"/>
    <x v="0"/>
    <s v="UNHCR"/>
    <s v="Kachin"/>
    <s v="Myitkyina"/>
    <s v="Njang Dung Baptist Church "/>
    <m/>
    <m/>
    <m/>
    <n v="25"/>
    <n v="25"/>
    <n v="25"/>
    <n v="25"/>
    <n v="25"/>
    <n v="25"/>
    <n v="25"/>
    <m/>
    <m/>
    <m/>
    <m/>
    <m/>
    <m/>
    <m/>
    <n v="0"/>
    <n v="0"/>
    <n v="0"/>
    <n v="0"/>
    <n v="0"/>
    <n v="0"/>
    <n v="0"/>
    <n v="0"/>
    <n v="0"/>
    <n v="0"/>
    <n v="0"/>
    <n v="0"/>
    <n v="0"/>
    <n v="0"/>
    <n v="0"/>
    <n v="0"/>
    <n v="0"/>
    <n v="0"/>
    <s v="MMR001CMP002"/>
    <x v="0"/>
    <x v="1"/>
    <s v="P4"/>
    <n v="6.1432608428553873E-4"/>
    <s v="No"/>
  </r>
  <r>
    <n v="62.43333333333333"/>
    <d v="2011-11-16T00:00:00"/>
    <x v="0"/>
    <s v="KBC"/>
    <s v="Kachin"/>
    <s v="Myitkyina"/>
    <s v="Njang Dung Baptist Church "/>
    <m/>
    <m/>
    <m/>
    <n v="92"/>
    <n v="53"/>
    <n v="92"/>
    <n v="53"/>
    <n v="53"/>
    <n v="53"/>
    <n v="53"/>
    <m/>
    <m/>
    <m/>
    <m/>
    <m/>
    <m/>
    <m/>
    <n v="0"/>
    <n v="0"/>
    <n v="0"/>
    <n v="0"/>
    <n v="0"/>
    <n v="0"/>
    <n v="0"/>
    <n v="0"/>
    <n v="0"/>
    <n v="0"/>
    <n v="0"/>
    <n v="0"/>
    <n v="0"/>
    <n v="0"/>
    <n v="0"/>
    <n v="0"/>
    <n v="0"/>
    <n v="0"/>
    <s v="MMR001CMP002"/>
    <x v="0"/>
    <x v="1"/>
    <s v="P4"/>
    <n v="1.3023712986853422E-3"/>
    <s v="No"/>
  </r>
  <r>
    <n v="6.166666666666667"/>
    <d v="2016-06-30T00:00:00"/>
    <x v="4"/>
    <s v="Solidarities"/>
    <s v="Kachin"/>
    <s v="Momauk"/>
    <s v="Nyaung Na Pin "/>
    <m/>
    <m/>
    <m/>
    <m/>
    <m/>
    <m/>
    <m/>
    <m/>
    <m/>
    <m/>
    <m/>
    <m/>
    <m/>
    <m/>
    <n v="1"/>
    <m/>
    <m/>
    <n v="0"/>
    <n v="0"/>
    <n v="0"/>
    <n v="0"/>
    <n v="0"/>
    <n v="0"/>
    <n v="0"/>
    <n v="0"/>
    <n v="0"/>
    <n v="0"/>
    <n v="0"/>
    <n v="0"/>
    <n v="0"/>
    <n v="0"/>
    <n v="0"/>
    <n v="1"/>
    <n v="0"/>
    <n v="0"/>
    <s v="MMR001CMP072"/>
    <x v="0"/>
    <x v="1"/>
    <s v="P3"/>
    <n v="0"/>
    <m/>
  </r>
  <r>
    <n v="8.1999999999999993"/>
    <d v="2016-04-30T00:00:00"/>
    <x v="4"/>
    <s v="Solidarities"/>
    <s v="Kachin"/>
    <s v="Momauk"/>
    <s v="Nyaung Na Pin "/>
    <m/>
    <m/>
    <m/>
    <m/>
    <m/>
    <m/>
    <m/>
    <m/>
    <m/>
    <m/>
    <m/>
    <m/>
    <m/>
    <m/>
    <m/>
    <n v="5"/>
    <m/>
    <n v="0"/>
    <n v="0"/>
    <n v="0"/>
    <n v="0"/>
    <n v="0"/>
    <n v="0"/>
    <n v="0"/>
    <n v="0"/>
    <n v="0"/>
    <n v="0"/>
    <n v="0"/>
    <n v="0"/>
    <n v="0"/>
    <n v="0"/>
    <n v="0"/>
    <n v="0"/>
    <n v="5"/>
    <n v="0"/>
    <s v="MMR001CMP072"/>
    <x v="0"/>
    <x v="1"/>
    <s v="P3"/>
    <n v="0"/>
    <m/>
  </r>
  <r>
    <n v="10.933333333333334"/>
    <d v="2016-02-08T00:00:00"/>
    <x v="4"/>
    <s v="Solidarities"/>
    <s v="Kachin"/>
    <s v="Momauk"/>
    <s v="Nyaung Na Pin "/>
    <m/>
    <m/>
    <n v="82"/>
    <m/>
    <m/>
    <m/>
    <m/>
    <m/>
    <m/>
    <m/>
    <m/>
    <m/>
    <m/>
    <m/>
    <m/>
    <m/>
    <m/>
    <n v="0"/>
    <n v="0"/>
    <n v="82"/>
    <n v="0"/>
    <n v="0"/>
    <n v="0"/>
    <n v="0"/>
    <n v="0"/>
    <n v="0"/>
    <n v="0"/>
    <n v="0"/>
    <n v="0"/>
    <n v="0"/>
    <n v="0"/>
    <n v="0"/>
    <n v="0"/>
    <n v="0"/>
    <n v="0"/>
    <s v="MMR001CMP072"/>
    <x v="0"/>
    <x v="1"/>
    <s v="P3"/>
    <n v="0"/>
    <m/>
  </r>
  <r>
    <n v="44"/>
    <d v="2013-05-22T00:00:00"/>
    <x v="0"/>
    <s v="UNHCR"/>
    <s v="Kachin"/>
    <s v="Hpakant"/>
    <s v="Mashi Kahtawng Baptist  Church"/>
    <m/>
    <m/>
    <n v="48"/>
    <n v="74"/>
    <n v="31"/>
    <n v="74"/>
    <n v="31"/>
    <n v="31"/>
    <n v="31"/>
    <n v="31"/>
    <m/>
    <m/>
    <m/>
    <m/>
    <m/>
    <m/>
    <m/>
    <n v="0"/>
    <n v="0"/>
    <n v="0"/>
    <n v="0"/>
    <n v="0"/>
    <n v="0"/>
    <n v="0"/>
    <n v="0"/>
    <n v="0"/>
    <n v="0"/>
    <n v="0"/>
    <n v="0"/>
    <n v="0"/>
    <n v="0"/>
    <n v="0"/>
    <n v="0"/>
    <n v="0"/>
    <n v="0"/>
    <s v="MMR001CMP094"/>
    <x v="0"/>
    <x v="0"/>
    <s v=""/>
    <s v=""/>
    <s v="No"/>
  </r>
  <r>
    <n v="12.766666666666667"/>
    <d v="2015-12-15T00:00:00"/>
    <x v="4"/>
    <s v="Solidarities"/>
    <s v="Kachin"/>
    <s v="Momauk"/>
    <s v="Nyaung Na Pin "/>
    <m/>
    <m/>
    <m/>
    <m/>
    <m/>
    <m/>
    <m/>
    <m/>
    <m/>
    <m/>
    <m/>
    <m/>
    <m/>
    <m/>
    <m/>
    <n v="5"/>
    <m/>
    <n v="0"/>
    <n v="0"/>
    <n v="0"/>
    <n v="0"/>
    <n v="0"/>
    <n v="0"/>
    <n v="0"/>
    <n v="0"/>
    <n v="0"/>
    <n v="0"/>
    <n v="0"/>
    <n v="0"/>
    <n v="0"/>
    <n v="0"/>
    <n v="0"/>
    <n v="0"/>
    <n v="0"/>
    <n v="0"/>
    <s v="MMR001CMP072"/>
    <x v="0"/>
    <x v="1"/>
    <s v="P3"/>
    <n v="0"/>
    <m/>
  </r>
  <r>
    <n v="44"/>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0"/>
    <s v=""/>
    <n v="3.6720003890861339E-3"/>
    <s v="No"/>
  </r>
  <r>
    <n v="19.233333333333334"/>
    <d v="2015-06-04T00:00:00"/>
    <x v="4"/>
    <s v="Solidarities"/>
    <s v="Kachin"/>
    <s v="Momauk"/>
    <s v="Nyaung Na Pin "/>
    <m/>
    <m/>
    <n v="87"/>
    <m/>
    <m/>
    <m/>
    <m/>
    <m/>
    <m/>
    <m/>
    <m/>
    <m/>
    <m/>
    <m/>
    <m/>
    <m/>
    <m/>
    <n v="0"/>
    <n v="0"/>
    <n v="0"/>
    <n v="0"/>
    <n v="0"/>
    <n v="0"/>
    <n v="0"/>
    <n v="0"/>
    <n v="0"/>
    <n v="0"/>
    <n v="0"/>
    <n v="0"/>
    <n v="0"/>
    <n v="0"/>
    <n v="0"/>
    <n v="0"/>
    <n v="0"/>
    <n v="0"/>
    <s v="MMR001CMP072"/>
    <x v="0"/>
    <x v="1"/>
    <s v="P3"/>
    <n v="0"/>
    <m/>
  </r>
  <r>
    <n v="22.1"/>
    <d v="2015-03-10T00:00:00"/>
    <x v="4"/>
    <s v="Solidarities"/>
    <s v="Kachin"/>
    <s v="Momauk"/>
    <s v="Nyaung Na Pin "/>
    <m/>
    <m/>
    <m/>
    <m/>
    <m/>
    <m/>
    <m/>
    <m/>
    <m/>
    <m/>
    <m/>
    <m/>
    <m/>
    <m/>
    <m/>
    <n v="2"/>
    <m/>
    <n v="0"/>
    <n v="0"/>
    <n v="0"/>
    <n v="0"/>
    <n v="0"/>
    <n v="0"/>
    <n v="0"/>
    <n v="0"/>
    <n v="0"/>
    <n v="0"/>
    <n v="0"/>
    <n v="0"/>
    <n v="0"/>
    <n v="0"/>
    <n v="0"/>
    <n v="0"/>
    <n v="0"/>
    <n v="0"/>
    <s v="MMR001CMP072"/>
    <x v="0"/>
    <x v="1"/>
    <s v="P3"/>
    <n v="0"/>
    <m/>
  </r>
  <r>
    <n v="44.2"/>
    <d v="2013-05-16T00:00:00"/>
    <x v="6"/>
    <s v="KMSS"/>
    <s v="Kachin"/>
    <s v="Hpakant"/>
    <s v="Lawng Hkang"/>
    <n v="394"/>
    <m/>
    <m/>
    <m/>
    <m/>
    <m/>
    <m/>
    <m/>
    <m/>
    <m/>
    <m/>
    <m/>
    <m/>
    <m/>
    <m/>
    <m/>
    <m/>
    <n v="0"/>
    <n v="0"/>
    <n v="0"/>
    <n v="0"/>
    <n v="0"/>
    <n v="0"/>
    <n v="0"/>
    <n v="0"/>
    <n v="0"/>
    <n v="0"/>
    <n v="0"/>
    <n v="0"/>
    <n v="0"/>
    <n v="0"/>
    <n v="0"/>
    <n v="0"/>
    <n v="0"/>
    <n v="0"/>
    <s v=""/>
    <x v="2"/>
    <x v="2"/>
    <s v=""/>
    <s v=""/>
    <s v="No"/>
  </r>
  <r>
    <n v="23.966666666666665"/>
    <d v="2015-01-13T00:00:00"/>
    <x v="1"/>
    <s v="MRCS"/>
    <s v="Kachin"/>
    <s v="Momauk"/>
    <s v="Nyaung Na Pin "/>
    <m/>
    <m/>
    <m/>
    <m/>
    <m/>
    <m/>
    <m/>
    <m/>
    <m/>
    <m/>
    <n v="195"/>
    <n v="91"/>
    <m/>
    <n v="92"/>
    <m/>
    <m/>
    <m/>
    <n v="0"/>
    <n v="0"/>
    <n v="0"/>
    <n v="0"/>
    <n v="0"/>
    <n v="0"/>
    <n v="0"/>
    <n v="0"/>
    <n v="0"/>
    <n v="0"/>
    <n v="0"/>
    <n v="0"/>
    <n v="0"/>
    <n v="0"/>
    <n v="1"/>
    <n v="0"/>
    <n v="0"/>
    <n v="0"/>
    <s v="MMR001CMP072"/>
    <x v="0"/>
    <x v="1"/>
    <s v="P3"/>
    <n v="0"/>
    <m/>
  </r>
  <r>
    <n v="44.2"/>
    <d v="2013-05-16T00:00:00"/>
    <x v="6"/>
    <s v="KMSS"/>
    <s v="Kachin"/>
    <s v="Hpakant"/>
    <s v="Ward 2 Cahotlic Church, Seik Mu"/>
    <n v="103"/>
    <m/>
    <m/>
    <m/>
    <m/>
    <m/>
    <m/>
    <m/>
    <m/>
    <m/>
    <m/>
    <m/>
    <m/>
    <m/>
    <m/>
    <m/>
    <m/>
    <n v="0"/>
    <n v="0"/>
    <n v="0"/>
    <n v="0"/>
    <n v="0"/>
    <n v="0"/>
    <n v="0"/>
    <n v="0"/>
    <n v="0"/>
    <n v="0"/>
    <n v="0"/>
    <n v="0"/>
    <n v="0"/>
    <n v="0"/>
    <n v="0"/>
    <n v="0"/>
    <n v="0"/>
    <n v="0"/>
    <s v="MMR001CMP185"/>
    <x v="0"/>
    <x v="0"/>
    <s v=""/>
    <n v="0"/>
    <s v="No"/>
  </r>
  <r>
    <n v="24.833333333333332"/>
    <d v="2014-12-18T00:00:00"/>
    <x v="4"/>
    <s v="Solidarities"/>
    <s v="Kachin"/>
    <s v="Momauk"/>
    <s v="Nyaung Na Pin "/>
    <m/>
    <m/>
    <n v="85"/>
    <m/>
    <m/>
    <m/>
    <m/>
    <m/>
    <m/>
    <m/>
    <m/>
    <m/>
    <m/>
    <m/>
    <m/>
    <m/>
    <m/>
    <n v="0"/>
    <n v="0"/>
    <n v="0"/>
    <n v="0"/>
    <n v="0"/>
    <n v="0"/>
    <n v="0"/>
    <n v="0"/>
    <n v="0"/>
    <n v="0"/>
    <n v="0"/>
    <n v="0"/>
    <n v="0"/>
    <n v="0"/>
    <n v="0"/>
    <n v="0"/>
    <n v="0"/>
    <n v="0"/>
    <s v="MMR001CMP072"/>
    <x v="0"/>
    <x v="1"/>
    <s v="P3"/>
    <n v="0"/>
    <m/>
  </r>
  <r>
    <n v="27.133333333333333"/>
    <d v="2014-10-10T00:00:00"/>
    <x v="0"/>
    <m/>
    <s v="Kachin"/>
    <s v="Momauk"/>
    <s v="Nyaung Na Pin "/>
    <m/>
    <m/>
    <m/>
    <m/>
    <n v="60"/>
    <m/>
    <m/>
    <m/>
    <m/>
    <m/>
    <m/>
    <m/>
    <m/>
    <m/>
    <m/>
    <m/>
    <m/>
    <n v="0"/>
    <n v="0"/>
    <n v="0"/>
    <n v="0"/>
    <n v="0"/>
    <n v="0"/>
    <n v="0"/>
    <n v="0"/>
    <n v="0"/>
    <n v="0"/>
    <n v="0"/>
    <n v="0"/>
    <n v="0"/>
    <n v="0"/>
    <n v="0"/>
    <n v="0"/>
    <n v="0"/>
    <n v="0"/>
    <s v="MMR001CMP072"/>
    <x v="0"/>
    <x v="1"/>
    <s v="P3"/>
    <n v="0"/>
    <m/>
  </r>
  <r>
    <n v="37.6"/>
    <d v="2013-11-30T00:00:00"/>
    <x v="4"/>
    <m/>
    <s v="Kachin"/>
    <s v="Momauk"/>
    <s v="Nyaung Na Pin "/>
    <m/>
    <m/>
    <m/>
    <m/>
    <m/>
    <m/>
    <m/>
    <m/>
    <m/>
    <n v="135"/>
    <m/>
    <m/>
    <m/>
    <m/>
    <m/>
    <m/>
    <m/>
    <n v="0"/>
    <n v="0"/>
    <n v="0"/>
    <n v="0"/>
    <n v="0"/>
    <n v="0"/>
    <n v="0"/>
    <n v="0"/>
    <n v="0"/>
    <n v="0"/>
    <n v="0"/>
    <n v="0"/>
    <n v="0"/>
    <n v="0"/>
    <n v="0"/>
    <n v="0"/>
    <n v="0"/>
    <n v="0"/>
    <s v="MMR001CMP072"/>
    <x v="0"/>
    <x v="1"/>
    <s v="P3"/>
    <n v="0"/>
    <s v="No"/>
  </r>
  <r>
    <n v="38.033333333333331"/>
    <d v="2013-11-17T00:00:00"/>
    <x v="3"/>
    <m/>
    <s v="Kachin"/>
    <s v="Momauk"/>
    <s v="Nyaung Na Pin "/>
    <m/>
    <m/>
    <m/>
    <m/>
    <m/>
    <n v="145"/>
    <m/>
    <m/>
    <m/>
    <m/>
    <m/>
    <m/>
    <m/>
    <m/>
    <m/>
    <m/>
    <m/>
    <n v="0"/>
    <n v="0"/>
    <n v="0"/>
    <n v="0"/>
    <n v="0"/>
    <n v="0"/>
    <n v="0"/>
    <n v="0"/>
    <n v="0"/>
    <n v="0"/>
    <n v="0"/>
    <n v="0"/>
    <n v="0"/>
    <n v="0"/>
    <n v="0"/>
    <n v="0"/>
    <n v="0"/>
    <n v="0"/>
    <s v="MMR001CMP072"/>
    <x v="0"/>
    <x v="1"/>
    <s v="P3"/>
    <n v="0"/>
    <s v="No"/>
  </r>
  <r>
    <n v="52.866666666666667"/>
    <d v="2012-08-29T00:00:00"/>
    <x v="0"/>
    <s v="UNHCR"/>
    <s v="Kachin"/>
    <s v="Momauk"/>
    <s v="Nyaung Na Pin "/>
    <m/>
    <m/>
    <m/>
    <n v="112"/>
    <n v="41"/>
    <n v="112"/>
    <n v="41"/>
    <n v="41"/>
    <n v="41"/>
    <n v="41"/>
    <m/>
    <m/>
    <m/>
    <m/>
    <m/>
    <m/>
    <m/>
    <n v="0"/>
    <n v="0"/>
    <n v="0"/>
    <n v="0"/>
    <n v="0"/>
    <n v="0"/>
    <n v="0"/>
    <n v="0"/>
    <n v="0"/>
    <n v="0"/>
    <n v="0"/>
    <n v="0"/>
    <n v="0"/>
    <n v="0"/>
    <n v="0"/>
    <n v="0"/>
    <n v="0"/>
    <n v="0"/>
    <s v="MMR001CMP072"/>
    <x v="0"/>
    <x v="1"/>
    <s v="P3"/>
    <n v="9.9703321822868537E-4"/>
    <s v="No"/>
  </r>
  <r>
    <n v="13.466666666666667"/>
    <d v="2015-11-24T00:00:00"/>
    <x v="0"/>
    <s v="KMSS"/>
    <s v="Kachin"/>
    <s v="Myitkyina"/>
    <s v="Pa Dauk Myaing(Pa La Na)"/>
    <m/>
    <m/>
    <m/>
    <m/>
    <m/>
    <m/>
    <m/>
    <m/>
    <m/>
    <m/>
    <m/>
    <m/>
    <m/>
    <n v="50"/>
    <m/>
    <m/>
    <m/>
    <n v="0"/>
    <n v="0"/>
    <n v="0"/>
    <n v="0"/>
    <n v="0"/>
    <n v="0"/>
    <n v="0"/>
    <n v="0"/>
    <n v="0"/>
    <n v="0"/>
    <n v="0"/>
    <n v="0"/>
    <n v="0"/>
    <n v="0"/>
    <n v="1"/>
    <n v="0"/>
    <n v="0"/>
    <n v="0"/>
    <s v="MMR001CMP162"/>
    <x v="0"/>
    <x v="1"/>
    <s v="P4"/>
    <n v="0"/>
    <s v="No"/>
  </r>
  <r>
    <n v="15.7"/>
    <d v="2015-09-18T00:00:00"/>
    <x v="0"/>
    <s v="KMSS"/>
    <s v="Kachin"/>
    <s v="Myitkyina"/>
    <s v="Pa Dauk Myaing(Pa La Na)"/>
    <m/>
    <n v="11"/>
    <n v="11"/>
    <n v="21"/>
    <n v="16"/>
    <n v="21"/>
    <n v="11"/>
    <m/>
    <n v="11"/>
    <n v="42"/>
    <m/>
    <m/>
    <m/>
    <m/>
    <n v="11"/>
    <m/>
    <n v="6"/>
    <n v="0"/>
    <n v="0"/>
    <n v="0"/>
    <n v="0"/>
    <n v="0"/>
    <n v="0"/>
    <n v="0"/>
    <n v="0"/>
    <n v="0"/>
    <n v="0"/>
    <n v="0"/>
    <n v="0"/>
    <n v="0"/>
    <n v="0"/>
    <n v="0"/>
    <n v="0"/>
    <n v="0"/>
    <n v="0"/>
    <s v="MMR001CMP162"/>
    <x v="0"/>
    <x v="1"/>
    <s v="P4"/>
    <n v="2.667054601881486E-4"/>
    <s v="No"/>
  </r>
  <r>
    <n v="22.933333333333334"/>
    <d v="2015-02-13T00:00:00"/>
    <x v="0"/>
    <s v="KMSS"/>
    <s v="Kachin"/>
    <s v="Myitkyina"/>
    <s v="Pa Dauk Myaing(Pa La Na)"/>
    <m/>
    <m/>
    <m/>
    <m/>
    <m/>
    <n v="18"/>
    <n v="9"/>
    <m/>
    <n v="29"/>
    <n v="145"/>
    <m/>
    <m/>
    <m/>
    <m/>
    <m/>
    <m/>
    <m/>
    <n v="0"/>
    <n v="0"/>
    <n v="0"/>
    <n v="0"/>
    <n v="0"/>
    <n v="0"/>
    <n v="0"/>
    <n v="0"/>
    <n v="0"/>
    <n v="0"/>
    <n v="0"/>
    <n v="0"/>
    <n v="0"/>
    <n v="0"/>
    <n v="0"/>
    <n v="0"/>
    <n v="0"/>
    <n v="0"/>
    <s v="MMR001CMP162"/>
    <x v="0"/>
    <x v="1"/>
    <s v="P4"/>
    <n v="2.1821355833575792E-4"/>
    <s v="No"/>
  </r>
  <r>
    <n v="23.966666666666665"/>
    <d v="2015-01-13T00:00:00"/>
    <x v="1"/>
    <s v="MRCS"/>
    <s v="Kachin"/>
    <s v="Myitkyina"/>
    <s v="Pa Dauk Myaing(Pa La Na)"/>
    <m/>
    <m/>
    <m/>
    <m/>
    <m/>
    <m/>
    <m/>
    <m/>
    <m/>
    <m/>
    <n v="323"/>
    <n v="178"/>
    <m/>
    <m/>
    <m/>
    <m/>
    <m/>
    <n v="0"/>
    <n v="0"/>
    <n v="0"/>
    <n v="0"/>
    <n v="0"/>
    <n v="0"/>
    <n v="0"/>
    <n v="0"/>
    <n v="0"/>
    <n v="0"/>
    <n v="0"/>
    <n v="0"/>
    <n v="0"/>
    <n v="0"/>
    <n v="1"/>
    <n v="0"/>
    <n v="0"/>
    <n v="0"/>
    <s v="MMR001CMP162"/>
    <x v="0"/>
    <x v="1"/>
    <s v="P4"/>
    <n v="0"/>
    <m/>
  </r>
  <r>
    <n v="27.433333333333334"/>
    <d v="2014-10-01T00:00:00"/>
    <x v="0"/>
    <s v="KMSS"/>
    <s v="Kachin"/>
    <s v="Myitkyina"/>
    <s v="Pa Dauk Myaing(Pa La Na)"/>
    <m/>
    <m/>
    <m/>
    <n v="62"/>
    <m/>
    <m/>
    <m/>
    <m/>
    <m/>
    <m/>
    <m/>
    <m/>
    <m/>
    <m/>
    <m/>
    <m/>
    <m/>
    <n v="0"/>
    <n v="0"/>
    <n v="0"/>
    <n v="0"/>
    <n v="0"/>
    <n v="0"/>
    <n v="0"/>
    <n v="0"/>
    <n v="0"/>
    <n v="0"/>
    <n v="0"/>
    <n v="0"/>
    <n v="0"/>
    <n v="0"/>
    <n v="0"/>
    <n v="0"/>
    <n v="0"/>
    <n v="0"/>
    <s v="MMR001CMP162"/>
    <x v="0"/>
    <x v="1"/>
    <s v="P4"/>
    <n v="0"/>
    <m/>
  </r>
  <r>
    <n v="32.266666666666666"/>
    <d v="2014-05-09T00:00:00"/>
    <x v="8"/>
    <s v="MRCS"/>
    <s v="Kachin"/>
    <s v="Myitkyina"/>
    <s v="Pa Dauk Myaing(Pa La Na)"/>
    <m/>
    <m/>
    <m/>
    <m/>
    <m/>
    <m/>
    <m/>
    <m/>
    <m/>
    <m/>
    <m/>
    <m/>
    <m/>
    <n v="58"/>
    <m/>
    <m/>
    <m/>
    <n v="0"/>
    <n v="0"/>
    <n v="0"/>
    <n v="0"/>
    <n v="0"/>
    <n v="0"/>
    <n v="0"/>
    <n v="0"/>
    <n v="0"/>
    <n v="0"/>
    <n v="0"/>
    <n v="0"/>
    <n v="0"/>
    <n v="0"/>
    <n v="1"/>
    <n v="0"/>
    <n v="0"/>
    <n v="0"/>
    <s v="MMR001CMP162"/>
    <x v="0"/>
    <x v="1"/>
    <s v="P4"/>
    <n v="0"/>
    <m/>
  </r>
  <r>
    <n v="41.9"/>
    <d v="2013-07-24T00:00:00"/>
    <x v="0"/>
    <s v="KMSS"/>
    <s v="Kachin"/>
    <s v="Myitkyina"/>
    <s v="Pa Dauk Myaing(Pa La Na)"/>
    <m/>
    <m/>
    <n v="31"/>
    <n v="41"/>
    <n v="17"/>
    <n v="41"/>
    <n v="17"/>
    <n v="17"/>
    <n v="17"/>
    <n v="17"/>
    <m/>
    <m/>
    <m/>
    <m/>
    <m/>
    <m/>
    <m/>
    <n v="0"/>
    <n v="0"/>
    <n v="0"/>
    <n v="0"/>
    <n v="0"/>
    <n v="0"/>
    <n v="0"/>
    <n v="0"/>
    <n v="0"/>
    <n v="0"/>
    <n v="0"/>
    <n v="0"/>
    <n v="0"/>
    <n v="0"/>
    <n v="0"/>
    <n v="0"/>
    <n v="0"/>
    <n v="0"/>
    <s v="MMR001CMP162"/>
    <x v="0"/>
    <x v="1"/>
    <s v="P4"/>
    <n v="4.1218116574532053E-4"/>
    <s v="No"/>
  </r>
  <r>
    <n v="46.1"/>
    <d v="2013-03-20T00:00:00"/>
    <x v="0"/>
    <s v="UNHCR"/>
    <s v="Kachin"/>
    <s v="Hpakant"/>
    <s v="Anglican Church, Hmaw Si Sar"/>
    <m/>
    <m/>
    <n v="38"/>
    <n v="11"/>
    <n v="11"/>
    <n v="87"/>
    <n v="11"/>
    <n v="26"/>
    <n v="26"/>
    <n v="26"/>
    <m/>
    <m/>
    <m/>
    <m/>
    <m/>
    <m/>
    <m/>
    <n v="0"/>
    <n v="0"/>
    <n v="0"/>
    <n v="0"/>
    <n v="0"/>
    <n v="0"/>
    <n v="0"/>
    <n v="0"/>
    <n v="0"/>
    <n v="0"/>
    <n v="0"/>
    <n v="0"/>
    <n v="0"/>
    <n v="0"/>
    <n v="0"/>
    <n v="0"/>
    <n v="0"/>
    <n v="0"/>
    <s v="MMR001CMP173"/>
    <x v="0"/>
    <x v="0"/>
    <s v=""/>
    <s v=""/>
    <s v="No"/>
  </r>
  <r>
    <n v="44.5"/>
    <d v="2013-05-07T00:00:00"/>
    <x v="6"/>
    <s v="KMSS"/>
    <s v="Kachin"/>
    <s v="Myitkyina"/>
    <s v="Pa Dauk Myaing(Pa La Na)"/>
    <n v="149"/>
    <m/>
    <m/>
    <m/>
    <m/>
    <m/>
    <m/>
    <m/>
    <m/>
    <m/>
    <m/>
    <m/>
    <m/>
    <m/>
    <m/>
    <m/>
    <m/>
    <n v="0"/>
    <n v="0"/>
    <n v="0"/>
    <n v="0"/>
    <n v="0"/>
    <n v="0"/>
    <n v="0"/>
    <n v="0"/>
    <n v="0"/>
    <n v="0"/>
    <n v="0"/>
    <n v="0"/>
    <n v="0"/>
    <n v="0"/>
    <n v="0"/>
    <n v="0"/>
    <n v="0"/>
    <n v="0"/>
    <s v="MMR001CMP162"/>
    <x v="0"/>
    <x v="1"/>
    <s v="P4"/>
    <n v="0"/>
    <s v="No"/>
  </r>
  <r>
    <n v="46.1"/>
    <d v="2013-03-20T00:00:00"/>
    <x v="0"/>
    <s v="UNHCR"/>
    <s v="Kachin"/>
    <s v="Hpakant"/>
    <s v="Chin(Zomi) Baptist Church"/>
    <m/>
    <m/>
    <n v="9"/>
    <n v="6"/>
    <n v="6"/>
    <n v="15"/>
    <n v="6"/>
    <n v="15"/>
    <n v="15"/>
    <n v="15"/>
    <m/>
    <m/>
    <m/>
    <m/>
    <m/>
    <m/>
    <m/>
    <n v="0"/>
    <n v="0"/>
    <n v="0"/>
    <n v="0"/>
    <n v="0"/>
    <n v="0"/>
    <n v="0"/>
    <n v="0"/>
    <n v="0"/>
    <n v="0"/>
    <n v="0"/>
    <n v="0"/>
    <n v="0"/>
    <n v="0"/>
    <n v="0"/>
    <n v="0"/>
    <n v="0"/>
    <n v="0"/>
    <s v="MMR001CMP086"/>
    <x v="0"/>
    <x v="0"/>
    <s v=""/>
    <s v=""/>
    <s v="No"/>
  </r>
  <r>
    <n v="47.56666666666667"/>
    <d v="2013-02-04T00:00:00"/>
    <x v="0"/>
    <s v="UNHCR"/>
    <s v="Kachin"/>
    <s v="Myitkyina"/>
    <s v="Pa Dauk Myaing(Pa La Na)"/>
    <m/>
    <m/>
    <n v="5"/>
    <n v="8"/>
    <n v="5"/>
    <n v="8"/>
    <n v="5"/>
    <n v="5"/>
    <n v="5"/>
    <n v="5"/>
    <m/>
    <m/>
    <m/>
    <m/>
    <m/>
    <m/>
    <m/>
    <n v="0"/>
    <n v="0"/>
    <n v="0"/>
    <n v="0"/>
    <n v="0"/>
    <n v="0"/>
    <n v="0"/>
    <n v="0"/>
    <n v="0"/>
    <n v="0"/>
    <n v="0"/>
    <n v="0"/>
    <n v="0"/>
    <n v="0"/>
    <n v="0"/>
    <n v="0"/>
    <n v="0"/>
    <n v="0"/>
    <s v="MMR001CMP162"/>
    <x v="0"/>
    <x v="1"/>
    <s v="P4"/>
    <n v="1.2122975463097663E-4"/>
    <s v="No"/>
  </r>
  <r>
    <n v="46.1"/>
    <d v="2013-03-20T00:00:00"/>
    <x v="0"/>
    <s v="UNHCR"/>
    <s v="Kachin"/>
    <s v="Hpakant"/>
    <s v="Maw Wan, Kachin Baptist Church"/>
    <m/>
    <m/>
    <n v="18"/>
    <n v="17"/>
    <n v="17"/>
    <n v="42"/>
    <n v="17"/>
    <n v="42"/>
    <n v="42"/>
    <n v="42"/>
    <m/>
    <m/>
    <m/>
    <m/>
    <m/>
    <m/>
    <m/>
    <n v="0"/>
    <n v="0"/>
    <n v="0"/>
    <n v="0"/>
    <n v="0"/>
    <n v="0"/>
    <n v="0"/>
    <n v="0"/>
    <n v="0"/>
    <n v="0"/>
    <n v="0"/>
    <n v="0"/>
    <n v="0"/>
    <n v="0"/>
    <n v="0"/>
    <n v="0"/>
    <n v="0"/>
    <n v="0"/>
    <s v="MMR001CMP085"/>
    <x v="0"/>
    <x v="0"/>
    <s v=""/>
    <s v=""/>
    <s v="No"/>
  </r>
  <r>
    <n v="49.133333333333333"/>
    <d v="2012-12-19T00:00:00"/>
    <x v="0"/>
    <s v="UNHCR"/>
    <s v="Kachin"/>
    <s v="Myitkyina"/>
    <s v="Pa Dauk Myaing(Pa La Na)"/>
    <m/>
    <m/>
    <m/>
    <n v="37"/>
    <n v="10"/>
    <n v="37"/>
    <n v="10"/>
    <n v="10"/>
    <n v="10"/>
    <n v="10"/>
    <m/>
    <m/>
    <m/>
    <m/>
    <m/>
    <m/>
    <m/>
    <n v="0"/>
    <n v="0"/>
    <n v="0"/>
    <n v="0"/>
    <n v="0"/>
    <n v="0"/>
    <n v="0"/>
    <n v="0"/>
    <n v="0"/>
    <n v="0"/>
    <n v="0"/>
    <n v="0"/>
    <n v="0"/>
    <n v="0"/>
    <n v="0"/>
    <n v="0"/>
    <n v="0"/>
    <n v="0"/>
    <s v="MMR001CMP162"/>
    <x v="0"/>
    <x v="1"/>
    <s v="P4"/>
    <n v="2.4245950926195326E-4"/>
    <s v="No"/>
  </r>
  <r>
    <n v="46.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0"/>
    <s v=""/>
    <n v="1.162931556632344E-3"/>
    <s v="No"/>
  </r>
  <r>
    <n v="27.8"/>
    <d v="2014-09-20T00:00:00"/>
    <x v="0"/>
    <m/>
    <s v="Kachin"/>
    <s v="Momauk"/>
    <s v="Pa Kahtawng "/>
    <m/>
    <m/>
    <m/>
    <n v="1238"/>
    <m/>
    <m/>
    <m/>
    <m/>
    <m/>
    <m/>
    <m/>
    <m/>
    <m/>
    <n v="1761"/>
    <m/>
    <m/>
    <m/>
    <n v="0"/>
    <n v="0"/>
    <n v="0"/>
    <n v="0"/>
    <n v="0"/>
    <n v="0"/>
    <n v="0"/>
    <n v="0"/>
    <n v="0"/>
    <n v="0"/>
    <n v="0"/>
    <n v="0"/>
    <n v="0"/>
    <n v="0"/>
    <n v="1"/>
    <n v="0"/>
    <n v="0"/>
    <n v="0"/>
    <s v="MMR001CMP126"/>
    <x v="0"/>
    <x v="1"/>
    <s v="P2"/>
    <n v="0"/>
    <m/>
  </r>
  <r>
    <n v="46.1"/>
    <d v="2013-03-20T00:00:00"/>
    <x v="0"/>
    <s v="UNHCR"/>
    <s v="Kachin"/>
    <s v="Hpakant"/>
    <s v="Wrad(5) Christian Association"/>
    <m/>
    <m/>
    <n v="34"/>
    <n v="26"/>
    <n v="26"/>
    <n v="60"/>
    <n v="26"/>
    <n v="60"/>
    <n v="60"/>
    <n v="60"/>
    <m/>
    <m/>
    <m/>
    <m/>
    <m/>
    <m/>
    <m/>
    <n v="0"/>
    <n v="0"/>
    <n v="0"/>
    <n v="0"/>
    <n v="0"/>
    <n v="0"/>
    <n v="0"/>
    <n v="0"/>
    <n v="0"/>
    <n v="0"/>
    <n v="0"/>
    <n v="0"/>
    <n v="0"/>
    <n v="0"/>
    <n v="0"/>
    <n v="0"/>
    <n v="0"/>
    <n v="0"/>
    <s v="MMR001CMP175"/>
    <x v="0"/>
    <x v="0"/>
    <s v=""/>
    <s v=""/>
    <s v="No"/>
  </r>
  <r>
    <n v="46.1"/>
    <d v="2013-03-20T00:00:00"/>
    <x v="0"/>
    <s v="UNHCR"/>
    <s v="Kachin"/>
    <s v="Hpakant"/>
    <s v="Zomee Baptist Church camp, Hmaw Wan"/>
    <m/>
    <m/>
    <n v="6"/>
    <n v="0"/>
    <n v="0"/>
    <n v="11"/>
    <n v="0"/>
    <n v="0"/>
    <m/>
    <m/>
    <m/>
    <m/>
    <m/>
    <m/>
    <m/>
    <m/>
    <m/>
    <n v="0"/>
    <n v="0"/>
    <n v="0"/>
    <n v="0"/>
    <n v="0"/>
    <n v="0"/>
    <n v="0"/>
    <n v="0"/>
    <n v="0"/>
    <n v="0"/>
    <n v="0"/>
    <n v="0"/>
    <n v="0"/>
    <n v="0"/>
    <n v="0"/>
    <n v="0"/>
    <n v="0"/>
    <n v="0"/>
    <s v="MMR001CMP201"/>
    <x v="0"/>
    <x v="0"/>
    <s v=""/>
    <s v=""/>
    <s v="No"/>
  </r>
  <r>
    <n v="29.166666666666668"/>
    <d v="2014-08-10T00:00:00"/>
    <x v="0"/>
    <m/>
    <s v="Kachin"/>
    <s v="Momauk"/>
    <s v="Pa Kahtawng "/>
    <m/>
    <m/>
    <m/>
    <n v="100"/>
    <n v="52"/>
    <n v="156"/>
    <n v="40"/>
    <m/>
    <n v="52"/>
    <n v="210"/>
    <m/>
    <m/>
    <m/>
    <m/>
    <m/>
    <m/>
    <m/>
    <n v="0"/>
    <n v="0"/>
    <n v="0"/>
    <n v="0"/>
    <n v="0"/>
    <n v="0"/>
    <n v="0"/>
    <n v="0"/>
    <n v="0"/>
    <n v="0"/>
    <n v="0"/>
    <n v="0"/>
    <n v="0"/>
    <n v="0"/>
    <n v="0"/>
    <n v="0"/>
    <n v="0"/>
    <n v="0"/>
    <s v="MMR001CMP126"/>
    <x v="0"/>
    <x v="1"/>
    <s v="P2"/>
    <n v="9.7560975609756097E-4"/>
    <m/>
  </r>
  <r>
    <n v="35.766666666666666"/>
    <d v="2014-01-24T00:00:00"/>
    <x v="0"/>
    <s v="UNHCR"/>
    <s v="Kachin"/>
    <s v="Momauk"/>
    <s v="Pa Kahtawng "/>
    <m/>
    <m/>
    <m/>
    <n v="60"/>
    <n v="30"/>
    <n v="60"/>
    <n v="30"/>
    <m/>
    <n v="30"/>
    <n v="150"/>
    <m/>
    <m/>
    <m/>
    <m/>
    <m/>
    <m/>
    <m/>
    <n v="0"/>
    <n v="0"/>
    <n v="0"/>
    <n v="0"/>
    <n v="0"/>
    <n v="0"/>
    <n v="0"/>
    <n v="0"/>
    <n v="0"/>
    <n v="0"/>
    <n v="0"/>
    <n v="0"/>
    <n v="0"/>
    <n v="0"/>
    <n v="0"/>
    <n v="0"/>
    <n v="0"/>
    <n v="0"/>
    <s v="MMR001CMP126"/>
    <x v="0"/>
    <x v="1"/>
    <s v="P2"/>
    <n v="7.3170731707317073E-4"/>
    <s v="No"/>
  </r>
  <r>
    <n v="37.233333333333334"/>
    <d v="2013-12-11T00:00:00"/>
    <x v="7"/>
    <s v="WPN"/>
    <s v="Kachin"/>
    <s v="Momauk"/>
    <s v="Pa Kahtawng "/>
    <m/>
    <m/>
    <m/>
    <m/>
    <m/>
    <n v="417"/>
    <m/>
    <m/>
    <m/>
    <m/>
    <m/>
    <m/>
    <m/>
    <m/>
    <m/>
    <m/>
    <m/>
    <n v="0"/>
    <n v="0"/>
    <n v="0"/>
    <n v="0"/>
    <n v="0"/>
    <n v="0"/>
    <n v="0"/>
    <n v="0"/>
    <n v="0"/>
    <n v="0"/>
    <n v="0"/>
    <n v="0"/>
    <n v="0"/>
    <n v="0"/>
    <n v="0"/>
    <n v="0"/>
    <n v="0"/>
    <n v="0"/>
    <s v="MMR001CMP126"/>
    <x v="0"/>
    <x v="1"/>
    <s v="P2"/>
    <n v="0"/>
    <s v="No"/>
  </r>
  <r>
    <n v="37.6"/>
    <d v="2013-11-30T00:00:00"/>
    <x v="4"/>
    <s v="LDO"/>
    <s v="Kachin"/>
    <s v="Momauk"/>
    <s v="Pa Kahtawng "/>
    <m/>
    <m/>
    <m/>
    <m/>
    <m/>
    <m/>
    <m/>
    <m/>
    <m/>
    <m/>
    <m/>
    <m/>
    <m/>
    <m/>
    <m/>
    <m/>
    <m/>
    <n v="0"/>
    <n v="0"/>
    <n v="0"/>
    <n v="0"/>
    <n v="0"/>
    <n v="0"/>
    <n v="0"/>
    <n v="0"/>
    <n v="0"/>
    <n v="0"/>
    <n v="0"/>
    <n v="0"/>
    <n v="0"/>
    <n v="0"/>
    <n v="0"/>
    <n v="0"/>
    <n v="0"/>
    <n v="0"/>
    <s v="MMR001CMP126"/>
    <x v="0"/>
    <x v="1"/>
    <s v="P2"/>
    <n v="0"/>
    <s v="No"/>
  </r>
  <r>
    <n v="37.6"/>
    <d v="2013-11-30T00:00:00"/>
    <x v="0"/>
    <s v="UNHCR"/>
    <s v="Kachin"/>
    <s v="Momauk"/>
    <s v="Pa Kahtawng "/>
    <m/>
    <m/>
    <m/>
    <m/>
    <m/>
    <m/>
    <m/>
    <m/>
    <m/>
    <m/>
    <m/>
    <m/>
    <m/>
    <m/>
    <m/>
    <m/>
    <m/>
    <n v="0"/>
    <n v="0"/>
    <n v="0"/>
    <n v="0"/>
    <n v="0"/>
    <n v="0"/>
    <n v="0"/>
    <n v="0"/>
    <n v="0"/>
    <n v="0"/>
    <n v="0"/>
    <n v="0"/>
    <n v="0"/>
    <n v="0"/>
    <n v="0"/>
    <n v="0"/>
    <n v="0"/>
    <n v="0"/>
    <s v="MMR001CMP126"/>
    <x v="0"/>
    <x v="1"/>
    <s v="P2"/>
    <n v="0"/>
    <s v="No"/>
  </r>
  <r>
    <n v="38.166666666666664"/>
    <d v="2013-11-13T00:00:00"/>
    <x v="4"/>
    <s v="LDO"/>
    <s v="Kachin"/>
    <s v="Momauk"/>
    <s v="Pa Kahtawng "/>
    <m/>
    <m/>
    <m/>
    <m/>
    <m/>
    <m/>
    <m/>
    <m/>
    <m/>
    <m/>
    <n v="514"/>
    <n v="1016"/>
    <n v="3060"/>
    <n v="1530"/>
    <m/>
    <m/>
    <m/>
    <n v="0"/>
    <n v="0"/>
    <n v="0"/>
    <n v="0"/>
    <n v="0"/>
    <n v="0"/>
    <n v="0"/>
    <n v="0"/>
    <n v="0"/>
    <n v="0"/>
    <n v="0"/>
    <n v="0"/>
    <n v="0"/>
    <n v="0"/>
    <n v="1"/>
    <n v="0"/>
    <n v="0"/>
    <n v="0"/>
    <s v="MMR001CMP126"/>
    <x v="0"/>
    <x v="1"/>
    <s v="P2"/>
    <n v="0"/>
    <m/>
  </r>
  <r>
    <n v="43.233333333333334"/>
    <d v="2013-06-14T00:00:00"/>
    <x v="0"/>
    <s v="UNHCR"/>
    <s v="Kachin"/>
    <s v="Momauk"/>
    <s v="Pa Kahtawng "/>
    <m/>
    <m/>
    <n v="42"/>
    <n v="42"/>
    <n v="21"/>
    <n v="42"/>
    <n v="21"/>
    <n v="21"/>
    <n v="21"/>
    <n v="21"/>
    <m/>
    <m/>
    <m/>
    <m/>
    <m/>
    <m/>
    <m/>
    <n v="0"/>
    <n v="0"/>
    <n v="0"/>
    <n v="0"/>
    <n v="0"/>
    <n v="0"/>
    <n v="0"/>
    <n v="0"/>
    <n v="0"/>
    <n v="0"/>
    <n v="0"/>
    <n v="0"/>
    <n v="0"/>
    <n v="0"/>
    <n v="0"/>
    <n v="0"/>
    <n v="0"/>
    <n v="0"/>
    <s v="MMR001CMP126"/>
    <x v="0"/>
    <x v="1"/>
    <s v="P2"/>
    <n v="5.1219512195121953E-4"/>
    <s v="No"/>
  </r>
  <r>
    <n v="54.3"/>
    <d v="2012-07-17T00:00:00"/>
    <x v="0"/>
    <s v="UNHCR"/>
    <s v="Kachin"/>
    <s v="Momauk"/>
    <s v="Pa Kahtawng "/>
    <m/>
    <m/>
    <m/>
    <n v="0"/>
    <n v="0"/>
    <n v="0"/>
    <n v="0"/>
    <n v="0"/>
    <m/>
    <m/>
    <m/>
    <m/>
    <m/>
    <m/>
    <m/>
    <m/>
    <m/>
    <n v="0"/>
    <n v="0"/>
    <n v="0"/>
    <n v="0"/>
    <n v="0"/>
    <n v="0"/>
    <n v="0"/>
    <n v="0"/>
    <n v="0"/>
    <n v="0"/>
    <n v="0"/>
    <n v="0"/>
    <n v="0"/>
    <n v="0"/>
    <n v="0"/>
    <n v="0"/>
    <n v="0"/>
    <n v="0"/>
    <s v="MMR001CMP126"/>
    <x v="0"/>
    <x v="1"/>
    <s v="P2"/>
    <n v="0"/>
    <s v="No"/>
  </r>
  <r>
    <n v="54.3"/>
    <d v="2012-07-17T00:00:00"/>
    <x v="0"/>
    <s v="UNHCR"/>
    <s v="Kachin"/>
    <s v="Momauk"/>
    <s v="Pa Kahtawng "/>
    <m/>
    <m/>
    <m/>
    <n v="0"/>
    <n v="0"/>
    <n v="0"/>
    <n v="0"/>
    <n v="0"/>
    <m/>
    <m/>
    <m/>
    <m/>
    <m/>
    <m/>
    <m/>
    <m/>
    <m/>
    <n v="0"/>
    <n v="0"/>
    <n v="0"/>
    <n v="0"/>
    <n v="0"/>
    <n v="0"/>
    <n v="0"/>
    <n v="0"/>
    <n v="0"/>
    <n v="0"/>
    <n v="0"/>
    <n v="0"/>
    <n v="0"/>
    <n v="0"/>
    <n v="0"/>
    <n v="0"/>
    <n v="0"/>
    <n v="0"/>
    <s v="MMR001CMP126"/>
    <x v="0"/>
    <x v="1"/>
    <s v="P2"/>
    <n v="0"/>
    <s v="No"/>
  </r>
  <r>
    <n v="55.666666666666664"/>
    <d v="2012-06-06T00:00:00"/>
    <x v="0"/>
    <s v="UNHCR"/>
    <s v="Kachin"/>
    <s v="Momauk"/>
    <s v="Pa Kahtawng "/>
    <m/>
    <m/>
    <m/>
    <n v="144"/>
    <n v="76"/>
    <n v="143"/>
    <n v="76"/>
    <n v="78"/>
    <n v="78"/>
    <n v="78"/>
    <m/>
    <m/>
    <m/>
    <m/>
    <m/>
    <m/>
    <m/>
    <n v="0"/>
    <n v="0"/>
    <n v="0"/>
    <n v="0"/>
    <n v="0"/>
    <n v="0"/>
    <n v="0"/>
    <n v="0"/>
    <n v="0"/>
    <n v="0"/>
    <n v="0"/>
    <n v="0"/>
    <n v="0"/>
    <n v="0"/>
    <n v="0"/>
    <n v="0"/>
    <n v="0"/>
    <n v="0"/>
    <s v="MMR001CMP126"/>
    <x v="0"/>
    <x v="1"/>
    <s v="P2"/>
    <n v="1.8536585365853658E-3"/>
    <s v="No"/>
  </r>
  <r>
    <n v="57.966666666666669"/>
    <d v="2012-03-29T00:00:00"/>
    <x v="0"/>
    <s v="UNHCR"/>
    <s v="Kachin"/>
    <s v="Momauk"/>
    <s v="Pa Kahtawng "/>
    <m/>
    <m/>
    <m/>
    <n v="0"/>
    <n v="50"/>
    <n v="0"/>
    <n v="0"/>
    <n v="0"/>
    <m/>
    <m/>
    <m/>
    <m/>
    <m/>
    <m/>
    <m/>
    <m/>
    <m/>
    <n v="0"/>
    <n v="0"/>
    <n v="0"/>
    <n v="0"/>
    <n v="0"/>
    <n v="0"/>
    <n v="0"/>
    <n v="0"/>
    <n v="0"/>
    <n v="0"/>
    <n v="0"/>
    <n v="0"/>
    <n v="0"/>
    <n v="0"/>
    <n v="0"/>
    <n v="0"/>
    <n v="0"/>
    <n v="0"/>
    <s v="MMR001CMP126"/>
    <x v="0"/>
    <x v="1"/>
    <s v="P2"/>
    <n v="0"/>
    <s v="No"/>
  </r>
  <r>
    <n v="46.866666666666667"/>
    <d v="2013-02-25T00:00:00"/>
    <x v="0"/>
    <s v="Chipwe CM"/>
    <s v="Kachin"/>
    <s v="Chipwi"/>
    <s v="Gant Gwin"/>
    <m/>
    <m/>
    <n v="11"/>
    <n v="17"/>
    <n v="7"/>
    <n v="17"/>
    <n v="7"/>
    <n v="7"/>
    <n v="7"/>
    <n v="7"/>
    <m/>
    <m/>
    <m/>
    <m/>
    <m/>
    <m/>
    <m/>
    <n v="0"/>
    <n v="0"/>
    <n v="0"/>
    <n v="0"/>
    <n v="0"/>
    <n v="0"/>
    <n v="0"/>
    <n v="0"/>
    <n v="0"/>
    <n v="0"/>
    <n v="0"/>
    <n v="0"/>
    <n v="0"/>
    <n v="0"/>
    <n v="0"/>
    <n v="0"/>
    <n v="0"/>
    <n v="0"/>
    <s v="MMR001CMP046"/>
    <x v="0"/>
    <x v="0"/>
    <s v="P1"/>
    <s v=""/>
    <s v="No"/>
  </r>
  <r>
    <n v="10.3"/>
    <d v="2016-02-27T00:00:00"/>
    <x v="0"/>
    <s v="KBC"/>
    <s v="Kachin"/>
    <s v="Waingmaw"/>
    <s v="Pajau - Jan Mai"/>
    <m/>
    <m/>
    <m/>
    <m/>
    <m/>
    <m/>
    <m/>
    <m/>
    <m/>
    <m/>
    <n v="330"/>
    <n v="330"/>
    <m/>
    <n v="346"/>
    <m/>
    <m/>
    <m/>
    <n v="0"/>
    <n v="0"/>
    <n v="0"/>
    <n v="0"/>
    <n v="0"/>
    <n v="0"/>
    <n v="0"/>
    <n v="0"/>
    <n v="0"/>
    <n v="0"/>
    <n v="330"/>
    <n v="330"/>
    <n v="0"/>
    <n v="346"/>
    <n v="1"/>
    <n v="0"/>
    <n v="0"/>
    <n v="0"/>
    <s v="MMR001CMP120"/>
    <x v="0"/>
    <x v="1"/>
    <s v="P1"/>
    <n v="0"/>
    <m/>
  </r>
  <r>
    <n v="10.3"/>
    <d v="2016-02-27T00:00:00"/>
    <x v="0"/>
    <s v="KBC"/>
    <s v="Kachin"/>
    <s v="Waingmaw"/>
    <s v="Pajau - Jan Mai"/>
    <m/>
    <m/>
    <m/>
    <m/>
    <m/>
    <n v="670"/>
    <m/>
    <m/>
    <n v="345"/>
    <m/>
    <m/>
    <m/>
    <m/>
    <m/>
    <m/>
    <m/>
    <m/>
    <n v="0"/>
    <n v="0"/>
    <n v="0"/>
    <n v="0"/>
    <n v="0"/>
    <n v="670"/>
    <n v="0"/>
    <n v="0"/>
    <n v="345"/>
    <n v="0"/>
    <n v="0"/>
    <n v="0"/>
    <n v="0"/>
    <n v="0"/>
    <n v="0"/>
    <n v="0"/>
    <n v="0"/>
    <n v="0"/>
    <s v="MMR001CMP120"/>
    <x v="0"/>
    <x v="1"/>
    <s v="P1"/>
    <n v="0"/>
    <m/>
  </r>
  <r>
    <n v="24.8"/>
    <d v="2014-12-19T00:00:00"/>
    <x v="0"/>
    <m/>
    <s v="Kachin"/>
    <s v="Waingmaw"/>
    <s v="Pajau - Jan Mai"/>
    <m/>
    <m/>
    <m/>
    <m/>
    <m/>
    <m/>
    <m/>
    <m/>
    <m/>
    <m/>
    <n v="384"/>
    <n v="573"/>
    <m/>
    <n v="382"/>
    <m/>
    <m/>
    <m/>
    <n v="0"/>
    <n v="0"/>
    <n v="0"/>
    <n v="0"/>
    <n v="0"/>
    <n v="0"/>
    <n v="0"/>
    <n v="0"/>
    <n v="0"/>
    <n v="0"/>
    <n v="0"/>
    <n v="0"/>
    <n v="0"/>
    <n v="0"/>
    <n v="1"/>
    <n v="0"/>
    <n v="0"/>
    <n v="0"/>
    <s v="MMR001CMP120"/>
    <x v="0"/>
    <x v="1"/>
    <s v="P1"/>
    <n v="0"/>
    <m/>
  </r>
  <r>
    <n v="28.433333333333334"/>
    <d v="2014-09-01T00:00:00"/>
    <x v="10"/>
    <m/>
    <s v="Kachin"/>
    <s v="Waingmaw"/>
    <s v="Pajau - Jan Mai"/>
    <m/>
    <m/>
    <m/>
    <m/>
    <m/>
    <m/>
    <m/>
    <m/>
    <m/>
    <m/>
    <m/>
    <n v="291"/>
    <m/>
    <m/>
    <m/>
    <m/>
    <m/>
    <n v="0"/>
    <n v="0"/>
    <n v="0"/>
    <n v="0"/>
    <n v="0"/>
    <n v="0"/>
    <n v="0"/>
    <n v="0"/>
    <n v="0"/>
    <n v="0"/>
    <n v="0"/>
    <n v="0"/>
    <n v="0"/>
    <n v="0"/>
    <n v="1"/>
    <n v="0"/>
    <n v="0"/>
    <n v="0"/>
    <s v="MMR001CMP120"/>
    <x v="0"/>
    <x v="1"/>
    <s v="P1"/>
    <n v="0"/>
    <m/>
  </r>
  <r>
    <n v="35.733333333333334"/>
    <d v="2014-01-25T00:00:00"/>
    <x v="10"/>
    <s v="KBC"/>
    <s v="Kachin"/>
    <s v="Waingmaw"/>
    <s v="Pajau - Jan Mai"/>
    <m/>
    <m/>
    <m/>
    <m/>
    <m/>
    <n v="191"/>
    <n v="191"/>
    <n v="191"/>
    <m/>
    <n v="191"/>
    <m/>
    <m/>
    <m/>
    <m/>
    <m/>
    <m/>
    <m/>
    <n v="0"/>
    <n v="0"/>
    <n v="0"/>
    <n v="0"/>
    <n v="0"/>
    <n v="0"/>
    <n v="0"/>
    <n v="0"/>
    <n v="0"/>
    <n v="0"/>
    <n v="0"/>
    <n v="0"/>
    <n v="0"/>
    <n v="0"/>
    <n v="0"/>
    <n v="0"/>
    <n v="0"/>
    <n v="0"/>
    <s v="MMR001CMP120"/>
    <x v="0"/>
    <x v="1"/>
    <s v="P1"/>
    <n v="4.6899938612645796E-3"/>
    <s v="No"/>
  </r>
  <r>
    <n v="46.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0"/>
    <s v=""/>
    <s v=""/>
    <s v="No"/>
  </r>
  <r>
    <n v="37.6"/>
    <d v="2013-11-30T00:00:00"/>
    <x v="4"/>
    <s v="KBC"/>
    <s v="Kachin"/>
    <s v="Waingmaw"/>
    <s v="Pajau - Jan Mai"/>
    <m/>
    <m/>
    <m/>
    <m/>
    <m/>
    <m/>
    <m/>
    <m/>
    <m/>
    <m/>
    <m/>
    <m/>
    <m/>
    <m/>
    <m/>
    <m/>
    <m/>
    <n v="0"/>
    <n v="0"/>
    <n v="0"/>
    <n v="0"/>
    <n v="0"/>
    <n v="0"/>
    <n v="0"/>
    <n v="0"/>
    <n v="0"/>
    <n v="0"/>
    <n v="0"/>
    <n v="0"/>
    <n v="0"/>
    <n v="0"/>
    <n v="0"/>
    <n v="0"/>
    <n v="0"/>
    <n v="0"/>
    <s v="MMR001CMP120"/>
    <x v="0"/>
    <x v="1"/>
    <s v="P1"/>
    <n v="0"/>
    <s v="No"/>
  </r>
  <r>
    <n v="47.033333333333331"/>
    <d v="2013-02-20T00:00:00"/>
    <x v="0"/>
    <s v="UNHCR"/>
    <s v="Kachin"/>
    <s v="Hpakant"/>
    <s v="Aye Mya Tharyar Church of Christ "/>
    <m/>
    <m/>
    <n v="18"/>
    <n v="0"/>
    <n v="0"/>
    <n v="0"/>
    <n v="0"/>
    <n v="0"/>
    <m/>
    <m/>
    <m/>
    <m/>
    <m/>
    <m/>
    <m/>
    <m/>
    <m/>
    <n v="0"/>
    <n v="0"/>
    <n v="0"/>
    <n v="0"/>
    <n v="0"/>
    <n v="0"/>
    <n v="0"/>
    <n v="0"/>
    <n v="0"/>
    <n v="0"/>
    <n v="0"/>
    <n v="0"/>
    <n v="0"/>
    <n v="0"/>
    <n v="0"/>
    <n v="0"/>
    <n v="0"/>
    <n v="0"/>
    <s v="MMR001CMP092"/>
    <x v="0"/>
    <x v="0"/>
    <s v=""/>
    <s v=""/>
    <s v="No"/>
  </r>
  <r>
    <n v="47.033333333333331"/>
    <d v="2013-02-20T00:00:00"/>
    <x v="0"/>
    <s v="UNHCR"/>
    <s v="Kachin"/>
    <s v="Hpakant"/>
    <s v="Chin(Zomi) Baptist Church"/>
    <m/>
    <m/>
    <n v="13"/>
    <n v="28"/>
    <n v="15"/>
    <n v="28"/>
    <n v="15"/>
    <n v="15"/>
    <n v="15"/>
    <n v="15"/>
    <m/>
    <m/>
    <m/>
    <m/>
    <m/>
    <m/>
    <m/>
    <n v="0"/>
    <n v="0"/>
    <n v="0"/>
    <n v="0"/>
    <n v="0"/>
    <n v="0"/>
    <n v="0"/>
    <n v="0"/>
    <n v="0"/>
    <n v="0"/>
    <n v="0"/>
    <n v="0"/>
    <n v="0"/>
    <n v="0"/>
    <n v="0"/>
    <n v="0"/>
    <n v="0"/>
    <n v="0"/>
    <s v="MMR001CMP086"/>
    <x v="0"/>
    <x v="0"/>
    <s v=""/>
    <s v=""/>
    <s v="No"/>
  </r>
  <r>
    <n v="37.733333333333334"/>
    <d v="2013-11-26T00:00:00"/>
    <x v="4"/>
    <s v="KBC"/>
    <s v="Kachin"/>
    <s v="Waingmaw"/>
    <s v="Pajau - Jan Mai"/>
    <m/>
    <m/>
    <m/>
    <m/>
    <m/>
    <m/>
    <m/>
    <m/>
    <m/>
    <m/>
    <n v="98"/>
    <n v="196"/>
    <n v="588"/>
    <n v="294"/>
    <m/>
    <m/>
    <m/>
    <n v="0"/>
    <n v="0"/>
    <n v="0"/>
    <n v="0"/>
    <n v="0"/>
    <n v="0"/>
    <n v="0"/>
    <n v="0"/>
    <n v="0"/>
    <n v="0"/>
    <n v="0"/>
    <n v="0"/>
    <n v="0"/>
    <n v="0"/>
    <n v="1"/>
    <n v="0"/>
    <n v="0"/>
    <n v="0"/>
    <s v="MMR001CMP120"/>
    <x v="0"/>
    <x v="1"/>
    <s v="P1"/>
    <n v="0"/>
    <m/>
  </r>
  <r>
    <n v="47.033333333333331"/>
    <d v="2013-02-20T00:00:00"/>
    <x v="0"/>
    <s v="UNHCR"/>
    <s v="Kachin"/>
    <s v="Hpakant"/>
    <s v="Mashi Kahtawng Baptist  Church"/>
    <m/>
    <m/>
    <n v="74"/>
    <n v="0"/>
    <n v="0"/>
    <n v="0"/>
    <n v="0"/>
    <n v="0"/>
    <m/>
    <m/>
    <m/>
    <m/>
    <m/>
    <m/>
    <m/>
    <m/>
    <m/>
    <n v="0"/>
    <n v="0"/>
    <n v="0"/>
    <n v="0"/>
    <n v="0"/>
    <n v="0"/>
    <n v="0"/>
    <n v="0"/>
    <n v="0"/>
    <n v="0"/>
    <n v="0"/>
    <n v="0"/>
    <n v="0"/>
    <n v="0"/>
    <n v="0"/>
    <n v="0"/>
    <n v="0"/>
    <n v="0"/>
    <s v="MMR001CMP094"/>
    <x v="0"/>
    <x v="0"/>
    <s v=""/>
    <s v=""/>
    <s v="No"/>
  </r>
  <r>
    <n v="47.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0"/>
    <s v=""/>
    <s v=""/>
    <s v="No"/>
  </r>
  <r>
    <n v="47.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0"/>
    <s v=""/>
    <s v=""/>
    <s v="No"/>
  </r>
  <r>
    <n v="23.966666666666665"/>
    <d v="2015-01-13T00:00:00"/>
    <x v="1"/>
    <s v="MRCS"/>
    <s v="Kachin"/>
    <s v="Chipwi"/>
    <s v="Pan Wa"/>
    <m/>
    <m/>
    <m/>
    <m/>
    <m/>
    <m/>
    <m/>
    <m/>
    <m/>
    <m/>
    <n v="187"/>
    <n v="137"/>
    <m/>
    <n v="118"/>
    <m/>
    <m/>
    <m/>
    <n v="0"/>
    <n v="0"/>
    <n v="0"/>
    <n v="0"/>
    <n v="0"/>
    <n v="0"/>
    <n v="0"/>
    <n v="0"/>
    <n v="0"/>
    <n v="0"/>
    <n v="0"/>
    <n v="0"/>
    <n v="0"/>
    <n v="0"/>
    <n v="1"/>
    <n v="0"/>
    <n v="0"/>
    <n v="0"/>
    <s v="MMR001CMP210"/>
    <x v="0"/>
    <x v="1"/>
    <s v="P1"/>
    <n v="0"/>
    <m/>
  </r>
  <r>
    <n v="27.433333333333334"/>
    <d v="2014-10-01T00:00:00"/>
    <x v="0"/>
    <s v="KMSS"/>
    <s v="Kachin"/>
    <s v="Chipwi"/>
    <s v="Pan Wa"/>
    <m/>
    <m/>
    <m/>
    <n v="130"/>
    <m/>
    <m/>
    <m/>
    <m/>
    <m/>
    <m/>
    <m/>
    <m/>
    <m/>
    <n v="130"/>
    <m/>
    <m/>
    <m/>
    <n v="0"/>
    <n v="0"/>
    <n v="0"/>
    <n v="0"/>
    <n v="0"/>
    <n v="0"/>
    <n v="0"/>
    <n v="0"/>
    <n v="0"/>
    <n v="0"/>
    <n v="0"/>
    <n v="0"/>
    <n v="0"/>
    <n v="0"/>
    <n v="1"/>
    <n v="0"/>
    <n v="0"/>
    <n v="0"/>
    <s v="MMR001CMP210"/>
    <x v="0"/>
    <x v="1"/>
    <s v="P1"/>
    <n v="0"/>
    <m/>
  </r>
  <r>
    <n v="47.033333333333331"/>
    <d v="2013-02-20T00:00:00"/>
    <x v="0"/>
    <s v="UNHCR"/>
    <s v="Kachin"/>
    <s v="Hpakant"/>
    <s v="Nga Pyaw Taw Baptist Nursery School "/>
    <m/>
    <m/>
    <n v="175"/>
    <n v="0"/>
    <n v="0"/>
    <n v="0"/>
    <n v="0"/>
    <n v="0"/>
    <m/>
    <m/>
    <m/>
    <m/>
    <m/>
    <m/>
    <m/>
    <m/>
    <m/>
    <n v="0"/>
    <n v="0"/>
    <n v="0"/>
    <n v="0"/>
    <n v="0"/>
    <n v="0"/>
    <n v="0"/>
    <n v="0"/>
    <n v="0"/>
    <n v="0"/>
    <n v="0"/>
    <n v="0"/>
    <n v="0"/>
    <n v="0"/>
    <n v="0"/>
    <n v="0"/>
    <n v="0"/>
    <n v="0"/>
    <s v="MMR001CMP082"/>
    <x v="0"/>
    <x v="0"/>
    <s v=""/>
    <n v="0"/>
    <s v="No"/>
  </r>
  <r>
    <n v="47.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0"/>
    <s v=""/>
    <s v=""/>
    <s v="No"/>
  </r>
  <r>
    <n v="34.799999999999997"/>
    <d v="2014-02-22T00:00:00"/>
    <x v="8"/>
    <s v="MRCS"/>
    <s v="Kachin"/>
    <s v="Chipwi"/>
    <s v="Pan Wa"/>
    <m/>
    <m/>
    <m/>
    <m/>
    <m/>
    <m/>
    <m/>
    <m/>
    <m/>
    <m/>
    <m/>
    <m/>
    <m/>
    <n v="126"/>
    <m/>
    <m/>
    <m/>
    <n v="0"/>
    <n v="0"/>
    <n v="0"/>
    <n v="0"/>
    <n v="0"/>
    <n v="0"/>
    <n v="0"/>
    <n v="0"/>
    <n v="0"/>
    <n v="0"/>
    <n v="0"/>
    <n v="0"/>
    <n v="0"/>
    <n v="0"/>
    <n v="1"/>
    <n v="0"/>
    <n v="0"/>
    <n v="0"/>
    <s v="MMR001CMP210"/>
    <x v="0"/>
    <x v="1"/>
    <s v="P1"/>
    <n v="0"/>
    <m/>
  </r>
  <r>
    <n v="47.033333333333331"/>
    <d v="2013-02-20T00:00:00"/>
    <x v="0"/>
    <s v="UNHCR"/>
    <s v="Kachin"/>
    <s v="Hpakant"/>
    <s v="Zomee Baptist Church camp, Hmaw Wan"/>
    <m/>
    <m/>
    <m/>
    <n v="11"/>
    <n v="6"/>
    <n v="0"/>
    <n v="6"/>
    <n v="6"/>
    <n v="6"/>
    <n v="6"/>
    <m/>
    <m/>
    <m/>
    <m/>
    <m/>
    <m/>
    <m/>
    <n v="0"/>
    <n v="0"/>
    <n v="0"/>
    <n v="0"/>
    <n v="0"/>
    <n v="0"/>
    <n v="0"/>
    <n v="0"/>
    <n v="0"/>
    <n v="0"/>
    <n v="0"/>
    <n v="0"/>
    <n v="0"/>
    <n v="0"/>
    <n v="0"/>
    <n v="0"/>
    <n v="0"/>
    <n v="0"/>
    <s v="MMR001CMP201"/>
    <x v="0"/>
    <x v="0"/>
    <s v=""/>
    <s v=""/>
    <s v="No"/>
  </r>
  <r>
    <n v="47.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0"/>
    <s v=""/>
    <s v=""/>
    <s v="No"/>
  </r>
  <r>
    <n v="36.533333333333331"/>
    <d v="2014-01-01T00:00:00"/>
    <x v="11"/>
    <s v="MRCS"/>
    <s v="Kachin"/>
    <s v="Chipwi"/>
    <s v="Pan Wa"/>
    <m/>
    <m/>
    <m/>
    <m/>
    <m/>
    <m/>
    <n v="92"/>
    <m/>
    <m/>
    <m/>
    <m/>
    <m/>
    <m/>
    <m/>
    <m/>
    <m/>
    <m/>
    <n v="0"/>
    <n v="0"/>
    <n v="0"/>
    <n v="0"/>
    <n v="0"/>
    <n v="0"/>
    <n v="0"/>
    <n v="0"/>
    <n v="0"/>
    <n v="0"/>
    <n v="0"/>
    <n v="0"/>
    <n v="0"/>
    <n v="0"/>
    <n v="0"/>
    <n v="0"/>
    <n v="0"/>
    <n v="0"/>
    <s v="MMR001CMP210"/>
    <x v="0"/>
    <x v="1"/>
    <s v="P1"/>
    <n v="2.2389330997055318E-3"/>
    <s v="No"/>
  </r>
  <r>
    <n v="47.06666666666667"/>
    <d v="2013-02-19T00:00:00"/>
    <x v="0"/>
    <s v="UNHCR"/>
    <s v="Kachin"/>
    <s v="Hpakant"/>
    <s v="Anglican Church, Hmaw Si Sar"/>
    <m/>
    <m/>
    <n v="1"/>
    <n v="6"/>
    <n v="3"/>
    <n v="15"/>
    <n v="4"/>
    <n v="4"/>
    <n v="4"/>
    <n v="4"/>
    <m/>
    <m/>
    <m/>
    <m/>
    <m/>
    <m/>
    <m/>
    <n v="0"/>
    <n v="0"/>
    <n v="0"/>
    <n v="0"/>
    <n v="0"/>
    <n v="0"/>
    <n v="0"/>
    <n v="0"/>
    <n v="0"/>
    <n v="0"/>
    <n v="0"/>
    <n v="0"/>
    <n v="0"/>
    <n v="0"/>
    <n v="0"/>
    <n v="0"/>
    <n v="0"/>
    <n v="0"/>
    <s v="MMR001CMP173"/>
    <x v="0"/>
    <x v="0"/>
    <s v=""/>
    <s v=""/>
    <s v="No"/>
  </r>
  <r>
    <n v="47.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0"/>
    <s v=""/>
    <s v=""/>
    <s v="No"/>
  </r>
  <r>
    <n v="47.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0"/>
    <s v=""/>
    <s v=""/>
    <s v="No"/>
  </r>
  <r>
    <n v="1.0666666666666667"/>
    <d v="2016-11-30T00:00:00"/>
    <x v="4"/>
    <s v="Solidarities"/>
    <s v="Kachin"/>
    <s v="Bhamo"/>
    <s v="Phan Khar Kone"/>
    <m/>
    <m/>
    <m/>
    <m/>
    <m/>
    <m/>
    <m/>
    <m/>
    <m/>
    <m/>
    <m/>
    <m/>
    <m/>
    <m/>
    <n v="2"/>
    <m/>
    <m/>
    <n v="0"/>
    <n v="0"/>
    <n v="0"/>
    <n v="0"/>
    <n v="0"/>
    <n v="0"/>
    <n v="0"/>
    <n v="0"/>
    <n v="0"/>
    <n v="0"/>
    <n v="0"/>
    <n v="0"/>
    <n v="0"/>
    <n v="0"/>
    <n v="0"/>
    <n v="2"/>
    <n v="0"/>
    <n v="0"/>
    <s v="MMR001CMP193"/>
    <x v="0"/>
    <x v="1"/>
    <s v="P4"/>
    <n v="0"/>
    <m/>
  </r>
  <r>
    <n v="47.06666666666667"/>
    <d v="2013-02-19T00:00:00"/>
    <x v="0"/>
    <s v="UNHCR"/>
    <s v="Kachin"/>
    <s v="Hpakant"/>
    <s v="May Di Ka Rama Monastery(Lon Khin)"/>
    <m/>
    <m/>
    <n v="9"/>
    <n v="21"/>
    <n v="9"/>
    <n v="21"/>
    <n v="9"/>
    <n v="9"/>
    <n v="9"/>
    <n v="9"/>
    <m/>
    <m/>
    <m/>
    <m/>
    <m/>
    <m/>
    <m/>
    <n v="0"/>
    <n v="0"/>
    <n v="0"/>
    <n v="0"/>
    <n v="0"/>
    <n v="0"/>
    <n v="0"/>
    <n v="0"/>
    <n v="0"/>
    <n v="0"/>
    <n v="0"/>
    <n v="0"/>
    <n v="0"/>
    <n v="0"/>
    <n v="0"/>
    <n v="0"/>
    <n v="0"/>
    <n v="0"/>
    <s v="MMR001CMP178"/>
    <x v="0"/>
    <x v="0"/>
    <s v=""/>
    <s v=""/>
    <s v="No"/>
  </r>
  <r>
    <n v="3.1"/>
    <d v="2016-09-30T00:00:00"/>
    <x v="4"/>
    <s v="Solidarities"/>
    <s v="Kachin"/>
    <s v="Bhamo"/>
    <s v="Phan Khar Kone"/>
    <m/>
    <m/>
    <m/>
    <m/>
    <m/>
    <m/>
    <m/>
    <m/>
    <m/>
    <m/>
    <m/>
    <m/>
    <m/>
    <m/>
    <n v="1"/>
    <m/>
    <m/>
    <n v="0"/>
    <n v="0"/>
    <n v="0"/>
    <n v="0"/>
    <n v="0"/>
    <n v="0"/>
    <n v="0"/>
    <n v="0"/>
    <n v="0"/>
    <n v="0"/>
    <n v="0"/>
    <n v="0"/>
    <n v="0"/>
    <n v="0"/>
    <n v="0"/>
    <n v="1"/>
    <n v="0"/>
    <n v="0"/>
    <s v="MMR001CMP193"/>
    <x v="0"/>
    <x v="1"/>
    <s v="P4"/>
    <n v="0"/>
    <m/>
  </r>
  <r>
    <n v="47.06666666666667"/>
    <d v="2013-02-19T00:00:00"/>
    <x v="0"/>
    <s v="UNHCR"/>
    <s v="Kachin"/>
    <s v="Hpakant"/>
    <s v="Wrad(5) Christian Association"/>
    <m/>
    <m/>
    <n v="2"/>
    <n v="3"/>
    <n v="2"/>
    <n v="7"/>
    <n v="2"/>
    <n v="2"/>
    <n v="2"/>
    <n v="2"/>
    <m/>
    <m/>
    <m/>
    <m/>
    <m/>
    <m/>
    <m/>
    <n v="0"/>
    <n v="0"/>
    <n v="0"/>
    <n v="0"/>
    <n v="0"/>
    <n v="0"/>
    <n v="0"/>
    <n v="0"/>
    <n v="0"/>
    <n v="0"/>
    <n v="0"/>
    <n v="0"/>
    <n v="0"/>
    <n v="0"/>
    <n v="0"/>
    <n v="0"/>
    <n v="0"/>
    <n v="0"/>
    <s v="MMR001CMP175"/>
    <x v="0"/>
    <x v="0"/>
    <s v=""/>
    <s v=""/>
    <s v="No"/>
  </r>
  <r>
    <n v="6.166666666666667"/>
    <d v="2016-06-30T00:00:00"/>
    <x v="4"/>
    <s v="Solidarities"/>
    <s v="Kachin"/>
    <s v="Bhamo"/>
    <s v="Phan Khar Kone"/>
    <m/>
    <m/>
    <m/>
    <m/>
    <m/>
    <m/>
    <m/>
    <m/>
    <m/>
    <m/>
    <m/>
    <m/>
    <m/>
    <m/>
    <n v="4"/>
    <m/>
    <m/>
    <n v="0"/>
    <n v="0"/>
    <n v="0"/>
    <n v="0"/>
    <n v="0"/>
    <n v="0"/>
    <n v="0"/>
    <n v="0"/>
    <n v="0"/>
    <n v="0"/>
    <n v="0"/>
    <n v="0"/>
    <n v="0"/>
    <n v="0"/>
    <n v="0"/>
    <n v="4"/>
    <n v="0"/>
    <n v="0"/>
    <s v="MMR001CMP193"/>
    <x v="0"/>
    <x v="1"/>
    <s v="P4"/>
    <n v="0"/>
    <m/>
  </r>
  <r>
    <n v="8.2333333333333325"/>
    <d v="2016-04-29T00:00:00"/>
    <x v="4"/>
    <s v="Solidarities"/>
    <s v="Kachin"/>
    <s v="Bhamo"/>
    <s v="Phan Khar Kone"/>
    <m/>
    <m/>
    <m/>
    <m/>
    <m/>
    <m/>
    <m/>
    <m/>
    <m/>
    <m/>
    <m/>
    <m/>
    <m/>
    <m/>
    <m/>
    <n v="48"/>
    <m/>
    <n v="0"/>
    <n v="0"/>
    <n v="0"/>
    <n v="0"/>
    <n v="0"/>
    <n v="0"/>
    <n v="0"/>
    <n v="0"/>
    <n v="0"/>
    <n v="0"/>
    <n v="0"/>
    <n v="0"/>
    <n v="0"/>
    <n v="0"/>
    <n v="0"/>
    <n v="0"/>
    <n v="48"/>
    <n v="0"/>
    <s v="MMR001CMP193"/>
    <x v="0"/>
    <x v="1"/>
    <s v="P4"/>
    <n v="0"/>
    <m/>
  </r>
  <r>
    <n v="9.6999999999999993"/>
    <d v="2016-03-16T00:00:00"/>
    <x v="4"/>
    <s v="Solidarities"/>
    <s v="Kachin"/>
    <s v="Bhamo"/>
    <s v="Phan Khar Kone"/>
    <m/>
    <m/>
    <m/>
    <m/>
    <m/>
    <m/>
    <m/>
    <m/>
    <m/>
    <m/>
    <m/>
    <m/>
    <m/>
    <m/>
    <n v="4"/>
    <m/>
    <m/>
    <n v="0"/>
    <n v="0"/>
    <n v="0"/>
    <n v="0"/>
    <n v="0"/>
    <n v="0"/>
    <n v="0"/>
    <n v="0"/>
    <n v="0"/>
    <n v="0"/>
    <n v="0"/>
    <n v="0"/>
    <n v="0"/>
    <n v="0"/>
    <n v="0"/>
    <n v="4"/>
    <n v="0"/>
    <n v="0"/>
    <s v="MMR001CMP193"/>
    <x v="0"/>
    <x v="1"/>
    <s v="P4"/>
    <n v="0"/>
    <m/>
  </r>
  <r>
    <n v="10.366666666666667"/>
    <d v="2016-02-25T00:00:00"/>
    <x v="4"/>
    <s v="Solidarities"/>
    <s v="Kachin"/>
    <s v="Bhamo"/>
    <s v="Phan Khar Kone"/>
    <m/>
    <m/>
    <m/>
    <m/>
    <m/>
    <m/>
    <m/>
    <m/>
    <m/>
    <m/>
    <m/>
    <m/>
    <m/>
    <m/>
    <m/>
    <m/>
    <m/>
    <n v="0"/>
    <n v="0"/>
    <n v="0"/>
    <n v="0"/>
    <n v="0"/>
    <n v="0"/>
    <n v="0"/>
    <n v="0"/>
    <n v="0"/>
    <n v="0"/>
    <n v="0"/>
    <n v="0"/>
    <n v="0"/>
    <n v="0"/>
    <n v="0"/>
    <n v="0"/>
    <n v="0"/>
    <n v="0"/>
    <s v="MMR001CMP193"/>
    <x v="0"/>
    <x v="1"/>
    <s v="P4"/>
    <n v="0"/>
    <m/>
  </r>
  <r>
    <n v="47.1"/>
    <d v="2013-02-18T00:00:00"/>
    <x v="0"/>
    <s v="KBC"/>
    <s v="Shan_North"/>
    <s v="Muse"/>
    <s v="Munekoe Pa (Giwang) - Hka San (Mung  Go  Pa ) "/>
    <m/>
    <m/>
    <n v="60"/>
    <n v="60"/>
    <n v="30"/>
    <n v="60"/>
    <n v="30"/>
    <n v="30"/>
    <n v="30"/>
    <n v="30"/>
    <m/>
    <m/>
    <m/>
    <m/>
    <m/>
    <m/>
    <m/>
    <n v="0"/>
    <n v="0"/>
    <n v="0"/>
    <n v="0"/>
    <n v="0"/>
    <n v="0"/>
    <n v="0"/>
    <n v="0"/>
    <n v="0"/>
    <n v="0"/>
    <n v="0"/>
    <n v="0"/>
    <n v="0"/>
    <n v="0"/>
    <n v="0"/>
    <n v="0"/>
    <n v="0"/>
    <n v="0"/>
    <s v="MMR015CMP012"/>
    <x v="0"/>
    <x v="0"/>
    <s v="P1"/>
    <n v="7.3008688033876035E-4"/>
    <s v="No"/>
  </r>
  <r>
    <n v="11.133333333333333"/>
    <d v="2016-02-02T00:00:00"/>
    <x v="4"/>
    <s v="Solidarities"/>
    <s v="Kachin"/>
    <s v="Bhamo"/>
    <s v="Phan Khar Kone"/>
    <m/>
    <m/>
    <n v="204"/>
    <m/>
    <m/>
    <m/>
    <m/>
    <m/>
    <m/>
    <m/>
    <m/>
    <m/>
    <m/>
    <m/>
    <m/>
    <m/>
    <m/>
    <n v="0"/>
    <n v="0"/>
    <n v="204"/>
    <n v="0"/>
    <n v="0"/>
    <n v="0"/>
    <n v="0"/>
    <n v="0"/>
    <n v="0"/>
    <n v="0"/>
    <n v="0"/>
    <n v="0"/>
    <n v="0"/>
    <n v="0"/>
    <n v="0"/>
    <n v="0"/>
    <n v="0"/>
    <n v="0"/>
    <s v="MMR001CMP193"/>
    <x v="0"/>
    <x v="1"/>
    <s v="P4"/>
    <n v="0"/>
    <m/>
  </r>
  <r>
    <n v="11.5"/>
    <d v="2016-01-22T00:00:00"/>
    <x v="4"/>
    <s v="Solidarities"/>
    <s v="Kachin"/>
    <s v="Bhamo"/>
    <s v="Phan Khar Kone"/>
    <m/>
    <m/>
    <m/>
    <m/>
    <m/>
    <m/>
    <m/>
    <m/>
    <m/>
    <m/>
    <m/>
    <m/>
    <m/>
    <m/>
    <n v="4"/>
    <m/>
    <m/>
    <n v="0"/>
    <n v="0"/>
    <n v="0"/>
    <n v="0"/>
    <n v="0"/>
    <n v="0"/>
    <n v="0"/>
    <n v="0"/>
    <n v="0"/>
    <n v="0"/>
    <n v="0"/>
    <n v="0"/>
    <n v="0"/>
    <n v="0"/>
    <n v="0"/>
    <n v="4"/>
    <n v="0"/>
    <n v="0"/>
    <s v="MMR001CMP193"/>
    <x v="0"/>
    <x v="1"/>
    <s v="P4"/>
    <n v="0"/>
    <m/>
  </r>
  <r>
    <n v="12.666666666666666"/>
    <d v="2015-12-18T00:00:00"/>
    <x v="4"/>
    <s v="Solidarities"/>
    <s v="Kachin"/>
    <s v="Bhamo"/>
    <s v="Phan Khar Kone"/>
    <m/>
    <m/>
    <m/>
    <m/>
    <m/>
    <m/>
    <m/>
    <m/>
    <m/>
    <m/>
    <m/>
    <m/>
    <m/>
    <m/>
    <m/>
    <n v="24"/>
    <m/>
    <n v="0"/>
    <n v="0"/>
    <n v="0"/>
    <n v="0"/>
    <n v="0"/>
    <n v="0"/>
    <n v="0"/>
    <n v="0"/>
    <n v="0"/>
    <n v="0"/>
    <n v="0"/>
    <n v="0"/>
    <n v="0"/>
    <n v="0"/>
    <n v="0"/>
    <n v="0"/>
    <n v="0"/>
    <n v="0"/>
    <s v="MMR001CMP193"/>
    <x v="0"/>
    <x v="1"/>
    <s v="P4"/>
    <n v="0"/>
    <m/>
  </r>
  <r>
    <n v="47.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13.133333333333333"/>
    <d v="2015-12-04T00:00:00"/>
    <x v="4"/>
    <s v="Solidarities"/>
    <s v="Kachin"/>
    <s v="Bhamo"/>
    <s v="Phan Khar Kone"/>
    <m/>
    <m/>
    <m/>
    <m/>
    <m/>
    <m/>
    <m/>
    <m/>
    <m/>
    <m/>
    <m/>
    <m/>
    <m/>
    <m/>
    <n v="5"/>
    <m/>
    <m/>
    <n v="0"/>
    <n v="0"/>
    <n v="0"/>
    <n v="0"/>
    <n v="0"/>
    <n v="0"/>
    <n v="0"/>
    <n v="0"/>
    <n v="0"/>
    <n v="0"/>
    <n v="0"/>
    <n v="0"/>
    <n v="0"/>
    <n v="0"/>
    <n v="0"/>
    <n v="0"/>
    <n v="0"/>
    <n v="0"/>
    <s v="MMR001CMP193"/>
    <x v="0"/>
    <x v="1"/>
    <s v="P4"/>
    <n v="0"/>
    <m/>
  </r>
  <r>
    <n v="18.366666666666667"/>
    <d v="2015-06-30T00:00:00"/>
    <x v="4"/>
    <s v="Solidarities"/>
    <s v="Kachin"/>
    <s v="Bhamo"/>
    <s v="Phan Khar Kone"/>
    <m/>
    <m/>
    <m/>
    <m/>
    <m/>
    <m/>
    <m/>
    <m/>
    <m/>
    <m/>
    <m/>
    <m/>
    <m/>
    <m/>
    <n v="5"/>
    <m/>
    <m/>
    <n v="0"/>
    <n v="0"/>
    <n v="0"/>
    <n v="0"/>
    <n v="0"/>
    <n v="0"/>
    <n v="0"/>
    <n v="0"/>
    <n v="0"/>
    <n v="0"/>
    <n v="0"/>
    <n v="0"/>
    <n v="0"/>
    <n v="0"/>
    <n v="0"/>
    <n v="0"/>
    <n v="0"/>
    <n v="0"/>
    <s v="MMR001CMP193"/>
    <x v="0"/>
    <x v="1"/>
    <s v="P4"/>
    <n v="0"/>
    <m/>
  </r>
  <r>
    <n v="47.366666666666667"/>
    <d v="2013-02-10T00:00:00"/>
    <x v="2"/>
    <s v="MRCS"/>
    <s v="Kachin"/>
    <s v="Mohnyin"/>
    <s v="Nant Mun"/>
    <m/>
    <m/>
    <m/>
    <m/>
    <n v="36"/>
    <m/>
    <n v="22"/>
    <m/>
    <n v="0"/>
    <n v="0"/>
    <m/>
    <m/>
    <m/>
    <m/>
    <m/>
    <m/>
    <m/>
    <n v="0"/>
    <n v="0"/>
    <n v="0"/>
    <n v="0"/>
    <n v="0"/>
    <n v="0"/>
    <n v="0"/>
    <n v="0"/>
    <n v="0"/>
    <n v="0"/>
    <n v="0"/>
    <n v="0"/>
    <n v="0"/>
    <n v="0"/>
    <n v="0"/>
    <n v="0"/>
    <n v="0"/>
    <n v="0"/>
    <s v="MMR001CMP081"/>
    <x v="0"/>
    <x v="0"/>
    <s v="P4"/>
    <n v="5.3699138372916109E-4"/>
    <s v="No"/>
  </r>
  <r>
    <n v="19.233333333333334"/>
    <d v="2015-06-04T00:00:00"/>
    <x v="0"/>
    <s v="KBC"/>
    <s v="Kachin"/>
    <s v="Bhamo"/>
    <s v="Phan Khar Kone"/>
    <m/>
    <m/>
    <m/>
    <m/>
    <n v="37"/>
    <m/>
    <m/>
    <m/>
    <m/>
    <m/>
    <m/>
    <m/>
    <m/>
    <m/>
    <m/>
    <m/>
    <m/>
    <n v="0"/>
    <n v="0"/>
    <n v="0"/>
    <n v="0"/>
    <n v="0"/>
    <n v="0"/>
    <n v="0"/>
    <n v="0"/>
    <n v="0"/>
    <n v="0"/>
    <n v="0"/>
    <n v="0"/>
    <n v="0"/>
    <n v="0"/>
    <n v="0"/>
    <n v="0"/>
    <n v="0"/>
    <n v="0"/>
    <s v="MMR001CMP193"/>
    <x v="0"/>
    <x v="1"/>
    <s v="P4"/>
    <n v="0"/>
    <s v="No"/>
  </r>
  <r>
    <n v="19.366666666666667"/>
    <d v="2015-05-31T00:00:00"/>
    <x v="4"/>
    <s v="Solidarities"/>
    <s v="Kachin"/>
    <s v="Bhamo"/>
    <s v="Phan Khar Kone"/>
    <m/>
    <m/>
    <m/>
    <m/>
    <m/>
    <m/>
    <m/>
    <m/>
    <m/>
    <m/>
    <m/>
    <m/>
    <m/>
    <m/>
    <n v="6"/>
    <m/>
    <m/>
    <n v="0"/>
    <n v="0"/>
    <n v="0"/>
    <n v="0"/>
    <n v="0"/>
    <n v="0"/>
    <n v="0"/>
    <n v="0"/>
    <n v="0"/>
    <n v="0"/>
    <n v="0"/>
    <n v="0"/>
    <n v="0"/>
    <n v="0"/>
    <n v="0"/>
    <n v="0"/>
    <n v="0"/>
    <n v="0"/>
    <s v="MMR001CMP193"/>
    <x v="0"/>
    <x v="1"/>
    <s v="P4"/>
    <n v="0"/>
    <m/>
  </r>
  <r>
    <n v="19.433333333333334"/>
    <d v="2015-05-29T00:00:00"/>
    <x v="4"/>
    <s v="Solidarities"/>
    <s v="Kachin"/>
    <s v="Bhamo"/>
    <s v="Phan Khar Kone"/>
    <m/>
    <m/>
    <n v="258"/>
    <m/>
    <m/>
    <m/>
    <m/>
    <m/>
    <m/>
    <m/>
    <m/>
    <m/>
    <m/>
    <m/>
    <m/>
    <m/>
    <m/>
    <n v="0"/>
    <n v="0"/>
    <n v="0"/>
    <n v="0"/>
    <n v="0"/>
    <n v="0"/>
    <n v="0"/>
    <n v="0"/>
    <n v="0"/>
    <n v="0"/>
    <n v="0"/>
    <n v="0"/>
    <n v="0"/>
    <n v="0"/>
    <n v="0"/>
    <n v="0"/>
    <n v="0"/>
    <n v="0"/>
    <s v="MMR001CMP193"/>
    <x v="0"/>
    <x v="1"/>
    <s v="P4"/>
    <n v="0"/>
    <m/>
  </r>
  <r>
    <n v="22.033333333333335"/>
    <d v="2015-03-12T00:00:00"/>
    <x v="4"/>
    <s v="Solidarities"/>
    <s v="Kachin"/>
    <s v="Bhamo"/>
    <s v="Phan Khar Kone"/>
    <m/>
    <m/>
    <m/>
    <m/>
    <m/>
    <m/>
    <m/>
    <m/>
    <m/>
    <m/>
    <m/>
    <m/>
    <m/>
    <m/>
    <m/>
    <n v="7"/>
    <m/>
    <n v="0"/>
    <n v="0"/>
    <n v="0"/>
    <n v="0"/>
    <n v="0"/>
    <n v="0"/>
    <n v="0"/>
    <n v="0"/>
    <n v="0"/>
    <n v="0"/>
    <n v="0"/>
    <n v="0"/>
    <n v="0"/>
    <n v="0"/>
    <n v="0"/>
    <n v="0"/>
    <n v="0"/>
    <n v="0"/>
    <s v="MMR001CMP193"/>
    <x v="0"/>
    <x v="1"/>
    <s v="P4"/>
    <n v="0"/>
    <m/>
  </r>
  <r>
    <n v="25.1"/>
    <d v="2014-12-10T00:00:00"/>
    <x v="4"/>
    <s v="Solidarities"/>
    <s v="Kachin"/>
    <s v="Bhamo"/>
    <s v="Phan Khar Kone"/>
    <m/>
    <m/>
    <n v="245"/>
    <m/>
    <m/>
    <m/>
    <m/>
    <m/>
    <m/>
    <m/>
    <m/>
    <m/>
    <m/>
    <m/>
    <m/>
    <m/>
    <m/>
    <n v="0"/>
    <n v="0"/>
    <n v="0"/>
    <n v="0"/>
    <n v="0"/>
    <n v="0"/>
    <n v="0"/>
    <n v="0"/>
    <n v="0"/>
    <n v="0"/>
    <n v="0"/>
    <n v="0"/>
    <n v="0"/>
    <n v="0"/>
    <n v="0"/>
    <n v="0"/>
    <n v="0"/>
    <n v="0"/>
    <s v="MMR001CMP193"/>
    <x v="0"/>
    <x v="1"/>
    <s v="P4"/>
    <n v="0"/>
    <m/>
  </r>
  <r>
    <n v="33.299999999999997"/>
    <d v="2014-04-08T00:00:00"/>
    <x v="8"/>
    <s v="MRCS"/>
    <s v="Kachin"/>
    <s v="Bhamo"/>
    <s v="Phan Khar Kone"/>
    <m/>
    <m/>
    <m/>
    <m/>
    <m/>
    <m/>
    <m/>
    <m/>
    <m/>
    <m/>
    <m/>
    <m/>
    <m/>
    <n v="372"/>
    <m/>
    <m/>
    <m/>
    <n v="0"/>
    <n v="0"/>
    <n v="0"/>
    <n v="0"/>
    <n v="0"/>
    <n v="0"/>
    <n v="0"/>
    <n v="0"/>
    <n v="0"/>
    <n v="0"/>
    <n v="0"/>
    <n v="0"/>
    <n v="0"/>
    <n v="0"/>
    <n v="1"/>
    <n v="0"/>
    <n v="0"/>
    <n v="0"/>
    <s v="MMR001CMP193"/>
    <x v="0"/>
    <x v="1"/>
    <s v="P4"/>
    <n v="0"/>
    <m/>
  </r>
  <r>
    <n v="36.200000000000003"/>
    <d v="2014-01-11T00:00:00"/>
    <x v="0"/>
    <m/>
    <s v="Kachin"/>
    <s v="Bhamo"/>
    <s v="Phan Khar Kone"/>
    <m/>
    <m/>
    <m/>
    <m/>
    <n v="10"/>
    <m/>
    <m/>
    <m/>
    <m/>
    <m/>
    <m/>
    <m/>
    <m/>
    <m/>
    <m/>
    <m/>
    <m/>
    <n v="0"/>
    <n v="0"/>
    <n v="0"/>
    <n v="0"/>
    <n v="0"/>
    <n v="0"/>
    <n v="0"/>
    <n v="0"/>
    <n v="0"/>
    <n v="0"/>
    <n v="0"/>
    <n v="0"/>
    <n v="0"/>
    <n v="0"/>
    <n v="0"/>
    <n v="0"/>
    <n v="0"/>
    <n v="0"/>
    <s v="MMR001CMP193"/>
    <x v="0"/>
    <x v="1"/>
    <s v="P4"/>
    <n v="0"/>
    <m/>
  </r>
  <r>
    <n v="37.6"/>
    <d v="2013-11-30T00:00:00"/>
    <x v="5"/>
    <s v="MDCG"/>
    <s v="Kachin"/>
    <s v="Bhamo"/>
    <s v="Phan Khar Kone"/>
    <m/>
    <m/>
    <m/>
    <m/>
    <m/>
    <n v="320"/>
    <m/>
    <m/>
    <m/>
    <m/>
    <n v="234"/>
    <n v="336"/>
    <n v="0"/>
    <m/>
    <m/>
    <m/>
    <m/>
    <n v="0"/>
    <n v="0"/>
    <n v="0"/>
    <n v="0"/>
    <n v="0"/>
    <n v="0"/>
    <n v="0"/>
    <n v="0"/>
    <n v="0"/>
    <n v="0"/>
    <n v="0"/>
    <n v="0"/>
    <n v="0"/>
    <n v="0"/>
    <n v="1"/>
    <n v="0"/>
    <n v="0"/>
    <n v="0"/>
    <s v="MMR001CMP193"/>
    <x v="0"/>
    <x v="1"/>
    <s v="P4"/>
    <n v="0"/>
    <s v="No"/>
  </r>
  <r>
    <n v="37.6"/>
    <d v="2013-11-30T00:00:00"/>
    <x v="4"/>
    <m/>
    <s v="Kachin"/>
    <s v="Bhamo"/>
    <s v="Phan Khar Kone"/>
    <m/>
    <m/>
    <m/>
    <m/>
    <m/>
    <m/>
    <m/>
    <m/>
    <m/>
    <m/>
    <m/>
    <m/>
    <m/>
    <m/>
    <m/>
    <m/>
    <m/>
    <n v="0"/>
    <n v="0"/>
    <n v="0"/>
    <n v="0"/>
    <n v="0"/>
    <n v="0"/>
    <n v="0"/>
    <n v="0"/>
    <n v="0"/>
    <n v="0"/>
    <n v="0"/>
    <n v="0"/>
    <n v="0"/>
    <n v="0"/>
    <n v="0"/>
    <n v="0"/>
    <n v="0"/>
    <n v="0"/>
    <s v="MMR001CMP193"/>
    <x v="0"/>
    <x v="1"/>
    <s v="P4"/>
    <n v="0"/>
    <s v="No"/>
  </r>
  <r>
    <n v="37.9"/>
    <d v="2013-11-21T00:00:00"/>
    <x v="0"/>
    <s v="UNHCR"/>
    <s v="Kachin"/>
    <s v="Bhamo"/>
    <s v="Phan Khar Kone"/>
    <m/>
    <m/>
    <m/>
    <n v="15"/>
    <n v="9"/>
    <n v="15"/>
    <n v="9"/>
    <n v="9"/>
    <m/>
    <m/>
    <m/>
    <m/>
    <m/>
    <m/>
    <m/>
    <m/>
    <m/>
    <n v="0"/>
    <n v="0"/>
    <n v="0"/>
    <n v="0"/>
    <n v="0"/>
    <n v="0"/>
    <n v="0"/>
    <n v="0"/>
    <n v="0"/>
    <n v="0"/>
    <n v="0"/>
    <n v="0"/>
    <n v="0"/>
    <n v="0"/>
    <n v="0"/>
    <n v="0"/>
    <n v="0"/>
    <n v="0"/>
    <s v="MMR001CMP193"/>
    <x v="0"/>
    <x v="1"/>
    <s v="P4"/>
    <n v="2.1804966686856452E-4"/>
    <s v="No"/>
  </r>
  <r>
    <n v="38.06666666666667"/>
    <d v="2013-11-16T00:00:00"/>
    <x v="0"/>
    <s v="UNHCR "/>
    <s v="Kachin"/>
    <s v="Bhamo"/>
    <s v="Phan Khar Kone"/>
    <m/>
    <m/>
    <m/>
    <m/>
    <n v="11"/>
    <m/>
    <m/>
    <m/>
    <m/>
    <m/>
    <m/>
    <m/>
    <m/>
    <m/>
    <m/>
    <m/>
    <m/>
    <n v="0"/>
    <n v="0"/>
    <n v="0"/>
    <n v="0"/>
    <n v="0"/>
    <n v="0"/>
    <n v="0"/>
    <n v="0"/>
    <n v="0"/>
    <n v="0"/>
    <n v="0"/>
    <n v="0"/>
    <n v="0"/>
    <n v="0"/>
    <n v="0"/>
    <n v="0"/>
    <n v="0"/>
    <n v="0"/>
    <s v="MMR001CMP193"/>
    <x v="0"/>
    <x v="1"/>
    <s v="P4"/>
    <n v="0"/>
    <s v="No"/>
  </r>
  <r>
    <n v="38.366666666666667"/>
    <d v="2013-11-07T00:00:00"/>
    <x v="4"/>
    <s v="Solidarities"/>
    <s v="Kachin"/>
    <s v="Bhamo"/>
    <s v="Phan Khar Kone"/>
    <m/>
    <m/>
    <m/>
    <m/>
    <m/>
    <m/>
    <m/>
    <m/>
    <m/>
    <m/>
    <n v="23"/>
    <n v="41"/>
    <n v="128"/>
    <n v="64"/>
    <m/>
    <m/>
    <m/>
    <n v="0"/>
    <n v="0"/>
    <n v="0"/>
    <n v="0"/>
    <n v="0"/>
    <n v="0"/>
    <n v="0"/>
    <n v="0"/>
    <n v="0"/>
    <n v="0"/>
    <n v="0"/>
    <n v="0"/>
    <n v="0"/>
    <n v="0"/>
    <n v="1"/>
    <n v="0"/>
    <n v="0"/>
    <n v="0"/>
    <s v="MMR001CMP193"/>
    <x v="0"/>
    <x v="1"/>
    <s v="P4"/>
    <n v="0"/>
    <m/>
  </r>
  <r>
    <n v="38.366666666666667"/>
    <d v="2013-11-07T00:00:00"/>
    <x v="0"/>
    <s v="UNHCR"/>
    <s v="Kachin"/>
    <s v="Bhamo"/>
    <s v="Phan Khar Kone"/>
    <m/>
    <m/>
    <n v="58"/>
    <n v="46"/>
    <n v="29"/>
    <n v="46"/>
    <n v="29"/>
    <n v="29"/>
    <m/>
    <m/>
    <m/>
    <m/>
    <m/>
    <m/>
    <m/>
    <m/>
    <m/>
    <n v="0"/>
    <n v="0"/>
    <n v="0"/>
    <n v="0"/>
    <n v="0"/>
    <n v="0"/>
    <n v="0"/>
    <n v="0"/>
    <n v="0"/>
    <n v="0"/>
    <n v="0"/>
    <n v="0"/>
    <n v="0"/>
    <n v="0"/>
    <n v="0"/>
    <n v="0"/>
    <n v="0"/>
    <n v="0"/>
    <s v="MMR001CMP193"/>
    <x v="0"/>
    <x v="1"/>
    <s v="P4"/>
    <n v="7.0260448213204122E-4"/>
    <s v="No"/>
  </r>
  <r>
    <n v="38.5"/>
    <d v="2013-11-03T00:00:00"/>
    <x v="2"/>
    <s v="MRCS"/>
    <s v="Kachin"/>
    <s v="Bhamo"/>
    <s v="Phan Khar Kone"/>
    <m/>
    <m/>
    <n v="49"/>
    <m/>
    <m/>
    <m/>
    <n v="49"/>
    <m/>
    <m/>
    <m/>
    <m/>
    <m/>
    <m/>
    <m/>
    <m/>
    <m/>
    <m/>
    <n v="0"/>
    <n v="0"/>
    <n v="0"/>
    <n v="0"/>
    <n v="0"/>
    <n v="0"/>
    <n v="0"/>
    <n v="0"/>
    <n v="0"/>
    <n v="0"/>
    <n v="0"/>
    <n v="0"/>
    <n v="0"/>
    <n v="0"/>
    <n v="0"/>
    <n v="0"/>
    <n v="0"/>
    <n v="0"/>
    <s v="MMR001CMP193"/>
    <x v="0"/>
    <x v="1"/>
    <s v="P4"/>
    <n v="1.1871592973955178E-3"/>
    <s v="No"/>
  </r>
  <r>
    <n v="38.633333333333333"/>
    <d v="2013-10-30T00:00:00"/>
    <x v="0"/>
    <s v="UNHCR"/>
    <s v="Kachin"/>
    <s v="Bhamo"/>
    <s v="Phan Khar Kone"/>
    <m/>
    <m/>
    <n v="81"/>
    <n v="94"/>
    <n v="50"/>
    <n v="94"/>
    <n v="50"/>
    <n v="50"/>
    <n v="50"/>
    <n v="50"/>
    <m/>
    <m/>
    <m/>
    <m/>
    <m/>
    <m/>
    <m/>
    <n v="0"/>
    <n v="0"/>
    <n v="0"/>
    <n v="0"/>
    <n v="0"/>
    <n v="0"/>
    <n v="0"/>
    <n v="0"/>
    <n v="0"/>
    <n v="0"/>
    <n v="0"/>
    <n v="0"/>
    <n v="0"/>
    <n v="0"/>
    <n v="0"/>
    <n v="0"/>
    <n v="0"/>
    <n v="0"/>
    <s v="MMR001CMP193"/>
    <x v="0"/>
    <x v="1"/>
    <s v="P4"/>
    <n v="1.2113870381586917E-3"/>
    <s v="No"/>
  </r>
  <r>
    <n v="47.7"/>
    <d v="2013-01-31T00:00:00"/>
    <x v="9"/>
    <s v="World Vision"/>
    <s v="Kachin"/>
    <s v="Hpakant"/>
    <s v="Baptist Church, Naung Hmee VT"/>
    <m/>
    <m/>
    <m/>
    <m/>
    <m/>
    <n v="26"/>
    <m/>
    <m/>
    <n v="0"/>
    <n v="0"/>
    <m/>
    <m/>
    <m/>
    <m/>
    <m/>
    <m/>
    <m/>
    <n v="0"/>
    <n v="0"/>
    <n v="0"/>
    <n v="0"/>
    <n v="0"/>
    <n v="0"/>
    <n v="0"/>
    <n v="0"/>
    <n v="0"/>
    <n v="0"/>
    <n v="0"/>
    <n v="0"/>
    <n v="0"/>
    <n v="0"/>
    <n v="0"/>
    <n v="0"/>
    <n v="0"/>
    <n v="0"/>
    <s v="MMR001CMP188"/>
    <x v="0"/>
    <x v="0"/>
    <s v="P4"/>
    <s v=""/>
    <s v="No"/>
  </r>
  <r>
    <n v="25.266666666666666"/>
    <d v="2014-12-05T00:00:00"/>
    <x v="0"/>
    <s v="KMSS"/>
    <s v="Kachin"/>
    <s v="Waingmaw"/>
    <s v="Post 6 Camp"/>
    <m/>
    <m/>
    <m/>
    <n v="124"/>
    <m/>
    <m/>
    <m/>
    <m/>
    <m/>
    <m/>
    <n v="262"/>
    <n v="400"/>
    <m/>
    <n v="257"/>
    <m/>
    <m/>
    <m/>
    <n v="0"/>
    <n v="0"/>
    <n v="0"/>
    <n v="0"/>
    <n v="0"/>
    <n v="0"/>
    <n v="0"/>
    <n v="0"/>
    <n v="0"/>
    <n v="0"/>
    <n v="0"/>
    <n v="0"/>
    <n v="0"/>
    <n v="0"/>
    <n v="1"/>
    <n v="0"/>
    <n v="0"/>
    <n v="0"/>
    <s v="MMR001CMP160"/>
    <x v="0"/>
    <x v="1"/>
    <s v="P1"/>
    <n v="0"/>
    <m/>
  </r>
  <r>
    <n v="35.9"/>
    <d v="2014-01-20T00:00:00"/>
    <x v="3"/>
    <s v="KMSS"/>
    <s v="Kachin"/>
    <s v="Waingmaw"/>
    <s v="Post 6 Camp"/>
    <m/>
    <m/>
    <m/>
    <m/>
    <m/>
    <m/>
    <m/>
    <n v="127"/>
    <m/>
    <m/>
    <m/>
    <m/>
    <m/>
    <m/>
    <m/>
    <m/>
    <m/>
    <n v="0"/>
    <n v="0"/>
    <n v="0"/>
    <n v="0"/>
    <n v="0"/>
    <n v="0"/>
    <n v="0"/>
    <n v="0"/>
    <n v="0"/>
    <n v="0"/>
    <n v="0"/>
    <n v="0"/>
    <n v="0"/>
    <n v="0"/>
    <n v="0"/>
    <n v="0"/>
    <n v="0"/>
    <n v="0"/>
    <s v="MMR001CMP160"/>
    <x v="0"/>
    <x v="1"/>
    <s v="P1"/>
    <n v="0"/>
    <s v="No"/>
  </r>
  <r>
    <n v="35.9"/>
    <d v="2014-01-20T00:00:00"/>
    <x v="3"/>
    <s v="KMSS"/>
    <s v="Kachin"/>
    <s v="Waingmaw"/>
    <s v="Post 6 Camp"/>
    <m/>
    <m/>
    <m/>
    <m/>
    <m/>
    <m/>
    <m/>
    <m/>
    <m/>
    <m/>
    <n v="443"/>
    <n v="218"/>
    <m/>
    <m/>
    <m/>
    <m/>
    <m/>
    <n v="0"/>
    <n v="0"/>
    <n v="0"/>
    <n v="0"/>
    <n v="0"/>
    <n v="0"/>
    <n v="0"/>
    <n v="0"/>
    <n v="0"/>
    <n v="0"/>
    <n v="0"/>
    <n v="0"/>
    <n v="0"/>
    <n v="0"/>
    <n v="1"/>
    <n v="0"/>
    <n v="0"/>
    <n v="0"/>
    <s v="MMR001CMP160"/>
    <x v="0"/>
    <x v="1"/>
    <s v="P1"/>
    <n v="0"/>
    <s v="No"/>
  </r>
  <r>
    <n v="37.533333333333331"/>
    <d v="2013-12-02T00:00:00"/>
    <x v="4"/>
    <s v="KBC"/>
    <s v="Kachin"/>
    <s v="Waingmaw"/>
    <s v="Post 6 Camp"/>
    <m/>
    <m/>
    <m/>
    <m/>
    <m/>
    <m/>
    <m/>
    <m/>
    <m/>
    <m/>
    <n v="124"/>
    <n v="248"/>
    <n v="744"/>
    <n v="372"/>
    <m/>
    <m/>
    <m/>
    <n v="0"/>
    <n v="0"/>
    <n v="0"/>
    <n v="0"/>
    <n v="0"/>
    <n v="0"/>
    <n v="0"/>
    <n v="0"/>
    <n v="0"/>
    <n v="0"/>
    <n v="0"/>
    <n v="0"/>
    <n v="0"/>
    <n v="0"/>
    <n v="1"/>
    <n v="0"/>
    <n v="0"/>
    <n v="0"/>
    <s v="MMR001CMP160"/>
    <x v="0"/>
    <x v="1"/>
    <s v="P1"/>
    <n v="0"/>
    <m/>
  </r>
  <r>
    <n v="37.6"/>
    <d v="2013-11-30T00:00:00"/>
    <x v="4"/>
    <s v="KBC"/>
    <s v="Kachin"/>
    <s v="Waingmaw"/>
    <s v="Post 6 Camp"/>
    <m/>
    <m/>
    <m/>
    <m/>
    <m/>
    <m/>
    <m/>
    <m/>
    <m/>
    <m/>
    <m/>
    <m/>
    <m/>
    <m/>
    <m/>
    <m/>
    <m/>
    <n v="0"/>
    <n v="0"/>
    <n v="0"/>
    <n v="0"/>
    <n v="0"/>
    <n v="0"/>
    <n v="0"/>
    <n v="0"/>
    <n v="0"/>
    <n v="0"/>
    <n v="0"/>
    <n v="0"/>
    <n v="0"/>
    <n v="0"/>
    <n v="0"/>
    <n v="0"/>
    <n v="0"/>
    <n v="0"/>
    <s v="MMR001CMP160"/>
    <x v="0"/>
    <x v="1"/>
    <s v="P1"/>
    <n v="0"/>
    <s v="No"/>
  </r>
  <r>
    <n v="44.366666666666667"/>
    <d v="2013-05-11T00:00:00"/>
    <x v="6"/>
    <s v="KMSS"/>
    <s v="Kachin"/>
    <s v="Waingmaw"/>
    <s v="Post 6 Camp"/>
    <n v="490"/>
    <m/>
    <m/>
    <m/>
    <m/>
    <m/>
    <m/>
    <m/>
    <m/>
    <m/>
    <m/>
    <m/>
    <m/>
    <m/>
    <m/>
    <m/>
    <m/>
    <n v="0"/>
    <n v="0"/>
    <n v="0"/>
    <n v="0"/>
    <n v="0"/>
    <n v="0"/>
    <n v="0"/>
    <n v="0"/>
    <n v="0"/>
    <n v="0"/>
    <n v="0"/>
    <n v="0"/>
    <n v="0"/>
    <n v="0"/>
    <n v="0"/>
    <n v="0"/>
    <n v="0"/>
    <n v="0"/>
    <s v="MMR001CMP160"/>
    <x v="0"/>
    <x v="1"/>
    <s v="P1"/>
    <n v="0"/>
    <s v="No"/>
  </r>
  <r>
    <n v="57.5"/>
    <d v="2012-04-12T00:00:00"/>
    <x v="0"/>
    <s v="UNHCR"/>
    <s v="Kachin"/>
    <s v="Waingmaw"/>
    <s v="Post 6 Camp"/>
    <m/>
    <m/>
    <m/>
    <n v="123"/>
    <n v="95"/>
    <n v="123"/>
    <n v="95"/>
    <n v="95"/>
    <n v="95"/>
    <n v="95"/>
    <m/>
    <m/>
    <m/>
    <m/>
    <m/>
    <m/>
    <m/>
    <n v="0"/>
    <n v="0"/>
    <n v="0"/>
    <n v="0"/>
    <n v="0"/>
    <n v="0"/>
    <n v="0"/>
    <n v="0"/>
    <n v="0"/>
    <n v="0"/>
    <n v="0"/>
    <n v="0"/>
    <n v="0"/>
    <n v="0"/>
    <n v="0"/>
    <n v="0"/>
    <n v="0"/>
    <n v="0"/>
    <s v="MMR001CMP160"/>
    <x v="0"/>
    <x v="1"/>
    <s v="P1"/>
    <n v="2.3256952604778693E-3"/>
    <s v="No"/>
  </r>
  <r>
    <n v="58.033333333333331"/>
    <d v="2012-03-27T00:00:00"/>
    <x v="0"/>
    <s v="UNHCR"/>
    <s v="Kachin"/>
    <s v="Waingmaw"/>
    <s v="Post 6 Camp"/>
    <m/>
    <m/>
    <m/>
    <n v="0"/>
    <n v="40"/>
    <n v="0"/>
    <n v="0"/>
    <n v="0"/>
    <m/>
    <m/>
    <m/>
    <m/>
    <m/>
    <m/>
    <m/>
    <m/>
    <m/>
    <n v="0"/>
    <n v="0"/>
    <n v="0"/>
    <n v="0"/>
    <n v="0"/>
    <n v="0"/>
    <n v="0"/>
    <n v="0"/>
    <n v="0"/>
    <n v="0"/>
    <n v="0"/>
    <n v="0"/>
    <n v="0"/>
    <n v="0"/>
    <n v="0"/>
    <n v="0"/>
    <n v="0"/>
    <n v="0"/>
    <s v="MMR001CMP160"/>
    <x v="0"/>
    <x v="1"/>
    <s v="P1"/>
    <n v="0"/>
    <s v="No"/>
  </r>
  <r>
    <n v="27.433333333333334"/>
    <d v="2014-10-01T00:00:00"/>
    <x v="0"/>
    <s v="Shalom"/>
    <s v="Kachin"/>
    <s v="Waingmaw"/>
    <s v="Qtr. 2 Lhaovo Baptist Church"/>
    <m/>
    <m/>
    <m/>
    <n v="240"/>
    <m/>
    <m/>
    <m/>
    <m/>
    <m/>
    <m/>
    <m/>
    <m/>
    <m/>
    <m/>
    <m/>
    <m/>
    <m/>
    <n v="0"/>
    <n v="0"/>
    <n v="0"/>
    <n v="0"/>
    <n v="0"/>
    <n v="0"/>
    <n v="0"/>
    <n v="0"/>
    <n v="0"/>
    <n v="0"/>
    <n v="0"/>
    <n v="0"/>
    <n v="0"/>
    <n v="0"/>
    <n v="0"/>
    <n v="0"/>
    <n v="0"/>
    <n v="0"/>
    <s v="MMR001CMP032"/>
    <x v="0"/>
    <x v="1"/>
    <s v="P4"/>
    <n v="0"/>
    <m/>
  </r>
  <r>
    <n v="29.266666666666666"/>
    <d v="2014-08-07T00:00:00"/>
    <x v="0"/>
    <s v="Shalom"/>
    <s v="Kachin"/>
    <s v="Waingmaw"/>
    <s v="Qtr. 2 Lhaovo Baptist Church"/>
    <m/>
    <m/>
    <n v="24"/>
    <n v="12"/>
    <n v="24"/>
    <n v="12"/>
    <m/>
    <n v="12"/>
    <n v="60"/>
    <m/>
    <m/>
    <m/>
    <m/>
    <m/>
    <m/>
    <m/>
    <m/>
    <n v="0"/>
    <n v="0"/>
    <n v="0"/>
    <n v="0"/>
    <n v="0"/>
    <n v="0"/>
    <n v="0"/>
    <n v="0"/>
    <n v="0"/>
    <n v="0"/>
    <n v="0"/>
    <n v="0"/>
    <n v="0"/>
    <n v="0"/>
    <n v="0"/>
    <n v="0"/>
    <n v="0"/>
    <n v="0"/>
    <s v="MMR001CMP032"/>
    <x v="0"/>
    <x v="1"/>
    <s v="P4"/>
    <n v="0"/>
    <m/>
  </r>
  <r>
    <n v="31.833333333333332"/>
    <d v="2014-05-22T00:00:00"/>
    <x v="8"/>
    <s v="MRCS"/>
    <s v="Kachin"/>
    <s v="Waingmaw"/>
    <s v="Qtr. 2 Lhaovo Baptist Church"/>
    <m/>
    <m/>
    <m/>
    <m/>
    <m/>
    <m/>
    <m/>
    <m/>
    <m/>
    <m/>
    <m/>
    <m/>
    <m/>
    <n v="88"/>
    <m/>
    <m/>
    <m/>
    <n v="0"/>
    <n v="0"/>
    <n v="0"/>
    <n v="0"/>
    <n v="0"/>
    <n v="0"/>
    <n v="0"/>
    <n v="0"/>
    <n v="0"/>
    <n v="0"/>
    <n v="0"/>
    <n v="0"/>
    <n v="0"/>
    <n v="0"/>
    <n v="1"/>
    <n v="0"/>
    <n v="0"/>
    <n v="0"/>
    <s v="MMR001CMP032"/>
    <x v="0"/>
    <x v="1"/>
    <s v="P4"/>
    <n v="0"/>
    <m/>
  </r>
  <r>
    <n v="36.833333333333336"/>
    <d v="2013-12-23T00:00:00"/>
    <x v="4"/>
    <s v="KBC"/>
    <s v="Kachin"/>
    <s v="Waingmaw"/>
    <s v="Qtr. 2 Lhaovo Baptist Church"/>
    <m/>
    <m/>
    <m/>
    <m/>
    <m/>
    <m/>
    <m/>
    <m/>
    <m/>
    <m/>
    <n v="59"/>
    <n v="196"/>
    <n v="510"/>
    <n v="255"/>
    <m/>
    <m/>
    <m/>
    <n v="0"/>
    <n v="0"/>
    <n v="0"/>
    <n v="0"/>
    <n v="0"/>
    <n v="0"/>
    <n v="0"/>
    <n v="0"/>
    <n v="0"/>
    <n v="0"/>
    <n v="0"/>
    <n v="0"/>
    <n v="0"/>
    <n v="0"/>
    <n v="1"/>
    <n v="0"/>
    <n v="0"/>
    <n v="0"/>
    <s v="MMR001CMP032"/>
    <x v="0"/>
    <x v="1"/>
    <s v="P4"/>
    <n v="0"/>
    <m/>
  </r>
  <r>
    <n v="44"/>
    <d v="2013-05-22T00:00:00"/>
    <x v="0"/>
    <s v="UNHCR"/>
    <s v="Kachin"/>
    <s v="Waingmaw"/>
    <s v="Qtr. 2 Lhaovo Baptist Church"/>
    <m/>
    <m/>
    <n v="18"/>
    <n v="20"/>
    <n v="14"/>
    <n v="20"/>
    <n v="10"/>
    <n v="10"/>
    <n v="10"/>
    <n v="10"/>
    <m/>
    <m/>
    <m/>
    <m/>
    <m/>
    <m/>
    <m/>
    <n v="0"/>
    <n v="0"/>
    <n v="0"/>
    <n v="0"/>
    <n v="0"/>
    <n v="0"/>
    <n v="0"/>
    <n v="0"/>
    <n v="0"/>
    <n v="0"/>
    <n v="0"/>
    <n v="0"/>
    <n v="0"/>
    <n v="0"/>
    <n v="0"/>
    <n v="0"/>
    <n v="0"/>
    <n v="0"/>
    <s v="MMR001CMP032"/>
    <x v="0"/>
    <x v="1"/>
    <s v="P4"/>
    <n v="2.4554941682013506E-4"/>
    <s v="No"/>
  </r>
  <r>
    <n v="47.7"/>
    <d v="2013-01-31T00:00:00"/>
    <x v="9"/>
    <s v="World Vision"/>
    <s v="Kachin"/>
    <s v="Waingmaw"/>
    <s v="Waingmaw Baptist Zonal Office"/>
    <m/>
    <m/>
    <m/>
    <m/>
    <m/>
    <n v="224"/>
    <m/>
    <m/>
    <n v="0"/>
    <n v="0"/>
    <m/>
    <m/>
    <m/>
    <m/>
    <m/>
    <m/>
    <m/>
    <n v="0"/>
    <n v="0"/>
    <n v="0"/>
    <n v="0"/>
    <n v="0"/>
    <n v="0"/>
    <n v="0"/>
    <n v="0"/>
    <n v="0"/>
    <n v="0"/>
    <n v="0"/>
    <n v="0"/>
    <n v="0"/>
    <n v="0"/>
    <n v="0"/>
    <n v="0"/>
    <n v="0"/>
    <n v="0"/>
    <s v="MMR001CMP036"/>
    <x v="0"/>
    <x v="0"/>
    <s v="P4"/>
    <n v="0"/>
    <s v="No"/>
  </r>
  <r>
    <n v="46.56666666666667"/>
    <d v="2013-03-06T00:00:00"/>
    <x v="0"/>
    <s v="UNHCR"/>
    <s v="Kachin"/>
    <s v="Waingmaw"/>
    <s v="Qtr. 2 Lhaovo Baptist Church"/>
    <m/>
    <m/>
    <n v="6"/>
    <n v="11"/>
    <n v="5"/>
    <n v="11"/>
    <n v="5"/>
    <n v="5"/>
    <n v="5"/>
    <n v="5"/>
    <m/>
    <m/>
    <m/>
    <m/>
    <m/>
    <m/>
    <m/>
    <n v="0"/>
    <n v="0"/>
    <n v="0"/>
    <n v="0"/>
    <n v="0"/>
    <n v="0"/>
    <n v="0"/>
    <n v="0"/>
    <n v="0"/>
    <n v="0"/>
    <n v="0"/>
    <n v="0"/>
    <n v="0"/>
    <n v="0"/>
    <n v="0"/>
    <n v="0"/>
    <n v="0"/>
    <n v="0"/>
    <s v="MMR001CMP032"/>
    <x v="0"/>
    <x v="1"/>
    <s v="P4"/>
    <n v="1.2277470841006753E-4"/>
    <s v="No"/>
  </r>
  <r>
    <n v="47.5"/>
    <d v="2013-02-06T00:00:00"/>
    <x v="0"/>
    <s v="UNHCR"/>
    <s v="Kachin"/>
    <s v="Waingmaw"/>
    <s v="Qtr. 2 Lhaovo Baptist Church"/>
    <m/>
    <m/>
    <n v="17"/>
    <n v="20"/>
    <n v="15"/>
    <n v="20"/>
    <n v="14"/>
    <n v="11"/>
    <n v="11"/>
    <n v="11"/>
    <m/>
    <m/>
    <m/>
    <m/>
    <m/>
    <m/>
    <m/>
    <n v="0"/>
    <n v="0"/>
    <n v="0"/>
    <n v="0"/>
    <n v="0"/>
    <n v="0"/>
    <n v="0"/>
    <n v="0"/>
    <n v="0"/>
    <n v="0"/>
    <n v="0"/>
    <n v="0"/>
    <n v="0"/>
    <n v="0"/>
    <n v="0"/>
    <n v="0"/>
    <n v="0"/>
    <n v="0"/>
    <s v="MMR001CMP032"/>
    <x v="0"/>
    <x v="1"/>
    <s v="P4"/>
    <n v="3.4376918354818908E-4"/>
    <s v="No"/>
  </r>
  <r>
    <n v="47.9"/>
    <d v="2013-01-25T00:00:00"/>
    <x v="4"/>
    <s v="Solidarities"/>
    <s v="Kachin"/>
    <s v="Momauk"/>
    <s v="Ni Thaw Ka Monestry"/>
    <n v="75"/>
    <m/>
    <m/>
    <m/>
    <m/>
    <m/>
    <m/>
    <m/>
    <n v="0"/>
    <n v="0"/>
    <m/>
    <m/>
    <m/>
    <m/>
    <m/>
    <m/>
    <m/>
    <n v="0"/>
    <n v="0"/>
    <n v="0"/>
    <n v="0"/>
    <n v="0"/>
    <n v="0"/>
    <n v="0"/>
    <n v="0"/>
    <n v="0"/>
    <n v="0"/>
    <n v="0"/>
    <n v="0"/>
    <n v="0"/>
    <n v="0"/>
    <n v="0"/>
    <n v="0"/>
    <n v="0"/>
    <n v="0"/>
    <s v="MMR001CMP059"/>
    <x v="0"/>
    <x v="0"/>
    <s v="P4"/>
    <n v="0"/>
    <s v="No"/>
  </r>
  <r>
    <n v="47.7"/>
    <d v="2013-01-31T00:00:00"/>
    <x v="9"/>
    <s v="World Vision"/>
    <s v="Kachin"/>
    <s v="Waingmaw"/>
    <s v="Qtr. 2 Lhaovo Baptist Church"/>
    <m/>
    <m/>
    <m/>
    <m/>
    <m/>
    <n v="184"/>
    <m/>
    <m/>
    <n v="0"/>
    <n v="0"/>
    <m/>
    <m/>
    <m/>
    <m/>
    <m/>
    <m/>
    <m/>
    <n v="0"/>
    <n v="0"/>
    <n v="0"/>
    <n v="0"/>
    <n v="0"/>
    <n v="0"/>
    <n v="0"/>
    <n v="0"/>
    <n v="0"/>
    <n v="0"/>
    <n v="0"/>
    <n v="0"/>
    <n v="0"/>
    <n v="0"/>
    <n v="0"/>
    <n v="0"/>
    <n v="0"/>
    <n v="0"/>
    <s v="MMR001CMP032"/>
    <x v="0"/>
    <x v="1"/>
    <s v="P4"/>
    <n v="0"/>
    <s v="No"/>
  </r>
  <r>
    <n v="47.93333333333333"/>
    <d v="2013-01-24T00:00:00"/>
    <x v="4"/>
    <s v="Solidarities"/>
    <s v="Kachin"/>
    <s v="Momauk"/>
    <s v="Momauk Catholic Church (St. Patrick)"/>
    <n v="793"/>
    <m/>
    <m/>
    <m/>
    <m/>
    <m/>
    <m/>
    <m/>
    <n v="0"/>
    <n v="0"/>
    <m/>
    <m/>
    <m/>
    <m/>
    <m/>
    <m/>
    <m/>
    <n v="0"/>
    <n v="0"/>
    <n v="0"/>
    <n v="0"/>
    <n v="0"/>
    <n v="0"/>
    <n v="0"/>
    <n v="0"/>
    <n v="0"/>
    <n v="0"/>
    <n v="0"/>
    <n v="0"/>
    <n v="0"/>
    <n v="0"/>
    <n v="0"/>
    <n v="0"/>
    <n v="0"/>
    <n v="0"/>
    <s v="MMR001CMP057"/>
    <x v="0"/>
    <x v="0"/>
    <s v="P4"/>
    <n v="0"/>
    <s v="No"/>
  </r>
  <r>
    <n v="48.733333333333334"/>
    <d v="2012-12-31T00:00:00"/>
    <x v="3"/>
    <s v="DRC"/>
    <s v="Kachin"/>
    <s v="Waingmaw"/>
    <s v="Qtr. 2 Lhaovo Baptist Church"/>
    <n v="92"/>
    <m/>
    <m/>
    <m/>
    <m/>
    <m/>
    <m/>
    <m/>
    <n v="0"/>
    <n v="0"/>
    <m/>
    <m/>
    <m/>
    <m/>
    <m/>
    <m/>
    <m/>
    <n v="0"/>
    <n v="0"/>
    <n v="0"/>
    <n v="0"/>
    <n v="0"/>
    <n v="0"/>
    <n v="0"/>
    <n v="0"/>
    <n v="0"/>
    <n v="0"/>
    <n v="0"/>
    <n v="0"/>
    <n v="0"/>
    <n v="0"/>
    <n v="0"/>
    <n v="0"/>
    <n v="0"/>
    <n v="0"/>
    <s v="MMR001CMP032"/>
    <x v="0"/>
    <x v="1"/>
    <s v="P4"/>
    <n v="0"/>
    <s v="No"/>
  </r>
  <r>
    <n v="50.366666666666667"/>
    <d v="2012-11-12T00:00:00"/>
    <x v="0"/>
    <s v="UNHCR"/>
    <s v="Kachin"/>
    <s v="Waingmaw"/>
    <s v="Qtr. 2 Lhaovo Baptist Church"/>
    <m/>
    <m/>
    <m/>
    <n v="12"/>
    <n v="12"/>
    <n v="12"/>
    <n v="5"/>
    <n v="5"/>
    <n v="5"/>
    <n v="5"/>
    <m/>
    <m/>
    <m/>
    <m/>
    <m/>
    <m/>
    <m/>
    <n v="0"/>
    <n v="0"/>
    <n v="0"/>
    <n v="0"/>
    <n v="0"/>
    <n v="0"/>
    <n v="0"/>
    <n v="0"/>
    <n v="0"/>
    <n v="0"/>
    <n v="0"/>
    <n v="0"/>
    <n v="0"/>
    <n v="0"/>
    <n v="0"/>
    <n v="0"/>
    <n v="0"/>
    <n v="0"/>
    <s v="MMR001CMP032"/>
    <x v="0"/>
    <x v="1"/>
    <s v="P4"/>
    <n v="1.2277470841006753E-4"/>
    <s v="No"/>
  </r>
  <r>
    <n v="54.43333333333333"/>
    <d v="2012-07-13T00:00:00"/>
    <x v="0"/>
    <s v="UNHCR"/>
    <s v="Kachin"/>
    <s v="Waingmaw"/>
    <s v="Qtr. 2 Lhaovo Baptist Church"/>
    <m/>
    <m/>
    <m/>
    <n v="13"/>
    <n v="13"/>
    <n v="13"/>
    <n v="13"/>
    <n v="13"/>
    <n v="13"/>
    <n v="13"/>
    <m/>
    <m/>
    <m/>
    <m/>
    <m/>
    <m/>
    <m/>
    <n v="0"/>
    <n v="0"/>
    <n v="0"/>
    <n v="0"/>
    <n v="0"/>
    <n v="0"/>
    <n v="0"/>
    <n v="0"/>
    <n v="0"/>
    <n v="0"/>
    <n v="0"/>
    <n v="0"/>
    <n v="0"/>
    <n v="0"/>
    <n v="0"/>
    <n v="0"/>
    <n v="0"/>
    <n v="0"/>
    <s v="MMR001CMP032"/>
    <x v="0"/>
    <x v="1"/>
    <s v="P4"/>
    <n v="3.1921424186617559E-4"/>
    <s v="No"/>
  </r>
  <r>
    <n v="54.56666666666667"/>
    <d v="2012-07-09T00:00:00"/>
    <x v="0"/>
    <s v="UNHCR"/>
    <s v="Kachin"/>
    <s v="Waingmaw"/>
    <s v="Qtr. 2 Lhaovo Baptist Church"/>
    <m/>
    <m/>
    <m/>
    <n v="77"/>
    <n v="34"/>
    <n v="77"/>
    <n v="35"/>
    <n v="52"/>
    <n v="52"/>
    <n v="52"/>
    <m/>
    <m/>
    <m/>
    <m/>
    <m/>
    <m/>
    <m/>
    <n v="0"/>
    <n v="0"/>
    <n v="0"/>
    <n v="0"/>
    <n v="0"/>
    <n v="0"/>
    <n v="0"/>
    <n v="0"/>
    <n v="0"/>
    <n v="0"/>
    <n v="0"/>
    <n v="0"/>
    <n v="0"/>
    <n v="0"/>
    <n v="0"/>
    <n v="0"/>
    <n v="0"/>
    <n v="0"/>
    <s v="MMR001CMP032"/>
    <x v="0"/>
    <x v="1"/>
    <s v="P4"/>
    <n v="8.594229588704727E-4"/>
    <s v="No"/>
  </r>
  <r>
    <n v="58.7"/>
    <d v="2012-03-07T00:00:00"/>
    <x v="0"/>
    <s v="UNHCR"/>
    <s v="Kachin"/>
    <s v="Waingmaw"/>
    <s v="Qtr. 2 Lhaovo Baptist Church"/>
    <m/>
    <m/>
    <m/>
    <n v="12"/>
    <n v="8"/>
    <n v="12"/>
    <n v="8"/>
    <n v="8"/>
    <n v="8"/>
    <n v="8"/>
    <m/>
    <m/>
    <m/>
    <m/>
    <m/>
    <m/>
    <m/>
    <n v="0"/>
    <n v="0"/>
    <n v="0"/>
    <n v="0"/>
    <n v="0"/>
    <n v="0"/>
    <n v="0"/>
    <n v="0"/>
    <n v="0"/>
    <n v="0"/>
    <n v="0"/>
    <n v="0"/>
    <n v="0"/>
    <n v="0"/>
    <n v="0"/>
    <n v="0"/>
    <n v="0"/>
    <n v="0"/>
    <s v="MMR001CMP032"/>
    <x v="0"/>
    <x v="1"/>
    <s v="P4"/>
    <n v="1.9643953345610803E-4"/>
    <s v="No"/>
  </r>
  <r>
    <n v="61.233333333333334"/>
    <d v="2011-12-22T00:00:00"/>
    <x v="0"/>
    <s v="UNHCR"/>
    <s v="Kachin"/>
    <s v="Waingmaw"/>
    <s v="Qtr. 2 Lhaovo Baptist Church"/>
    <m/>
    <m/>
    <m/>
    <n v="0"/>
    <n v="0"/>
    <n v="0"/>
    <n v="0"/>
    <n v="4"/>
    <n v="4"/>
    <n v="4"/>
    <m/>
    <m/>
    <m/>
    <m/>
    <m/>
    <m/>
    <m/>
    <n v="0"/>
    <n v="0"/>
    <n v="0"/>
    <n v="0"/>
    <n v="0"/>
    <n v="0"/>
    <n v="0"/>
    <n v="0"/>
    <n v="0"/>
    <n v="0"/>
    <n v="0"/>
    <n v="0"/>
    <n v="0"/>
    <n v="0"/>
    <n v="0"/>
    <n v="0"/>
    <n v="0"/>
    <n v="0"/>
    <s v="MMR001CMP032"/>
    <x v="0"/>
    <x v="1"/>
    <s v="P4"/>
    <n v="0"/>
    <s v="No"/>
  </r>
  <r>
    <n v="31.833333333333332"/>
    <d v="2014-05-22T00:00:00"/>
    <x v="8"/>
    <s v="MRCS"/>
    <s v="Kachin"/>
    <s v="Waingmaw"/>
    <s v="Qtr. 2 Myoma Baptist Church"/>
    <m/>
    <m/>
    <m/>
    <m/>
    <m/>
    <m/>
    <m/>
    <m/>
    <m/>
    <m/>
    <m/>
    <m/>
    <m/>
    <n v="140"/>
    <m/>
    <m/>
    <m/>
    <n v="0"/>
    <n v="0"/>
    <n v="0"/>
    <n v="0"/>
    <n v="0"/>
    <n v="0"/>
    <n v="0"/>
    <n v="0"/>
    <n v="0"/>
    <n v="0"/>
    <n v="0"/>
    <n v="0"/>
    <n v="0"/>
    <n v="0"/>
    <n v="1"/>
    <n v="0"/>
    <n v="0"/>
    <n v="0"/>
    <s v="MMR001CMP025"/>
    <x v="0"/>
    <x v="1"/>
    <s v="P4"/>
    <n v="0"/>
    <m/>
  </r>
  <r>
    <n v="37.033333333333331"/>
    <d v="2013-12-17T00:00:00"/>
    <x v="4"/>
    <s v="KBC"/>
    <s v="Kachin"/>
    <s v="Waingmaw"/>
    <s v="Qtr. 2 Myoma Baptist Church"/>
    <m/>
    <m/>
    <m/>
    <m/>
    <m/>
    <m/>
    <m/>
    <m/>
    <m/>
    <m/>
    <n v="73"/>
    <n v="146"/>
    <n v="438"/>
    <n v="219"/>
    <m/>
    <m/>
    <m/>
    <n v="0"/>
    <n v="0"/>
    <n v="0"/>
    <n v="0"/>
    <n v="0"/>
    <n v="0"/>
    <n v="0"/>
    <n v="0"/>
    <n v="0"/>
    <n v="0"/>
    <n v="0"/>
    <n v="0"/>
    <n v="0"/>
    <n v="0"/>
    <n v="1"/>
    <n v="0"/>
    <n v="0"/>
    <n v="0"/>
    <s v="MMR001CMP025"/>
    <x v="0"/>
    <x v="1"/>
    <s v="P4"/>
    <n v="0"/>
    <m/>
  </r>
  <r>
    <n v="37.6"/>
    <d v="2013-11-30T00:00:00"/>
    <x v="4"/>
    <s v="KBC"/>
    <s v="Kachin"/>
    <s v="Waingmaw"/>
    <s v="Qtr. 2 Myoma Baptist Church"/>
    <m/>
    <m/>
    <m/>
    <m/>
    <m/>
    <m/>
    <m/>
    <m/>
    <m/>
    <m/>
    <m/>
    <m/>
    <m/>
    <m/>
    <m/>
    <m/>
    <m/>
    <n v="0"/>
    <n v="0"/>
    <n v="0"/>
    <n v="0"/>
    <n v="0"/>
    <n v="0"/>
    <n v="0"/>
    <n v="0"/>
    <n v="0"/>
    <n v="0"/>
    <n v="0"/>
    <n v="0"/>
    <n v="0"/>
    <n v="0"/>
    <n v="0"/>
    <n v="0"/>
    <n v="0"/>
    <n v="0"/>
    <s v="MMR001CMP025"/>
    <x v="0"/>
    <x v="1"/>
    <s v="P4"/>
    <n v="0"/>
    <s v="No"/>
  </r>
  <r>
    <n v="41.9"/>
    <d v="2013-07-24T00:00:00"/>
    <x v="0"/>
    <s v="KBC"/>
    <s v="Kachin"/>
    <s v="Waingmaw"/>
    <s v="Qtr. 2 Myoma Baptist Church"/>
    <m/>
    <m/>
    <n v="31"/>
    <n v="44"/>
    <n v="18"/>
    <n v="44"/>
    <n v="18"/>
    <n v="18"/>
    <n v="18"/>
    <n v="18"/>
    <m/>
    <m/>
    <m/>
    <m/>
    <m/>
    <m/>
    <m/>
    <n v="0"/>
    <n v="0"/>
    <n v="0"/>
    <n v="0"/>
    <n v="0"/>
    <n v="0"/>
    <n v="0"/>
    <n v="0"/>
    <n v="0"/>
    <n v="0"/>
    <n v="0"/>
    <n v="0"/>
    <n v="0"/>
    <n v="0"/>
    <n v="0"/>
    <n v="0"/>
    <n v="0"/>
    <n v="0"/>
    <s v="MMR001CMP025"/>
    <x v="0"/>
    <x v="1"/>
    <s v="P4"/>
    <n v="4.4231478068558792E-4"/>
    <s v="No"/>
  </r>
  <r>
    <n v="47.7"/>
    <d v="2013-01-31T00:00:00"/>
    <x v="9"/>
    <s v="World Vision"/>
    <s v="Kachin"/>
    <s v="Waingmaw"/>
    <s v="Qtr. 2 Myoma Baptist Church"/>
    <m/>
    <m/>
    <m/>
    <m/>
    <m/>
    <n v="242"/>
    <m/>
    <m/>
    <n v="0"/>
    <n v="0"/>
    <m/>
    <m/>
    <m/>
    <m/>
    <m/>
    <m/>
    <m/>
    <n v="0"/>
    <n v="0"/>
    <n v="0"/>
    <n v="0"/>
    <n v="0"/>
    <n v="0"/>
    <n v="0"/>
    <n v="0"/>
    <n v="0"/>
    <n v="0"/>
    <n v="0"/>
    <n v="0"/>
    <n v="0"/>
    <n v="0"/>
    <n v="0"/>
    <n v="0"/>
    <n v="0"/>
    <n v="0"/>
    <s v="MMR001CMP025"/>
    <x v="0"/>
    <x v="1"/>
    <s v="P4"/>
    <n v="0"/>
    <s v="No"/>
  </r>
  <r>
    <n v="61.1"/>
    <d v="2011-12-26T00:00:00"/>
    <x v="0"/>
    <s v="KBC"/>
    <s v="Kachin"/>
    <s v="Waingmaw"/>
    <s v="Qtr. 2 Myoma Baptist Church"/>
    <m/>
    <m/>
    <m/>
    <n v="54"/>
    <n v="33"/>
    <n v="54"/>
    <n v="33"/>
    <n v="33"/>
    <n v="33"/>
    <n v="33"/>
    <m/>
    <m/>
    <m/>
    <m/>
    <m/>
    <m/>
    <m/>
    <n v="0"/>
    <n v="0"/>
    <n v="0"/>
    <n v="0"/>
    <n v="0"/>
    <n v="0"/>
    <n v="0"/>
    <n v="0"/>
    <n v="0"/>
    <n v="0"/>
    <n v="0"/>
    <n v="0"/>
    <n v="0"/>
    <n v="0"/>
    <n v="0"/>
    <n v="0"/>
    <n v="0"/>
    <n v="0"/>
    <s v="MMR001CMP025"/>
    <x v="0"/>
    <x v="1"/>
    <s v="P4"/>
    <n v="8.1091043125691112E-4"/>
    <s v="No"/>
  </r>
  <r>
    <n v="27.433333333333334"/>
    <d v="2014-10-01T00:00:00"/>
    <x v="0"/>
    <s v="Shalom"/>
    <s v="Kachin"/>
    <s v="Waingmaw"/>
    <s v="Qtr. 3 Mu-yin  Baptist Church"/>
    <m/>
    <m/>
    <m/>
    <n v="46"/>
    <m/>
    <m/>
    <m/>
    <m/>
    <m/>
    <m/>
    <m/>
    <m/>
    <m/>
    <m/>
    <m/>
    <m/>
    <m/>
    <n v="0"/>
    <n v="0"/>
    <n v="0"/>
    <n v="0"/>
    <n v="0"/>
    <n v="0"/>
    <n v="0"/>
    <n v="0"/>
    <n v="0"/>
    <n v="0"/>
    <n v="0"/>
    <n v="0"/>
    <n v="0"/>
    <n v="0"/>
    <n v="0"/>
    <n v="0"/>
    <n v="0"/>
    <n v="0"/>
    <s v="MMR001CMP030"/>
    <x v="0"/>
    <x v="1"/>
    <s v="P4"/>
    <n v="0"/>
    <m/>
  </r>
  <r>
    <n v="48.733333333333334"/>
    <d v="2012-12-31T00:00:00"/>
    <x v="3"/>
    <s v="DRC"/>
    <s v="Kachin"/>
    <s v="Hpakant"/>
    <s v="Aye Mya Tharyar Church of Christ "/>
    <n v="16"/>
    <m/>
    <m/>
    <m/>
    <m/>
    <m/>
    <m/>
    <m/>
    <n v="0"/>
    <n v="0"/>
    <m/>
    <m/>
    <m/>
    <m/>
    <m/>
    <m/>
    <m/>
    <n v="0"/>
    <n v="0"/>
    <n v="0"/>
    <n v="0"/>
    <n v="0"/>
    <n v="0"/>
    <n v="0"/>
    <n v="0"/>
    <n v="0"/>
    <n v="0"/>
    <n v="0"/>
    <n v="0"/>
    <n v="0"/>
    <n v="0"/>
    <n v="0"/>
    <n v="0"/>
    <n v="0"/>
    <n v="0"/>
    <s v="MMR001CMP092"/>
    <x v="0"/>
    <x v="0"/>
    <s v=""/>
    <s v=""/>
    <s v="No"/>
  </r>
  <r>
    <n v="31.933333333333334"/>
    <d v="2014-05-19T00:00:00"/>
    <x v="8"/>
    <s v="MRCS"/>
    <s v="Kachin"/>
    <s v="Waingmaw"/>
    <s v="Qtr. 3 Mu-yin  Baptist Church"/>
    <m/>
    <m/>
    <m/>
    <m/>
    <m/>
    <m/>
    <m/>
    <m/>
    <m/>
    <m/>
    <m/>
    <m/>
    <m/>
    <n v="60"/>
    <m/>
    <m/>
    <m/>
    <n v="0"/>
    <n v="0"/>
    <n v="0"/>
    <n v="0"/>
    <n v="0"/>
    <n v="0"/>
    <n v="0"/>
    <n v="0"/>
    <n v="0"/>
    <n v="0"/>
    <n v="0"/>
    <n v="0"/>
    <n v="0"/>
    <n v="0"/>
    <n v="1"/>
    <n v="0"/>
    <n v="0"/>
    <n v="0"/>
    <s v="MMR001CMP030"/>
    <x v="0"/>
    <x v="1"/>
    <s v="P4"/>
    <n v="0"/>
    <m/>
  </r>
  <r>
    <n v="48.733333333333334"/>
    <d v="2012-12-31T00:00:00"/>
    <x v="3"/>
    <s v="DRC"/>
    <s v="Kachin"/>
    <s v="Hpakant"/>
    <s v="Baptist Church, Sai Ra village"/>
    <n v="3"/>
    <m/>
    <m/>
    <m/>
    <m/>
    <m/>
    <m/>
    <m/>
    <n v="0"/>
    <n v="0"/>
    <m/>
    <m/>
    <m/>
    <m/>
    <m/>
    <m/>
    <m/>
    <n v="0"/>
    <n v="0"/>
    <n v="0"/>
    <n v="0"/>
    <n v="0"/>
    <n v="0"/>
    <n v="0"/>
    <n v="0"/>
    <n v="0"/>
    <n v="0"/>
    <n v="0"/>
    <n v="0"/>
    <n v="0"/>
    <n v="0"/>
    <n v="0"/>
    <n v="0"/>
    <n v="0"/>
    <n v="0"/>
    <s v="MMR001CMP172"/>
    <x v="0"/>
    <x v="0"/>
    <s v=""/>
    <n v="0"/>
    <s v="No"/>
  </r>
  <r>
    <n v="37"/>
    <d v="2013-12-18T00:00:00"/>
    <x v="4"/>
    <s v="KBC"/>
    <s v="Kachin"/>
    <s v="Waingmaw"/>
    <s v="Qtr. 3 Mu-yin  Baptist Church"/>
    <m/>
    <m/>
    <m/>
    <m/>
    <m/>
    <m/>
    <m/>
    <m/>
    <m/>
    <m/>
    <n v="30"/>
    <n v="57"/>
    <n v="174"/>
    <n v="87"/>
    <m/>
    <m/>
    <m/>
    <n v="0"/>
    <n v="0"/>
    <n v="0"/>
    <n v="0"/>
    <n v="0"/>
    <n v="0"/>
    <n v="0"/>
    <n v="0"/>
    <n v="0"/>
    <n v="0"/>
    <n v="0"/>
    <n v="0"/>
    <n v="0"/>
    <n v="0"/>
    <n v="1"/>
    <n v="0"/>
    <n v="0"/>
    <n v="0"/>
    <s v="MMR001CMP030"/>
    <x v="0"/>
    <x v="1"/>
    <s v="P4"/>
    <n v="0"/>
    <m/>
  </r>
  <r>
    <n v="37.6"/>
    <d v="2013-11-30T00:00:00"/>
    <x v="4"/>
    <s v="KBC"/>
    <s v="Kachin"/>
    <s v="Waingmaw"/>
    <s v="Qtr. 3 Mu-yin  Baptist Church"/>
    <m/>
    <m/>
    <m/>
    <m/>
    <m/>
    <m/>
    <m/>
    <m/>
    <m/>
    <m/>
    <m/>
    <m/>
    <m/>
    <m/>
    <m/>
    <m/>
    <m/>
    <n v="0"/>
    <n v="0"/>
    <n v="0"/>
    <n v="0"/>
    <n v="0"/>
    <n v="0"/>
    <n v="0"/>
    <n v="0"/>
    <n v="0"/>
    <n v="0"/>
    <n v="0"/>
    <n v="0"/>
    <n v="0"/>
    <n v="0"/>
    <n v="0"/>
    <n v="0"/>
    <n v="0"/>
    <n v="0"/>
    <s v="MMR001CMP030"/>
    <x v="0"/>
    <x v="1"/>
    <s v="P4"/>
    <n v="0"/>
    <s v="No"/>
  </r>
  <r>
    <n v="47.7"/>
    <d v="2013-01-31T00:00:00"/>
    <x v="9"/>
    <s v="World Vision"/>
    <s v="Kachin"/>
    <s v="Waingmaw"/>
    <s v="Qtr. 3 Mu-yin  Baptist Church"/>
    <m/>
    <m/>
    <m/>
    <m/>
    <m/>
    <n v="54"/>
    <m/>
    <m/>
    <n v="0"/>
    <n v="0"/>
    <m/>
    <m/>
    <m/>
    <m/>
    <m/>
    <m/>
    <m/>
    <n v="0"/>
    <n v="0"/>
    <n v="0"/>
    <n v="0"/>
    <n v="0"/>
    <n v="0"/>
    <n v="0"/>
    <n v="0"/>
    <n v="0"/>
    <n v="0"/>
    <n v="0"/>
    <n v="0"/>
    <n v="0"/>
    <n v="0"/>
    <n v="0"/>
    <n v="0"/>
    <n v="0"/>
    <n v="0"/>
    <s v="MMR001CMP030"/>
    <x v="0"/>
    <x v="1"/>
    <s v="P4"/>
    <n v="0"/>
    <s v="No"/>
  </r>
  <r>
    <n v="48.733333333333334"/>
    <d v="2012-12-31T00:00:00"/>
    <x v="3"/>
    <s v="DRC"/>
    <s v="Kachin"/>
    <s v="Waingmaw"/>
    <s v="Qtr. 3 Mu-yin  Baptist Church"/>
    <n v="27"/>
    <m/>
    <m/>
    <m/>
    <m/>
    <m/>
    <m/>
    <m/>
    <n v="0"/>
    <n v="0"/>
    <m/>
    <m/>
    <m/>
    <m/>
    <m/>
    <m/>
    <m/>
    <n v="0"/>
    <n v="0"/>
    <n v="0"/>
    <n v="0"/>
    <n v="0"/>
    <n v="0"/>
    <n v="0"/>
    <n v="0"/>
    <n v="0"/>
    <n v="0"/>
    <n v="0"/>
    <n v="0"/>
    <n v="0"/>
    <n v="0"/>
    <n v="0"/>
    <n v="0"/>
    <n v="0"/>
    <n v="0"/>
    <s v="MMR001CMP030"/>
    <x v="0"/>
    <x v="1"/>
    <s v="P4"/>
    <n v="0"/>
    <s v="No"/>
  </r>
  <r>
    <n v="55.966666666666669"/>
    <d v="2012-05-28T00:00:00"/>
    <x v="0"/>
    <s v="UNHCR"/>
    <s v="Kachin"/>
    <s v="Waingmaw"/>
    <s v="Qtr. 3 Mu-yin  Baptist Church"/>
    <m/>
    <m/>
    <m/>
    <n v="0"/>
    <n v="11"/>
    <n v="0"/>
    <n v="0"/>
    <n v="0"/>
    <m/>
    <m/>
    <m/>
    <m/>
    <m/>
    <m/>
    <m/>
    <m/>
    <m/>
    <n v="0"/>
    <n v="0"/>
    <n v="0"/>
    <n v="0"/>
    <n v="0"/>
    <n v="0"/>
    <n v="0"/>
    <n v="0"/>
    <n v="0"/>
    <n v="0"/>
    <n v="0"/>
    <n v="0"/>
    <n v="0"/>
    <n v="0"/>
    <n v="0"/>
    <n v="0"/>
    <n v="0"/>
    <n v="0"/>
    <s v="MMR001CMP030"/>
    <x v="0"/>
    <x v="1"/>
    <s v="P4"/>
    <n v="0"/>
    <s v="No"/>
  </r>
  <r>
    <n v="56.8"/>
    <d v="2012-05-03T00:00:00"/>
    <x v="0"/>
    <s v="UNHCR"/>
    <s v="Kachin"/>
    <s v="Waingmaw"/>
    <s v="Qtr. 3 Mu-yin  Baptist Church"/>
    <m/>
    <m/>
    <m/>
    <n v="12"/>
    <n v="0"/>
    <n v="12"/>
    <n v="6"/>
    <n v="6"/>
    <n v="6"/>
    <n v="6"/>
    <m/>
    <m/>
    <m/>
    <m/>
    <m/>
    <m/>
    <m/>
    <n v="0"/>
    <n v="0"/>
    <n v="0"/>
    <n v="0"/>
    <n v="0"/>
    <n v="0"/>
    <n v="0"/>
    <n v="0"/>
    <n v="0"/>
    <n v="0"/>
    <n v="0"/>
    <n v="0"/>
    <n v="0"/>
    <n v="0"/>
    <n v="0"/>
    <n v="0"/>
    <n v="0"/>
    <n v="0"/>
    <s v="MMR001CMP030"/>
    <x v="0"/>
    <x v="1"/>
    <s v="P4"/>
    <n v="1.474382602285293E-4"/>
    <s v="No"/>
  </r>
  <r>
    <n v="27.433333333333334"/>
    <d v="2014-10-01T00:00:00"/>
    <x v="0"/>
    <s v="Shalom"/>
    <s v="Kachin"/>
    <s v="Waingmaw"/>
    <s v="Qtr. 4 Monestry (Thargaya Thayett Taw)"/>
    <m/>
    <m/>
    <m/>
    <n v="204"/>
    <m/>
    <m/>
    <m/>
    <m/>
    <m/>
    <m/>
    <m/>
    <m/>
    <m/>
    <m/>
    <m/>
    <m/>
    <m/>
    <n v="0"/>
    <n v="0"/>
    <n v="0"/>
    <n v="0"/>
    <n v="0"/>
    <n v="0"/>
    <n v="0"/>
    <n v="0"/>
    <n v="0"/>
    <n v="0"/>
    <n v="0"/>
    <n v="0"/>
    <n v="0"/>
    <n v="0"/>
    <n v="0"/>
    <n v="0"/>
    <n v="0"/>
    <n v="0"/>
    <s v="MMR001CMP026"/>
    <x v="0"/>
    <x v="1"/>
    <s v="P4"/>
    <n v="0"/>
    <m/>
  </r>
  <r>
    <n v="48.733333333333334"/>
    <d v="2012-12-31T00:00:00"/>
    <x v="3"/>
    <s v="DRC"/>
    <s v="Kachin"/>
    <s v="Hpakant"/>
    <s v="Mashi Kahtawng Baptist  Church"/>
    <n v="57"/>
    <m/>
    <m/>
    <m/>
    <m/>
    <m/>
    <m/>
    <m/>
    <n v="0"/>
    <n v="0"/>
    <m/>
    <m/>
    <m/>
    <m/>
    <m/>
    <m/>
    <m/>
    <n v="0"/>
    <n v="0"/>
    <n v="0"/>
    <n v="0"/>
    <n v="0"/>
    <n v="0"/>
    <n v="0"/>
    <n v="0"/>
    <n v="0"/>
    <n v="0"/>
    <n v="0"/>
    <n v="0"/>
    <n v="0"/>
    <n v="0"/>
    <n v="0"/>
    <n v="0"/>
    <n v="0"/>
    <n v="0"/>
    <s v="MMR001CMP094"/>
    <x v="0"/>
    <x v="0"/>
    <s v=""/>
    <s v=""/>
    <s v="No"/>
  </r>
  <r>
    <n v="48.733333333333334"/>
    <d v="2012-12-31T00:00:00"/>
    <x v="3"/>
    <s v="DRC"/>
    <s v="Kachin"/>
    <s v="Hpakant"/>
    <s v="Mashi Kahtawng Catholic Church"/>
    <n v="2"/>
    <m/>
    <m/>
    <m/>
    <m/>
    <m/>
    <m/>
    <m/>
    <n v="0"/>
    <n v="0"/>
    <m/>
    <m/>
    <m/>
    <m/>
    <m/>
    <m/>
    <m/>
    <n v="0"/>
    <n v="0"/>
    <n v="0"/>
    <n v="0"/>
    <n v="0"/>
    <n v="0"/>
    <n v="0"/>
    <n v="0"/>
    <n v="0"/>
    <n v="0"/>
    <n v="0"/>
    <n v="0"/>
    <n v="0"/>
    <n v="0"/>
    <n v="0"/>
    <n v="0"/>
    <n v="0"/>
    <n v="0"/>
    <s v="MMR001CMP093"/>
    <x v="0"/>
    <x v="0"/>
    <s v=""/>
    <s v=""/>
    <s v="No"/>
  </r>
  <r>
    <n v="31.666666666666668"/>
    <d v="2014-05-27T00:00:00"/>
    <x v="0"/>
    <s v="Shalom"/>
    <s v="Kachin"/>
    <s v="Waingmaw"/>
    <s v="Qtr. 4 Monestry (Thargaya Thayett Taw)"/>
    <m/>
    <m/>
    <n v="3"/>
    <n v="3"/>
    <n v="6"/>
    <n v="3"/>
    <m/>
    <n v="3"/>
    <n v="15"/>
    <m/>
    <m/>
    <m/>
    <m/>
    <m/>
    <m/>
    <m/>
    <m/>
    <n v="0"/>
    <n v="0"/>
    <n v="0"/>
    <n v="0"/>
    <n v="0"/>
    <n v="0"/>
    <n v="0"/>
    <n v="0"/>
    <n v="0"/>
    <n v="0"/>
    <n v="0"/>
    <n v="0"/>
    <n v="0"/>
    <n v="0"/>
    <n v="0"/>
    <n v="0"/>
    <n v="0"/>
    <n v="0"/>
    <s v="MMR001CMP026"/>
    <x v="0"/>
    <x v="1"/>
    <s v="P4"/>
    <n v="0"/>
    <m/>
  </r>
  <r>
    <n v="31.733333333333334"/>
    <d v="2014-05-25T00:00:00"/>
    <x v="8"/>
    <s v="MRCS"/>
    <s v="Kachin"/>
    <s v="Waingmaw"/>
    <s v="Qtr. 4 Monestry (Thargaya Thayett Taw)"/>
    <m/>
    <m/>
    <m/>
    <m/>
    <m/>
    <m/>
    <m/>
    <m/>
    <m/>
    <m/>
    <m/>
    <m/>
    <m/>
    <n v="182"/>
    <m/>
    <m/>
    <m/>
    <n v="0"/>
    <n v="0"/>
    <n v="0"/>
    <n v="0"/>
    <n v="0"/>
    <n v="0"/>
    <n v="0"/>
    <n v="0"/>
    <n v="0"/>
    <n v="0"/>
    <n v="0"/>
    <n v="0"/>
    <n v="0"/>
    <n v="0"/>
    <n v="1"/>
    <n v="0"/>
    <n v="0"/>
    <n v="0"/>
    <s v="MMR001CMP026"/>
    <x v="0"/>
    <x v="1"/>
    <s v="P4"/>
    <n v="0"/>
    <m/>
  </r>
  <r>
    <n v="48.733333333333334"/>
    <d v="2012-12-31T00:00:00"/>
    <x v="3"/>
    <s v="DRC"/>
    <s v="Kachin"/>
    <s v="Hpakant"/>
    <s v="Maw Si Zar, Thiriyardanar Sein, Damma Compound, Lone Khin"/>
    <n v="3"/>
    <m/>
    <m/>
    <m/>
    <m/>
    <m/>
    <m/>
    <m/>
    <n v="0"/>
    <n v="0"/>
    <m/>
    <m/>
    <m/>
    <m/>
    <m/>
    <m/>
    <m/>
    <n v="0"/>
    <n v="0"/>
    <n v="0"/>
    <n v="0"/>
    <n v="0"/>
    <n v="0"/>
    <n v="0"/>
    <n v="0"/>
    <n v="0"/>
    <n v="0"/>
    <n v="0"/>
    <n v="0"/>
    <n v="0"/>
    <n v="0"/>
    <n v="0"/>
    <n v="0"/>
    <n v="0"/>
    <n v="0"/>
    <s v="MMR001CMP106"/>
    <x v="0"/>
    <x v="0"/>
    <s v=""/>
    <s v=""/>
    <s v="No"/>
  </r>
  <r>
    <n v="48.733333333333334"/>
    <d v="2012-12-31T00:00:00"/>
    <x v="3"/>
    <s v="DRC"/>
    <s v="Kachin"/>
    <s v="Hpakant"/>
    <s v="Maw Wan, Kachin Baptist Church"/>
    <n v="10"/>
    <m/>
    <m/>
    <m/>
    <m/>
    <m/>
    <m/>
    <m/>
    <n v="0"/>
    <n v="0"/>
    <m/>
    <m/>
    <m/>
    <m/>
    <m/>
    <m/>
    <m/>
    <n v="0"/>
    <n v="0"/>
    <n v="0"/>
    <n v="0"/>
    <n v="0"/>
    <n v="0"/>
    <n v="0"/>
    <n v="0"/>
    <n v="0"/>
    <n v="0"/>
    <n v="0"/>
    <n v="0"/>
    <n v="0"/>
    <n v="0"/>
    <n v="0"/>
    <n v="0"/>
    <n v="0"/>
    <n v="0"/>
    <s v="MMR001CMP085"/>
    <x v="0"/>
    <x v="0"/>
    <s v=""/>
    <s v=""/>
    <s v="No"/>
  </r>
  <r>
    <n v="36.93333333333333"/>
    <d v="2013-12-20T00:00:00"/>
    <x v="4"/>
    <s v="KBC"/>
    <s v="Kachin"/>
    <s v="Waingmaw"/>
    <s v="Qtr. 4 Monestry (Thargaya Thayett Taw)"/>
    <m/>
    <m/>
    <m/>
    <m/>
    <m/>
    <m/>
    <m/>
    <m/>
    <m/>
    <m/>
    <n v="102"/>
    <n v="188"/>
    <n v="580"/>
    <n v="290"/>
    <m/>
    <m/>
    <m/>
    <n v="0"/>
    <n v="0"/>
    <n v="0"/>
    <n v="0"/>
    <n v="0"/>
    <n v="0"/>
    <n v="0"/>
    <n v="0"/>
    <n v="0"/>
    <n v="0"/>
    <n v="0"/>
    <n v="0"/>
    <n v="0"/>
    <n v="0"/>
    <n v="1"/>
    <n v="0"/>
    <n v="0"/>
    <n v="0"/>
    <s v="MMR001CMP026"/>
    <x v="0"/>
    <x v="1"/>
    <s v="P4"/>
    <n v="0"/>
    <m/>
  </r>
  <r>
    <n v="48.733333333333334"/>
    <d v="2012-12-31T00:00:00"/>
    <x v="3"/>
    <s v="DRC"/>
    <s v="Kachin"/>
    <s v="Hpakant"/>
    <s v="May Di Ka Rama Monastery(Lon Khin)"/>
    <n v="5"/>
    <m/>
    <m/>
    <m/>
    <m/>
    <m/>
    <m/>
    <m/>
    <n v="0"/>
    <n v="0"/>
    <m/>
    <m/>
    <m/>
    <m/>
    <m/>
    <m/>
    <m/>
    <n v="0"/>
    <n v="0"/>
    <n v="0"/>
    <n v="0"/>
    <n v="0"/>
    <n v="0"/>
    <n v="0"/>
    <n v="0"/>
    <n v="0"/>
    <n v="0"/>
    <n v="0"/>
    <n v="0"/>
    <n v="0"/>
    <n v="0"/>
    <n v="0"/>
    <n v="0"/>
    <n v="0"/>
    <n v="0"/>
    <s v="MMR001CMP178"/>
    <x v="0"/>
    <x v="0"/>
    <s v=""/>
    <s v=""/>
    <s v="No"/>
  </r>
  <r>
    <n v="48.733333333333334"/>
    <d v="2012-12-31T00:00:00"/>
    <x v="3"/>
    <s v="DRC"/>
    <s v="Kachin"/>
    <s v="Hpakant"/>
    <s v="Muring Baptist Church, Awng Ra, Wa Ra Zut VT"/>
    <n v="1"/>
    <m/>
    <m/>
    <m/>
    <m/>
    <m/>
    <m/>
    <m/>
    <n v="0"/>
    <n v="0"/>
    <m/>
    <m/>
    <m/>
    <m/>
    <m/>
    <m/>
    <m/>
    <n v="0"/>
    <n v="0"/>
    <n v="0"/>
    <n v="0"/>
    <n v="0"/>
    <n v="0"/>
    <n v="0"/>
    <n v="0"/>
    <n v="0"/>
    <n v="0"/>
    <n v="0"/>
    <n v="0"/>
    <n v="0"/>
    <n v="0"/>
    <n v="0"/>
    <n v="0"/>
    <n v="0"/>
    <n v="0"/>
    <s v="MMR001CMP177"/>
    <x v="0"/>
    <x v="0"/>
    <s v=""/>
    <n v="0"/>
    <s v="No"/>
  </r>
  <r>
    <n v="48.733333333333334"/>
    <d v="2012-12-31T00:00:00"/>
    <x v="3"/>
    <s v="DRC"/>
    <s v="Kachin"/>
    <s v="Myitkyina"/>
    <s v="Myay Myint Baptist Church"/>
    <n v="12"/>
    <m/>
    <m/>
    <m/>
    <m/>
    <m/>
    <m/>
    <m/>
    <n v="0"/>
    <n v="0"/>
    <m/>
    <m/>
    <m/>
    <m/>
    <m/>
    <m/>
    <m/>
    <n v="0"/>
    <n v="0"/>
    <n v="0"/>
    <n v="0"/>
    <n v="0"/>
    <n v="0"/>
    <n v="0"/>
    <n v="0"/>
    <n v="0"/>
    <n v="0"/>
    <n v="0"/>
    <n v="0"/>
    <n v="0"/>
    <n v="0"/>
    <n v="0"/>
    <n v="0"/>
    <n v="0"/>
    <n v="0"/>
    <s v="MMR001CMP017"/>
    <x v="0"/>
    <x v="0"/>
    <s v="P4"/>
    <n v="0"/>
    <s v="No"/>
  </r>
  <r>
    <n v="37.6"/>
    <d v="2013-11-30T00:00:00"/>
    <x v="4"/>
    <s v="KBC"/>
    <s v="Kachin"/>
    <s v="Waingmaw"/>
    <s v="Qtr. 4 Monestry (Thargaya Thayett Taw)"/>
    <m/>
    <m/>
    <m/>
    <m/>
    <m/>
    <m/>
    <m/>
    <m/>
    <m/>
    <m/>
    <m/>
    <m/>
    <m/>
    <m/>
    <m/>
    <m/>
    <m/>
    <n v="0"/>
    <n v="0"/>
    <n v="0"/>
    <n v="0"/>
    <n v="0"/>
    <n v="0"/>
    <n v="0"/>
    <n v="0"/>
    <n v="0"/>
    <n v="0"/>
    <n v="0"/>
    <n v="0"/>
    <n v="0"/>
    <n v="0"/>
    <n v="0"/>
    <n v="0"/>
    <n v="0"/>
    <n v="0"/>
    <s v="MMR001CMP026"/>
    <x v="0"/>
    <x v="1"/>
    <s v="P4"/>
    <n v="0"/>
    <s v="No"/>
  </r>
  <r>
    <n v="41.9"/>
    <d v="2013-07-24T00:00:00"/>
    <x v="0"/>
    <s v="Shalom"/>
    <s v="Kachin"/>
    <s v="Waingmaw"/>
    <s v="Qtr. 4 Monestry (Thargaya Thayett Taw)"/>
    <m/>
    <m/>
    <n v="41"/>
    <n v="73"/>
    <n v="31"/>
    <n v="73"/>
    <n v="31"/>
    <n v="31"/>
    <n v="31"/>
    <n v="31"/>
    <m/>
    <m/>
    <m/>
    <m/>
    <m/>
    <m/>
    <m/>
    <n v="0"/>
    <n v="0"/>
    <n v="0"/>
    <n v="0"/>
    <n v="0"/>
    <n v="0"/>
    <n v="0"/>
    <n v="0"/>
    <n v="0"/>
    <n v="0"/>
    <n v="0"/>
    <n v="0"/>
    <n v="0"/>
    <n v="0"/>
    <n v="0"/>
    <n v="0"/>
    <n v="0"/>
    <n v="0"/>
    <s v="MMR001CMP026"/>
    <x v="0"/>
    <x v="1"/>
    <s v="P4"/>
    <n v="7.572056668295066E-4"/>
    <s v="No"/>
  </r>
  <r>
    <n v="48.733333333333334"/>
    <d v="2012-12-31T00:00:00"/>
    <x v="3"/>
    <s v="DRC"/>
    <s v="Kachin"/>
    <s v="Hpakant"/>
    <s v="Nga Pyaw Taw Roman Catholic Church"/>
    <n v="3"/>
    <m/>
    <m/>
    <m/>
    <m/>
    <m/>
    <m/>
    <m/>
    <n v="0"/>
    <n v="0"/>
    <m/>
    <m/>
    <m/>
    <m/>
    <m/>
    <m/>
    <m/>
    <n v="0"/>
    <n v="0"/>
    <n v="0"/>
    <n v="0"/>
    <n v="0"/>
    <n v="0"/>
    <n v="0"/>
    <n v="0"/>
    <n v="0"/>
    <n v="0"/>
    <n v="0"/>
    <n v="0"/>
    <n v="0"/>
    <n v="0"/>
    <n v="0"/>
    <n v="0"/>
    <n v="0"/>
    <n v="0"/>
    <s v="MMR001CMP083"/>
    <x v="0"/>
    <x v="0"/>
    <s v=""/>
    <s v=""/>
    <s v="No"/>
  </r>
  <r>
    <n v="47.533333333333331"/>
    <d v="2013-02-05T00:00:00"/>
    <x v="2"/>
    <s v="MRCS"/>
    <s v="Kachin"/>
    <s v="Waingmaw"/>
    <s v="Qtr. 4 Monestry (Thargaya Thayett Taw)"/>
    <n v="20"/>
    <m/>
    <m/>
    <m/>
    <m/>
    <m/>
    <m/>
    <m/>
    <n v="0"/>
    <n v="0"/>
    <m/>
    <m/>
    <m/>
    <m/>
    <m/>
    <m/>
    <m/>
    <n v="0"/>
    <n v="0"/>
    <n v="0"/>
    <n v="0"/>
    <n v="0"/>
    <n v="0"/>
    <n v="0"/>
    <n v="0"/>
    <n v="0"/>
    <n v="0"/>
    <n v="0"/>
    <n v="0"/>
    <n v="0"/>
    <n v="0"/>
    <n v="0"/>
    <n v="0"/>
    <n v="0"/>
    <n v="0"/>
    <s v="MMR001CMP026"/>
    <x v="0"/>
    <x v="1"/>
    <s v="P4"/>
    <n v="0"/>
    <s v="No"/>
  </r>
  <r>
    <n v="47.7"/>
    <d v="2013-01-31T00:00:00"/>
    <x v="9"/>
    <s v="World Vision"/>
    <s v="Kachin"/>
    <s v="Waingmaw"/>
    <s v="Qtr. 4 Monestry (Thargaya Thayett Taw)"/>
    <m/>
    <m/>
    <m/>
    <m/>
    <m/>
    <n v="188"/>
    <m/>
    <m/>
    <n v="0"/>
    <n v="0"/>
    <m/>
    <m/>
    <m/>
    <m/>
    <m/>
    <m/>
    <m/>
    <n v="0"/>
    <n v="0"/>
    <n v="0"/>
    <n v="0"/>
    <n v="0"/>
    <n v="0"/>
    <n v="0"/>
    <n v="0"/>
    <n v="0"/>
    <n v="0"/>
    <n v="0"/>
    <n v="0"/>
    <n v="0"/>
    <n v="0"/>
    <n v="0"/>
    <n v="0"/>
    <n v="0"/>
    <n v="0"/>
    <s v="MMR001CMP026"/>
    <x v="0"/>
    <x v="1"/>
    <s v="P4"/>
    <n v="0"/>
    <s v="No"/>
  </r>
  <r>
    <n v="48.733333333333334"/>
    <d v="2012-12-31T00:00:00"/>
    <x v="3"/>
    <s v="DRC"/>
    <s v="Kachin"/>
    <s v="Waingmaw"/>
    <s v="Qtr. 4 Monestry (Thargaya Thayett Taw)"/>
    <n v="96"/>
    <m/>
    <m/>
    <m/>
    <m/>
    <m/>
    <m/>
    <m/>
    <n v="0"/>
    <n v="0"/>
    <m/>
    <m/>
    <m/>
    <m/>
    <m/>
    <m/>
    <m/>
    <n v="0"/>
    <n v="0"/>
    <n v="0"/>
    <n v="0"/>
    <n v="0"/>
    <n v="0"/>
    <n v="0"/>
    <n v="0"/>
    <n v="0"/>
    <n v="0"/>
    <n v="0"/>
    <n v="0"/>
    <n v="0"/>
    <n v="0"/>
    <n v="0"/>
    <n v="0"/>
    <n v="0"/>
    <n v="0"/>
    <s v="MMR001CMP026"/>
    <x v="0"/>
    <x v="1"/>
    <s v="P4"/>
    <n v="0"/>
    <s v="No"/>
  </r>
  <r>
    <n v="54.43333333333333"/>
    <d v="2012-07-13T00:00:00"/>
    <x v="0"/>
    <s v="UNHCR"/>
    <s v="Kachin"/>
    <s v="Waingmaw"/>
    <s v="Qtr. 4 Monestry (Thargaya Thayett Taw)"/>
    <m/>
    <m/>
    <m/>
    <n v="3"/>
    <n v="3"/>
    <n v="3"/>
    <n v="3"/>
    <n v="3"/>
    <n v="3"/>
    <n v="3"/>
    <m/>
    <m/>
    <m/>
    <m/>
    <m/>
    <m/>
    <m/>
    <n v="0"/>
    <n v="0"/>
    <n v="0"/>
    <n v="0"/>
    <n v="0"/>
    <n v="0"/>
    <n v="0"/>
    <n v="0"/>
    <n v="0"/>
    <n v="0"/>
    <n v="0"/>
    <n v="0"/>
    <n v="0"/>
    <n v="0"/>
    <n v="0"/>
    <n v="0"/>
    <n v="0"/>
    <n v="0"/>
    <s v="MMR001CMP026"/>
    <x v="0"/>
    <x v="1"/>
    <s v="P4"/>
    <n v="7.3277967757694182E-5"/>
    <s v="No"/>
  </r>
  <r>
    <n v="56.8"/>
    <d v="2012-05-03T00:00:00"/>
    <x v="0"/>
    <s v="UNHCR"/>
    <s v="Kachin"/>
    <s v="Waingmaw"/>
    <s v="Qtr. 4 Monestry (Thargaya Thayett Taw)"/>
    <m/>
    <m/>
    <m/>
    <n v="34"/>
    <n v="0"/>
    <n v="34"/>
    <n v="0"/>
    <n v="18"/>
    <n v="18"/>
    <n v="18"/>
    <m/>
    <m/>
    <m/>
    <m/>
    <m/>
    <m/>
    <m/>
    <n v="0"/>
    <n v="0"/>
    <n v="0"/>
    <n v="0"/>
    <n v="0"/>
    <n v="0"/>
    <n v="0"/>
    <n v="0"/>
    <n v="0"/>
    <n v="0"/>
    <n v="0"/>
    <n v="0"/>
    <n v="0"/>
    <n v="0"/>
    <n v="0"/>
    <n v="0"/>
    <n v="0"/>
    <n v="0"/>
    <s v="MMR001CMP026"/>
    <x v="0"/>
    <x v="1"/>
    <s v="P4"/>
    <n v="0"/>
    <s v="No"/>
  </r>
  <r>
    <n v="56.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1"/>
    <s v="P4"/>
    <n v="0"/>
    <s v="No"/>
  </r>
  <r>
    <n v="59.7"/>
    <d v="2012-02-06T00:00:00"/>
    <x v="0"/>
    <s v="UNHCR"/>
    <s v="Kachin"/>
    <s v="Waingmaw"/>
    <s v="Qtr. 4 Monestry (Thargaya Thayett Taw)"/>
    <m/>
    <m/>
    <m/>
    <n v="0"/>
    <n v="0"/>
    <n v="0"/>
    <n v="0"/>
    <n v="13"/>
    <n v="13"/>
    <n v="13"/>
    <m/>
    <m/>
    <m/>
    <m/>
    <m/>
    <m/>
    <m/>
    <n v="0"/>
    <n v="0"/>
    <n v="0"/>
    <n v="0"/>
    <n v="0"/>
    <n v="0"/>
    <n v="0"/>
    <n v="0"/>
    <n v="0"/>
    <n v="0"/>
    <n v="0"/>
    <n v="0"/>
    <n v="0"/>
    <n v="0"/>
    <n v="0"/>
    <n v="0"/>
    <n v="0"/>
    <n v="0"/>
    <s v="MMR001CMP026"/>
    <x v="0"/>
    <x v="1"/>
    <s v="P4"/>
    <n v="0"/>
    <s v="No"/>
  </r>
  <r>
    <n v="59.9"/>
    <d v="2012-01-31T00:00:00"/>
    <x v="0"/>
    <s v="UNHCR"/>
    <s v="Kachin"/>
    <s v="Waingmaw"/>
    <s v="Qtr. 4 Monestry (Thargaya Thayett Taw)"/>
    <m/>
    <m/>
    <m/>
    <n v="0"/>
    <n v="0"/>
    <n v="0"/>
    <n v="0"/>
    <n v="61"/>
    <n v="61"/>
    <n v="61"/>
    <m/>
    <m/>
    <m/>
    <m/>
    <m/>
    <m/>
    <m/>
    <n v="0"/>
    <n v="0"/>
    <n v="0"/>
    <n v="0"/>
    <n v="0"/>
    <n v="0"/>
    <n v="0"/>
    <n v="0"/>
    <n v="0"/>
    <n v="0"/>
    <n v="0"/>
    <n v="0"/>
    <n v="0"/>
    <n v="0"/>
    <n v="0"/>
    <n v="0"/>
    <n v="0"/>
    <n v="0"/>
    <s v="MMR001CMP026"/>
    <x v="0"/>
    <x v="1"/>
    <s v="P4"/>
    <n v="0"/>
    <s v="No"/>
  </r>
  <r>
    <n v="48.733333333333334"/>
    <d v="2012-12-31T00:00:00"/>
    <x v="3"/>
    <s v="DRC"/>
    <s v="Kachin"/>
    <s v="Hpakant"/>
    <s v="Wrad(5) Christian Association"/>
    <n v="3"/>
    <m/>
    <m/>
    <m/>
    <m/>
    <m/>
    <m/>
    <m/>
    <n v="0"/>
    <n v="0"/>
    <m/>
    <m/>
    <m/>
    <m/>
    <m/>
    <m/>
    <m/>
    <n v="0"/>
    <n v="0"/>
    <n v="0"/>
    <n v="0"/>
    <n v="0"/>
    <n v="0"/>
    <n v="0"/>
    <n v="0"/>
    <n v="0"/>
    <n v="0"/>
    <n v="0"/>
    <n v="0"/>
    <n v="0"/>
    <n v="0"/>
    <n v="0"/>
    <n v="0"/>
    <n v="0"/>
    <n v="0"/>
    <s v="MMR001CMP175"/>
    <x v="0"/>
    <x v="0"/>
    <s v=""/>
    <s v=""/>
    <s v="No"/>
  </r>
  <r>
    <n v="23.966666666666665"/>
    <d v="2015-01-13T00:00:00"/>
    <x v="1"/>
    <s v="MRCS"/>
    <s v="Kachin"/>
    <s v="Hpakant"/>
    <s v="Rawan Baptist Church, Maw Shan Vil., Seik Mu"/>
    <m/>
    <m/>
    <m/>
    <m/>
    <m/>
    <m/>
    <m/>
    <m/>
    <m/>
    <m/>
    <n v="26"/>
    <n v="14"/>
    <m/>
    <m/>
    <m/>
    <m/>
    <m/>
    <n v="0"/>
    <n v="0"/>
    <n v="0"/>
    <n v="0"/>
    <n v="0"/>
    <n v="0"/>
    <n v="0"/>
    <n v="0"/>
    <n v="0"/>
    <n v="0"/>
    <n v="0"/>
    <n v="0"/>
    <n v="0"/>
    <n v="0"/>
    <n v="1"/>
    <n v="0"/>
    <n v="0"/>
    <n v="0"/>
    <s v="MMR001CMP182"/>
    <x v="0"/>
    <x v="1"/>
    <s v="P4"/>
    <n v="0"/>
    <m/>
  </r>
  <r>
    <n v="26.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1"/>
    <s v="P4"/>
    <n v="2.9073288915808601E-4"/>
    <m/>
  </r>
  <r>
    <n v="27.433333333333334"/>
    <d v="2014-10-01T00:00:00"/>
    <x v="0"/>
    <s v="Shalom"/>
    <s v="Kachin"/>
    <s v="Hpakant"/>
    <s v="Rawan Baptist Church, Maw Shan Vil., Seik Mu"/>
    <m/>
    <m/>
    <m/>
    <n v="24"/>
    <m/>
    <m/>
    <m/>
    <m/>
    <m/>
    <m/>
    <m/>
    <m/>
    <m/>
    <m/>
    <m/>
    <m/>
    <m/>
    <n v="0"/>
    <n v="0"/>
    <n v="0"/>
    <n v="0"/>
    <n v="0"/>
    <n v="0"/>
    <n v="0"/>
    <n v="0"/>
    <n v="0"/>
    <n v="0"/>
    <n v="0"/>
    <n v="0"/>
    <n v="0"/>
    <n v="0"/>
    <n v="0"/>
    <n v="0"/>
    <n v="0"/>
    <n v="0"/>
    <s v="MMR001CMP182"/>
    <x v="0"/>
    <x v="1"/>
    <s v="P4"/>
    <n v="0"/>
    <m/>
  </r>
  <r>
    <n v="46.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1"/>
    <s v="P4"/>
    <n v="1.9382192610539067E-4"/>
    <s v="No"/>
  </r>
  <r>
    <n v="1.0666666666666667"/>
    <d v="2016-11-30T00:00:00"/>
    <x v="4"/>
    <s v="Solidarities"/>
    <s v="Kachin"/>
    <s v="Bhamo"/>
    <s v="Robert Church"/>
    <m/>
    <m/>
    <m/>
    <m/>
    <m/>
    <m/>
    <m/>
    <m/>
    <m/>
    <m/>
    <m/>
    <m/>
    <m/>
    <m/>
    <n v="5"/>
    <m/>
    <m/>
    <n v="0"/>
    <n v="0"/>
    <n v="0"/>
    <n v="0"/>
    <n v="0"/>
    <n v="0"/>
    <n v="0"/>
    <n v="0"/>
    <n v="0"/>
    <n v="0"/>
    <n v="0"/>
    <n v="0"/>
    <n v="0"/>
    <n v="0"/>
    <n v="0"/>
    <n v="5"/>
    <n v="0"/>
    <n v="0"/>
    <s v="MMR001CMP047"/>
    <x v="0"/>
    <x v="1"/>
    <s v="P4"/>
    <n v="0"/>
    <m/>
  </r>
  <r>
    <n v="4.0999999999999996"/>
    <d v="2016-08-31T00:00:00"/>
    <x v="4"/>
    <s v="Solidarities"/>
    <s v="Kachin"/>
    <s v="Bhamo"/>
    <s v="Robert Church"/>
    <m/>
    <m/>
    <m/>
    <m/>
    <m/>
    <m/>
    <m/>
    <m/>
    <m/>
    <m/>
    <m/>
    <m/>
    <m/>
    <m/>
    <n v="1"/>
    <m/>
    <m/>
    <n v="0"/>
    <n v="0"/>
    <n v="0"/>
    <n v="0"/>
    <n v="0"/>
    <n v="0"/>
    <n v="0"/>
    <n v="0"/>
    <n v="0"/>
    <n v="0"/>
    <n v="0"/>
    <n v="0"/>
    <n v="0"/>
    <n v="0"/>
    <n v="0"/>
    <n v="1"/>
    <n v="0"/>
    <n v="0"/>
    <s v="MMR001CMP047"/>
    <x v="0"/>
    <x v="1"/>
    <s v="P4"/>
    <n v="0"/>
    <m/>
  </r>
  <r>
    <n v="8.2333333333333325"/>
    <d v="2016-04-29T00:00:00"/>
    <x v="4"/>
    <s v="Solidarities"/>
    <s v="Kachin"/>
    <s v="Bhamo"/>
    <s v="Robert Church"/>
    <m/>
    <m/>
    <m/>
    <m/>
    <m/>
    <m/>
    <m/>
    <m/>
    <m/>
    <m/>
    <m/>
    <m/>
    <m/>
    <m/>
    <m/>
    <n v="152"/>
    <m/>
    <n v="0"/>
    <n v="0"/>
    <n v="0"/>
    <n v="0"/>
    <n v="0"/>
    <n v="0"/>
    <n v="0"/>
    <n v="0"/>
    <n v="0"/>
    <n v="0"/>
    <n v="0"/>
    <n v="0"/>
    <n v="0"/>
    <n v="0"/>
    <n v="0"/>
    <n v="0"/>
    <n v="152"/>
    <n v="0"/>
    <s v="MMR001CMP047"/>
    <x v="0"/>
    <x v="1"/>
    <s v="P4"/>
    <n v="0"/>
    <m/>
  </r>
  <r>
    <n v="9.6666666666666661"/>
    <d v="2016-03-17T00:00:00"/>
    <x v="4"/>
    <s v="Solidarities"/>
    <s v="Kachin"/>
    <s v="Bhamo"/>
    <s v="Robert Church"/>
    <m/>
    <m/>
    <m/>
    <m/>
    <m/>
    <m/>
    <m/>
    <m/>
    <m/>
    <m/>
    <m/>
    <m/>
    <m/>
    <m/>
    <n v="1"/>
    <m/>
    <m/>
    <n v="0"/>
    <n v="0"/>
    <n v="0"/>
    <n v="0"/>
    <n v="0"/>
    <n v="0"/>
    <n v="0"/>
    <n v="0"/>
    <n v="0"/>
    <n v="0"/>
    <n v="0"/>
    <n v="0"/>
    <n v="0"/>
    <n v="0"/>
    <n v="0"/>
    <n v="1"/>
    <n v="0"/>
    <n v="0"/>
    <s v="MMR001CMP047"/>
    <x v="0"/>
    <x v="1"/>
    <s v="P4"/>
    <n v="0"/>
    <m/>
  </r>
  <r>
    <n v="10.366666666666667"/>
    <d v="2016-02-25T00:00:00"/>
    <x v="4"/>
    <s v="Solidarities"/>
    <s v="Kachin"/>
    <s v="Bhamo"/>
    <s v="Robert Church"/>
    <m/>
    <m/>
    <m/>
    <m/>
    <m/>
    <m/>
    <m/>
    <m/>
    <m/>
    <m/>
    <m/>
    <m/>
    <m/>
    <m/>
    <m/>
    <m/>
    <m/>
    <n v="0"/>
    <n v="0"/>
    <n v="0"/>
    <n v="0"/>
    <n v="0"/>
    <n v="0"/>
    <n v="0"/>
    <n v="0"/>
    <n v="0"/>
    <n v="0"/>
    <n v="0"/>
    <n v="0"/>
    <n v="0"/>
    <n v="0"/>
    <n v="0"/>
    <n v="0"/>
    <n v="0"/>
    <n v="0"/>
    <s v="MMR001CMP047"/>
    <x v="0"/>
    <x v="1"/>
    <s v="P4"/>
    <n v="0"/>
    <m/>
  </r>
  <r>
    <n v="10.933333333333334"/>
    <d v="2016-02-08T00:00:00"/>
    <x v="4"/>
    <s v="Solidarities"/>
    <s v="Kachin"/>
    <s v="Bhamo"/>
    <s v="Robert Church"/>
    <m/>
    <m/>
    <n v="996"/>
    <m/>
    <m/>
    <m/>
    <m/>
    <m/>
    <m/>
    <m/>
    <m/>
    <m/>
    <m/>
    <m/>
    <m/>
    <m/>
    <m/>
    <n v="0"/>
    <n v="0"/>
    <n v="996"/>
    <n v="0"/>
    <n v="0"/>
    <n v="0"/>
    <n v="0"/>
    <n v="0"/>
    <n v="0"/>
    <n v="0"/>
    <n v="0"/>
    <n v="0"/>
    <n v="0"/>
    <n v="0"/>
    <n v="0"/>
    <n v="0"/>
    <n v="0"/>
    <n v="0"/>
    <s v="MMR001CMP047"/>
    <x v="0"/>
    <x v="1"/>
    <s v="P4"/>
    <n v="0"/>
    <m/>
  </r>
  <r>
    <n v="11.366666666666667"/>
    <d v="2016-01-26T00:00:00"/>
    <x v="4"/>
    <s v="Solidarities"/>
    <s v="Kachin"/>
    <s v="Bhamo"/>
    <s v="Robert Church"/>
    <m/>
    <m/>
    <m/>
    <m/>
    <m/>
    <m/>
    <m/>
    <m/>
    <m/>
    <m/>
    <m/>
    <m/>
    <m/>
    <m/>
    <n v="5"/>
    <m/>
    <m/>
    <n v="0"/>
    <n v="0"/>
    <n v="0"/>
    <n v="0"/>
    <n v="0"/>
    <n v="0"/>
    <n v="0"/>
    <n v="0"/>
    <n v="0"/>
    <n v="0"/>
    <n v="0"/>
    <n v="0"/>
    <n v="0"/>
    <n v="0"/>
    <n v="0"/>
    <n v="5"/>
    <n v="0"/>
    <n v="0"/>
    <s v="MMR001CMP047"/>
    <x v="0"/>
    <x v="1"/>
    <s v="P4"/>
    <n v="0"/>
    <m/>
  </r>
  <r>
    <n v="12.7"/>
    <d v="2015-12-17T00:00:00"/>
    <x v="4"/>
    <s v="Solidarities"/>
    <s v="Kachin"/>
    <s v="Bhamo"/>
    <s v="Robert Church"/>
    <m/>
    <m/>
    <m/>
    <m/>
    <m/>
    <m/>
    <m/>
    <m/>
    <m/>
    <m/>
    <m/>
    <m/>
    <m/>
    <m/>
    <m/>
    <n v="76"/>
    <m/>
    <n v="0"/>
    <n v="0"/>
    <n v="0"/>
    <n v="0"/>
    <n v="0"/>
    <n v="0"/>
    <n v="0"/>
    <n v="0"/>
    <n v="0"/>
    <n v="0"/>
    <n v="0"/>
    <n v="0"/>
    <n v="0"/>
    <n v="0"/>
    <n v="0"/>
    <n v="0"/>
    <n v="0"/>
    <n v="0"/>
    <s v="MMR001CMP047"/>
    <x v="0"/>
    <x v="1"/>
    <s v="P4"/>
    <n v="0"/>
    <m/>
  </r>
  <r>
    <n v="12.8"/>
    <d v="2015-12-14T00:00:00"/>
    <x v="4"/>
    <s v="Solidarities"/>
    <s v="Kachin"/>
    <s v="Bhamo"/>
    <s v="Robert Church"/>
    <m/>
    <m/>
    <m/>
    <m/>
    <m/>
    <m/>
    <m/>
    <m/>
    <m/>
    <m/>
    <m/>
    <m/>
    <m/>
    <m/>
    <n v="2"/>
    <m/>
    <m/>
    <n v="0"/>
    <n v="0"/>
    <n v="0"/>
    <n v="0"/>
    <n v="0"/>
    <n v="0"/>
    <n v="0"/>
    <n v="0"/>
    <n v="0"/>
    <n v="0"/>
    <n v="0"/>
    <n v="0"/>
    <n v="0"/>
    <n v="0"/>
    <n v="0"/>
    <n v="0"/>
    <n v="0"/>
    <n v="0"/>
    <s v="MMR001CMP047"/>
    <x v="0"/>
    <x v="1"/>
    <s v="P4"/>
    <n v="0"/>
    <m/>
  </r>
  <r>
    <n v="19.3"/>
    <d v="2015-06-02T00:00:00"/>
    <x v="4"/>
    <s v="Solidarities"/>
    <s v="Kachin"/>
    <s v="Bhamo"/>
    <s v="Robert Church"/>
    <m/>
    <m/>
    <n v="1048"/>
    <m/>
    <m/>
    <m/>
    <m/>
    <m/>
    <m/>
    <m/>
    <m/>
    <m/>
    <m/>
    <m/>
    <m/>
    <m/>
    <m/>
    <n v="0"/>
    <n v="0"/>
    <n v="0"/>
    <n v="0"/>
    <n v="0"/>
    <n v="0"/>
    <n v="0"/>
    <n v="0"/>
    <n v="0"/>
    <n v="0"/>
    <n v="0"/>
    <n v="0"/>
    <n v="0"/>
    <n v="0"/>
    <n v="0"/>
    <n v="0"/>
    <n v="0"/>
    <n v="0"/>
    <s v="MMR001CMP047"/>
    <x v="0"/>
    <x v="1"/>
    <s v="P4"/>
    <n v="0"/>
    <m/>
  </r>
  <r>
    <n v="19.399999999999999"/>
    <d v="2015-05-30T00:00:00"/>
    <x v="4"/>
    <s v="Solidarities"/>
    <s v="Kachin"/>
    <s v="Bhamo"/>
    <s v="Robert Church"/>
    <m/>
    <m/>
    <m/>
    <m/>
    <m/>
    <m/>
    <m/>
    <m/>
    <m/>
    <m/>
    <m/>
    <m/>
    <m/>
    <m/>
    <n v="3"/>
    <m/>
    <m/>
    <n v="0"/>
    <n v="0"/>
    <n v="0"/>
    <n v="0"/>
    <n v="0"/>
    <n v="0"/>
    <n v="0"/>
    <n v="0"/>
    <n v="0"/>
    <n v="0"/>
    <n v="0"/>
    <n v="0"/>
    <n v="0"/>
    <n v="0"/>
    <n v="0"/>
    <n v="0"/>
    <n v="0"/>
    <n v="0"/>
    <s v="MMR001CMP047"/>
    <x v="0"/>
    <x v="1"/>
    <s v="P4"/>
    <n v="0"/>
    <m/>
  </r>
  <r>
    <n v="22.033333333333335"/>
    <d v="2015-03-12T00:00:00"/>
    <x v="4"/>
    <s v="Solidarities"/>
    <s v="Kachin"/>
    <s v="Bhamo"/>
    <s v="Robert Church"/>
    <m/>
    <m/>
    <m/>
    <m/>
    <m/>
    <m/>
    <m/>
    <m/>
    <m/>
    <m/>
    <m/>
    <m/>
    <m/>
    <m/>
    <m/>
    <n v="11"/>
    <m/>
    <n v="0"/>
    <n v="0"/>
    <n v="0"/>
    <n v="0"/>
    <n v="0"/>
    <n v="0"/>
    <n v="0"/>
    <n v="0"/>
    <n v="0"/>
    <n v="0"/>
    <n v="0"/>
    <n v="0"/>
    <n v="0"/>
    <n v="0"/>
    <n v="0"/>
    <n v="0"/>
    <n v="0"/>
    <n v="0"/>
    <s v="MMR001CMP047"/>
    <x v="0"/>
    <x v="1"/>
    <s v="P4"/>
    <n v="0"/>
    <m/>
  </r>
  <r>
    <n v="22.533333333333335"/>
    <d v="2015-02-25T00:00:00"/>
    <x v="4"/>
    <s v="Solidarities"/>
    <s v="Kachin"/>
    <s v="Bhamo"/>
    <s v="Robert Church"/>
    <m/>
    <m/>
    <m/>
    <m/>
    <m/>
    <m/>
    <m/>
    <m/>
    <m/>
    <m/>
    <m/>
    <m/>
    <m/>
    <m/>
    <m/>
    <n v="76"/>
    <m/>
    <n v="0"/>
    <n v="0"/>
    <n v="0"/>
    <n v="0"/>
    <n v="0"/>
    <n v="0"/>
    <n v="0"/>
    <n v="0"/>
    <n v="0"/>
    <n v="0"/>
    <n v="0"/>
    <n v="0"/>
    <n v="0"/>
    <n v="0"/>
    <n v="0"/>
    <n v="0"/>
    <n v="0"/>
    <n v="0"/>
    <s v="MMR001CMP047"/>
    <x v="0"/>
    <x v="1"/>
    <s v="P4"/>
    <n v="0"/>
    <m/>
  </r>
  <r>
    <n v="25.133333333333333"/>
    <d v="2014-12-09T00:00:00"/>
    <x v="4"/>
    <s v="Solidarities"/>
    <s v="Kachin"/>
    <s v="Bhamo"/>
    <s v="Robert Church"/>
    <m/>
    <m/>
    <n v="1135"/>
    <m/>
    <m/>
    <m/>
    <m/>
    <m/>
    <m/>
    <m/>
    <m/>
    <m/>
    <m/>
    <m/>
    <m/>
    <m/>
    <m/>
    <n v="0"/>
    <n v="0"/>
    <n v="0"/>
    <n v="0"/>
    <n v="0"/>
    <n v="0"/>
    <n v="0"/>
    <n v="0"/>
    <n v="0"/>
    <n v="0"/>
    <n v="0"/>
    <n v="0"/>
    <n v="0"/>
    <n v="0"/>
    <n v="0"/>
    <n v="0"/>
    <n v="0"/>
    <n v="0"/>
    <s v="MMR001CMP047"/>
    <x v="0"/>
    <x v="1"/>
    <s v="P4"/>
    <n v="0"/>
    <m/>
  </r>
  <r>
    <n v="49.5"/>
    <d v="2012-12-08T00:00:00"/>
    <x v="4"/>
    <s v="KBC"/>
    <s v="Kachin"/>
    <s v="Waingmaw"/>
    <s v="Laiza Market 3 - Laiza Gat"/>
    <n v="1690"/>
    <m/>
    <m/>
    <m/>
    <m/>
    <m/>
    <m/>
    <m/>
    <n v="0"/>
    <n v="0"/>
    <m/>
    <m/>
    <m/>
    <m/>
    <m/>
    <m/>
    <m/>
    <n v="0"/>
    <n v="0"/>
    <n v="0"/>
    <n v="0"/>
    <n v="0"/>
    <n v="0"/>
    <n v="0"/>
    <n v="0"/>
    <n v="0"/>
    <n v="0"/>
    <n v="0"/>
    <n v="0"/>
    <n v="0"/>
    <n v="0"/>
    <n v="0"/>
    <n v="0"/>
    <n v="0"/>
    <n v="0"/>
    <s v="MMR001CMP117"/>
    <x v="0"/>
    <x v="0"/>
    <s v="P2"/>
    <n v="0"/>
    <s v="No"/>
  </r>
  <r>
    <n v="36.333333333333336"/>
    <d v="2014-01-07T00:00:00"/>
    <x v="0"/>
    <s v="UNHCR"/>
    <s v="Kachin"/>
    <s v="Bhamo"/>
    <s v="Robert Church"/>
    <m/>
    <m/>
    <m/>
    <n v="44"/>
    <n v="30"/>
    <n v="44"/>
    <n v="20"/>
    <n v="20"/>
    <m/>
    <m/>
    <m/>
    <m/>
    <m/>
    <m/>
    <m/>
    <m/>
    <m/>
    <n v="0"/>
    <n v="0"/>
    <n v="0"/>
    <n v="0"/>
    <n v="0"/>
    <n v="0"/>
    <n v="0"/>
    <n v="0"/>
    <n v="0"/>
    <n v="0"/>
    <n v="0"/>
    <n v="0"/>
    <n v="0"/>
    <n v="0"/>
    <n v="0"/>
    <n v="0"/>
    <n v="0"/>
    <n v="0"/>
    <s v="MMR001CMP047"/>
    <x v="0"/>
    <x v="1"/>
    <s v="P4"/>
    <n v="4.9109883364027013E-4"/>
    <s v="No"/>
  </r>
  <r>
    <n v="37.466666666666669"/>
    <d v="2013-12-04T00:00:00"/>
    <x v="0"/>
    <s v="UNHCR"/>
    <s v="Kachin"/>
    <s v="Bhamo"/>
    <s v="Robert Church"/>
    <m/>
    <m/>
    <m/>
    <m/>
    <m/>
    <n v="120"/>
    <m/>
    <m/>
    <m/>
    <m/>
    <m/>
    <m/>
    <m/>
    <m/>
    <m/>
    <m/>
    <m/>
    <n v="0"/>
    <n v="0"/>
    <n v="0"/>
    <n v="0"/>
    <n v="0"/>
    <n v="0"/>
    <n v="0"/>
    <n v="0"/>
    <n v="0"/>
    <n v="0"/>
    <n v="0"/>
    <n v="0"/>
    <n v="0"/>
    <n v="0"/>
    <n v="0"/>
    <n v="0"/>
    <n v="0"/>
    <n v="0"/>
    <s v="MMR001CMP047"/>
    <x v="0"/>
    <x v="1"/>
    <s v="P4"/>
    <n v="0"/>
    <s v="No"/>
  </r>
  <r>
    <n v="37.466666666666669"/>
    <d v="2013-12-04T00:00:00"/>
    <x v="0"/>
    <s v="UNHCR"/>
    <s v="Kachin"/>
    <s v="Bhamo"/>
    <s v="Robert Church"/>
    <m/>
    <m/>
    <m/>
    <m/>
    <n v="5"/>
    <m/>
    <m/>
    <m/>
    <m/>
    <m/>
    <m/>
    <m/>
    <m/>
    <m/>
    <m/>
    <m/>
    <m/>
    <n v="0"/>
    <n v="0"/>
    <n v="0"/>
    <n v="0"/>
    <n v="0"/>
    <n v="0"/>
    <n v="0"/>
    <n v="0"/>
    <n v="0"/>
    <n v="0"/>
    <n v="0"/>
    <n v="0"/>
    <n v="0"/>
    <n v="0"/>
    <n v="0"/>
    <n v="0"/>
    <n v="0"/>
    <n v="0"/>
    <s v="MMR001CMP047"/>
    <x v="0"/>
    <x v="1"/>
    <s v="P4"/>
    <n v="0"/>
    <s v="No"/>
  </r>
  <r>
    <n v="37.56666666666667"/>
    <d v="2013-12-01T00:00:00"/>
    <x v="0"/>
    <s v="UNHCR"/>
    <s v="Kachin"/>
    <s v="Bhamo"/>
    <s v="Robert Church"/>
    <m/>
    <m/>
    <m/>
    <m/>
    <m/>
    <n v="30"/>
    <m/>
    <m/>
    <m/>
    <m/>
    <m/>
    <m/>
    <m/>
    <m/>
    <m/>
    <m/>
    <m/>
    <n v="0"/>
    <n v="0"/>
    <n v="0"/>
    <n v="0"/>
    <n v="0"/>
    <n v="0"/>
    <n v="0"/>
    <n v="0"/>
    <n v="0"/>
    <n v="0"/>
    <n v="0"/>
    <n v="0"/>
    <n v="0"/>
    <n v="0"/>
    <n v="0"/>
    <n v="0"/>
    <n v="0"/>
    <n v="0"/>
    <s v="MMR001CMP047"/>
    <x v="0"/>
    <x v="1"/>
    <s v="P4"/>
    <n v="0"/>
    <s v="No"/>
  </r>
  <r>
    <n v="37.6"/>
    <d v="2013-11-30T00:00:00"/>
    <x v="4"/>
    <m/>
    <s v="Kachin"/>
    <s v="Bhamo"/>
    <s v="Robert Church"/>
    <m/>
    <m/>
    <m/>
    <m/>
    <m/>
    <m/>
    <m/>
    <m/>
    <m/>
    <n v="1164"/>
    <m/>
    <m/>
    <m/>
    <m/>
    <m/>
    <m/>
    <m/>
    <n v="0"/>
    <n v="0"/>
    <n v="0"/>
    <n v="0"/>
    <n v="0"/>
    <n v="0"/>
    <n v="0"/>
    <n v="0"/>
    <n v="0"/>
    <n v="0"/>
    <n v="0"/>
    <n v="0"/>
    <n v="0"/>
    <n v="0"/>
    <n v="0"/>
    <n v="0"/>
    <n v="0"/>
    <n v="0"/>
    <s v="MMR001CMP047"/>
    <x v="0"/>
    <x v="1"/>
    <s v="P4"/>
    <n v="0"/>
    <s v="No"/>
  </r>
  <r>
    <n v="51.3"/>
    <d v="2012-10-15T00:00:00"/>
    <x v="4"/>
    <s v="LDO"/>
    <s v="Kachin"/>
    <s v="Shwegu"/>
    <s v="Thai Ra Yan"/>
    <n v="38"/>
    <m/>
    <m/>
    <m/>
    <m/>
    <m/>
    <m/>
    <m/>
    <m/>
    <m/>
    <m/>
    <m/>
    <m/>
    <m/>
    <m/>
    <m/>
    <m/>
    <n v="0"/>
    <n v="0"/>
    <n v="0"/>
    <n v="0"/>
    <n v="0"/>
    <n v="0"/>
    <n v="0"/>
    <n v="0"/>
    <n v="0"/>
    <n v="0"/>
    <n v="0"/>
    <n v="0"/>
    <n v="0"/>
    <n v="0"/>
    <n v="0"/>
    <n v="0"/>
    <n v="0"/>
    <n v="0"/>
    <s v=""/>
    <x v="2"/>
    <x v="2"/>
    <s v=""/>
    <s v=""/>
    <m/>
  </r>
  <r>
    <n v="37.6"/>
    <d v="2013-11-30T00:00:00"/>
    <x v="0"/>
    <s v="UNHCR"/>
    <s v="Kachin"/>
    <s v="Bhamo"/>
    <s v="Robert Church"/>
    <m/>
    <m/>
    <m/>
    <n v="75"/>
    <n v="36"/>
    <n v="75"/>
    <n v="36"/>
    <n v="36"/>
    <m/>
    <m/>
    <m/>
    <m/>
    <m/>
    <m/>
    <m/>
    <m/>
    <m/>
    <n v="0"/>
    <n v="0"/>
    <n v="0"/>
    <n v="0"/>
    <n v="0"/>
    <n v="0"/>
    <n v="0"/>
    <n v="0"/>
    <n v="0"/>
    <n v="0"/>
    <n v="0"/>
    <n v="0"/>
    <n v="0"/>
    <n v="0"/>
    <n v="0"/>
    <n v="0"/>
    <n v="0"/>
    <n v="0"/>
    <s v="MMR001CMP047"/>
    <x v="0"/>
    <x v="1"/>
    <s v="P4"/>
    <n v="8.8397790055248619E-4"/>
    <s v="No"/>
  </r>
  <r>
    <n v="51.8"/>
    <d v="2012-09-30T00:00:00"/>
    <x v="0"/>
    <s v="Chipwe CM"/>
    <s v="Kachin"/>
    <s v="Chipwi"/>
    <s v="Women's Affairs Association Building"/>
    <m/>
    <m/>
    <m/>
    <n v="34"/>
    <n v="12"/>
    <n v="34"/>
    <n v="12"/>
    <n v="12"/>
    <n v="12"/>
    <n v="12"/>
    <m/>
    <m/>
    <m/>
    <m/>
    <m/>
    <m/>
    <m/>
    <n v="0"/>
    <n v="0"/>
    <n v="0"/>
    <n v="0"/>
    <n v="0"/>
    <n v="0"/>
    <n v="0"/>
    <n v="0"/>
    <n v="0"/>
    <n v="0"/>
    <n v="0"/>
    <n v="0"/>
    <n v="0"/>
    <n v="0"/>
    <n v="0"/>
    <n v="0"/>
    <n v="0"/>
    <n v="0"/>
    <s v="MMR001CMP044"/>
    <x v="0"/>
    <x v="0"/>
    <s v=""/>
    <s v=""/>
    <s v="No"/>
  </r>
  <r>
    <n v="37.93333333333333"/>
    <d v="2013-11-20T00:00:00"/>
    <x v="4"/>
    <s v="Solidarities"/>
    <s v="Kachin"/>
    <s v="Bhamo"/>
    <s v="Robert Church"/>
    <m/>
    <m/>
    <m/>
    <m/>
    <m/>
    <m/>
    <m/>
    <m/>
    <m/>
    <m/>
    <m/>
    <n v="19"/>
    <n v="38"/>
    <n v="19"/>
    <m/>
    <m/>
    <m/>
    <n v="0"/>
    <n v="0"/>
    <n v="0"/>
    <n v="0"/>
    <n v="0"/>
    <n v="0"/>
    <n v="0"/>
    <n v="0"/>
    <n v="0"/>
    <n v="0"/>
    <n v="0"/>
    <n v="0"/>
    <n v="0"/>
    <n v="0"/>
    <n v="1"/>
    <n v="0"/>
    <n v="0"/>
    <n v="0"/>
    <s v="MMR001CMP047"/>
    <x v="0"/>
    <x v="1"/>
    <s v="P4"/>
    <n v="0"/>
    <m/>
  </r>
  <r>
    <n v="37.966666666666669"/>
    <d v="2013-11-19T00:00:00"/>
    <x v="0"/>
    <s v="UNHCR"/>
    <s v="Kachin"/>
    <s v="Bhamo"/>
    <s v="Robert Church"/>
    <m/>
    <m/>
    <n v="40"/>
    <n v="38"/>
    <n v="20"/>
    <n v="38"/>
    <n v="20"/>
    <n v="20"/>
    <m/>
    <m/>
    <m/>
    <m/>
    <m/>
    <m/>
    <m/>
    <m/>
    <m/>
    <n v="0"/>
    <n v="0"/>
    <n v="0"/>
    <n v="0"/>
    <n v="0"/>
    <n v="0"/>
    <n v="0"/>
    <n v="0"/>
    <n v="0"/>
    <n v="0"/>
    <n v="0"/>
    <n v="0"/>
    <n v="0"/>
    <n v="0"/>
    <n v="0"/>
    <n v="0"/>
    <n v="0"/>
    <n v="0"/>
    <s v="MMR001CMP047"/>
    <x v="0"/>
    <x v="1"/>
    <s v="P4"/>
    <n v="4.9109883364027013E-4"/>
    <s v="No"/>
  </r>
  <r>
    <n v="38.06666666666667"/>
    <d v="2013-11-16T00:00:00"/>
    <x v="0"/>
    <s v="UNHCR"/>
    <s v="Kachin"/>
    <s v="Bhamo"/>
    <s v="Robert Church"/>
    <m/>
    <m/>
    <m/>
    <m/>
    <n v="10"/>
    <m/>
    <m/>
    <m/>
    <m/>
    <m/>
    <m/>
    <m/>
    <m/>
    <m/>
    <m/>
    <m/>
    <m/>
    <n v="0"/>
    <n v="0"/>
    <n v="0"/>
    <n v="0"/>
    <n v="0"/>
    <n v="0"/>
    <n v="0"/>
    <n v="0"/>
    <n v="0"/>
    <n v="0"/>
    <n v="0"/>
    <n v="0"/>
    <n v="0"/>
    <n v="0"/>
    <n v="0"/>
    <n v="0"/>
    <n v="0"/>
    <n v="0"/>
    <s v="MMR001CMP047"/>
    <x v="0"/>
    <x v="1"/>
    <s v="P4"/>
    <n v="0"/>
    <s v="No"/>
  </r>
  <r>
    <n v="38.56666666666667"/>
    <d v="2013-11-01T00:00:00"/>
    <x v="0"/>
    <s v="UNHCR"/>
    <s v="Kachin"/>
    <s v="Bhamo"/>
    <s v="Robert Church"/>
    <m/>
    <m/>
    <n v="40"/>
    <n v="48"/>
    <n v="20"/>
    <n v="48"/>
    <n v="20"/>
    <n v="20"/>
    <n v="500"/>
    <n v="500"/>
    <m/>
    <m/>
    <m/>
    <m/>
    <m/>
    <m/>
    <m/>
    <n v="0"/>
    <n v="0"/>
    <n v="0"/>
    <n v="0"/>
    <n v="0"/>
    <n v="0"/>
    <n v="0"/>
    <n v="0"/>
    <n v="0"/>
    <n v="0"/>
    <n v="0"/>
    <n v="0"/>
    <n v="0"/>
    <n v="0"/>
    <n v="0"/>
    <n v="0"/>
    <n v="0"/>
    <n v="0"/>
    <s v="MMR001CMP047"/>
    <x v="0"/>
    <x v="1"/>
    <s v="P4"/>
    <n v="4.9109883364027013E-4"/>
    <s v="No"/>
  </r>
  <r>
    <n v="51.93333333333333"/>
    <d v="2012-09-26T00:00:00"/>
    <x v="0"/>
    <s v="Chipwe CM"/>
    <s v="Kachin"/>
    <s v="Chipwi"/>
    <s v="Gant Gwin"/>
    <m/>
    <m/>
    <m/>
    <n v="33"/>
    <n v="11"/>
    <n v="33"/>
    <n v="11"/>
    <n v="11"/>
    <n v="11"/>
    <n v="11"/>
    <m/>
    <m/>
    <m/>
    <m/>
    <m/>
    <m/>
    <m/>
    <n v="0"/>
    <n v="0"/>
    <n v="0"/>
    <n v="0"/>
    <n v="0"/>
    <n v="0"/>
    <n v="0"/>
    <n v="0"/>
    <n v="0"/>
    <n v="0"/>
    <n v="0"/>
    <n v="0"/>
    <n v="0"/>
    <n v="0"/>
    <n v="0"/>
    <n v="0"/>
    <n v="0"/>
    <n v="0"/>
    <s v="MMR001CMP046"/>
    <x v="0"/>
    <x v="0"/>
    <s v="P1"/>
    <s v=""/>
    <s v="No"/>
  </r>
  <r>
    <n v="48"/>
    <d v="2013-01-22T00:00:00"/>
    <x v="4"/>
    <s v="Solidarities"/>
    <s v="Kachin"/>
    <s v="Bhamo"/>
    <s v="Robert Church"/>
    <n v="1824"/>
    <m/>
    <m/>
    <m/>
    <m/>
    <m/>
    <m/>
    <m/>
    <n v="0"/>
    <n v="0"/>
    <m/>
    <m/>
    <m/>
    <m/>
    <m/>
    <m/>
    <m/>
    <n v="0"/>
    <n v="0"/>
    <n v="0"/>
    <n v="0"/>
    <n v="0"/>
    <n v="0"/>
    <n v="0"/>
    <n v="0"/>
    <n v="0"/>
    <n v="0"/>
    <n v="0"/>
    <n v="0"/>
    <n v="0"/>
    <n v="0"/>
    <n v="0"/>
    <n v="0"/>
    <n v="0"/>
    <n v="0"/>
    <s v="MMR001CMP047"/>
    <x v="0"/>
    <x v="1"/>
    <s v="P4"/>
    <n v="0"/>
    <s v="No"/>
  </r>
  <r>
    <n v="52.133333333333333"/>
    <d v="2012-09-20T00:00:00"/>
    <x v="4"/>
    <s v="LDO"/>
    <s v="Kachin"/>
    <s v="Shwegu"/>
    <s v="Kapaung"/>
    <n v="92"/>
    <m/>
    <m/>
    <m/>
    <m/>
    <m/>
    <m/>
    <m/>
    <m/>
    <m/>
    <m/>
    <m/>
    <m/>
    <m/>
    <m/>
    <m/>
    <m/>
    <n v="0"/>
    <n v="0"/>
    <n v="0"/>
    <n v="0"/>
    <n v="0"/>
    <n v="0"/>
    <n v="0"/>
    <n v="0"/>
    <n v="0"/>
    <n v="0"/>
    <n v="0"/>
    <n v="0"/>
    <n v="0"/>
    <n v="0"/>
    <n v="0"/>
    <n v="0"/>
    <n v="0"/>
    <n v="0"/>
    <s v=""/>
    <x v="2"/>
    <x v="2"/>
    <s v=""/>
    <s v=""/>
    <m/>
  </r>
  <r>
    <n v="52.2"/>
    <d v="2012-09-18T00:00:00"/>
    <x v="4"/>
    <s v="LDO"/>
    <s v="Kachin"/>
    <s v="Shwegu"/>
    <s v="Lot Aung"/>
    <n v="45"/>
    <m/>
    <m/>
    <m/>
    <m/>
    <m/>
    <m/>
    <m/>
    <m/>
    <m/>
    <m/>
    <m/>
    <m/>
    <m/>
    <m/>
    <m/>
    <m/>
    <n v="0"/>
    <n v="0"/>
    <n v="0"/>
    <n v="0"/>
    <n v="0"/>
    <n v="0"/>
    <n v="0"/>
    <n v="0"/>
    <n v="0"/>
    <n v="0"/>
    <n v="0"/>
    <n v="0"/>
    <n v="0"/>
    <n v="0"/>
    <n v="0"/>
    <n v="0"/>
    <n v="0"/>
    <n v="0"/>
    <s v=""/>
    <x v="2"/>
    <x v="2"/>
    <s v=""/>
    <s v=""/>
    <m/>
  </r>
  <r>
    <n v="52.2"/>
    <d v="2012-09-18T00:00:00"/>
    <x v="4"/>
    <s v="LDO"/>
    <s v="Kachin"/>
    <s v="Shwegu"/>
    <s v="Pan Dang"/>
    <n v="22"/>
    <m/>
    <m/>
    <m/>
    <m/>
    <m/>
    <m/>
    <m/>
    <m/>
    <m/>
    <m/>
    <m/>
    <m/>
    <m/>
    <m/>
    <m/>
    <m/>
    <n v="0"/>
    <n v="0"/>
    <n v="0"/>
    <n v="0"/>
    <n v="0"/>
    <n v="0"/>
    <n v="0"/>
    <n v="0"/>
    <n v="0"/>
    <n v="0"/>
    <n v="0"/>
    <n v="0"/>
    <n v="0"/>
    <n v="0"/>
    <n v="0"/>
    <n v="0"/>
    <n v="0"/>
    <n v="0"/>
    <s v=""/>
    <x v="2"/>
    <x v="2"/>
    <s v=""/>
    <s v=""/>
    <m/>
  </r>
  <r>
    <n v="52.2"/>
    <d v="2012-09-18T00:00:00"/>
    <x v="4"/>
    <s v="LDO"/>
    <s v="Kachin"/>
    <s v="Shwegu"/>
    <s v="Pan Hkawn"/>
    <n v="130"/>
    <m/>
    <m/>
    <m/>
    <m/>
    <m/>
    <m/>
    <m/>
    <m/>
    <m/>
    <m/>
    <m/>
    <m/>
    <m/>
    <m/>
    <m/>
    <m/>
    <n v="0"/>
    <n v="0"/>
    <n v="0"/>
    <n v="0"/>
    <n v="0"/>
    <n v="0"/>
    <n v="0"/>
    <n v="0"/>
    <n v="0"/>
    <n v="0"/>
    <n v="0"/>
    <n v="0"/>
    <n v="0"/>
    <n v="0"/>
    <n v="0"/>
    <n v="0"/>
    <n v="0"/>
    <n v="0"/>
    <s v=""/>
    <x v="2"/>
    <x v="2"/>
    <s v=""/>
    <s v=""/>
    <m/>
  </r>
  <r>
    <n v="49.06666666666667"/>
    <d v="2012-12-21T00:00:00"/>
    <x v="0"/>
    <s v="UNHCR"/>
    <s v="Kachin"/>
    <s v="Bhamo"/>
    <s v="Robert Church"/>
    <m/>
    <m/>
    <m/>
    <n v="0"/>
    <n v="0"/>
    <n v="73"/>
    <n v="0"/>
    <n v="0"/>
    <m/>
    <m/>
    <m/>
    <m/>
    <m/>
    <m/>
    <m/>
    <m/>
    <m/>
    <n v="0"/>
    <n v="0"/>
    <n v="0"/>
    <n v="0"/>
    <n v="0"/>
    <n v="0"/>
    <n v="0"/>
    <n v="0"/>
    <n v="0"/>
    <n v="0"/>
    <n v="0"/>
    <n v="0"/>
    <n v="0"/>
    <n v="0"/>
    <n v="0"/>
    <n v="0"/>
    <n v="0"/>
    <n v="0"/>
    <s v="MMR001CMP047"/>
    <x v="0"/>
    <x v="1"/>
    <s v="P4"/>
    <n v="0"/>
    <s v="No"/>
  </r>
  <r>
    <n v="49.06666666666667"/>
    <d v="2012-12-21T00:00:00"/>
    <x v="0"/>
    <s v="UNHCR"/>
    <s v="Kachin"/>
    <s v="Bhamo"/>
    <s v="Robert Church"/>
    <m/>
    <m/>
    <m/>
    <n v="24"/>
    <n v="12"/>
    <n v="24"/>
    <n v="12"/>
    <n v="12"/>
    <n v="12"/>
    <n v="12"/>
    <m/>
    <m/>
    <m/>
    <m/>
    <m/>
    <m/>
    <m/>
    <n v="0"/>
    <n v="0"/>
    <n v="0"/>
    <n v="0"/>
    <n v="0"/>
    <n v="0"/>
    <n v="0"/>
    <n v="0"/>
    <n v="0"/>
    <n v="0"/>
    <n v="0"/>
    <n v="0"/>
    <n v="0"/>
    <n v="0"/>
    <n v="0"/>
    <n v="0"/>
    <n v="0"/>
    <n v="0"/>
    <s v="MMR001CMP047"/>
    <x v="0"/>
    <x v="1"/>
    <s v="P4"/>
    <n v="2.9465930018416205E-4"/>
    <s v="No"/>
  </r>
  <r>
    <n v="53.4"/>
    <d v="2012-08-13T00:00:00"/>
    <x v="0"/>
    <s v="UNHCR "/>
    <s v="Kachin"/>
    <s v="Bhamo"/>
    <s v="Robert Church"/>
    <m/>
    <m/>
    <m/>
    <n v="310"/>
    <n v="151"/>
    <n v="310"/>
    <n v="151"/>
    <n v="151"/>
    <n v="151"/>
    <n v="151"/>
    <m/>
    <m/>
    <m/>
    <m/>
    <m/>
    <m/>
    <m/>
    <n v="0"/>
    <n v="0"/>
    <n v="0"/>
    <n v="0"/>
    <n v="0"/>
    <n v="0"/>
    <n v="0"/>
    <n v="0"/>
    <n v="0"/>
    <n v="0"/>
    <n v="0"/>
    <n v="0"/>
    <n v="0"/>
    <n v="0"/>
    <n v="0"/>
    <n v="0"/>
    <n v="0"/>
    <n v="0"/>
    <s v="MMR001CMP047"/>
    <x v="0"/>
    <x v="1"/>
    <s v="P4"/>
    <n v="3.7077961939840391E-3"/>
    <s v="No"/>
  </r>
  <r>
    <n v="52.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0"/>
    <s v="P4"/>
    <n v="1.0550593777603299E-3"/>
    <s v="No"/>
  </r>
  <r>
    <n v="55.866666666666667"/>
    <d v="2012-05-31T00:00:00"/>
    <x v="0"/>
    <s v="KBC"/>
    <s v="Kachin"/>
    <s v="Bhamo"/>
    <s v="Robert Church"/>
    <m/>
    <m/>
    <m/>
    <n v="0"/>
    <n v="20"/>
    <n v="0"/>
    <n v="0"/>
    <n v="0"/>
    <m/>
    <m/>
    <m/>
    <m/>
    <m/>
    <m/>
    <m/>
    <m/>
    <m/>
    <n v="0"/>
    <n v="0"/>
    <n v="0"/>
    <n v="0"/>
    <n v="0"/>
    <n v="0"/>
    <n v="0"/>
    <n v="0"/>
    <n v="0"/>
    <n v="0"/>
    <n v="0"/>
    <n v="0"/>
    <n v="0"/>
    <n v="0"/>
    <n v="0"/>
    <n v="0"/>
    <n v="0"/>
    <n v="0"/>
    <s v="MMR001CMP047"/>
    <x v="0"/>
    <x v="1"/>
    <s v="P4"/>
    <n v="0"/>
    <s v="No"/>
  </r>
  <r>
    <n v="58.033333333333331"/>
    <d v="2012-03-27T00:00:00"/>
    <x v="0"/>
    <s v="UNHCR"/>
    <s v="Kachin"/>
    <s v="Bhamo"/>
    <s v="Robert Church"/>
    <m/>
    <m/>
    <m/>
    <n v="1000"/>
    <n v="500"/>
    <n v="1000"/>
    <n v="500"/>
    <n v="500"/>
    <n v="500"/>
    <n v="500"/>
    <m/>
    <m/>
    <m/>
    <m/>
    <m/>
    <m/>
    <m/>
    <n v="0"/>
    <n v="0"/>
    <n v="0"/>
    <n v="0"/>
    <n v="0"/>
    <n v="0"/>
    <n v="0"/>
    <n v="0"/>
    <n v="0"/>
    <n v="0"/>
    <n v="0"/>
    <n v="0"/>
    <n v="0"/>
    <n v="0"/>
    <n v="0"/>
    <n v="0"/>
    <n v="0"/>
    <n v="0"/>
    <s v="MMR001CMP047"/>
    <x v="0"/>
    <x v="1"/>
    <s v="P4"/>
    <n v="1.2277470841006752E-2"/>
    <s v="No"/>
  </r>
  <r>
    <n v="52.466666666666669"/>
    <d v="2012-09-10T00:00:00"/>
    <x v="0"/>
    <s v="UNHCR"/>
    <s v="Kachin"/>
    <s v="Myitkyina"/>
    <s v="Myay Myint Baptist Church"/>
    <m/>
    <m/>
    <m/>
    <n v="10"/>
    <n v="6"/>
    <n v="10"/>
    <n v="6"/>
    <n v="6"/>
    <n v="6"/>
    <n v="6"/>
    <m/>
    <m/>
    <m/>
    <m/>
    <m/>
    <m/>
    <m/>
    <n v="0"/>
    <n v="0"/>
    <n v="0"/>
    <n v="0"/>
    <n v="0"/>
    <n v="0"/>
    <n v="0"/>
    <n v="0"/>
    <n v="0"/>
    <n v="0"/>
    <n v="0"/>
    <n v="0"/>
    <n v="0"/>
    <n v="0"/>
    <n v="0"/>
    <n v="0"/>
    <n v="0"/>
    <n v="0"/>
    <s v="MMR001CMP017"/>
    <x v="0"/>
    <x v="0"/>
    <s v="P4"/>
    <n v="1.4699757454002008E-4"/>
    <s v="No"/>
  </r>
  <r>
    <n v="58.466666666666669"/>
    <d v="2012-03-14T00:00:00"/>
    <x v="4"/>
    <s v="Solidarities"/>
    <s v="Kachin"/>
    <s v="Bhamo"/>
    <s v="Robert Church"/>
    <n v="2188"/>
    <m/>
    <m/>
    <m/>
    <m/>
    <m/>
    <m/>
    <m/>
    <m/>
    <m/>
    <m/>
    <m/>
    <m/>
    <m/>
    <m/>
    <m/>
    <m/>
    <n v="0"/>
    <n v="0"/>
    <n v="0"/>
    <n v="0"/>
    <n v="0"/>
    <n v="0"/>
    <n v="0"/>
    <n v="0"/>
    <n v="0"/>
    <n v="0"/>
    <n v="0"/>
    <n v="0"/>
    <n v="0"/>
    <n v="0"/>
    <n v="0"/>
    <n v="0"/>
    <n v="0"/>
    <n v="0"/>
    <s v="MMR001CMP047"/>
    <x v="0"/>
    <x v="1"/>
    <s v="P4"/>
    <n v="0"/>
    <m/>
  </r>
  <r>
    <n v="23.966666666666665"/>
    <d v="2015-01-13T00:00:00"/>
    <x v="1"/>
    <s v="MRCS"/>
    <s v="Kachin"/>
    <s v="Hpakant"/>
    <s v="Sai Nai Baptish Church, Maw Shan Vil., Seki Mu"/>
    <m/>
    <m/>
    <m/>
    <m/>
    <m/>
    <m/>
    <m/>
    <m/>
    <m/>
    <m/>
    <n v="34"/>
    <n v="9"/>
    <m/>
    <m/>
    <m/>
    <m/>
    <m/>
    <n v="0"/>
    <n v="0"/>
    <n v="0"/>
    <n v="0"/>
    <n v="0"/>
    <n v="0"/>
    <n v="0"/>
    <n v="0"/>
    <n v="0"/>
    <n v="0"/>
    <n v="0"/>
    <n v="0"/>
    <n v="0"/>
    <n v="0"/>
    <n v="1"/>
    <n v="0"/>
    <n v="0"/>
    <n v="0"/>
    <s v="MMR001CMP183"/>
    <x v="0"/>
    <x v="1"/>
    <s v="P4"/>
    <n v="0"/>
    <m/>
  </r>
  <r>
    <n v="26.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1"/>
    <s v="P4"/>
    <n v="2.1804966686856452E-4"/>
    <m/>
  </r>
  <r>
    <n v="23.966666666666665"/>
    <d v="2015-01-13T00:00:00"/>
    <x v="1"/>
    <s v="MRCS"/>
    <s v="Kachin"/>
    <s v="Chipwi"/>
    <s v="Saw Zam"/>
    <m/>
    <m/>
    <m/>
    <m/>
    <m/>
    <m/>
    <m/>
    <m/>
    <m/>
    <m/>
    <n v="111"/>
    <n v="56"/>
    <m/>
    <n v="58"/>
    <m/>
    <m/>
    <m/>
    <n v="0"/>
    <n v="0"/>
    <n v="0"/>
    <n v="0"/>
    <n v="0"/>
    <n v="0"/>
    <n v="0"/>
    <n v="0"/>
    <n v="0"/>
    <n v="0"/>
    <n v="0"/>
    <n v="0"/>
    <n v="0"/>
    <n v="0"/>
    <n v="1"/>
    <n v="0"/>
    <n v="0"/>
    <n v="0"/>
    <s v="MMR001CMP225"/>
    <x v="0"/>
    <x v="1"/>
    <s v="P1"/>
    <n v="0"/>
    <m/>
  </r>
  <r>
    <n v="27.433333333333334"/>
    <d v="2014-10-01T00:00:00"/>
    <x v="0"/>
    <s v="KMSS"/>
    <s v="Kachin"/>
    <s v="Chipwi"/>
    <s v="Saw Zam"/>
    <m/>
    <m/>
    <m/>
    <n v="56"/>
    <m/>
    <m/>
    <m/>
    <m/>
    <m/>
    <m/>
    <m/>
    <m/>
    <m/>
    <n v="56"/>
    <m/>
    <m/>
    <m/>
    <n v="0"/>
    <n v="0"/>
    <n v="0"/>
    <n v="0"/>
    <n v="0"/>
    <n v="0"/>
    <n v="0"/>
    <n v="0"/>
    <n v="0"/>
    <n v="0"/>
    <n v="0"/>
    <n v="0"/>
    <n v="0"/>
    <n v="0"/>
    <n v="1"/>
    <n v="0"/>
    <n v="0"/>
    <n v="0"/>
    <s v="MMR001CMP225"/>
    <x v="0"/>
    <x v="1"/>
    <s v="P1"/>
    <n v="0"/>
    <m/>
  </r>
  <r>
    <n v="34.799999999999997"/>
    <d v="2014-02-22T00:00:00"/>
    <x v="8"/>
    <s v="MRCS"/>
    <s v="Kachin"/>
    <s v="Chipwi"/>
    <s v="Saw Zam"/>
    <m/>
    <m/>
    <m/>
    <m/>
    <m/>
    <m/>
    <m/>
    <m/>
    <m/>
    <m/>
    <m/>
    <m/>
    <m/>
    <n v="58"/>
    <m/>
    <m/>
    <m/>
    <n v="0"/>
    <n v="0"/>
    <n v="0"/>
    <n v="0"/>
    <n v="0"/>
    <n v="0"/>
    <n v="0"/>
    <n v="0"/>
    <n v="0"/>
    <n v="0"/>
    <n v="0"/>
    <n v="0"/>
    <n v="0"/>
    <n v="0"/>
    <n v="1"/>
    <n v="0"/>
    <n v="0"/>
    <n v="0"/>
    <s v="MMR001CMP225"/>
    <x v="0"/>
    <x v="1"/>
    <s v="P1"/>
    <n v="0"/>
    <m/>
  </r>
  <r>
    <n v="2.0666666666666669"/>
    <d v="2016-10-31T00:00:00"/>
    <x v="4"/>
    <s v="Solidarities"/>
    <s v="Kachin"/>
    <s v="Momauk"/>
    <s v="Seng Ja "/>
    <m/>
    <m/>
    <m/>
    <m/>
    <m/>
    <m/>
    <m/>
    <m/>
    <m/>
    <m/>
    <m/>
    <m/>
    <m/>
    <m/>
    <n v="2"/>
    <m/>
    <m/>
    <n v="0"/>
    <n v="0"/>
    <n v="0"/>
    <n v="0"/>
    <n v="0"/>
    <n v="0"/>
    <n v="0"/>
    <n v="0"/>
    <n v="0"/>
    <n v="0"/>
    <n v="0"/>
    <n v="0"/>
    <n v="0"/>
    <n v="0"/>
    <n v="0"/>
    <n v="2"/>
    <n v="0"/>
    <n v="0"/>
    <s v="MMR001CMP073"/>
    <x v="0"/>
    <x v="1"/>
    <s v="P3"/>
    <n v="0"/>
    <m/>
  </r>
  <r>
    <n v="6.166666666666667"/>
    <d v="2016-06-30T00:00:00"/>
    <x v="4"/>
    <s v="Solidarities"/>
    <s v="Kachin"/>
    <s v="Momauk"/>
    <s v="Seng Ja "/>
    <m/>
    <m/>
    <m/>
    <m/>
    <m/>
    <m/>
    <m/>
    <m/>
    <m/>
    <m/>
    <m/>
    <m/>
    <m/>
    <m/>
    <n v="1"/>
    <m/>
    <m/>
    <n v="0"/>
    <n v="0"/>
    <n v="0"/>
    <n v="0"/>
    <n v="0"/>
    <n v="0"/>
    <n v="0"/>
    <n v="0"/>
    <n v="0"/>
    <n v="0"/>
    <n v="0"/>
    <n v="0"/>
    <n v="0"/>
    <n v="0"/>
    <n v="0"/>
    <n v="1"/>
    <n v="0"/>
    <n v="0"/>
    <s v="MMR001CMP073"/>
    <x v="0"/>
    <x v="1"/>
    <s v="P3"/>
    <n v="0"/>
    <m/>
  </r>
  <r>
    <n v="8.1999999999999993"/>
    <d v="2016-04-30T00:00:00"/>
    <x v="4"/>
    <s v="Solidarities"/>
    <s v="Kachin"/>
    <s v="Momauk"/>
    <s v="Seng Ja "/>
    <m/>
    <m/>
    <m/>
    <m/>
    <m/>
    <m/>
    <m/>
    <m/>
    <m/>
    <m/>
    <m/>
    <m/>
    <m/>
    <m/>
    <m/>
    <n v="4"/>
    <m/>
    <n v="0"/>
    <n v="0"/>
    <n v="0"/>
    <n v="0"/>
    <n v="0"/>
    <n v="0"/>
    <n v="0"/>
    <n v="0"/>
    <n v="0"/>
    <n v="0"/>
    <n v="0"/>
    <n v="0"/>
    <n v="0"/>
    <n v="0"/>
    <n v="0"/>
    <n v="0"/>
    <n v="4"/>
    <n v="0"/>
    <s v="MMR001CMP073"/>
    <x v="0"/>
    <x v="1"/>
    <s v="P3"/>
    <n v="0"/>
    <m/>
  </r>
  <r>
    <n v="10.933333333333334"/>
    <d v="2016-02-08T00:00:00"/>
    <x v="4"/>
    <s v="Solidarities"/>
    <s v="Kachin"/>
    <s v="Momauk"/>
    <s v="Seng Ja "/>
    <m/>
    <m/>
    <n v="62"/>
    <m/>
    <m/>
    <m/>
    <m/>
    <m/>
    <m/>
    <m/>
    <m/>
    <m/>
    <m/>
    <m/>
    <m/>
    <m/>
    <m/>
    <n v="0"/>
    <n v="0"/>
    <n v="62"/>
    <n v="0"/>
    <n v="0"/>
    <n v="0"/>
    <n v="0"/>
    <n v="0"/>
    <n v="0"/>
    <n v="0"/>
    <n v="0"/>
    <n v="0"/>
    <n v="0"/>
    <n v="0"/>
    <n v="0"/>
    <n v="0"/>
    <n v="0"/>
    <n v="0"/>
    <s v="MMR001CMP073"/>
    <x v="0"/>
    <x v="1"/>
    <s v="P3"/>
    <n v="0"/>
    <m/>
  </r>
  <r>
    <n v="11.266666666666667"/>
    <d v="2016-01-29T00:00:00"/>
    <x v="4"/>
    <s v="Solidarities"/>
    <s v="Kachin"/>
    <s v="Momauk"/>
    <s v="Seng Ja "/>
    <m/>
    <m/>
    <m/>
    <m/>
    <m/>
    <m/>
    <m/>
    <m/>
    <m/>
    <m/>
    <m/>
    <m/>
    <m/>
    <m/>
    <n v="3"/>
    <m/>
    <m/>
    <n v="0"/>
    <n v="0"/>
    <n v="0"/>
    <n v="0"/>
    <n v="0"/>
    <n v="0"/>
    <n v="0"/>
    <n v="0"/>
    <n v="0"/>
    <n v="0"/>
    <n v="0"/>
    <n v="0"/>
    <n v="0"/>
    <n v="0"/>
    <n v="0"/>
    <n v="3"/>
    <n v="0"/>
    <n v="0"/>
    <s v="MMR001CMP073"/>
    <x v="0"/>
    <x v="1"/>
    <s v="P3"/>
    <n v="0"/>
    <m/>
  </r>
  <r>
    <n v="12.766666666666667"/>
    <d v="2015-12-15T00:00:00"/>
    <x v="4"/>
    <s v="Solidarities"/>
    <s v="Kachin"/>
    <s v="Momauk"/>
    <s v="Seng Ja "/>
    <m/>
    <m/>
    <m/>
    <m/>
    <m/>
    <m/>
    <m/>
    <m/>
    <m/>
    <m/>
    <m/>
    <m/>
    <m/>
    <m/>
    <m/>
    <n v="4"/>
    <m/>
    <n v="0"/>
    <n v="0"/>
    <n v="0"/>
    <n v="0"/>
    <n v="0"/>
    <n v="0"/>
    <n v="0"/>
    <n v="0"/>
    <n v="0"/>
    <n v="0"/>
    <n v="0"/>
    <n v="0"/>
    <n v="0"/>
    <n v="0"/>
    <n v="0"/>
    <n v="0"/>
    <n v="0"/>
    <n v="0"/>
    <s v="MMR001CMP073"/>
    <x v="0"/>
    <x v="1"/>
    <s v="P3"/>
    <n v="0"/>
    <m/>
  </r>
  <r>
    <n v="19.233333333333334"/>
    <d v="2015-06-04T00:00:00"/>
    <x v="0"/>
    <s v="KBC"/>
    <s v="Kachin"/>
    <s v="Momauk"/>
    <s v="Seng Ja "/>
    <m/>
    <m/>
    <m/>
    <n v="18"/>
    <n v="35"/>
    <m/>
    <m/>
    <m/>
    <m/>
    <m/>
    <m/>
    <m/>
    <m/>
    <m/>
    <m/>
    <m/>
    <n v="8"/>
    <n v="0"/>
    <n v="0"/>
    <n v="0"/>
    <n v="0"/>
    <n v="0"/>
    <n v="0"/>
    <n v="0"/>
    <n v="0"/>
    <n v="0"/>
    <n v="0"/>
    <n v="0"/>
    <n v="0"/>
    <n v="0"/>
    <n v="0"/>
    <n v="0"/>
    <n v="0"/>
    <n v="0"/>
    <n v="0"/>
    <s v="MMR001CMP073"/>
    <x v="0"/>
    <x v="1"/>
    <s v="P3"/>
    <n v="0"/>
    <s v="No"/>
  </r>
  <r>
    <n v="19.233333333333334"/>
    <d v="2015-06-04T00:00:00"/>
    <x v="4"/>
    <s v="Solidarities"/>
    <s v="Kachin"/>
    <s v="Momauk"/>
    <s v="Seng Ja "/>
    <m/>
    <m/>
    <n v="73"/>
    <m/>
    <m/>
    <m/>
    <m/>
    <m/>
    <m/>
    <m/>
    <m/>
    <m/>
    <m/>
    <m/>
    <m/>
    <m/>
    <m/>
    <n v="0"/>
    <n v="0"/>
    <n v="0"/>
    <n v="0"/>
    <n v="0"/>
    <n v="0"/>
    <n v="0"/>
    <n v="0"/>
    <n v="0"/>
    <n v="0"/>
    <n v="0"/>
    <n v="0"/>
    <n v="0"/>
    <n v="0"/>
    <n v="0"/>
    <n v="0"/>
    <n v="0"/>
    <n v="0"/>
    <s v="MMR001CMP073"/>
    <x v="0"/>
    <x v="1"/>
    <s v="P3"/>
    <n v="0"/>
    <m/>
  </r>
  <r>
    <n v="19.366666666666667"/>
    <d v="2015-05-31T00:00:00"/>
    <x v="4"/>
    <s v="Solidarities"/>
    <s v="Kachin"/>
    <s v="Momauk"/>
    <s v="Seng Ja "/>
    <m/>
    <m/>
    <m/>
    <m/>
    <m/>
    <m/>
    <m/>
    <m/>
    <m/>
    <m/>
    <m/>
    <m/>
    <m/>
    <m/>
    <n v="3"/>
    <m/>
    <m/>
    <n v="0"/>
    <n v="0"/>
    <n v="0"/>
    <n v="0"/>
    <n v="0"/>
    <n v="0"/>
    <n v="0"/>
    <n v="0"/>
    <n v="0"/>
    <n v="0"/>
    <n v="0"/>
    <n v="0"/>
    <n v="0"/>
    <n v="0"/>
    <n v="0"/>
    <n v="0"/>
    <n v="0"/>
    <n v="0"/>
    <s v="MMR001CMP073"/>
    <x v="0"/>
    <x v="1"/>
    <s v="P3"/>
    <n v="0"/>
    <m/>
  </r>
  <r>
    <n v="20.6"/>
    <d v="2015-04-24T00:00:00"/>
    <x v="0"/>
    <s v="KBC"/>
    <s v="Kachin"/>
    <s v="Momauk"/>
    <s v="Seng Ja "/>
    <m/>
    <m/>
    <m/>
    <n v="36"/>
    <n v="18"/>
    <n v="90"/>
    <n v="18"/>
    <m/>
    <m/>
    <n v="90"/>
    <m/>
    <m/>
    <m/>
    <m/>
    <n v="18"/>
    <m/>
    <m/>
    <n v="0"/>
    <n v="0"/>
    <n v="0"/>
    <n v="0"/>
    <n v="0"/>
    <n v="0"/>
    <n v="0"/>
    <n v="0"/>
    <n v="0"/>
    <n v="0"/>
    <n v="0"/>
    <n v="0"/>
    <n v="0"/>
    <n v="0"/>
    <n v="0"/>
    <n v="0"/>
    <n v="0"/>
    <n v="0"/>
    <s v="MMR001CMP073"/>
    <x v="0"/>
    <x v="1"/>
    <s v="P3"/>
    <n v="4.3772190068576433E-4"/>
    <s v="No"/>
  </r>
  <r>
    <n v="22.033333333333335"/>
    <d v="2015-03-12T00:00:00"/>
    <x v="4"/>
    <s v="Solidarities"/>
    <s v="Kachin"/>
    <s v="Momauk"/>
    <s v="Seng Ja "/>
    <m/>
    <m/>
    <m/>
    <m/>
    <m/>
    <m/>
    <m/>
    <m/>
    <m/>
    <m/>
    <m/>
    <m/>
    <m/>
    <m/>
    <m/>
    <n v="4"/>
    <m/>
    <n v="0"/>
    <n v="0"/>
    <n v="0"/>
    <n v="0"/>
    <n v="0"/>
    <n v="0"/>
    <n v="0"/>
    <n v="0"/>
    <n v="0"/>
    <n v="0"/>
    <n v="0"/>
    <n v="0"/>
    <n v="0"/>
    <n v="0"/>
    <n v="0"/>
    <n v="0"/>
    <n v="0"/>
    <n v="0"/>
    <s v="MMR001CMP073"/>
    <x v="0"/>
    <x v="1"/>
    <s v="P3"/>
    <n v="0"/>
    <m/>
  </r>
  <r>
    <n v="23.966666666666665"/>
    <d v="2015-01-13T00:00:00"/>
    <x v="1"/>
    <s v="MRCS"/>
    <s v="Kachin"/>
    <s v="Momauk"/>
    <s v="Seng Ja "/>
    <m/>
    <m/>
    <m/>
    <m/>
    <m/>
    <m/>
    <m/>
    <m/>
    <m/>
    <m/>
    <n v="155"/>
    <n v="73"/>
    <m/>
    <n v="96"/>
    <m/>
    <m/>
    <m/>
    <n v="0"/>
    <n v="0"/>
    <n v="0"/>
    <n v="0"/>
    <n v="0"/>
    <n v="0"/>
    <n v="0"/>
    <n v="0"/>
    <n v="0"/>
    <n v="0"/>
    <n v="0"/>
    <n v="0"/>
    <n v="0"/>
    <n v="0"/>
    <n v="1"/>
    <n v="0"/>
    <n v="0"/>
    <n v="0"/>
    <s v="MMR001CMP073"/>
    <x v="0"/>
    <x v="1"/>
    <s v="P3"/>
    <n v="0"/>
    <m/>
  </r>
  <r>
    <n v="24.833333333333332"/>
    <d v="2014-12-18T00:00:00"/>
    <x v="4"/>
    <s v="Solidarities"/>
    <s v="Kachin"/>
    <s v="Momauk"/>
    <s v="Seng Ja "/>
    <m/>
    <m/>
    <n v="61"/>
    <m/>
    <m/>
    <m/>
    <m/>
    <m/>
    <m/>
    <m/>
    <m/>
    <m/>
    <m/>
    <m/>
    <m/>
    <m/>
    <m/>
    <n v="0"/>
    <n v="0"/>
    <n v="0"/>
    <n v="0"/>
    <n v="0"/>
    <n v="0"/>
    <n v="0"/>
    <n v="0"/>
    <n v="0"/>
    <n v="0"/>
    <n v="0"/>
    <n v="0"/>
    <n v="0"/>
    <n v="0"/>
    <n v="0"/>
    <n v="0"/>
    <n v="0"/>
    <n v="0"/>
    <s v="MMR001CMP073"/>
    <x v="0"/>
    <x v="1"/>
    <s v="P3"/>
    <n v="0"/>
    <m/>
  </r>
  <r>
    <n v="34.766666666666666"/>
    <d v="2014-02-23T00:00:00"/>
    <x v="8"/>
    <s v="MRCS"/>
    <s v="Kachin"/>
    <s v="Momauk"/>
    <s v="Seng Ja "/>
    <m/>
    <m/>
    <m/>
    <m/>
    <m/>
    <m/>
    <m/>
    <m/>
    <m/>
    <m/>
    <m/>
    <m/>
    <m/>
    <n v="376"/>
    <m/>
    <m/>
    <m/>
    <n v="0"/>
    <n v="0"/>
    <n v="0"/>
    <n v="0"/>
    <n v="0"/>
    <n v="0"/>
    <n v="0"/>
    <n v="0"/>
    <n v="0"/>
    <n v="0"/>
    <n v="0"/>
    <n v="0"/>
    <n v="0"/>
    <n v="0"/>
    <n v="1"/>
    <n v="0"/>
    <n v="0"/>
    <n v="0"/>
    <s v="MMR001CMP073"/>
    <x v="0"/>
    <x v="1"/>
    <s v="P3"/>
    <n v="0"/>
    <m/>
  </r>
  <r>
    <n v="37.6"/>
    <d v="2013-11-30T00:00:00"/>
    <x v="4"/>
    <m/>
    <s v="Kachin"/>
    <s v="Momauk"/>
    <s v="Seng Ja "/>
    <m/>
    <m/>
    <m/>
    <m/>
    <m/>
    <m/>
    <m/>
    <m/>
    <m/>
    <n v="99"/>
    <m/>
    <m/>
    <m/>
    <m/>
    <m/>
    <m/>
    <m/>
    <n v="0"/>
    <n v="0"/>
    <n v="0"/>
    <n v="0"/>
    <n v="0"/>
    <n v="0"/>
    <n v="0"/>
    <n v="0"/>
    <n v="0"/>
    <n v="0"/>
    <n v="0"/>
    <n v="0"/>
    <n v="0"/>
    <n v="0"/>
    <n v="0"/>
    <n v="0"/>
    <n v="0"/>
    <n v="0"/>
    <s v="MMR001CMP073"/>
    <x v="0"/>
    <x v="1"/>
    <s v="P3"/>
    <n v="0"/>
    <s v="No"/>
  </r>
  <r>
    <n v="38.133333333333333"/>
    <d v="2013-11-14T00:00:00"/>
    <x v="3"/>
    <m/>
    <s v="Kachin"/>
    <s v="Momauk"/>
    <s v="Seng Ja "/>
    <m/>
    <m/>
    <m/>
    <m/>
    <m/>
    <n v="110"/>
    <m/>
    <m/>
    <m/>
    <m/>
    <m/>
    <m/>
    <m/>
    <m/>
    <m/>
    <m/>
    <m/>
    <n v="0"/>
    <n v="0"/>
    <n v="0"/>
    <n v="0"/>
    <n v="0"/>
    <n v="0"/>
    <n v="0"/>
    <n v="0"/>
    <n v="0"/>
    <n v="0"/>
    <n v="0"/>
    <n v="0"/>
    <n v="0"/>
    <n v="0"/>
    <n v="0"/>
    <n v="0"/>
    <n v="0"/>
    <n v="0"/>
    <s v="MMR001CMP073"/>
    <x v="0"/>
    <x v="1"/>
    <s v="P3"/>
    <n v="0"/>
    <s v="No"/>
  </r>
  <r>
    <n v="46.666666666666664"/>
    <d v="2013-03-03T00:00:00"/>
    <x v="4"/>
    <s v="Solidarities"/>
    <s v="Kachin"/>
    <s v="Momauk"/>
    <s v="Seng Ja "/>
    <n v="33"/>
    <m/>
    <m/>
    <m/>
    <m/>
    <m/>
    <m/>
    <m/>
    <n v="0"/>
    <n v="0"/>
    <m/>
    <m/>
    <m/>
    <m/>
    <m/>
    <m/>
    <m/>
    <n v="0"/>
    <n v="0"/>
    <n v="0"/>
    <n v="0"/>
    <n v="0"/>
    <n v="0"/>
    <n v="0"/>
    <n v="0"/>
    <n v="0"/>
    <n v="0"/>
    <n v="0"/>
    <n v="0"/>
    <n v="0"/>
    <n v="0"/>
    <n v="0"/>
    <n v="0"/>
    <n v="0"/>
    <n v="0"/>
    <s v="MMR001CMP073"/>
    <x v="0"/>
    <x v="1"/>
    <s v="P3"/>
    <n v="0"/>
    <s v="No"/>
  </r>
  <r>
    <n v="51.43333333333333"/>
    <d v="2012-10-11T00:00:00"/>
    <x v="0"/>
    <s v="UNHCR"/>
    <s v="Kachin"/>
    <s v="Momauk"/>
    <s v="Seng Ja "/>
    <m/>
    <m/>
    <m/>
    <n v="28"/>
    <n v="17"/>
    <n v="28"/>
    <n v="17"/>
    <n v="17"/>
    <n v="17"/>
    <n v="17"/>
    <m/>
    <m/>
    <m/>
    <m/>
    <m/>
    <m/>
    <m/>
    <n v="0"/>
    <n v="0"/>
    <n v="0"/>
    <n v="0"/>
    <n v="0"/>
    <n v="0"/>
    <n v="0"/>
    <n v="0"/>
    <n v="0"/>
    <n v="0"/>
    <n v="0"/>
    <n v="0"/>
    <n v="0"/>
    <n v="0"/>
    <n v="0"/>
    <n v="0"/>
    <n v="0"/>
    <n v="0"/>
    <s v="MMR001CMP073"/>
    <x v="0"/>
    <x v="1"/>
    <s v="P3"/>
    <n v="4.1340401731433294E-4"/>
    <s v="No"/>
  </r>
  <r>
    <n v="52.633333333333333"/>
    <d v="2012-09-05T00:00:00"/>
    <x v="0"/>
    <s v="UNHCR"/>
    <s v="Kachin"/>
    <s v="Momauk"/>
    <s v="Seng Ja "/>
    <m/>
    <m/>
    <m/>
    <n v="26"/>
    <n v="11"/>
    <n v="26"/>
    <n v="11"/>
    <n v="11"/>
    <n v="11"/>
    <n v="11"/>
    <m/>
    <m/>
    <m/>
    <m/>
    <m/>
    <m/>
    <m/>
    <n v="0"/>
    <n v="0"/>
    <n v="0"/>
    <n v="0"/>
    <n v="0"/>
    <n v="0"/>
    <n v="0"/>
    <n v="0"/>
    <n v="0"/>
    <n v="0"/>
    <n v="0"/>
    <n v="0"/>
    <n v="0"/>
    <n v="0"/>
    <n v="0"/>
    <n v="0"/>
    <n v="0"/>
    <n v="0"/>
    <s v="MMR001CMP073"/>
    <x v="0"/>
    <x v="1"/>
    <s v="P3"/>
    <n v="2.6749671708574483E-4"/>
    <s v="No"/>
  </r>
  <r>
    <n v="57.966666666666669"/>
    <d v="2012-03-29T00:00:00"/>
    <x v="0"/>
    <s v="UNHCR"/>
    <s v="Kachin"/>
    <s v="Momauk"/>
    <s v="Seng Ja "/>
    <m/>
    <m/>
    <m/>
    <n v="66"/>
    <n v="66"/>
    <n v="0"/>
    <n v="0"/>
    <n v="0"/>
    <m/>
    <m/>
    <m/>
    <m/>
    <m/>
    <m/>
    <m/>
    <m/>
    <m/>
    <n v="0"/>
    <n v="0"/>
    <n v="0"/>
    <n v="0"/>
    <n v="0"/>
    <n v="0"/>
    <n v="0"/>
    <n v="0"/>
    <n v="0"/>
    <n v="0"/>
    <n v="0"/>
    <n v="0"/>
    <n v="0"/>
    <n v="0"/>
    <n v="0"/>
    <n v="0"/>
    <n v="0"/>
    <n v="0"/>
    <s v="MMR001CMP073"/>
    <x v="0"/>
    <x v="1"/>
    <s v="P3"/>
    <n v="0"/>
    <s v="No"/>
  </r>
  <r>
    <n v="4.0999999999999996"/>
    <d v="2016-08-31T00:00:00"/>
    <x v="4"/>
    <s v="Solidarities"/>
    <s v="Kachin"/>
    <s v="Hpakant"/>
    <s v="Shar Du Zut KBC church "/>
    <n v="165"/>
    <n v="139"/>
    <m/>
    <m/>
    <m/>
    <m/>
    <m/>
    <m/>
    <m/>
    <m/>
    <m/>
    <m/>
    <m/>
    <m/>
    <n v="8"/>
    <m/>
    <m/>
    <n v="165"/>
    <n v="139"/>
    <n v="0"/>
    <n v="0"/>
    <n v="0"/>
    <n v="0"/>
    <n v="0"/>
    <n v="0"/>
    <n v="0"/>
    <n v="0"/>
    <n v="0"/>
    <n v="0"/>
    <n v="0"/>
    <n v="0"/>
    <n v="0"/>
    <n v="8"/>
    <n v="0"/>
    <n v="0"/>
    <s v="MMR001CMP244"/>
    <x v="1"/>
    <x v="1"/>
    <n v="0"/>
    <n v="0"/>
    <m/>
  </r>
  <r>
    <n v="4.9333333333333336"/>
    <d v="2016-08-06T00:00:00"/>
    <x v="0"/>
    <s v="KMSS"/>
    <s v="Kachin"/>
    <s v="Hpakant"/>
    <s v="Shar Du Zut RC church"/>
    <m/>
    <n v="7"/>
    <n v="7"/>
    <n v="7"/>
    <n v="7"/>
    <n v="9"/>
    <n v="7"/>
    <m/>
    <n v="7"/>
    <n v="11"/>
    <m/>
    <m/>
    <m/>
    <m/>
    <n v="7"/>
    <m/>
    <m/>
    <n v="0"/>
    <n v="7"/>
    <n v="7"/>
    <n v="7"/>
    <n v="7"/>
    <n v="9"/>
    <n v="7"/>
    <n v="0"/>
    <n v="7"/>
    <n v="27.5"/>
    <n v="0"/>
    <n v="0"/>
    <n v="0"/>
    <n v="0"/>
    <n v="0"/>
    <n v="7"/>
    <n v="0"/>
    <n v="0"/>
    <s v="MMR001CMP246"/>
    <x v="1"/>
    <x v="1"/>
    <n v="0"/>
    <n v="1.6438098816456886E-4"/>
    <s v="No"/>
  </r>
  <r>
    <n v="32.266666666666666"/>
    <d v="2014-05-09T00:00:00"/>
    <x v="8"/>
    <s v="MRCS"/>
    <s v="Kachin"/>
    <s v="Myitkyina"/>
    <s v="Shatapru Sut Ngai Tawng"/>
    <m/>
    <m/>
    <m/>
    <m/>
    <m/>
    <m/>
    <m/>
    <m/>
    <m/>
    <m/>
    <m/>
    <m/>
    <m/>
    <n v="208"/>
    <m/>
    <m/>
    <m/>
    <n v="0"/>
    <n v="0"/>
    <n v="0"/>
    <n v="0"/>
    <n v="0"/>
    <n v="0"/>
    <n v="0"/>
    <n v="0"/>
    <n v="0"/>
    <n v="0"/>
    <n v="0"/>
    <n v="0"/>
    <n v="0"/>
    <n v="0"/>
    <n v="1"/>
    <n v="0"/>
    <n v="0"/>
    <n v="0"/>
    <s v="MMR001CMP006"/>
    <x v="0"/>
    <x v="1"/>
    <s v="P4"/>
    <n v="0"/>
    <m/>
  </r>
  <r>
    <n v="41.9"/>
    <d v="2013-07-24T00:00:00"/>
    <x v="0"/>
    <s v="KBC"/>
    <s v="Kachin"/>
    <s v="Myitkyina"/>
    <s v="Shatapru Sut Ngai Tawng"/>
    <m/>
    <m/>
    <n v="21"/>
    <n v="36"/>
    <n v="16"/>
    <n v="36"/>
    <n v="16"/>
    <n v="16"/>
    <n v="16"/>
    <n v="16"/>
    <m/>
    <m/>
    <m/>
    <m/>
    <m/>
    <m/>
    <m/>
    <n v="0"/>
    <n v="0"/>
    <n v="0"/>
    <n v="0"/>
    <n v="0"/>
    <n v="0"/>
    <n v="0"/>
    <n v="0"/>
    <n v="0"/>
    <n v="0"/>
    <n v="0"/>
    <n v="0"/>
    <n v="0"/>
    <n v="0"/>
    <n v="0"/>
    <n v="0"/>
    <n v="0"/>
    <n v="0"/>
    <s v="MMR001CMP006"/>
    <x v="0"/>
    <x v="1"/>
    <s v="P4"/>
    <n v="3.92580233585239E-4"/>
    <s v="No"/>
  </r>
  <r>
    <n v="47.4"/>
    <d v="2013-02-09T00:00:00"/>
    <x v="2"/>
    <s v="MRCS"/>
    <s v="Kachin"/>
    <s v="Myitkyina"/>
    <s v="Shatapru Sut Ngai Tawng"/>
    <m/>
    <m/>
    <m/>
    <m/>
    <n v="109"/>
    <n v="10"/>
    <n v="10"/>
    <m/>
    <n v="0"/>
    <n v="0"/>
    <m/>
    <m/>
    <m/>
    <m/>
    <m/>
    <m/>
    <m/>
    <n v="0"/>
    <n v="0"/>
    <n v="0"/>
    <n v="0"/>
    <n v="0"/>
    <n v="0"/>
    <n v="0"/>
    <n v="0"/>
    <n v="0"/>
    <n v="0"/>
    <n v="0"/>
    <n v="0"/>
    <n v="0"/>
    <n v="0"/>
    <n v="0"/>
    <n v="0"/>
    <n v="0"/>
    <n v="0"/>
    <s v="MMR001CMP006"/>
    <x v="0"/>
    <x v="1"/>
    <s v="P4"/>
    <n v="2.4536264599077438E-4"/>
    <s v="No"/>
  </r>
  <r>
    <n v="54.266666666666666"/>
    <d v="2012-07-18T00:00:00"/>
    <x v="0"/>
    <s v="UNHCR"/>
    <s v="Kachin"/>
    <s v="Mansi"/>
    <s v="Mung Ding Pa  (Boarder)"/>
    <m/>
    <m/>
    <m/>
    <n v="170"/>
    <n v="16"/>
    <n v="170"/>
    <n v="85"/>
    <n v="85"/>
    <n v="85"/>
    <n v="85"/>
    <m/>
    <m/>
    <m/>
    <m/>
    <m/>
    <m/>
    <m/>
    <n v="0"/>
    <n v="0"/>
    <n v="0"/>
    <n v="0"/>
    <n v="0"/>
    <n v="0"/>
    <n v="0"/>
    <n v="0"/>
    <n v="0"/>
    <n v="0"/>
    <n v="0"/>
    <n v="0"/>
    <n v="0"/>
    <n v="0"/>
    <n v="0"/>
    <n v="0"/>
    <n v="0"/>
    <n v="0"/>
    <s v="MMR001CMP203"/>
    <x v="0"/>
    <x v="0"/>
    <s v=""/>
    <n v="2.0685794942931542E-3"/>
    <s v="No"/>
  </r>
  <r>
    <n v="54.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0"/>
    <s v=""/>
    <s v=""/>
    <s v="No"/>
  </r>
  <r>
    <n v="47.533333333333331"/>
    <d v="2013-02-05T00:00:00"/>
    <x v="2"/>
    <s v="MRCS"/>
    <s v="Kachin"/>
    <s v="Myitkyina"/>
    <s v="Shatapru Sut Ngai Tawng"/>
    <n v="36"/>
    <m/>
    <m/>
    <m/>
    <m/>
    <m/>
    <m/>
    <m/>
    <n v="0"/>
    <n v="0"/>
    <m/>
    <m/>
    <m/>
    <m/>
    <m/>
    <m/>
    <m/>
    <n v="0"/>
    <n v="0"/>
    <n v="0"/>
    <n v="0"/>
    <n v="0"/>
    <n v="0"/>
    <n v="0"/>
    <n v="0"/>
    <n v="0"/>
    <n v="0"/>
    <n v="0"/>
    <n v="0"/>
    <n v="0"/>
    <n v="0"/>
    <n v="0"/>
    <n v="0"/>
    <n v="0"/>
    <n v="0"/>
    <s v="MMR001CMP006"/>
    <x v="0"/>
    <x v="1"/>
    <s v="P4"/>
    <n v="0"/>
    <s v="No"/>
  </r>
  <r>
    <n v="61.6"/>
    <d v="2011-12-11T00:00:00"/>
    <x v="0"/>
    <s v="KBC"/>
    <s v="Kachin"/>
    <s v="Myitkyina"/>
    <s v="Shatapru Sut Ngai Tawng"/>
    <m/>
    <m/>
    <m/>
    <n v="2"/>
    <n v="2"/>
    <n v="2"/>
    <n v="2"/>
    <n v="2"/>
    <n v="2"/>
    <n v="2"/>
    <m/>
    <m/>
    <m/>
    <m/>
    <m/>
    <m/>
    <m/>
    <n v="0"/>
    <n v="0"/>
    <n v="0"/>
    <n v="0"/>
    <n v="0"/>
    <n v="0"/>
    <n v="0"/>
    <n v="0"/>
    <n v="0"/>
    <n v="0"/>
    <n v="0"/>
    <n v="0"/>
    <n v="0"/>
    <n v="0"/>
    <n v="0"/>
    <n v="0"/>
    <n v="0"/>
    <n v="0"/>
    <s v="MMR001CMP006"/>
    <x v="0"/>
    <x v="1"/>
    <s v="P4"/>
    <n v="4.9072529198154875E-5"/>
    <s v="No"/>
  </r>
  <r>
    <n v="62.9"/>
    <d v="2011-11-02T00:00:00"/>
    <x v="0"/>
    <s v="KBC"/>
    <s v="Kachin"/>
    <s v="Myitkyina"/>
    <s v="Shatapru Sut Ngai Tawng"/>
    <m/>
    <m/>
    <m/>
    <n v="219"/>
    <n v="117"/>
    <n v="219"/>
    <n v="117"/>
    <n v="117"/>
    <n v="117"/>
    <n v="117"/>
    <m/>
    <m/>
    <m/>
    <m/>
    <m/>
    <m/>
    <m/>
    <n v="0"/>
    <n v="0"/>
    <n v="0"/>
    <n v="0"/>
    <n v="0"/>
    <n v="0"/>
    <n v="0"/>
    <n v="0"/>
    <n v="0"/>
    <n v="0"/>
    <n v="0"/>
    <n v="0"/>
    <n v="0"/>
    <n v="0"/>
    <n v="0"/>
    <n v="0"/>
    <n v="0"/>
    <n v="0"/>
    <s v="MMR001CMP006"/>
    <x v="0"/>
    <x v="1"/>
    <s v="P4"/>
    <n v="2.87074295809206E-3"/>
    <s v="No"/>
  </r>
  <r>
    <n v="27.433333333333334"/>
    <d v="2014-10-01T00:00:00"/>
    <x v="0"/>
    <s v="Shalom"/>
    <s v="Kachin"/>
    <s v="Myitkyina"/>
    <s v="Shatapru Thida Aye Baptist Church"/>
    <m/>
    <m/>
    <m/>
    <n v="30"/>
    <m/>
    <m/>
    <m/>
    <m/>
    <m/>
    <m/>
    <m/>
    <m/>
    <m/>
    <m/>
    <m/>
    <m/>
    <m/>
    <n v="0"/>
    <n v="0"/>
    <n v="0"/>
    <n v="0"/>
    <n v="0"/>
    <n v="0"/>
    <n v="0"/>
    <n v="0"/>
    <n v="0"/>
    <n v="0"/>
    <n v="0"/>
    <n v="0"/>
    <n v="0"/>
    <n v="0"/>
    <n v="0"/>
    <n v="0"/>
    <n v="0"/>
    <n v="0"/>
    <s v="MMR001CMP007"/>
    <x v="0"/>
    <x v="1"/>
    <s v="P4"/>
    <n v="0"/>
    <m/>
  </r>
  <r>
    <n v="31.866666666666667"/>
    <d v="2014-05-21T00:00:00"/>
    <x v="8"/>
    <s v="MRCS"/>
    <s v="Kachin"/>
    <s v="Myitkyina"/>
    <s v="Shatapru Thida Aye Baptist Church"/>
    <m/>
    <m/>
    <m/>
    <m/>
    <m/>
    <m/>
    <m/>
    <m/>
    <m/>
    <m/>
    <m/>
    <m/>
    <m/>
    <n v="30"/>
    <m/>
    <m/>
    <m/>
    <n v="0"/>
    <n v="0"/>
    <n v="0"/>
    <n v="0"/>
    <n v="0"/>
    <n v="0"/>
    <n v="0"/>
    <n v="0"/>
    <n v="0"/>
    <n v="0"/>
    <n v="0"/>
    <n v="0"/>
    <n v="0"/>
    <n v="0"/>
    <n v="1"/>
    <n v="0"/>
    <n v="0"/>
    <n v="0"/>
    <s v="MMR001CMP007"/>
    <x v="0"/>
    <x v="1"/>
    <s v="P4"/>
    <n v="0"/>
    <m/>
  </r>
  <r>
    <n v="48.733333333333334"/>
    <d v="2012-12-31T00:00:00"/>
    <x v="3"/>
    <s v="DRC"/>
    <s v="Kachin"/>
    <s v="Myitkyina"/>
    <s v="Shatapru Thida Aye Baptist Church"/>
    <n v="17"/>
    <m/>
    <m/>
    <m/>
    <m/>
    <m/>
    <m/>
    <m/>
    <n v="0"/>
    <n v="0"/>
    <m/>
    <m/>
    <m/>
    <m/>
    <m/>
    <m/>
    <m/>
    <n v="0"/>
    <n v="0"/>
    <n v="0"/>
    <n v="0"/>
    <n v="0"/>
    <n v="0"/>
    <n v="0"/>
    <n v="0"/>
    <n v="0"/>
    <n v="0"/>
    <n v="0"/>
    <n v="0"/>
    <n v="0"/>
    <n v="0"/>
    <n v="0"/>
    <n v="0"/>
    <n v="0"/>
    <n v="0"/>
    <s v="MMR001CMP007"/>
    <x v="0"/>
    <x v="1"/>
    <s v="P4"/>
    <n v="0"/>
    <s v="No"/>
  </r>
  <r>
    <n v="54.1"/>
    <d v="2012-07-23T00:00:00"/>
    <x v="0"/>
    <s v="UNHCR"/>
    <s v="Kachin"/>
    <s v="Myitkyina"/>
    <s v="Shatapru Thida Aye Baptist Church"/>
    <m/>
    <m/>
    <m/>
    <n v="30"/>
    <n v="12"/>
    <n v="30"/>
    <n v="12"/>
    <n v="14"/>
    <n v="14"/>
    <n v="14"/>
    <m/>
    <m/>
    <m/>
    <m/>
    <m/>
    <m/>
    <m/>
    <n v="0"/>
    <n v="0"/>
    <n v="0"/>
    <n v="0"/>
    <n v="0"/>
    <n v="0"/>
    <n v="0"/>
    <n v="0"/>
    <n v="0"/>
    <n v="0"/>
    <n v="0"/>
    <n v="0"/>
    <n v="0"/>
    <n v="0"/>
    <n v="0"/>
    <n v="0"/>
    <n v="0"/>
    <n v="0"/>
    <s v="MMR001CMP007"/>
    <x v="0"/>
    <x v="1"/>
    <s v="P4"/>
    <n v="2.9333398518663372E-4"/>
    <s v="No"/>
  </r>
  <r>
    <n v="54.3"/>
    <d v="2012-07-17T00:00:00"/>
    <x v="0"/>
    <s v="UNHCR"/>
    <s v="Kachin"/>
    <s v="Myitkyina"/>
    <s v="Shatapru Thida Aye Baptist Church"/>
    <m/>
    <m/>
    <m/>
    <n v="3"/>
    <n v="3"/>
    <n v="3"/>
    <n v="3"/>
    <n v="3"/>
    <n v="3"/>
    <n v="3"/>
    <m/>
    <m/>
    <m/>
    <m/>
    <m/>
    <m/>
    <m/>
    <n v="0"/>
    <n v="0"/>
    <n v="0"/>
    <n v="0"/>
    <n v="0"/>
    <n v="0"/>
    <n v="0"/>
    <n v="0"/>
    <n v="0"/>
    <n v="0"/>
    <n v="0"/>
    <n v="0"/>
    <n v="0"/>
    <n v="0"/>
    <n v="0"/>
    <n v="0"/>
    <n v="0"/>
    <n v="0"/>
    <s v="MMR001CMP007"/>
    <x v="0"/>
    <x v="1"/>
    <s v="P4"/>
    <n v="7.333349629665843E-5"/>
    <s v="No"/>
  </r>
  <r>
    <n v="54.3"/>
    <d v="2012-07-17T00:00:00"/>
    <x v="0"/>
    <s v="UNHCR"/>
    <s v="Kachin"/>
    <s v="Mansi"/>
    <s v="Lung Kawk  ( Hka Hkye Zup)"/>
    <m/>
    <m/>
    <m/>
    <n v="0"/>
    <n v="0"/>
    <n v="0"/>
    <n v="0"/>
    <n v="0"/>
    <m/>
    <m/>
    <m/>
    <m/>
    <m/>
    <m/>
    <m/>
    <m/>
    <m/>
    <n v="0"/>
    <n v="0"/>
    <n v="0"/>
    <n v="0"/>
    <n v="0"/>
    <n v="0"/>
    <n v="0"/>
    <n v="0"/>
    <n v="0"/>
    <n v="0"/>
    <n v="0"/>
    <n v="0"/>
    <n v="0"/>
    <n v="0"/>
    <n v="0"/>
    <n v="0"/>
    <n v="0"/>
    <n v="0"/>
    <s v="MMR001CMP135"/>
    <x v="0"/>
    <x v="0"/>
    <s v="P2"/>
    <n v="0"/>
    <s v="No"/>
  </r>
  <r>
    <n v="62.9"/>
    <d v="2011-11-02T00:00:00"/>
    <x v="0"/>
    <s v="KBC"/>
    <s v="Kachin"/>
    <s v="Myitkyina"/>
    <s v="Shatapru Thida Aye Baptist Church"/>
    <m/>
    <m/>
    <m/>
    <n v="2"/>
    <n v="1"/>
    <n v="2"/>
    <n v="1"/>
    <n v="1"/>
    <n v="1"/>
    <n v="1"/>
    <m/>
    <m/>
    <m/>
    <m/>
    <m/>
    <m/>
    <m/>
    <n v="0"/>
    <n v="0"/>
    <n v="0"/>
    <n v="0"/>
    <n v="0"/>
    <n v="0"/>
    <n v="0"/>
    <n v="0"/>
    <n v="0"/>
    <n v="0"/>
    <n v="0"/>
    <n v="0"/>
    <n v="0"/>
    <n v="0"/>
    <n v="0"/>
    <n v="0"/>
    <n v="0"/>
    <n v="0"/>
    <s v="MMR001CMP007"/>
    <x v="0"/>
    <x v="1"/>
    <s v="P4"/>
    <n v="2.4444498765552813E-5"/>
    <s v="No"/>
  </r>
  <r>
    <n v="24.366666666666667"/>
    <d v="2015-01-01T00:00:00"/>
    <x v="0"/>
    <s v="KBC"/>
    <s v="Kachin"/>
    <s v="Waingmaw"/>
    <s v="Shing Jai"/>
    <m/>
    <m/>
    <m/>
    <m/>
    <m/>
    <m/>
    <n v="50"/>
    <m/>
    <m/>
    <m/>
    <m/>
    <m/>
    <m/>
    <m/>
    <m/>
    <m/>
    <n v="90"/>
    <n v="0"/>
    <n v="0"/>
    <n v="0"/>
    <n v="0"/>
    <n v="0"/>
    <n v="0"/>
    <n v="0"/>
    <n v="0"/>
    <n v="0"/>
    <n v="0"/>
    <n v="0"/>
    <n v="0"/>
    <n v="0"/>
    <n v="0"/>
    <n v="0"/>
    <n v="0"/>
    <n v="0"/>
    <n v="0"/>
    <s v="MMR001CMP041"/>
    <x v="0"/>
    <x v="1"/>
    <s v="P1"/>
    <n v="1.2240501370936153E-3"/>
    <s v="No"/>
  </r>
  <r>
    <n v="24.433333333333334"/>
    <d v="2014-12-30T00:00:00"/>
    <x v="0"/>
    <s v="KBC"/>
    <s v="Kachin"/>
    <s v="Waingmaw"/>
    <s v="Shing Jai"/>
    <m/>
    <m/>
    <n v="120"/>
    <n v="240"/>
    <n v="135"/>
    <n v="240"/>
    <n v="170"/>
    <n v="120"/>
    <n v="120"/>
    <n v="600"/>
    <m/>
    <m/>
    <m/>
    <m/>
    <m/>
    <m/>
    <m/>
    <n v="0"/>
    <n v="0"/>
    <n v="0"/>
    <n v="0"/>
    <n v="0"/>
    <n v="0"/>
    <n v="0"/>
    <n v="0"/>
    <n v="0"/>
    <n v="0"/>
    <n v="0"/>
    <n v="0"/>
    <n v="0"/>
    <n v="0"/>
    <n v="0"/>
    <n v="0"/>
    <n v="0"/>
    <n v="0"/>
    <s v="MMR001CMP041"/>
    <x v="0"/>
    <x v="1"/>
    <s v="P1"/>
    <n v="4.1617704661182919E-3"/>
    <m/>
  </r>
  <r>
    <n v="28.433333333333334"/>
    <d v="2014-09-01T00:00:00"/>
    <x v="10"/>
    <m/>
    <s v="Kachin"/>
    <s v="Waingmaw"/>
    <s v="Shing Jai"/>
    <m/>
    <m/>
    <m/>
    <m/>
    <m/>
    <m/>
    <m/>
    <m/>
    <m/>
    <m/>
    <m/>
    <n v="288"/>
    <m/>
    <m/>
    <m/>
    <m/>
    <m/>
    <n v="0"/>
    <n v="0"/>
    <n v="0"/>
    <n v="0"/>
    <n v="0"/>
    <n v="0"/>
    <n v="0"/>
    <n v="0"/>
    <n v="0"/>
    <n v="0"/>
    <n v="0"/>
    <n v="0"/>
    <n v="0"/>
    <n v="0"/>
    <n v="1"/>
    <n v="0"/>
    <n v="0"/>
    <n v="0"/>
    <s v="MMR001CMP041"/>
    <x v="0"/>
    <x v="1"/>
    <s v="P1"/>
    <n v="0"/>
    <m/>
  </r>
  <r>
    <n v="35.733333333333334"/>
    <d v="2014-01-25T00:00:00"/>
    <x v="10"/>
    <s v="KBC"/>
    <s v="Kachin"/>
    <s v="Waingmaw"/>
    <s v="Shing Jai"/>
    <m/>
    <m/>
    <m/>
    <m/>
    <m/>
    <n v="198"/>
    <n v="198"/>
    <n v="198"/>
    <m/>
    <n v="198"/>
    <m/>
    <m/>
    <m/>
    <m/>
    <m/>
    <m/>
    <m/>
    <n v="0"/>
    <n v="0"/>
    <n v="0"/>
    <n v="0"/>
    <n v="0"/>
    <n v="0"/>
    <n v="0"/>
    <n v="0"/>
    <n v="0"/>
    <n v="0"/>
    <n v="0"/>
    <n v="0"/>
    <n v="0"/>
    <n v="0"/>
    <n v="0"/>
    <n v="0"/>
    <n v="0"/>
    <n v="0"/>
    <s v="MMR001CMP041"/>
    <x v="0"/>
    <x v="1"/>
    <s v="P1"/>
    <n v="4.847238542890717E-3"/>
    <s v="No"/>
  </r>
  <r>
    <n v="54.3"/>
    <d v="2012-07-17T00:00:00"/>
    <x v="0"/>
    <s v="UNHCR"/>
    <s v="Kachin"/>
    <s v="Waingmaw"/>
    <s v="Moke Lwe Village - Hkar Shi"/>
    <m/>
    <m/>
    <m/>
    <n v="0"/>
    <n v="0"/>
    <n v="0"/>
    <n v="0"/>
    <n v="0"/>
    <m/>
    <m/>
    <m/>
    <m/>
    <m/>
    <m/>
    <m/>
    <m/>
    <m/>
    <n v="0"/>
    <n v="0"/>
    <n v="0"/>
    <n v="0"/>
    <n v="0"/>
    <n v="0"/>
    <n v="0"/>
    <n v="0"/>
    <n v="0"/>
    <n v="0"/>
    <n v="0"/>
    <n v="0"/>
    <n v="0"/>
    <n v="0"/>
    <n v="0"/>
    <n v="0"/>
    <n v="0"/>
    <n v="0"/>
    <s v="MMR001CMP035"/>
    <x v="0"/>
    <x v="0"/>
    <s v=""/>
    <s v=""/>
    <s v="No"/>
  </r>
  <r>
    <n v="37.033333333333331"/>
    <d v="2013-12-17T00:00:00"/>
    <x v="4"/>
    <s v="KBC"/>
    <s v="Kachin"/>
    <s v="Waingmaw"/>
    <s v="Shing Jai"/>
    <m/>
    <m/>
    <m/>
    <m/>
    <m/>
    <m/>
    <m/>
    <m/>
    <m/>
    <m/>
    <n v="188"/>
    <n v="343"/>
    <n v="1062"/>
    <n v="531"/>
    <m/>
    <m/>
    <m/>
    <n v="0"/>
    <n v="0"/>
    <n v="0"/>
    <n v="0"/>
    <n v="0"/>
    <n v="0"/>
    <n v="0"/>
    <n v="0"/>
    <n v="0"/>
    <n v="0"/>
    <n v="0"/>
    <n v="0"/>
    <n v="0"/>
    <n v="0"/>
    <n v="1"/>
    <n v="0"/>
    <n v="0"/>
    <n v="0"/>
    <s v="MMR001CMP041"/>
    <x v="0"/>
    <x v="1"/>
    <s v="P1"/>
    <n v="0"/>
    <m/>
  </r>
  <r>
    <n v="37.6"/>
    <d v="2013-11-30T00:00:00"/>
    <x v="4"/>
    <s v="KBC"/>
    <s v="Kachin"/>
    <s v="Waingmaw"/>
    <s v="Shing Jai"/>
    <m/>
    <m/>
    <m/>
    <m/>
    <m/>
    <m/>
    <m/>
    <m/>
    <m/>
    <m/>
    <m/>
    <m/>
    <m/>
    <m/>
    <m/>
    <m/>
    <m/>
    <n v="0"/>
    <n v="0"/>
    <n v="0"/>
    <n v="0"/>
    <n v="0"/>
    <n v="0"/>
    <n v="0"/>
    <n v="0"/>
    <n v="0"/>
    <n v="0"/>
    <n v="0"/>
    <n v="0"/>
    <n v="0"/>
    <n v="0"/>
    <n v="0"/>
    <n v="0"/>
    <n v="0"/>
    <n v="0"/>
    <s v="MMR001CMP041"/>
    <x v="0"/>
    <x v="1"/>
    <s v="P1"/>
    <n v="0"/>
    <s v="No"/>
  </r>
  <r>
    <n v="47.7"/>
    <d v="2013-01-31T00:00:00"/>
    <x v="9"/>
    <s v="World Vision"/>
    <s v="Kachin"/>
    <s v="Waingmaw"/>
    <s v="Shing Jai"/>
    <m/>
    <m/>
    <m/>
    <m/>
    <m/>
    <n v="358"/>
    <m/>
    <m/>
    <n v="0"/>
    <n v="0"/>
    <m/>
    <m/>
    <m/>
    <m/>
    <m/>
    <m/>
    <m/>
    <n v="0"/>
    <n v="0"/>
    <n v="0"/>
    <n v="0"/>
    <n v="0"/>
    <n v="0"/>
    <n v="0"/>
    <n v="0"/>
    <n v="0"/>
    <n v="0"/>
    <n v="0"/>
    <n v="0"/>
    <n v="0"/>
    <n v="0"/>
    <n v="0"/>
    <n v="0"/>
    <n v="0"/>
    <n v="0"/>
    <s v="MMR001CMP041"/>
    <x v="0"/>
    <x v="1"/>
    <s v="P1"/>
    <n v="0"/>
    <s v="No"/>
  </r>
  <r>
    <n v="60.56666666666667"/>
    <d v="2012-01-11T00:00:00"/>
    <x v="0"/>
    <s v="KBC"/>
    <s v="Kachin"/>
    <s v="Waingmaw"/>
    <s v="Shing Jai"/>
    <m/>
    <m/>
    <m/>
    <n v="536"/>
    <n v="268"/>
    <n v="536"/>
    <n v="268"/>
    <n v="268"/>
    <n v="268"/>
    <n v="268"/>
    <m/>
    <m/>
    <m/>
    <m/>
    <m/>
    <m/>
    <m/>
    <n v="0"/>
    <n v="0"/>
    <n v="0"/>
    <n v="0"/>
    <n v="0"/>
    <n v="0"/>
    <n v="0"/>
    <n v="0"/>
    <n v="0"/>
    <n v="0"/>
    <n v="0"/>
    <n v="0"/>
    <n v="0"/>
    <n v="0"/>
    <n v="0"/>
    <n v="0"/>
    <n v="0"/>
    <n v="0"/>
    <s v="MMR001CMP041"/>
    <x v="0"/>
    <x v="1"/>
    <s v="P1"/>
    <n v="6.5609087348217779E-3"/>
    <s v="No"/>
  </r>
  <r>
    <n v="13.366666666666667"/>
    <d v="2015-11-27T00:00:00"/>
    <x v="0"/>
    <s v="KBC"/>
    <s v="Kachin"/>
    <s v="Shwegu"/>
    <s v="Shwe Gu Baptist Church"/>
    <m/>
    <m/>
    <m/>
    <m/>
    <n v="9"/>
    <n v="23"/>
    <n v="10"/>
    <m/>
    <n v="8"/>
    <n v="24"/>
    <m/>
    <m/>
    <m/>
    <m/>
    <n v="6"/>
    <m/>
    <m/>
    <n v="0"/>
    <n v="0"/>
    <n v="0"/>
    <n v="0"/>
    <n v="0"/>
    <n v="0"/>
    <n v="0"/>
    <n v="0"/>
    <n v="0"/>
    <n v="0"/>
    <n v="0"/>
    <n v="0"/>
    <n v="0"/>
    <n v="0"/>
    <n v="0"/>
    <n v="0"/>
    <n v="0"/>
    <n v="0"/>
    <s v="MMR001CMP067"/>
    <x v="0"/>
    <x v="1"/>
    <s v="P4"/>
    <n v="2.4554941682013506E-4"/>
    <s v="No"/>
  </r>
  <r>
    <n v="13.433333333333334"/>
    <d v="2015-11-25T00:00:00"/>
    <x v="0"/>
    <s v="KBC"/>
    <s v="Kachin"/>
    <s v="Shwegu"/>
    <s v="Shwe Gu Baptist Church"/>
    <m/>
    <m/>
    <m/>
    <m/>
    <n v="4"/>
    <n v="16"/>
    <n v="4"/>
    <m/>
    <n v="4"/>
    <n v="23"/>
    <m/>
    <m/>
    <m/>
    <m/>
    <n v="7"/>
    <m/>
    <m/>
    <n v="0"/>
    <n v="0"/>
    <n v="0"/>
    <n v="0"/>
    <n v="0"/>
    <n v="0"/>
    <n v="0"/>
    <n v="0"/>
    <n v="0"/>
    <n v="0"/>
    <n v="0"/>
    <n v="0"/>
    <n v="0"/>
    <n v="0"/>
    <n v="0"/>
    <n v="0"/>
    <n v="0"/>
    <n v="0"/>
    <s v="MMR001CMP067"/>
    <x v="0"/>
    <x v="1"/>
    <s v="P4"/>
    <n v="9.8219766728054015E-5"/>
    <s v="No"/>
  </r>
  <r>
    <n v="31.033333333333335"/>
    <d v="2014-06-15T00:00:00"/>
    <x v="8"/>
    <s v="MRCS"/>
    <s v="Kachin"/>
    <s v="Shwegu"/>
    <s v="Shwe Gu Baptist Church"/>
    <m/>
    <m/>
    <m/>
    <m/>
    <m/>
    <m/>
    <m/>
    <m/>
    <m/>
    <m/>
    <m/>
    <m/>
    <m/>
    <n v="158"/>
    <m/>
    <m/>
    <m/>
    <n v="0"/>
    <n v="0"/>
    <n v="0"/>
    <n v="0"/>
    <n v="0"/>
    <n v="0"/>
    <n v="0"/>
    <n v="0"/>
    <n v="0"/>
    <n v="0"/>
    <n v="0"/>
    <n v="0"/>
    <n v="0"/>
    <n v="0"/>
    <n v="1"/>
    <n v="0"/>
    <n v="0"/>
    <n v="0"/>
    <s v="MMR001CMP067"/>
    <x v="0"/>
    <x v="1"/>
    <s v="P4"/>
    <n v="0"/>
    <m/>
  </r>
  <r>
    <n v="37.6"/>
    <d v="2013-11-30T00:00:00"/>
    <x v="5"/>
    <s v="MDCG"/>
    <s v="Kachin"/>
    <s v="Shwegu"/>
    <s v="Shwe Gu Baptist Church"/>
    <m/>
    <m/>
    <m/>
    <m/>
    <m/>
    <n v="197"/>
    <m/>
    <m/>
    <m/>
    <m/>
    <n v="226"/>
    <n v="68"/>
    <n v="0"/>
    <m/>
    <m/>
    <m/>
    <m/>
    <n v="0"/>
    <n v="0"/>
    <n v="0"/>
    <n v="0"/>
    <n v="0"/>
    <n v="0"/>
    <n v="0"/>
    <n v="0"/>
    <n v="0"/>
    <n v="0"/>
    <n v="0"/>
    <n v="0"/>
    <n v="0"/>
    <n v="0"/>
    <n v="1"/>
    <n v="0"/>
    <n v="0"/>
    <n v="0"/>
    <s v="MMR001CMP067"/>
    <x v="0"/>
    <x v="1"/>
    <s v="P4"/>
    <n v="0"/>
    <s v="No"/>
  </r>
  <r>
    <n v="37.6"/>
    <d v="2013-11-30T00:00:00"/>
    <x v="4"/>
    <m/>
    <s v="Kachin"/>
    <s v="Shwegu"/>
    <s v="Shwe Gu Baptist Church"/>
    <m/>
    <m/>
    <m/>
    <m/>
    <m/>
    <m/>
    <m/>
    <m/>
    <m/>
    <n v="204"/>
    <m/>
    <m/>
    <m/>
    <m/>
    <m/>
    <m/>
    <m/>
    <n v="0"/>
    <n v="0"/>
    <n v="0"/>
    <n v="0"/>
    <n v="0"/>
    <n v="0"/>
    <n v="0"/>
    <n v="0"/>
    <n v="0"/>
    <n v="0"/>
    <n v="0"/>
    <n v="0"/>
    <n v="0"/>
    <n v="0"/>
    <n v="0"/>
    <n v="0"/>
    <n v="0"/>
    <n v="0"/>
    <s v="MMR001CMP067"/>
    <x v="0"/>
    <x v="1"/>
    <s v="P4"/>
    <n v="0"/>
    <s v="No"/>
  </r>
  <r>
    <n v="47.733333333333334"/>
    <d v="2013-01-30T00:00:00"/>
    <x v="4"/>
    <s v="LDO"/>
    <s v="Kachin"/>
    <s v="Shwegu"/>
    <s v="Shwe Gu Baptist Church"/>
    <n v="272"/>
    <m/>
    <m/>
    <m/>
    <m/>
    <m/>
    <m/>
    <m/>
    <n v="0"/>
    <n v="0"/>
    <m/>
    <m/>
    <m/>
    <m/>
    <m/>
    <m/>
    <m/>
    <n v="0"/>
    <n v="0"/>
    <n v="0"/>
    <n v="0"/>
    <n v="0"/>
    <n v="0"/>
    <n v="0"/>
    <n v="0"/>
    <n v="0"/>
    <n v="0"/>
    <n v="0"/>
    <n v="0"/>
    <n v="0"/>
    <n v="0"/>
    <n v="0"/>
    <n v="0"/>
    <n v="0"/>
    <n v="0"/>
    <s v="MMR001CMP067"/>
    <x v="0"/>
    <x v="1"/>
    <s v="P4"/>
    <n v="0"/>
    <s v="No"/>
  </r>
  <r>
    <n v="49.06666666666667"/>
    <d v="2012-12-21T00:00:00"/>
    <x v="0"/>
    <s v="UNHCR"/>
    <s v="Kachin"/>
    <s v="Shwegu"/>
    <s v="Shwe Gu Baptist Church"/>
    <m/>
    <m/>
    <m/>
    <n v="0"/>
    <n v="0"/>
    <n v="83"/>
    <n v="0"/>
    <n v="0"/>
    <m/>
    <m/>
    <m/>
    <m/>
    <m/>
    <m/>
    <m/>
    <m/>
    <m/>
    <n v="0"/>
    <n v="0"/>
    <n v="0"/>
    <n v="0"/>
    <n v="0"/>
    <n v="0"/>
    <n v="0"/>
    <n v="0"/>
    <n v="0"/>
    <n v="0"/>
    <n v="0"/>
    <n v="0"/>
    <n v="0"/>
    <n v="0"/>
    <n v="0"/>
    <n v="0"/>
    <n v="0"/>
    <n v="0"/>
    <s v="MMR001CMP067"/>
    <x v="0"/>
    <x v="1"/>
    <s v="P4"/>
    <n v="0"/>
    <s v="No"/>
  </r>
  <r>
    <n v="52.2"/>
    <d v="2012-09-18T00:00:00"/>
    <x v="4"/>
    <s v="LDO"/>
    <s v="Kachin"/>
    <s v="Shwegu"/>
    <s v="Shwe Gu Baptist Church"/>
    <n v="98"/>
    <m/>
    <m/>
    <m/>
    <m/>
    <m/>
    <m/>
    <m/>
    <m/>
    <m/>
    <m/>
    <m/>
    <m/>
    <m/>
    <m/>
    <m/>
    <m/>
    <n v="0"/>
    <n v="0"/>
    <n v="0"/>
    <n v="0"/>
    <n v="0"/>
    <n v="0"/>
    <n v="0"/>
    <n v="0"/>
    <n v="0"/>
    <n v="0"/>
    <n v="0"/>
    <n v="0"/>
    <n v="0"/>
    <n v="0"/>
    <n v="0"/>
    <n v="0"/>
    <n v="0"/>
    <n v="0"/>
    <s v="MMR001CMP067"/>
    <x v="0"/>
    <x v="1"/>
    <s v="P4"/>
    <n v="0"/>
    <m/>
  </r>
  <r>
    <n v="56.533333333333331"/>
    <d v="2012-05-11T00:00:00"/>
    <x v="0"/>
    <s v="KBSS"/>
    <s v="Kachin"/>
    <s v="Shwegu"/>
    <s v="Shwe Gu Baptist Church"/>
    <m/>
    <m/>
    <m/>
    <n v="38"/>
    <n v="23"/>
    <n v="38"/>
    <n v="23"/>
    <n v="23"/>
    <n v="23"/>
    <n v="23"/>
    <m/>
    <m/>
    <m/>
    <m/>
    <m/>
    <m/>
    <m/>
    <n v="0"/>
    <n v="0"/>
    <n v="0"/>
    <n v="0"/>
    <n v="0"/>
    <n v="0"/>
    <n v="0"/>
    <n v="0"/>
    <n v="0"/>
    <n v="0"/>
    <n v="0"/>
    <n v="0"/>
    <n v="0"/>
    <n v="0"/>
    <n v="0"/>
    <n v="0"/>
    <n v="0"/>
    <n v="0"/>
    <s v="MMR001CMP067"/>
    <x v="0"/>
    <x v="1"/>
    <s v="P4"/>
    <n v="5.647636586863106E-4"/>
    <s v="No"/>
  </r>
  <r>
    <n v="57.56666666666667"/>
    <d v="2012-04-10T00:00:00"/>
    <x v="0"/>
    <s v="KBSS"/>
    <s v="Kachin"/>
    <s v="Shwegu"/>
    <s v="Shwe Gu Baptist Church"/>
    <m/>
    <m/>
    <m/>
    <n v="46"/>
    <n v="27"/>
    <n v="46"/>
    <n v="27"/>
    <n v="27"/>
    <n v="27"/>
    <n v="27"/>
    <m/>
    <m/>
    <m/>
    <m/>
    <m/>
    <m/>
    <m/>
    <n v="0"/>
    <n v="0"/>
    <n v="0"/>
    <n v="0"/>
    <n v="0"/>
    <n v="0"/>
    <n v="0"/>
    <n v="0"/>
    <n v="0"/>
    <n v="0"/>
    <n v="0"/>
    <n v="0"/>
    <n v="0"/>
    <n v="0"/>
    <n v="0"/>
    <n v="0"/>
    <n v="0"/>
    <n v="0"/>
    <s v="MMR001CMP067"/>
    <x v="0"/>
    <x v="1"/>
    <s v="P4"/>
    <n v="6.6298342541436467E-4"/>
    <s v="No"/>
  </r>
  <r>
    <n v="58.4"/>
    <d v="2012-03-16T00:00:00"/>
    <x v="4"/>
    <s v="LDO"/>
    <s v="Kachin"/>
    <s v="Shwegu"/>
    <s v="Shwe Gu Baptist Church"/>
    <n v="94"/>
    <m/>
    <m/>
    <m/>
    <m/>
    <m/>
    <m/>
    <m/>
    <m/>
    <m/>
    <m/>
    <m/>
    <m/>
    <m/>
    <m/>
    <m/>
    <m/>
    <n v="0"/>
    <n v="0"/>
    <n v="0"/>
    <n v="0"/>
    <n v="0"/>
    <n v="0"/>
    <n v="0"/>
    <n v="0"/>
    <n v="0"/>
    <n v="0"/>
    <n v="0"/>
    <n v="0"/>
    <n v="0"/>
    <n v="0"/>
    <n v="0"/>
    <n v="0"/>
    <n v="0"/>
    <n v="0"/>
    <s v="MMR001CMP067"/>
    <x v="0"/>
    <x v="1"/>
    <s v="P4"/>
    <n v="0"/>
    <m/>
  </r>
  <r>
    <n v="13.433333333333334"/>
    <d v="2015-11-25T00:00:00"/>
    <x v="0"/>
    <s v="KBC"/>
    <s v="Kachin"/>
    <s v="Shwegu"/>
    <s v="Shwe Gu Catholic Church"/>
    <m/>
    <m/>
    <m/>
    <m/>
    <n v="4"/>
    <n v="12"/>
    <n v="3"/>
    <m/>
    <n v="4"/>
    <n v="14"/>
    <m/>
    <m/>
    <m/>
    <m/>
    <n v="4"/>
    <m/>
    <m/>
    <n v="0"/>
    <n v="0"/>
    <n v="0"/>
    <n v="0"/>
    <n v="0"/>
    <n v="0"/>
    <n v="0"/>
    <n v="0"/>
    <n v="0"/>
    <n v="0"/>
    <n v="0"/>
    <n v="0"/>
    <n v="0"/>
    <n v="0"/>
    <n v="0"/>
    <n v="0"/>
    <n v="0"/>
    <n v="0"/>
    <s v="MMR001CMP068"/>
    <x v="0"/>
    <x v="1"/>
    <s v="P4"/>
    <n v="7.3664825046040511E-5"/>
    <s v="No"/>
  </r>
  <r>
    <n v="54.43333333333333"/>
    <d v="2012-07-13T00:00:00"/>
    <x v="0"/>
    <s v="UNHCR"/>
    <s v="Kachin"/>
    <s v="Waingmaw"/>
    <s v="Waingmaw Baptist Zonal Office"/>
    <m/>
    <m/>
    <m/>
    <n v="2"/>
    <n v="2"/>
    <n v="2"/>
    <n v="2"/>
    <n v="2"/>
    <n v="2"/>
    <n v="2"/>
    <m/>
    <m/>
    <m/>
    <m/>
    <m/>
    <m/>
    <m/>
    <n v="0"/>
    <n v="0"/>
    <n v="0"/>
    <n v="0"/>
    <n v="0"/>
    <n v="0"/>
    <n v="0"/>
    <n v="0"/>
    <n v="0"/>
    <n v="0"/>
    <n v="0"/>
    <n v="0"/>
    <n v="0"/>
    <n v="0"/>
    <n v="0"/>
    <n v="0"/>
    <n v="0"/>
    <n v="0"/>
    <s v="MMR001CMP036"/>
    <x v="0"/>
    <x v="0"/>
    <s v="P4"/>
    <n v="4.8962005483744613E-5"/>
    <s v="No"/>
  </r>
  <r>
    <n v="31.033333333333335"/>
    <d v="2014-06-15T00:00:00"/>
    <x v="8"/>
    <s v="MRCS"/>
    <s v="Kachin"/>
    <s v="Shwegu"/>
    <s v="Shwe Gu Catholic Church"/>
    <m/>
    <m/>
    <m/>
    <m/>
    <m/>
    <m/>
    <m/>
    <m/>
    <m/>
    <m/>
    <m/>
    <m/>
    <m/>
    <n v="112"/>
    <m/>
    <m/>
    <m/>
    <n v="0"/>
    <n v="0"/>
    <n v="0"/>
    <n v="0"/>
    <n v="0"/>
    <n v="0"/>
    <n v="0"/>
    <n v="0"/>
    <n v="0"/>
    <n v="0"/>
    <n v="0"/>
    <n v="0"/>
    <n v="0"/>
    <n v="0"/>
    <n v="1"/>
    <n v="0"/>
    <n v="0"/>
    <n v="0"/>
    <s v="MMR001CMP068"/>
    <x v="0"/>
    <x v="1"/>
    <s v="P4"/>
    <n v="0"/>
    <m/>
  </r>
  <r>
    <n v="37.6"/>
    <d v="2013-11-30T00:00:00"/>
    <x v="5"/>
    <s v="MDCG"/>
    <s v="Kachin"/>
    <s v="Shwegu"/>
    <s v="Shwe Gu Catholic Church"/>
    <m/>
    <m/>
    <m/>
    <m/>
    <m/>
    <n v="142"/>
    <m/>
    <m/>
    <m/>
    <m/>
    <n v="182"/>
    <n v="60"/>
    <n v="0"/>
    <m/>
    <m/>
    <m/>
    <m/>
    <n v="0"/>
    <n v="0"/>
    <n v="0"/>
    <n v="0"/>
    <n v="0"/>
    <n v="0"/>
    <n v="0"/>
    <n v="0"/>
    <n v="0"/>
    <n v="0"/>
    <n v="0"/>
    <n v="0"/>
    <n v="0"/>
    <n v="0"/>
    <n v="1"/>
    <n v="0"/>
    <n v="0"/>
    <n v="0"/>
    <s v="MMR001CMP068"/>
    <x v="0"/>
    <x v="1"/>
    <s v="P4"/>
    <n v="0"/>
    <s v="No"/>
  </r>
  <r>
    <n v="54.6"/>
    <d v="2012-07-08T00:00:00"/>
    <x v="4"/>
    <s v="Solidarities"/>
    <s v="Kachin"/>
    <s v="Bhamo"/>
    <s v="Chan Myae monastery"/>
    <n v="3"/>
    <m/>
    <m/>
    <m/>
    <m/>
    <m/>
    <m/>
    <m/>
    <m/>
    <m/>
    <m/>
    <m/>
    <m/>
    <m/>
    <m/>
    <m/>
    <m/>
    <n v="0"/>
    <n v="0"/>
    <n v="0"/>
    <n v="0"/>
    <n v="0"/>
    <n v="0"/>
    <n v="0"/>
    <n v="0"/>
    <n v="0"/>
    <n v="0"/>
    <n v="0"/>
    <n v="0"/>
    <n v="0"/>
    <n v="0"/>
    <n v="0"/>
    <n v="0"/>
    <n v="0"/>
    <n v="0"/>
    <s v=""/>
    <x v="2"/>
    <x v="2"/>
    <s v=""/>
    <s v=""/>
    <m/>
  </r>
  <r>
    <n v="37.6"/>
    <d v="2013-11-30T00:00:00"/>
    <x v="4"/>
    <m/>
    <s v="Kachin"/>
    <s v="Shwegu"/>
    <s v="Shwe Gu Catholic Church"/>
    <m/>
    <m/>
    <m/>
    <m/>
    <m/>
    <m/>
    <m/>
    <m/>
    <m/>
    <n v="126"/>
    <m/>
    <m/>
    <m/>
    <m/>
    <m/>
    <m/>
    <m/>
    <n v="0"/>
    <n v="0"/>
    <n v="0"/>
    <n v="0"/>
    <n v="0"/>
    <n v="0"/>
    <n v="0"/>
    <n v="0"/>
    <n v="0"/>
    <n v="0"/>
    <n v="0"/>
    <n v="0"/>
    <n v="0"/>
    <n v="0"/>
    <n v="0"/>
    <n v="0"/>
    <n v="0"/>
    <n v="0"/>
    <s v="MMR001CMP068"/>
    <x v="0"/>
    <x v="1"/>
    <s v="P4"/>
    <n v="0"/>
    <s v="No"/>
  </r>
  <r>
    <n v="54.6"/>
    <d v="2012-07-08T00:00:00"/>
    <x v="0"/>
    <s v="Shalom"/>
    <s v="Kachin"/>
    <s v="Momauk"/>
    <s v="Ni Thaw Ka Monestry"/>
    <n v="16"/>
    <m/>
    <m/>
    <m/>
    <m/>
    <m/>
    <m/>
    <m/>
    <m/>
    <m/>
    <m/>
    <m/>
    <m/>
    <m/>
    <m/>
    <m/>
    <m/>
    <n v="0"/>
    <n v="0"/>
    <n v="0"/>
    <n v="0"/>
    <n v="0"/>
    <n v="0"/>
    <n v="0"/>
    <n v="0"/>
    <n v="0"/>
    <n v="0"/>
    <n v="0"/>
    <n v="0"/>
    <n v="0"/>
    <n v="0"/>
    <n v="0"/>
    <n v="0"/>
    <n v="0"/>
    <n v="0"/>
    <s v="MMR001CMP059"/>
    <x v="0"/>
    <x v="0"/>
    <s v="P4"/>
    <n v="0"/>
    <m/>
  </r>
  <r>
    <n v="54.6"/>
    <d v="2012-07-08T00:00:00"/>
    <x v="4"/>
    <s v="Solidarities"/>
    <s v="Kachin"/>
    <s v="Momauk"/>
    <s v="Ni Thaw Ka Monestry"/>
    <n v="16"/>
    <m/>
    <m/>
    <m/>
    <m/>
    <m/>
    <m/>
    <m/>
    <m/>
    <m/>
    <m/>
    <m/>
    <m/>
    <m/>
    <m/>
    <m/>
    <m/>
    <n v="0"/>
    <n v="0"/>
    <n v="0"/>
    <n v="0"/>
    <n v="0"/>
    <n v="0"/>
    <n v="0"/>
    <n v="0"/>
    <n v="0"/>
    <n v="0"/>
    <n v="0"/>
    <n v="0"/>
    <n v="0"/>
    <n v="0"/>
    <n v="0"/>
    <n v="0"/>
    <n v="0"/>
    <n v="0"/>
    <s v="MMR001CMP059"/>
    <x v="0"/>
    <x v="0"/>
    <s v="P4"/>
    <n v="0"/>
    <m/>
  </r>
  <r>
    <n v="47.766666666666666"/>
    <d v="2013-01-29T00:00:00"/>
    <x v="4"/>
    <s v="LDO"/>
    <s v="Kachin"/>
    <s v="Shwegu"/>
    <s v="Shwe Gu Catholic Church"/>
    <n v="177"/>
    <m/>
    <m/>
    <m/>
    <m/>
    <m/>
    <m/>
    <m/>
    <n v="0"/>
    <n v="0"/>
    <m/>
    <m/>
    <m/>
    <m/>
    <m/>
    <m/>
    <m/>
    <n v="0"/>
    <n v="0"/>
    <n v="0"/>
    <n v="0"/>
    <n v="0"/>
    <n v="0"/>
    <n v="0"/>
    <n v="0"/>
    <n v="0"/>
    <n v="0"/>
    <n v="0"/>
    <n v="0"/>
    <n v="0"/>
    <n v="0"/>
    <n v="0"/>
    <n v="0"/>
    <n v="0"/>
    <n v="0"/>
    <s v="MMR001CMP068"/>
    <x v="0"/>
    <x v="1"/>
    <s v="P4"/>
    <n v="0"/>
    <s v="No"/>
  </r>
  <r>
    <n v="52.2"/>
    <d v="2012-09-18T00:00:00"/>
    <x v="4"/>
    <s v="LDO"/>
    <s v="Kachin"/>
    <s v="Shwegu"/>
    <s v="Shwe Gu Catholic Church"/>
    <n v="59"/>
    <m/>
    <m/>
    <m/>
    <m/>
    <m/>
    <m/>
    <m/>
    <m/>
    <m/>
    <m/>
    <m/>
    <m/>
    <m/>
    <m/>
    <m/>
    <m/>
    <n v="0"/>
    <n v="0"/>
    <n v="0"/>
    <n v="0"/>
    <n v="0"/>
    <n v="0"/>
    <n v="0"/>
    <n v="0"/>
    <n v="0"/>
    <n v="0"/>
    <n v="0"/>
    <n v="0"/>
    <n v="0"/>
    <n v="0"/>
    <n v="0"/>
    <n v="0"/>
    <n v="0"/>
    <n v="0"/>
    <s v="MMR001CMP068"/>
    <x v="0"/>
    <x v="1"/>
    <s v="P4"/>
    <n v="0"/>
    <m/>
  </r>
  <r>
    <n v="56.533333333333331"/>
    <d v="2012-05-11T00:00:00"/>
    <x v="0"/>
    <s v="KBSS"/>
    <s v="Kachin"/>
    <s v="Shwegu"/>
    <s v="Shwe Gu Catholic Church"/>
    <m/>
    <m/>
    <m/>
    <n v="37"/>
    <n v="22"/>
    <n v="37"/>
    <n v="22"/>
    <n v="22"/>
    <n v="22"/>
    <n v="22"/>
    <m/>
    <m/>
    <m/>
    <m/>
    <m/>
    <m/>
    <m/>
    <n v="0"/>
    <n v="0"/>
    <n v="0"/>
    <n v="0"/>
    <n v="0"/>
    <n v="0"/>
    <n v="0"/>
    <n v="0"/>
    <n v="0"/>
    <n v="0"/>
    <n v="0"/>
    <n v="0"/>
    <n v="0"/>
    <n v="0"/>
    <n v="0"/>
    <n v="0"/>
    <n v="0"/>
    <n v="0"/>
    <s v="MMR001CMP068"/>
    <x v="0"/>
    <x v="1"/>
    <s v="P4"/>
    <n v="5.4020871700429711E-4"/>
    <s v="No"/>
  </r>
  <r>
    <n v="57.56666666666667"/>
    <d v="2012-04-10T00:00:00"/>
    <x v="0"/>
    <s v="KBSS"/>
    <s v="Kachin"/>
    <s v="Shwegu"/>
    <s v="Shwe Gu Catholic Church"/>
    <m/>
    <m/>
    <m/>
    <n v="43"/>
    <n v="25"/>
    <n v="43"/>
    <n v="25"/>
    <n v="25"/>
    <n v="25"/>
    <n v="25"/>
    <m/>
    <m/>
    <m/>
    <m/>
    <m/>
    <m/>
    <m/>
    <n v="0"/>
    <n v="0"/>
    <n v="0"/>
    <n v="0"/>
    <n v="0"/>
    <n v="0"/>
    <n v="0"/>
    <n v="0"/>
    <n v="0"/>
    <n v="0"/>
    <n v="0"/>
    <n v="0"/>
    <n v="0"/>
    <n v="0"/>
    <n v="0"/>
    <n v="0"/>
    <n v="0"/>
    <n v="0"/>
    <s v="MMR001CMP068"/>
    <x v="0"/>
    <x v="1"/>
    <s v="P4"/>
    <n v="6.1387354205033758E-4"/>
    <s v="No"/>
  </r>
  <r>
    <n v="58.4"/>
    <d v="2012-03-16T00:00:00"/>
    <x v="4"/>
    <s v="LDO"/>
    <s v="Kachin"/>
    <s v="Shwegu"/>
    <s v="Shwe Gu Catholic Church"/>
    <n v="49"/>
    <m/>
    <m/>
    <m/>
    <m/>
    <m/>
    <m/>
    <m/>
    <m/>
    <m/>
    <m/>
    <m/>
    <m/>
    <m/>
    <m/>
    <m/>
    <m/>
    <n v="0"/>
    <n v="0"/>
    <n v="0"/>
    <n v="0"/>
    <n v="0"/>
    <n v="0"/>
    <n v="0"/>
    <n v="0"/>
    <n v="0"/>
    <n v="0"/>
    <n v="0"/>
    <n v="0"/>
    <n v="0"/>
    <n v="0"/>
    <n v="0"/>
    <n v="0"/>
    <n v="0"/>
    <n v="0"/>
    <s v="MMR001CMP068"/>
    <x v="0"/>
    <x v="1"/>
    <s v="P4"/>
    <n v="0"/>
    <m/>
  </r>
  <r>
    <n v="55.2"/>
    <d v="2012-06-20T00:00:00"/>
    <x v="0"/>
    <s v="UNHCR"/>
    <s v="Kachin"/>
    <s v="Waingmaw"/>
    <s v="Waingmaw Baptist Zonal Office"/>
    <m/>
    <m/>
    <m/>
    <n v="141"/>
    <n v="81"/>
    <n v="148"/>
    <n v="84"/>
    <n v="78"/>
    <n v="78"/>
    <n v="78"/>
    <m/>
    <m/>
    <m/>
    <m/>
    <m/>
    <m/>
    <m/>
    <n v="0"/>
    <n v="0"/>
    <n v="0"/>
    <n v="0"/>
    <n v="0"/>
    <n v="0"/>
    <n v="0"/>
    <n v="0"/>
    <n v="0"/>
    <n v="0"/>
    <n v="0"/>
    <n v="0"/>
    <n v="0"/>
    <n v="0"/>
    <n v="0"/>
    <n v="0"/>
    <n v="0"/>
    <n v="0"/>
    <s v="MMR001CMP036"/>
    <x v="0"/>
    <x v="0"/>
    <s v="P4"/>
    <n v="2.0564042303172739E-3"/>
    <s v="No"/>
  </r>
  <r>
    <n v="3.1"/>
    <d v="2016-09-30T00:00:00"/>
    <x v="13"/>
    <s v="Relief International"/>
    <s v="Shan_North"/>
    <s v="Namtu"/>
    <s v="Shwe Myint Thar Monastry "/>
    <n v="11"/>
    <m/>
    <m/>
    <m/>
    <n v="11"/>
    <m/>
    <m/>
    <m/>
    <m/>
    <m/>
    <m/>
    <m/>
    <m/>
    <m/>
    <m/>
    <m/>
    <m/>
    <n v="11"/>
    <n v="0"/>
    <n v="0"/>
    <n v="0"/>
    <n v="11"/>
    <n v="0"/>
    <n v="0"/>
    <n v="0"/>
    <n v="0"/>
    <n v="0"/>
    <n v="0"/>
    <n v="0"/>
    <n v="0"/>
    <n v="0"/>
    <n v="0"/>
    <n v="0"/>
    <n v="0"/>
    <n v="0"/>
    <s v="MMR015CMP228"/>
    <x v="0"/>
    <x v="1"/>
    <n v="0"/>
    <s v=""/>
    <m/>
  </r>
  <r>
    <n v="5.6333333333333337"/>
    <d v="2016-07-16T00:00:00"/>
    <x v="13"/>
    <s v="Relief International"/>
    <s v="Shan_North"/>
    <s v="Namtu"/>
    <s v="Shwe Myint Thar Monastry "/>
    <n v="59"/>
    <m/>
    <m/>
    <m/>
    <n v="59"/>
    <m/>
    <m/>
    <m/>
    <m/>
    <m/>
    <m/>
    <m/>
    <m/>
    <m/>
    <m/>
    <m/>
    <m/>
    <n v="59"/>
    <n v="0"/>
    <n v="0"/>
    <n v="0"/>
    <n v="59"/>
    <n v="0"/>
    <n v="0"/>
    <n v="0"/>
    <n v="0"/>
    <n v="0"/>
    <n v="0"/>
    <n v="0"/>
    <n v="0"/>
    <n v="0"/>
    <n v="0"/>
    <n v="0"/>
    <n v="0"/>
    <n v="0"/>
    <s v="MMR015CMP228"/>
    <x v="0"/>
    <x v="1"/>
    <n v="0"/>
    <s v=""/>
    <m/>
  </r>
  <r>
    <n v="32.166666666666664"/>
    <d v="2014-05-12T00:00:00"/>
    <x v="8"/>
    <s v="MRCS"/>
    <s v="Kachin"/>
    <s v="Myitkyina"/>
    <s v="Shwe Zet Baptist Church"/>
    <m/>
    <m/>
    <m/>
    <m/>
    <m/>
    <m/>
    <m/>
    <m/>
    <m/>
    <m/>
    <m/>
    <m/>
    <m/>
    <n v="168"/>
    <m/>
    <m/>
    <m/>
    <n v="0"/>
    <n v="0"/>
    <n v="0"/>
    <n v="0"/>
    <n v="0"/>
    <n v="0"/>
    <n v="0"/>
    <n v="0"/>
    <n v="0"/>
    <n v="0"/>
    <n v="0"/>
    <n v="0"/>
    <n v="0"/>
    <n v="0"/>
    <n v="1"/>
    <n v="0"/>
    <n v="0"/>
    <n v="0"/>
    <s v="MMR001CMP009"/>
    <x v="0"/>
    <x v="1"/>
    <s v="P4"/>
    <n v="0"/>
    <m/>
  </r>
  <r>
    <n v="49.166666666666664"/>
    <d v="2012-12-18T00:00:00"/>
    <x v="0"/>
    <s v="UNHCR"/>
    <s v="Kachin"/>
    <s v="Myitkyina"/>
    <s v="Shwe Zet Baptist Church"/>
    <m/>
    <m/>
    <m/>
    <n v="30"/>
    <n v="20"/>
    <n v="30"/>
    <n v="20"/>
    <n v="20"/>
    <n v="20"/>
    <n v="20"/>
    <m/>
    <m/>
    <m/>
    <m/>
    <m/>
    <m/>
    <m/>
    <n v="0"/>
    <n v="0"/>
    <n v="0"/>
    <n v="0"/>
    <n v="0"/>
    <n v="0"/>
    <n v="0"/>
    <n v="0"/>
    <n v="0"/>
    <n v="0"/>
    <n v="0"/>
    <n v="0"/>
    <n v="0"/>
    <n v="0"/>
    <n v="0"/>
    <n v="0"/>
    <n v="0"/>
    <n v="0"/>
    <s v="MMR001CMP009"/>
    <x v="0"/>
    <x v="1"/>
    <s v="P4"/>
    <n v="4.9109883364027013E-4"/>
    <s v="No"/>
  </r>
  <r>
    <n v="56.06666666666667"/>
    <d v="2012-05-25T00:00:00"/>
    <x v="0"/>
    <s v="UNHCR"/>
    <s v="Kachin"/>
    <s v="Myitkyina"/>
    <s v="Shwe Zet Baptist Church"/>
    <m/>
    <m/>
    <m/>
    <n v="0"/>
    <n v="25"/>
    <n v="0"/>
    <n v="0"/>
    <n v="0"/>
    <m/>
    <m/>
    <m/>
    <m/>
    <m/>
    <m/>
    <m/>
    <m/>
    <m/>
    <n v="0"/>
    <n v="0"/>
    <n v="0"/>
    <n v="0"/>
    <n v="0"/>
    <n v="0"/>
    <n v="0"/>
    <n v="0"/>
    <n v="0"/>
    <n v="0"/>
    <n v="0"/>
    <n v="0"/>
    <n v="0"/>
    <n v="0"/>
    <n v="0"/>
    <n v="0"/>
    <n v="0"/>
    <n v="0"/>
    <s v="MMR001CMP009"/>
    <x v="0"/>
    <x v="1"/>
    <s v="P4"/>
    <n v="0"/>
    <s v="No"/>
  </r>
  <r>
    <n v="61.833333333333336"/>
    <d v="2011-12-04T00:00:00"/>
    <x v="0"/>
    <s v="KBC"/>
    <s v="Kachin"/>
    <s v="Myitkyina"/>
    <s v="Shwe Zet Baptist Church"/>
    <m/>
    <m/>
    <m/>
    <n v="52"/>
    <n v="27"/>
    <n v="52"/>
    <n v="27"/>
    <n v="27"/>
    <n v="27"/>
    <n v="27"/>
    <m/>
    <m/>
    <m/>
    <m/>
    <m/>
    <m/>
    <m/>
    <n v="0"/>
    <n v="0"/>
    <n v="0"/>
    <n v="0"/>
    <n v="0"/>
    <n v="0"/>
    <n v="0"/>
    <n v="0"/>
    <n v="0"/>
    <n v="0"/>
    <n v="0"/>
    <n v="0"/>
    <n v="0"/>
    <n v="0"/>
    <n v="0"/>
    <n v="0"/>
    <n v="0"/>
    <n v="0"/>
    <s v="MMR001CMP009"/>
    <x v="0"/>
    <x v="1"/>
    <s v="P4"/>
    <n v="6.6298342541436467E-4"/>
    <s v="No"/>
  </r>
  <r>
    <n v="62.43333333333333"/>
    <d v="2011-11-16T00:00:00"/>
    <x v="0"/>
    <s v="KBC"/>
    <s v="Kachin"/>
    <s v="Myitkyina"/>
    <s v="Shwe Zet Baptist Church"/>
    <m/>
    <m/>
    <m/>
    <n v="63"/>
    <n v="30"/>
    <n v="63"/>
    <n v="30"/>
    <n v="30"/>
    <n v="30"/>
    <n v="30"/>
    <m/>
    <m/>
    <m/>
    <m/>
    <m/>
    <m/>
    <m/>
    <n v="0"/>
    <n v="0"/>
    <n v="0"/>
    <n v="0"/>
    <n v="0"/>
    <n v="0"/>
    <n v="0"/>
    <n v="0"/>
    <n v="0"/>
    <n v="0"/>
    <n v="0"/>
    <n v="0"/>
    <n v="0"/>
    <n v="0"/>
    <n v="0"/>
    <n v="0"/>
    <n v="0"/>
    <n v="0"/>
    <s v="MMR001CMP009"/>
    <x v="0"/>
    <x v="1"/>
    <s v="P4"/>
    <n v="7.3664825046040514E-4"/>
    <s v="No"/>
  </r>
  <r>
    <n v="62.866666666666667"/>
    <d v="2011-11-03T00:00:00"/>
    <x v="0"/>
    <s v="KMSS"/>
    <s v="Kachin"/>
    <s v="Myitkyina"/>
    <s v="Shwe Zet Baptist Church"/>
    <m/>
    <m/>
    <m/>
    <n v="18"/>
    <n v="8"/>
    <n v="18"/>
    <n v="8"/>
    <n v="8"/>
    <n v="8"/>
    <n v="8"/>
    <m/>
    <m/>
    <m/>
    <m/>
    <m/>
    <m/>
    <m/>
    <n v="0"/>
    <n v="0"/>
    <n v="0"/>
    <n v="0"/>
    <n v="0"/>
    <n v="0"/>
    <n v="0"/>
    <n v="0"/>
    <n v="0"/>
    <n v="0"/>
    <n v="0"/>
    <n v="0"/>
    <n v="0"/>
    <n v="0"/>
    <n v="0"/>
    <n v="0"/>
    <n v="0"/>
    <n v="0"/>
    <s v="MMR001CMP009"/>
    <x v="0"/>
    <x v="1"/>
    <s v="P4"/>
    <n v="1.9643953345610803E-4"/>
    <s v="No"/>
  </r>
  <r>
    <n v="27.433333333333334"/>
    <d v="2014-10-01T00:00:00"/>
    <x v="0"/>
    <s v="KMSS"/>
    <s v="Kachin"/>
    <s v="Mohnyin"/>
    <s v="St. Patrick Catholic Church "/>
    <m/>
    <m/>
    <m/>
    <n v="24"/>
    <m/>
    <m/>
    <m/>
    <m/>
    <m/>
    <m/>
    <m/>
    <m/>
    <m/>
    <m/>
    <m/>
    <m/>
    <m/>
    <n v="0"/>
    <n v="0"/>
    <n v="0"/>
    <n v="0"/>
    <n v="0"/>
    <n v="0"/>
    <n v="0"/>
    <n v="0"/>
    <n v="0"/>
    <n v="0"/>
    <n v="0"/>
    <n v="0"/>
    <n v="0"/>
    <n v="0"/>
    <n v="0"/>
    <n v="0"/>
    <n v="0"/>
    <n v="0"/>
    <s v="MMR001CMP080"/>
    <x v="0"/>
    <x v="1"/>
    <s v="P4"/>
    <n v="0"/>
    <m/>
  </r>
  <r>
    <n v="55.7"/>
    <d v="2012-06-05T00:00:00"/>
    <x v="0"/>
    <s v="UNHCR"/>
    <s v="Kachin"/>
    <s v="Momauk"/>
    <s v="Momauk Catholic Church (St. Patrick)"/>
    <m/>
    <m/>
    <m/>
    <n v="10"/>
    <n v="5"/>
    <n v="10"/>
    <n v="5"/>
    <n v="5"/>
    <n v="5"/>
    <n v="5"/>
    <m/>
    <m/>
    <m/>
    <m/>
    <m/>
    <m/>
    <m/>
    <n v="0"/>
    <n v="0"/>
    <n v="0"/>
    <n v="0"/>
    <n v="0"/>
    <n v="0"/>
    <n v="0"/>
    <n v="0"/>
    <n v="0"/>
    <n v="0"/>
    <n v="0"/>
    <n v="0"/>
    <n v="0"/>
    <n v="0"/>
    <n v="0"/>
    <n v="0"/>
    <n v="0"/>
    <n v="0"/>
    <s v="MMR001CMP057"/>
    <x v="0"/>
    <x v="0"/>
    <s v="P4"/>
    <n v="1.2268132299538719E-4"/>
    <s v="No"/>
  </r>
  <r>
    <n v="31.333333333333332"/>
    <d v="2014-06-06T00:00:00"/>
    <x v="8"/>
    <s v="MRCS"/>
    <s v="Kachin"/>
    <s v="Mohnyin"/>
    <s v="St. Patrick Catholic Church "/>
    <m/>
    <m/>
    <m/>
    <m/>
    <m/>
    <m/>
    <m/>
    <m/>
    <m/>
    <m/>
    <m/>
    <m/>
    <m/>
    <n v="24"/>
    <m/>
    <m/>
    <m/>
    <n v="0"/>
    <n v="0"/>
    <n v="0"/>
    <n v="0"/>
    <n v="0"/>
    <n v="0"/>
    <n v="0"/>
    <n v="0"/>
    <n v="0"/>
    <n v="0"/>
    <n v="0"/>
    <n v="0"/>
    <n v="0"/>
    <n v="0"/>
    <n v="1"/>
    <n v="0"/>
    <n v="0"/>
    <n v="0"/>
    <s v="MMR001CMP080"/>
    <x v="0"/>
    <x v="1"/>
    <s v="P4"/>
    <n v="0"/>
    <m/>
  </r>
  <r>
    <n v="47.366666666666667"/>
    <d v="2013-02-10T00:00:00"/>
    <x v="2"/>
    <s v="MRCS"/>
    <s v="Kachin"/>
    <s v="Mohnyin"/>
    <s v="St. Patrick Catholic Church "/>
    <m/>
    <m/>
    <m/>
    <m/>
    <n v="20"/>
    <m/>
    <n v="12"/>
    <m/>
    <n v="0"/>
    <n v="0"/>
    <m/>
    <m/>
    <m/>
    <m/>
    <m/>
    <m/>
    <m/>
    <n v="0"/>
    <n v="0"/>
    <n v="0"/>
    <n v="0"/>
    <n v="0"/>
    <n v="0"/>
    <n v="0"/>
    <n v="0"/>
    <n v="0"/>
    <n v="0"/>
    <n v="0"/>
    <n v="0"/>
    <n v="0"/>
    <n v="0"/>
    <n v="0"/>
    <n v="0"/>
    <n v="0"/>
    <n v="0"/>
    <s v="MMR001CMP080"/>
    <x v="0"/>
    <x v="1"/>
    <s v="P4"/>
    <n v="2.9224811865273618E-4"/>
    <s v="No"/>
  </r>
  <r>
    <n v="53.966666666666669"/>
    <d v="2012-07-27T00:00:00"/>
    <x v="0"/>
    <s v="UNHCR"/>
    <s v="Kachin"/>
    <s v="Mohnyin"/>
    <s v="St. Patrick Catholic Church "/>
    <m/>
    <m/>
    <m/>
    <n v="0"/>
    <n v="8"/>
    <n v="0"/>
    <n v="8"/>
    <n v="8"/>
    <n v="8"/>
    <n v="8"/>
    <m/>
    <m/>
    <m/>
    <m/>
    <m/>
    <m/>
    <m/>
    <n v="0"/>
    <n v="0"/>
    <n v="0"/>
    <n v="0"/>
    <n v="0"/>
    <n v="0"/>
    <n v="0"/>
    <n v="0"/>
    <n v="0"/>
    <n v="0"/>
    <n v="0"/>
    <n v="0"/>
    <n v="0"/>
    <n v="0"/>
    <n v="0"/>
    <n v="0"/>
    <n v="0"/>
    <n v="0"/>
    <s v="MMR001CMP080"/>
    <x v="0"/>
    <x v="1"/>
    <s v="P4"/>
    <n v="1.9483207910182411E-4"/>
    <s v="No"/>
  </r>
  <r>
    <n v="17.666666666666668"/>
    <d v="2015-07-21T00:00:00"/>
    <x v="0"/>
    <s v="KBC"/>
    <s v="Kachin"/>
    <s v="Sumprabum"/>
    <s v="Sumprabum"/>
    <m/>
    <m/>
    <m/>
    <m/>
    <n v="250"/>
    <m/>
    <m/>
    <m/>
    <m/>
    <m/>
    <m/>
    <m/>
    <m/>
    <m/>
    <m/>
    <m/>
    <m/>
    <n v="0"/>
    <n v="0"/>
    <n v="0"/>
    <n v="0"/>
    <n v="0"/>
    <n v="0"/>
    <n v="0"/>
    <n v="0"/>
    <n v="0"/>
    <n v="0"/>
    <n v="0"/>
    <n v="0"/>
    <n v="0"/>
    <n v="0"/>
    <n v="0"/>
    <n v="0"/>
    <n v="0"/>
    <n v="0"/>
    <s v="MMR001CMP206"/>
    <x v="0"/>
    <x v="1"/>
    <s v="P4"/>
    <s v=""/>
    <s v="No"/>
  </r>
  <r>
    <n v="23.966666666666665"/>
    <d v="2015-01-13T00:00:00"/>
    <x v="1"/>
    <s v="MRCS"/>
    <s v="Kachin"/>
    <s v="Sumprabum"/>
    <s v="Sumprabum"/>
    <m/>
    <m/>
    <m/>
    <m/>
    <m/>
    <m/>
    <m/>
    <m/>
    <m/>
    <m/>
    <n v="91"/>
    <n v="32"/>
    <m/>
    <n v="36"/>
    <m/>
    <m/>
    <m/>
    <n v="0"/>
    <n v="0"/>
    <n v="0"/>
    <n v="0"/>
    <n v="0"/>
    <n v="0"/>
    <n v="0"/>
    <n v="0"/>
    <n v="0"/>
    <n v="0"/>
    <n v="0"/>
    <n v="0"/>
    <n v="0"/>
    <n v="0"/>
    <n v="1"/>
    <n v="0"/>
    <n v="0"/>
    <n v="0"/>
    <s v="MMR001CMP206"/>
    <x v="0"/>
    <x v="1"/>
    <s v="P4"/>
    <s v=""/>
    <m/>
  </r>
  <r>
    <n v="34.799999999999997"/>
    <d v="2014-02-22T00:00:00"/>
    <x v="8"/>
    <s v="MRCS"/>
    <s v="Kachin"/>
    <s v="Sumprabum"/>
    <s v="Sumprabum"/>
    <m/>
    <m/>
    <m/>
    <m/>
    <m/>
    <m/>
    <m/>
    <m/>
    <m/>
    <m/>
    <m/>
    <m/>
    <m/>
    <n v="16"/>
    <m/>
    <m/>
    <m/>
    <n v="0"/>
    <n v="0"/>
    <n v="0"/>
    <n v="0"/>
    <n v="0"/>
    <n v="0"/>
    <n v="0"/>
    <n v="0"/>
    <n v="0"/>
    <n v="0"/>
    <n v="0"/>
    <n v="0"/>
    <n v="0"/>
    <n v="0"/>
    <n v="1"/>
    <n v="0"/>
    <n v="0"/>
    <n v="0"/>
    <s v="MMR001CMP206"/>
    <x v="0"/>
    <x v="1"/>
    <s v="P4"/>
    <s v=""/>
    <m/>
  </r>
  <r>
    <n v="45.8"/>
    <d v="2013-03-29T00:00:00"/>
    <x v="2"/>
    <s v="MRCS"/>
    <s v="Kachin"/>
    <s v="Sumprabum"/>
    <s v="Sumprabum"/>
    <m/>
    <m/>
    <n v="6"/>
    <m/>
    <m/>
    <m/>
    <n v="6"/>
    <m/>
    <n v="0"/>
    <n v="0"/>
    <m/>
    <m/>
    <m/>
    <m/>
    <m/>
    <m/>
    <m/>
    <n v="0"/>
    <n v="0"/>
    <n v="0"/>
    <n v="0"/>
    <n v="0"/>
    <n v="0"/>
    <n v="0"/>
    <n v="0"/>
    <n v="0"/>
    <n v="0"/>
    <n v="0"/>
    <n v="0"/>
    <n v="0"/>
    <n v="0"/>
    <n v="0"/>
    <n v="0"/>
    <n v="0"/>
    <n v="0"/>
    <s v="MMR001CMP206"/>
    <x v="0"/>
    <x v="1"/>
    <s v="P4"/>
    <s v=""/>
    <s v="No"/>
  </r>
  <r>
    <n v="6.166666666666667"/>
    <d v="2016-06-30T00:00:00"/>
    <x v="4"/>
    <s v="Solidarities"/>
    <s v="Kachin"/>
    <s v="Bhamo"/>
    <s v="Ta Gun Taing Monastery (Shwe Kyi Na)"/>
    <m/>
    <m/>
    <m/>
    <m/>
    <m/>
    <m/>
    <m/>
    <m/>
    <m/>
    <m/>
    <m/>
    <m/>
    <m/>
    <m/>
    <n v="2"/>
    <m/>
    <m/>
    <n v="0"/>
    <n v="0"/>
    <n v="0"/>
    <n v="0"/>
    <n v="0"/>
    <n v="0"/>
    <n v="0"/>
    <n v="0"/>
    <n v="0"/>
    <n v="0"/>
    <n v="0"/>
    <n v="0"/>
    <n v="0"/>
    <n v="0"/>
    <n v="0"/>
    <n v="2"/>
    <n v="0"/>
    <n v="0"/>
    <s v="MMR001CMP055"/>
    <x v="0"/>
    <x v="1"/>
    <s v="P4"/>
    <n v="0"/>
    <m/>
  </r>
  <r>
    <n v="8.2333333333333325"/>
    <d v="2016-04-29T00:00:00"/>
    <x v="4"/>
    <s v="Solidarities"/>
    <s v="Kachin"/>
    <s v="Bhamo"/>
    <s v="Ta Gun Taing Monastery (Shwe Kyi Na)"/>
    <m/>
    <m/>
    <m/>
    <m/>
    <m/>
    <m/>
    <m/>
    <m/>
    <m/>
    <m/>
    <m/>
    <m/>
    <m/>
    <m/>
    <m/>
    <n v="10"/>
    <m/>
    <n v="0"/>
    <n v="0"/>
    <n v="0"/>
    <n v="0"/>
    <n v="0"/>
    <n v="0"/>
    <n v="0"/>
    <n v="0"/>
    <n v="0"/>
    <n v="0"/>
    <n v="0"/>
    <n v="0"/>
    <n v="0"/>
    <n v="0"/>
    <n v="0"/>
    <n v="0"/>
    <n v="10"/>
    <n v="0"/>
    <s v="MMR001CMP055"/>
    <x v="0"/>
    <x v="1"/>
    <s v="P4"/>
    <n v="0"/>
    <m/>
  </r>
  <r>
    <n v="10.333333333333334"/>
    <d v="2016-02-26T00:00:00"/>
    <x v="4"/>
    <s v="Solidarities"/>
    <s v="Kachin"/>
    <s v="Bhamo"/>
    <s v="Ta Gun Taing Monastery (Shwe Kyi Na)"/>
    <m/>
    <m/>
    <m/>
    <m/>
    <m/>
    <m/>
    <m/>
    <m/>
    <m/>
    <m/>
    <m/>
    <m/>
    <m/>
    <m/>
    <m/>
    <m/>
    <m/>
    <n v="0"/>
    <n v="0"/>
    <n v="0"/>
    <n v="0"/>
    <n v="0"/>
    <n v="0"/>
    <n v="0"/>
    <n v="0"/>
    <n v="0"/>
    <n v="0"/>
    <n v="0"/>
    <n v="0"/>
    <n v="0"/>
    <n v="0"/>
    <n v="0"/>
    <n v="0"/>
    <n v="0"/>
    <n v="0"/>
    <s v="MMR001CMP055"/>
    <x v="0"/>
    <x v="1"/>
    <s v="P4"/>
    <n v="0"/>
    <m/>
  </r>
  <r>
    <n v="11.066666666666666"/>
    <d v="2016-02-04T00:00:00"/>
    <x v="4"/>
    <s v="Solidarities"/>
    <s v="Kachin"/>
    <s v="Bhamo"/>
    <s v="Ta Gun Taing Monastery (Shwe Kyi Na)"/>
    <m/>
    <m/>
    <n v="29"/>
    <m/>
    <m/>
    <m/>
    <m/>
    <m/>
    <m/>
    <m/>
    <m/>
    <m/>
    <m/>
    <m/>
    <m/>
    <m/>
    <m/>
    <n v="0"/>
    <n v="0"/>
    <n v="29"/>
    <n v="0"/>
    <n v="0"/>
    <n v="0"/>
    <n v="0"/>
    <n v="0"/>
    <n v="0"/>
    <n v="0"/>
    <n v="0"/>
    <n v="0"/>
    <n v="0"/>
    <n v="0"/>
    <n v="0"/>
    <n v="0"/>
    <n v="0"/>
    <n v="0"/>
    <s v="MMR001CMP055"/>
    <x v="0"/>
    <x v="1"/>
    <s v="P4"/>
    <n v="0"/>
    <m/>
  </r>
  <r>
    <n v="12.666666666666666"/>
    <d v="2015-12-18T00:00:00"/>
    <x v="4"/>
    <s v="Solidarities"/>
    <s v="Kachin"/>
    <s v="Bhamo"/>
    <s v="Ta Gun Taing Monastery (Shwe Kyi Na)"/>
    <m/>
    <m/>
    <m/>
    <m/>
    <m/>
    <m/>
    <m/>
    <m/>
    <m/>
    <m/>
    <m/>
    <m/>
    <m/>
    <m/>
    <m/>
    <n v="5"/>
    <m/>
    <n v="0"/>
    <n v="0"/>
    <n v="0"/>
    <n v="0"/>
    <n v="0"/>
    <n v="0"/>
    <n v="0"/>
    <n v="0"/>
    <n v="0"/>
    <n v="0"/>
    <n v="0"/>
    <n v="0"/>
    <n v="0"/>
    <n v="0"/>
    <n v="0"/>
    <n v="0"/>
    <n v="0"/>
    <n v="0"/>
    <s v="MMR001CMP055"/>
    <x v="0"/>
    <x v="1"/>
    <s v="P4"/>
    <n v="0"/>
    <m/>
  </r>
  <r>
    <n v="19.466666666666665"/>
    <d v="2015-05-28T00:00:00"/>
    <x v="4"/>
    <s v="Solidarities"/>
    <s v="Kachin"/>
    <s v="Bhamo"/>
    <s v="Ta Gun Taing Monastery (Shwe Kyi Na)"/>
    <m/>
    <m/>
    <n v="36"/>
    <m/>
    <m/>
    <m/>
    <m/>
    <m/>
    <m/>
    <m/>
    <m/>
    <m/>
    <m/>
    <m/>
    <m/>
    <m/>
    <m/>
    <n v="0"/>
    <n v="0"/>
    <n v="0"/>
    <n v="0"/>
    <n v="0"/>
    <n v="0"/>
    <n v="0"/>
    <n v="0"/>
    <n v="0"/>
    <n v="0"/>
    <n v="0"/>
    <n v="0"/>
    <n v="0"/>
    <n v="0"/>
    <n v="0"/>
    <n v="0"/>
    <n v="0"/>
    <n v="0"/>
    <s v="MMR001CMP055"/>
    <x v="0"/>
    <x v="1"/>
    <s v="P4"/>
    <n v="0"/>
    <m/>
  </r>
  <r>
    <n v="21.133333333333333"/>
    <d v="2015-04-08T00:00:00"/>
    <x v="4"/>
    <s v="Solidarities"/>
    <s v="Kachin"/>
    <s v="Bhamo"/>
    <s v="Ta Gun Taing Monastery (Shwe Kyi Na)"/>
    <m/>
    <m/>
    <m/>
    <m/>
    <m/>
    <m/>
    <m/>
    <m/>
    <m/>
    <m/>
    <m/>
    <m/>
    <m/>
    <m/>
    <m/>
    <n v="2"/>
    <m/>
    <n v="0"/>
    <n v="0"/>
    <n v="0"/>
    <n v="0"/>
    <n v="0"/>
    <n v="0"/>
    <n v="0"/>
    <n v="0"/>
    <n v="0"/>
    <n v="0"/>
    <n v="0"/>
    <n v="0"/>
    <n v="0"/>
    <n v="0"/>
    <n v="0"/>
    <n v="0"/>
    <n v="0"/>
    <n v="0"/>
    <s v="MMR001CMP055"/>
    <x v="0"/>
    <x v="1"/>
    <s v="P4"/>
    <n v="0"/>
    <m/>
  </r>
  <r>
    <n v="25.1"/>
    <d v="2014-12-10T00:00:00"/>
    <x v="4"/>
    <s v="Solidarities"/>
    <s v="Kachin"/>
    <s v="Bhamo"/>
    <s v="Ta Gun Taing Monastery (Shwe Kyi Na)"/>
    <m/>
    <m/>
    <n v="55"/>
    <m/>
    <m/>
    <m/>
    <m/>
    <m/>
    <m/>
    <m/>
    <m/>
    <m/>
    <m/>
    <m/>
    <m/>
    <m/>
    <m/>
    <n v="0"/>
    <n v="0"/>
    <n v="0"/>
    <n v="0"/>
    <n v="0"/>
    <n v="0"/>
    <n v="0"/>
    <n v="0"/>
    <n v="0"/>
    <n v="0"/>
    <n v="0"/>
    <n v="0"/>
    <n v="0"/>
    <n v="0"/>
    <n v="0"/>
    <n v="0"/>
    <n v="0"/>
    <n v="0"/>
    <s v="MMR001CMP055"/>
    <x v="0"/>
    <x v="1"/>
    <s v="P4"/>
    <n v="0"/>
    <m/>
  </r>
  <r>
    <n v="56.6"/>
    <d v="2012-05-09T00:00:00"/>
    <x v="0"/>
    <s v="UNHCR"/>
    <s v="Kachin"/>
    <s v="Waingmaw"/>
    <s v="Waingmaw Baptist Zonal Office"/>
    <m/>
    <m/>
    <m/>
    <n v="161"/>
    <n v="83"/>
    <n v="161"/>
    <n v="83"/>
    <n v="83"/>
    <n v="83"/>
    <n v="83"/>
    <m/>
    <m/>
    <m/>
    <m/>
    <m/>
    <m/>
    <m/>
    <n v="0"/>
    <n v="0"/>
    <n v="0"/>
    <n v="0"/>
    <n v="0"/>
    <n v="0"/>
    <n v="0"/>
    <n v="0"/>
    <n v="0"/>
    <n v="0"/>
    <n v="0"/>
    <n v="0"/>
    <n v="0"/>
    <n v="0"/>
    <n v="0"/>
    <n v="0"/>
    <n v="0"/>
    <n v="0"/>
    <s v="MMR001CMP036"/>
    <x v="0"/>
    <x v="0"/>
    <s v="P4"/>
    <n v="2.0319232275754014E-3"/>
    <s v="No"/>
  </r>
  <r>
    <n v="32.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1"/>
    <s v="P4"/>
    <n v="3.1684133560809166E-4"/>
    <s v="No"/>
  </r>
  <r>
    <n v="56.8"/>
    <d v="2012-05-03T00:00:00"/>
    <x v="0"/>
    <s v="UNHCR"/>
    <s v="Kachin"/>
    <s v="Myitkyina"/>
    <s v="Myay Myint Baptist Church"/>
    <m/>
    <m/>
    <m/>
    <n v="0"/>
    <n v="0"/>
    <n v="0"/>
    <n v="0"/>
    <n v="5"/>
    <n v="5"/>
    <n v="5"/>
    <m/>
    <m/>
    <m/>
    <m/>
    <m/>
    <m/>
    <m/>
    <n v="0"/>
    <n v="0"/>
    <n v="0"/>
    <n v="0"/>
    <n v="0"/>
    <n v="0"/>
    <n v="0"/>
    <n v="0"/>
    <n v="0"/>
    <n v="0"/>
    <n v="0"/>
    <n v="0"/>
    <n v="0"/>
    <n v="0"/>
    <n v="0"/>
    <n v="0"/>
    <n v="0"/>
    <n v="0"/>
    <s v="MMR001CMP017"/>
    <x v="0"/>
    <x v="0"/>
    <s v="P4"/>
    <n v="0"/>
    <s v="No"/>
  </r>
  <r>
    <n v="32.1"/>
    <d v="2014-05-14T00:00:00"/>
    <x v="0"/>
    <s v="UNHCR"/>
    <s v="Kachin"/>
    <s v="Bhamo"/>
    <s v="Ta Gun Taing Monastery (Shwe Kyi Na)"/>
    <m/>
    <m/>
    <n v="17"/>
    <n v="108"/>
    <n v="36"/>
    <n v="108"/>
    <n v="36"/>
    <n v="36"/>
    <n v="36"/>
    <n v="142"/>
    <m/>
    <m/>
    <m/>
    <m/>
    <m/>
    <m/>
    <m/>
    <n v="0"/>
    <n v="0"/>
    <n v="0"/>
    <n v="0"/>
    <n v="0"/>
    <n v="0"/>
    <n v="0"/>
    <n v="0"/>
    <n v="0"/>
    <n v="0"/>
    <n v="0"/>
    <n v="0"/>
    <n v="0"/>
    <n v="0"/>
    <n v="0"/>
    <n v="0"/>
    <n v="0"/>
    <n v="0"/>
    <s v="MMR001CMP055"/>
    <x v="0"/>
    <x v="1"/>
    <s v="P4"/>
    <n v="8.7740677553009995E-4"/>
    <s v="No"/>
  </r>
  <r>
    <n v="33.266666666666666"/>
    <d v="2014-04-09T00:00:00"/>
    <x v="8"/>
    <s v="MRCS"/>
    <s v="Kachin"/>
    <s v="Bhamo"/>
    <s v="Ta Gun Taing Monastery (Shwe Kyi Na)"/>
    <m/>
    <m/>
    <m/>
    <m/>
    <m/>
    <m/>
    <m/>
    <m/>
    <m/>
    <m/>
    <m/>
    <m/>
    <m/>
    <n v="122"/>
    <m/>
    <m/>
    <m/>
    <n v="0"/>
    <n v="0"/>
    <n v="0"/>
    <n v="0"/>
    <n v="0"/>
    <n v="0"/>
    <n v="0"/>
    <n v="0"/>
    <n v="0"/>
    <n v="0"/>
    <n v="0"/>
    <n v="0"/>
    <n v="0"/>
    <n v="0"/>
    <n v="1"/>
    <n v="0"/>
    <n v="0"/>
    <n v="0"/>
    <s v="MMR001CMP055"/>
    <x v="0"/>
    <x v="1"/>
    <s v="P4"/>
    <n v="0"/>
    <m/>
  </r>
  <r>
    <n v="37.6"/>
    <d v="2013-11-30T00:00:00"/>
    <x v="5"/>
    <s v="MDCG"/>
    <s v="Kachin"/>
    <s v="Bhamo"/>
    <s v="Ta Gun Taing Monastery (Shwe Kyi Na)"/>
    <m/>
    <m/>
    <m/>
    <m/>
    <m/>
    <n v="135"/>
    <m/>
    <m/>
    <m/>
    <m/>
    <n v="68"/>
    <n v="61"/>
    <n v="0"/>
    <m/>
    <m/>
    <m/>
    <m/>
    <n v="0"/>
    <n v="0"/>
    <n v="0"/>
    <n v="0"/>
    <n v="0"/>
    <n v="0"/>
    <n v="0"/>
    <n v="0"/>
    <n v="0"/>
    <n v="0"/>
    <n v="0"/>
    <n v="0"/>
    <n v="0"/>
    <n v="0"/>
    <n v="1"/>
    <n v="0"/>
    <n v="0"/>
    <n v="0"/>
    <s v="MMR001CMP055"/>
    <x v="0"/>
    <x v="1"/>
    <s v="P4"/>
    <n v="0"/>
    <s v="No"/>
  </r>
  <r>
    <n v="37.6"/>
    <d v="2013-11-30T00:00:00"/>
    <x v="4"/>
    <m/>
    <s v="Kachin"/>
    <s v="Bhamo"/>
    <s v="Ta Gun Taing Monastery (Shwe Kyi Na)"/>
    <m/>
    <m/>
    <m/>
    <m/>
    <m/>
    <m/>
    <m/>
    <m/>
    <m/>
    <m/>
    <m/>
    <m/>
    <m/>
    <m/>
    <m/>
    <m/>
    <m/>
    <n v="0"/>
    <n v="0"/>
    <n v="0"/>
    <n v="0"/>
    <n v="0"/>
    <n v="0"/>
    <n v="0"/>
    <n v="0"/>
    <n v="0"/>
    <n v="0"/>
    <n v="0"/>
    <n v="0"/>
    <n v="0"/>
    <n v="0"/>
    <n v="0"/>
    <n v="0"/>
    <n v="0"/>
    <n v="0"/>
    <s v="MMR001CMP055"/>
    <x v="0"/>
    <x v="1"/>
    <s v="P4"/>
    <n v="0"/>
    <s v="No"/>
  </r>
  <r>
    <n v="38.366666666666667"/>
    <d v="2013-11-07T00:00:00"/>
    <x v="4"/>
    <s v="Solidarities"/>
    <s v="Kachin"/>
    <s v="Bhamo"/>
    <s v="Ta Gun Taing Monastery (Shwe Kyi Na)"/>
    <m/>
    <m/>
    <m/>
    <m/>
    <m/>
    <m/>
    <m/>
    <m/>
    <m/>
    <m/>
    <n v="64"/>
    <n v="118"/>
    <n v="364"/>
    <n v="182"/>
    <m/>
    <m/>
    <m/>
    <n v="0"/>
    <n v="0"/>
    <n v="0"/>
    <n v="0"/>
    <n v="0"/>
    <n v="0"/>
    <n v="0"/>
    <n v="0"/>
    <n v="0"/>
    <n v="0"/>
    <n v="0"/>
    <n v="0"/>
    <n v="0"/>
    <n v="0"/>
    <n v="1"/>
    <n v="0"/>
    <n v="0"/>
    <n v="0"/>
    <s v="MMR001CMP055"/>
    <x v="0"/>
    <x v="1"/>
    <s v="P4"/>
    <n v="0"/>
    <m/>
  </r>
  <r>
    <n v="51.166666666666664"/>
    <d v="2012-10-19T00:00:00"/>
    <x v="4"/>
    <s v="Solidarities"/>
    <s v="Kachin"/>
    <s v="Bhamo"/>
    <s v="Ta Gun Taing Monastery (Shwe Kyi Na)"/>
    <n v="47"/>
    <m/>
    <m/>
    <m/>
    <m/>
    <m/>
    <m/>
    <m/>
    <m/>
    <m/>
    <m/>
    <m/>
    <m/>
    <m/>
    <m/>
    <m/>
    <m/>
    <n v="0"/>
    <n v="0"/>
    <n v="0"/>
    <n v="0"/>
    <n v="0"/>
    <n v="0"/>
    <n v="0"/>
    <n v="0"/>
    <n v="0"/>
    <n v="0"/>
    <n v="0"/>
    <n v="0"/>
    <n v="0"/>
    <n v="0"/>
    <n v="0"/>
    <n v="0"/>
    <n v="0"/>
    <n v="0"/>
    <s v="MMR001CMP055"/>
    <x v="0"/>
    <x v="1"/>
    <s v="P4"/>
    <n v="0"/>
    <m/>
  </r>
  <r>
    <n v="57.166666666666664"/>
    <d v="2012-04-22T00:00:00"/>
    <x v="0"/>
    <s v="UNHCR"/>
    <s v="Kachin"/>
    <s v="Momauk"/>
    <s v="Je Gau  (+ WaRaPa )"/>
    <m/>
    <m/>
    <m/>
    <n v="846"/>
    <n v="423"/>
    <n v="846"/>
    <n v="423"/>
    <n v="423"/>
    <n v="423"/>
    <n v="423"/>
    <m/>
    <m/>
    <m/>
    <m/>
    <m/>
    <m/>
    <m/>
    <n v="0"/>
    <n v="0"/>
    <n v="0"/>
    <n v="0"/>
    <n v="0"/>
    <n v="0"/>
    <n v="0"/>
    <n v="0"/>
    <n v="0"/>
    <n v="0"/>
    <n v="0"/>
    <n v="0"/>
    <n v="0"/>
    <n v="0"/>
    <n v="0"/>
    <n v="0"/>
    <n v="0"/>
    <n v="0"/>
    <s v=""/>
    <x v="2"/>
    <x v="2"/>
    <s v=""/>
    <s v=""/>
    <s v="No"/>
  </r>
  <r>
    <n v="54.7"/>
    <d v="2012-07-05T00:00:00"/>
    <x v="0"/>
    <s v="UNHCR"/>
    <s v="Kachin"/>
    <s v="Bhamo"/>
    <s v="Ta Gun Taing Monastery (Shwe Kyi Na)"/>
    <m/>
    <m/>
    <m/>
    <n v="36"/>
    <n v="14"/>
    <n v="36"/>
    <n v="14"/>
    <n v="14"/>
    <n v="14"/>
    <n v="14"/>
    <m/>
    <m/>
    <m/>
    <m/>
    <m/>
    <m/>
    <m/>
    <n v="0"/>
    <n v="0"/>
    <n v="0"/>
    <n v="0"/>
    <n v="0"/>
    <n v="0"/>
    <n v="0"/>
    <n v="0"/>
    <n v="0"/>
    <n v="0"/>
    <n v="0"/>
    <n v="0"/>
    <n v="0"/>
    <n v="0"/>
    <n v="0"/>
    <n v="0"/>
    <n v="0"/>
    <n v="0"/>
    <s v="MMR001CMP055"/>
    <x v="0"/>
    <x v="1"/>
    <s v="P4"/>
    <n v="3.4121374603948332E-4"/>
    <s v="No"/>
  </r>
  <r>
    <n v="58.6"/>
    <d v="2012-03-10T00:00:00"/>
    <x v="4"/>
    <m/>
    <s v="Kachin"/>
    <s v="Momauk"/>
    <s v="Tarli "/>
    <n v="36"/>
    <m/>
    <m/>
    <m/>
    <m/>
    <m/>
    <m/>
    <m/>
    <m/>
    <m/>
    <m/>
    <m/>
    <m/>
    <m/>
    <m/>
    <m/>
    <m/>
    <n v="0"/>
    <n v="0"/>
    <n v="0"/>
    <n v="0"/>
    <n v="0"/>
    <n v="0"/>
    <n v="0"/>
    <n v="0"/>
    <n v="0"/>
    <n v="0"/>
    <n v="0"/>
    <n v="0"/>
    <n v="0"/>
    <n v="0"/>
    <n v="0"/>
    <n v="0"/>
    <n v="0"/>
    <n v="0"/>
    <s v="MMR001CMP060"/>
    <x v="0"/>
    <x v="1"/>
    <s v="P4"/>
    <s v=""/>
    <m/>
  </r>
  <r>
    <n v="31.633333333333333"/>
    <d v="2014-05-28T00:00:00"/>
    <x v="8"/>
    <s v="MRCS"/>
    <s v="Kachin"/>
    <s v="Myitkyina"/>
    <s v="Tat Kone Baptist Church"/>
    <m/>
    <m/>
    <m/>
    <m/>
    <m/>
    <m/>
    <m/>
    <m/>
    <m/>
    <m/>
    <m/>
    <m/>
    <m/>
    <n v="120"/>
    <m/>
    <m/>
    <m/>
    <n v="0"/>
    <n v="0"/>
    <n v="0"/>
    <n v="0"/>
    <n v="0"/>
    <n v="0"/>
    <n v="0"/>
    <n v="0"/>
    <n v="0"/>
    <n v="0"/>
    <n v="0"/>
    <n v="0"/>
    <n v="0"/>
    <n v="0"/>
    <n v="1"/>
    <n v="0"/>
    <n v="0"/>
    <n v="0"/>
    <s v="MMR001CMP001"/>
    <x v="0"/>
    <x v="1"/>
    <s v="P4"/>
    <n v="0"/>
    <m/>
  </r>
  <r>
    <n v="56.133333333333333"/>
    <d v="2012-05-23T00:00:00"/>
    <x v="0"/>
    <s v="UNHCR"/>
    <s v="Kachin"/>
    <s v="Myitkyina"/>
    <s v="Tat Kone Baptist Church"/>
    <m/>
    <m/>
    <m/>
    <n v="54"/>
    <n v="29"/>
    <n v="54"/>
    <n v="29"/>
    <n v="29"/>
    <n v="29"/>
    <n v="29"/>
    <m/>
    <m/>
    <m/>
    <m/>
    <m/>
    <m/>
    <m/>
    <n v="0"/>
    <n v="0"/>
    <n v="0"/>
    <n v="0"/>
    <n v="0"/>
    <n v="0"/>
    <n v="0"/>
    <n v="0"/>
    <n v="0"/>
    <n v="0"/>
    <n v="0"/>
    <n v="0"/>
    <n v="0"/>
    <n v="0"/>
    <n v="0"/>
    <n v="0"/>
    <n v="0"/>
    <n v="0"/>
    <s v="MMR001CMP001"/>
    <x v="0"/>
    <x v="1"/>
    <s v="P4"/>
    <n v="7.1261825777122498E-4"/>
    <s v="No"/>
  </r>
  <r>
    <n v="57.733333333333334"/>
    <d v="2012-04-05T00:00:00"/>
    <x v="0"/>
    <s v="UNHCR"/>
    <s v="Kachin"/>
    <s v="Momauk"/>
    <s v="Momauk Catholic Church (St. Patrick)"/>
    <m/>
    <m/>
    <m/>
    <n v="0"/>
    <n v="50"/>
    <n v="0"/>
    <n v="0"/>
    <n v="0"/>
    <m/>
    <m/>
    <m/>
    <m/>
    <m/>
    <m/>
    <m/>
    <m/>
    <m/>
    <n v="0"/>
    <n v="0"/>
    <n v="0"/>
    <n v="0"/>
    <n v="0"/>
    <n v="0"/>
    <n v="0"/>
    <n v="0"/>
    <n v="0"/>
    <n v="0"/>
    <n v="0"/>
    <n v="0"/>
    <n v="0"/>
    <n v="0"/>
    <n v="0"/>
    <n v="0"/>
    <n v="0"/>
    <n v="0"/>
    <s v="MMR001CMP057"/>
    <x v="0"/>
    <x v="0"/>
    <s v="P4"/>
    <n v="0"/>
    <s v="No"/>
  </r>
  <r>
    <n v="62.866666666666667"/>
    <d v="2011-11-03T00:00:00"/>
    <x v="0"/>
    <s v="KBC"/>
    <s v="Kachin"/>
    <s v="Myitkyina"/>
    <s v="Tat Kone Baptist Church"/>
    <m/>
    <m/>
    <m/>
    <n v="73"/>
    <n v="34"/>
    <n v="73"/>
    <n v="34"/>
    <n v="34"/>
    <n v="34"/>
    <n v="34"/>
    <m/>
    <m/>
    <m/>
    <m/>
    <m/>
    <m/>
    <m/>
    <n v="0"/>
    <n v="0"/>
    <n v="0"/>
    <n v="0"/>
    <n v="0"/>
    <n v="0"/>
    <n v="0"/>
    <n v="0"/>
    <n v="0"/>
    <n v="0"/>
    <n v="0"/>
    <n v="0"/>
    <n v="0"/>
    <n v="0"/>
    <n v="0"/>
    <n v="0"/>
    <n v="0"/>
    <n v="0"/>
    <s v="MMR001CMP001"/>
    <x v="0"/>
    <x v="1"/>
    <s v="P4"/>
    <n v="8.3548347462833277E-4"/>
    <s v="No"/>
  </r>
  <r>
    <n v="23.966666666666665"/>
    <d v="2015-01-13T00:00:00"/>
    <x v="0"/>
    <s v="Shalom"/>
    <s v="Kachin"/>
    <s v="Myitkyina"/>
    <s v="Tat Kone COC Baptist - Tat Kone Htoi San"/>
    <m/>
    <m/>
    <m/>
    <m/>
    <n v="2"/>
    <m/>
    <m/>
    <m/>
    <m/>
    <m/>
    <m/>
    <m/>
    <m/>
    <m/>
    <m/>
    <m/>
    <m/>
    <n v="0"/>
    <n v="0"/>
    <n v="0"/>
    <n v="0"/>
    <n v="0"/>
    <n v="0"/>
    <n v="0"/>
    <n v="0"/>
    <n v="0"/>
    <n v="0"/>
    <n v="0"/>
    <n v="0"/>
    <n v="0"/>
    <n v="0"/>
    <n v="0"/>
    <n v="0"/>
    <n v="0"/>
    <n v="0"/>
    <s v="MMR001CMP023"/>
    <x v="0"/>
    <x v="1"/>
    <s v="P4"/>
    <n v="0"/>
    <s v="No"/>
  </r>
  <r>
    <n v="31.633333333333333"/>
    <d v="2014-05-28T00:00:00"/>
    <x v="8"/>
    <s v="MRCS"/>
    <s v="Kachin"/>
    <s v="Myitkyina"/>
    <s v="Tat Kone COC Baptist - Tat Kone Htoi San"/>
    <m/>
    <m/>
    <m/>
    <m/>
    <m/>
    <m/>
    <m/>
    <m/>
    <m/>
    <m/>
    <m/>
    <m/>
    <m/>
    <n v="138"/>
    <m/>
    <m/>
    <m/>
    <n v="0"/>
    <n v="0"/>
    <n v="0"/>
    <n v="0"/>
    <n v="0"/>
    <n v="0"/>
    <n v="0"/>
    <n v="0"/>
    <n v="0"/>
    <n v="0"/>
    <n v="0"/>
    <n v="0"/>
    <n v="0"/>
    <n v="0"/>
    <n v="1"/>
    <n v="0"/>
    <n v="0"/>
    <n v="0"/>
    <s v="MMR001CMP023"/>
    <x v="0"/>
    <x v="1"/>
    <s v="P4"/>
    <n v="0"/>
    <m/>
  </r>
  <r>
    <n v="41.9"/>
    <d v="2013-07-24T00:00:00"/>
    <x v="0"/>
    <s v="KBC"/>
    <s v="Kachin"/>
    <s v="Myitkyina"/>
    <s v="Tat Kone COC Baptist - Tat Kone Htoi San"/>
    <m/>
    <m/>
    <n v="34"/>
    <n v="46"/>
    <n v="22"/>
    <n v="46"/>
    <n v="22"/>
    <n v="22"/>
    <n v="22"/>
    <n v="22"/>
    <m/>
    <m/>
    <m/>
    <m/>
    <m/>
    <m/>
    <m/>
    <n v="0"/>
    <n v="0"/>
    <n v="0"/>
    <n v="0"/>
    <n v="0"/>
    <n v="0"/>
    <n v="0"/>
    <n v="0"/>
    <n v="0"/>
    <n v="0"/>
    <n v="0"/>
    <n v="0"/>
    <n v="0"/>
    <n v="0"/>
    <n v="0"/>
    <n v="0"/>
    <n v="0"/>
    <n v="0"/>
    <s v="MMR001CMP023"/>
    <x v="0"/>
    <x v="1"/>
    <s v="P4"/>
    <n v="5.3658536585365858E-4"/>
    <s v="No"/>
  </r>
  <r>
    <n v="42.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1"/>
    <s v="P4"/>
    <n v="7.5609756097560978E-4"/>
    <s v="No"/>
  </r>
  <r>
    <n v="58"/>
    <d v="2012-03-28T00:00:00"/>
    <x v="0"/>
    <s v="UNHCR"/>
    <s v="Kachin"/>
    <s v="Momauk"/>
    <s v="Mai Ja Yang Ung Lung "/>
    <m/>
    <m/>
    <m/>
    <n v="217"/>
    <n v="217"/>
    <n v="0"/>
    <n v="0"/>
    <n v="0"/>
    <m/>
    <m/>
    <m/>
    <m/>
    <m/>
    <m/>
    <m/>
    <m/>
    <m/>
    <n v="0"/>
    <n v="0"/>
    <n v="0"/>
    <n v="0"/>
    <n v="0"/>
    <n v="0"/>
    <n v="0"/>
    <n v="0"/>
    <n v="0"/>
    <n v="0"/>
    <n v="0"/>
    <n v="0"/>
    <n v="0"/>
    <n v="0"/>
    <n v="0"/>
    <n v="0"/>
    <n v="0"/>
    <n v="0"/>
    <s v=""/>
    <x v="2"/>
    <x v="2"/>
    <s v=""/>
    <s v=""/>
    <s v="No"/>
  </r>
  <r>
    <n v="48.733333333333334"/>
    <d v="2012-12-31T00:00:00"/>
    <x v="3"/>
    <s v="DRC"/>
    <s v="Kachin"/>
    <s v="Myitkyina"/>
    <s v="Tat Kone COC Baptist - Tat Kone Htoi San"/>
    <n v="34"/>
    <m/>
    <m/>
    <m/>
    <m/>
    <m/>
    <m/>
    <m/>
    <n v="0"/>
    <n v="0"/>
    <m/>
    <m/>
    <m/>
    <m/>
    <m/>
    <m/>
    <m/>
    <n v="0"/>
    <n v="0"/>
    <n v="0"/>
    <n v="0"/>
    <n v="0"/>
    <n v="0"/>
    <n v="0"/>
    <n v="0"/>
    <n v="0"/>
    <n v="0"/>
    <n v="0"/>
    <n v="0"/>
    <n v="0"/>
    <n v="0"/>
    <n v="0"/>
    <n v="0"/>
    <n v="0"/>
    <n v="0"/>
    <s v="MMR001CMP023"/>
    <x v="0"/>
    <x v="1"/>
    <s v="P4"/>
    <n v="0"/>
    <s v="No"/>
  </r>
  <r>
    <n v="54.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1"/>
    <s v="P4"/>
    <n v="4.8780487804878051E-5"/>
    <s v="No"/>
  </r>
  <r>
    <n v="58.033333333333331"/>
    <d v="2012-03-27T00:00:00"/>
    <x v="0"/>
    <s v="UNHCR"/>
    <s v="Kachin"/>
    <s v="Momauk"/>
    <s v="Mai Ja Yang Gat Pa "/>
    <m/>
    <m/>
    <m/>
    <n v="52"/>
    <n v="52"/>
    <n v="0"/>
    <n v="0"/>
    <n v="0"/>
    <m/>
    <m/>
    <m/>
    <m/>
    <m/>
    <m/>
    <m/>
    <m/>
    <m/>
    <n v="0"/>
    <n v="0"/>
    <n v="0"/>
    <n v="0"/>
    <n v="0"/>
    <n v="0"/>
    <n v="0"/>
    <n v="0"/>
    <n v="0"/>
    <n v="0"/>
    <n v="0"/>
    <n v="0"/>
    <n v="0"/>
    <n v="0"/>
    <n v="0"/>
    <n v="0"/>
    <n v="0"/>
    <n v="0"/>
    <s v=""/>
    <x v="2"/>
    <x v="2"/>
    <s v=""/>
    <s v=""/>
    <s v="No"/>
  </r>
  <r>
    <n v="12.9"/>
    <d v="2015-12-11T00:00:00"/>
    <x v="0"/>
    <s v="Shalom"/>
    <s v="Kachin"/>
    <s v="Myitkyina"/>
    <s v="Tat Kone Emanuel Church"/>
    <m/>
    <m/>
    <m/>
    <m/>
    <m/>
    <m/>
    <m/>
    <m/>
    <m/>
    <m/>
    <m/>
    <m/>
    <m/>
    <n v="11"/>
    <m/>
    <m/>
    <m/>
    <n v="0"/>
    <n v="0"/>
    <n v="0"/>
    <n v="0"/>
    <n v="0"/>
    <n v="0"/>
    <n v="0"/>
    <n v="0"/>
    <n v="0"/>
    <n v="0"/>
    <n v="0"/>
    <n v="0"/>
    <n v="0"/>
    <n v="0"/>
    <n v="1"/>
    <n v="0"/>
    <n v="0"/>
    <n v="0"/>
    <s v="MMR001CMP004"/>
    <x v="0"/>
    <x v="1"/>
    <s v="P4"/>
    <n v="0"/>
    <s v="No"/>
  </r>
  <r>
    <n v="16.966666666666665"/>
    <d v="2015-08-11T00:00:00"/>
    <x v="0"/>
    <s v="Shalom"/>
    <s v="Kachin"/>
    <s v="Myitkyina"/>
    <s v="Tat Kone Emanuel Church"/>
    <m/>
    <m/>
    <m/>
    <n v="6"/>
    <n v="4"/>
    <n v="6"/>
    <n v="4"/>
    <m/>
    <n v="4"/>
    <n v="10"/>
    <m/>
    <m/>
    <m/>
    <m/>
    <n v="4"/>
    <m/>
    <m/>
    <n v="0"/>
    <n v="0"/>
    <n v="0"/>
    <n v="0"/>
    <n v="0"/>
    <n v="0"/>
    <n v="0"/>
    <n v="0"/>
    <n v="0"/>
    <n v="0"/>
    <n v="0"/>
    <n v="0"/>
    <n v="0"/>
    <n v="0"/>
    <n v="0"/>
    <n v="0"/>
    <n v="0"/>
    <n v="0"/>
    <s v="MMR001CMP004"/>
    <x v="0"/>
    <x v="1"/>
    <s v="P4"/>
    <n v="9.814505839630975E-5"/>
    <s v="No"/>
  </r>
  <r>
    <n v="27.433333333333334"/>
    <d v="2014-10-01T00:00:00"/>
    <x v="0"/>
    <s v="Shalom"/>
    <s v="Kachin"/>
    <s v="Myitkyina"/>
    <s v="Tat Kone Emanuel Church"/>
    <m/>
    <m/>
    <m/>
    <n v="26"/>
    <m/>
    <m/>
    <m/>
    <m/>
    <m/>
    <m/>
    <m/>
    <m/>
    <m/>
    <m/>
    <m/>
    <m/>
    <m/>
    <n v="0"/>
    <n v="0"/>
    <n v="0"/>
    <n v="0"/>
    <n v="0"/>
    <n v="0"/>
    <n v="0"/>
    <n v="0"/>
    <n v="0"/>
    <n v="0"/>
    <n v="0"/>
    <n v="0"/>
    <n v="0"/>
    <n v="0"/>
    <n v="0"/>
    <n v="0"/>
    <n v="0"/>
    <n v="0"/>
    <s v="MMR001CMP004"/>
    <x v="0"/>
    <x v="1"/>
    <s v="P4"/>
    <n v="0"/>
    <m/>
  </r>
  <r>
    <n v="58.06666666666667"/>
    <d v="2012-03-26T00:00:00"/>
    <x v="0"/>
    <s v="UNHCR"/>
    <s v="Kachin"/>
    <s v="Momauk"/>
    <s v="Momauk Catholic Church (St. Patrick)"/>
    <m/>
    <m/>
    <m/>
    <n v="49"/>
    <n v="49"/>
    <n v="0"/>
    <n v="0"/>
    <n v="49"/>
    <n v="49"/>
    <n v="49"/>
    <m/>
    <m/>
    <m/>
    <m/>
    <m/>
    <m/>
    <m/>
    <n v="0"/>
    <n v="0"/>
    <n v="0"/>
    <n v="0"/>
    <n v="0"/>
    <n v="0"/>
    <n v="0"/>
    <n v="0"/>
    <n v="0"/>
    <n v="0"/>
    <n v="0"/>
    <n v="0"/>
    <n v="0"/>
    <n v="0"/>
    <n v="0"/>
    <n v="0"/>
    <n v="0"/>
    <n v="0"/>
    <s v="MMR001CMP057"/>
    <x v="0"/>
    <x v="0"/>
    <s v="P4"/>
    <n v="0"/>
    <s v="No"/>
  </r>
  <r>
    <n v="30.866666666666667"/>
    <d v="2014-06-20T00:00:00"/>
    <x v="8"/>
    <s v="MRCS"/>
    <s v="Kachin"/>
    <s v="Myitkyina"/>
    <s v="Tat Kone Emanuel Church"/>
    <m/>
    <m/>
    <m/>
    <m/>
    <m/>
    <m/>
    <m/>
    <m/>
    <m/>
    <m/>
    <m/>
    <m/>
    <m/>
    <n v="16"/>
    <m/>
    <m/>
    <m/>
    <n v="0"/>
    <n v="0"/>
    <n v="0"/>
    <n v="0"/>
    <n v="0"/>
    <n v="0"/>
    <n v="0"/>
    <n v="0"/>
    <n v="0"/>
    <n v="0"/>
    <n v="0"/>
    <n v="0"/>
    <n v="0"/>
    <n v="0"/>
    <n v="1"/>
    <n v="0"/>
    <n v="0"/>
    <n v="0"/>
    <s v="MMR001CMP004"/>
    <x v="0"/>
    <x v="1"/>
    <s v="P4"/>
    <n v="0"/>
    <m/>
  </r>
  <r>
    <n v="48.733333333333334"/>
    <d v="2012-12-31T00:00:00"/>
    <x v="3"/>
    <s v="DRC"/>
    <s v="Kachin"/>
    <s v="Myitkyina"/>
    <s v="Tat Kone Emanuel Church"/>
    <n v="14"/>
    <m/>
    <m/>
    <m/>
    <m/>
    <m/>
    <m/>
    <m/>
    <n v="0"/>
    <n v="0"/>
    <m/>
    <m/>
    <m/>
    <m/>
    <m/>
    <m/>
    <m/>
    <n v="0"/>
    <n v="0"/>
    <n v="0"/>
    <n v="0"/>
    <n v="0"/>
    <n v="0"/>
    <n v="0"/>
    <n v="0"/>
    <n v="0"/>
    <n v="0"/>
    <n v="0"/>
    <n v="0"/>
    <n v="0"/>
    <n v="0"/>
    <n v="0"/>
    <n v="0"/>
    <n v="0"/>
    <n v="0"/>
    <s v="MMR001CMP004"/>
    <x v="0"/>
    <x v="1"/>
    <s v="P4"/>
    <n v="0"/>
    <s v="No"/>
  </r>
  <r>
    <n v="60.833333333333336"/>
    <d v="2012-01-03T00:00:00"/>
    <x v="0"/>
    <s v="KMSS"/>
    <s v="Kachin"/>
    <s v="Myitkyina"/>
    <s v="Tat Kone Emanuel Church"/>
    <m/>
    <m/>
    <m/>
    <n v="0"/>
    <n v="0"/>
    <n v="0"/>
    <n v="0"/>
    <n v="8"/>
    <n v="8"/>
    <n v="8"/>
    <m/>
    <m/>
    <m/>
    <m/>
    <m/>
    <m/>
    <m/>
    <n v="0"/>
    <n v="0"/>
    <n v="0"/>
    <n v="0"/>
    <n v="0"/>
    <n v="0"/>
    <n v="0"/>
    <n v="0"/>
    <n v="0"/>
    <n v="0"/>
    <n v="0"/>
    <n v="0"/>
    <n v="0"/>
    <n v="0"/>
    <n v="0"/>
    <n v="0"/>
    <n v="0"/>
    <n v="0"/>
    <s v="MMR001CMP004"/>
    <x v="0"/>
    <x v="1"/>
    <s v="P4"/>
    <n v="0"/>
    <s v="No"/>
  </r>
  <r>
    <n v="62.866666666666667"/>
    <d v="2011-11-03T00:00:00"/>
    <x v="0"/>
    <s v="KMSS"/>
    <s v="Kachin"/>
    <s v="Myitkyina"/>
    <s v="Tat Kone Emanuel Church"/>
    <m/>
    <m/>
    <m/>
    <n v="18"/>
    <n v="8"/>
    <n v="18"/>
    <n v="8"/>
    <n v="8"/>
    <n v="8"/>
    <n v="8"/>
    <m/>
    <m/>
    <m/>
    <m/>
    <m/>
    <m/>
    <m/>
    <n v="0"/>
    <n v="0"/>
    <n v="0"/>
    <n v="0"/>
    <n v="0"/>
    <n v="0"/>
    <n v="0"/>
    <n v="0"/>
    <n v="0"/>
    <n v="0"/>
    <n v="0"/>
    <n v="0"/>
    <n v="0"/>
    <n v="0"/>
    <n v="0"/>
    <n v="0"/>
    <n v="0"/>
    <n v="0"/>
    <s v="MMR001CMP004"/>
    <x v="0"/>
    <x v="1"/>
    <s v="P4"/>
    <n v="1.962901167926195E-4"/>
    <s v="No"/>
  </r>
  <r>
    <n v="31.633333333333333"/>
    <d v="2014-05-28T00:00:00"/>
    <x v="8"/>
    <s v="MRCS"/>
    <s v="Kachin"/>
    <s v="Myitkyina"/>
    <s v="Tat Kone Galile Baptist Church"/>
    <m/>
    <m/>
    <m/>
    <m/>
    <m/>
    <m/>
    <m/>
    <m/>
    <m/>
    <m/>
    <m/>
    <m/>
    <m/>
    <n v="58"/>
    <m/>
    <m/>
    <m/>
    <n v="0"/>
    <n v="0"/>
    <n v="0"/>
    <n v="0"/>
    <n v="0"/>
    <n v="0"/>
    <n v="0"/>
    <n v="0"/>
    <n v="0"/>
    <n v="0"/>
    <n v="0"/>
    <n v="0"/>
    <n v="0"/>
    <n v="0"/>
    <n v="1"/>
    <n v="0"/>
    <n v="0"/>
    <n v="0"/>
    <s v="MMR001CMP003"/>
    <x v="0"/>
    <x v="1"/>
    <s v="P4"/>
    <n v="0"/>
    <m/>
  </r>
  <r>
    <n v="54.3"/>
    <d v="2012-07-17T00:00:00"/>
    <x v="0"/>
    <s v="UNHCR"/>
    <s v="Kachin"/>
    <s v="Myitkyina"/>
    <s v="Tat Kone Galile Baptist Church"/>
    <m/>
    <m/>
    <m/>
    <n v="7"/>
    <n v="7"/>
    <n v="7"/>
    <n v="7"/>
    <n v="7"/>
    <n v="7"/>
    <n v="7"/>
    <m/>
    <m/>
    <m/>
    <m/>
    <m/>
    <m/>
    <m/>
    <n v="0"/>
    <n v="0"/>
    <n v="0"/>
    <n v="0"/>
    <n v="0"/>
    <n v="0"/>
    <n v="0"/>
    <n v="0"/>
    <n v="0"/>
    <n v="0"/>
    <n v="0"/>
    <n v="0"/>
    <n v="0"/>
    <n v="0"/>
    <n v="0"/>
    <n v="0"/>
    <n v="0"/>
    <n v="0"/>
    <s v="MMR001CMP003"/>
    <x v="0"/>
    <x v="1"/>
    <s v="P4"/>
    <n v="1.7188459177409454E-4"/>
    <s v="No"/>
  </r>
  <r>
    <n v="62.43333333333333"/>
    <d v="2011-11-16T00:00:00"/>
    <x v="0"/>
    <s v="KBC"/>
    <s v="Kachin"/>
    <s v="Myitkyina"/>
    <s v="Tat Kone Galile Baptist Church"/>
    <m/>
    <m/>
    <m/>
    <n v="53"/>
    <n v="31"/>
    <n v="53"/>
    <n v="31"/>
    <n v="31"/>
    <n v="31"/>
    <n v="31"/>
    <m/>
    <m/>
    <m/>
    <m/>
    <m/>
    <m/>
    <m/>
    <n v="0"/>
    <n v="0"/>
    <n v="0"/>
    <n v="0"/>
    <n v="0"/>
    <n v="0"/>
    <n v="0"/>
    <n v="0"/>
    <n v="0"/>
    <n v="0"/>
    <n v="0"/>
    <n v="0"/>
    <n v="0"/>
    <n v="0"/>
    <n v="0"/>
    <n v="0"/>
    <n v="0"/>
    <n v="0"/>
    <s v="MMR001CMP003"/>
    <x v="0"/>
    <x v="1"/>
    <s v="P4"/>
    <n v="7.6120319214241863E-4"/>
    <s v="No"/>
  </r>
  <r>
    <n v="30.766666666666666"/>
    <d v="2014-06-23T00:00:00"/>
    <x v="8"/>
    <s v="MRCS"/>
    <s v="Kachin"/>
    <s v="Myitkyina"/>
    <s v="Tat Kone San Pya Baptist Church"/>
    <m/>
    <m/>
    <m/>
    <m/>
    <m/>
    <m/>
    <m/>
    <m/>
    <m/>
    <m/>
    <m/>
    <m/>
    <m/>
    <n v="88"/>
    <m/>
    <m/>
    <m/>
    <n v="0"/>
    <n v="0"/>
    <n v="0"/>
    <n v="0"/>
    <n v="0"/>
    <n v="0"/>
    <n v="0"/>
    <n v="0"/>
    <n v="0"/>
    <n v="0"/>
    <n v="0"/>
    <n v="0"/>
    <n v="0"/>
    <n v="0"/>
    <n v="1"/>
    <n v="0"/>
    <n v="0"/>
    <n v="0"/>
    <s v="MMR001CMP005"/>
    <x v="0"/>
    <x v="1"/>
    <s v="P4"/>
    <n v="0"/>
    <m/>
  </r>
  <r>
    <n v="59.033333333333331"/>
    <d v="2012-02-26T00:00:00"/>
    <x v="0"/>
    <s v="UNHCR"/>
    <s v="Kachin"/>
    <s v="Myitkyina"/>
    <s v="Pamati Kayan"/>
    <m/>
    <m/>
    <m/>
    <n v="25"/>
    <n v="18"/>
    <n v="25"/>
    <n v="18"/>
    <n v="18"/>
    <n v="18"/>
    <n v="18"/>
    <m/>
    <m/>
    <m/>
    <m/>
    <m/>
    <m/>
    <m/>
    <n v="0"/>
    <n v="0"/>
    <n v="0"/>
    <n v="0"/>
    <n v="0"/>
    <n v="0"/>
    <n v="0"/>
    <n v="0"/>
    <n v="0"/>
    <n v="0"/>
    <n v="0"/>
    <n v="0"/>
    <n v="0"/>
    <n v="0"/>
    <n v="0"/>
    <n v="0"/>
    <n v="0"/>
    <n v="0"/>
    <s v=""/>
    <x v="2"/>
    <x v="2"/>
    <s v=""/>
    <s v=""/>
    <s v="No"/>
  </r>
  <r>
    <n v="59.033333333333331"/>
    <d v="2012-02-26T00:00:00"/>
    <x v="0"/>
    <s v="SC&amp;L Group"/>
    <s v="Kachin"/>
    <s v="Myitkyina"/>
    <s v="Pan Ma Tee"/>
    <m/>
    <m/>
    <m/>
    <n v="25"/>
    <n v="0"/>
    <n v="25"/>
    <n v="0"/>
    <n v="10"/>
    <n v="10"/>
    <n v="10"/>
    <m/>
    <m/>
    <m/>
    <m/>
    <m/>
    <m/>
    <m/>
    <n v="0"/>
    <n v="0"/>
    <n v="0"/>
    <n v="0"/>
    <n v="0"/>
    <n v="0"/>
    <n v="0"/>
    <n v="0"/>
    <n v="0"/>
    <n v="0"/>
    <n v="0"/>
    <n v="0"/>
    <n v="0"/>
    <n v="0"/>
    <n v="0"/>
    <n v="0"/>
    <n v="0"/>
    <n v="0"/>
    <s v=""/>
    <x v="2"/>
    <x v="2"/>
    <s v=""/>
    <s v=""/>
    <s v="No"/>
  </r>
  <r>
    <n v="54.1"/>
    <d v="2012-07-23T00:00:00"/>
    <x v="0"/>
    <s v="UNHCR"/>
    <s v="Kachin"/>
    <s v="Myitkyina"/>
    <s v="Tat Kone San Pya Baptist Church"/>
    <m/>
    <m/>
    <m/>
    <n v="24"/>
    <n v="8"/>
    <n v="24"/>
    <n v="8"/>
    <n v="13"/>
    <n v="13"/>
    <n v="13"/>
    <m/>
    <m/>
    <m/>
    <m/>
    <m/>
    <m/>
    <m/>
    <n v="0"/>
    <n v="0"/>
    <n v="0"/>
    <n v="0"/>
    <n v="0"/>
    <n v="0"/>
    <n v="0"/>
    <n v="0"/>
    <n v="0"/>
    <n v="0"/>
    <n v="0"/>
    <n v="0"/>
    <n v="0"/>
    <n v="0"/>
    <n v="0"/>
    <n v="0"/>
    <n v="0"/>
    <n v="0"/>
    <s v="MMR001CMP005"/>
    <x v="0"/>
    <x v="1"/>
    <s v="P4"/>
    <n v="1.9599676605336011E-4"/>
    <s v="No"/>
  </r>
  <r>
    <n v="61.6"/>
    <d v="2011-12-11T00:00:00"/>
    <x v="0"/>
    <s v="KBC"/>
    <s v="Kachin"/>
    <s v="Myitkyina"/>
    <s v="Tat Kone San Pya Baptist Church"/>
    <m/>
    <m/>
    <m/>
    <n v="3"/>
    <n v="2"/>
    <n v="3"/>
    <n v="2"/>
    <n v="2"/>
    <n v="2"/>
    <n v="2"/>
    <m/>
    <m/>
    <m/>
    <m/>
    <m/>
    <m/>
    <m/>
    <n v="0"/>
    <n v="0"/>
    <n v="0"/>
    <n v="0"/>
    <n v="0"/>
    <n v="0"/>
    <n v="0"/>
    <n v="0"/>
    <n v="0"/>
    <n v="0"/>
    <n v="0"/>
    <n v="0"/>
    <n v="0"/>
    <n v="0"/>
    <n v="0"/>
    <n v="0"/>
    <n v="0"/>
    <n v="0"/>
    <s v="MMR001CMP005"/>
    <x v="0"/>
    <x v="1"/>
    <s v="P4"/>
    <n v="4.8999191513340027E-5"/>
    <s v="No"/>
  </r>
  <r>
    <n v="59.166666666666664"/>
    <d v="2012-02-22T00:00:00"/>
    <x v="4"/>
    <s v="Solidarities"/>
    <s v="Kachin"/>
    <s v="Bhamo"/>
    <s v="Chan Myae monastery"/>
    <n v="23"/>
    <m/>
    <m/>
    <m/>
    <m/>
    <m/>
    <m/>
    <m/>
    <m/>
    <m/>
    <m/>
    <m/>
    <m/>
    <m/>
    <m/>
    <m/>
    <m/>
    <n v="0"/>
    <n v="0"/>
    <n v="0"/>
    <n v="0"/>
    <n v="0"/>
    <n v="0"/>
    <n v="0"/>
    <n v="0"/>
    <n v="0"/>
    <n v="0"/>
    <n v="0"/>
    <n v="0"/>
    <n v="0"/>
    <n v="0"/>
    <n v="0"/>
    <n v="0"/>
    <n v="0"/>
    <n v="0"/>
    <s v=""/>
    <x v="2"/>
    <x v="2"/>
    <s v=""/>
    <s v=""/>
    <m/>
  </r>
  <r>
    <n v="59.166666666666664"/>
    <d v="2012-02-22T00:00:00"/>
    <x v="0"/>
    <s v="Shalom"/>
    <s v="Kachin"/>
    <s v="Momauk"/>
    <s v="Ni Thaw Ka Monestry"/>
    <n v="149"/>
    <m/>
    <m/>
    <m/>
    <m/>
    <m/>
    <m/>
    <m/>
    <m/>
    <m/>
    <m/>
    <m/>
    <m/>
    <m/>
    <m/>
    <m/>
    <m/>
    <n v="0"/>
    <n v="0"/>
    <n v="0"/>
    <n v="0"/>
    <n v="0"/>
    <n v="0"/>
    <n v="0"/>
    <n v="0"/>
    <n v="0"/>
    <n v="0"/>
    <n v="0"/>
    <n v="0"/>
    <n v="0"/>
    <n v="0"/>
    <n v="0"/>
    <n v="0"/>
    <n v="0"/>
    <n v="0"/>
    <s v="MMR001CMP059"/>
    <x v="0"/>
    <x v="0"/>
    <s v="P4"/>
    <n v="0"/>
    <m/>
  </r>
  <r>
    <n v="59.166666666666664"/>
    <d v="2012-02-22T00:00:00"/>
    <x v="4"/>
    <s v="Solidarities"/>
    <s v="Kachin"/>
    <s v="Momauk"/>
    <s v="Ni Thaw Ka Monestry"/>
    <n v="149"/>
    <m/>
    <m/>
    <m/>
    <m/>
    <m/>
    <m/>
    <m/>
    <m/>
    <m/>
    <m/>
    <m/>
    <m/>
    <m/>
    <m/>
    <m/>
    <m/>
    <n v="0"/>
    <n v="0"/>
    <n v="0"/>
    <n v="0"/>
    <n v="0"/>
    <n v="0"/>
    <n v="0"/>
    <n v="0"/>
    <n v="0"/>
    <n v="0"/>
    <n v="0"/>
    <n v="0"/>
    <n v="0"/>
    <n v="0"/>
    <n v="0"/>
    <n v="0"/>
    <n v="0"/>
    <n v="0"/>
    <s v="MMR001CMP059"/>
    <x v="0"/>
    <x v="0"/>
    <s v="P4"/>
    <n v="0"/>
    <m/>
  </r>
  <r>
    <n v="62.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1"/>
    <s v="P4"/>
    <n v="4.1649312786339027E-4"/>
    <s v="No"/>
  </r>
  <r>
    <n v="27.433333333333334"/>
    <d v="2014-10-01T00:00:00"/>
    <x v="0"/>
    <s v="Shalom"/>
    <s v="Kachin"/>
    <s v="Waingmaw"/>
    <s v="Thargaya Lisu Baptist Church"/>
    <m/>
    <m/>
    <m/>
    <n v="144"/>
    <m/>
    <m/>
    <m/>
    <m/>
    <m/>
    <m/>
    <m/>
    <m/>
    <m/>
    <m/>
    <m/>
    <m/>
    <m/>
    <n v="0"/>
    <n v="0"/>
    <n v="0"/>
    <n v="0"/>
    <n v="0"/>
    <n v="0"/>
    <n v="0"/>
    <n v="0"/>
    <n v="0"/>
    <n v="0"/>
    <n v="0"/>
    <n v="0"/>
    <n v="0"/>
    <n v="0"/>
    <n v="0"/>
    <n v="0"/>
    <n v="0"/>
    <n v="0"/>
    <s v="MMR001CMP037"/>
    <x v="0"/>
    <x v="1"/>
    <s v="P4"/>
    <n v="0"/>
    <m/>
  </r>
  <r>
    <n v="31.666666666666668"/>
    <d v="2014-05-27T00:00:00"/>
    <x v="0"/>
    <s v="Shalom"/>
    <s v="Kachin"/>
    <s v="Waingmaw"/>
    <s v="Thargaya Lisu Baptist Church"/>
    <m/>
    <m/>
    <n v="18"/>
    <n v="9"/>
    <n v="18"/>
    <n v="9"/>
    <m/>
    <n v="9"/>
    <n v="45"/>
    <m/>
    <m/>
    <m/>
    <m/>
    <m/>
    <m/>
    <m/>
    <m/>
    <n v="0"/>
    <n v="0"/>
    <n v="0"/>
    <n v="0"/>
    <n v="0"/>
    <n v="0"/>
    <n v="0"/>
    <n v="0"/>
    <n v="0"/>
    <n v="0"/>
    <n v="0"/>
    <n v="0"/>
    <n v="0"/>
    <n v="0"/>
    <n v="0"/>
    <n v="0"/>
    <n v="0"/>
    <n v="0"/>
    <s v="MMR001CMP037"/>
    <x v="0"/>
    <x v="1"/>
    <s v="P4"/>
    <n v="0"/>
    <m/>
  </r>
  <r>
    <n v="31.866666666666667"/>
    <d v="2014-05-21T00:00:00"/>
    <x v="8"/>
    <s v="MRCS"/>
    <s v="Kachin"/>
    <s v="Waingmaw"/>
    <s v="Thargaya Lisu Baptist Church"/>
    <m/>
    <m/>
    <m/>
    <m/>
    <m/>
    <m/>
    <m/>
    <m/>
    <m/>
    <m/>
    <m/>
    <m/>
    <m/>
    <n v="136"/>
    <m/>
    <m/>
    <m/>
    <n v="0"/>
    <n v="0"/>
    <n v="0"/>
    <n v="0"/>
    <n v="0"/>
    <n v="0"/>
    <n v="0"/>
    <n v="0"/>
    <n v="0"/>
    <n v="0"/>
    <n v="0"/>
    <n v="0"/>
    <n v="0"/>
    <n v="0"/>
    <n v="1"/>
    <n v="0"/>
    <n v="0"/>
    <n v="0"/>
    <s v="MMR001CMP037"/>
    <x v="0"/>
    <x v="1"/>
    <s v="P4"/>
    <n v="0"/>
    <m/>
  </r>
  <r>
    <n v="59.56666666666667"/>
    <d v="2012-02-10T00:00:00"/>
    <x v="4"/>
    <s v="Solidarities"/>
    <s v="Kachin"/>
    <s v="Momauk"/>
    <s v="Momauk Catholic Church (St. Patrick)"/>
    <n v="192"/>
    <m/>
    <m/>
    <m/>
    <m/>
    <m/>
    <m/>
    <m/>
    <m/>
    <m/>
    <m/>
    <m/>
    <m/>
    <m/>
    <m/>
    <m/>
    <m/>
    <n v="0"/>
    <n v="0"/>
    <n v="0"/>
    <n v="0"/>
    <n v="0"/>
    <n v="0"/>
    <n v="0"/>
    <n v="0"/>
    <n v="0"/>
    <n v="0"/>
    <n v="0"/>
    <n v="0"/>
    <n v="0"/>
    <n v="0"/>
    <n v="0"/>
    <n v="0"/>
    <n v="0"/>
    <n v="0"/>
    <s v="MMR001CMP057"/>
    <x v="0"/>
    <x v="0"/>
    <s v="P4"/>
    <n v="0"/>
    <m/>
  </r>
  <r>
    <n v="36.9"/>
    <d v="2013-12-21T00:00:00"/>
    <x v="4"/>
    <s v="KBC"/>
    <s v="Kachin"/>
    <s v="Waingmaw"/>
    <s v="Thargaya Lisu Baptist Church"/>
    <m/>
    <m/>
    <m/>
    <m/>
    <m/>
    <m/>
    <m/>
    <m/>
    <m/>
    <m/>
    <n v="75"/>
    <n v="139"/>
    <n v="428"/>
    <n v="214"/>
    <m/>
    <m/>
    <m/>
    <n v="0"/>
    <n v="0"/>
    <n v="0"/>
    <n v="0"/>
    <n v="0"/>
    <n v="0"/>
    <n v="0"/>
    <n v="0"/>
    <n v="0"/>
    <n v="0"/>
    <n v="0"/>
    <n v="0"/>
    <n v="0"/>
    <n v="0"/>
    <n v="1"/>
    <n v="0"/>
    <n v="0"/>
    <n v="0"/>
    <s v="MMR001CMP037"/>
    <x v="0"/>
    <x v="1"/>
    <s v="P4"/>
    <n v="0"/>
    <m/>
  </r>
  <r>
    <n v="37.6"/>
    <d v="2013-11-30T00:00:00"/>
    <x v="4"/>
    <s v="KBC"/>
    <s v="Kachin"/>
    <s v="Waingmaw"/>
    <s v="Thargaya Lisu Baptist Church"/>
    <m/>
    <m/>
    <m/>
    <m/>
    <m/>
    <m/>
    <m/>
    <m/>
    <m/>
    <m/>
    <m/>
    <m/>
    <m/>
    <m/>
    <m/>
    <m/>
    <m/>
    <n v="0"/>
    <n v="0"/>
    <n v="0"/>
    <n v="0"/>
    <n v="0"/>
    <n v="0"/>
    <n v="0"/>
    <n v="0"/>
    <n v="0"/>
    <n v="0"/>
    <n v="0"/>
    <n v="0"/>
    <n v="0"/>
    <n v="0"/>
    <n v="0"/>
    <n v="0"/>
    <n v="0"/>
    <n v="0"/>
    <s v="MMR001CMP037"/>
    <x v="0"/>
    <x v="1"/>
    <s v="P4"/>
    <n v="0"/>
    <s v="No"/>
  </r>
  <r>
    <n v="47.7"/>
    <d v="2013-01-31T00:00:00"/>
    <x v="9"/>
    <s v="World Vision"/>
    <s v="Kachin"/>
    <s v="Waingmaw"/>
    <s v="Thargaya Lisu Baptist Church"/>
    <m/>
    <m/>
    <m/>
    <m/>
    <m/>
    <n v="122"/>
    <m/>
    <m/>
    <n v="0"/>
    <n v="0"/>
    <m/>
    <m/>
    <m/>
    <m/>
    <m/>
    <m/>
    <m/>
    <n v="0"/>
    <n v="0"/>
    <n v="0"/>
    <n v="0"/>
    <n v="0"/>
    <n v="0"/>
    <n v="0"/>
    <n v="0"/>
    <n v="0"/>
    <n v="0"/>
    <n v="0"/>
    <n v="0"/>
    <n v="0"/>
    <n v="0"/>
    <n v="0"/>
    <n v="0"/>
    <n v="0"/>
    <n v="0"/>
    <s v="MMR001CMP037"/>
    <x v="0"/>
    <x v="1"/>
    <s v="P4"/>
    <n v="0"/>
    <s v="No"/>
  </r>
  <r>
    <n v="48.733333333333334"/>
    <d v="2012-12-31T00:00:00"/>
    <x v="3"/>
    <s v="DRC"/>
    <s v="Kachin"/>
    <s v="Waingmaw"/>
    <s v="Thargaya Lisu Baptist Church"/>
    <n v="68"/>
    <m/>
    <m/>
    <m/>
    <m/>
    <m/>
    <m/>
    <m/>
    <n v="0"/>
    <n v="0"/>
    <m/>
    <m/>
    <m/>
    <m/>
    <m/>
    <m/>
    <m/>
    <n v="0"/>
    <n v="0"/>
    <n v="0"/>
    <n v="0"/>
    <n v="0"/>
    <n v="0"/>
    <n v="0"/>
    <n v="0"/>
    <n v="0"/>
    <n v="0"/>
    <n v="0"/>
    <n v="0"/>
    <n v="0"/>
    <n v="0"/>
    <n v="0"/>
    <n v="0"/>
    <n v="0"/>
    <n v="0"/>
    <s v="MMR001CMP037"/>
    <x v="0"/>
    <x v="1"/>
    <s v="P4"/>
    <n v="0"/>
    <s v="No"/>
  </r>
  <r>
    <n v="54.43333333333333"/>
    <d v="2012-07-13T00:00:00"/>
    <x v="0"/>
    <s v="UNHCR"/>
    <s v="Kachin"/>
    <s v="Waingmaw"/>
    <s v="Thargaya Lisu Baptist Church"/>
    <m/>
    <m/>
    <m/>
    <n v="8"/>
    <n v="8"/>
    <n v="8"/>
    <n v="8"/>
    <n v="8"/>
    <n v="8"/>
    <n v="8"/>
    <m/>
    <m/>
    <m/>
    <m/>
    <m/>
    <m/>
    <m/>
    <n v="0"/>
    <n v="0"/>
    <n v="0"/>
    <n v="0"/>
    <n v="0"/>
    <n v="0"/>
    <n v="0"/>
    <n v="0"/>
    <n v="0"/>
    <n v="0"/>
    <n v="0"/>
    <n v="0"/>
    <n v="0"/>
    <n v="0"/>
    <n v="0"/>
    <n v="0"/>
    <n v="0"/>
    <n v="0"/>
    <s v="MMR001CMP037"/>
    <x v="0"/>
    <x v="1"/>
    <s v="P4"/>
    <n v="1.9584802193497845E-4"/>
    <s v="No"/>
  </r>
  <r>
    <n v="55.233333333333334"/>
    <d v="2012-06-19T00:00:00"/>
    <x v="0"/>
    <s v="UNHCR"/>
    <s v="Kachin"/>
    <s v="Waingmaw"/>
    <s v="Thargaya Lisu Baptist Church"/>
    <m/>
    <m/>
    <m/>
    <n v="31"/>
    <n v="15"/>
    <n v="31"/>
    <n v="15"/>
    <n v="15"/>
    <n v="15"/>
    <n v="15"/>
    <m/>
    <m/>
    <m/>
    <m/>
    <m/>
    <m/>
    <m/>
    <n v="0"/>
    <n v="0"/>
    <n v="0"/>
    <n v="0"/>
    <n v="0"/>
    <n v="0"/>
    <n v="0"/>
    <n v="0"/>
    <n v="0"/>
    <n v="0"/>
    <n v="0"/>
    <n v="0"/>
    <n v="0"/>
    <n v="0"/>
    <n v="0"/>
    <n v="0"/>
    <n v="0"/>
    <n v="0"/>
    <s v="MMR001CMP037"/>
    <x v="0"/>
    <x v="1"/>
    <s v="P4"/>
    <n v="3.6721504112808461E-4"/>
    <s v="No"/>
  </r>
  <r>
    <n v="58.7"/>
    <d v="2012-03-07T00:00:00"/>
    <x v="0"/>
    <s v="UNHCR"/>
    <s v="Kachin"/>
    <s v="Waingmaw"/>
    <s v="Thargaya Lisu Baptist Church"/>
    <m/>
    <m/>
    <m/>
    <n v="38"/>
    <n v="18"/>
    <n v="38"/>
    <n v="17"/>
    <n v="18"/>
    <n v="18"/>
    <n v="18"/>
    <m/>
    <m/>
    <m/>
    <m/>
    <m/>
    <m/>
    <m/>
    <n v="0"/>
    <n v="0"/>
    <n v="0"/>
    <n v="0"/>
    <n v="0"/>
    <n v="0"/>
    <n v="0"/>
    <n v="0"/>
    <n v="0"/>
    <n v="0"/>
    <n v="0"/>
    <n v="0"/>
    <n v="0"/>
    <n v="0"/>
    <n v="0"/>
    <n v="0"/>
    <n v="0"/>
    <n v="0"/>
    <s v="MMR001CMP037"/>
    <x v="0"/>
    <x v="1"/>
    <s v="P4"/>
    <n v="4.1617704661182925E-4"/>
    <s v="No"/>
  </r>
  <r>
    <n v="60.733333333333334"/>
    <d v="2012-01-06T00:00:00"/>
    <x v="0"/>
    <s v="UNHCR"/>
    <s v="Kachin"/>
    <s v="Waingmaw"/>
    <s v="Thargaya Lisu Baptist Church"/>
    <m/>
    <m/>
    <m/>
    <n v="29"/>
    <n v="0"/>
    <n v="29"/>
    <n v="15"/>
    <n v="15"/>
    <n v="15"/>
    <n v="15"/>
    <m/>
    <m/>
    <m/>
    <m/>
    <m/>
    <m/>
    <m/>
    <n v="0"/>
    <n v="0"/>
    <n v="0"/>
    <n v="0"/>
    <n v="0"/>
    <n v="0"/>
    <n v="0"/>
    <n v="0"/>
    <n v="0"/>
    <n v="0"/>
    <n v="0"/>
    <n v="0"/>
    <n v="0"/>
    <n v="0"/>
    <n v="0"/>
    <n v="0"/>
    <n v="0"/>
    <n v="0"/>
    <s v="MMR001CMP037"/>
    <x v="0"/>
    <x v="1"/>
    <s v="P4"/>
    <n v="3.6721504112808461E-4"/>
    <s v="No"/>
  </r>
  <r>
    <n v="60.733333333333334"/>
    <d v="2012-01-06T00:00:00"/>
    <x v="0"/>
    <s v="UNHCR"/>
    <s v="Kachin"/>
    <s v="Waingmaw"/>
    <s v="Thargaya Lisu Baptist Church"/>
    <m/>
    <m/>
    <m/>
    <n v="59"/>
    <n v="30"/>
    <n v="59"/>
    <n v="30"/>
    <n v="30"/>
    <n v="30"/>
    <n v="30"/>
    <m/>
    <m/>
    <m/>
    <m/>
    <m/>
    <m/>
    <m/>
    <n v="0"/>
    <n v="0"/>
    <n v="0"/>
    <n v="0"/>
    <n v="0"/>
    <n v="0"/>
    <n v="0"/>
    <n v="0"/>
    <n v="0"/>
    <n v="0"/>
    <n v="0"/>
    <n v="0"/>
    <n v="0"/>
    <n v="0"/>
    <n v="0"/>
    <n v="0"/>
    <n v="0"/>
    <n v="0"/>
    <s v="MMR001CMP037"/>
    <x v="0"/>
    <x v="1"/>
    <s v="P4"/>
    <n v="7.3443008225616922E-4"/>
    <s v="No"/>
  </r>
  <r>
    <n v="26.1"/>
    <d v="2014-11-10T00:00:00"/>
    <x v="1"/>
    <s v="MRCS"/>
    <s v="Kachin"/>
    <s v="Puta-O"/>
    <s v="Tote Tan Ward"/>
    <m/>
    <m/>
    <m/>
    <m/>
    <m/>
    <m/>
    <m/>
    <m/>
    <m/>
    <m/>
    <n v="72"/>
    <n v="11"/>
    <m/>
    <m/>
    <m/>
    <m/>
    <m/>
    <n v="0"/>
    <n v="0"/>
    <n v="0"/>
    <n v="0"/>
    <n v="0"/>
    <n v="0"/>
    <n v="0"/>
    <n v="0"/>
    <n v="0"/>
    <n v="0"/>
    <n v="0"/>
    <n v="0"/>
    <n v="0"/>
    <n v="0"/>
    <n v="1"/>
    <n v="0"/>
    <n v="0"/>
    <n v="0"/>
    <s v="MMR001CMP075"/>
    <x v="0"/>
    <x v="1"/>
    <s v="P3"/>
    <s v=""/>
    <m/>
  </r>
  <r>
    <n v="35.9"/>
    <d v="2014-01-20T00:00:00"/>
    <x v="1"/>
    <s v="MRCS"/>
    <s v="Kachin"/>
    <s v="Puta-O"/>
    <s v="Tote Tan Ward"/>
    <m/>
    <m/>
    <m/>
    <n v="18"/>
    <n v="36"/>
    <n v="36"/>
    <n v="18"/>
    <m/>
    <m/>
    <m/>
    <n v="53"/>
    <n v="42"/>
    <m/>
    <m/>
    <m/>
    <m/>
    <m/>
    <n v="0"/>
    <n v="0"/>
    <n v="0"/>
    <n v="0"/>
    <n v="0"/>
    <n v="0"/>
    <n v="0"/>
    <n v="0"/>
    <n v="0"/>
    <n v="0"/>
    <n v="0"/>
    <n v="0"/>
    <n v="0"/>
    <n v="0"/>
    <n v="1"/>
    <n v="0"/>
    <n v="0"/>
    <n v="0"/>
    <s v="MMR001CMP075"/>
    <x v="0"/>
    <x v="1"/>
    <s v="P3"/>
    <s v=""/>
    <m/>
  </r>
  <r>
    <n v="27.433333333333334"/>
    <d v="2014-10-01T00:00:00"/>
    <x v="0"/>
    <s v="Shalom"/>
    <s v="Kachin"/>
    <s v="Waingmaw"/>
    <s v="Waingmaw AG Church"/>
    <m/>
    <m/>
    <m/>
    <n v="150"/>
    <m/>
    <m/>
    <m/>
    <m/>
    <m/>
    <m/>
    <m/>
    <m/>
    <m/>
    <m/>
    <m/>
    <m/>
    <m/>
    <n v="0"/>
    <n v="0"/>
    <n v="0"/>
    <n v="0"/>
    <n v="0"/>
    <n v="0"/>
    <n v="0"/>
    <n v="0"/>
    <n v="0"/>
    <n v="0"/>
    <n v="0"/>
    <n v="0"/>
    <n v="0"/>
    <n v="0"/>
    <n v="0"/>
    <n v="0"/>
    <n v="0"/>
    <n v="0"/>
    <s v="MMR001CMP038"/>
    <x v="0"/>
    <x v="1"/>
    <s v="P4"/>
    <n v="0"/>
    <m/>
  </r>
  <r>
    <n v="30.366666666666667"/>
    <d v="2014-07-05T00:00:00"/>
    <x v="8"/>
    <s v="MRCS"/>
    <s v="Kachin"/>
    <s v="Waingmaw"/>
    <s v="Waingmaw AG Church"/>
    <m/>
    <m/>
    <m/>
    <m/>
    <m/>
    <m/>
    <m/>
    <m/>
    <m/>
    <m/>
    <m/>
    <m/>
    <m/>
    <n v="124"/>
    <m/>
    <m/>
    <m/>
    <n v="0"/>
    <n v="0"/>
    <n v="0"/>
    <n v="0"/>
    <n v="0"/>
    <n v="0"/>
    <n v="0"/>
    <n v="0"/>
    <n v="0"/>
    <n v="0"/>
    <n v="0"/>
    <n v="0"/>
    <n v="0"/>
    <n v="0"/>
    <n v="1"/>
    <n v="0"/>
    <n v="0"/>
    <n v="0"/>
    <s v="MMR001CMP038"/>
    <x v="0"/>
    <x v="1"/>
    <s v="P4"/>
    <n v="0"/>
    <m/>
  </r>
  <r>
    <n v="37.06666666666667"/>
    <d v="2013-12-16T00:00:00"/>
    <x v="4"/>
    <s v="KBC"/>
    <s v="Kachin"/>
    <s v="Waingmaw"/>
    <s v="Waingmaw AG Church"/>
    <m/>
    <m/>
    <m/>
    <m/>
    <m/>
    <m/>
    <m/>
    <m/>
    <m/>
    <m/>
    <n v="77"/>
    <n v="153"/>
    <n v="460"/>
    <n v="230"/>
    <m/>
    <m/>
    <m/>
    <n v="0"/>
    <n v="0"/>
    <n v="0"/>
    <n v="0"/>
    <n v="0"/>
    <n v="0"/>
    <n v="0"/>
    <n v="0"/>
    <n v="0"/>
    <n v="0"/>
    <n v="0"/>
    <n v="0"/>
    <n v="0"/>
    <n v="0"/>
    <n v="1"/>
    <n v="0"/>
    <n v="0"/>
    <n v="0"/>
    <s v="MMR001CMP038"/>
    <x v="0"/>
    <x v="1"/>
    <s v="P4"/>
    <n v="0"/>
    <m/>
  </r>
  <r>
    <n v="60.5"/>
    <d v="2012-01-13T00:00:00"/>
    <x v="0"/>
    <s v="KBC"/>
    <s v="Kachin"/>
    <m/>
    <s v="Kat Hmaw Zut Baptist Church"/>
    <m/>
    <m/>
    <m/>
    <n v="76"/>
    <n v="38"/>
    <n v="38"/>
    <n v="0"/>
    <n v="38"/>
    <n v="38"/>
    <n v="38"/>
    <m/>
    <m/>
    <m/>
    <m/>
    <m/>
    <m/>
    <m/>
    <n v="0"/>
    <n v="0"/>
    <n v="0"/>
    <n v="0"/>
    <n v="0"/>
    <n v="0"/>
    <n v="0"/>
    <n v="0"/>
    <n v="0"/>
    <n v="0"/>
    <n v="0"/>
    <n v="0"/>
    <n v="0"/>
    <n v="0"/>
    <n v="0"/>
    <n v="0"/>
    <n v="0"/>
    <n v="0"/>
    <s v=""/>
    <x v="2"/>
    <x v="2"/>
    <s v=""/>
    <s v=""/>
    <s v="No"/>
  </r>
  <r>
    <n v="60.5"/>
    <d v="2012-01-13T00:00:00"/>
    <x v="0"/>
    <s v="KBC"/>
    <s v="Kachin"/>
    <m/>
    <s v="Le Pyin - Kar Gyi Winn"/>
    <m/>
    <m/>
    <m/>
    <n v="18"/>
    <n v="9"/>
    <n v="9"/>
    <n v="0"/>
    <n v="9"/>
    <n v="9"/>
    <n v="9"/>
    <m/>
    <m/>
    <m/>
    <m/>
    <m/>
    <m/>
    <m/>
    <n v="0"/>
    <n v="0"/>
    <n v="0"/>
    <n v="0"/>
    <n v="0"/>
    <n v="0"/>
    <n v="0"/>
    <n v="0"/>
    <n v="0"/>
    <n v="0"/>
    <n v="0"/>
    <n v="0"/>
    <n v="0"/>
    <n v="0"/>
    <n v="0"/>
    <n v="0"/>
    <n v="0"/>
    <n v="0"/>
    <s v=""/>
    <x v="2"/>
    <x v="2"/>
    <s v=""/>
    <s v=""/>
    <s v="No"/>
  </r>
  <r>
    <n v="60.5"/>
    <d v="2012-01-13T00:00:00"/>
    <x v="0"/>
    <s v="KBC"/>
    <s v="Kachin"/>
    <m/>
    <s v="Le Pyin Christian Church"/>
    <m/>
    <m/>
    <m/>
    <n v="10"/>
    <n v="5"/>
    <n v="5"/>
    <n v="0"/>
    <n v="5"/>
    <n v="5"/>
    <n v="5"/>
    <m/>
    <m/>
    <m/>
    <m/>
    <m/>
    <m/>
    <m/>
    <n v="0"/>
    <n v="0"/>
    <n v="0"/>
    <n v="0"/>
    <n v="0"/>
    <n v="0"/>
    <n v="0"/>
    <n v="0"/>
    <n v="0"/>
    <n v="0"/>
    <n v="0"/>
    <n v="0"/>
    <n v="0"/>
    <n v="0"/>
    <n v="0"/>
    <n v="0"/>
    <n v="0"/>
    <n v="0"/>
    <s v=""/>
    <x v="2"/>
    <x v="2"/>
    <s v=""/>
    <s v=""/>
    <s v="No"/>
  </r>
  <r>
    <n v="37.6"/>
    <d v="2013-11-30T00:00:00"/>
    <x v="4"/>
    <s v="KBC"/>
    <s v="Kachin"/>
    <s v="Waingmaw"/>
    <s v="Waingmaw AG Church"/>
    <m/>
    <m/>
    <m/>
    <m/>
    <m/>
    <m/>
    <m/>
    <m/>
    <m/>
    <m/>
    <m/>
    <m/>
    <m/>
    <m/>
    <m/>
    <m/>
    <m/>
    <n v="0"/>
    <n v="0"/>
    <n v="0"/>
    <n v="0"/>
    <n v="0"/>
    <n v="0"/>
    <n v="0"/>
    <n v="0"/>
    <n v="0"/>
    <n v="0"/>
    <n v="0"/>
    <n v="0"/>
    <n v="0"/>
    <n v="0"/>
    <n v="0"/>
    <n v="0"/>
    <n v="0"/>
    <n v="0"/>
    <s v="MMR001CMP038"/>
    <x v="0"/>
    <x v="1"/>
    <s v="P4"/>
    <n v="0"/>
    <s v="No"/>
  </r>
  <r>
    <n v="60.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0"/>
    <s v=""/>
    <s v=""/>
    <s v="No"/>
  </r>
  <r>
    <n v="60.5"/>
    <d v="2012-01-13T00:00:00"/>
    <x v="0"/>
    <s v="KBC"/>
    <s v="Kachin"/>
    <s v="Hpakant"/>
    <s v="Maw Wan, Kachin Baptist Church"/>
    <m/>
    <m/>
    <m/>
    <n v="34"/>
    <n v="17"/>
    <n v="17"/>
    <n v="0"/>
    <n v="17"/>
    <n v="17"/>
    <n v="17"/>
    <m/>
    <m/>
    <m/>
    <m/>
    <m/>
    <m/>
    <m/>
    <n v="0"/>
    <n v="0"/>
    <n v="0"/>
    <n v="0"/>
    <n v="0"/>
    <n v="0"/>
    <n v="0"/>
    <n v="0"/>
    <n v="0"/>
    <n v="0"/>
    <n v="0"/>
    <n v="0"/>
    <n v="0"/>
    <n v="0"/>
    <n v="0"/>
    <n v="0"/>
    <n v="0"/>
    <n v="0"/>
    <s v="MMR001CMP085"/>
    <x v="0"/>
    <x v="0"/>
    <s v=""/>
    <s v=""/>
    <s v="No"/>
  </r>
  <r>
    <n v="60.5"/>
    <d v="2012-01-13T00:00:00"/>
    <x v="0"/>
    <s v="KBC"/>
    <s v="Kachin"/>
    <m/>
    <s v="Nant Yar Baptist Church"/>
    <m/>
    <m/>
    <m/>
    <n v="126"/>
    <n v="63"/>
    <n v="63"/>
    <n v="0"/>
    <n v="63"/>
    <n v="63"/>
    <n v="63"/>
    <m/>
    <m/>
    <m/>
    <m/>
    <m/>
    <m/>
    <m/>
    <n v="0"/>
    <n v="0"/>
    <n v="0"/>
    <n v="0"/>
    <n v="0"/>
    <n v="0"/>
    <n v="0"/>
    <n v="0"/>
    <n v="0"/>
    <n v="0"/>
    <n v="0"/>
    <n v="0"/>
    <n v="0"/>
    <n v="0"/>
    <n v="0"/>
    <n v="0"/>
    <n v="0"/>
    <n v="0"/>
    <s v=""/>
    <x v="2"/>
    <x v="2"/>
    <s v=""/>
    <s v=""/>
    <s v="No"/>
  </r>
  <r>
    <n v="60.5"/>
    <d v="2012-01-13T00:00:00"/>
    <x v="0"/>
    <s v="KBC"/>
    <s v="Kachin"/>
    <s v="Hpakant"/>
    <s v="Nga Pyaw Taw Baptist Nursery School "/>
    <m/>
    <m/>
    <m/>
    <n v="112"/>
    <n v="56"/>
    <n v="56"/>
    <n v="0"/>
    <n v="56"/>
    <n v="56"/>
    <n v="56"/>
    <m/>
    <m/>
    <m/>
    <m/>
    <m/>
    <m/>
    <m/>
    <n v="0"/>
    <n v="0"/>
    <n v="0"/>
    <n v="0"/>
    <n v="0"/>
    <n v="0"/>
    <n v="0"/>
    <n v="0"/>
    <n v="0"/>
    <n v="0"/>
    <n v="0"/>
    <n v="0"/>
    <n v="0"/>
    <n v="0"/>
    <n v="0"/>
    <n v="0"/>
    <n v="0"/>
    <n v="0"/>
    <s v="MMR001CMP082"/>
    <x v="0"/>
    <x v="0"/>
    <s v=""/>
    <n v="0"/>
    <s v="No"/>
  </r>
  <r>
    <n v="41.9"/>
    <d v="2013-07-24T00:00:00"/>
    <x v="0"/>
    <s v="Shalom"/>
    <s v="Kachin"/>
    <s v="Waingmaw"/>
    <s v="Waingmaw AG Church"/>
    <m/>
    <m/>
    <n v="22"/>
    <n v="32"/>
    <n v="15"/>
    <n v="32"/>
    <n v="15"/>
    <n v="15"/>
    <n v="15"/>
    <n v="15"/>
    <m/>
    <m/>
    <m/>
    <m/>
    <m/>
    <m/>
    <m/>
    <n v="0"/>
    <n v="0"/>
    <n v="0"/>
    <n v="0"/>
    <n v="0"/>
    <n v="0"/>
    <n v="0"/>
    <n v="0"/>
    <n v="0"/>
    <n v="0"/>
    <n v="0"/>
    <n v="0"/>
    <n v="0"/>
    <n v="0"/>
    <n v="0"/>
    <n v="0"/>
    <n v="0"/>
    <n v="0"/>
    <s v="MMR001CMP038"/>
    <x v="0"/>
    <x v="1"/>
    <s v="P4"/>
    <n v="3.6721504112808461E-4"/>
    <s v="No"/>
  </r>
  <r>
    <n v="45.633333333333333"/>
    <d v="2013-04-03T00:00:00"/>
    <x v="0"/>
    <s v="UNHCR"/>
    <s v="Kachin"/>
    <s v="Waingmaw"/>
    <s v="Waingmaw AG Church"/>
    <m/>
    <m/>
    <n v="4"/>
    <n v="7"/>
    <n v="3"/>
    <n v="7"/>
    <n v="3"/>
    <n v="3"/>
    <n v="3"/>
    <n v="3"/>
    <m/>
    <m/>
    <m/>
    <m/>
    <m/>
    <m/>
    <m/>
    <n v="0"/>
    <n v="0"/>
    <n v="0"/>
    <n v="0"/>
    <n v="0"/>
    <n v="0"/>
    <n v="0"/>
    <n v="0"/>
    <n v="0"/>
    <n v="0"/>
    <n v="0"/>
    <n v="0"/>
    <n v="0"/>
    <n v="0"/>
    <n v="0"/>
    <n v="0"/>
    <n v="0"/>
    <n v="0"/>
    <s v="MMR001CMP038"/>
    <x v="0"/>
    <x v="1"/>
    <s v="P4"/>
    <n v="7.3443008225616919E-5"/>
    <s v="No"/>
  </r>
  <r>
    <n v="47.7"/>
    <d v="2013-01-31T00:00:00"/>
    <x v="9"/>
    <s v="World Vision"/>
    <s v="Kachin"/>
    <s v="Waingmaw"/>
    <s v="Waingmaw AG Church"/>
    <m/>
    <m/>
    <m/>
    <m/>
    <m/>
    <n v="104"/>
    <m/>
    <m/>
    <n v="0"/>
    <n v="0"/>
    <m/>
    <m/>
    <m/>
    <m/>
    <m/>
    <m/>
    <m/>
    <n v="0"/>
    <n v="0"/>
    <n v="0"/>
    <n v="0"/>
    <n v="0"/>
    <n v="0"/>
    <n v="0"/>
    <n v="0"/>
    <n v="0"/>
    <n v="0"/>
    <n v="0"/>
    <n v="0"/>
    <n v="0"/>
    <n v="0"/>
    <n v="0"/>
    <n v="0"/>
    <n v="0"/>
    <n v="0"/>
    <s v="MMR001CMP038"/>
    <x v="0"/>
    <x v="1"/>
    <s v="P4"/>
    <n v="0"/>
    <s v="No"/>
  </r>
  <r>
    <n v="48.733333333333334"/>
    <d v="2012-12-31T00:00:00"/>
    <x v="3"/>
    <s v="DRC"/>
    <s v="Kachin"/>
    <s v="Waingmaw"/>
    <s v="Waingmaw AG Church"/>
    <n v="56"/>
    <m/>
    <m/>
    <m/>
    <m/>
    <m/>
    <m/>
    <m/>
    <n v="0"/>
    <n v="0"/>
    <m/>
    <m/>
    <m/>
    <m/>
    <m/>
    <m/>
    <m/>
    <n v="0"/>
    <n v="0"/>
    <n v="0"/>
    <n v="0"/>
    <n v="0"/>
    <n v="0"/>
    <n v="0"/>
    <n v="0"/>
    <n v="0"/>
    <n v="0"/>
    <n v="0"/>
    <n v="0"/>
    <n v="0"/>
    <n v="0"/>
    <n v="0"/>
    <n v="0"/>
    <n v="0"/>
    <n v="0"/>
    <s v="MMR001CMP038"/>
    <x v="0"/>
    <x v="1"/>
    <s v="P4"/>
    <n v="0"/>
    <s v="No"/>
  </r>
  <r>
    <n v="52.333333333333336"/>
    <d v="2012-09-14T00:00:00"/>
    <x v="0"/>
    <s v="UNHCR"/>
    <s v="Kachin"/>
    <s v="Waingmaw"/>
    <s v="Waingmaw AG Church"/>
    <m/>
    <m/>
    <m/>
    <n v="14"/>
    <n v="8"/>
    <n v="14"/>
    <n v="8"/>
    <n v="8"/>
    <n v="8"/>
    <n v="8"/>
    <m/>
    <m/>
    <m/>
    <m/>
    <m/>
    <m/>
    <m/>
    <n v="0"/>
    <n v="0"/>
    <n v="0"/>
    <n v="0"/>
    <n v="0"/>
    <n v="0"/>
    <n v="0"/>
    <n v="0"/>
    <n v="0"/>
    <n v="0"/>
    <n v="0"/>
    <n v="0"/>
    <n v="0"/>
    <n v="0"/>
    <n v="0"/>
    <n v="0"/>
    <n v="0"/>
    <n v="0"/>
    <s v="MMR001CMP038"/>
    <x v="0"/>
    <x v="1"/>
    <s v="P4"/>
    <n v="1.9584802193497845E-4"/>
    <s v="No"/>
  </r>
  <r>
    <n v="54.666666666666664"/>
    <d v="2012-07-06T00:00:00"/>
    <x v="0"/>
    <s v="UNHCR"/>
    <s v="Kachin"/>
    <s v="Waingmaw"/>
    <s v="Waingmaw AG Church"/>
    <m/>
    <m/>
    <m/>
    <n v="17"/>
    <n v="17"/>
    <n v="17"/>
    <n v="17"/>
    <n v="17"/>
    <n v="17"/>
    <n v="17"/>
    <m/>
    <m/>
    <m/>
    <m/>
    <m/>
    <m/>
    <m/>
    <n v="0"/>
    <n v="0"/>
    <n v="0"/>
    <n v="0"/>
    <n v="0"/>
    <n v="0"/>
    <n v="0"/>
    <n v="0"/>
    <n v="0"/>
    <n v="0"/>
    <n v="0"/>
    <n v="0"/>
    <n v="0"/>
    <n v="0"/>
    <n v="0"/>
    <n v="0"/>
    <n v="0"/>
    <n v="0"/>
    <s v="MMR001CMP038"/>
    <x v="0"/>
    <x v="1"/>
    <s v="P4"/>
    <n v="4.1617704661182925E-4"/>
    <s v="No"/>
  </r>
  <r>
    <n v="55.233333333333334"/>
    <d v="2012-06-19T00:00:00"/>
    <x v="0"/>
    <s v="UNHCR"/>
    <s v="Kachin"/>
    <s v="Waingmaw"/>
    <s v="Waingmaw AG Church"/>
    <m/>
    <m/>
    <m/>
    <n v="28"/>
    <n v="15"/>
    <n v="28"/>
    <n v="15"/>
    <n v="15"/>
    <n v="15"/>
    <n v="15"/>
    <m/>
    <m/>
    <m/>
    <m/>
    <m/>
    <m/>
    <m/>
    <n v="0"/>
    <n v="0"/>
    <n v="0"/>
    <n v="0"/>
    <n v="0"/>
    <n v="0"/>
    <n v="0"/>
    <n v="0"/>
    <n v="0"/>
    <n v="0"/>
    <n v="0"/>
    <n v="0"/>
    <n v="0"/>
    <n v="0"/>
    <n v="0"/>
    <n v="0"/>
    <n v="0"/>
    <n v="0"/>
    <s v="MMR001CMP038"/>
    <x v="0"/>
    <x v="1"/>
    <s v="P4"/>
    <n v="3.6721504112808461E-4"/>
    <s v="No"/>
  </r>
  <r>
    <n v="60.733333333333334"/>
    <d v="2012-01-06T00:00:00"/>
    <x v="0"/>
    <s v="UNHCR"/>
    <s v="Kachin"/>
    <s v="Waingmaw"/>
    <s v="Waingmaw AG Church"/>
    <m/>
    <m/>
    <m/>
    <n v="29"/>
    <n v="14"/>
    <n v="29"/>
    <n v="14"/>
    <n v="14"/>
    <n v="14"/>
    <n v="14"/>
    <m/>
    <m/>
    <m/>
    <m/>
    <m/>
    <m/>
    <m/>
    <n v="0"/>
    <n v="0"/>
    <n v="0"/>
    <n v="0"/>
    <n v="0"/>
    <n v="0"/>
    <n v="0"/>
    <n v="0"/>
    <n v="0"/>
    <n v="0"/>
    <n v="0"/>
    <n v="0"/>
    <n v="0"/>
    <n v="0"/>
    <n v="0"/>
    <n v="0"/>
    <n v="0"/>
    <n v="0"/>
    <s v="MMR001CMP038"/>
    <x v="0"/>
    <x v="1"/>
    <s v="P4"/>
    <n v="3.4273403838621232E-4"/>
    <s v="No"/>
  </r>
  <r>
    <n v="4.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1"/>
    <x v="1"/>
    <n v="0"/>
    <n v="5.4283691291007793E-4"/>
    <m/>
  </r>
  <r>
    <n v="23.966666666666665"/>
    <d v="2015-01-13T00:00:00"/>
    <x v="1"/>
    <s v="MRCS"/>
    <s v="Kachin"/>
    <s v="Hpakant"/>
    <s v="Ward 2 Sai Taung Baptist Church, Seik Mu "/>
    <m/>
    <m/>
    <m/>
    <m/>
    <m/>
    <m/>
    <m/>
    <m/>
    <m/>
    <m/>
    <n v="94"/>
    <n v="58"/>
    <m/>
    <m/>
    <m/>
    <m/>
    <m/>
    <n v="0"/>
    <n v="0"/>
    <n v="0"/>
    <n v="0"/>
    <n v="0"/>
    <n v="0"/>
    <n v="0"/>
    <n v="0"/>
    <n v="0"/>
    <n v="0"/>
    <n v="0"/>
    <n v="0"/>
    <n v="0"/>
    <n v="0"/>
    <n v="1"/>
    <n v="0"/>
    <n v="0"/>
    <n v="0"/>
    <s v="MMR001CMP184"/>
    <x v="0"/>
    <x v="1"/>
    <s v="P4"/>
    <n v="0"/>
    <m/>
  </r>
  <r>
    <n v="26.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1"/>
    <s v="P4"/>
    <n v="9.2065414900060572E-4"/>
    <m/>
  </r>
  <r>
    <n v="46.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1"/>
    <s v="P4"/>
    <n v="2.9557843731072078E-3"/>
    <s v="No"/>
  </r>
  <r>
    <n v="22.833333333333332"/>
    <d v="2015-02-16T00:00:00"/>
    <x v="0"/>
    <s v="KMSS"/>
    <s v="Kachin"/>
    <s v="Waingmaw"/>
    <s v="Woi Chyai "/>
    <m/>
    <m/>
    <m/>
    <m/>
    <m/>
    <m/>
    <m/>
    <m/>
    <m/>
    <m/>
    <n v="1620"/>
    <n v="2207"/>
    <m/>
    <n v="1760"/>
    <m/>
    <m/>
    <m/>
    <n v="0"/>
    <n v="0"/>
    <n v="0"/>
    <n v="0"/>
    <n v="0"/>
    <n v="0"/>
    <n v="0"/>
    <n v="0"/>
    <n v="0"/>
    <n v="0"/>
    <n v="0"/>
    <n v="0"/>
    <n v="0"/>
    <n v="0"/>
    <n v="1"/>
    <n v="0"/>
    <n v="0"/>
    <n v="0"/>
    <s v="MMR001CMP116"/>
    <x v="0"/>
    <x v="1"/>
    <s v="P4"/>
    <n v="0"/>
    <s v="No"/>
  </r>
  <r>
    <n v="29.566666666666666"/>
    <d v="2014-07-29T00:00:00"/>
    <x v="0"/>
    <m/>
    <s v="Kachin"/>
    <s v="Waingmaw"/>
    <s v="Woi Chyai "/>
    <m/>
    <m/>
    <m/>
    <n v="46"/>
    <n v="46"/>
    <n v="46"/>
    <n v="16"/>
    <m/>
    <n v="16"/>
    <n v="142"/>
    <m/>
    <m/>
    <m/>
    <m/>
    <m/>
    <m/>
    <m/>
    <n v="0"/>
    <n v="0"/>
    <n v="0"/>
    <n v="0"/>
    <n v="0"/>
    <n v="0"/>
    <n v="0"/>
    <n v="0"/>
    <n v="0"/>
    <n v="0"/>
    <n v="0"/>
    <n v="0"/>
    <n v="0"/>
    <n v="0"/>
    <n v="0"/>
    <n v="0"/>
    <n v="0"/>
    <n v="0"/>
    <s v="MMR001CMP116"/>
    <x v="0"/>
    <x v="1"/>
    <s v="P4"/>
    <n v="3.9316869394274479E-4"/>
    <m/>
  </r>
  <r>
    <n v="37.6"/>
    <d v="2013-11-30T00:00:00"/>
    <x v="4"/>
    <s v="KBC"/>
    <s v="Kachin"/>
    <s v="Waingmaw"/>
    <s v="Woi Chyai "/>
    <m/>
    <m/>
    <m/>
    <m/>
    <m/>
    <m/>
    <m/>
    <m/>
    <m/>
    <n v="1851"/>
    <m/>
    <m/>
    <m/>
    <m/>
    <m/>
    <m/>
    <m/>
    <n v="0"/>
    <n v="0"/>
    <n v="0"/>
    <n v="0"/>
    <n v="0"/>
    <n v="0"/>
    <n v="0"/>
    <n v="0"/>
    <n v="0"/>
    <n v="0"/>
    <n v="0"/>
    <n v="0"/>
    <n v="0"/>
    <n v="0"/>
    <n v="0"/>
    <n v="0"/>
    <n v="0"/>
    <n v="0"/>
    <s v="MMR001CMP116"/>
    <x v="0"/>
    <x v="1"/>
    <s v="P4"/>
    <n v="0"/>
    <s v="No"/>
  </r>
  <r>
    <n v="40.033333333333331"/>
    <d v="2013-09-18T00:00:00"/>
    <x v="0"/>
    <s v="UNHCR"/>
    <s v="Kachin"/>
    <s v="Waingmaw"/>
    <s v="Woi Chyai "/>
    <m/>
    <m/>
    <n v="1520"/>
    <n v="1520"/>
    <n v="760"/>
    <n v="1520"/>
    <n v="760"/>
    <n v="760"/>
    <m/>
    <m/>
    <m/>
    <m/>
    <m/>
    <m/>
    <m/>
    <m/>
    <m/>
    <n v="0"/>
    <n v="0"/>
    <n v="0"/>
    <n v="0"/>
    <n v="0"/>
    <n v="0"/>
    <n v="0"/>
    <n v="0"/>
    <n v="0"/>
    <n v="0"/>
    <n v="0"/>
    <n v="0"/>
    <n v="0"/>
    <n v="0"/>
    <n v="0"/>
    <n v="0"/>
    <n v="0"/>
    <n v="0"/>
    <s v="MMR001CMP116"/>
    <x v="0"/>
    <x v="1"/>
    <s v="P4"/>
    <n v="1.8675512962280379E-2"/>
    <s v="No"/>
  </r>
  <r>
    <n v="49.43333333333333"/>
    <d v="2012-12-10T00:00:00"/>
    <x v="4"/>
    <s v="KBC"/>
    <s v="Kachin"/>
    <s v="Waingmaw"/>
    <s v="Woi Chyai "/>
    <n v="4285"/>
    <m/>
    <m/>
    <m/>
    <m/>
    <m/>
    <m/>
    <m/>
    <n v="0"/>
    <n v="0"/>
    <m/>
    <m/>
    <m/>
    <m/>
    <m/>
    <m/>
    <m/>
    <n v="0"/>
    <n v="0"/>
    <n v="0"/>
    <n v="0"/>
    <n v="0"/>
    <n v="0"/>
    <n v="0"/>
    <n v="0"/>
    <n v="0"/>
    <n v="0"/>
    <n v="0"/>
    <n v="0"/>
    <n v="0"/>
    <n v="0"/>
    <n v="0"/>
    <n v="0"/>
    <n v="0"/>
    <n v="0"/>
    <s v="MMR001CMP116"/>
    <x v="0"/>
    <x v="1"/>
    <s v="P4"/>
    <n v="0"/>
    <s v="No"/>
  </r>
  <r>
    <n v="27.433333333333334"/>
    <d v="2014-10-01T00:00:00"/>
    <x v="0"/>
    <s v="Shalom"/>
    <s v="Kachin"/>
    <s v="Myitkyina"/>
    <s v="Wun Tho Buddhist Monastery"/>
    <m/>
    <m/>
    <m/>
    <n v="12"/>
    <m/>
    <m/>
    <m/>
    <m/>
    <m/>
    <m/>
    <m/>
    <m/>
    <m/>
    <m/>
    <m/>
    <m/>
    <m/>
    <n v="0"/>
    <n v="0"/>
    <n v="0"/>
    <n v="0"/>
    <n v="0"/>
    <n v="0"/>
    <n v="0"/>
    <n v="0"/>
    <n v="0"/>
    <n v="0"/>
    <n v="0"/>
    <n v="0"/>
    <n v="0"/>
    <n v="0"/>
    <n v="0"/>
    <n v="0"/>
    <n v="0"/>
    <n v="0"/>
    <s v="MMR001CMP022"/>
    <x v="0"/>
    <x v="1"/>
    <s v="P4"/>
    <n v="0"/>
    <m/>
  </r>
  <r>
    <n v="31.566666666666666"/>
    <d v="2014-05-30T00:00:00"/>
    <x v="8"/>
    <s v="MRCS"/>
    <s v="Kachin"/>
    <s v="Myitkyina"/>
    <s v="Wun Tho Buddhist Monastery"/>
    <m/>
    <m/>
    <m/>
    <m/>
    <m/>
    <m/>
    <m/>
    <m/>
    <m/>
    <m/>
    <m/>
    <m/>
    <m/>
    <n v="12"/>
    <m/>
    <m/>
    <m/>
    <n v="0"/>
    <n v="0"/>
    <n v="0"/>
    <n v="0"/>
    <n v="0"/>
    <n v="0"/>
    <n v="0"/>
    <n v="0"/>
    <n v="0"/>
    <n v="0"/>
    <n v="0"/>
    <n v="0"/>
    <n v="0"/>
    <n v="0"/>
    <n v="1"/>
    <n v="0"/>
    <n v="0"/>
    <n v="0"/>
    <s v="MMR001CMP022"/>
    <x v="0"/>
    <x v="1"/>
    <s v="P4"/>
    <n v="0"/>
    <m/>
  </r>
  <r>
    <n v="61.6"/>
    <d v="2011-12-11T00:00:00"/>
    <x v="0"/>
    <s v="Shan Community"/>
    <s v="Kachin"/>
    <s v="Myitkyina"/>
    <s v="Shan Ywar Monestary Camp"/>
    <m/>
    <m/>
    <m/>
    <n v="88"/>
    <n v="49"/>
    <n v="88"/>
    <n v="49"/>
    <n v="49"/>
    <n v="49"/>
    <n v="49"/>
    <m/>
    <m/>
    <m/>
    <m/>
    <m/>
    <m/>
    <m/>
    <n v="0"/>
    <n v="0"/>
    <n v="0"/>
    <n v="0"/>
    <n v="0"/>
    <n v="0"/>
    <n v="0"/>
    <n v="0"/>
    <n v="0"/>
    <n v="0"/>
    <n v="0"/>
    <n v="0"/>
    <n v="0"/>
    <n v="0"/>
    <n v="0"/>
    <n v="0"/>
    <n v="0"/>
    <n v="0"/>
    <s v=""/>
    <x v="2"/>
    <x v="2"/>
    <s v=""/>
    <s v=""/>
    <s v="No"/>
  </r>
  <r>
    <n v="48.733333333333334"/>
    <d v="2012-12-31T00:00:00"/>
    <x v="3"/>
    <s v="DRC"/>
    <s v="Kachin"/>
    <s v="Myitkyina"/>
    <s v="Wun Tho Buddhist Monastery"/>
    <n v="24"/>
    <m/>
    <m/>
    <m/>
    <m/>
    <m/>
    <m/>
    <m/>
    <n v="0"/>
    <n v="0"/>
    <m/>
    <m/>
    <m/>
    <m/>
    <m/>
    <m/>
    <m/>
    <n v="0"/>
    <n v="0"/>
    <n v="0"/>
    <n v="0"/>
    <n v="0"/>
    <n v="0"/>
    <n v="0"/>
    <n v="0"/>
    <n v="0"/>
    <n v="0"/>
    <n v="0"/>
    <n v="0"/>
    <n v="0"/>
    <n v="0"/>
    <n v="0"/>
    <n v="0"/>
    <n v="0"/>
    <n v="0"/>
    <s v="MMR001CMP022"/>
    <x v="0"/>
    <x v="1"/>
    <s v="P4"/>
    <n v="0"/>
    <s v="No"/>
  </r>
  <r>
    <n v="52.93333333333333"/>
    <d v="2012-08-27T00:00:00"/>
    <x v="0"/>
    <s v="UNHCR"/>
    <s v="Kachin"/>
    <s v="Myitkyina"/>
    <s v="Wun Tho Buddhist Monastery"/>
    <m/>
    <m/>
    <m/>
    <n v="10"/>
    <n v="5"/>
    <n v="10"/>
    <n v="5"/>
    <n v="5"/>
    <n v="5"/>
    <n v="5"/>
    <m/>
    <m/>
    <m/>
    <m/>
    <m/>
    <m/>
    <m/>
    <n v="0"/>
    <n v="0"/>
    <n v="0"/>
    <n v="0"/>
    <n v="0"/>
    <n v="0"/>
    <n v="0"/>
    <n v="0"/>
    <n v="0"/>
    <n v="0"/>
    <n v="0"/>
    <n v="0"/>
    <n v="0"/>
    <n v="0"/>
    <n v="0"/>
    <n v="0"/>
    <n v="0"/>
    <n v="0"/>
    <s v="MMR001CMP022"/>
    <x v="0"/>
    <x v="1"/>
    <s v="P4"/>
    <n v="1.2195121951219512E-4"/>
    <s v="No"/>
  </r>
  <r>
    <n v="53.533333333333331"/>
    <d v="2012-08-09T00:00:00"/>
    <x v="0"/>
    <s v="UNHCR"/>
    <s v="Kachin"/>
    <s v="Myitkyina"/>
    <s v="Wun Tho Buddhist Monastery"/>
    <m/>
    <m/>
    <m/>
    <n v="10"/>
    <n v="5"/>
    <n v="10"/>
    <n v="5"/>
    <n v="5"/>
    <n v="5"/>
    <n v="5"/>
    <m/>
    <m/>
    <m/>
    <m/>
    <m/>
    <m/>
    <m/>
    <n v="0"/>
    <n v="0"/>
    <n v="0"/>
    <n v="0"/>
    <n v="0"/>
    <n v="0"/>
    <n v="0"/>
    <n v="0"/>
    <n v="0"/>
    <n v="0"/>
    <n v="0"/>
    <n v="0"/>
    <n v="0"/>
    <n v="0"/>
    <n v="0"/>
    <n v="0"/>
    <n v="0"/>
    <n v="0"/>
    <s v="MMR001CMP022"/>
    <x v="0"/>
    <x v="1"/>
    <s v="P4"/>
    <n v="1.2195121951219512E-4"/>
    <s v="No"/>
  </r>
  <r>
    <n v="54.233333333333334"/>
    <d v="2012-07-19T00:00:00"/>
    <x v="0"/>
    <s v="UNHCR"/>
    <s v="Kachin"/>
    <s v="Myitkyina"/>
    <s v="Wun Tho Buddhist Monastery"/>
    <m/>
    <m/>
    <m/>
    <n v="9"/>
    <n v="5"/>
    <n v="9"/>
    <n v="5"/>
    <n v="5"/>
    <n v="5"/>
    <n v="5"/>
    <m/>
    <m/>
    <m/>
    <m/>
    <m/>
    <m/>
    <m/>
    <n v="0"/>
    <n v="0"/>
    <n v="0"/>
    <n v="0"/>
    <n v="0"/>
    <n v="0"/>
    <n v="0"/>
    <n v="0"/>
    <n v="0"/>
    <n v="0"/>
    <n v="0"/>
    <n v="0"/>
    <n v="0"/>
    <n v="0"/>
    <n v="0"/>
    <n v="0"/>
    <n v="0"/>
    <n v="0"/>
    <s v="MMR001CMP022"/>
    <x v="0"/>
    <x v="1"/>
    <s v="P4"/>
    <n v="1.2195121951219512E-4"/>
    <s v="No"/>
  </r>
  <r>
    <n v="57.06666666666667"/>
    <d v="2012-04-25T00:00:00"/>
    <x v="0"/>
    <s v="UNHCR"/>
    <s v="Kachin"/>
    <s v="Myitkyina"/>
    <s v="Wun Tho Buddhist Monastery"/>
    <m/>
    <m/>
    <m/>
    <n v="39"/>
    <n v="19"/>
    <n v="78"/>
    <n v="19"/>
    <n v="0"/>
    <m/>
    <m/>
    <m/>
    <m/>
    <m/>
    <m/>
    <m/>
    <m/>
    <m/>
    <n v="0"/>
    <n v="0"/>
    <n v="0"/>
    <n v="0"/>
    <n v="0"/>
    <n v="0"/>
    <n v="0"/>
    <n v="0"/>
    <n v="0"/>
    <n v="0"/>
    <n v="0"/>
    <n v="0"/>
    <n v="0"/>
    <n v="0"/>
    <n v="0"/>
    <n v="0"/>
    <n v="0"/>
    <n v="0"/>
    <s v="MMR001CMP022"/>
    <x v="0"/>
    <x v="1"/>
    <s v="P4"/>
    <n v="4.6341463414634144E-4"/>
    <s v="No"/>
  </r>
  <r>
    <n v="62.366666666666667"/>
    <d v="2011-11-18T00:00:00"/>
    <x v="0"/>
    <s v="UNHCR"/>
    <s v="Kachin"/>
    <s v="Myitkyina"/>
    <s v="Bomb Blast Victims"/>
    <m/>
    <m/>
    <m/>
    <n v="24"/>
    <n v="3"/>
    <n v="24"/>
    <n v="3"/>
    <n v="3"/>
    <n v="3"/>
    <n v="3"/>
    <m/>
    <m/>
    <m/>
    <m/>
    <m/>
    <m/>
    <m/>
    <n v="0"/>
    <n v="0"/>
    <n v="0"/>
    <n v="0"/>
    <n v="0"/>
    <n v="0"/>
    <n v="0"/>
    <n v="0"/>
    <n v="0"/>
    <n v="0"/>
    <n v="0"/>
    <n v="0"/>
    <n v="0"/>
    <n v="0"/>
    <n v="0"/>
    <n v="0"/>
    <n v="0"/>
    <n v="0"/>
    <s v=""/>
    <x v="2"/>
    <x v="2"/>
    <s v=""/>
    <s v=""/>
    <s v="No"/>
  </r>
  <r>
    <n v="59"/>
    <d v="2012-02-27T00:00:00"/>
    <x v="0"/>
    <s v="SC&amp;L Group"/>
    <s v="Kachin"/>
    <s v="Myitkyina"/>
    <s v="Wun Tho Buddhist Monastery"/>
    <m/>
    <m/>
    <m/>
    <n v="34"/>
    <n v="0"/>
    <n v="34"/>
    <n v="0"/>
    <n v="34"/>
    <n v="34"/>
    <n v="34"/>
    <m/>
    <m/>
    <m/>
    <m/>
    <m/>
    <m/>
    <m/>
    <n v="0"/>
    <n v="0"/>
    <n v="0"/>
    <n v="0"/>
    <n v="0"/>
    <n v="0"/>
    <n v="0"/>
    <n v="0"/>
    <n v="0"/>
    <n v="0"/>
    <n v="0"/>
    <n v="0"/>
    <n v="0"/>
    <n v="0"/>
    <n v="0"/>
    <n v="0"/>
    <n v="0"/>
    <n v="0"/>
    <s v="MMR001CMP022"/>
    <x v="0"/>
    <x v="1"/>
    <s v="P4"/>
    <n v="0"/>
    <s v="No"/>
  </r>
  <r>
    <n v="62.366666666666667"/>
    <d v="2011-11-18T00:00:00"/>
    <x v="0"/>
    <s v="UNHCR"/>
    <s v="Kachin"/>
    <s v="Myitkyina"/>
    <s v="Wun Tho Buddhist Monastery"/>
    <m/>
    <m/>
    <m/>
    <n v="175"/>
    <n v="0"/>
    <n v="175"/>
    <n v="0"/>
    <n v="0"/>
    <m/>
    <m/>
    <m/>
    <m/>
    <m/>
    <m/>
    <m/>
    <m/>
    <m/>
    <n v="0"/>
    <n v="0"/>
    <n v="0"/>
    <n v="0"/>
    <n v="0"/>
    <n v="0"/>
    <n v="0"/>
    <n v="0"/>
    <n v="0"/>
    <n v="0"/>
    <n v="0"/>
    <n v="0"/>
    <n v="0"/>
    <n v="0"/>
    <n v="0"/>
    <n v="0"/>
    <n v="0"/>
    <n v="0"/>
    <s v="MMR001CMP022"/>
    <x v="0"/>
    <x v="1"/>
    <s v="P4"/>
    <n v="0"/>
    <s v="No"/>
  </r>
  <r>
    <n v="33.266666666666666"/>
    <d v="2014-04-09T00:00:00"/>
    <x v="8"/>
    <s v="MRCS"/>
    <s v="Kachin"/>
    <s v="Bhamo"/>
    <s v="Yoe Kyi Monastery"/>
    <m/>
    <m/>
    <m/>
    <m/>
    <m/>
    <m/>
    <m/>
    <m/>
    <m/>
    <m/>
    <m/>
    <m/>
    <m/>
    <n v="42"/>
    <m/>
    <m/>
    <m/>
    <n v="0"/>
    <n v="0"/>
    <n v="0"/>
    <n v="0"/>
    <n v="0"/>
    <n v="0"/>
    <n v="0"/>
    <n v="0"/>
    <n v="0"/>
    <n v="0"/>
    <n v="0"/>
    <n v="0"/>
    <n v="0"/>
    <n v="0"/>
    <n v="1"/>
    <n v="0"/>
    <n v="0"/>
    <n v="0"/>
    <s v="MMR001CMP053"/>
    <x v="0"/>
    <x v="1"/>
    <s v="P4"/>
    <n v="0"/>
    <m/>
  </r>
  <r>
    <n v="37.6"/>
    <d v="2013-11-30T00:00:00"/>
    <x v="5"/>
    <s v="MDCG"/>
    <s v="Kachin"/>
    <s v="Bhamo"/>
    <s v="Yoe Kyi Monastery"/>
    <m/>
    <m/>
    <m/>
    <m/>
    <m/>
    <n v="64"/>
    <m/>
    <m/>
    <m/>
    <m/>
    <n v="58"/>
    <n v="52"/>
    <n v="0"/>
    <m/>
    <m/>
    <m/>
    <m/>
    <n v="0"/>
    <n v="0"/>
    <n v="0"/>
    <n v="0"/>
    <n v="0"/>
    <n v="0"/>
    <n v="0"/>
    <n v="0"/>
    <n v="0"/>
    <n v="0"/>
    <n v="0"/>
    <n v="0"/>
    <n v="0"/>
    <n v="0"/>
    <n v="1"/>
    <n v="0"/>
    <n v="0"/>
    <n v="0"/>
    <s v="MMR001CMP053"/>
    <x v="0"/>
    <x v="1"/>
    <s v="P4"/>
    <n v="0"/>
    <s v="No"/>
  </r>
  <r>
    <n v="37.6"/>
    <d v="2013-11-30T00:00:00"/>
    <x v="4"/>
    <m/>
    <s v="Kachin"/>
    <s v="Bhamo"/>
    <s v="Yoe Kyi Monastery"/>
    <m/>
    <m/>
    <m/>
    <m/>
    <m/>
    <m/>
    <m/>
    <m/>
    <m/>
    <n v="99"/>
    <m/>
    <m/>
    <m/>
    <m/>
    <m/>
    <m/>
    <m/>
    <n v="0"/>
    <n v="0"/>
    <n v="0"/>
    <n v="0"/>
    <n v="0"/>
    <n v="0"/>
    <n v="0"/>
    <n v="0"/>
    <n v="0"/>
    <n v="0"/>
    <n v="0"/>
    <n v="0"/>
    <n v="0"/>
    <n v="0"/>
    <n v="0"/>
    <n v="0"/>
    <n v="0"/>
    <n v="0"/>
    <s v="MMR001CMP053"/>
    <x v="0"/>
    <x v="1"/>
    <s v="P4"/>
    <n v="0"/>
    <s v="No"/>
  </r>
  <r>
    <n v="48.466666666666669"/>
    <d v="2013-01-08T00:00:00"/>
    <x v="4"/>
    <s v="Solidarities"/>
    <s v="Kachin"/>
    <s v="Bhamo"/>
    <s v="Yoe Kyi Monastery"/>
    <n v="132"/>
    <m/>
    <m/>
    <m/>
    <m/>
    <m/>
    <m/>
    <m/>
    <n v="0"/>
    <n v="0"/>
    <m/>
    <m/>
    <m/>
    <m/>
    <m/>
    <m/>
    <m/>
    <n v="0"/>
    <n v="0"/>
    <n v="0"/>
    <n v="0"/>
    <n v="0"/>
    <n v="0"/>
    <n v="0"/>
    <n v="0"/>
    <n v="0"/>
    <n v="0"/>
    <n v="0"/>
    <n v="0"/>
    <n v="0"/>
    <n v="0"/>
    <n v="0"/>
    <n v="0"/>
    <n v="0"/>
    <n v="0"/>
    <s v="MMR001CMP053"/>
    <x v="0"/>
    <x v="1"/>
    <s v="P4"/>
    <n v="0"/>
    <s v="No"/>
  </r>
  <r>
    <n v="49.06666666666667"/>
    <d v="2012-12-21T00:00:00"/>
    <x v="4"/>
    <s v="Solidarities"/>
    <s v="Kachin"/>
    <s v="Bhamo"/>
    <s v="Yoe Kyi Monastery"/>
    <n v="178"/>
    <m/>
    <m/>
    <m/>
    <m/>
    <m/>
    <m/>
    <m/>
    <m/>
    <m/>
    <m/>
    <m/>
    <m/>
    <m/>
    <m/>
    <m/>
    <m/>
    <n v="0"/>
    <n v="0"/>
    <n v="0"/>
    <n v="0"/>
    <n v="0"/>
    <n v="0"/>
    <n v="0"/>
    <n v="0"/>
    <n v="0"/>
    <n v="0"/>
    <n v="0"/>
    <n v="0"/>
    <n v="0"/>
    <n v="0"/>
    <n v="0"/>
    <n v="0"/>
    <n v="0"/>
    <n v="0"/>
    <s v="MMR001CMP053"/>
    <x v="0"/>
    <x v="1"/>
    <s v="P4"/>
    <n v="0"/>
    <m/>
  </r>
  <r>
    <n v="49.06666666666667"/>
    <d v="2012-12-21T00:00:00"/>
    <x v="0"/>
    <s v="UNHCR"/>
    <s v="Kachin"/>
    <s v="Bhamo"/>
    <s v="Yoe Kyi Monastery"/>
    <m/>
    <m/>
    <m/>
    <n v="0"/>
    <n v="3"/>
    <n v="0"/>
    <n v="3"/>
    <n v="3"/>
    <n v="3"/>
    <n v="3"/>
    <m/>
    <m/>
    <m/>
    <m/>
    <m/>
    <m/>
    <m/>
    <n v="0"/>
    <n v="0"/>
    <n v="0"/>
    <n v="0"/>
    <n v="0"/>
    <n v="0"/>
    <n v="0"/>
    <n v="0"/>
    <n v="0"/>
    <n v="0"/>
    <n v="0"/>
    <n v="0"/>
    <n v="0"/>
    <n v="0"/>
    <n v="0"/>
    <n v="0"/>
    <n v="0"/>
    <n v="0"/>
    <s v="MMR001CMP053"/>
    <x v="0"/>
    <x v="1"/>
    <s v="P4"/>
    <n v="7.2953650114294054E-5"/>
    <s v="No"/>
  </r>
  <r>
    <n v="23.966666666666665"/>
    <d v="2015-01-13T00:00:00"/>
    <x v="1"/>
    <s v="MRCS"/>
    <s v="Kachin"/>
    <s v="Hpakant"/>
    <s v="Yumar Baptist Church"/>
    <m/>
    <m/>
    <m/>
    <m/>
    <m/>
    <m/>
    <m/>
    <m/>
    <m/>
    <m/>
    <n v="33"/>
    <n v="8"/>
    <m/>
    <m/>
    <m/>
    <m/>
    <m/>
    <n v="0"/>
    <n v="0"/>
    <n v="0"/>
    <n v="0"/>
    <n v="0"/>
    <n v="0"/>
    <n v="0"/>
    <n v="0"/>
    <n v="0"/>
    <n v="0"/>
    <n v="0"/>
    <n v="0"/>
    <n v="0"/>
    <n v="0"/>
    <n v="1"/>
    <n v="0"/>
    <n v="0"/>
    <n v="0"/>
    <s v="MMR001CMP105"/>
    <x v="0"/>
    <x v="1"/>
    <s v="P4"/>
    <n v="0"/>
    <m/>
  </r>
  <r>
    <n v="62.833333333333336"/>
    <d v="2011-11-04T00:00:00"/>
    <x v="0"/>
    <s v="KBC"/>
    <s v="Kachin"/>
    <s v="Myitkyina"/>
    <s v="Myay Myint Baptist Church"/>
    <m/>
    <m/>
    <m/>
    <n v="10"/>
    <n v="6"/>
    <n v="10"/>
    <n v="6"/>
    <n v="6"/>
    <n v="6"/>
    <n v="6"/>
    <m/>
    <m/>
    <m/>
    <m/>
    <m/>
    <m/>
    <m/>
    <n v="0"/>
    <n v="0"/>
    <n v="0"/>
    <n v="0"/>
    <n v="0"/>
    <n v="0"/>
    <n v="0"/>
    <n v="0"/>
    <n v="0"/>
    <n v="0"/>
    <n v="0"/>
    <n v="0"/>
    <n v="0"/>
    <n v="0"/>
    <n v="0"/>
    <n v="0"/>
    <n v="0"/>
    <n v="0"/>
    <s v="MMR001CMP017"/>
    <x v="0"/>
    <x v="0"/>
    <s v="P4"/>
    <n v="1.4699757454002008E-4"/>
    <s v="No"/>
  </r>
  <r>
    <n v="26.433333333333334"/>
    <d v="2014-10-31T00:00:00"/>
    <x v="0"/>
    <m/>
    <s v="Kachin"/>
    <s v="Hpakant"/>
    <s v="Yumar Baptist Church"/>
    <m/>
    <m/>
    <n v="10"/>
    <n v="20"/>
    <n v="10"/>
    <n v="20"/>
    <n v="10"/>
    <m/>
    <n v="10"/>
    <n v="50"/>
    <m/>
    <m/>
    <m/>
    <m/>
    <m/>
    <m/>
    <m/>
    <n v="0"/>
    <n v="0"/>
    <n v="0"/>
    <n v="0"/>
    <n v="0"/>
    <n v="0"/>
    <n v="0"/>
    <n v="0"/>
    <n v="0"/>
    <n v="0"/>
    <n v="0"/>
    <n v="0"/>
    <n v="0"/>
    <n v="0"/>
    <n v="0"/>
    <n v="0"/>
    <n v="0"/>
    <n v="0"/>
    <s v="MMR001CMP105"/>
    <x v="0"/>
    <x v="1"/>
    <s v="P4"/>
    <n v="2.431788337143135E-4"/>
    <m/>
  </r>
  <r>
    <n v="44"/>
    <d v="2013-05-22T00:00:00"/>
    <x v="0"/>
    <s v="UNHCR"/>
    <s v="Kachin"/>
    <s v="Hpakant"/>
    <s v="Yumar Baptist Church"/>
    <m/>
    <m/>
    <n v="42"/>
    <n v="66"/>
    <n v="28"/>
    <n v="66"/>
    <n v="28"/>
    <n v="28"/>
    <n v="28"/>
    <n v="28"/>
    <m/>
    <m/>
    <m/>
    <m/>
    <m/>
    <m/>
    <m/>
    <n v="0"/>
    <n v="0"/>
    <n v="0"/>
    <n v="0"/>
    <n v="0"/>
    <n v="0"/>
    <n v="0"/>
    <n v="0"/>
    <n v="0"/>
    <n v="0"/>
    <n v="0"/>
    <n v="0"/>
    <n v="0"/>
    <n v="0"/>
    <n v="0"/>
    <n v="0"/>
    <n v="0"/>
    <n v="0"/>
    <s v="MMR001CMP105"/>
    <x v="0"/>
    <x v="1"/>
    <s v="P4"/>
    <n v="6.8090073440007777E-4"/>
    <s v="No"/>
  </r>
  <r>
    <n v="47.033333333333331"/>
    <d v="2013-02-20T00:00:00"/>
    <x v="0"/>
    <s v="UNHCR"/>
    <s v="Kachin"/>
    <s v="Hpakant"/>
    <s v="Yumar Baptist Church"/>
    <m/>
    <m/>
    <n v="46"/>
    <n v="0"/>
    <n v="0"/>
    <n v="0"/>
    <n v="0"/>
    <n v="0"/>
    <m/>
    <m/>
    <m/>
    <m/>
    <m/>
    <m/>
    <m/>
    <m/>
    <m/>
    <n v="0"/>
    <n v="0"/>
    <n v="0"/>
    <n v="0"/>
    <n v="0"/>
    <n v="0"/>
    <n v="0"/>
    <n v="0"/>
    <n v="0"/>
    <n v="0"/>
    <n v="0"/>
    <n v="0"/>
    <n v="0"/>
    <n v="0"/>
    <n v="0"/>
    <n v="0"/>
    <n v="0"/>
    <n v="0"/>
    <s v="MMR001CMP105"/>
    <x v="0"/>
    <x v="1"/>
    <s v="P4"/>
    <n v="0"/>
    <s v="No"/>
  </r>
  <r>
    <n v="48.733333333333334"/>
    <d v="2012-12-31T00:00:00"/>
    <x v="3"/>
    <s v="DRC"/>
    <s v="Kachin"/>
    <s v="Hpakant"/>
    <s v="Yumar Baptist Church"/>
    <n v="42"/>
    <m/>
    <m/>
    <m/>
    <m/>
    <m/>
    <m/>
    <m/>
    <n v="0"/>
    <n v="0"/>
    <m/>
    <m/>
    <m/>
    <m/>
    <m/>
    <m/>
    <m/>
    <n v="0"/>
    <n v="0"/>
    <n v="0"/>
    <n v="0"/>
    <n v="0"/>
    <n v="0"/>
    <n v="0"/>
    <n v="0"/>
    <n v="0"/>
    <n v="0"/>
    <n v="0"/>
    <n v="0"/>
    <n v="0"/>
    <n v="0"/>
    <n v="0"/>
    <n v="0"/>
    <n v="0"/>
    <n v="0"/>
    <s v="MMR001CMP105"/>
    <x v="0"/>
    <x v="1"/>
    <s v="P4"/>
    <n v="0"/>
    <s v="No"/>
  </r>
  <r>
    <n v="24.8"/>
    <d v="2014-12-19T00:00:00"/>
    <x v="0"/>
    <s v="KBC"/>
    <s v="Kachin"/>
    <s v="Waingmaw"/>
    <s v="Zai Awng - Mung Ga Zup"/>
    <m/>
    <m/>
    <m/>
    <m/>
    <m/>
    <m/>
    <m/>
    <m/>
    <m/>
    <m/>
    <n v="1292"/>
    <n v="1938"/>
    <m/>
    <n v="1292"/>
    <m/>
    <m/>
    <m/>
    <n v="0"/>
    <n v="0"/>
    <n v="0"/>
    <n v="0"/>
    <n v="0"/>
    <n v="0"/>
    <n v="0"/>
    <n v="0"/>
    <n v="0"/>
    <n v="0"/>
    <n v="0"/>
    <n v="0"/>
    <n v="0"/>
    <n v="0"/>
    <n v="1"/>
    <n v="0"/>
    <n v="0"/>
    <n v="0"/>
    <s v="MMR001CMP111"/>
    <x v="0"/>
    <x v="1"/>
    <s v="P2"/>
    <n v="0"/>
    <m/>
  </r>
  <r>
    <n v="28.433333333333334"/>
    <d v="2014-09-01T00:00:00"/>
    <x v="10"/>
    <m/>
    <s v="Kachin"/>
    <s v="Waingmaw"/>
    <s v="Zai Awng - Mung Ga Zup"/>
    <m/>
    <m/>
    <m/>
    <m/>
    <m/>
    <m/>
    <m/>
    <m/>
    <m/>
    <m/>
    <m/>
    <n v="905"/>
    <m/>
    <m/>
    <m/>
    <m/>
    <m/>
    <n v="0"/>
    <n v="0"/>
    <n v="0"/>
    <n v="0"/>
    <n v="0"/>
    <n v="0"/>
    <n v="0"/>
    <n v="0"/>
    <n v="0"/>
    <n v="0"/>
    <n v="0"/>
    <n v="0"/>
    <n v="0"/>
    <n v="0"/>
    <n v="1"/>
    <n v="0"/>
    <n v="0"/>
    <n v="0"/>
    <s v="MMR001CMP111"/>
    <x v="0"/>
    <x v="1"/>
    <s v="P2"/>
    <n v="0"/>
    <m/>
  </r>
  <r>
    <n v="35.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7.6"/>
    <d v="2013-11-30T00:00:00"/>
    <x v="4"/>
    <s v="KBC"/>
    <s v="Kachin"/>
    <s v="Waingmaw"/>
    <s v="Zai Awng - Mung Ga Zup"/>
    <m/>
    <m/>
    <m/>
    <m/>
    <m/>
    <m/>
    <m/>
    <m/>
    <m/>
    <m/>
    <m/>
    <m/>
    <m/>
    <m/>
    <m/>
    <m/>
    <m/>
    <n v="0"/>
    <n v="0"/>
    <n v="0"/>
    <n v="0"/>
    <n v="0"/>
    <n v="0"/>
    <n v="0"/>
    <n v="0"/>
    <n v="0"/>
    <n v="0"/>
    <n v="0"/>
    <n v="0"/>
    <n v="0"/>
    <n v="0"/>
    <n v="0"/>
    <n v="0"/>
    <n v="0"/>
    <n v="0"/>
    <s v="MMR001CMP111"/>
    <x v="0"/>
    <x v="1"/>
    <s v="P2"/>
    <n v="0"/>
    <s v="No"/>
  </r>
  <r>
    <n v="37.666666666666664"/>
    <d v="2013-11-28T00:00:00"/>
    <x v="4"/>
    <s v="KBC"/>
    <s v="Kachin"/>
    <s v="Waingmaw"/>
    <s v="Zai Awng - Mung Ga Zup"/>
    <m/>
    <m/>
    <m/>
    <m/>
    <m/>
    <m/>
    <m/>
    <m/>
    <m/>
    <m/>
    <n v="636"/>
    <n v="1272"/>
    <n v="3816"/>
    <n v="1908"/>
    <m/>
    <m/>
    <m/>
    <n v="0"/>
    <n v="0"/>
    <n v="0"/>
    <n v="0"/>
    <n v="0"/>
    <n v="0"/>
    <n v="0"/>
    <n v="0"/>
    <n v="0"/>
    <n v="0"/>
    <n v="0"/>
    <n v="0"/>
    <n v="0"/>
    <n v="0"/>
    <n v="1"/>
    <n v="0"/>
    <n v="0"/>
    <n v="0"/>
    <s v="MMR001CMP111"/>
    <x v="0"/>
    <x v="1"/>
    <s v="P2"/>
    <n v="0"/>
    <m/>
  </r>
  <r>
    <n v="61.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22.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1"/>
    <s v="P3"/>
    <n v="1.3092813500145475E-3"/>
    <s v="No"/>
  </r>
  <r>
    <n v="-0.73333333333333328"/>
    <d v="2017-01-23T00:00:00"/>
    <x v="0"/>
    <s v="KMSS_Bhamo"/>
    <s v="Kachin"/>
    <s v="Mansi"/>
    <s v="Man Kawng Catholic Church"/>
    <m/>
    <n v="24"/>
    <n v="25"/>
    <n v="45"/>
    <n v="25"/>
    <n v="45"/>
    <n v="25"/>
    <m/>
    <n v="25"/>
    <n v="83"/>
    <m/>
    <m/>
    <m/>
    <m/>
    <m/>
    <m/>
    <m/>
    <n v="0"/>
    <n v="24"/>
    <n v="25"/>
    <n v="45"/>
    <n v="25"/>
    <n v="45"/>
    <n v="25"/>
    <n v="0"/>
    <n v="25"/>
    <n v="207.5"/>
    <n v="0"/>
    <n v="0"/>
    <n v="0"/>
    <n v="0"/>
    <n v="0"/>
    <n v="0"/>
    <n v="0"/>
    <n v="0"/>
    <s v="MMR001CMP213"/>
    <x v="0"/>
    <x v="0"/>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r>
    <s v=""/>
    <m/>
    <x v="14"/>
    <m/>
    <m/>
    <m/>
    <m/>
    <m/>
    <m/>
    <m/>
    <m/>
    <m/>
    <m/>
    <m/>
    <m/>
    <m/>
    <m/>
    <m/>
    <m/>
    <m/>
    <m/>
    <m/>
    <m/>
    <m/>
    <n v="0"/>
    <n v="0"/>
    <n v="0"/>
    <n v="0"/>
    <n v="0"/>
    <n v="0"/>
    <n v="0"/>
    <n v="0"/>
    <n v="0"/>
    <n v="0"/>
    <n v="0"/>
    <n v="0"/>
    <n v="0"/>
    <n v="0"/>
    <n v="0"/>
    <n v="0"/>
    <n v="0"/>
    <n v="0"/>
    <s v=""/>
    <x v="2"/>
    <x v="2"/>
    <s v=""/>
    <s v=""/>
    <m/>
  </r>
</pivotCacheRecords>
</file>

<file path=xl/pivotCache/pivotCacheRecords3.xml><?xml version="1.0" encoding="utf-8"?>
<pivotCacheRecords xmlns="http://schemas.openxmlformats.org/spreadsheetml/2006/main" xmlns:r="http://schemas.openxmlformats.org/officeDocument/2006/relationships" count="370">
  <r>
    <d v="2017-02-24T00:00:00"/>
    <x v="0"/>
    <s v="KBC"/>
    <x v="0"/>
    <x v="0"/>
    <x v="0"/>
    <n v="1"/>
    <m/>
    <m/>
    <n v="6"/>
    <m/>
    <m/>
    <m/>
    <m/>
    <m/>
    <n v="0"/>
    <m/>
    <m/>
    <x v="0"/>
    <x v="0"/>
    <n v="0"/>
    <s v="NO"/>
    <m/>
  </r>
  <r>
    <d v="2017-02-24T00:00:00"/>
    <x v="1"/>
    <s v="KBC"/>
    <x v="0"/>
    <x v="1"/>
    <x v="1"/>
    <n v="1"/>
    <m/>
    <m/>
    <n v="140"/>
    <m/>
    <m/>
    <m/>
    <m/>
    <m/>
    <n v="0"/>
    <m/>
    <m/>
    <x v="1"/>
    <x v="0"/>
    <n v="0"/>
    <s v="NO"/>
    <m/>
  </r>
  <r>
    <d v="2017-02-24T00:00:00"/>
    <x v="0"/>
    <s v="KBC"/>
    <x v="0"/>
    <x v="2"/>
    <x v="2"/>
    <n v="1"/>
    <m/>
    <m/>
    <n v="41"/>
    <m/>
    <m/>
    <m/>
    <m/>
    <m/>
    <n v="0"/>
    <m/>
    <m/>
    <x v="2"/>
    <x v="0"/>
    <n v="0"/>
    <s v="NO"/>
    <m/>
  </r>
  <r>
    <d v="2017-02-24T00:00:00"/>
    <x v="0"/>
    <s v="KBC"/>
    <x v="0"/>
    <x v="3"/>
    <x v="3"/>
    <n v="1"/>
    <m/>
    <m/>
    <n v="20"/>
    <m/>
    <m/>
    <m/>
    <m/>
    <m/>
    <n v="0"/>
    <m/>
    <m/>
    <x v="3"/>
    <x v="0"/>
    <n v="0"/>
    <s v="NO"/>
    <m/>
  </r>
  <r>
    <d v="2017-02-14T00:00:00"/>
    <x v="0"/>
    <s v="KMSS_Bhamo"/>
    <x v="0"/>
    <x v="1"/>
    <x v="4"/>
    <n v="1"/>
    <m/>
    <m/>
    <n v="42"/>
    <m/>
    <m/>
    <m/>
    <m/>
    <m/>
    <n v="0"/>
    <m/>
    <m/>
    <x v="4"/>
    <x v="0"/>
    <n v="0"/>
    <s v="Yes"/>
    <m/>
  </r>
  <r>
    <d v="2017-02-14T00:00:00"/>
    <x v="0"/>
    <s v="KMSS_Bhamo"/>
    <x v="0"/>
    <x v="4"/>
    <x v="5"/>
    <n v="1"/>
    <m/>
    <m/>
    <n v="50"/>
    <m/>
    <m/>
    <m/>
    <m/>
    <m/>
    <n v="0"/>
    <m/>
    <m/>
    <x v="5"/>
    <x v="0"/>
    <n v="0"/>
    <s v="Yes"/>
    <m/>
  </r>
  <r>
    <d v="2017-02-14T00:00:00"/>
    <x v="0"/>
    <s v="KMSS_Lashio"/>
    <x v="1"/>
    <x v="5"/>
    <x v="6"/>
    <n v="1"/>
    <m/>
    <m/>
    <m/>
    <m/>
    <m/>
    <m/>
    <m/>
    <m/>
    <n v="0"/>
    <n v="30"/>
    <n v="30"/>
    <x v="6"/>
    <x v="0"/>
    <n v="0"/>
    <m/>
    <m/>
  </r>
  <r>
    <d v="2017-01-10T00:00:00"/>
    <x v="0"/>
    <s v="KMSS_MKN"/>
    <x v="0"/>
    <x v="6"/>
    <x v="7"/>
    <n v="1"/>
    <m/>
    <m/>
    <n v="130"/>
    <n v="70"/>
    <m/>
    <m/>
    <m/>
    <m/>
    <n v="0"/>
    <m/>
    <m/>
    <x v="7"/>
    <x v="0"/>
    <n v="0"/>
    <s v="Yes"/>
    <m/>
  </r>
  <r>
    <d v="2017-01-10T00:00:00"/>
    <x v="0"/>
    <s v="KMSS_MKN"/>
    <x v="0"/>
    <x v="7"/>
    <x v="8"/>
    <n v="1"/>
    <m/>
    <m/>
    <m/>
    <m/>
    <m/>
    <m/>
    <m/>
    <m/>
    <n v="0"/>
    <n v="31"/>
    <m/>
    <x v="8"/>
    <x v="0"/>
    <n v="0"/>
    <s v="NO"/>
    <m/>
  </r>
  <r>
    <d v="2017-01-10T00:00:00"/>
    <x v="0"/>
    <s v="KMSS_MKN"/>
    <x v="0"/>
    <x v="0"/>
    <x v="9"/>
    <n v="1"/>
    <m/>
    <m/>
    <m/>
    <m/>
    <m/>
    <m/>
    <m/>
    <m/>
    <n v="0"/>
    <n v="30"/>
    <m/>
    <x v="9"/>
    <x v="0"/>
    <n v="0"/>
    <s v="NO"/>
    <m/>
  </r>
  <r>
    <d v="2017-01-10T00:00:00"/>
    <x v="0"/>
    <s v="KMSS_MKN"/>
    <x v="0"/>
    <x v="7"/>
    <x v="10"/>
    <n v="1"/>
    <m/>
    <m/>
    <m/>
    <m/>
    <m/>
    <m/>
    <m/>
    <m/>
    <n v="0"/>
    <n v="10"/>
    <m/>
    <x v="10"/>
    <x v="0"/>
    <n v="0"/>
    <s v="NO"/>
    <m/>
  </r>
  <r>
    <d v="2017-01-10T00:00:00"/>
    <x v="1"/>
    <s v="Shalom"/>
    <x v="0"/>
    <x v="0"/>
    <x v="11"/>
    <n v="1"/>
    <m/>
    <m/>
    <m/>
    <m/>
    <m/>
    <m/>
    <m/>
    <m/>
    <n v="0"/>
    <n v="10"/>
    <m/>
    <x v="11"/>
    <x v="0"/>
    <n v="0"/>
    <s v="NO"/>
    <m/>
  </r>
  <r>
    <d v="2017-01-10T00:00:00"/>
    <x v="1"/>
    <s v="Shalom"/>
    <x v="0"/>
    <x v="6"/>
    <x v="12"/>
    <n v="1"/>
    <m/>
    <m/>
    <n v="10"/>
    <m/>
    <m/>
    <m/>
    <m/>
    <m/>
    <n v="0"/>
    <n v="20"/>
    <m/>
    <x v="12"/>
    <x v="0"/>
    <n v="0"/>
    <s v="Yes"/>
    <m/>
  </r>
  <r>
    <d v="2017-01-10T00:00:00"/>
    <x v="1"/>
    <s v="Shalom"/>
    <x v="0"/>
    <x v="7"/>
    <x v="13"/>
    <n v="1"/>
    <m/>
    <m/>
    <n v="20"/>
    <m/>
    <m/>
    <m/>
    <m/>
    <m/>
    <n v="0"/>
    <n v="20"/>
    <m/>
    <x v="13"/>
    <x v="0"/>
    <n v="0"/>
    <s v="Yes"/>
    <m/>
  </r>
  <r>
    <d v="2017-01-10T00:00:00"/>
    <x v="1"/>
    <s v="Shalom"/>
    <x v="0"/>
    <x v="7"/>
    <x v="14"/>
    <n v="1"/>
    <m/>
    <m/>
    <n v="5"/>
    <m/>
    <m/>
    <m/>
    <m/>
    <m/>
    <n v="0"/>
    <n v="30"/>
    <m/>
    <x v="14"/>
    <x v="0"/>
    <n v="0"/>
    <s v="Yes"/>
    <m/>
  </r>
  <r>
    <d v="2017-01-10T00:00:00"/>
    <x v="1"/>
    <s v="Shalom"/>
    <x v="0"/>
    <x v="2"/>
    <x v="15"/>
    <n v="1"/>
    <m/>
    <m/>
    <m/>
    <m/>
    <m/>
    <m/>
    <m/>
    <m/>
    <n v="0"/>
    <n v="20"/>
    <m/>
    <x v="15"/>
    <x v="0"/>
    <n v="0"/>
    <s v="Yes"/>
    <m/>
  </r>
  <r>
    <d v="2017-01-10T00:00:00"/>
    <x v="1"/>
    <s v="Shalom"/>
    <x v="0"/>
    <x v="2"/>
    <x v="16"/>
    <n v="1"/>
    <m/>
    <m/>
    <n v="4"/>
    <m/>
    <m/>
    <m/>
    <m/>
    <m/>
    <n v="0"/>
    <m/>
    <m/>
    <x v="16"/>
    <x v="0"/>
    <n v="0"/>
    <s v="NO"/>
    <m/>
  </r>
  <r>
    <d v="2017-01-10T00:00:00"/>
    <x v="1"/>
    <s v="Shalom"/>
    <x v="0"/>
    <x v="2"/>
    <x v="17"/>
    <n v="1"/>
    <m/>
    <m/>
    <m/>
    <m/>
    <m/>
    <m/>
    <m/>
    <m/>
    <n v="0"/>
    <n v="5"/>
    <m/>
    <x v="17"/>
    <x v="0"/>
    <n v="0"/>
    <s v="Yes"/>
    <m/>
  </r>
  <r>
    <d v="2017-01-10T00:00:00"/>
    <x v="1"/>
    <s v="Shalom"/>
    <x v="0"/>
    <x v="2"/>
    <x v="18"/>
    <n v="1"/>
    <m/>
    <m/>
    <m/>
    <m/>
    <m/>
    <m/>
    <m/>
    <m/>
    <n v="0"/>
    <n v="20"/>
    <m/>
    <x v="18"/>
    <x v="0"/>
    <n v="0"/>
    <s v="Yes"/>
    <m/>
  </r>
  <r>
    <d v="2017-01-10T00:00:00"/>
    <x v="1"/>
    <s v="Shalom"/>
    <x v="0"/>
    <x v="2"/>
    <x v="19"/>
    <n v="1"/>
    <m/>
    <m/>
    <n v="5"/>
    <m/>
    <m/>
    <m/>
    <m/>
    <m/>
    <n v="0"/>
    <m/>
    <m/>
    <x v="19"/>
    <x v="0"/>
    <n v="0"/>
    <s v="NO"/>
    <m/>
  </r>
  <r>
    <d v="2017-01-10T00:00:00"/>
    <x v="1"/>
    <s v="Shalom"/>
    <x v="0"/>
    <x v="1"/>
    <x v="20"/>
    <n v="1"/>
    <m/>
    <m/>
    <n v="5"/>
    <m/>
    <m/>
    <m/>
    <m/>
    <m/>
    <n v="0"/>
    <m/>
    <m/>
    <x v="20"/>
    <x v="0"/>
    <n v="0"/>
    <s v="Yes"/>
    <m/>
  </r>
  <r>
    <d v="2016-10-21T00:00:00"/>
    <x v="0"/>
    <s v="KMSS_Bhamo"/>
    <x v="0"/>
    <x v="3"/>
    <x v="21"/>
    <n v="1"/>
    <m/>
    <m/>
    <n v="40"/>
    <m/>
    <n v="40"/>
    <m/>
    <m/>
    <m/>
    <n v="40"/>
    <m/>
    <m/>
    <x v="21"/>
    <x v="0"/>
    <n v="7.3126142595978064E-2"/>
    <s v="NO"/>
    <m/>
  </r>
  <r>
    <d v="2016-10-21T00:00:00"/>
    <x v="0"/>
    <s v="KMSS_Bhamo"/>
    <x v="0"/>
    <x v="3"/>
    <x v="22"/>
    <n v="1"/>
    <m/>
    <m/>
    <m/>
    <m/>
    <m/>
    <m/>
    <m/>
    <m/>
    <n v="0"/>
    <n v="30"/>
    <m/>
    <x v="22"/>
    <x v="0"/>
    <n v="0"/>
    <s v="NO"/>
    <m/>
  </r>
  <r>
    <d v="2016-10-21T00:00:00"/>
    <x v="0"/>
    <s v="Shalom"/>
    <x v="0"/>
    <x v="7"/>
    <x v="13"/>
    <m/>
    <m/>
    <m/>
    <m/>
    <m/>
    <m/>
    <m/>
    <m/>
    <m/>
    <n v="0"/>
    <n v="30"/>
    <m/>
    <x v="13"/>
    <x v="0"/>
    <n v="0"/>
    <s v="NO"/>
    <m/>
  </r>
  <r>
    <d v="2016-10-21T00:00:00"/>
    <x v="0"/>
    <s v="Shalom"/>
    <x v="0"/>
    <x v="0"/>
    <x v="23"/>
    <m/>
    <m/>
    <m/>
    <m/>
    <m/>
    <m/>
    <m/>
    <m/>
    <m/>
    <n v="0"/>
    <n v="10"/>
    <m/>
    <x v="23"/>
    <x v="0"/>
    <n v="0"/>
    <s v="NO"/>
    <m/>
  </r>
  <r>
    <d v="2016-10-21T00:00:00"/>
    <x v="0"/>
    <s v="Shalom"/>
    <x v="0"/>
    <x v="7"/>
    <x v="14"/>
    <n v="1"/>
    <m/>
    <m/>
    <m/>
    <m/>
    <m/>
    <m/>
    <m/>
    <m/>
    <n v="0"/>
    <n v="10"/>
    <m/>
    <x v="14"/>
    <x v="0"/>
    <n v="0"/>
    <s v="NO"/>
    <m/>
  </r>
  <r>
    <d v="2016-09-09T00:00:00"/>
    <x v="0"/>
    <s v="KBC"/>
    <x v="0"/>
    <x v="4"/>
    <x v="24"/>
    <n v="1"/>
    <m/>
    <m/>
    <n v="10"/>
    <m/>
    <m/>
    <m/>
    <m/>
    <m/>
    <n v="0"/>
    <m/>
    <m/>
    <x v="24"/>
    <x v="0"/>
    <n v="0"/>
    <s v="Yes"/>
    <m/>
  </r>
  <r>
    <d v="2016-09-09T00:00:00"/>
    <x v="0"/>
    <s v="KBC"/>
    <x v="0"/>
    <x v="4"/>
    <x v="25"/>
    <n v="1"/>
    <m/>
    <m/>
    <m/>
    <m/>
    <m/>
    <m/>
    <m/>
    <m/>
    <n v="0"/>
    <n v="45"/>
    <n v="0"/>
    <x v="25"/>
    <x v="0"/>
    <n v="0"/>
    <s v="Yes"/>
    <m/>
  </r>
  <r>
    <d v="2016-09-09T00:00:00"/>
    <x v="0"/>
    <s v="KBC"/>
    <x v="0"/>
    <x v="1"/>
    <x v="1"/>
    <n v="1"/>
    <m/>
    <m/>
    <n v="5"/>
    <n v="0"/>
    <m/>
    <m/>
    <m/>
    <m/>
    <n v="0"/>
    <m/>
    <m/>
    <x v="1"/>
    <x v="0"/>
    <n v="0"/>
    <s v="Yes"/>
    <m/>
  </r>
  <r>
    <d v="2016-09-09T00:00:00"/>
    <x v="2"/>
    <s v="KBC"/>
    <x v="0"/>
    <x v="4"/>
    <x v="26"/>
    <n v="1"/>
    <m/>
    <m/>
    <n v="41"/>
    <m/>
    <m/>
    <m/>
    <m/>
    <m/>
    <n v="0"/>
    <m/>
    <m/>
    <x v="26"/>
    <x v="0"/>
    <n v="0"/>
    <s v="Yes"/>
    <s v="Implementing with DRC"/>
  </r>
  <r>
    <d v="2016-09-01T00:00:00"/>
    <x v="0"/>
    <s v="KMSS-LSO"/>
    <x v="1"/>
    <x v="5"/>
    <x v="6"/>
    <n v="1"/>
    <n v="30"/>
    <m/>
    <m/>
    <m/>
    <m/>
    <m/>
    <m/>
    <m/>
    <n v="0"/>
    <m/>
    <m/>
    <x v="6"/>
    <x v="0"/>
    <n v="0"/>
    <s v="NO"/>
    <m/>
  </r>
  <r>
    <d v="2016-09-01T00:00:00"/>
    <x v="0"/>
    <s v="KMSS-LSO"/>
    <x v="1"/>
    <x v="8"/>
    <x v="27"/>
    <n v="1"/>
    <n v="20"/>
    <m/>
    <m/>
    <m/>
    <m/>
    <m/>
    <m/>
    <m/>
    <n v="0"/>
    <m/>
    <m/>
    <x v="27"/>
    <x v="0"/>
    <n v="0"/>
    <s v="NO"/>
    <m/>
  </r>
  <r>
    <d v="2016-07-20T00:00:00"/>
    <x v="0"/>
    <s v="Shalom"/>
    <x v="0"/>
    <x v="7"/>
    <x v="14"/>
    <m/>
    <m/>
    <m/>
    <m/>
    <m/>
    <m/>
    <m/>
    <m/>
    <m/>
    <n v="0"/>
    <n v="10"/>
    <m/>
    <x v="14"/>
    <x v="0"/>
    <n v="0"/>
    <s v="NO"/>
    <m/>
  </r>
  <r>
    <d v="2016-07-18T00:00:00"/>
    <x v="3"/>
    <s v="KBC"/>
    <x v="0"/>
    <x v="6"/>
    <x v="28"/>
    <n v="1"/>
    <m/>
    <m/>
    <m/>
    <m/>
    <m/>
    <m/>
    <m/>
    <m/>
    <n v="0"/>
    <n v="18"/>
    <n v="18"/>
    <x v="28"/>
    <x v="0"/>
    <n v="0"/>
    <s v="NO"/>
    <m/>
  </r>
  <r>
    <d v="2016-07-18T00:00:00"/>
    <x v="3"/>
    <s v="KBC"/>
    <x v="0"/>
    <x v="7"/>
    <x v="29"/>
    <n v="1"/>
    <m/>
    <m/>
    <m/>
    <m/>
    <m/>
    <m/>
    <m/>
    <m/>
    <n v="0"/>
    <n v="51"/>
    <n v="51"/>
    <x v="29"/>
    <x v="0"/>
    <n v="0"/>
    <s v="NO"/>
    <m/>
  </r>
  <r>
    <d v="2016-07-18T00:00:00"/>
    <x v="3"/>
    <s v="KBC"/>
    <x v="0"/>
    <x v="6"/>
    <x v="30"/>
    <n v="1"/>
    <m/>
    <m/>
    <m/>
    <m/>
    <m/>
    <m/>
    <m/>
    <m/>
    <n v="0"/>
    <n v="32"/>
    <n v="32"/>
    <x v="30"/>
    <x v="0"/>
    <n v="0"/>
    <s v="NO"/>
    <m/>
  </r>
  <r>
    <d v="2016-07-18T00:00:00"/>
    <x v="0"/>
    <s v="KBC"/>
    <x v="0"/>
    <x v="1"/>
    <x v="1"/>
    <n v="1"/>
    <m/>
    <m/>
    <m/>
    <m/>
    <m/>
    <m/>
    <m/>
    <m/>
    <n v="0"/>
    <n v="20"/>
    <n v="30"/>
    <x v="1"/>
    <x v="0"/>
    <n v="0"/>
    <s v="NO"/>
    <m/>
  </r>
  <r>
    <d v="2016-07-18T00:00:00"/>
    <x v="3"/>
    <s v="KBC"/>
    <x v="0"/>
    <x v="6"/>
    <x v="31"/>
    <n v="1"/>
    <m/>
    <m/>
    <m/>
    <m/>
    <m/>
    <m/>
    <m/>
    <m/>
    <n v="0"/>
    <n v="5"/>
    <n v="5"/>
    <x v="31"/>
    <x v="0"/>
    <n v="0"/>
    <s v="NO"/>
    <m/>
  </r>
  <r>
    <d v="2016-07-18T00:00:00"/>
    <x v="3"/>
    <s v="KBC"/>
    <x v="0"/>
    <x v="6"/>
    <x v="32"/>
    <n v="1"/>
    <m/>
    <m/>
    <m/>
    <m/>
    <m/>
    <m/>
    <m/>
    <m/>
    <n v="0"/>
    <n v="40"/>
    <n v="40"/>
    <x v="32"/>
    <x v="0"/>
    <n v="0"/>
    <s v="NO"/>
    <m/>
  </r>
  <r>
    <d v="2016-07-14T00:00:00"/>
    <x v="0"/>
    <s v="KMSS"/>
    <x v="0"/>
    <x v="4"/>
    <x v="33"/>
    <n v="1"/>
    <m/>
    <m/>
    <n v="42"/>
    <n v="42"/>
    <m/>
    <m/>
    <m/>
    <m/>
    <n v="0"/>
    <m/>
    <m/>
    <x v="33"/>
    <x v="0"/>
    <n v="0"/>
    <s v="Yes"/>
    <s v="21 twin shelters = 42 units"/>
  </r>
  <r>
    <d v="2016-05-12T00:00:00"/>
    <x v="0"/>
    <s v="KBC"/>
    <x v="0"/>
    <x v="0"/>
    <x v="34"/>
    <n v="1"/>
    <m/>
    <m/>
    <m/>
    <m/>
    <m/>
    <m/>
    <m/>
    <m/>
    <n v="0"/>
    <n v="10"/>
    <m/>
    <x v="34"/>
    <x v="0"/>
    <n v="0"/>
    <s v="NO"/>
    <m/>
  </r>
  <r>
    <d v="2016-05-12T00:00:00"/>
    <x v="0"/>
    <s v="KBC"/>
    <x v="0"/>
    <x v="9"/>
    <x v="35"/>
    <n v="1"/>
    <m/>
    <m/>
    <m/>
    <m/>
    <m/>
    <m/>
    <m/>
    <m/>
    <n v="0"/>
    <n v="2"/>
    <m/>
    <x v="35"/>
    <x v="0"/>
    <n v="0"/>
    <s v="NO"/>
    <m/>
  </r>
  <r>
    <d v="2016-05-12T00:00:00"/>
    <x v="0"/>
    <s v="KBC"/>
    <x v="0"/>
    <x v="6"/>
    <x v="36"/>
    <n v="1"/>
    <m/>
    <m/>
    <m/>
    <m/>
    <m/>
    <m/>
    <m/>
    <m/>
    <n v="0"/>
    <n v="30"/>
    <m/>
    <x v="36"/>
    <x v="0"/>
    <n v="0"/>
    <s v="NO"/>
    <m/>
  </r>
  <r>
    <d v="2016-05-12T00:00:00"/>
    <x v="0"/>
    <s v="KBC"/>
    <x v="0"/>
    <x v="3"/>
    <x v="37"/>
    <n v="1"/>
    <m/>
    <m/>
    <n v="85"/>
    <n v="85"/>
    <m/>
    <m/>
    <m/>
    <m/>
    <n v="85"/>
    <m/>
    <m/>
    <x v="37"/>
    <x v="0"/>
    <n v="0.21850899742930591"/>
    <s v="NO"/>
    <m/>
  </r>
  <r>
    <d v="2016-05-12T00:00:00"/>
    <x v="0"/>
    <s v="KBC"/>
    <x v="0"/>
    <x v="6"/>
    <x v="38"/>
    <n v="1"/>
    <m/>
    <m/>
    <m/>
    <m/>
    <m/>
    <m/>
    <m/>
    <m/>
    <n v="0"/>
    <n v="20"/>
    <m/>
    <x v="38"/>
    <x v="0"/>
    <n v="0"/>
    <s v="NO"/>
    <m/>
  </r>
  <r>
    <d v="2016-05-12T00:00:00"/>
    <x v="0"/>
    <s v="KBC"/>
    <x v="0"/>
    <x v="0"/>
    <x v="39"/>
    <n v="1"/>
    <m/>
    <m/>
    <m/>
    <m/>
    <m/>
    <m/>
    <m/>
    <m/>
    <n v="0"/>
    <n v="10"/>
    <m/>
    <x v="39"/>
    <x v="0"/>
    <n v="0"/>
    <s v="NO"/>
    <m/>
  </r>
  <r>
    <d v="2016-05-12T00:00:00"/>
    <x v="0"/>
    <s v="KBC"/>
    <x v="0"/>
    <x v="0"/>
    <x v="40"/>
    <n v="1"/>
    <m/>
    <m/>
    <m/>
    <m/>
    <m/>
    <m/>
    <m/>
    <m/>
    <n v="0"/>
    <n v="5"/>
    <m/>
    <x v="40"/>
    <x v="0"/>
    <n v="0"/>
    <s v="NO"/>
    <m/>
  </r>
  <r>
    <d v="2016-05-12T00:00:00"/>
    <x v="0"/>
    <s v="KBC"/>
    <x v="0"/>
    <x v="0"/>
    <x v="41"/>
    <n v="1"/>
    <m/>
    <m/>
    <m/>
    <m/>
    <m/>
    <m/>
    <m/>
    <m/>
    <n v="0"/>
    <n v="3"/>
    <m/>
    <x v="41"/>
    <x v="0"/>
    <n v="0"/>
    <s v="NO"/>
    <m/>
  </r>
  <r>
    <d v="2016-05-12T00:00:00"/>
    <x v="0"/>
    <s v="KBC"/>
    <x v="0"/>
    <x v="6"/>
    <x v="32"/>
    <n v="1"/>
    <m/>
    <m/>
    <m/>
    <m/>
    <m/>
    <m/>
    <m/>
    <m/>
    <n v="0"/>
    <n v="40"/>
    <m/>
    <x v="32"/>
    <x v="0"/>
    <n v="0"/>
    <s v="NO"/>
    <m/>
  </r>
  <r>
    <d v="2016-05-10T00:00:00"/>
    <x v="2"/>
    <s v="DRC"/>
    <x v="0"/>
    <x v="4"/>
    <x v="42"/>
    <n v="1"/>
    <m/>
    <m/>
    <n v="170"/>
    <n v="170"/>
    <m/>
    <m/>
    <m/>
    <m/>
    <n v="170"/>
    <m/>
    <m/>
    <x v="42"/>
    <x v="0"/>
    <n v="0.47887323943661969"/>
    <s v="NO"/>
    <m/>
  </r>
  <r>
    <d v="2016-05-10T00:00:00"/>
    <x v="2"/>
    <s v="KMSS"/>
    <x v="0"/>
    <x v="6"/>
    <x v="43"/>
    <n v="1"/>
    <m/>
    <m/>
    <n v="60"/>
    <n v="65"/>
    <m/>
    <m/>
    <m/>
    <m/>
    <n v="65"/>
    <m/>
    <m/>
    <x v="43"/>
    <x v="0"/>
    <n v="0.66326530612244894"/>
    <s v="NO"/>
    <m/>
  </r>
  <r>
    <d v="2016-02-22T00:00:00"/>
    <x v="2"/>
    <m/>
    <x v="0"/>
    <x v="4"/>
    <x v="44"/>
    <n v="1"/>
    <m/>
    <m/>
    <n v="118"/>
    <n v="118"/>
    <m/>
    <m/>
    <m/>
    <m/>
    <n v="0"/>
    <m/>
    <m/>
    <x v="44"/>
    <x v="0"/>
    <n v="0"/>
    <s v="Yes"/>
    <m/>
  </r>
  <r>
    <d v="2016-02-22T00:00:00"/>
    <x v="2"/>
    <m/>
    <x v="0"/>
    <x v="4"/>
    <x v="42"/>
    <n v="1"/>
    <m/>
    <m/>
    <n v="170"/>
    <n v="170"/>
    <m/>
    <m/>
    <m/>
    <m/>
    <n v="0"/>
    <m/>
    <m/>
    <x v="42"/>
    <x v="0"/>
    <n v="0"/>
    <s v="Yes"/>
    <m/>
  </r>
  <r>
    <d v="2016-02-22T00:00:00"/>
    <x v="2"/>
    <m/>
    <x v="0"/>
    <x v="4"/>
    <x v="5"/>
    <n v="1"/>
    <m/>
    <m/>
    <n v="254"/>
    <n v="254"/>
    <m/>
    <m/>
    <m/>
    <m/>
    <n v="0"/>
    <m/>
    <m/>
    <x v="5"/>
    <x v="0"/>
    <n v="0"/>
    <s v="Yes"/>
    <m/>
  </r>
  <r>
    <d v="2016-02-22T00:00:00"/>
    <x v="2"/>
    <m/>
    <x v="0"/>
    <x v="6"/>
    <x v="43"/>
    <n v="1"/>
    <m/>
    <m/>
    <n v="66"/>
    <n v="66"/>
    <m/>
    <m/>
    <m/>
    <m/>
    <n v="0"/>
    <m/>
    <m/>
    <x v="43"/>
    <x v="0"/>
    <n v="0"/>
    <s v="Yes"/>
    <m/>
  </r>
  <r>
    <d v="2016-02-22T00:00:00"/>
    <x v="4"/>
    <m/>
    <x v="0"/>
    <x v="10"/>
    <x v="45"/>
    <n v="1"/>
    <m/>
    <m/>
    <n v="40"/>
    <n v="40"/>
    <m/>
    <m/>
    <m/>
    <m/>
    <n v="40"/>
    <m/>
    <m/>
    <x v="45"/>
    <x v="0"/>
    <n v="1.4285714285714286"/>
    <s v="NO"/>
    <m/>
  </r>
  <r>
    <d v="2016-02-16T00:00:00"/>
    <x v="0"/>
    <s v="KBC"/>
    <x v="0"/>
    <x v="0"/>
    <x v="0"/>
    <n v="1"/>
    <m/>
    <m/>
    <m/>
    <m/>
    <m/>
    <m/>
    <m/>
    <m/>
    <n v="0"/>
    <n v="13"/>
    <n v="13"/>
    <x v="0"/>
    <x v="0"/>
    <n v="0"/>
    <s v="NO"/>
    <s v="Du Kahtawng Qtr. 14,4,5 (combined as one camp)"/>
  </r>
  <r>
    <d v="2016-02-16T00:00:00"/>
    <x v="0"/>
    <s v="KBC"/>
    <x v="0"/>
    <x v="0"/>
    <x v="46"/>
    <n v="1"/>
    <m/>
    <m/>
    <m/>
    <m/>
    <m/>
    <m/>
    <m/>
    <m/>
    <n v="0"/>
    <n v="5"/>
    <n v="5"/>
    <x v="46"/>
    <x v="0"/>
    <n v="0"/>
    <s v="NO"/>
    <m/>
  </r>
  <r>
    <d v="2016-02-16T00:00:00"/>
    <x v="0"/>
    <s v="KMSS"/>
    <x v="0"/>
    <x v="2"/>
    <x v="47"/>
    <n v="1"/>
    <m/>
    <m/>
    <n v="12"/>
    <n v="12"/>
    <m/>
    <m/>
    <m/>
    <m/>
    <n v="12"/>
    <m/>
    <m/>
    <x v="47"/>
    <x v="0"/>
    <n v="0.16666666666666666"/>
    <s v="NO"/>
    <m/>
  </r>
  <r>
    <d v="2016-02-16T00:00:00"/>
    <x v="0"/>
    <s v="Shalom"/>
    <x v="0"/>
    <x v="2"/>
    <x v="15"/>
    <n v="1"/>
    <m/>
    <m/>
    <n v="15"/>
    <n v="15"/>
    <m/>
    <m/>
    <m/>
    <m/>
    <n v="15"/>
    <m/>
    <m/>
    <x v="15"/>
    <x v="0"/>
    <n v="0.22388059701492538"/>
    <s v="NO"/>
    <m/>
  </r>
  <r>
    <d v="2016-02-16T00:00:00"/>
    <x v="0"/>
    <s v="KMSS"/>
    <x v="0"/>
    <x v="4"/>
    <x v="33"/>
    <n v="1"/>
    <m/>
    <m/>
    <n v="82"/>
    <n v="82"/>
    <m/>
    <m/>
    <m/>
    <m/>
    <n v="82"/>
    <m/>
    <m/>
    <x v="33"/>
    <x v="0"/>
    <n v="0.75229357798165142"/>
    <s v="NO"/>
    <m/>
  </r>
  <r>
    <d v="2016-02-16T00:00:00"/>
    <x v="0"/>
    <s v="KMSS"/>
    <x v="0"/>
    <x v="4"/>
    <x v="48"/>
    <n v="1"/>
    <m/>
    <m/>
    <m/>
    <m/>
    <m/>
    <m/>
    <m/>
    <m/>
    <n v="0"/>
    <n v="338"/>
    <n v="338"/>
    <x v="48"/>
    <x v="0"/>
    <n v="0"/>
    <s v="NO"/>
    <m/>
  </r>
  <r>
    <d v="2016-02-16T00:00:00"/>
    <x v="0"/>
    <s v="KMSS"/>
    <x v="0"/>
    <x v="4"/>
    <x v="44"/>
    <n v="1"/>
    <m/>
    <m/>
    <m/>
    <m/>
    <m/>
    <m/>
    <m/>
    <m/>
    <n v="0"/>
    <n v="220"/>
    <n v="220"/>
    <x v="44"/>
    <x v="0"/>
    <n v="0"/>
    <s v="NO"/>
    <m/>
  </r>
  <r>
    <d v="2016-02-16T00:00:00"/>
    <x v="0"/>
    <s v="Shalom"/>
    <x v="0"/>
    <x v="1"/>
    <x v="20"/>
    <n v="1"/>
    <m/>
    <m/>
    <n v="15"/>
    <n v="15"/>
    <m/>
    <m/>
    <m/>
    <m/>
    <n v="15"/>
    <m/>
    <m/>
    <x v="20"/>
    <x v="0"/>
    <n v="0.12931034482758622"/>
    <s v="NO"/>
    <m/>
  </r>
  <r>
    <d v="2016-02-16T00:00:00"/>
    <x v="4"/>
    <m/>
    <x v="0"/>
    <x v="9"/>
    <x v="35"/>
    <n v="1"/>
    <m/>
    <m/>
    <n v="60"/>
    <n v="60"/>
    <m/>
    <m/>
    <m/>
    <m/>
    <n v="60"/>
    <m/>
    <m/>
    <x v="35"/>
    <x v="0"/>
    <n v="1.0169491525423728"/>
    <s v="NO"/>
    <m/>
  </r>
  <r>
    <d v="2016-02-16T00:00:00"/>
    <x v="5"/>
    <m/>
    <x v="1"/>
    <x v="8"/>
    <x v="49"/>
    <n v="1"/>
    <m/>
    <m/>
    <n v="25"/>
    <n v="25"/>
    <m/>
    <m/>
    <m/>
    <m/>
    <n v="25"/>
    <m/>
    <m/>
    <x v="49"/>
    <x v="0"/>
    <n v="0.67567567567567566"/>
    <s v="NO"/>
    <m/>
  </r>
  <r>
    <d v="2016-02-16T00:00:00"/>
    <x v="5"/>
    <m/>
    <x v="1"/>
    <x v="11"/>
    <x v="50"/>
    <n v="1"/>
    <m/>
    <m/>
    <n v="9"/>
    <n v="9"/>
    <m/>
    <m/>
    <m/>
    <m/>
    <n v="0"/>
    <m/>
    <m/>
    <x v="50"/>
    <x v="1"/>
    <s v=""/>
    <s v="NO"/>
    <m/>
  </r>
  <r>
    <d v="2016-02-16T00:00:00"/>
    <x v="5"/>
    <m/>
    <x v="1"/>
    <x v="12"/>
    <x v="51"/>
    <n v="1"/>
    <m/>
    <m/>
    <n v="25"/>
    <n v="25"/>
    <m/>
    <m/>
    <m/>
    <m/>
    <n v="25"/>
    <m/>
    <m/>
    <x v="51"/>
    <x v="0"/>
    <n v="0.83333333333333337"/>
    <s v="NO"/>
    <m/>
  </r>
  <r>
    <d v="2016-02-16T00:00:00"/>
    <x v="5"/>
    <m/>
    <x v="1"/>
    <x v="8"/>
    <x v="52"/>
    <n v="1"/>
    <m/>
    <m/>
    <n v="36"/>
    <n v="36"/>
    <m/>
    <m/>
    <m/>
    <m/>
    <n v="36"/>
    <m/>
    <m/>
    <x v="52"/>
    <x v="0"/>
    <n v="0.2975206611570248"/>
    <s v="NO"/>
    <m/>
  </r>
  <r>
    <d v="2016-02-16T00:00:00"/>
    <x v="0"/>
    <s v="KMSS"/>
    <x v="0"/>
    <x v="0"/>
    <x v="53"/>
    <n v="1"/>
    <m/>
    <m/>
    <n v="14"/>
    <n v="14"/>
    <m/>
    <m/>
    <m/>
    <m/>
    <n v="14"/>
    <m/>
    <m/>
    <x v="53"/>
    <x v="0"/>
    <n v="0.30434782608695654"/>
    <s v="NO"/>
    <m/>
  </r>
  <r>
    <d v="2016-02-16T00:00:00"/>
    <x v="4"/>
    <m/>
    <x v="0"/>
    <x v="6"/>
    <x v="31"/>
    <n v="1"/>
    <m/>
    <m/>
    <n v="73"/>
    <n v="73"/>
    <m/>
    <m/>
    <m/>
    <m/>
    <n v="73"/>
    <m/>
    <m/>
    <x v="31"/>
    <x v="0"/>
    <n v="0.40109890109890112"/>
    <s v="NO"/>
    <m/>
  </r>
  <r>
    <d v="2016-02-16T00:00:00"/>
    <x v="0"/>
    <s v="Shalom"/>
    <x v="0"/>
    <x v="0"/>
    <x v="54"/>
    <n v="1"/>
    <m/>
    <m/>
    <n v="10"/>
    <n v="10"/>
    <m/>
    <m/>
    <m/>
    <m/>
    <n v="10"/>
    <m/>
    <m/>
    <x v="54"/>
    <x v="0"/>
    <n v="0.18518518518518517"/>
    <s v="NO"/>
    <m/>
  </r>
  <r>
    <d v="2016-02-16T00:00:00"/>
    <x v="5"/>
    <m/>
    <x v="1"/>
    <x v="5"/>
    <x v="55"/>
    <n v="1"/>
    <m/>
    <m/>
    <n v="16"/>
    <n v="16"/>
    <m/>
    <m/>
    <m/>
    <m/>
    <n v="16"/>
    <m/>
    <m/>
    <x v="55"/>
    <x v="0"/>
    <n v="8.4656084656084651E-2"/>
    <s v="NO"/>
    <m/>
  </r>
  <r>
    <d v="2016-02-16T00:00:00"/>
    <x v="0"/>
    <s v="KBC"/>
    <x v="0"/>
    <x v="0"/>
    <x v="56"/>
    <n v="1"/>
    <m/>
    <m/>
    <m/>
    <m/>
    <m/>
    <m/>
    <m/>
    <m/>
    <n v="0"/>
    <n v="30"/>
    <n v="30"/>
    <x v="56"/>
    <x v="0"/>
    <n v="0"/>
    <s v="NO"/>
    <m/>
  </r>
  <r>
    <d v="2016-02-16T00:00:00"/>
    <x v="0"/>
    <s v="KBC"/>
    <x v="0"/>
    <x v="0"/>
    <x v="57"/>
    <n v="1"/>
    <m/>
    <m/>
    <m/>
    <m/>
    <m/>
    <m/>
    <m/>
    <m/>
    <n v="0"/>
    <n v="46"/>
    <n v="46"/>
    <x v="57"/>
    <x v="0"/>
    <n v="0"/>
    <s v="NO"/>
    <m/>
  </r>
  <r>
    <d v="2016-02-16T00:00:00"/>
    <x v="0"/>
    <s v="KBC"/>
    <x v="0"/>
    <x v="0"/>
    <x v="39"/>
    <n v="1"/>
    <m/>
    <m/>
    <m/>
    <m/>
    <m/>
    <m/>
    <m/>
    <m/>
    <n v="0"/>
    <n v="37"/>
    <n v="37"/>
    <x v="39"/>
    <x v="0"/>
    <n v="0"/>
    <s v="NO"/>
    <m/>
  </r>
  <r>
    <d v="2016-02-16T00:00:00"/>
    <x v="0"/>
    <s v="KBC"/>
    <x v="0"/>
    <x v="6"/>
    <x v="32"/>
    <n v="1"/>
    <m/>
    <m/>
    <m/>
    <m/>
    <m/>
    <m/>
    <m/>
    <m/>
    <n v="0"/>
    <n v="8"/>
    <n v="8"/>
    <x v="32"/>
    <x v="0"/>
    <n v="0"/>
    <s v="NO"/>
    <m/>
  </r>
  <r>
    <d v="2014-12-30T00:00:00"/>
    <x v="0"/>
    <s v="KBC"/>
    <x v="0"/>
    <x v="6"/>
    <x v="31"/>
    <n v="1"/>
    <n v="90"/>
    <m/>
    <m/>
    <m/>
    <m/>
    <m/>
    <m/>
    <m/>
    <n v="0"/>
    <m/>
    <m/>
    <x v="31"/>
    <x v="0"/>
    <n v="0"/>
    <s v="NO"/>
    <m/>
  </r>
  <r>
    <d v="2014-12-01T00:00:00"/>
    <x v="0"/>
    <s v="KBC"/>
    <x v="0"/>
    <x v="3"/>
    <x v="58"/>
    <n v="1"/>
    <m/>
    <m/>
    <n v="90"/>
    <n v="90"/>
    <m/>
    <m/>
    <m/>
    <m/>
    <n v="90"/>
    <m/>
    <m/>
    <x v="58"/>
    <x v="0"/>
    <n v="0.21531100478468901"/>
    <s v="NO"/>
    <m/>
  </r>
  <r>
    <d v="2014-12-01T00:00:00"/>
    <x v="0"/>
    <s v="KBC"/>
    <x v="0"/>
    <x v="3"/>
    <x v="59"/>
    <n v="1"/>
    <m/>
    <m/>
    <n v="120"/>
    <n v="120"/>
    <m/>
    <m/>
    <m/>
    <m/>
    <n v="0"/>
    <m/>
    <m/>
    <x v="59"/>
    <x v="1"/>
    <s v=""/>
    <s v="NO"/>
    <m/>
  </r>
  <r>
    <d v="2014-12-01T00:00:00"/>
    <x v="0"/>
    <s v="KBC"/>
    <x v="0"/>
    <x v="3"/>
    <x v="21"/>
    <n v="1"/>
    <m/>
    <m/>
    <n v="118"/>
    <n v="118"/>
    <m/>
    <m/>
    <m/>
    <m/>
    <n v="118"/>
    <m/>
    <m/>
    <x v="21"/>
    <x v="0"/>
    <n v="0.21572212065813529"/>
    <s v="NO"/>
    <m/>
  </r>
  <r>
    <d v="2014-12-01T00:00:00"/>
    <x v="0"/>
    <s v="Shalom"/>
    <x v="0"/>
    <x v="2"/>
    <x v="15"/>
    <n v="1"/>
    <m/>
    <m/>
    <n v="15"/>
    <n v="15"/>
    <m/>
    <m/>
    <m/>
    <m/>
    <n v="15"/>
    <m/>
    <m/>
    <x v="15"/>
    <x v="0"/>
    <n v="0.22388059701492538"/>
    <s v="NO"/>
    <m/>
  </r>
  <r>
    <d v="2014-12-01T00:00:00"/>
    <x v="0"/>
    <s v="Shalom"/>
    <x v="0"/>
    <x v="2"/>
    <x v="16"/>
    <n v="1"/>
    <m/>
    <m/>
    <n v="5"/>
    <n v="5"/>
    <m/>
    <m/>
    <m/>
    <m/>
    <n v="5"/>
    <m/>
    <m/>
    <x v="16"/>
    <x v="0"/>
    <n v="0.35714285714285715"/>
    <s v="NO"/>
    <m/>
  </r>
  <r>
    <d v="2014-12-01T00:00:00"/>
    <x v="0"/>
    <s v="Shalom"/>
    <x v="0"/>
    <x v="2"/>
    <x v="60"/>
    <n v="1"/>
    <m/>
    <m/>
    <n v="5"/>
    <n v="5"/>
    <m/>
    <m/>
    <m/>
    <m/>
    <n v="0"/>
    <m/>
    <m/>
    <x v="60"/>
    <x v="1"/>
    <s v=""/>
    <s v="NO"/>
    <m/>
  </r>
  <r>
    <d v="2014-12-01T00:00:00"/>
    <x v="0"/>
    <s v="Shalom"/>
    <x v="0"/>
    <x v="2"/>
    <x v="17"/>
    <n v="1"/>
    <m/>
    <m/>
    <n v="2"/>
    <n v="2"/>
    <m/>
    <m/>
    <m/>
    <m/>
    <n v="2"/>
    <m/>
    <m/>
    <x v="17"/>
    <x v="0"/>
    <n v="0.33333333333333331"/>
    <s v="NO"/>
    <m/>
  </r>
  <r>
    <d v="2014-12-01T00:00:00"/>
    <x v="0"/>
    <s v="Shalom"/>
    <x v="0"/>
    <x v="7"/>
    <x v="14"/>
    <n v="1"/>
    <m/>
    <m/>
    <n v="5"/>
    <n v="5"/>
    <m/>
    <m/>
    <m/>
    <m/>
    <n v="5"/>
    <m/>
    <m/>
    <x v="14"/>
    <x v="0"/>
    <n v="4.5454545454545456E-2"/>
    <s v="NO"/>
    <m/>
  </r>
  <r>
    <d v="2014-12-01T00:00:00"/>
    <x v="0"/>
    <s v="Shalom"/>
    <x v="0"/>
    <x v="2"/>
    <x v="18"/>
    <n v="1"/>
    <m/>
    <m/>
    <n v="45"/>
    <n v="45"/>
    <m/>
    <m/>
    <m/>
    <m/>
    <n v="45"/>
    <m/>
    <m/>
    <x v="18"/>
    <x v="0"/>
    <n v="0.68181818181818177"/>
    <s v="NO"/>
    <m/>
  </r>
  <r>
    <d v="2014-12-01T00:00:00"/>
    <x v="0"/>
    <s v="KMSS"/>
    <x v="0"/>
    <x v="4"/>
    <x v="48"/>
    <n v="1"/>
    <m/>
    <m/>
    <n v="280"/>
    <n v="280"/>
    <m/>
    <m/>
    <m/>
    <m/>
    <n v="280"/>
    <m/>
    <m/>
    <x v="48"/>
    <x v="0"/>
    <n v="0.43681747269890797"/>
    <s v="NO"/>
    <m/>
  </r>
  <r>
    <d v="2014-12-01T00:00:00"/>
    <x v="0"/>
    <s v="KMSS"/>
    <x v="0"/>
    <x v="4"/>
    <x v="44"/>
    <n v="1"/>
    <m/>
    <m/>
    <n v="278"/>
    <n v="278"/>
    <m/>
    <m/>
    <m/>
    <m/>
    <n v="278"/>
    <m/>
    <m/>
    <x v="44"/>
    <x v="0"/>
    <n v="0.16858702243784113"/>
    <s v="NO"/>
    <m/>
  </r>
  <r>
    <d v="2014-12-01T00:00:00"/>
    <x v="0"/>
    <s v="Shalom"/>
    <x v="0"/>
    <x v="7"/>
    <x v="13"/>
    <n v="1"/>
    <m/>
    <m/>
    <n v="35"/>
    <n v="35"/>
    <m/>
    <m/>
    <m/>
    <m/>
    <n v="35"/>
    <m/>
    <m/>
    <x v="13"/>
    <x v="0"/>
    <n v="0.24475524475524477"/>
    <s v="NO"/>
    <m/>
  </r>
  <r>
    <d v="2014-12-01T00:00:00"/>
    <x v="0"/>
    <s v="Shalom"/>
    <x v="0"/>
    <x v="2"/>
    <x v="19"/>
    <n v="1"/>
    <m/>
    <m/>
    <n v="5"/>
    <n v="5"/>
    <m/>
    <m/>
    <m/>
    <m/>
    <n v="5"/>
    <m/>
    <m/>
    <x v="19"/>
    <x v="0"/>
    <n v="0.2"/>
    <s v="NO"/>
    <m/>
  </r>
  <r>
    <d v="2014-12-01T00:00:00"/>
    <x v="0"/>
    <s v="Shalom"/>
    <x v="0"/>
    <x v="2"/>
    <x v="61"/>
    <n v="1"/>
    <m/>
    <m/>
    <n v="15"/>
    <n v="15"/>
    <m/>
    <m/>
    <m/>
    <m/>
    <n v="15"/>
    <m/>
    <m/>
    <x v="61"/>
    <x v="0"/>
    <n v="1"/>
    <s v="NO"/>
    <m/>
  </r>
  <r>
    <d v="2014-12-01T00:00:00"/>
    <x v="0"/>
    <s v="Shalom"/>
    <x v="0"/>
    <x v="1"/>
    <x v="20"/>
    <n v="1"/>
    <m/>
    <m/>
    <n v="15"/>
    <n v="15"/>
    <m/>
    <m/>
    <m/>
    <m/>
    <n v="15"/>
    <n v="8"/>
    <m/>
    <x v="20"/>
    <x v="0"/>
    <n v="0.12931034482758622"/>
    <s v="NO"/>
    <m/>
  </r>
  <r>
    <d v="2014-12-01T00:00:00"/>
    <x v="5"/>
    <m/>
    <x v="1"/>
    <x v="11"/>
    <x v="62"/>
    <n v="1"/>
    <m/>
    <m/>
    <n v="44"/>
    <n v="44"/>
    <m/>
    <m/>
    <m/>
    <m/>
    <n v="44"/>
    <m/>
    <m/>
    <x v="62"/>
    <x v="0"/>
    <n v="0.86274509803921573"/>
    <s v="NO"/>
    <m/>
  </r>
  <r>
    <d v="2014-12-01T00:00:00"/>
    <x v="0"/>
    <s v="Shalom"/>
    <x v="0"/>
    <x v="2"/>
    <x v="63"/>
    <n v="1"/>
    <m/>
    <m/>
    <n v="5"/>
    <n v="5"/>
    <m/>
    <m/>
    <m/>
    <m/>
    <n v="5"/>
    <m/>
    <m/>
    <x v="63"/>
    <x v="0"/>
    <n v="0.41666666666666669"/>
    <s v="NO"/>
    <m/>
  </r>
  <r>
    <d v="2014-12-01T00:00:00"/>
    <x v="0"/>
    <s v="Shalom"/>
    <x v="0"/>
    <x v="6"/>
    <x v="64"/>
    <n v="1"/>
    <m/>
    <m/>
    <n v="9"/>
    <n v="9"/>
    <m/>
    <m/>
    <m/>
    <m/>
    <n v="9"/>
    <m/>
    <m/>
    <x v="64"/>
    <x v="0"/>
    <n v="0.5"/>
    <s v="NO"/>
    <m/>
  </r>
  <r>
    <d v="2014-12-01T00:00:00"/>
    <x v="2"/>
    <m/>
    <x v="0"/>
    <x v="4"/>
    <x v="5"/>
    <n v="1"/>
    <m/>
    <m/>
    <n v="394"/>
    <n v="140"/>
    <m/>
    <m/>
    <m/>
    <m/>
    <n v="140"/>
    <m/>
    <m/>
    <x v="5"/>
    <x v="0"/>
    <n v="0.23372287145242071"/>
    <s v="NO"/>
    <m/>
  </r>
  <r>
    <d v="2014-12-01T00:00:00"/>
    <x v="0"/>
    <s v="Shalom"/>
    <x v="0"/>
    <x v="6"/>
    <x v="12"/>
    <n v="1"/>
    <m/>
    <m/>
    <n v="21"/>
    <n v="21"/>
    <m/>
    <m/>
    <m/>
    <m/>
    <n v="21"/>
    <m/>
    <m/>
    <x v="12"/>
    <x v="0"/>
    <n v="0.23076923076923078"/>
    <s v="NO"/>
    <m/>
  </r>
  <r>
    <d v="2014-12-01T00:00:00"/>
    <x v="0"/>
    <s v="Shalom"/>
    <x v="0"/>
    <x v="0"/>
    <x v="54"/>
    <n v="1"/>
    <m/>
    <m/>
    <n v="5"/>
    <n v="5"/>
    <m/>
    <m/>
    <m/>
    <m/>
    <n v="5"/>
    <m/>
    <m/>
    <x v="54"/>
    <x v="0"/>
    <n v="9.2592592592592587E-2"/>
    <s v="NO"/>
    <m/>
  </r>
  <r>
    <d v="2014-12-01T00:00:00"/>
    <x v="0"/>
    <s v="Shalom"/>
    <x v="0"/>
    <x v="6"/>
    <x v="65"/>
    <n v="1"/>
    <m/>
    <m/>
    <n v="5"/>
    <n v="5"/>
    <m/>
    <m/>
    <m/>
    <m/>
    <n v="5"/>
    <m/>
    <m/>
    <x v="65"/>
    <x v="0"/>
    <n v="0.11363636363636363"/>
    <s v="NO"/>
    <m/>
  </r>
  <r>
    <d v="2014-12-01T00:00:00"/>
    <x v="0"/>
    <s v="KBC"/>
    <x v="0"/>
    <x v="4"/>
    <x v="66"/>
    <n v="1"/>
    <m/>
    <m/>
    <n v="21"/>
    <n v="21"/>
    <m/>
    <m/>
    <m/>
    <m/>
    <n v="21"/>
    <m/>
    <m/>
    <x v="66"/>
    <x v="0"/>
    <n v="0.14189189189189189"/>
    <s v="NO"/>
    <m/>
  </r>
  <r>
    <d v="2014-06-19T00:00:00"/>
    <x v="2"/>
    <s v="Shalom"/>
    <x v="0"/>
    <x v="6"/>
    <x v="67"/>
    <n v="1"/>
    <m/>
    <m/>
    <n v="50"/>
    <n v="55"/>
    <m/>
    <m/>
    <m/>
    <m/>
    <n v="55"/>
    <m/>
    <m/>
    <x v="67"/>
    <x v="0"/>
    <n v="0.55555555555555558"/>
    <s v="NO"/>
    <m/>
  </r>
  <r>
    <d v="2014-06-19T00:00:00"/>
    <x v="0"/>
    <s v="KBSS"/>
    <x v="0"/>
    <x v="4"/>
    <x v="68"/>
    <n v="1"/>
    <m/>
    <m/>
    <n v="80"/>
    <n v="80"/>
    <m/>
    <m/>
    <m/>
    <m/>
    <n v="80"/>
    <m/>
    <m/>
    <x v="68"/>
    <x v="0"/>
    <n v="0.30188679245283018"/>
    <s v="NO"/>
    <m/>
  </r>
  <r>
    <d v="2014-06-19T00:00:00"/>
    <x v="5"/>
    <m/>
    <x v="0"/>
    <x v="3"/>
    <x v="69"/>
    <n v="1"/>
    <m/>
    <m/>
    <n v="56"/>
    <n v="60"/>
    <m/>
    <m/>
    <m/>
    <m/>
    <n v="60"/>
    <m/>
    <m/>
    <x v="69"/>
    <x v="0"/>
    <n v="0.30769230769230771"/>
    <s v="NO"/>
    <m/>
  </r>
  <r>
    <d v="2014-06-01T00:00:00"/>
    <x v="0"/>
    <s v="KMSS"/>
    <x v="0"/>
    <x v="3"/>
    <x v="58"/>
    <n v="1"/>
    <m/>
    <m/>
    <n v="100"/>
    <n v="100"/>
    <m/>
    <m/>
    <m/>
    <m/>
    <n v="100"/>
    <m/>
    <m/>
    <x v="58"/>
    <x v="0"/>
    <n v="0.23923444976076555"/>
    <s v="NO"/>
    <m/>
  </r>
  <r>
    <d v="2014-06-01T00:00:00"/>
    <x v="0"/>
    <s v="Shalom"/>
    <x v="0"/>
    <x v="2"/>
    <x v="18"/>
    <n v="1"/>
    <m/>
    <m/>
    <n v="20"/>
    <n v="20"/>
    <m/>
    <m/>
    <m/>
    <m/>
    <n v="20"/>
    <m/>
    <m/>
    <x v="18"/>
    <x v="0"/>
    <n v="0.30303030303030304"/>
    <s v="NO"/>
    <m/>
  </r>
  <r>
    <d v="2014-06-01T00:00:00"/>
    <x v="0"/>
    <s v="Shalom"/>
    <x v="0"/>
    <x v="7"/>
    <x v="13"/>
    <n v="1"/>
    <m/>
    <m/>
    <n v="5"/>
    <n v="5"/>
    <m/>
    <m/>
    <m/>
    <m/>
    <n v="5"/>
    <m/>
    <m/>
    <x v="13"/>
    <x v="0"/>
    <n v="3.4965034965034968E-2"/>
    <s v="NO"/>
    <m/>
  </r>
  <r>
    <d v="2014-06-01T00:00:00"/>
    <x v="0"/>
    <s v="Shalom"/>
    <x v="0"/>
    <x v="2"/>
    <x v="19"/>
    <n v="1"/>
    <m/>
    <m/>
    <n v="2"/>
    <n v="2"/>
    <m/>
    <m/>
    <m/>
    <m/>
    <n v="2"/>
    <m/>
    <m/>
    <x v="19"/>
    <x v="0"/>
    <n v="0.08"/>
    <s v="NO"/>
    <m/>
  </r>
  <r>
    <d v="2014-06-01T00:00:00"/>
    <x v="0"/>
    <s v="Shalom"/>
    <x v="0"/>
    <x v="0"/>
    <x v="23"/>
    <n v="1"/>
    <m/>
    <m/>
    <n v="5"/>
    <n v="5"/>
    <m/>
    <m/>
    <m/>
    <m/>
    <n v="5"/>
    <m/>
    <m/>
    <x v="23"/>
    <x v="0"/>
    <n v="0.23809523809523808"/>
    <s v="NO"/>
    <m/>
  </r>
  <r>
    <d v="2014-06-01T00:00:00"/>
    <x v="0"/>
    <s v="Shalom"/>
    <x v="0"/>
    <x v="1"/>
    <x v="70"/>
    <n v="1"/>
    <m/>
    <m/>
    <n v="5"/>
    <n v="5"/>
    <m/>
    <m/>
    <m/>
    <m/>
    <n v="5"/>
    <m/>
    <m/>
    <x v="70"/>
    <x v="0"/>
    <n v="0.35714285714285715"/>
    <s v="NO"/>
    <m/>
  </r>
  <r>
    <d v="2014-06-01T00:00:00"/>
    <x v="0"/>
    <s v="Shalom"/>
    <x v="0"/>
    <x v="6"/>
    <x v="71"/>
    <n v="1"/>
    <m/>
    <m/>
    <n v="3"/>
    <n v="3"/>
    <m/>
    <m/>
    <m/>
    <m/>
    <n v="3"/>
    <m/>
    <m/>
    <x v="71"/>
    <x v="0"/>
    <n v="9.6774193548387094E-2"/>
    <s v="NO"/>
    <m/>
  </r>
  <r>
    <d v="2014-06-01T00:00:00"/>
    <x v="0"/>
    <s v="Shalom"/>
    <x v="0"/>
    <x v="0"/>
    <x v="54"/>
    <n v="1"/>
    <m/>
    <m/>
    <n v="10"/>
    <n v="10"/>
    <m/>
    <m/>
    <m/>
    <m/>
    <n v="10"/>
    <m/>
    <m/>
    <x v="54"/>
    <x v="0"/>
    <n v="0.18518518518518517"/>
    <s v="NO"/>
    <m/>
  </r>
  <r>
    <d v="2014-06-01T00:00:00"/>
    <x v="0"/>
    <s v="KBC"/>
    <x v="0"/>
    <x v="4"/>
    <x v="24"/>
    <n v="1"/>
    <m/>
    <m/>
    <n v="25"/>
    <n v="25"/>
    <m/>
    <m/>
    <m/>
    <m/>
    <n v="25"/>
    <m/>
    <m/>
    <x v="24"/>
    <x v="0"/>
    <n v="0.12886597938144329"/>
    <s v="NO"/>
    <m/>
  </r>
  <r>
    <d v="2014-06-01T00:00:00"/>
    <x v="0"/>
    <s v="KBC"/>
    <x v="0"/>
    <x v="3"/>
    <x v="37"/>
    <n v="1"/>
    <m/>
    <m/>
    <n v="60"/>
    <n v="60"/>
    <m/>
    <m/>
    <m/>
    <m/>
    <n v="60"/>
    <m/>
    <m/>
    <x v="37"/>
    <x v="0"/>
    <n v="0.15424164524421594"/>
    <s v="NO"/>
    <m/>
  </r>
  <r>
    <d v="2014-06-01T00:00:00"/>
    <x v="0"/>
    <s v="KBC"/>
    <x v="0"/>
    <x v="3"/>
    <x v="69"/>
    <n v="1"/>
    <m/>
    <m/>
    <n v="15"/>
    <n v="15"/>
    <m/>
    <m/>
    <m/>
    <m/>
    <n v="15"/>
    <m/>
    <m/>
    <x v="69"/>
    <x v="0"/>
    <n v="7.6923076923076927E-2"/>
    <s v="NO"/>
    <m/>
  </r>
  <r>
    <d v="2014-06-01T00:00:00"/>
    <x v="0"/>
    <s v="KBC"/>
    <x v="0"/>
    <x v="4"/>
    <x v="72"/>
    <n v="1"/>
    <m/>
    <m/>
    <n v="10"/>
    <n v="10"/>
    <m/>
    <m/>
    <m/>
    <m/>
    <n v="10"/>
    <m/>
    <m/>
    <x v="72"/>
    <x v="0"/>
    <n v="2.5839793281653745E-2"/>
    <s v="NO"/>
    <m/>
  </r>
  <r>
    <d v="2014-06-01T00:00:00"/>
    <x v="0"/>
    <s v="KBC"/>
    <x v="0"/>
    <x v="1"/>
    <x v="73"/>
    <n v="1"/>
    <m/>
    <m/>
    <n v="10"/>
    <n v="10"/>
    <m/>
    <m/>
    <m/>
    <m/>
    <n v="10"/>
    <m/>
    <m/>
    <x v="73"/>
    <x v="0"/>
    <n v="6.535947712418301E-2"/>
    <s v="NO"/>
    <m/>
  </r>
  <r>
    <d v="2014-05-11T00:00:00"/>
    <x v="0"/>
    <m/>
    <x v="1"/>
    <x v="11"/>
    <x v="62"/>
    <n v="1"/>
    <n v="110"/>
    <n v="110"/>
    <m/>
    <m/>
    <m/>
    <m/>
    <m/>
    <m/>
    <n v="0"/>
    <m/>
    <m/>
    <x v="62"/>
    <x v="0"/>
    <n v="0"/>
    <s v="NO"/>
    <m/>
  </r>
  <r>
    <d v="2014-04-20T00:00:00"/>
    <x v="0"/>
    <m/>
    <x v="0"/>
    <x v="3"/>
    <x v="74"/>
    <n v="1"/>
    <n v="200"/>
    <n v="200"/>
    <m/>
    <m/>
    <m/>
    <m/>
    <m/>
    <m/>
    <n v="0"/>
    <m/>
    <m/>
    <x v="74"/>
    <x v="1"/>
    <s v=""/>
    <s v="NO"/>
    <m/>
  </r>
  <r>
    <d v="2014-04-19T00:00:00"/>
    <x v="0"/>
    <m/>
    <x v="0"/>
    <x v="3"/>
    <x v="22"/>
    <n v="1"/>
    <n v="200"/>
    <n v="200"/>
    <m/>
    <m/>
    <m/>
    <m/>
    <m/>
    <m/>
    <n v="0"/>
    <m/>
    <m/>
    <x v="22"/>
    <x v="0"/>
    <n v="0"/>
    <s v="NO"/>
    <m/>
  </r>
  <r>
    <d v="2013-12-01T00:00:00"/>
    <x v="0"/>
    <s v="KBC"/>
    <x v="0"/>
    <x v="2"/>
    <x v="75"/>
    <n v="1"/>
    <m/>
    <m/>
    <n v="20"/>
    <n v="20"/>
    <m/>
    <m/>
    <m/>
    <m/>
    <n v="20"/>
    <m/>
    <m/>
    <x v="75"/>
    <x v="0"/>
    <n v="0.29850746268656714"/>
    <s v="NO"/>
    <m/>
  </r>
  <r>
    <d v="2013-12-01T00:00:00"/>
    <x v="0"/>
    <s v="Shalom"/>
    <x v="0"/>
    <x v="2"/>
    <x v="15"/>
    <n v="1"/>
    <m/>
    <m/>
    <n v="25"/>
    <n v="25"/>
    <m/>
    <m/>
    <m/>
    <m/>
    <n v="25"/>
    <m/>
    <m/>
    <x v="15"/>
    <x v="0"/>
    <n v="0.37313432835820898"/>
    <s v="NO"/>
    <m/>
  </r>
  <r>
    <d v="2013-12-01T00:00:00"/>
    <x v="0"/>
    <s v="Shalom"/>
    <x v="0"/>
    <x v="2"/>
    <x v="16"/>
    <n v="1"/>
    <m/>
    <m/>
    <n v="5"/>
    <n v="5"/>
    <m/>
    <m/>
    <m/>
    <m/>
    <n v="5"/>
    <m/>
    <m/>
    <x v="16"/>
    <x v="0"/>
    <n v="0.35714285714285715"/>
    <s v="NO"/>
    <m/>
  </r>
  <r>
    <d v="2013-12-01T00:00:00"/>
    <x v="0"/>
    <s v="KBC"/>
    <x v="0"/>
    <x v="2"/>
    <x v="76"/>
    <n v="1"/>
    <m/>
    <m/>
    <n v="20"/>
    <n v="20"/>
    <m/>
    <m/>
    <m/>
    <m/>
    <n v="20"/>
    <m/>
    <m/>
    <x v="76"/>
    <x v="0"/>
    <n v="0.52631578947368418"/>
    <s v="NO"/>
    <m/>
  </r>
  <r>
    <d v="2013-12-01T00:00:00"/>
    <x v="0"/>
    <s v="Shalom"/>
    <x v="0"/>
    <x v="2"/>
    <x v="60"/>
    <n v="1"/>
    <m/>
    <m/>
    <n v="10"/>
    <n v="10"/>
    <m/>
    <m/>
    <m/>
    <m/>
    <n v="0"/>
    <m/>
    <m/>
    <x v="60"/>
    <x v="1"/>
    <s v=""/>
    <s v="NO"/>
    <m/>
  </r>
  <r>
    <d v="2013-12-01T00:00:00"/>
    <x v="0"/>
    <s v="KMSS"/>
    <x v="0"/>
    <x v="6"/>
    <x v="7"/>
    <n v="1"/>
    <m/>
    <m/>
    <n v="35"/>
    <n v="35"/>
    <m/>
    <m/>
    <m/>
    <m/>
    <n v="35"/>
    <m/>
    <m/>
    <x v="7"/>
    <x v="0"/>
    <n v="0.21739130434782608"/>
    <s v="NO"/>
    <m/>
  </r>
  <r>
    <d v="2013-12-01T00:00:00"/>
    <x v="0"/>
    <s v="Shalom"/>
    <x v="0"/>
    <x v="2"/>
    <x v="17"/>
    <n v="1"/>
    <m/>
    <m/>
    <n v="4"/>
    <n v="4"/>
    <m/>
    <m/>
    <m/>
    <m/>
    <n v="4"/>
    <m/>
    <m/>
    <x v="17"/>
    <x v="0"/>
    <n v="0.66666666666666663"/>
    <s v="NO"/>
    <m/>
  </r>
  <r>
    <d v="2013-12-01T00:00:00"/>
    <x v="0"/>
    <s v="Shalom"/>
    <x v="0"/>
    <x v="6"/>
    <x v="67"/>
    <n v="1"/>
    <m/>
    <m/>
    <n v="5"/>
    <n v="5"/>
    <m/>
    <m/>
    <m/>
    <m/>
    <n v="5"/>
    <m/>
    <m/>
    <x v="67"/>
    <x v="0"/>
    <n v="5.0505050505050504E-2"/>
    <s v="NO"/>
    <m/>
  </r>
  <r>
    <d v="2013-12-01T00:00:00"/>
    <x v="0"/>
    <s v="Shalom"/>
    <x v="0"/>
    <x v="2"/>
    <x v="77"/>
    <n v="1"/>
    <m/>
    <m/>
    <n v="10"/>
    <n v="10"/>
    <m/>
    <m/>
    <m/>
    <m/>
    <n v="10"/>
    <m/>
    <m/>
    <x v="77"/>
    <x v="0"/>
    <n v="2"/>
    <s v="NO"/>
    <m/>
  </r>
  <r>
    <d v="2013-12-01T00:00:00"/>
    <x v="0"/>
    <s v="KBSS"/>
    <x v="0"/>
    <x v="3"/>
    <x v="78"/>
    <n v="1"/>
    <m/>
    <m/>
    <n v="60"/>
    <n v="60"/>
    <m/>
    <m/>
    <m/>
    <m/>
    <n v="0"/>
    <m/>
    <m/>
    <x v="78"/>
    <x v="1"/>
    <s v=""/>
    <s v="NO"/>
    <m/>
  </r>
  <r>
    <d v="2013-12-01T00:00:00"/>
    <x v="0"/>
    <s v="Shalom"/>
    <x v="0"/>
    <x v="2"/>
    <x v="19"/>
    <n v="1"/>
    <m/>
    <m/>
    <n v="18"/>
    <n v="18"/>
    <m/>
    <m/>
    <m/>
    <m/>
    <n v="18"/>
    <m/>
    <m/>
    <x v="19"/>
    <x v="0"/>
    <n v="0.72"/>
    <s v="NO"/>
    <m/>
  </r>
  <r>
    <d v="2013-12-01T00:00:00"/>
    <x v="0"/>
    <s v="Shalom"/>
    <x v="0"/>
    <x v="1"/>
    <x v="20"/>
    <n v="1"/>
    <m/>
    <m/>
    <n v="10"/>
    <n v="10"/>
    <m/>
    <m/>
    <m/>
    <m/>
    <n v="10"/>
    <m/>
    <m/>
    <x v="20"/>
    <x v="0"/>
    <n v="8.6206896551724144E-2"/>
    <s v="NO"/>
    <m/>
  </r>
  <r>
    <d v="2013-12-01T00:00:00"/>
    <x v="0"/>
    <s v="Shalom"/>
    <x v="0"/>
    <x v="6"/>
    <x v="79"/>
    <n v="1"/>
    <m/>
    <m/>
    <n v="35"/>
    <n v="35"/>
    <m/>
    <m/>
    <m/>
    <m/>
    <n v="35"/>
    <m/>
    <m/>
    <x v="79"/>
    <x v="0"/>
    <n v="0.2348993288590604"/>
    <s v="NO"/>
    <m/>
  </r>
  <r>
    <d v="2013-12-01T00:00:00"/>
    <x v="0"/>
    <s v="KMSS"/>
    <x v="1"/>
    <x v="13"/>
    <x v="80"/>
    <n v="1"/>
    <m/>
    <m/>
    <n v="30"/>
    <n v="30"/>
    <m/>
    <m/>
    <m/>
    <m/>
    <n v="30"/>
    <m/>
    <m/>
    <x v="80"/>
    <x v="0"/>
    <n v="1.0344827586206897"/>
    <s v="NO"/>
    <m/>
  </r>
  <r>
    <d v="2013-12-01T00:00:00"/>
    <x v="0"/>
    <s v="Shalom"/>
    <x v="0"/>
    <x v="0"/>
    <x v="11"/>
    <n v="1"/>
    <m/>
    <m/>
    <n v="15"/>
    <n v="15"/>
    <m/>
    <m/>
    <m/>
    <m/>
    <n v="15"/>
    <m/>
    <m/>
    <x v="11"/>
    <x v="0"/>
    <n v="1.0714285714285714"/>
    <s v="NO"/>
    <m/>
  </r>
  <r>
    <d v="2013-12-01T00:00:00"/>
    <x v="0"/>
    <s v="Shalom"/>
    <x v="0"/>
    <x v="2"/>
    <x v="81"/>
    <n v="1"/>
    <m/>
    <m/>
    <n v="5"/>
    <n v="5"/>
    <m/>
    <m/>
    <m/>
    <m/>
    <n v="5"/>
    <m/>
    <m/>
    <x v="81"/>
    <x v="0"/>
    <n v="1.25"/>
    <s v="NO"/>
    <m/>
  </r>
  <r>
    <d v="2013-12-01T00:00:00"/>
    <x v="0"/>
    <m/>
    <x v="0"/>
    <x v="4"/>
    <x v="72"/>
    <n v="1"/>
    <m/>
    <m/>
    <n v="50"/>
    <n v="50"/>
    <m/>
    <m/>
    <m/>
    <m/>
    <n v="50"/>
    <m/>
    <m/>
    <x v="72"/>
    <x v="0"/>
    <n v="0.12919896640826872"/>
    <s v="NO"/>
    <m/>
  </r>
  <r>
    <d v="2013-12-01T00:00:00"/>
    <x v="0"/>
    <s v="Shalom"/>
    <x v="0"/>
    <x v="1"/>
    <x v="70"/>
    <n v="1"/>
    <m/>
    <m/>
    <n v="13"/>
    <n v="13"/>
    <m/>
    <m/>
    <m/>
    <m/>
    <n v="13"/>
    <m/>
    <m/>
    <x v="70"/>
    <x v="0"/>
    <n v="0.9285714285714286"/>
    <s v="NO"/>
    <m/>
  </r>
  <r>
    <d v="2013-12-01T00:00:00"/>
    <x v="0"/>
    <s v="Shalom"/>
    <x v="0"/>
    <x v="2"/>
    <x v="63"/>
    <n v="1"/>
    <m/>
    <m/>
    <n v="10"/>
    <n v="10"/>
    <m/>
    <m/>
    <m/>
    <m/>
    <n v="10"/>
    <m/>
    <m/>
    <x v="63"/>
    <x v="0"/>
    <n v="0.83333333333333337"/>
    <s v="NO"/>
    <m/>
  </r>
  <r>
    <d v="2013-12-01T00:00:00"/>
    <x v="0"/>
    <s v="Shalom"/>
    <x v="0"/>
    <x v="6"/>
    <x v="64"/>
    <n v="1"/>
    <m/>
    <m/>
    <n v="10"/>
    <n v="10"/>
    <m/>
    <m/>
    <m/>
    <m/>
    <n v="10"/>
    <m/>
    <m/>
    <x v="64"/>
    <x v="0"/>
    <n v="0.55555555555555558"/>
    <s v="NO"/>
    <m/>
  </r>
  <r>
    <d v="2013-12-01T00:00:00"/>
    <x v="0"/>
    <s v="Shalom"/>
    <x v="0"/>
    <x v="2"/>
    <x v="82"/>
    <n v="1"/>
    <m/>
    <m/>
    <n v="40"/>
    <n v="40"/>
    <m/>
    <m/>
    <m/>
    <m/>
    <n v="0"/>
    <m/>
    <m/>
    <x v="82"/>
    <x v="1"/>
    <s v=""/>
    <s v="NO"/>
    <m/>
  </r>
  <r>
    <d v="2013-12-01T00:00:00"/>
    <x v="0"/>
    <s v="Shalom"/>
    <x v="0"/>
    <x v="4"/>
    <x v="83"/>
    <n v="1"/>
    <m/>
    <m/>
    <n v="4"/>
    <n v="4"/>
    <m/>
    <m/>
    <m/>
    <m/>
    <n v="0"/>
    <n v="5"/>
    <m/>
    <x v="83"/>
    <x v="1"/>
    <s v=""/>
    <s v="NO"/>
    <m/>
  </r>
  <r>
    <d v="2013-12-01T00:00:00"/>
    <x v="0"/>
    <s v="Shalom"/>
    <x v="0"/>
    <x v="6"/>
    <x v="12"/>
    <n v="1"/>
    <m/>
    <m/>
    <n v="10"/>
    <n v="10"/>
    <m/>
    <m/>
    <m/>
    <m/>
    <n v="10"/>
    <m/>
    <m/>
    <x v="12"/>
    <x v="0"/>
    <n v="0.10989010989010989"/>
    <s v="NO"/>
    <m/>
  </r>
  <r>
    <d v="2013-12-01T00:00:00"/>
    <x v="0"/>
    <s v="Shalom"/>
    <x v="0"/>
    <x v="6"/>
    <x v="71"/>
    <n v="1"/>
    <m/>
    <m/>
    <n v="10"/>
    <n v="10"/>
    <m/>
    <m/>
    <m/>
    <m/>
    <n v="10"/>
    <m/>
    <m/>
    <x v="71"/>
    <x v="0"/>
    <n v="0.32258064516129031"/>
    <s v="NO"/>
    <m/>
  </r>
  <r>
    <d v="2013-12-01T00:00:00"/>
    <x v="0"/>
    <s v="Shalom"/>
    <x v="0"/>
    <x v="2"/>
    <x v="84"/>
    <n v="1"/>
    <m/>
    <m/>
    <n v="10"/>
    <n v="10"/>
    <m/>
    <m/>
    <m/>
    <m/>
    <n v="10"/>
    <m/>
    <m/>
    <x v="84"/>
    <x v="0"/>
    <n v="1"/>
    <s v="NO"/>
    <m/>
  </r>
  <r>
    <d v="2013-12-01T00:00:00"/>
    <x v="0"/>
    <s v="KBC"/>
    <x v="0"/>
    <x v="0"/>
    <x v="34"/>
    <n v="1"/>
    <m/>
    <m/>
    <n v="30"/>
    <n v="30"/>
    <m/>
    <m/>
    <m/>
    <m/>
    <n v="30"/>
    <m/>
    <m/>
    <x v="34"/>
    <x v="0"/>
    <n v="0.14634146341463414"/>
    <s v="NO"/>
    <m/>
  </r>
  <r>
    <d v="2013-12-01T00:00:00"/>
    <x v="0"/>
    <s v="Shalom"/>
    <x v="0"/>
    <x v="1"/>
    <x v="85"/>
    <n v="1"/>
    <m/>
    <m/>
    <n v="15"/>
    <n v="15"/>
    <m/>
    <m/>
    <m/>
    <m/>
    <n v="15"/>
    <n v="10"/>
    <m/>
    <x v="85"/>
    <x v="0"/>
    <n v="0.7142857142857143"/>
    <s v="NO"/>
    <m/>
  </r>
  <r>
    <d v="2013-12-01T00:00:00"/>
    <x v="0"/>
    <s v="Shalom"/>
    <x v="0"/>
    <x v="0"/>
    <x v="54"/>
    <n v="1"/>
    <m/>
    <m/>
    <n v="30"/>
    <n v="30"/>
    <m/>
    <m/>
    <m/>
    <m/>
    <n v="30"/>
    <m/>
    <m/>
    <x v="54"/>
    <x v="0"/>
    <n v="0.55555555555555558"/>
    <s v="NO"/>
    <m/>
  </r>
  <r>
    <d v="2013-12-01T00:00:00"/>
    <x v="0"/>
    <s v="Shalom"/>
    <x v="0"/>
    <x v="6"/>
    <x v="65"/>
    <n v="1"/>
    <m/>
    <m/>
    <n v="5"/>
    <n v="5"/>
    <m/>
    <m/>
    <m/>
    <m/>
    <n v="5"/>
    <m/>
    <m/>
    <x v="65"/>
    <x v="0"/>
    <n v="0.11363636363636363"/>
    <s v="NO"/>
    <m/>
  </r>
  <r>
    <d v="2013-12-01T00:00:00"/>
    <x v="0"/>
    <s v="Shalom"/>
    <x v="0"/>
    <x v="6"/>
    <x v="86"/>
    <n v="1"/>
    <m/>
    <m/>
    <n v="6"/>
    <n v="6"/>
    <m/>
    <m/>
    <m/>
    <m/>
    <n v="6"/>
    <m/>
    <m/>
    <x v="86"/>
    <x v="0"/>
    <n v="8.5714285714285715E-2"/>
    <s v="NO"/>
    <m/>
  </r>
  <r>
    <d v="2013-12-01T00:00:00"/>
    <x v="0"/>
    <s v="KMSS"/>
    <x v="0"/>
    <x v="6"/>
    <x v="87"/>
    <n v="1"/>
    <m/>
    <m/>
    <n v="160"/>
    <n v="160"/>
    <m/>
    <m/>
    <m/>
    <m/>
    <n v="160"/>
    <m/>
    <m/>
    <x v="87"/>
    <x v="0"/>
    <n v="0.11670313639679067"/>
    <s v="NO"/>
    <m/>
  </r>
  <r>
    <d v="2013-12-01T00:00:00"/>
    <x v="0"/>
    <m/>
    <x v="0"/>
    <x v="1"/>
    <x v="88"/>
    <n v="1"/>
    <m/>
    <m/>
    <n v="5"/>
    <n v="5"/>
    <m/>
    <m/>
    <m/>
    <m/>
    <n v="5"/>
    <m/>
    <m/>
    <x v="88"/>
    <x v="0"/>
    <n v="0.33333333333333331"/>
    <s v="NO"/>
    <m/>
  </r>
  <r>
    <d v="2013-12-01T00:00:00"/>
    <x v="0"/>
    <s v="KBC"/>
    <x v="1"/>
    <x v="13"/>
    <x v="89"/>
    <n v="1"/>
    <m/>
    <m/>
    <n v="10"/>
    <n v="10"/>
    <m/>
    <m/>
    <m/>
    <m/>
    <n v="10"/>
    <m/>
    <m/>
    <x v="89"/>
    <x v="0"/>
    <n v="0.27777777777777779"/>
    <s v="NO"/>
    <m/>
  </r>
  <r>
    <d v="2013-12-01T00:00:00"/>
    <x v="0"/>
    <s v="KBC"/>
    <x v="0"/>
    <x v="3"/>
    <x v="69"/>
    <n v="1"/>
    <m/>
    <m/>
    <n v="20"/>
    <n v="20"/>
    <m/>
    <m/>
    <m/>
    <m/>
    <n v="20"/>
    <m/>
    <m/>
    <x v="69"/>
    <x v="0"/>
    <n v="0.10256410256410256"/>
    <s v="NO"/>
    <m/>
  </r>
  <r>
    <d v="2013-12-01T00:00:00"/>
    <x v="0"/>
    <s v="KBC"/>
    <x v="1"/>
    <x v="5"/>
    <x v="90"/>
    <n v="1"/>
    <m/>
    <m/>
    <n v="5"/>
    <n v="5"/>
    <m/>
    <m/>
    <m/>
    <m/>
    <n v="5"/>
    <m/>
    <m/>
    <x v="90"/>
    <x v="0"/>
    <n v="0.10869565217391304"/>
    <s v="NO"/>
    <m/>
  </r>
  <r>
    <d v="2013-12-01T00:00:00"/>
    <x v="0"/>
    <s v="KBC"/>
    <x v="0"/>
    <x v="6"/>
    <x v="30"/>
    <n v="1"/>
    <m/>
    <m/>
    <n v="11"/>
    <n v="11"/>
    <m/>
    <m/>
    <m/>
    <m/>
    <n v="11"/>
    <m/>
    <m/>
    <x v="30"/>
    <x v="0"/>
    <n v="6.3218390804597707E-2"/>
    <s v="NO"/>
    <m/>
  </r>
  <r>
    <d v="2013-12-01T00:00:00"/>
    <x v="0"/>
    <s v="KBC"/>
    <x v="0"/>
    <x v="1"/>
    <x v="73"/>
    <n v="1"/>
    <m/>
    <m/>
    <n v="50"/>
    <n v="50"/>
    <m/>
    <m/>
    <m/>
    <m/>
    <n v="50"/>
    <m/>
    <m/>
    <x v="73"/>
    <x v="0"/>
    <n v="0.32679738562091504"/>
    <s v="NO"/>
    <m/>
  </r>
  <r>
    <d v="2013-12-01T00:00:00"/>
    <x v="0"/>
    <s v="KBC"/>
    <x v="0"/>
    <x v="1"/>
    <x v="1"/>
    <n v="1"/>
    <m/>
    <m/>
    <n v="30"/>
    <n v="30"/>
    <m/>
    <m/>
    <m/>
    <m/>
    <n v="30"/>
    <m/>
    <m/>
    <x v="1"/>
    <x v="0"/>
    <n v="4.7923322683706068E-2"/>
    <s v="NO"/>
    <m/>
  </r>
  <r>
    <d v="2013-12-01T00:00:00"/>
    <x v="0"/>
    <s v="KBC"/>
    <x v="0"/>
    <x v="2"/>
    <x v="91"/>
    <n v="1"/>
    <m/>
    <m/>
    <n v="5"/>
    <n v="5"/>
    <m/>
    <m/>
    <m/>
    <m/>
    <n v="5"/>
    <m/>
    <m/>
    <x v="91"/>
    <x v="0"/>
    <n v="0.625"/>
    <s v="NO"/>
    <m/>
  </r>
  <r>
    <d v="2013-12-01T00:00:00"/>
    <x v="0"/>
    <s v="KBC"/>
    <x v="0"/>
    <x v="6"/>
    <x v="31"/>
    <n v="1"/>
    <m/>
    <m/>
    <n v="18"/>
    <n v="18"/>
    <m/>
    <m/>
    <m/>
    <m/>
    <n v="18"/>
    <m/>
    <m/>
    <x v="31"/>
    <x v="0"/>
    <n v="9.8901098901098897E-2"/>
    <s v="NO"/>
    <m/>
  </r>
  <r>
    <d v="2013-12-01T00:00:00"/>
    <x v="0"/>
    <s v="KBC"/>
    <x v="0"/>
    <x v="2"/>
    <x v="92"/>
    <n v="1"/>
    <m/>
    <m/>
    <n v="15"/>
    <n v="15"/>
    <m/>
    <m/>
    <m/>
    <m/>
    <n v="15"/>
    <m/>
    <m/>
    <x v="92"/>
    <x v="0"/>
    <n v="0.42857142857142855"/>
    <s v="NO"/>
    <m/>
  </r>
  <r>
    <d v="2013-12-01T00:00:00"/>
    <x v="0"/>
    <s v="KBC"/>
    <x v="0"/>
    <x v="6"/>
    <x v="32"/>
    <n v="1"/>
    <m/>
    <m/>
    <n v="76"/>
    <n v="76"/>
    <m/>
    <m/>
    <m/>
    <m/>
    <n v="76"/>
    <m/>
    <m/>
    <x v="32"/>
    <x v="0"/>
    <n v="0.18811881188118812"/>
    <s v="NO"/>
    <m/>
  </r>
  <r>
    <m/>
    <x v="0"/>
    <s v="KBC"/>
    <x v="1"/>
    <x v="13"/>
    <x v="93"/>
    <n v="1"/>
    <m/>
    <m/>
    <n v="10"/>
    <n v="10"/>
    <m/>
    <m/>
    <m/>
    <m/>
    <n v="0"/>
    <m/>
    <m/>
    <x v="93"/>
    <x v="1"/>
    <s v=""/>
    <s v="NO"/>
    <m/>
  </r>
  <r>
    <m/>
    <x v="6"/>
    <s v="KBC"/>
    <x v="0"/>
    <x v="0"/>
    <x v="34"/>
    <n v="1"/>
    <m/>
    <m/>
    <n v="60"/>
    <n v="60"/>
    <m/>
    <m/>
    <m/>
    <m/>
    <n v="60"/>
    <m/>
    <m/>
    <x v="34"/>
    <x v="0"/>
    <n v="0.29268292682926828"/>
    <s v="NO"/>
    <m/>
  </r>
  <r>
    <m/>
    <x v="0"/>
    <s v="KBC"/>
    <x v="0"/>
    <x v="2"/>
    <x v="94"/>
    <n v="1"/>
    <m/>
    <m/>
    <n v="50"/>
    <n v="50"/>
    <m/>
    <m/>
    <m/>
    <m/>
    <n v="50"/>
    <m/>
    <m/>
    <x v="94"/>
    <x v="0"/>
    <n v="0.96153846153846156"/>
    <s v="NO"/>
    <m/>
  </r>
  <r>
    <m/>
    <x v="0"/>
    <s v="KBC"/>
    <x v="0"/>
    <x v="0"/>
    <x v="95"/>
    <n v="1"/>
    <m/>
    <m/>
    <n v="5"/>
    <n v="5"/>
    <m/>
    <m/>
    <m/>
    <m/>
    <n v="5"/>
    <m/>
    <m/>
    <x v="95"/>
    <x v="0"/>
    <n v="0.10416666666666667"/>
    <s v="NO"/>
    <m/>
  </r>
  <r>
    <m/>
    <x v="0"/>
    <s v="KBC"/>
    <x v="0"/>
    <x v="10"/>
    <x v="96"/>
    <n v="1"/>
    <m/>
    <m/>
    <n v="15"/>
    <n v="15"/>
    <m/>
    <m/>
    <m/>
    <m/>
    <n v="15"/>
    <m/>
    <m/>
    <x v="96"/>
    <x v="0"/>
    <n v="1.1538461538461537"/>
    <s v="NO"/>
    <m/>
  </r>
  <r>
    <m/>
    <x v="7"/>
    <s v="KBC"/>
    <x v="0"/>
    <x v="0"/>
    <x v="97"/>
    <n v="1"/>
    <m/>
    <m/>
    <n v="9"/>
    <n v="9"/>
    <m/>
    <m/>
    <m/>
    <m/>
    <n v="9"/>
    <m/>
    <m/>
    <x v="97"/>
    <x v="0"/>
    <n v="0.3"/>
    <s v="NO"/>
    <m/>
  </r>
  <r>
    <m/>
    <x v="6"/>
    <s v="KBC"/>
    <x v="0"/>
    <x v="0"/>
    <x v="97"/>
    <n v="1"/>
    <m/>
    <m/>
    <n v="5"/>
    <n v="5"/>
    <m/>
    <m/>
    <m/>
    <m/>
    <n v="5"/>
    <m/>
    <m/>
    <x v="97"/>
    <x v="0"/>
    <n v="0.16666666666666666"/>
    <s v="NO"/>
    <m/>
  </r>
  <r>
    <m/>
    <x v="0"/>
    <s v="KBC"/>
    <x v="0"/>
    <x v="0"/>
    <x v="97"/>
    <n v="1"/>
    <m/>
    <m/>
    <n v="10"/>
    <n v="10"/>
    <m/>
    <m/>
    <m/>
    <m/>
    <n v="10"/>
    <m/>
    <m/>
    <x v="97"/>
    <x v="0"/>
    <n v="0.33333333333333331"/>
    <s v="NO"/>
    <m/>
  </r>
  <r>
    <m/>
    <x v="6"/>
    <s v="KBC"/>
    <x v="0"/>
    <x v="0"/>
    <x v="46"/>
    <n v="1"/>
    <m/>
    <m/>
    <n v="60"/>
    <n v="60"/>
    <m/>
    <m/>
    <m/>
    <m/>
    <n v="60"/>
    <m/>
    <m/>
    <x v="46"/>
    <x v="0"/>
    <n v="0.70588235294117652"/>
    <s v="NO"/>
    <m/>
  </r>
  <r>
    <m/>
    <x v="0"/>
    <s v="KBC"/>
    <x v="0"/>
    <x v="0"/>
    <x v="46"/>
    <n v="1"/>
    <m/>
    <m/>
    <n v="60"/>
    <n v="60"/>
    <m/>
    <m/>
    <m/>
    <m/>
    <n v="60"/>
    <m/>
    <m/>
    <x v="46"/>
    <x v="0"/>
    <n v="0.70588235294117652"/>
    <s v="NO"/>
    <m/>
  </r>
  <r>
    <m/>
    <x v="0"/>
    <s v="KBC"/>
    <x v="0"/>
    <x v="4"/>
    <x v="98"/>
    <n v="1"/>
    <m/>
    <m/>
    <n v="27"/>
    <n v="27"/>
    <m/>
    <m/>
    <m/>
    <m/>
    <n v="27"/>
    <m/>
    <m/>
    <x v="98"/>
    <x v="0"/>
    <n v="0.67500000000000004"/>
    <s v="NO"/>
    <m/>
  </r>
  <r>
    <m/>
    <x v="6"/>
    <s v="KBC"/>
    <x v="0"/>
    <x v="6"/>
    <x v="99"/>
    <n v="1"/>
    <m/>
    <m/>
    <n v="50"/>
    <n v="50"/>
    <m/>
    <m/>
    <m/>
    <m/>
    <n v="50"/>
    <m/>
    <m/>
    <x v="99"/>
    <x v="0"/>
    <n v="0.10615711252653928"/>
    <s v="NO"/>
    <m/>
  </r>
  <r>
    <m/>
    <x v="0"/>
    <s v="KBC"/>
    <x v="0"/>
    <x v="6"/>
    <x v="99"/>
    <n v="1"/>
    <m/>
    <m/>
    <n v="400"/>
    <n v="400"/>
    <m/>
    <m/>
    <m/>
    <m/>
    <n v="400"/>
    <m/>
    <m/>
    <x v="99"/>
    <x v="0"/>
    <n v="0.84925690021231426"/>
    <s v="NO"/>
    <m/>
  </r>
  <r>
    <m/>
    <x v="8"/>
    <s v="KBC"/>
    <x v="0"/>
    <x v="6"/>
    <x v="99"/>
    <n v="1"/>
    <m/>
    <m/>
    <n v="10"/>
    <n v="10"/>
    <m/>
    <m/>
    <m/>
    <m/>
    <n v="10"/>
    <m/>
    <m/>
    <x v="99"/>
    <x v="0"/>
    <n v="2.1231422505307854E-2"/>
    <s v="NO"/>
    <m/>
  </r>
  <r>
    <m/>
    <x v="0"/>
    <s v="KBC"/>
    <x v="0"/>
    <x v="6"/>
    <x v="36"/>
    <n v="1"/>
    <m/>
    <m/>
    <n v="30"/>
    <n v="30"/>
    <m/>
    <m/>
    <m/>
    <m/>
    <n v="30"/>
    <m/>
    <m/>
    <x v="36"/>
    <x v="0"/>
    <n v="0.66666666666666663"/>
    <s v="NO"/>
    <m/>
  </r>
  <r>
    <m/>
    <x v="7"/>
    <s v="KBC"/>
    <x v="0"/>
    <x v="3"/>
    <x v="37"/>
    <n v="1"/>
    <m/>
    <m/>
    <n v="20"/>
    <n v="20"/>
    <m/>
    <m/>
    <m/>
    <m/>
    <n v="20"/>
    <m/>
    <m/>
    <x v="37"/>
    <x v="0"/>
    <n v="5.1413881748071981E-2"/>
    <s v="NO"/>
    <m/>
  </r>
  <r>
    <m/>
    <x v="0"/>
    <s v="KBC"/>
    <x v="0"/>
    <x v="0"/>
    <x v="100"/>
    <n v="1"/>
    <m/>
    <m/>
    <n v="20"/>
    <n v="20"/>
    <m/>
    <m/>
    <m/>
    <m/>
    <n v="20"/>
    <m/>
    <m/>
    <x v="100"/>
    <x v="0"/>
    <n v="0.32786885245901637"/>
    <s v="NO"/>
    <m/>
  </r>
  <r>
    <m/>
    <x v="0"/>
    <s v="KBC"/>
    <x v="0"/>
    <x v="0"/>
    <x v="101"/>
    <n v="1"/>
    <m/>
    <m/>
    <n v="60"/>
    <n v="60"/>
    <m/>
    <m/>
    <m/>
    <m/>
    <n v="60"/>
    <m/>
    <m/>
    <x v="101"/>
    <x v="0"/>
    <n v="0.59405940594059403"/>
    <s v="NO"/>
    <m/>
  </r>
  <r>
    <m/>
    <x v="2"/>
    <s v="KBC"/>
    <x v="0"/>
    <x v="3"/>
    <x v="102"/>
    <n v="1"/>
    <m/>
    <m/>
    <n v="39"/>
    <n v="39"/>
    <m/>
    <m/>
    <m/>
    <m/>
    <n v="39"/>
    <m/>
    <m/>
    <x v="102"/>
    <x v="0"/>
    <n v="0.3644859813084112"/>
    <s v="NO"/>
    <m/>
  </r>
  <r>
    <m/>
    <x v="0"/>
    <s v="KBC"/>
    <x v="0"/>
    <x v="3"/>
    <x v="102"/>
    <n v="1"/>
    <m/>
    <m/>
    <n v="20"/>
    <n v="20"/>
    <m/>
    <m/>
    <m/>
    <m/>
    <n v="20"/>
    <m/>
    <m/>
    <x v="102"/>
    <x v="0"/>
    <n v="0.18691588785046728"/>
    <s v="NO"/>
    <m/>
  </r>
  <r>
    <m/>
    <x v="0"/>
    <s v="KBC"/>
    <x v="1"/>
    <x v="13"/>
    <x v="89"/>
    <n v="1"/>
    <m/>
    <m/>
    <n v="30"/>
    <n v="30"/>
    <m/>
    <m/>
    <m/>
    <m/>
    <n v="30"/>
    <m/>
    <m/>
    <x v="89"/>
    <x v="0"/>
    <n v="0.83333333333333337"/>
    <s v="NO"/>
    <m/>
  </r>
  <r>
    <m/>
    <x v="0"/>
    <s v="KBC"/>
    <x v="0"/>
    <x v="10"/>
    <x v="103"/>
    <n v="1"/>
    <m/>
    <m/>
    <n v="10"/>
    <n v="10"/>
    <m/>
    <m/>
    <m/>
    <m/>
    <n v="10"/>
    <m/>
    <m/>
    <x v="103"/>
    <x v="0"/>
    <n v="0.66666666666666663"/>
    <s v="NO"/>
    <m/>
  </r>
  <r>
    <m/>
    <x v="0"/>
    <s v="KBC"/>
    <x v="0"/>
    <x v="4"/>
    <x v="72"/>
    <n v="1"/>
    <m/>
    <m/>
    <n v="40"/>
    <n v="40"/>
    <m/>
    <m/>
    <m/>
    <m/>
    <n v="40"/>
    <m/>
    <m/>
    <x v="72"/>
    <x v="0"/>
    <n v="0.10335917312661498"/>
    <s v="NO"/>
    <m/>
  </r>
  <r>
    <m/>
    <x v="0"/>
    <s v="KBC"/>
    <x v="1"/>
    <x v="11"/>
    <x v="104"/>
    <n v="1"/>
    <m/>
    <m/>
    <n v="10"/>
    <n v="10"/>
    <m/>
    <m/>
    <m/>
    <m/>
    <n v="0"/>
    <m/>
    <m/>
    <x v="104"/>
    <x v="1"/>
    <s v=""/>
    <s v="NO"/>
    <m/>
  </r>
  <r>
    <m/>
    <x v="2"/>
    <s v="KBC"/>
    <x v="1"/>
    <x v="8"/>
    <x v="105"/>
    <n v="1"/>
    <m/>
    <m/>
    <n v="78"/>
    <n v="78"/>
    <m/>
    <m/>
    <m/>
    <m/>
    <n v="78"/>
    <m/>
    <m/>
    <x v="105"/>
    <x v="0"/>
    <n v="1.04"/>
    <s v="NO"/>
    <m/>
  </r>
  <r>
    <m/>
    <x v="9"/>
    <m/>
    <x v="0"/>
    <x v="2"/>
    <x v="75"/>
    <n v="1"/>
    <n v="25"/>
    <n v="25"/>
    <m/>
    <m/>
    <m/>
    <m/>
    <m/>
    <m/>
    <n v="0"/>
    <m/>
    <m/>
    <x v="75"/>
    <x v="0"/>
    <n v="0"/>
    <s v="NO"/>
    <m/>
  </r>
  <r>
    <m/>
    <x v="0"/>
    <s v="KMSS"/>
    <x v="0"/>
    <x v="2"/>
    <x v="75"/>
    <n v="1"/>
    <m/>
    <m/>
    <m/>
    <m/>
    <m/>
    <m/>
    <m/>
    <m/>
    <n v="0"/>
    <n v="44"/>
    <m/>
    <x v="75"/>
    <x v="0"/>
    <n v="0"/>
    <s v="NO"/>
    <m/>
  </r>
  <r>
    <m/>
    <x v="10"/>
    <s v="KBSS"/>
    <x v="0"/>
    <x v="1"/>
    <x v="4"/>
    <n v="1"/>
    <m/>
    <m/>
    <n v="6"/>
    <n v="6"/>
    <m/>
    <m/>
    <m/>
    <m/>
    <n v="6"/>
    <m/>
    <m/>
    <x v="4"/>
    <x v="0"/>
    <n v="2.3346303501945526E-2"/>
    <s v="NO"/>
    <m/>
  </r>
  <r>
    <m/>
    <x v="0"/>
    <s v="KBSS"/>
    <x v="0"/>
    <x v="1"/>
    <x v="4"/>
    <n v="1"/>
    <m/>
    <m/>
    <n v="144"/>
    <n v="144"/>
    <m/>
    <m/>
    <m/>
    <m/>
    <n v="144"/>
    <m/>
    <m/>
    <x v="4"/>
    <x v="0"/>
    <n v="0.56031128404669261"/>
    <s v="NO"/>
    <m/>
  </r>
  <r>
    <m/>
    <x v="0"/>
    <m/>
    <x v="0"/>
    <x v="1"/>
    <x v="4"/>
    <n v="1"/>
    <m/>
    <m/>
    <n v="20"/>
    <n v="20"/>
    <m/>
    <m/>
    <m/>
    <m/>
    <n v="20"/>
    <m/>
    <m/>
    <x v="4"/>
    <x v="0"/>
    <n v="7.7821011673151752E-2"/>
    <s v="NO"/>
    <m/>
  </r>
  <r>
    <m/>
    <x v="9"/>
    <m/>
    <x v="0"/>
    <x v="2"/>
    <x v="15"/>
    <n v="1"/>
    <n v="10"/>
    <n v="10"/>
    <m/>
    <m/>
    <m/>
    <m/>
    <m/>
    <m/>
    <n v="0"/>
    <m/>
    <m/>
    <x v="15"/>
    <x v="0"/>
    <n v="0"/>
    <s v="NO"/>
    <m/>
  </r>
  <r>
    <m/>
    <x v="0"/>
    <s v="Shalom"/>
    <x v="0"/>
    <x v="2"/>
    <x v="15"/>
    <n v="1"/>
    <m/>
    <m/>
    <n v="5"/>
    <n v="5"/>
    <m/>
    <m/>
    <m/>
    <m/>
    <n v="5"/>
    <m/>
    <m/>
    <x v="15"/>
    <x v="0"/>
    <n v="7.4626865671641784E-2"/>
    <s v="NO"/>
    <m/>
  </r>
  <r>
    <m/>
    <x v="0"/>
    <s v="KBSS"/>
    <x v="0"/>
    <x v="1"/>
    <x v="106"/>
    <n v="1"/>
    <m/>
    <m/>
    <n v="32"/>
    <n v="32"/>
    <m/>
    <m/>
    <m/>
    <m/>
    <n v="32"/>
    <m/>
    <m/>
    <x v="106"/>
    <x v="0"/>
    <n v="2.6666666666666665"/>
    <s v="NO"/>
    <m/>
  </r>
  <r>
    <m/>
    <x v="0"/>
    <m/>
    <x v="0"/>
    <x v="1"/>
    <x v="106"/>
    <n v="1"/>
    <m/>
    <m/>
    <n v="10"/>
    <n v="10"/>
    <m/>
    <m/>
    <m/>
    <m/>
    <n v="10"/>
    <m/>
    <m/>
    <x v="106"/>
    <x v="0"/>
    <n v="0.83333333333333337"/>
    <s v="NO"/>
    <m/>
  </r>
  <r>
    <m/>
    <x v="9"/>
    <m/>
    <x v="0"/>
    <x v="2"/>
    <x v="76"/>
    <n v="1"/>
    <n v="10"/>
    <n v="10"/>
    <m/>
    <m/>
    <m/>
    <m/>
    <m/>
    <m/>
    <n v="0"/>
    <m/>
    <m/>
    <x v="76"/>
    <x v="0"/>
    <n v="0"/>
    <s v="NO"/>
    <m/>
  </r>
  <r>
    <m/>
    <x v="11"/>
    <m/>
    <x v="0"/>
    <x v="2"/>
    <x v="60"/>
    <n v="1"/>
    <m/>
    <m/>
    <n v="10"/>
    <n v="10"/>
    <m/>
    <m/>
    <m/>
    <m/>
    <n v="0"/>
    <m/>
    <m/>
    <x v="60"/>
    <x v="1"/>
    <s v=""/>
    <s v="NO"/>
    <m/>
  </r>
  <r>
    <m/>
    <x v="9"/>
    <m/>
    <x v="0"/>
    <x v="6"/>
    <x v="7"/>
    <n v="1"/>
    <n v="41"/>
    <n v="41"/>
    <m/>
    <m/>
    <m/>
    <m/>
    <m/>
    <m/>
    <n v="0"/>
    <m/>
    <m/>
    <x v="7"/>
    <x v="0"/>
    <n v="0"/>
    <s v="NO"/>
    <m/>
  </r>
  <r>
    <m/>
    <x v="0"/>
    <s v="KMSS"/>
    <x v="0"/>
    <x v="6"/>
    <x v="7"/>
    <n v="1"/>
    <m/>
    <m/>
    <n v="202"/>
    <n v="202"/>
    <m/>
    <m/>
    <m/>
    <m/>
    <n v="202"/>
    <m/>
    <m/>
    <x v="7"/>
    <x v="0"/>
    <n v="1.2546583850931676"/>
    <s v="NO"/>
    <m/>
  </r>
  <r>
    <m/>
    <x v="0"/>
    <m/>
    <x v="0"/>
    <x v="3"/>
    <x v="58"/>
    <n v="1"/>
    <m/>
    <m/>
    <n v="150"/>
    <m/>
    <m/>
    <m/>
    <m/>
    <m/>
    <n v="0"/>
    <m/>
    <m/>
    <x v="58"/>
    <x v="0"/>
    <n v="0"/>
    <s v="NO"/>
    <m/>
  </r>
  <r>
    <m/>
    <x v="2"/>
    <s v="Shalom"/>
    <x v="0"/>
    <x v="7"/>
    <x v="14"/>
    <n v="1"/>
    <m/>
    <m/>
    <n v="82"/>
    <n v="82"/>
    <m/>
    <m/>
    <m/>
    <m/>
    <n v="82"/>
    <m/>
    <m/>
    <x v="14"/>
    <x v="0"/>
    <n v="0.74545454545454548"/>
    <s v="NO"/>
    <m/>
  </r>
  <r>
    <m/>
    <x v="0"/>
    <s v="Shalom"/>
    <x v="0"/>
    <x v="7"/>
    <x v="14"/>
    <n v="1"/>
    <m/>
    <m/>
    <n v="20"/>
    <n v="20"/>
    <m/>
    <m/>
    <m/>
    <m/>
    <n v="20"/>
    <m/>
    <m/>
    <x v="14"/>
    <x v="0"/>
    <n v="0.18181818181818182"/>
    <s v="NO"/>
    <m/>
  </r>
  <r>
    <m/>
    <x v="9"/>
    <m/>
    <x v="0"/>
    <x v="2"/>
    <x v="18"/>
    <n v="1"/>
    <n v="5"/>
    <n v="5"/>
    <m/>
    <m/>
    <m/>
    <m/>
    <m/>
    <m/>
    <n v="0"/>
    <m/>
    <m/>
    <x v="18"/>
    <x v="0"/>
    <n v="0"/>
    <s v="NO"/>
    <m/>
  </r>
  <r>
    <m/>
    <x v="0"/>
    <s v="Shalom"/>
    <x v="0"/>
    <x v="2"/>
    <x v="18"/>
    <n v="1"/>
    <m/>
    <m/>
    <n v="10"/>
    <n v="10"/>
    <m/>
    <m/>
    <m/>
    <m/>
    <n v="10"/>
    <m/>
    <m/>
    <x v="18"/>
    <x v="0"/>
    <n v="0.15151515151515152"/>
    <s v="NO"/>
    <m/>
  </r>
  <r>
    <m/>
    <x v="0"/>
    <m/>
    <x v="0"/>
    <x v="0"/>
    <x v="0"/>
    <n v="1"/>
    <m/>
    <m/>
    <n v="3"/>
    <n v="3"/>
    <m/>
    <m/>
    <m/>
    <m/>
    <n v="3"/>
    <m/>
    <m/>
    <x v="0"/>
    <x v="0"/>
    <n v="0.5"/>
    <s v="NO"/>
    <m/>
  </r>
  <r>
    <m/>
    <x v="0"/>
    <m/>
    <x v="0"/>
    <x v="0"/>
    <x v="107"/>
    <n v="1"/>
    <m/>
    <m/>
    <n v="6"/>
    <n v="6"/>
    <m/>
    <m/>
    <m/>
    <m/>
    <n v="6"/>
    <m/>
    <m/>
    <x v="107"/>
    <x v="0"/>
    <n v="1"/>
    <s v="NO"/>
    <m/>
  </r>
  <r>
    <m/>
    <x v="0"/>
    <m/>
    <x v="0"/>
    <x v="0"/>
    <x v="108"/>
    <n v="1"/>
    <m/>
    <m/>
    <n v="3"/>
    <n v="3"/>
    <m/>
    <m/>
    <m/>
    <m/>
    <n v="3"/>
    <m/>
    <m/>
    <x v="108"/>
    <x v="0"/>
    <n v="0.15"/>
    <s v="NO"/>
    <m/>
  </r>
  <r>
    <m/>
    <x v="0"/>
    <s v="KMSS"/>
    <x v="0"/>
    <x v="4"/>
    <x v="33"/>
    <n v="1"/>
    <m/>
    <m/>
    <n v="123"/>
    <n v="123"/>
    <m/>
    <m/>
    <m/>
    <m/>
    <n v="123"/>
    <m/>
    <m/>
    <x v="33"/>
    <x v="0"/>
    <n v="1.128440366972477"/>
    <s v="NO"/>
    <m/>
  </r>
  <r>
    <m/>
    <x v="0"/>
    <s v="Shalom"/>
    <x v="0"/>
    <x v="6"/>
    <x v="67"/>
    <n v="1"/>
    <m/>
    <m/>
    <n v="45"/>
    <n v="45"/>
    <m/>
    <m/>
    <m/>
    <m/>
    <n v="45"/>
    <m/>
    <m/>
    <x v="67"/>
    <x v="0"/>
    <n v="0.45454545454545453"/>
    <s v="NO"/>
    <m/>
  </r>
  <r>
    <m/>
    <x v="2"/>
    <s v="Shalom"/>
    <x v="0"/>
    <x v="6"/>
    <x v="28"/>
    <n v="1"/>
    <m/>
    <m/>
    <n v="100"/>
    <n v="100"/>
    <m/>
    <m/>
    <m/>
    <m/>
    <n v="100"/>
    <m/>
    <m/>
    <x v="28"/>
    <x v="0"/>
    <n v="2.5"/>
    <s v="NO"/>
    <m/>
  </r>
  <r>
    <m/>
    <x v="9"/>
    <m/>
    <x v="0"/>
    <x v="2"/>
    <x v="77"/>
    <n v="1"/>
    <n v="20"/>
    <n v="20"/>
    <m/>
    <m/>
    <m/>
    <m/>
    <m/>
    <m/>
    <n v="0"/>
    <m/>
    <m/>
    <x v="77"/>
    <x v="0"/>
    <n v="0"/>
    <s v="NO"/>
    <m/>
  </r>
  <r>
    <m/>
    <x v="0"/>
    <s v="Shalom"/>
    <x v="0"/>
    <x v="2"/>
    <x v="77"/>
    <n v="1"/>
    <m/>
    <m/>
    <n v="5"/>
    <n v="5"/>
    <m/>
    <m/>
    <m/>
    <m/>
    <n v="5"/>
    <m/>
    <m/>
    <x v="77"/>
    <x v="0"/>
    <n v="1"/>
    <s v="NO"/>
    <m/>
  </r>
  <r>
    <m/>
    <x v="0"/>
    <s v="KBC"/>
    <x v="1"/>
    <x v="8"/>
    <x v="105"/>
    <n v="1"/>
    <m/>
    <m/>
    <n v="20"/>
    <n v="20"/>
    <m/>
    <m/>
    <m/>
    <m/>
    <n v="20"/>
    <m/>
    <m/>
    <x v="105"/>
    <x v="0"/>
    <n v="0.26666666666666666"/>
    <s v="NO"/>
    <m/>
  </r>
  <r>
    <m/>
    <x v="2"/>
    <s v="KMSS"/>
    <x v="0"/>
    <x v="4"/>
    <x v="48"/>
    <n v="1"/>
    <m/>
    <m/>
    <n v="338"/>
    <n v="338"/>
    <m/>
    <m/>
    <m/>
    <m/>
    <n v="338"/>
    <m/>
    <m/>
    <x v="48"/>
    <x v="0"/>
    <n v="0.5273010920436817"/>
    <s v="NO"/>
    <m/>
  </r>
  <r>
    <m/>
    <x v="5"/>
    <m/>
    <x v="0"/>
    <x v="1"/>
    <x v="109"/>
    <n v="1"/>
    <m/>
    <m/>
    <n v="38"/>
    <n v="38"/>
    <m/>
    <m/>
    <m/>
    <m/>
    <n v="38"/>
    <m/>
    <m/>
    <x v="109"/>
    <x v="0"/>
    <n v="1"/>
    <s v="NO"/>
    <m/>
  </r>
  <r>
    <m/>
    <x v="0"/>
    <m/>
    <x v="0"/>
    <x v="1"/>
    <x v="109"/>
    <n v="1"/>
    <m/>
    <m/>
    <n v="5"/>
    <m/>
    <m/>
    <m/>
    <m/>
    <m/>
    <n v="0"/>
    <m/>
    <m/>
    <x v="109"/>
    <x v="0"/>
    <n v="0"/>
    <s v="NO"/>
    <m/>
  </r>
  <r>
    <m/>
    <x v="7"/>
    <s v="KMSS"/>
    <x v="0"/>
    <x v="0"/>
    <x v="34"/>
    <n v="1"/>
    <m/>
    <m/>
    <n v="20"/>
    <n v="20"/>
    <m/>
    <m/>
    <m/>
    <m/>
    <n v="20"/>
    <m/>
    <m/>
    <x v="34"/>
    <x v="0"/>
    <n v="9.7560975609756101E-2"/>
    <s v="NO"/>
    <m/>
  </r>
  <r>
    <m/>
    <x v="2"/>
    <s v="KBC"/>
    <x v="1"/>
    <x v="8"/>
    <x v="110"/>
    <n v="1"/>
    <m/>
    <m/>
    <n v="30"/>
    <n v="30"/>
    <m/>
    <m/>
    <m/>
    <m/>
    <n v="30"/>
    <m/>
    <m/>
    <x v="110"/>
    <x v="0"/>
    <n v="0.43478260869565216"/>
    <s v="NO"/>
    <m/>
  </r>
  <r>
    <m/>
    <x v="0"/>
    <m/>
    <x v="0"/>
    <x v="0"/>
    <x v="34"/>
    <n v="1"/>
    <m/>
    <m/>
    <n v="50"/>
    <n v="50"/>
    <m/>
    <m/>
    <m/>
    <m/>
    <n v="50"/>
    <m/>
    <m/>
    <x v="34"/>
    <x v="0"/>
    <n v="0.24390243902439024"/>
    <s v="NO"/>
    <m/>
  </r>
  <r>
    <m/>
    <x v="12"/>
    <s v="KMSS"/>
    <x v="0"/>
    <x v="0"/>
    <x v="111"/>
    <n v="1"/>
    <m/>
    <m/>
    <n v="60"/>
    <n v="60"/>
    <m/>
    <m/>
    <m/>
    <m/>
    <n v="60"/>
    <m/>
    <m/>
    <x v="111"/>
    <x v="0"/>
    <n v="0.60606060606060608"/>
    <s v="NO"/>
    <m/>
  </r>
  <r>
    <m/>
    <x v="0"/>
    <s v="KMSS"/>
    <x v="0"/>
    <x v="0"/>
    <x v="111"/>
    <n v="1"/>
    <m/>
    <m/>
    <n v="20"/>
    <n v="20"/>
    <m/>
    <m/>
    <m/>
    <m/>
    <n v="20"/>
    <m/>
    <m/>
    <x v="111"/>
    <x v="0"/>
    <n v="0.20202020202020202"/>
    <s v="NO"/>
    <m/>
  </r>
  <r>
    <m/>
    <x v="2"/>
    <s v="KMSS"/>
    <x v="0"/>
    <x v="4"/>
    <x v="44"/>
    <n v="1"/>
    <m/>
    <m/>
    <n v="700"/>
    <n v="700"/>
    <m/>
    <m/>
    <m/>
    <m/>
    <n v="700"/>
    <m/>
    <m/>
    <x v="44"/>
    <x v="0"/>
    <n v="0.42449969678593086"/>
    <s v="NO"/>
    <m/>
  </r>
  <r>
    <m/>
    <x v="0"/>
    <s v="KBSS"/>
    <x v="0"/>
    <x v="4"/>
    <x v="44"/>
    <n v="1"/>
    <m/>
    <m/>
    <n v="217"/>
    <n v="217"/>
    <m/>
    <m/>
    <m/>
    <m/>
    <n v="217"/>
    <m/>
    <m/>
    <x v="44"/>
    <x v="0"/>
    <n v="0.13159490600363857"/>
    <s v="NO"/>
    <m/>
  </r>
  <r>
    <m/>
    <x v="13"/>
    <s v="MDCG"/>
    <x v="1"/>
    <x v="5"/>
    <x v="112"/>
    <n v="1"/>
    <m/>
    <m/>
    <n v="121"/>
    <n v="121"/>
    <m/>
    <m/>
    <m/>
    <m/>
    <n v="121"/>
    <m/>
    <m/>
    <x v="112"/>
    <x v="0"/>
    <n v="1.375"/>
    <s v="NO"/>
    <m/>
  </r>
  <r>
    <m/>
    <x v="0"/>
    <s v="KBC"/>
    <x v="1"/>
    <x v="5"/>
    <x v="113"/>
    <n v="1"/>
    <m/>
    <m/>
    <n v="20"/>
    <n v="20"/>
    <m/>
    <m/>
    <m/>
    <m/>
    <n v="20"/>
    <m/>
    <m/>
    <x v="113"/>
    <x v="0"/>
    <n v="0.3125"/>
    <s v="NO"/>
    <m/>
  </r>
  <r>
    <m/>
    <x v="5"/>
    <m/>
    <x v="1"/>
    <x v="5"/>
    <x v="114"/>
    <n v="1"/>
    <m/>
    <m/>
    <n v="80"/>
    <n v="80"/>
    <m/>
    <m/>
    <m/>
    <m/>
    <n v="80"/>
    <m/>
    <m/>
    <x v="114"/>
    <x v="0"/>
    <n v="1.3333333333333333"/>
    <s v="NO"/>
    <m/>
  </r>
  <r>
    <m/>
    <x v="5"/>
    <m/>
    <x v="1"/>
    <x v="5"/>
    <x v="115"/>
    <n v="1"/>
    <m/>
    <m/>
    <n v="48"/>
    <n v="48"/>
    <m/>
    <m/>
    <m/>
    <m/>
    <n v="48"/>
    <m/>
    <m/>
    <x v="115"/>
    <x v="0"/>
    <n v="1.6"/>
    <s v="NO"/>
    <m/>
  </r>
  <r>
    <m/>
    <x v="0"/>
    <s v="KBC"/>
    <x v="1"/>
    <x v="12"/>
    <x v="51"/>
    <n v="1"/>
    <m/>
    <m/>
    <n v="10"/>
    <n v="10"/>
    <m/>
    <m/>
    <m/>
    <m/>
    <n v="10"/>
    <m/>
    <m/>
    <x v="51"/>
    <x v="0"/>
    <n v="0.33333333333333331"/>
    <s v="NO"/>
    <m/>
  </r>
  <r>
    <m/>
    <x v="0"/>
    <s v="KBC"/>
    <x v="1"/>
    <x v="14"/>
    <x v="116"/>
    <n v="1"/>
    <m/>
    <m/>
    <n v="10"/>
    <n v="10"/>
    <m/>
    <m/>
    <m/>
    <m/>
    <n v="10"/>
    <m/>
    <m/>
    <x v="116"/>
    <x v="0"/>
    <n v="1.25"/>
    <s v="NO"/>
    <m/>
  </r>
  <r>
    <m/>
    <x v="12"/>
    <s v="KBSS"/>
    <x v="0"/>
    <x v="3"/>
    <x v="78"/>
    <n v="1"/>
    <m/>
    <m/>
    <n v="100"/>
    <n v="100"/>
    <m/>
    <m/>
    <m/>
    <m/>
    <n v="0"/>
    <m/>
    <m/>
    <x v="78"/>
    <x v="1"/>
    <s v=""/>
    <s v="NO"/>
    <m/>
  </r>
  <r>
    <m/>
    <x v="10"/>
    <m/>
    <x v="0"/>
    <x v="3"/>
    <x v="21"/>
    <n v="1"/>
    <m/>
    <m/>
    <n v="26"/>
    <n v="26"/>
    <m/>
    <m/>
    <m/>
    <m/>
    <n v="26"/>
    <m/>
    <m/>
    <x v="21"/>
    <x v="0"/>
    <n v="4.7531992687385741E-2"/>
    <s v="NO"/>
    <m/>
  </r>
  <r>
    <m/>
    <x v="0"/>
    <s v="KBSS"/>
    <x v="0"/>
    <x v="3"/>
    <x v="21"/>
    <n v="1"/>
    <m/>
    <m/>
    <n v="350"/>
    <n v="350"/>
    <m/>
    <m/>
    <m/>
    <m/>
    <n v="350"/>
    <m/>
    <m/>
    <x v="21"/>
    <x v="0"/>
    <n v="0.63985374771480807"/>
    <s v="NO"/>
    <m/>
  </r>
  <r>
    <m/>
    <x v="0"/>
    <m/>
    <x v="0"/>
    <x v="3"/>
    <x v="21"/>
    <n v="1"/>
    <m/>
    <m/>
    <n v="150"/>
    <m/>
    <m/>
    <m/>
    <m/>
    <m/>
    <n v="0"/>
    <m/>
    <m/>
    <x v="21"/>
    <x v="0"/>
    <n v="0"/>
    <s v="NO"/>
    <m/>
  </r>
  <r>
    <m/>
    <x v="0"/>
    <s v="KBC"/>
    <x v="0"/>
    <x v="2"/>
    <x v="117"/>
    <n v="1"/>
    <m/>
    <m/>
    <n v="40"/>
    <n v="40"/>
    <m/>
    <m/>
    <m/>
    <m/>
    <n v="40"/>
    <m/>
    <m/>
    <x v="117"/>
    <x v="0"/>
    <n v="0.78431372549019607"/>
    <s v="NO"/>
    <m/>
  </r>
  <r>
    <m/>
    <x v="0"/>
    <s v="KBC"/>
    <x v="0"/>
    <x v="10"/>
    <x v="118"/>
    <n v="1"/>
    <m/>
    <m/>
    <n v="15"/>
    <n v="15"/>
    <m/>
    <m/>
    <m/>
    <m/>
    <n v="15"/>
    <m/>
    <m/>
    <x v="118"/>
    <x v="0"/>
    <n v="1.25"/>
    <s v="NO"/>
    <m/>
  </r>
  <r>
    <m/>
    <x v="6"/>
    <s v="KBC"/>
    <x v="0"/>
    <x v="15"/>
    <x v="119"/>
    <n v="1"/>
    <m/>
    <m/>
    <n v="10"/>
    <n v="10"/>
    <m/>
    <m/>
    <m/>
    <m/>
    <n v="10"/>
    <m/>
    <m/>
    <x v="119"/>
    <x v="0"/>
    <n v="0.52631578947368418"/>
    <s v="NO"/>
    <m/>
  </r>
  <r>
    <m/>
    <x v="0"/>
    <s v="KBC"/>
    <x v="0"/>
    <x v="15"/>
    <x v="119"/>
    <n v="1"/>
    <m/>
    <m/>
    <n v="20"/>
    <n v="20"/>
    <m/>
    <m/>
    <m/>
    <m/>
    <n v="20"/>
    <m/>
    <m/>
    <x v="119"/>
    <x v="0"/>
    <n v="1.0526315789473684"/>
    <s v="NO"/>
    <m/>
  </r>
  <r>
    <m/>
    <x v="0"/>
    <s v="KBC"/>
    <x v="0"/>
    <x v="2"/>
    <x v="82"/>
    <n v="1"/>
    <m/>
    <m/>
    <n v="15"/>
    <n v="15"/>
    <m/>
    <m/>
    <m/>
    <m/>
    <n v="0"/>
    <m/>
    <m/>
    <x v="82"/>
    <x v="1"/>
    <s v=""/>
    <s v="NO"/>
    <m/>
  </r>
  <r>
    <m/>
    <x v="0"/>
    <m/>
    <x v="0"/>
    <x v="0"/>
    <x v="46"/>
    <n v="1"/>
    <m/>
    <m/>
    <n v="5"/>
    <n v="5"/>
    <m/>
    <m/>
    <m/>
    <m/>
    <n v="5"/>
    <m/>
    <m/>
    <x v="46"/>
    <x v="0"/>
    <n v="5.8823529411764705E-2"/>
    <s v="NO"/>
    <m/>
  </r>
  <r>
    <m/>
    <x v="0"/>
    <s v="Shalom"/>
    <x v="0"/>
    <x v="7"/>
    <x v="13"/>
    <n v="1"/>
    <m/>
    <m/>
    <n v="33"/>
    <n v="33"/>
    <m/>
    <m/>
    <m/>
    <m/>
    <n v="33"/>
    <m/>
    <m/>
    <x v="13"/>
    <x v="0"/>
    <n v="0.23076923076923078"/>
    <s v="NO"/>
    <m/>
  </r>
  <r>
    <m/>
    <x v="5"/>
    <m/>
    <x v="0"/>
    <x v="1"/>
    <x v="20"/>
    <n v="1"/>
    <m/>
    <m/>
    <n v="12"/>
    <n v="12"/>
    <m/>
    <m/>
    <m/>
    <m/>
    <n v="12"/>
    <m/>
    <m/>
    <x v="20"/>
    <x v="0"/>
    <n v="0.10344827586206896"/>
    <s v="NO"/>
    <m/>
  </r>
  <r>
    <m/>
    <x v="0"/>
    <s v="Metta"/>
    <x v="0"/>
    <x v="1"/>
    <x v="20"/>
    <n v="1"/>
    <m/>
    <m/>
    <n v="30"/>
    <n v="30"/>
    <m/>
    <m/>
    <m/>
    <m/>
    <n v="30"/>
    <m/>
    <m/>
    <x v="20"/>
    <x v="0"/>
    <n v="0.25862068965517243"/>
    <s v="NO"/>
    <m/>
  </r>
  <r>
    <m/>
    <x v="0"/>
    <m/>
    <x v="0"/>
    <x v="1"/>
    <x v="20"/>
    <n v="1"/>
    <m/>
    <m/>
    <n v="15"/>
    <n v="15"/>
    <m/>
    <m/>
    <m/>
    <m/>
    <n v="15"/>
    <m/>
    <m/>
    <x v="20"/>
    <x v="0"/>
    <n v="0.12931034482758622"/>
    <s v="NO"/>
    <m/>
  </r>
  <r>
    <m/>
    <x v="0"/>
    <s v="Shalom"/>
    <x v="0"/>
    <x v="1"/>
    <x v="20"/>
    <n v="1"/>
    <m/>
    <m/>
    <n v="5"/>
    <n v="5"/>
    <m/>
    <m/>
    <m/>
    <m/>
    <n v="5"/>
    <m/>
    <m/>
    <x v="20"/>
    <x v="0"/>
    <n v="4.3103448275862072E-2"/>
    <s v="NO"/>
    <m/>
  </r>
  <r>
    <m/>
    <x v="0"/>
    <m/>
    <x v="0"/>
    <x v="4"/>
    <x v="98"/>
    <n v="1"/>
    <m/>
    <m/>
    <n v="12"/>
    <n v="12"/>
    <m/>
    <m/>
    <m/>
    <m/>
    <n v="12"/>
    <m/>
    <m/>
    <x v="98"/>
    <x v="0"/>
    <n v="0.3"/>
    <s v="NO"/>
    <m/>
  </r>
  <r>
    <m/>
    <x v="4"/>
    <s v="KBC"/>
    <x v="0"/>
    <x v="0"/>
    <x v="120"/>
    <n v="1"/>
    <m/>
    <m/>
    <n v="32"/>
    <n v="32"/>
    <m/>
    <m/>
    <m/>
    <m/>
    <n v="32"/>
    <m/>
    <m/>
    <x v="120"/>
    <x v="0"/>
    <n v="0.47761194029850745"/>
    <s v="NO"/>
    <m/>
  </r>
  <r>
    <m/>
    <x v="12"/>
    <m/>
    <x v="0"/>
    <x v="4"/>
    <x v="66"/>
    <n v="1"/>
    <m/>
    <m/>
    <n v="40"/>
    <n v="40"/>
    <m/>
    <m/>
    <m/>
    <m/>
    <n v="40"/>
    <m/>
    <m/>
    <x v="66"/>
    <x v="0"/>
    <n v="0.27027027027027029"/>
    <s v="NO"/>
    <m/>
  </r>
  <r>
    <m/>
    <x v="0"/>
    <m/>
    <x v="0"/>
    <x v="4"/>
    <x v="66"/>
    <n v="1"/>
    <m/>
    <m/>
    <n v="6"/>
    <n v="6"/>
    <m/>
    <m/>
    <m/>
    <m/>
    <n v="6"/>
    <m/>
    <m/>
    <x v="66"/>
    <x v="0"/>
    <n v="4.0540540540540543E-2"/>
    <s v="NO"/>
    <m/>
  </r>
  <r>
    <m/>
    <x v="0"/>
    <m/>
    <x v="0"/>
    <x v="4"/>
    <x v="24"/>
    <n v="1"/>
    <m/>
    <m/>
    <n v="5"/>
    <n v="57"/>
    <m/>
    <m/>
    <m/>
    <m/>
    <n v="57"/>
    <m/>
    <m/>
    <x v="24"/>
    <x v="0"/>
    <n v="0.29381443298969073"/>
    <s v="NO"/>
    <m/>
  </r>
  <r>
    <m/>
    <x v="12"/>
    <s v="KBSS"/>
    <x v="0"/>
    <x v="3"/>
    <x v="121"/>
    <n v="1"/>
    <m/>
    <m/>
    <n v="100"/>
    <n v="100"/>
    <m/>
    <m/>
    <m/>
    <m/>
    <n v="0"/>
    <m/>
    <m/>
    <x v="121"/>
    <x v="1"/>
    <s v=""/>
    <s v="NO"/>
    <m/>
  </r>
  <r>
    <m/>
    <x v="0"/>
    <s v="Shalom"/>
    <x v="0"/>
    <x v="6"/>
    <x v="122"/>
    <n v="1"/>
    <m/>
    <m/>
    <n v="25"/>
    <n v="25"/>
    <m/>
    <m/>
    <m/>
    <m/>
    <n v="25"/>
    <m/>
    <m/>
    <x v="122"/>
    <x v="0"/>
    <n v="0.92592592592592593"/>
    <s v="NO"/>
    <m/>
  </r>
  <r>
    <m/>
    <x v="2"/>
    <s v="KMSS"/>
    <x v="0"/>
    <x v="6"/>
    <x v="123"/>
    <n v="1"/>
    <m/>
    <m/>
    <n v="604"/>
    <n v="604"/>
    <m/>
    <m/>
    <m/>
    <m/>
    <n v="604"/>
    <m/>
    <m/>
    <x v="123"/>
    <x v="0"/>
    <n v="1.0324786324786326"/>
    <s v="NO"/>
    <m/>
  </r>
  <r>
    <m/>
    <x v="11"/>
    <m/>
    <x v="0"/>
    <x v="4"/>
    <x v="124"/>
    <n v="1"/>
    <m/>
    <m/>
    <n v="92"/>
    <n v="92"/>
    <m/>
    <m/>
    <m/>
    <m/>
    <n v="92"/>
    <m/>
    <m/>
    <x v="124"/>
    <x v="0"/>
    <n v="46"/>
    <s v="NO"/>
    <m/>
  </r>
  <r>
    <m/>
    <x v="0"/>
    <s v="Shalom"/>
    <x v="0"/>
    <x v="6"/>
    <x v="79"/>
    <n v="1"/>
    <m/>
    <m/>
    <n v="54"/>
    <n v="54"/>
    <m/>
    <m/>
    <m/>
    <m/>
    <n v="54"/>
    <m/>
    <m/>
    <x v="79"/>
    <x v="0"/>
    <n v="0.36241610738255031"/>
    <s v="NO"/>
    <m/>
  </r>
  <r>
    <m/>
    <x v="3"/>
    <m/>
    <x v="0"/>
    <x v="6"/>
    <x v="79"/>
    <n v="1"/>
    <m/>
    <m/>
    <n v="18"/>
    <n v="18"/>
    <m/>
    <m/>
    <m/>
    <m/>
    <n v="18"/>
    <m/>
    <m/>
    <x v="79"/>
    <x v="0"/>
    <n v="0.12080536912751678"/>
    <s v="NO"/>
    <m/>
  </r>
  <r>
    <m/>
    <x v="2"/>
    <s v="KMSS"/>
    <x v="0"/>
    <x v="6"/>
    <x v="125"/>
    <n v="1"/>
    <m/>
    <m/>
    <n v="12"/>
    <n v="12"/>
    <m/>
    <m/>
    <m/>
    <m/>
    <n v="12"/>
    <m/>
    <m/>
    <x v="125"/>
    <x v="0"/>
    <n v="5.3811659192825115E-2"/>
    <s v="NO"/>
    <m/>
  </r>
  <r>
    <m/>
    <x v="0"/>
    <s v="KMSS"/>
    <x v="0"/>
    <x v="6"/>
    <x v="125"/>
    <n v="1"/>
    <m/>
    <m/>
    <n v="78"/>
    <n v="78"/>
    <m/>
    <m/>
    <m/>
    <m/>
    <n v="78"/>
    <n v="138"/>
    <m/>
    <x v="125"/>
    <x v="0"/>
    <n v="0.34977578475336324"/>
    <s v="NO"/>
    <m/>
  </r>
  <r>
    <m/>
    <x v="0"/>
    <m/>
    <x v="0"/>
    <x v="6"/>
    <x v="125"/>
    <n v="1"/>
    <m/>
    <m/>
    <n v="120"/>
    <n v="120"/>
    <m/>
    <m/>
    <m/>
    <m/>
    <n v="120"/>
    <m/>
    <m/>
    <x v="125"/>
    <x v="0"/>
    <n v="0.53811659192825112"/>
    <s v="NO"/>
    <m/>
  </r>
  <r>
    <m/>
    <x v="0"/>
    <s v="KBC"/>
    <x v="0"/>
    <x v="0"/>
    <x v="120"/>
    <n v="1"/>
    <m/>
    <m/>
    <n v="20"/>
    <n v="20"/>
    <m/>
    <m/>
    <m/>
    <m/>
    <n v="20"/>
    <m/>
    <m/>
    <x v="120"/>
    <x v="0"/>
    <n v="0.29850746268656714"/>
    <s v="NO"/>
    <m/>
  </r>
  <r>
    <m/>
    <x v="3"/>
    <m/>
    <x v="0"/>
    <x v="6"/>
    <x v="36"/>
    <n v="1"/>
    <m/>
    <m/>
    <n v="10"/>
    <n v="10"/>
    <m/>
    <m/>
    <m/>
    <m/>
    <n v="10"/>
    <m/>
    <m/>
    <x v="36"/>
    <x v="0"/>
    <n v="0.22222222222222221"/>
    <s v="NO"/>
    <m/>
  </r>
  <r>
    <m/>
    <x v="0"/>
    <s v="KBC"/>
    <x v="0"/>
    <x v="6"/>
    <x v="30"/>
    <n v="1"/>
    <m/>
    <m/>
    <n v="24"/>
    <n v="24"/>
    <m/>
    <m/>
    <m/>
    <m/>
    <n v="24"/>
    <m/>
    <m/>
    <x v="30"/>
    <x v="0"/>
    <n v="0.13793103448275862"/>
    <s v="NO"/>
    <m/>
  </r>
  <r>
    <m/>
    <x v="2"/>
    <m/>
    <x v="0"/>
    <x v="3"/>
    <x v="37"/>
    <n v="1"/>
    <m/>
    <m/>
    <n v="144"/>
    <n v="144"/>
    <m/>
    <m/>
    <m/>
    <m/>
    <n v="144"/>
    <m/>
    <m/>
    <x v="37"/>
    <x v="0"/>
    <n v="0.37017994858611825"/>
    <s v="NO"/>
    <m/>
  </r>
  <r>
    <m/>
    <x v="14"/>
    <m/>
    <x v="0"/>
    <x v="3"/>
    <x v="126"/>
    <n v="1"/>
    <m/>
    <m/>
    <n v="20"/>
    <n v="20"/>
    <m/>
    <m/>
    <m/>
    <m/>
    <n v="20"/>
    <m/>
    <m/>
    <x v="126"/>
    <x v="0"/>
    <n v="0.11976047904191617"/>
    <s v="NO"/>
    <m/>
  </r>
  <r>
    <m/>
    <x v="11"/>
    <m/>
    <x v="0"/>
    <x v="3"/>
    <x v="126"/>
    <n v="1"/>
    <m/>
    <m/>
    <n v="30"/>
    <n v="30"/>
    <m/>
    <m/>
    <m/>
    <m/>
    <n v="30"/>
    <m/>
    <m/>
    <x v="126"/>
    <x v="0"/>
    <n v="0.17964071856287425"/>
    <s v="NO"/>
    <m/>
  </r>
  <r>
    <m/>
    <x v="5"/>
    <m/>
    <x v="0"/>
    <x v="4"/>
    <x v="68"/>
    <n v="1"/>
    <m/>
    <m/>
    <n v="18"/>
    <n v="18"/>
    <m/>
    <m/>
    <m/>
    <m/>
    <n v="18"/>
    <m/>
    <m/>
    <x v="68"/>
    <x v="0"/>
    <n v="6.7924528301886791E-2"/>
    <s v="NO"/>
    <m/>
  </r>
  <r>
    <m/>
    <x v="0"/>
    <m/>
    <x v="0"/>
    <x v="4"/>
    <x v="68"/>
    <n v="1"/>
    <m/>
    <m/>
    <n v="55"/>
    <n v="55"/>
    <m/>
    <m/>
    <m/>
    <m/>
    <n v="55"/>
    <m/>
    <m/>
    <x v="68"/>
    <x v="0"/>
    <n v="0.20754716981132076"/>
    <s v="NO"/>
    <m/>
  </r>
  <r>
    <m/>
    <x v="0"/>
    <m/>
    <x v="0"/>
    <x v="0"/>
    <x v="101"/>
    <n v="1"/>
    <m/>
    <m/>
    <n v="20"/>
    <n v="20"/>
    <m/>
    <m/>
    <m/>
    <m/>
    <n v="20"/>
    <m/>
    <m/>
    <x v="101"/>
    <x v="0"/>
    <n v="0.19801980198019803"/>
    <s v="NO"/>
    <m/>
  </r>
  <r>
    <m/>
    <x v="5"/>
    <m/>
    <x v="0"/>
    <x v="3"/>
    <x v="102"/>
    <n v="1"/>
    <m/>
    <m/>
    <n v="15"/>
    <n v="15"/>
    <m/>
    <m/>
    <m/>
    <m/>
    <n v="15"/>
    <m/>
    <m/>
    <x v="102"/>
    <x v="0"/>
    <n v="0.14018691588785046"/>
    <s v="NO"/>
    <m/>
  </r>
  <r>
    <m/>
    <x v="7"/>
    <s v="KBC"/>
    <x v="0"/>
    <x v="6"/>
    <x v="38"/>
    <n v="1"/>
    <m/>
    <m/>
    <n v="8"/>
    <n v="8"/>
    <m/>
    <m/>
    <m/>
    <m/>
    <n v="8"/>
    <m/>
    <m/>
    <x v="38"/>
    <x v="0"/>
    <n v="0.125"/>
    <s v="NO"/>
    <m/>
  </r>
  <r>
    <m/>
    <x v="0"/>
    <s v="KBSS"/>
    <x v="0"/>
    <x v="3"/>
    <x v="22"/>
    <n v="1"/>
    <m/>
    <m/>
    <n v="200"/>
    <n v="200"/>
    <m/>
    <m/>
    <m/>
    <m/>
    <n v="200"/>
    <m/>
    <m/>
    <x v="22"/>
    <x v="0"/>
    <n v="0.41666666666666669"/>
    <s v="NO"/>
    <m/>
  </r>
  <r>
    <m/>
    <x v="5"/>
    <m/>
    <x v="0"/>
    <x v="4"/>
    <x v="127"/>
    <n v="1"/>
    <m/>
    <m/>
    <n v="6"/>
    <n v="6"/>
    <m/>
    <m/>
    <m/>
    <m/>
    <n v="0"/>
    <m/>
    <m/>
    <x v="127"/>
    <x v="1"/>
    <s v=""/>
    <s v="NO"/>
    <m/>
  </r>
  <r>
    <m/>
    <x v="0"/>
    <s v="Shalom"/>
    <x v="0"/>
    <x v="4"/>
    <x v="127"/>
    <n v="1"/>
    <m/>
    <m/>
    <m/>
    <m/>
    <m/>
    <m/>
    <m/>
    <m/>
    <n v="0"/>
    <n v="5"/>
    <m/>
    <x v="127"/>
    <x v="1"/>
    <s v=""/>
    <s v="NO"/>
    <m/>
  </r>
  <r>
    <m/>
    <x v="0"/>
    <s v="KBC"/>
    <x v="0"/>
    <x v="6"/>
    <x v="38"/>
    <n v="1"/>
    <m/>
    <m/>
    <n v="10"/>
    <n v="10"/>
    <m/>
    <m/>
    <m/>
    <m/>
    <n v="10"/>
    <m/>
    <m/>
    <x v="38"/>
    <x v="0"/>
    <n v="0.15625"/>
    <s v="NO"/>
    <m/>
  </r>
  <r>
    <m/>
    <x v="0"/>
    <m/>
    <x v="0"/>
    <x v="3"/>
    <x v="69"/>
    <n v="1"/>
    <m/>
    <m/>
    <n v="41"/>
    <n v="10"/>
    <m/>
    <m/>
    <m/>
    <m/>
    <n v="10"/>
    <m/>
    <m/>
    <x v="69"/>
    <x v="0"/>
    <n v="5.128205128205128E-2"/>
    <s v="NO"/>
    <m/>
  </r>
  <r>
    <m/>
    <x v="7"/>
    <s v="CC"/>
    <x v="0"/>
    <x v="2"/>
    <x v="128"/>
    <n v="1"/>
    <m/>
    <m/>
    <n v="10"/>
    <n v="10"/>
    <m/>
    <m/>
    <m/>
    <m/>
    <n v="0"/>
    <m/>
    <m/>
    <x v="128"/>
    <x v="1"/>
    <s v=""/>
    <s v="NO"/>
    <m/>
  </r>
  <r>
    <m/>
    <x v="0"/>
    <s v="Shalom"/>
    <x v="0"/>
    <x v="2"/>
    <x v="128"/>
    <n v="1"/>
    <m/>
    <m/>
    <n v="10"/>
    <n v="10"/>
    <m/>
    <m/>
    <m/>
    <m/>
    <n v="0"/>
    <m/>
    <m/>
    <x v="128"/>
    <x v="1"/>
    <s v=""/>
    <s v="NO"/>
    <m/>
  </r>
  <r>
    <m/>
    <x v="0"/>
    <s v="Shalom"/>
    <x v="0"/>
    <x v="0"/>
    <x v="23"/>
    <n v="1"/>
    <m/>
    <m/>
    <n v="27"/>
    <n v="27"/>
    <m/>
    <m/>
    <m/>
    <m/>
    <n v="27"/>
    <m/>
    <m/>
    <x v="23"/>
    <x v="0"/>
    <n v="1.2857142857142858"/>
    <s v="NO"/>
    <m/>
  </r>
  <r>
    <m/>
    <x v="0"/>
    <s v="Shalom"/>
    <x v="0"/>
    <x v="0"/>
    <x v="11"/>
    <n v="1"/>
    <m/>
    <m/>
    <n v="4"/>
    <n v="4"/>
    <m/>
    <m/>
    <m/>
    <m/>
    <n v="4"/>
    <m/>
    <m/>
    <x v="11"/>
    <x v="0"/>
    <n v="0.2857142857142857"/>
    <s v="NO"/>
    <m/>
  </r>
  <r>
    <m/>
    <x v="0"/>
    <s v="Shalom"/>
    <x v="0"/>
    <x v="2"/>
    <x v="81"/>
    <n v="1"/>
    <m/>
    <m/>
    <n v="5"/>
    <n v="5"/>
    <m/>
    <m/>
    <m/>
    <m/>
    <n v="5"/>
    <m/>
    <m/>
    <x v="81"/>
    <x v="0"/>
    <n v="1.25"/>
    <s v="NO"/>
    <m/>
  </r>
  <r>
    <m/>
    <x v="13"/>
    <s v="MDCG"/>
    <x v="1"/>
    <x v="5"/>
    <x v="129"/>
    <n v="1"/>
    <m/>
    <m/>
    <n v="63"/>
    <n v="63"/>
    <m/>
    <m/>
    <m/>
    <m/>
    <n v="63"/>
    <m/>
    <m/>
    <x v="129"/>
    <x v="0"/>
    <n v="0.91304347826086951"/>
    <s v="NO"/>
    <m/>
  </r>
  <r>
    <m/>
    <x v="7"/>
    <s v="Metta"/>
    <x v="0"/>
    <x v="4"/>
    <x v="72"/>
    <n v="1"/>
    <m/>
    <m/>
    <n v="32"/>
    <n v="32"/>
    <m/>
    <m/>
    <m/>
    <m/>
    <n v="32"/>
    <m/>
    <m/>
    <x v="72"/>
    <x v="0"/>
    <n v="8.2687338501291993E-2"/>
    <s v="NO"/>
    <m/>
  </r>
  <r>
    <m/>
    <x v="5"/>
    <m/>
    <x v="0"/>
    <x v="4"/>
    <x v="72"/>
    <n v="1"/>
    <m/>
    <m/>
    <n v="144"/>
    <n v="144"/>
    <m/>
    <m/>
    <m/>
    <m/>
    <n v="144"/>
    <m/>
    <m/>
    <x v="72"/>
    <x v="0"/>
    <n v="0.37209302325581395"/>
    <s v="NO"/>
    <m/>
  </r>
  <r>
    <m/>
    <x v="12"/>
    <s v="KBSS"/>
    <x v="0"/>
    <x v="4"/>
    <x v="130"/>
    <n v="1"/>
    <m/>
    <m/>
    <n v="92"/>
    <n v="92"/>
    <m/>
    <m/>
    <m/>
    <m/>
    <n v="0"/>
    <m/>
    <m/>
    <x v="130"/>
    <x v="1"/>
    <s v=""/>
    <s v="NO"/>
    <m/>
  </r>
  <r>
    <m/>
    <x v="12"/>
    <s v="KBSS"/>
    <x v="0"/>
    <x v="3"/>
    <x v="131"/>
    <n v="1"/>
    <m/>
    <m/>
    <n v="24"/>
    <n v="24"/>
    <m/>
    <m/>
    <m/>
    <m/>
    <n v="0"/>
    <m/>
    <m/>
    <x v="131"/>
    <x v="1"/>
    <s v=""/>
    <s v="NO"/>
    <m/>
  </r>
  <r>
    <m/>
    <x v="5"/>
    <m/>
    <x v="1"/>
    <x v="11"/>
    <x v="132"/>
    <n v="1"/>
    <m/>
    <m/>
    <n v="20"/>
    <n v="20"/>
    <m/>
    <m/>
    <m/>
    <m/>
    <n v="20"/>
    <m/>
    <m/>
    <x v="132"/>
    <x v="0"/>
    <n v="0.8"/>
    <s v="NO"/>
    <m/>
  </r>
  <r>
    <m/>
    <x v="0"/>
    <s v="KMSS-LSO"/>
    <x v="1"/>
    <x v="11"/>
    <x v="132"/>
    <n v="1"/>
    <m/>
    <m/>
    <n v="10"/>
    <n v="10"/>
    <m/>
    <m/>
    <m/>
    <m/>
    <n v="10"/>
    <m/>
    <m/>
    <x v="132"/>
    <x v="0"/>
    <n v="0.4"/>
    <s v="NO"/>
    <m/>
  </r>
  <r>
    <m/>
    <x v="5"/>
    <m/>
    <x v="1"/>
    <x v="8"/>
    <x v="49"/>
    <n v="1"/>
    <m/>
    <m/>
    <n v="24"/>
    <n v="12"/>
    <m/>
    <m/>
    <m/>
    <m/>
    <n v="12"/>
    <m/>
    <m/>
    <x v="49"/>
    <x v="0"/>
    <n v="0.32432432432432434"/>
    <s v="NO"/>
    <m/>
  </r>
  <r>
    <m/>
    <x v="0"/>
    <s v="KBC"/>
    <x v="0"/>
    <x v="0"/>
    <x v="56"/>
    <n v="1"/>
    <m/>
    <m/>
    <n v="10"/>
    <n v="10"/>
    <m/>
    <m/>
    <m/>
    <m/>
    <n v="10"/>
    <m/>
    <m/>
    <x v="56"/>
    <x v="0"/>
    <n v="0.1111111111111111"/>
    <s v="NO"/>
    <m/>
  </r>
  <r>
    <m/>
    <x v="0"/>
    <s v="Metta"/>
    <x v="1"/>
    <x v="5"/>
    <x v="113"/>
    <n v="1"/>
    <m/>
    <m/>
    <n v="6"/>
    <n v="6"/>
    <m/>
    <m/>
    <m/>
    <m/>
    <n v="6"/>
    <m/>
    <m/>
    <x v="113"/>
    <x v="0"/>
    <n v="9.375E-2"/>
    <s v="NO"/>
    <m/>
  </r>
  <r>
    <m/>
    <x v="0"/>
    <s v="KBSS"/>
    <x v="0"/>
    <x v="3"/>
    <x v="133"/>
    <n v="1"/>
    <m/>
    <m/>
    <n v="36"/>
    <n v="36"/>
    <m/>
    <m/>
    <m/>
    <m/>
    <n v="0"/>
    <m/>
    <m/>
    <x v="133"/>
    <x v="1"/>
    <s v=""/>
    <s v="NO"/>
    <m/>
  </r>
  <r>
    <m/>
    <x v="9"/>
    <m/>
    <x v="0"/>
    <x v="2"/>
    <x v="63"/>
    <n v="1"/>
    <n v="8"/>
    <n v="8"/>
    <m/>
    <m/>
    <m/>
    <m/>
    <m/>
    <m/>
    <n v="0"/>
    <m/>
    <m/>
    <x v="63"/>
    <x v="0"/>
    <n v="0"/>
    <s v="NO"/>
    <m/>
  </r>
  <r>
    <m/>
    <x v="5"/>
    <m/>
    <x v="1"/>
    <x v="8"/>
    <x v="52"/>
    <n v="1"/>
    <m/>
    <m/>
    <n v="50"/>
    <n v="36"/>
    <m/>
    <m/>
    <m/>
    <m/>
    <n v="36"/>
    <m/>
    <m/>
    <x v="52"/>
    <x v="0"/>
    <n v="0.2975206611570248"/>
    <s v="NO"/>
    <m/>
  </r>
  <r>
    <m/>
    <x v="9"/>
    <m/>
    <x v="0"/>
    <x v="0"/>
    <x v="9"/>
    <n v="1"/>
    <n v="1"/>
    <n v="1"/>
    <m/>
    <m/>
    <m/>
    <m/>
    <m/>
    <m/>
    <n v="0"/>
    <m/>
    <m/>
    <x v="9"/>
    <x v="0"/>
    <n v="0"/>
    <s v="NO"/>
    <m/>
  </r>
  <r>
    <m/>
    <x v="2"/>
    <s v="KMSS"/>
    <x v="0"/>
    <x v="0"/>
    <x v="9"/>
    <n v="1"/>
    <m/>
    <m/>
    <n v="46"/>
    <n v="46"/>
    <m/>
    <m/>
    <m/>
    <m/>
    <n v="46"/>
    <m/>
    <m/>
    <x v="9"/>
    <x v="0"/>
    <n v="0.67647058823529416"/>
    <s v="NO"/>
    <m/>
  </r>
  <r>
    <m/>
    <x v="0"/>
    <s v="KMSS"/>
    <x v="0"/>
    <x v="0"/>
    <x v="9"/>
    <n v="1"/>
    <m/>
    <m/>
    <n v="21"/>
    <n v="21"/>
    <m/>
    <m/>
    <m/>
    <m/>
    <n v="21"/>
    <n v="21"/>
    <m/>
    <x v="9"/>
    <x v="0"/>
    <n v="0.30882352941176472"/>
    <s v="NO"/>
    <m/>
  </r>
  <r>
    <m/>
    <x v="0"/>
    <m/>
    <x v="0"/>
    <x v="1"/>
    <x v="134"/>
    <n v="1"/>
    <m/>
    <m/>
    <n v="10"/>
    <n v="10"/>
    <m/>
    <m/>
    <m/>
    <m/>
    <n v="10"/>
    <m/>
    <m/>
    <x v="134"/>
    <x v="0"/>
    <n v="0.47619047619047616"/>
    <s v="NO"/>
    <m/>
  </r>
  <r>
    <m/>
    <x v="0"/>
    <s v="Shalom"/>
    <x v="0"/>
    <x v="2"/>
    <x v="117"/>
    <n v="1"/>
    <m/>
    <m/>
    <n v="15"/>
    <n v="15"/>
    <m/>
    <m/>
    <m/>
    <m/>
    <n v="15"/>
    <m/>
    <m/>
    <x v="117"/>
    <x v="0"/>
    <n v="0.29411764705882354"/>
    <s v="NO"/>
    <m/>
  </r>
  <r>
    <m/>
    <x v="0"/>
    <s v="KBC"/>
    <x v="0"/>
    <x v="6"/>
    <x v="31"/>
    <n v="1"/>
    <m/>
    <m/>
    <n v="170"/>
    <n v="170"/>
    <m/>
    <m/>
    <m/>
    <m/>
    <n v="170"/>
    <m/>
    <m/>
    <x v="31"/>
    <x v="0"/>
    <n v="0.93406593406593408"/>
    <s v="NO"/>
    <m/>
  </r>
  <r>
    <m/>
    <x v="0"/>
    <s v="KBC"/>
    <x v="0"/>
    <x v="0"/>
    <x v="57"/>
    <n v="1"/>
    <m/>
    <m/>
    <n v="50"/>
    <n v="50"/>
    <m/>
    <m/>
    <m/>
    <m/>
    <n v="50"/>
    <m/>
    <m/>
    <x v="57"/>
    <x v="0"/>
    <n v="0.5617977528089888"/>
    <s v="NO"/>
    <m/>
  </r>
  <r>
    <m/>
    <x v="9"/>
    <m/>
    <x v="0"/>
    <x v="2"/>
    <x v="82"/>
    <n v="1"/>
    <n v="50"/>
    <n v="50"/>
    <m/>
    <m/>
    <m/>
    <m/>
    <m/>
    <m/>
    <n v="0"/>
    <m/>
    <m/>
    <x v="82"/>
    <x v="1"/>
    <s v=""/>
    <s v="NO"/>
    <m/>
  </r>
  <r>
    <m/>
    <x v="0"/>
    <s v="Shalom"/>
    <x v="0"/>
    <x v="2"/>
    <x v="82"/>
    <n v="1"/>
    <m/>
    <m/>
    <n v="20"/>
    <n v="20"/>
    <m/>
    <m/>
    <m/>
    <m/>
    <n v="0"/>
    <m/>
    <m/>
    <x v="82"/>
    <x v="1"/>
    <s v=""/>
    <s v="NO"/>
    <m/>
  </r>
  <r>
    <m/>
    <x v="12"/>
    <s v="KBSS"/>
    <x v="0"/>
    <x v="4"/>
    <x v="42"/>
    <n v="1"/>
    <m/>
    <m/>
    <n v="100"/>
    <n v="100"/>
    <m/>
    <m/>
    <m/>
    <m/>
    <n v="100"/>
    <m/>
    <m/>
    <x v="42"/>
    <x v="0"/>
    <n v="0.28169014084507044"/>
    <s v="NO"/>
    <m/>
  </r>
  <r>
    <m/>
    <x v="15"/>
    <s v="KBSS"/>
    <x v="0"/>
    <x v="4"/>
    <x v="42"/>
    <n v="1"/>
    <m/>
    <m/>
    <n v="350"/>
    <n v="350"/>
    <m/>
    <m/>
    <m/>
    <m/>
    <n v="350"/>
    <m/>
    <m/>
    <x v="42"/>
    <x v="0"/>
    <n v="0.9859154929577465"/>
    <s v="NO"/>
    <m/>
  </r>
  <r>
    <m/>
    <x v="5"/>
    <m/>
    <x v="0"/>
    <x v="4"/>
    <x v="83"/>
    <n v="1"/>
    <m/>
    <m/>
    <n v="18"/>
    <n v="18"/>
    <m/>
    <m/>
    <m/>
    <m/>
    <n v="0"/>
    <m/>
    <m/>
    <x v="83"/>
    <x v="1"/>
    <s v=""/>
    <s v="NO"/>
    <m/>
  </r>
  <r>
    <m/>
    <x v="0"/>
    <m/>
    <x v="0"/>
    <x v="4"/>
    <x v="83"/>
    <n v="1"/>
    <m/>
    <m/>
    <n v="9"/>
    <n v="9"/>
    <m/>
    <m/>
    <m/>
    <m/>
    <n v="0"/>
    <m/>
    <m/>
    <x v="83"/>
    <x v="1"/>
    <s v=""/>
    <s v="NO"/>
    <m/>
  </r>
  <r>
    <m/>
    <x v="0"/>
    <s v="KBC"/>
    <x v="0"/>
    <x v="0"/>
    <x v="39"/>
    <n v="1"/>
    <m/>
    <m/>
    <n v="60"/>
    <n v="60"/>
    <m/>
    <m/>
    <m/>
    <m/>
    <n v="60"/>
    <m/>
    <m/>
    <x v="39"/>
    <x v="0"/>
    <n v="1.1538461538461537"/>
    <s v="NO"/>
    <m/>
  </r>
  <r>
    <m/>
    <x v="0"/>
    <m/>
    <x v="0"/>
    <x v="4"/>
    <x v="25"/>
    <n v="1"/>
    <m/>
    <m/>
    <n v="45"/>
    <n v="45"/>
    <m/>
    <m/>
    <m/>
    <m/>
    <n v="45"/>
    <m/>
    <m/>
    <x v="25"/>
    <x v="0"/>
    <n v="0.91836734693877553"/>
    <s v="NO"/>
    <m/>
  </r>
  <r>
    <m/>
    <x v="12"/>
    <s v="KMSS"/>
    <x v="0"/>
    <x v="0"/>
    <x v="53"/>
    <n v="1"/>
    <m/>
    <m/>
    <n v="30"/>
    <n v="30"/>
    <m/>
    <m/>
    <m/>
    <m/>
    <n v="30"/>
    <m/>
    <m/>
    <x v="53"/>
    <x v="0"/>
    <n v="0.65217391304347827"/>
    <s v="NO"/>
    <m/>
  </r>
  <r>
    <m/>
    <x v="12"/>
    <s v="IRRC"/>
    <x v="0"/>
    <x v="4"/>
    <x v="5"/>
    <n v="1"/>
    <m/>
    <m/>
    <n v="447"/>
    <n v="447"/>
    <m/>
    <m/>
    <m/>
    <m/>
    <n v="447"/>
    <m/>
    <m/>
    <x v="5"/>
    <x v="0"/>
    <n v="0.74624373956594325"/>
    <s v="NO"/>
    <m/>
  </r>
  <r>
    <m/>
    <x v="0"/>
    <s v="KBSS"/>
    <x v="0"/>
    <x v="4"/>
    <x v="5"/>
    <n v="1"/>
    <m/>
    <m/>
    <n v="130"/>
    <n v="130"/>
    <m/>
    <m/>
    <m/>
    <m/>
    <n v="130"/>
    <m/>
    <m/>
    <x v="5"/>
    <x v="0"/>
    <n v="0.21702838063439064"/>
    <s v="NO"/>
    <m/>
  </r>
  <r>
    <m/>
    <x v="5"/>
    <m/>
    <x v="0"/>
    <x v="1"/>
    <x v="73"/>
    <n v="1"/>
    <m/>
    <m/>
    <n v="36"/>
    <n v="36"/>
    <m/>
    <m/>
    <m/>
    <m/>
    <n v="36"/>
    <m/>
    <m/>
    <x v="73"/>
    <x v="0"/>
    <n v="0.23529411764705882"/>
    <s v="NO"/>
    <m/>
  </r>
  <r>
    <m/>
    <x v="0"/>
    <m/>
    <x v="0"/>
    <x v="1"/>
    <x v="73"/>
    <n v="1"/>
    <m/>
    <m/>
    <n v="30"/>
    <n v="30"/>
    <m/>
    <m/>
    <m/>
    <m/>
    <n v="30"/>
    <m/>
    <m/>
    <x v="73"/>
    <x v="0"/>
    <n v="0.19607843137254902"/>
    <s v="NO"/>
    <m/>
  </r>
  <r>
    <m/>
    <x v="9"/>
    <m/>
    <x v="0"/>
    <x v="6"/>
    <x v="43"/>
    <n v="1"/>
    <n v="207"/>
    <n v="207"/>
    <m/>
    <m/>
    <m/>
    <m/>
    <m/>
    <m/>
    <n v="0"/>
    <m/>
    <m/>
    <x v="43"/>
    <x v="0"/>
    <n v="0"/>
    <s v="NO"/>
    <m/>
  </r>
  <r>
    <m/>
    <x v="0"/>
    <s v="Shalom"/>
    <x v="0"/>
    <x v="6"/>
    <x v="12"/>
    <n v="1"/>
    <m/>
    <m/>
    <n v="45"/>
    <n v="45"/>
    <m/>
    <m/>
    <m/>
    <m/>
    <n v="45"/>
    <n v="10"/>
    <m/>
    <x v="12"/>
    <x v="0"/>
    <n v="0.49450549450549453"/>
    <s v="NO"/>
    <m/>
  </r>
  <r>
    <m/>
    <x v="0"/>
    <m/>
    <x v="0"/>
    <x v="6"/>
    <x v="12"/>
    <n v="1"/>
    <m/>
    <m/>
    <n v="5"/>
    <n v="5"/>
    <m/>
    <m/>
    <m/>
    <m/>
    <n v="5"/>
    <m/>
    <m/>
    <x v="12"/>
    <x v="0"/>
    <n v="5.4945054945054944E-2"/>
    <s v="NO"/>
    <m/>
  </r>
  <r>
    <m/>
    <x v="3"/>
    <m/>
    <x v="0"/>
    <x v="6"/>
    <x v="12"/>
    <n v="1"/>
    <m/>
    <m/>
    <n v="10"/>
    <n v="10"/>
    <m/>
    <m/>
    <m/>
    <m/>
    <n v="10"/>
    <m/>
    <m/>
    <x v="12"/>
    <x v="0"/>
    <n v="0.10989010989010989"/>
    <s v="NO"/>
    <m/>
  </r>
  <r>
    <m/>
    <x v="0"/>
    <s v="Shalom"/>
    <x v="0"/>
    <x v="6"/>
    <x v="12"/>
    <n v="1"/>
    <m/>
    <m/>
    <n v="5"/>
    <n v="5"/>
    <m/>
    <m/>
    <m/>
    <m/>
    <n v="5"/>
    <m/>
    <m/>
    <x v="12"/>
    <x v="0"/>
    <n v="5.4945054945054944E-2"/>
    <s v="NO"/>
    <m/>
  </r>
  <r>
    <m/>
    <x v="0"/>
    <s v="KBC"/>
    <x v="0"/>
    <x v="0"/>
    <x v="40"/>
    <n v="1"/>
    <m/>
    <m/>
    <n v="20"/>
    <n v="20"/>
    <m/>
    <m/>
    <m/>
    <m/>
    <n v="20"/>
    <m/>
    <m/>
    <x v="40"/>
    <x v="0"/>
    <n v="0.625"/>
    <s v="NO"/>
    <m/>
  </r>
  <r>
    <m/>
    <x v="0"/>
    <m/>
    <x v="0"/>
    <x v="6"/>
    <x v="38"/>
    <n v="1"/>
    <m/>
    <m/>
    <n v="20"/>
    <n v="20"/>
    <m/>
    <m/>
    <m/>
    <m/>
    <n v="20"/>
    <m/>
    <m/>
    <x v="38"/>
    <x v="0"/>
    <n v="0.3125"/>
    <s v="NO"/>
    <m/>
  </r>
  <r>
    <m/>
    <x v="0"/>
    <s v="Shalom"/>
    <x v="0"/>
    <x v="6"/>
    <x v="71"/>
    <n v="1"/>
    <m/>
    <m/>
    <n v="23"/>
    <n v="23"/>
    <m/>
    <m/>
    <m/>
    <m/>
    <n v="23"/>
    <m/>
    <m/>
    <x v="71"/>
    <x v="0"/>
    <n v="0.74193548387096775"/>
    <s v="NO"/>
    <m/>
  </r>
  <r>
    <m/>
    <x v="0"/>
    <s v="Shalom"/>
    <x v="0"/>
    <x v="6"/>
    <x v="71"/>
    <n v="1"/>
    <m/>
    <m/>
    <n v="3"/>
    <n v="3"/>
    <m/>
    <m/>
    <m/>
    <m/>
    <n v="3"/>
    <m/>
    <m/>
    <x v="71"/>
    <x v="0"/>
    <n v="9.6774193548387094E-2"/>
    <s v="NO"/>
    <m/>
  </r>
  <r>
    <m/>
    <x v="0"/>
    <s v="Shalom"/>
    <x v="0"/>
    <x v="6"/>
    <x v="135"/>
    <n v="1"/>
    <m/>
    <m/>
    <n v="100"/>
    <n v="100"/>
    <m/>
    <m/>
    <m/>
    <m/>
    <n v="100"/>
    <n v="15"/>
    <m/>
    <x v="135"/>
    <x v="0"/>
    <n v="1.1494252873563218"/>
    <s v="NO"/>
    <m/>
  </r>
  <r>
    <m/>
    <x v="9"/>
    <m/>
    <x v="0"/>
    <x v="2"/>
    <x v="84"/>
    <n v="1"/>
    <n v="9"/>
    <n v="9"/>
    <m/>
    <m/>
    <m/>
    <m/>
    <m/>
    <m/>
    <n v="0"/>
    <m/>
    <m/>
    <x v="84"/>
    <x v="0"/>
    <n v="0"/>
    <s v="NO"/>
    <m/>
  </r>
  <r>
    <m/>
    <x v="7"/>
    <m/>
    <x v="0"/>
    <x v="1"/>
    <x v="1"/>
    <n v="1"/>
    <m/>
    <m/>
    <n v="162"/>
    <n v="162"/>
    <m/>
    <m/>
    <m/>
    <m/>
    <n v="162"/>
    <m/>
    <m/>
    <x v="1"/>
    <x v="0"/>
    <n v="0.25878594249201275"/>
    <s v="NO"/>
    <m/>
  </r>
  <r>
    <m/>
    <x v="5"/>
    <m/>
    <x v="0"/>
    <x v="1"/>
    <x v="1"/>
    <n v="1"/>
    <m/>
    <m/>
    <n v="163"/>
    <n v="163"/>
    <m/>
    <m/>
    <m/>
    <m/>
    <n v="163"/>
    <m/>
    <m/>
    <x v="1"/>
    <x v="0"/>
    <n v="0.26038338658146964"/>
    <s v="NO"/>
    <m/>
  </r>
  <r>
    <m/>
    <x v="0"/>
    <m/>
    <x v="0"/>
    <x v="1"/>
    <x v="1"/>
    <n v="1"/>
    <m/>
    <m/>
    <n v="70"/>
    <n v="70"/>
    <m/>
    <m/>
    <m/>
    <m/>
    <n v="70"/>
    <m/>
    <m/>
    <x v="1"/>
    <x v="0"/>
    <n v="0.11182108626198083"/>
    <s v="NO"/>
    <m/>
  </r>
  <r>
    <m/>
    <x v="9"/>
    <m/>
    <x v="0"/>
    <x v="0"/>
    <x v="136"/>
    <n v="1"/>
    <n v="1"/>
    <n v="1"/>
    <m/>
    <m/>
    <m/>
    <m/>
    <m/>
    <m/>
    <n v="0"/>
    <m/>
    <m/>
    <x v="136"/>
    <x v="2"/>
    <s v=""/>
    <s v="NO"/>
    <m/>
  </r>
  <r>
    <m/>
    <x v="9"/>
    <m/>
    <x v="0"/>
    <x v="2"/>
    <x v="91"/>
    <n v="1"/>
    <n v="7"/>
    <n v="7"/>
    <m/>
    <m/>
    <m/>
    <m/>
    <m/>
    <m/>
    <n v="0"/>
    <m/>
    <m/>
    <x v="91"/>
    <x v="0"/>
    <n v="0"/>
    <s v="NO"/>
    <m/>
  </r>
  <r>
    <m/>
    <x v="0"/>
    <m/>
    <x v="0"/>
    <x v="4"/>
    <x v="26"/>
    <n v="1"/>
    <m/>
    <m/>
    <n v="40"/>
    <n v="40"/>
    <m/>
    <m/>
    <m/>
    <m/>
    <n v="40"/>
    <m/>
    <m/>
    <x v="26"/>
    <x v="0"/>
    <n v="0.97560975609756095"/>
    <s v="NO"/>
    <m/>
  </r>
  <r>
    <m/>
    <x v="7"/>
    <s v="Shalom"/>
    <x v="0"/>
    <x v="0"/>
    <x v="56"/>
    <n v="1"/>
    <m/>
    <m/>
    <n v="14"/>
    <n v="14"/>
    <m/>
    <m/>
    <m/>
    <m/>
    <n v="14"/>
    <m/>
    <m/>
    <x v="56"/>
    <x v="0"/>
    <n v="0.15555555555555556"/>
    <s v="NO"/>
    <m/>
  </r>
  <r>
    <m/>
    <x v="7"/>
    <s v="KBC"/>
    <x v="0"/>
    <x v="0"/>
    <x v="41"/>
    <n v="1"/>
    <m/>
    <m/>
    <n v="14"/>
    <n v="14"/>
    <m/>
    <m/>
    <m/>
    <m/>
    <n v="14"/>
    <m/>
    <m/>
    <x v="41"/>
    <x v="0"/>
    <n v="0.30434782608695654"/>
    <s v="NO"/>
    <m/>
  </r>
  <r>
    <m/>
    <x v="0"/>
    <m/>
    <x v="0"/>
    <x v="0"/>
    <x v="56"/>
    <n v="1"/>
    <m/>
    <m/>
    <n v="40"/>
    <n v="40"/>
    <m/>
    <m/>
    <m/>
    <m/>
    <n v="40"/>
    <m/>
    <m/>
    <x v="56"/>
    <x v="0"/>
    <n v="0.44444444444444442"/>
    <s v="NO"/>
    <m/>
  </r>
  <r>
    <m/>
    <x v="0"/>
    <s v="KBC"/>
    <x v="0"/>
    <x v="0"/>
    <x v="41"/>
    <n v="1"/>
    <m/>
    <m/>
    <n v="10"/>
    <n v="10"/>
    <m/>
    <m/>
    <m/>
    <m/>
    <n v="10"/>
    <m/>
    <m/>
    <x v="41"/>
    <x v="0"/>
    <n v="0.21739130434782608"/>
    <s v="NO"/>
    <m/>
  </r>
  <r>
    <m/>
    <x v="5"/>
    <m/>
    <x v="0"/>
    <x v="16"/>
    <x v="137"/>
    <n v="1"/>
    <m/>
    <m/>
    <n v="42"/>
    <n v="42"/>
    <m/>
    <m/>
    <m/>
    <m/>
    <n v="42"/>
    <m/>
    <m/>
    <x v="137"/>
    <x v="0"/>
    <n v="0.48837209302325579"/>
    <s v="NO"/>
    <m/>
  </r>
  <r>
    <m/>
    <x v="12"/>
    <s v="KBSS"/>
    <x v="0"/>
    <x v="16"/>
    <x v="138"/>
    <n v="1"/>
    <m/>
    <m/>
    <n v="36"/>
    <n v="36"/>
    <m/>
    <m/>
    <m/>
    <m/>
    <n v="36"/>
    <m/>
    <m/>
    <x v="138"/>
    <x v="0"/>
    <n v="1.125"/>
    <s v="NO"/>
    <m/>
  </r>
  <r>
    <m/>
    <x v="0"/>
    <s v="KBSS"/>
    <x v="0"/>
    <x v="16"/>
    <x v="138"/>
    <n v="1"/>
    <m/>
    <m/>
    <n v="10"/>
    <n v="10"/>
    <m/>
    <m/>
    <m/>
    <m/>
    <n v="10"/>
    <m/>
    <m/>
    <x v="138"/>
    <x v="0"/>
    <n v="0.3125"/>
    <s v="NO"/>
    <m/>
  </r>
  <r>
    <m/>
    <x v="0"/>
    <s v="KBC"/>
    <x v="0"/>
    <x v="0"/>
    <x v="41"/>
    <n v="1"/>
    <m/>
    <m/>
    <n v="8"/>
    <n v="8"/>
    <m/>
    <m/>
    <m/>
    <m/>
    <n v="8"/>
    <m/>
    <m/>
    <x v="41"/>
    <x v="0"/>
    <n v="0.17391304347826086"/>
    <s v="NO"/>
    <m/>
  </r>
  <r>
    <m/>
    <x v="12"/>
    <s v="KMSS"/>
    <x v="0"/>
    <x v="15"/>
    <x v="139"/>
    <n v="1"/>
    <m/>
    <m/>
    <n v="12"/>
    <n v="12"/>
    <m/>
    <m/>
    <m/>
    <m/>
    <n v="12"/>
    <m/>
    <m/>
    <x v="139"/>
    <x v="0"/>
    <n v="1"/>
    <s v="NO"/>
    <m/>
  </r>
  <r>
    <m/>
    <x v="0"/>
    <m/>
    <x v="0"/>
    <x v="1"/>
    <x v="85"/>
    <n v="1"/>
    <m/>
    <m/>
    <n v="40"/>
    <n v="40"/>
    <m/>
    <m/>
    <m/>
    <m/>
    <n v="40"/>
    <m/>
    <m/>
    <x v="85"/>
    <x v="0"/>
    <n v="1.9047619047619047"/>
    <s v="NO"/>
    <m/>
  </r>
  <r>
    <m/>
    <x v="0"/>
    <s v="KBC"/>
    <x v="0"/>
    <x v="6"/>
    <x v="140"/>
    <n v="1"/>
    <m/>
    <m/>
    <n v="10"/>
    <n v="10"/>
    <m/>
    <m/>
    <m/>
    <m/>
    <n v="0"/>
    <m/>
    <m/>
    <x v="140"/>
    <x v="1"/>
    <s v=""/>
    <s v="NO"/>
    <m/>
  </r>
  <r>
    <m/>
    <x v="16"/>
    <s v="Shalom"/>
    <x v="0"/>
    <x v="0"/>
    <x v="54"/>
    <n v="1"/>
    <m/>
    <m/>
    <n v="12"/>
    <n v="12"/>
    <m/>
    <m/>
    <m/>
    <m/>
    <n v="12"/>
    <m/>
    <m/>
    <x v="54"/>
    <x v="0"/>
    <n v="0.22222222222222221"/>
    <s v="NO"/>
    <m/>
  </r>
  <r>
    <m/>
    <x v="0"/>
    <s v="Shalom"/>
    <x v="0"/>
    <x v="0"/>
    <x v="54"/>
    <n v="1"/>
    <m/>
    <m/>
    <n v="40"/>
    <n v="40"/>
    <m/>
    <m/>
    <m/>
    <m/>
    <n v="40"/>
    <m/>
    <m/>
    <x v="54"/>
    <x v="0"/>
    <n v="0.7407407407407407"/>
    <s v="NO"/>
    <m/>
  </r>
  <r>
    <m/>
    <x v="0"/>
    <s v="Shalom"/>
    <x v="0"/>
    <x v="0"/>
    <x v="54"/>
    <n v="1"/>
    <m/>
    <m/>
    <n v="20"/>
    <n v="20"/>
    <m/>
    <m/>
    <m/>
    <m/>
    <n v="20"/>
    <m/>
    <m/>
    <x v="54"/>
    <x v="0"/>
    <n v="0.37037037037037035"/>
    <s v="NO"/>
    <m/>
  </r>
  <r>
    <m/>
    <x v="0"/>
    <s v="Shalom"/>
    <x v="0"/>
    <x v="0"/>
    <x v="141"/>
    <n v="1"/>
    <m/>
    <m/>
    <n v="10"/>
    <n v="10"/>
    <m/>
    <m/>
    <m/>
    <m/>
    <n v="10"/>
    <m/>
    <m/>
    <x v="141"/>
    <x v="0"/>
    <n v="2.5"/>
    <s v="NO"/>
    <m/>
  </r>
  <r>
    <m/>
    <x v="0"/>
    <m/>
    <x v="0"/>
    <x v="0"/>
    <x v="141"/>
    <n v="1"/>
    <m/>
    <m/>
    <n v="5"/>
    <n v="5"/>
    <m/>
    <m/>
    <m/>
    <m/>
    <n v="5"/>
    <m/>
    <m/>
    <x v="141"/>
    <x v="0"/>
    <n v="1.25"/>
    <s v="NO"/>
    <m/>
  </r>
  <r>
    <m/>
    <x v="0"/>
    <s v="Shalom"/>
    <x v="0"/>
    <x v="6"/>
    <x v="65"/>
    <n v="1"/>
    <m/>
    <m/>
    <n v="45"/>
    <n v="45"/>
    <m/>
    <m/>
    <m/>
    <m/>
    <n v="45"/>
    <m/>
    <m/>
    <x v="65"/>
    <x v="0"/>
    <n v="1.0227272727272727"/>
    <s v="NO"/>
    <m/>
  </r>
  <r>
    <m/>
    <x v="3"/>
    <m/>
    <x v="0"/>
    <x v="6"/>
    <x v="65"/>
    <n v="1"/>
    <m/>
    <m/>
    <n v="24"/>
    <n v="24"/>
    <m/>
    <m/>
    <m/>
    <m/>
    <n v="24"/>
    <m/>
    <m/>
    <x v="65"/>
    <x v="0"/>
    <n v="0.54545454545454541"/>
    <s v="NO"/>
    <m/>
  </r>
  <r>
    <m/>
    <x v="0"/>
    <s v="Shalom"/>
    <x v="0"/>
    <x v="1"/>
    <x v="142"/>
    <n v="1"/>
    <m/>
    <m/>
    <n v="6"/>
    <m/>
    <m/>
    <m/>
    <m/>
    <m/>
    <n v="0"/>
    <m/>
    <m/>
    <x v="142"/>
    <x v="1"/>
    <s v=""/>
    <s v="NO"/>
    <m/>
  </r>
  <r>
    <m/>
    <x v="0"/>
    <m/>
    <x v="0"/>
    <x v="1"/>
    <x v="142"/>
    <n v="1"/>
    <m/>
    <m/>
    <n v="5"/>
    <m/>
    <m/>
    <m/>
    <m/>
    <m/>
    <n v="0"/>
    <m/>
    <m/>
    <x v="142"/>
    <x v="1"/>
    <s v=""/>
    <s v="NO"/>
    <m/>
  </r>
  <r>
    <m/>
    <x v="0"/>
    <s v="Shalom"/>
    <x v="0"/>
    <x v="6"/>
    <x v="86"/>
    <n v="1"/>
    <m/>
    <m/>
    <n v="34"/>
    <n v="34"/>
    <m/>
    <m/>
    <m/>
    <m/>
    <n v="34"/>
    <m/>
    <m/>
    <x v="86"/>
    <x v="0"/>
    <n v="0.48571428571428571"/>
    <s v="NO"/>
    <m/>
  </r>
  <r>
    <m/>
    <x v="3"/>
    <m/>
    <x v="0"/>
    <x v="6"/>
    <x v="86"/>
    <n v="1"/>
    <m/>
    <m/>
    <n v="15"/>
    <n v="15"/>
    <m/>
    <m/>
    <m/>
    <m/>
    <n v="15"/>
    <m/>
    <m/>
    <x v="86"/>
    <x v="0"/>
    <n v="0.21428571428571427"/>
    <s v="NO"/>
    <m/>
  </r>
  <r>
    <m/>
    <x v="0"/>
    <m/>
    <x v="0"/>
    <x v="6"/>
    <x v="140"/>
    <n v="1"/>
    <m/>
    <m/>
    <n v="5"/>
    <n v="5"/>
    <m/>
    <m/>
    <m/>
    <m/>
    <n v="0"/>
    <m/>
    <m/>
    <x v="140"/>
    <x v="1"/>
    <s v=""/>
    <s v="NO"/>
    <m/>
  </r>
  <r>
    <m/>
    <x v="3"/>
    <m/>
    <x v="0"/>
    <x v="6"/>
    <x v="140"/>
    <n v="1"/>
    <m/>
    <m/>
    <n v="10"/>
    <n v="10"/>
    <m/>
    <m/>
    <m/>
    <m/>
    <n v="0"/>
    <m/>
    <m/>
    <x v="140"/>
    <x v="1"/>
    <s v=""/>
    <s v="NO"/>
    <m/>
  </r>
  <r>
    <m/>
    <x v="0"/>
    <s v="KMSS"/>
    <x v="0"/>
    <x v="2"/>
    <x v="143"/>
    <n v="1"/>
    <m/>
    <m/>
    <m/>
    <m/>
    <m/>
    <m/>
    <m/>
    <m/>
    <n v="0"/>
    <n v="14"/>
    <m/>
    <x v="143"/>
    <x v="1"/>
    <s v=""/>
    <s v="NO"/>
    <m/>
  </r>
  <r>
    <m/>
    <x v="9"/>
    <m/>
    <x v="0"/>
    <x v="2"/>
    <x v="92"/>
    <n v="1"/>
    <n v="7"/>
    <n v="7"/>
    <m/>
    <m/>
    <m/>
    <m/>
    <m/>
    <m/>
    <n v="0"/>
    <m/>
    <m/>
    <x v="92"/>
    <x v="0"/>
    <n v="0"/>
    <s v="NO"/>
    <m/>
  </r>
  <r>
    <m/>
    <x v="9"/>
    <m/>
    <x v="0"/>
    <x v="2"/>
    <x v="144"/>
    <n v="1"/>
    <n v="47"/>
    <n v="47"/>
    <m/>
    <m/>
    <m/>
    <m/>
    <m/>
    <m/>
    <n v="0"/>
    <m/>
    <m/>
    <x v="136"/>
    <x v="2"/>
    <s v=""/>
    <s v="NO"/>
    <m/>
  </r>
  <r>
    <m/>
    <x v="5"/>
    <m/>
    <x v="0"/>
    <x v="6"/>
    <x v="87"/>
    <n v="1"/>
    <m/>
    <m/>
    <n v="300"/>
    <m/>
    <m/>
    <m/>
    <m/>
    <m/>
    <n v="0"/>
    <m/>
    <m/>
    <x v="87"/>
    <x v="0"/>
    <n v="0"/>
    <s v="NO"/>
    <m/>
  </r>
  <r>
    <m/>
    <x v="0"/>
    <s v="Shalom"/>
    <x v="0"/>
    <x v="0"/>
    <x v="145"/>
    <n v="1"/>
    <m/>
    <m/>
    <n v="24"/>
    <n v="24"/>
    <m/>
    <m/>
    <m/>
    <m/>
    <n v="24"/>
    <m/>
    <m/>
    <x v="144"/>
    <x v="0"/>
    <n v="3.4285714285714284"/>
    <s v="NO"/>
    <m/>
  </r>
  <r>
    <m/>
    <x v="5"/>
    <m/>
    <x v="0"/>
    <x v="1"/>
    <x v="88"/>
    <n v="1"/>
    <m/>
    <m/>
    <n v="30"/>
    <n v="30"/>
    <m/>
    <m/>
    <m/>
    <m/>
    <n v="30"/>
    <m/>
    <m/>
    <x v="88"/>
    <x v="0"/>
    <n v="2"/>
    <s v="NO"/>
    <m/>
  </r>
  <r>
    <m/>
    <x v="0"/>
    <s v="Metta"/>
    <x v="0"/>
    <x v="1"/>
    <x v="88"/>
    <n v="1"/>
    <m/>
    <m/>
    <n v="12"/>
    <n v="12"/>
    <m/>
    <m/>
    <m/>
    <m/>
    <n v="12"/>
    <m/>
    <m/>
    <x v="88"/>
    <x v="0"/>
    <n v="0.8"/>
    <s v="NO"/>
    <m/>
  </r>
  <r>
    <m/>
    <x v="0"/>
    <s v="Shalom"/>
    <x v="0"/>
    <x v="1"/>
    <x v="88"/>
    <n v="1"/>
    <m/>
    <m/>
    <n v="10"/>
    <n v="10"/>
    <m/>
    <m/>
    <m/>
    <m/>
    <n v="10"/>
    <m/>
    <m/>
    <x v="88"/>
    <x v="0"/>
    <n v="0.66666666666666663"/>
    <s v="NO"/>
    <m/>
  </r>
  <r>
    <m/>
    <x v="0"/>
    <m/>
    <x v="0"/>
    <x v="1"/>
    <x v="88"/>
    <n v="1"/>
    <m/>
    <m/>
    <n v="6"/>
    <m/>
    <m/>
    <m/>
    <m/>
    <m/>
    <n v="0"/>
    <m/>
    <m/>
    <x v="88"/>
    <x v="0"/>
    <n v="0"/>
    <s v="NO"/>
    <m/>
  </r>
  <r>
    <m/>
    <x v="0"/>
    <s v="Shalom"/>
    <x v="0"/>
    <x v="2"/>
    <x v="146"/>
    <n v="1"/>
    <m/>
    <m/>
    <n v="10"/>
    <n v="10"/>
    <m/>
    <m/>
    <m/>
    <m/>
    <n v="10"/>
    <m/>
    <m/>
    <x v="145"/>
    <x v="0"/>
    <n v="0.83333333333333337"/>
    <s v="NO"/>
    <m/>
  </r>
  <r>
    <m/>
    <x v="6"/>
    <s v="KBC"/>
    <x v="0"/>
    <x v="6"/>
    <x v="32"/>
    <n v="1"/>
    <m/>
    <m/>
    <n v="220"/>
    <n v="220"/>
    <m/>
    <m/>
    <m/>
    <m/>
    <n v="220"/>
    <m/>
    <m/>
    <x v="32"/>
    <x v="0"/>
    <n v="0.54455445544554459"/>
    <s v="NO"/>
    <m/>
  </r>
  <r>
    <m/>
    <x v="0"/>
    <s v="KBC"/>
    <x v="0"/>
    <x v="6"/>
    <x v="32"/>
    <n v="1"/>
    <m/>
    <m/>
    <n v="325"/>
    <n v="325"/>
    <m/>
    <m/>
    <m/>
    <m/>
    <n v="325"/>
    <m/>
    <m/>
    <x v="32"/>
    <x v="0"/>
    <n v="0.8044554455445545"/>
    <s v="NO"/>
    <m/>
  </r>
  <r>
    <m/>
    <x v="13"/>
    <s v="MDCG"/>
    <x v="1"/>
    <x v="5"/>
    <x v="55"/>
    <n v="1"/>
    <m/>
    <m/>
    <n v="85"/>
    <n v="85"/>
    <m/>
    <m/>
    <m/>
    <m/>
    <n v="85"/>
    <m/>
    <m/>
    <x v="55"/>
    <x v="0"/>
    <n v="0.44973544973544971"/>
    <s v="NO"/>
    <m/>
  </r>
  <r>
    <m/>
    <x v="0"/>
    <m/>
    <x v="0"/>
    <x v="2"/>
    <x v="147"/>
    <n v="1"/>
    <n v="30"/>
    <n v="30"/>
    <m/>
    <m/>
    <m/>
    <m/>
    <m/>
    <m/>
    <n v="0"/>
    <m/>
    <m/>
    <x v="136"/>
    <x v="2"/>
    <s v=""/>
    <s v="NO"/>
    <m/>
  </r>
  <r>
    <m/>
    <x v="6"/>
    <s v="KBC"/>
    <x v="0"/>
    <x v="0"/>
    <x v="147"/>
    <n v="1"/>
    <m/>
    <m/>
    <n v="15"/>
    <n v="15"/>
    <m/>
    <m/>
    <m/>
    <m/>
    <n v="0"/>
    <m/>
    <m/>
    <x v="136"/>
    <x v="2"/>
    <s v=""/>
    <s v="NO"/>
    <m/>
  </r>
  <r>
    <m/>
    <x v="0"/>
    <m/>
    <x v="0"/>
    <x v="9"/>
    <x v="147"/>
    <n v="1"/>
    <n v="55"/>
    <n v="55"/>
    <m/>
    <m/>
    <m/>
    <m/>
    <m/>
    <m/>
    <n v="0"/>
    <m/>
    <m/>
    <x v="136"/>
    <x v="2"/>
    <s v=""/>
    <s v="NO"/>
    <m/>
  </r>
</pivotCacheRecords>
</file>

<file path=xl/pivotCache/pivotCacheRecords4.xml><?xml version="1.0" encoding="utf-8"?>
<pivotCacheRecords xmlns="http://schemas.openxmlformats.org/spreadsheetml/2006/main" xmlns:r="http://schemas.openxmlformats.org/officeDocument/2006/relationships" count="1335">
  <r>
    <n v="-0.73333333333333328"/>
    <d v="2017-01-23T00:00:00"/>
    <x v="0"/>
    <s v="KMSS_Bhamo"/>
    <s v="Kachin"/>
    <s v="Mansi"/>
    <s v="Man Kawng Catholic Church"/>
    <m/>
    <n v="24"/>
    <n v="25"/>
    <n v="45"/>
    <n v="25"/>
    <n v="45"/>
    <n v="25"/>
    <m/>
    <n v="25"/>
    <n v="83"/>
    <m/>
    <m/>
    <m/>
    <m/>
    <n v="25"/>
    <m/>
    <m/>
    <n v="0"/>
    <n v="24"/>
    <n v="25"/>
    <n v="45"/>
    <n v="25"/>
    <n v="45"/>
    <n v="25"/>
    <n v="0"/>
    <n v="25"/>
    <n v="207.5"/>
    <n v="0"/>
    <n v="0"/>
    <n v="0"/>
    <n v="0"/>
    <x v="0"/>
    <n v="25"/>
    <n v="0"/>
    <n v="0"/>
    <s v="MMR001CMP213"/>
    <x v="0"/>
    <x v="0"/>
    <x v="0"/>
    <s v=""/>
    <m/>
    <s v="Datsa source: KMSS_Bhamo. Data was received when the camps status was changed as &quot;Closed&quot;"/>
  </r>
  <r>
    <n v="-0.73333333333333328"/>
    <d v="2017-01-23T00:00:00"/>
    <x v="0"/>
    <s v="KMSS_Bhamo"/>
    <s v="Kachin"/>
    <s v="Mansi"/>
    <s v="Man Kawng Catholic Church"/>
    <m/>
    <n v="24"/>
    <n v="25"/>
    <n v="45"/>
    <n v="25"/>
    <n v="45"/>
    <n v="25"/>
    <m/>
    <n v="25"/>
    <n v="83"/>
    <m/>
    <m/>
    <m/>
    <m/>
    <m/>
    <m/>
    <m/>
    <n v="0"/>
    <n v="24"/>
    <n v="25"/>
    <n v="45"/>
    <n v="25"/>
    <n v="45"/>
    <n v="25"/>
    <n v="0"/>
    <n v="25"/>
    <n v="207.5"/>
    <n v="0"/>
    <n v="0"/>
    <n v="0"/>
    <n v="0"/>
    <x v="0"/>
    <n v="0"/>
    <n v="0"/>
    <n v="0"/>
    <s v="MMR001CMP213"/>
    <x v="0"/>
    <x v="0"/>
    <x v="0"/>
    <s v=""/>
    <m/>
    <m/>
  </r>
  <r>
    <n v="1.0666666666666667"/>
    <d v="2016-11-30T00:00:00"/>
    <x v="1"/>
    <s v="Solidarities"/>
    <s v="Kachin"/>
    <s v="Bhamo"/>
    <s v="Phan Khar Kone"/>
    <m/>
    <m/>
    <m/>
    <m/>
    <m/>
    <m/>
    <m/>
    <m/>
    <m/>
    <m/>
    <m/>
    <m/>
    <m/>
    <m/>
    <n v="2"/>
    <m/>
    <m/>
    <n v="0"/>
    <n v="0"/>
    <n v="0"/>
    <n v="0"/>
    <n v="0"/>
    <n v="0"/>
    <n v="0"/>
    <n v="0"/>
    <n v="0"/>
    <n v="0"/>
    <n v="0"/>
    <n v="0"/>
    <n v="0"/>
    <n v="0"/>
    <x v="0"/>
    <n v="2"/>
    <n v="0"/>
    <n v="0"/>
    <s v="MMR001CMP193"/>
    <x v="0"/>
    <x v="1"/>
    <x v="1"/>
    <n v="0"/>
    <m/>
    <s v="Data source: Solidarities/under Nov_2016_CAR"/>
  </r>
  <r>
    <n v="1.0666666666666667"/>
    <d v="2016-11-30T00:00:00"/>
    <x v="1"/>
    <s v="Solidarities"/>
    <s v="Kachin"/>
    <s v="Bhamo"/>
    <s v="Robert Church"/>
    <m/>
    <m/>
    <m/>
    <m/>
    <m/>
    <m/>
    <m/>
    <m/>
    <m/>
    <m/>
    <m/>
    <m/>
    <m/>
    <m/>
    <n v="5"/>
    <m/>
    <m/>
    <n v="0"/>
    <n v="0"/>
    <n v="0"/>
    <n v="0"/>
    <n v="0"/>
    <n v="0"/>
    <n v="0"/>
    <n v="0"/>
    <n v="0"/>
    <n v="0"/>
    <n v="0"/>
    <n v="0"/>
    <n v="0"/>
    <n v="0"/>
    <x v="0"/>
    <n v="5"/>
    <n v="0"/>
    <n v="0"/>
    <s v="MMR001CMP047"/>
    <x v="0"/>
    <x v="1"/>
    <x v="1"/>
    <n v="0"/>
    <m/>
    <s v="Data source: Solidarities/under Nov_2016_CAR"/>
  </r>
  <r>
    <n v="1.1333333333333333"/>
    <d v="2016-11-28T00:00:00"/>
    <x v="0"/>
    <s v="KBC"/>
    <s v="Shan_North"/>
    <s v="Muse"/>
    <s v="Muse Baptist Church"/>
    <m/>
    <m/>
    <m/>
    <n v="76"/>
    <n v="38"/>
    <n v="76"/>
    <m/>
    <m/>
    <n v="38"/>
    <n v="114"/>
    <m/>
    <m/>
    <m/>
    <m/>
    <m/>
    <m/>
    <m/>
    <n v="0"/>
    <n v="0"/>
    <n v="0"/>
    <n v="76"/>
    <n v="38"/>
    <n v="76"/>
    <n v="0"/>
    <n v="0"/>
    <n v="38"/>
    <n v="285"/>
    <n v="0"/>
    <n v="0"/>
    <n v="0"/>
    <n v="0"/>
    <x v="0"/>
    <n v="0"/>
    <n v="0"/>
    <n v="0"/>
    <s v="MMR015CMP213"/>
    <x v="1"/>
    <x v="1"/>
    <x v="1"/>
    <n v="0"/>
    <m/>
    <s v="Data source: KBC/under nov_201_CAR"/>
  </r>
  <r>
    <n v="2.0666666666666669"/>
    <d v="2016-10-31T00:00:00"/>
    <x v="1"/>
    <s v="Solidarities"/>
    <s v="Kachin"/>
    <s v="Momauk"/>
    <s v="Loi Je Catholic Church"/>
    <m/>
    <m/>
    <m/>
    <m/>
    <m/>
    <m/>
    <m/>
    <m/>
    <m/>
    <m/>
    <m/>
    <m/>
    <m/>
    <m/>
    <n v="1"/>
    <m/>
    <m/>
    <n v="0"/>
    <n v="0"/>
    <n v="0"/>
    <n v="0"/>
    <n v="0"/>
    <n v="0"/>
    <n v="0"/>
    <n v="0"/>
    <n v="0"/>
    <n v="0"/>
    <n v="0"/>
    <n v="0"/>
    <n v="0"/>
    <n v="0"/>
    <x v="0"/>
    <n v="1"/>
    <n v="0"/>
    <n v="0"/>
    <s v="MMR001CMP069"/>
    <x v="0"/>
    <x v="1"/>
    <x v="2"/>
    <n v="0"/>
    <m/>
    <s v="Data source: Solidarities/under Nov_2016_CAR"/>
  </r>
  <r>
    <n v="2.0666666666666669"/>
    <d v="2016-10-31T00:00:00"/>
    <x v="1"/>
    <s v="Solidarities"/>
    <s v="Kachin"/>
    <s v="Momauk"/>
    <s v="Seng Ja "/>
    <m/>
    <m/>
    <m/>
    <m/>
    <m/>
    <m/>
    <m/>
    <m/>
    <m/>
    <m/>
    <m/>
    <m/>
    <m/>
    <m/>
    <n v="2"/>
    <m/>
    <m/>
    <n v="0"/>
    <n v="0"/>
    <n v="0"/>
    <n v="0"/>
    <n v="0"/>
    <n v="0"/>
    <n v="0"/>
    <n v="0"/>
    <n v="0"/>
    <n v="0"/>
    <n v="0"/>
    <n v="0"/>
    <n v="0"/>
    <n v="0"/>
    <x v="0"/>
    <n v="2"/>
    <n v="0"/>
    <n v="0"/>
    <s v="MMR001CMP073"/>
    <x v="0"/>
    <x v="1"/>
    <x v="2"/>
    <n v="0"/>
    <m/>
    <s v="Data source: Solidarities/under Nov_2016_CAR"/>
  </r>
  <r>
    <n v="3.1"/>
    <d v="2016-09-30T00:00:00"/>
    <x v="1"/>
    <s v="Solidarities"/>
    <s v="Kachin"/>
    <s v="Momauk"/>
    <s v="Momauk Baptist Church"/>
    <m/>
    <m/>
    <m/>
    <m/>
    <m/>
    <m/>
    <m/>
    <m/>
    <m/>
    <m/>
    <m/>
    <m/>
    <m/>
    <m/>
    <n v="1"/>
    <m/>
    <m/>
    <n v="0"/>
    <n v="0"/>
    <n v="0"/>
    <n v="0"/>
    <n v="0"/>
    <n v="0"/>
    <n v="0"/>
    <n v="0"/>
    <n v="0"/>
    <n v="0"/>
    <n v="0"/>
    <n v="0"/>
    <n v="0"/>
    <n v="0"/>
    <x v="0"/>
    <n v="1"/>
    <n v="0"/>
    <n v="0"/>
    <s v="MMR001CMP056"/>
    <x v="0"/>
    <x v="1"/>
    <x v="1"/>
    <n v="0"/>
    <m/>
    <s v="Data source: Solidarities/under Nov_2016_CAR"/>
  </r>
  <r>
    <n v="3.1"/>
    <d v="2016-09-30T00:00:00"/>
    <x v="2"/>
    <s v="Relief International"/>
    <s v="Shan_North"/>
    <s v="Namtu"/>
    <s v="Nam Tu Baptist"/>
    <n v="11"/>
    <m/>
    <m/>
    <m/>
    <n v="11"/>
    <m/>
    <m/>
    <m/>
    <m/>
    <m/>
    <m/>
    <m/>
    <m/>
    <m/>
    <m/>
    <m/>
    <m/>
    <n v="11"/>
    <n v="0"/>
    <n v="0"/>
    <n v="0"/>
    <n v="11"/>
    <n v="0"/>
    <n v="0"/>
    <n v="0"/>
    <n v="0"/>
    <n v="0"/>
    <n v="0"/>
    <n v="0"/>
    <n v="0"/>
    <n v="0"/>
    <x v="0"/>
    <n v="0"/>
    <n v="0"/>
    <n v="0"/>
    <s v="MMR015CMP014"/>
    <x v="0"/>
    <x v="1"/>
    <x v="2"/>
    <n v="0"/>
    <m/>
    <s v="According to their list, Tarpulin is under &quot;Shelter Kit&quot; . Two items (Tarpulin and Rope) are included in &quot;Shelter Kit&quot;"/>
  </r>
  <r>
    <n v="3.1"/>
    <d v="2016-09-30T00:00:00"/>
    <x v="1"/>
    <s v="Solidarities"/>
    <s v="Kachin"/>
    <s v="Bhamo"/>
    <s v="Phan Khar Kone"/>
    <m/>
    <m/>
    <m/>
    <m/>
    <m/>
    <m/>
    <m/>
    <m/>
    <m/>
    <m/>
    <m/>
    <m/>
    <m/>
    <m/>
    <n v="1"/>
    <m/>
    <m/>
    <n v="0"/>
    <n v="0"/>
    <n v="0"/>
    <n v="0"/>
    <n v="0"/>
    <n v="0"/>
    <n v="0"/>
    <n v="0"/>
    <n v="0"/>
    <n v="0"/>
    <n v="0"/>
    <n v="0"/>
    <n v="0"/>
    <n v="0"/>
    <x v="0"/>
    <n v="1"/>
    <n v="0"/>
    <n v="0"/>
    <s v="MMR001CMP193"/>
    <x v="0"/>
    <x v="1"/>
    <x v="1"/>
    <n v="0"/>
    <m/>
    <s v="Data source: Solidarities/under Nov_2016_CAR"/>
  </r>
  <r>
    <n v="3.1"/>
    <d v="2016-09-30T00:00:00"/>
    <x v="2"/>
    <s v="Relief International"/>
    <s v="Shan_North"/>
    <s v="Namtu"/>
    <s v="Shwe Myint Thar Monastry "/>
    <n v="11"/>
    <m/>
    <m/>
    <m/>
    <n v="11"/>
    <m/>
    <m/>
    <m/>
    <m/>
    <m/>
    <m/>
    <m/>
    <m/>
    <m/>
    <m/>
    <m/>
    <m/>
    <n v="11"/>
    <n v="0"/>
    <n v="0"/>
    <n v="0"/>
    <n v="11"/>
    <n v="0"/>
    <n v="0"/>
    <n v="0"/>
    <n v="0"/>
    <n v="0"/>
    <n v="0"/>
    <n v="0"/>
    <n v="0"/>
    <n v="0"/>
    <x v="0"/>
    <n v="0"/>
    <n v="0"/>
    <n v="0"/>
    <s v="MMR015CMP228"/>
    <x v="0"/>
    <x v="1"/>
    <x v="3"/>
    <s v=""/>
    <m/>
    <s v="According to their list, Tarpulin is under &quot;Shelter Kit&quot; . Two items (Tarpulin and Rope) are included in &quot;Shelter Kit&quot;"/>
  </r>
  <r>
    <n v="3.7"/>
    <d v="2016-09-12T00:00:00"/>
    <x v="2"/>
    <s v="Relief International"/>
    <s v="Shan_North"/>
    <s v="Namtu"/>
    <s v="Namtu KBC 2"/>
    <m/>
    <m/>
    <m/>
    <m/>
    <n v="18"/>
    <m/>
    <m/>
    <m/>
    <m/>
    <m/>
    <m/>
    <m/>
    <m/>
    <m/>
    <m/>
    <m/>
    <m/>
    <n v="0"/>
    <n v="0"/>
    <n v="0"/>
    <n v="0"/>
    <n v="18"/>
    <n v="0"/>
    <n v="0"/>
    <n v="0"/>
    <n v="0"/>
    <n v="0"/>
    <n v="0"/>
    <n v="0"/>
    <n v="0"/>
    <n v="0"/>
    <x v="0"/>
    <n v="0"/>
    <n v="0"/>
    <n v="0"/>
    <s v="MMR015CMP231"/>
    <x v="0"/>
    <x v="1"/>
    <x v="3"/>
    <s v=""/>
    <m/>
    <s v="According to their list, Tarpulin is under &quot;Shelter Kit&quot; . Two items (Tarpulin and Rope) are included in &quot;Shelter Kit&quot;"/>
  </r>
  <r>
    <n v="4.0999999999999996"/>
    <d v="2016-08-31T00:00:00"/>
    <x v="1"/>
    <s v="Solidarities"/>
    <s v="Kachin"/>
    <s v="Bhamo"/>
    <s v="AD-2000 Tharthana Compound"/>
    <m/>
    <m/>
    <m/>
    <m/>
    <m/>
    <m/>
    <m/>
    <m/>
    <m/>
    <m/>
    <m/>
    <m/>
    <m/>
    <m/>
    <n v="1"/>
    <m/>
    <m/>
    <n v="0"/>
    <n v="0"/>
    <n v="0"/>
    <n v="0"/>
    <n v="0"/>
    <n v="0"/>
    <n v="0"/>
    <n v="0"/>
    <n v="0"/>
    <n v="0"/>
    <n v="0"/>
    <n v="0"/>
    <n v="0"/>
    <n v="0"/>
    <x v="0"/>
    <n v="1"/>
    <n v="0"/>
    <n v="0"/>
    <s v="MMR001CMP050"/>
    <x v="0"/>
    <x v="1"/>
    <x v="1"/>
    <n v="0"/>
    <m/>
    <s v="Data source: Solidarities/under Nov_2016_CAR"/>
  </r>
  <r>
    <n v="4.0999999999999996"/>
    <d v="2016-08-31T00:00:00"/>
    <x v="1"/>
    <s v="Solidarities"/>
    <s v="Kachin"/>
    <s v="Bhamo"/>
    <s v="Robert Church"/>
    <m/>
    <m/>
    <m/>
    <m/>
    <m/>
    <m/>
    <m/>
    <m/>
    <m/>
    <m/>
    <m/>
    <m/>
    <m/>
    <m/>
    <n v="1"/>
    <m/>
    <m/>
    <n v="0"/>
    <n v="0"/>
    <n v="0"/>
    <n v="0"/>
    <n v="0"/>
    <n v="0"/>
    <n v="0"/>
    <n v="0"/>
    <n v="0"/>
    <n v="0"/>
    <n v="0"/>
    <n v="0"/>
    <n v="0"/>
    <n v="0"/>
    <x v="0"/>
    <n v="1"/>
    <n v="0"/>
    <n v="0"/>
    <s v="MMR001CMP047"/>
    <x v="0"/>
    <x v="1"/>
    <x v="1"/>
    <n v="0"/>
    <m/>
    <s v="Data source: Solidarities/under Nov_2016_CAR"/>
  </r>
  <r>
    <n v="4.0999999999999996"/>
    <d v="2016-08-31T00:00:00"/>
    <x v="1"/>
    <s v="Solidarities"/>
    <s v="Kachin"/>
    <s v="Hpakant"/>
    <s v="Shar Du Zut KBC church "/>
    <n v="165"/>
    <n v="139"/>
    <m/>
    <m/>
    <m/>
    <m/>
    <m/>
    <m/>
    <m/>
    <m/>
    <m/>
    <m/>
    <m/>
    <m/>
    <n v="8"/>
    <m/>
    <m/>
    <n v="165"/>
    <n v="139"/>
    <n v="0"/>
    <n v="0"/>
    <n v="0"/>
    <n v="0"/>
    <n v="0"/>
    <n v="0"/>
    <n v="0"/>
    <n v="0"/>
    <n v="0"/>
    <n v="0"/>
    <n v="0"/>
    <n v="0"/>
    <x v="0"/>
    <n v="8"/>
    <n v="0"/>
    <n v="0"/>
    <s v="MMR001CMP244"/>
    <x v="1"/>
    <x v="1"/>
    <x v="3"/>
    <n v="0"/>
    <m/>
    <s v="Data source: Solidarities/under Nov_2016_CAR, Newly displacement. Distribution related to Emergency Intervention (ERF), "/>
  </r>
  <r>
    <n v="4.5333333333333332"/>
    <d v="2016-08-18T00:00:00"/>
    <x v="3"/>
    <s v="KBC"/>
    <s v="Kachin"/>
    <s v="Myitkyina"/>
    <s v="Man Hkring Baptist Church"/>
    <m/>
    <m/>
    <m/>
    <m/>
    <n v="29"/>
    <m/>
    <m/>
    <m/>
    <m/>
    <m/>
    <m/>
    <m/>
    <m/>
    <m/>
    <m/>
    <m/>
    <m/>
    <n v="0"/>
    <n v="0"/>
    <n v="0"/>
    <n v="0"/>
    <n v="29"/>
    <n v="0"/>
    <n v="0"/>
    <n v="0"/>
    <n v="0"/>
    <n v="0"/>
    <n v="0"/>
    <n v="0"/>
    <n v="0"/>
    <n v="0"/>
    <x v="0"/>
    <n v="0"/>
    <n v="0"/>
    <n v="0"/>
    <s v="MMR001CMP008"/>
    <x v="0"/>
    <x v="1"/>
    <x v="1"/>
    <n v="0"/>
    <m/>
    <m/>
  </r>
  <r>
    <n v="4.7333333333333334"/>
    <d v="2016-08-12T00:00:00"/>
    <x v="2"/>
    <s v="Relief International"/>
    <s v="Shan_North"/>
    <s v="Hsipaw"/>
    <s v="Man Kaung/Naung Ti Kyar Village"/>
    <m/>
    <m/>
    <m/>
    <m/>
    <n v="38"/>
    <m/>
    <m/>
    <m/>
    <m/>
    <m/>
    <m/>
    <m/>
    <m/>
    <m/>
    <m/>
    <m/>
    <m/>
    <n v="0"/>
    <n v="0"/>
    <n v="0"/>
    <n v="0"/>
    <n v="38"/>
    <n v="0"/>
    <n v="0"/>
    <n v="0"/>
    <n v="0"/>
    <n v="0"/>
    <n v="0"/>
    <n v="0"/>
    <n v="0"/>
    <n v="0"/>
    <x v="0"/>
    <n v="0"/>
    <n v="0"/>
    <n v="0"/>
    <s v="MMR015CMP244"/>
    <x v="0"/>
    <x v="1"/>
    <x v="3"/>
    <s v=""/>
    <m/>
    <s v="According to their list, Tarpulin is under &quot;Shelter Kit&quot; . Two items (Tarpulin and Rope) are included in &quot;Shelter Kit&quot;"/>
  </r>
  <r>
    <n v="4.8"/>
    <d v="2016-08-10T00:00:00"/>
    <x v="0"/>
    <s v="KBC"/>
    <s v="Kachin"/>
    <s v="Hpakant"/>
    <s v="Njang Dung Baptist Church "/>
    <m/>
    <n v="4"/>
    <n v="4"/>
    <n v="10"/>
    <n v="117"/>
    <n v="10"/>
    <n v="4"/>
    <m/>
    <n v="8"/>
    <n v="16"/>
    <m/>
    <m/>
    <m/>
    <m/>
    <n v="4"/>
    <m/>
    <m/>
    <m/>
    <m/>
    <m/>
    <m/>
    <m/>
    <m/>
    <m/>
    <m/>
    <m/>
    <m/>
    <m/>
    <m/>
    <m/>
    <m/>
    <x v="1"/>
    <m/>
    <n v="0"/>
    <n v="0"/>
    <s v="MMR001CMP002"/>
    <x v="0"/>
    <x v="1"/>
    <x v="4"/>
    <m/>
    <m/>
    <s v="(Njang Dung Camp, Shwe Zet Camp and 4 Camps in Hpakhant Tsp distributio)There is no specific camp and township name. Remarks-Through KBC-Myitkyina for new arrivals in 6 Camps: Njang Dung Camp, Shwe Zet Camp and 4 Camps in Hpakhant Tsp)"/>
  </r>
  <r>
    <n v="4.9333333333333336"/>
    <d v="2016-08-06T00:00:00"/>
    <x v="0"/>
    <s v="KMSS"/>
    <s v="Kachin"/>
    <s v="Hpakant"/>
    <s v="A Lo Taw Pyae monastery"/>
    <m/>
    <n v="21"/>
    <n v="21"/>
    <n v="27"/>
    <n v="21"/>
    <n v="30"/>
    <n v="21"/>
    <m/>
    <n v="21"/>
    <n v="33"/>
    <m/>
    <m/>
    <m/>
    <m/>
    <n v="21"/>
    <m/>
    <m/>
    <n v="0"/>
    <n v="21"/>
    <n v="21"/>
    <n v="27"/>
    <n v="21"/>
    <n v="30"/>
    <n v="21"/>
    <n v="0"/>
    <n v="21"/>
    <n v="82.5"/>
    <n v="0"/>
    <n v="0"/>
    <n v="0"/>
    <n v="0"/>
    <x v="0"/>
    <n v="21"/>
    <n v="0"/>
    <n v="0"/>
    <s v="MMR001CMP243"/>
    <x v="1"/>
    <x v="1"/>
    <x v="3"/>
    <n v="4.931429644937066E-4"/>
    <m/>
    <m/>
  </r>
  <r>
    <n v="4.9333333333333336"/>
    <d v="2016-08-06T00:00:00"/>
    <x v="0"/>
    <s v="KMSS_Myitkyina"/>
    <s v="Kachin"/>
    <s v="Hpakant"/>
    <s v="A Lo Taw Pyae monastery"/>
    <m/>
    <n v="21"/>
    <n v="21"/>
    <n v="27"/>
    <n v="21"/>
    <n v="30"/>
    <n v="21"/>
    <m/>
    <n v="21"/>
    <n v="33"/>
    <m/>
    <m/>
    <m/>
    <m/>
    <n v="21"/>
    <m/>
    <m/>
    <m/>
    <m/>
    <m/>
    <m/>
    <m/>
    <m/>
    <m/>
    <m/>
    <m/>
    <m/>
    <m/>
    <m/>
    <m/>
    <m/>
    <x v="1"/>
    <m/>
    <m/>
    <m/>
    <m/>
    <x v="2"/>
    <x v="1"/>
    <x v="4"/>
    <m/>
    <m/>
    <m/>
  </r>
  <r>
    <n v="4.9333333333333336"/>
    <d v="2016-08-06T00:00:00"/>
    <x v="0"/>
    <s v="KMSS"/>
    <s v="Kachin"/>
    <s v="Hpakant"/>
    <s v="Muyin church (Aung Yar pre-school compound)"/>
    <m/>
    <n v="25"/>
    <n v="25"/>
    <n v="38"/>
    <n v="25"/>
    <n v="49"/>
    <n v="25"/>
    <m/>
    <n v="25"/>
    <n v="47"/>
    <m/>
    <m/>
    <m/>
    <m/>
    <n v="25"/>
    <m/>
    <m/>
    <m/>
    <m/>
    <m/>
    <m/>
    <m/>
    <m/>
    <m/>
    <m/>
    <m/>
    <m/>
    <m/>
    <m/>
    <m/>
    <m/>
    <x v="1"/>
    <m/>
    <n v="0"/>
    <n v="0"/>
    <s v="MMR001CMP247"/>
    <x v="1"/>
    <x v="1"/>
    <x v="3"/>
    <n v="5.8707495773060309E-4"/>
    <s v="No"/>
    <s v="Emergency"/>
  </r>
  <r>
    <n v="4.9333333333333336"/>
    <d v="2016-08-06T00:00:00"/>
    <x v="0"/>
    <s v="KMSS"/>
    <s v="Kachin"/>
    <s v="Hpakant"/>
    <s v="Shar Du Zut RC church"/>
    <m/>
    <n v="7"/>
    <n v="7"/>
    <n v="7"/>
    <n v="7"/>
    <n v="9"/>
    <n v="7"/>
    <m/>
    <n v="7"/>
    <n v="11"/>
    <m/>
    <m/>
    <m/>
    <m/>
    <n v="7"/>
    <m/>
    <m/>
    <n v="0"/>
    <n v="7"/>
    <n v="7"/>
    <n v="7"/>
    <n v="7"/>
    <n v="9"/>
    <n v="7"/>
    <n v="0"/>
    <n v="7"/>
    <n v="27.5"/>
    <n v="0"/>
    <n v="0"/>
    <n v="0"/>
    <n v="0"/>
    <x v="0"/>
    <n v="7"/>
    <n v="0"/>
    <n v="0"/>
    <s v="MMR001CMP246"/>
    <x v="1"/>
    <x v="1"/>
    <x v="3"/>
    <n v="1.6438098816456886E-4"/>
    <s v="No"/>
    <s v="Emergency"/>
  </r>
  <r>
    <n v="4.9666666666666668"/>
    <d v="2016-08-05T00:00:00"/>
    <x v="0"/>
    <s v="KMSS_Myitkyina"/>
    <s v="Kachin"/>
    <s v="Hpakant"/>
    <s v="Mandung - RC"/>
    <m/>
    <n v="53"/>
    <n v="53"/>
    <n v="131"/>
    <n v="53"/>
    <n v="131"/>
    <n v="53"/>
    <m/>
    <n v="53"/>
    <n v="131"/>
    <m/>
    <m/>
    <m/>
    <m/>
    <n v="53"/>
    <m/>
    <m/>
    <n v="0"/>
    <n v="53"/>
    <n v="53"/>
    <n v="131"/>
    <n v="53"/>
    <n v="131"/>
    <n v="53"/>
    <n v="0"/>
    <n v="53"/>
    <n v="327.5"/>
    <n v="0"/>
    <n v="0"/>
    <n v="0"/>
    <n v="0"/>
    <x v="0"/>
    <n v="53"/>
    <n v="0"/>
    <n v="0"/>
    <s v="MMR015CMP209"/>
    <x v="0"/>
    <x v="1"/>
    <x v="2"/>
    <n v="1.2917377528637581E-3"/>
    <m/>
    <s v="(Buddha Camp, RC Camp and Mudung Camp)Emergency Distribution"/>
  </r>
  <r>
    <n v="4.9666666666666668"/>
    <d v="2016-08-05T00:00:00"/>
    <x v="0"/>
    <s v="KBC"/>
    <s v="Kachin"/>
    <s v="Hpakant"/>
    <s v="Wara Zup KBC Church"/>
    <m/>
    <n v="23"/>
    <m/>
    <n v="38"/>
    <n v="23"/>
    <n v="38"/>
    <n v="23"/>
    <m/>
    <n v="23"/>
    <n v="55"/>
    <m/>
    <m/>
    <m/>
    <m/>
    <n v="23"/>
    <m/>
    <n v="9"/>
    <n v="0"/>
    <n v="23"/>
    <n v="0"/>
    <n v="38"/>
    <n v="23"/>
    <n v="38"/>
    <n v="23"/>
    <n v="0"/>
    <n v="23"/>
    <n v="137.5"/>
    <n v="0"/>
    <n v="0"/>
    <n v="0"/>
    <n v="0"/>
    <x v="0"/>
    <n v="23"/>
    <n v="0"/>
    <n v="9"/>
    <s v="MMR001CMP242"/>
    <x v="1"/>
    <x v="1"/>
    <x v="3"/>
    <n v="5.4283691291007793E-4"/>
    <m/>
    <s v="Emergency Distribution"/>
  </r>
  <r>
    <n v="5.6333333333333337"/>
    <d v="2016-07-16T00:00:00"/>
    <x v="2"/>
    <s v="Relief International"/>
    <s v="Shan_North"/>
    <s v="Namtu"/>
    <s v="Nam Tu Baptist"/>
    <n v="40"/>
    <m/>
    <m/>
    <m/>
    <n v="40"/>
    <m/>
    <m/>
    <m/>
    <m/>
    <m/>
    <m/>
    <m/>
    <m/>
    <m/>
    <m/>
    <m/>
    <m/>
    <n v="40"/>
    <n v="0"/>
    <n v="0"/>
    <n v="0"/>
    <n v="40"/>
    <n v="0"/>
    <n v="0"/>
    <n v="0"/>
    <n v="0"/>
    <n v="0"/>
    <n v="0"/>
    <n v="0"/>
    <n v="0"/>
    <n v="0"/>
    <x v="0"/>
    <n v="0"/>
    <n v="0"/>
    <n v="0"/>
    <s v="MMR015CMP014"/>
    <x v="0"/>
    <x v="1"/>
    <x v="2"/>
    <n v="0"/>
    <m/>
    <s v="According to their list, Tarpulin is under &quot;Shelter Kit&quot; . Two items (Tarpulin and Rope) are included in &quot;Shelter Kit&quot;"/>
  </r>
  <r>
    <n v="5.6333333333333337"/>
    <d v="2016-07-16T00:00:00"/>
    <x v="2"/>
    <s v="Relief International"/>
    <s v="Shan_North"/>
    <s v="Namtu"/>
    <s v="Shwe Myint Thar Monastry "/>
    <n v="59"/>
    <m/>
    <m/>
    <m/>
    <n v="59"/>
    <m/>
    <m/>
    <m/>
    <m/>
    <m/>
    <m/>
    <m/>
    <m/>
    <m/>
    <m/>
    <m/>
    <m/>
    <n v="59"/>
    <n v="0"/>
    <n v="0"/>
    <n v="0"/>
    <n v="59"/>
    <n v="0"/>
    <n v="0"/>
    <n v="0"/>
    <n v="0"/>
    <n v="0"/>
    <n v="0"/>
    <n v="0"/>
    <n v="0"/>
    <n v="0"/>
    <x v="0"/>
    <n v="0"/>
    <n v="0"/>
    <n v="0"/>
    <s v="MMR015CMP228"/>
    <x v="0"/>
    <x v="1"/>
    <x v="3"/>
    <s v=""/>
    <m/>
    <s v="According to their list, Tarpulin is under &quot;Shelter Kit&quot; . Two items (Tarpulin and Rope) are included in &quot;Shelter Kit&quot;"/>
  </r>
  <r>
    <n v="6.166666666666667"/>
    <d v="2016-06-30T00:00:00"/>
    <x v="1"/>
    <s v="Solidarities"/>
    <s v="Kachin"/>
    <s v="Bhamo"/>
    <s v="AD-2000 Tharthana Compound"/>
    <m/>
    <m/>
    <m/>
    <m/>
    <m/>
    <m/>
    <m/>
    <m/>
    <m/>
    <m/>
    <m/>
    <m/>
    <m/>
    <m/>
    <n v="2"/>
    <m/>
    <m/>
    <n v="0"/>
    <n v="0"/>
    <n v="0"/>
    <n v="0"/>
    <n v="0"/>
    <n v="0"/>
    <n v="0"/>
    <n v="0"/>
    <n v="0"/>
    <n v="0"/>
    <n v="0"/>
    <n v="0"/>
    <n v="0"/>
    <n v="0"/>
    <x v="0"/>
    <n v="2"/>
    <n v="0"/>
    <n v="0"/>
    <s v="MMR001CMP050"/>
    <x v="0"/>
    <x v="1"/>
    <x v="1"/>
    <n v="0"/>
    <m/>
    <s v="Data source: Solidarities/under Nov_2016_CAR"/>
  </r>
  <r>
    <n v="6.166666666666667"/>
    <d v="2016-06-30T00:00:00"/>
    <x v="1"/>
    <s v="Solidarities"/>
    <s v="Kachin"/>
    <s v="Momauk"/>
    <s v="Loi Je Baptist Church"/>
    <m/>
    <m/>
    <m/>
    <m/>
    <m/>
    <m/>
    <m/>
    <m/>
    <m/>
    <m/>
    <m/>
    <m/>
    <m/>
    <m/>
    <n v="2"/>
    <m/>
    <m/>
    <n v="0"/>
    <n v="0"/>
    <n v="0"/>
    <n v="0"/>
    <n v="0"/>
    <n v="0"/>
    <n v="0"/>
    <n v="0"/>
    <n v="0"/>
    <n v="0"/>
    <n v="0"/>
    <n v="0"/>
    <n v="0"/>
    <n v="0"/>
    <x v="0"/>
    <n v="2"/>
    <n v="0"/>
    <n v="0"/>
    <s v="MMR001CMP071"/>
    <x v="0"/>
    <x v="1"/>
    <x v="2"/>
    <n v="0"/>
    <m/>
    <s v="Data source: Solidarities/under Nov_2016_CAR"/>
  </r>
  <r>
    <n v="6.166666666666667"/>
    <d v="2016-06-30T00:00:00"/>
    <x v="1"/>
    <s v="Solidarities"/>
    <s v="Kachin"/>
    <s v="Momauk"/>
    <s v="Loi Je Lisu Camp"/>
    <m/>
    <m/>
    <m/>
    <m/>
    <m/>
    <m/>
    <m/>
    <m/>
    <m/>
    <m/>
    <m/>
    <m/>
    <m/>
    <m/>
    <n v="1"/>
    <m/>
    <m/>
    <n v="0"/>
    <n v="0"/>
    <n v="0"/>
    <n v="0"/>
    <n v="0"/>
    <n v="0"/>
    <n v="0"/>
    <n v="0"/>
    <n v="0"/>
    <n v="0"/>
    <n v="0"/>
    <n v="0"/>
    <n v="0"/>
    <n v="0"/>
    <x v="0"/>
    <n v="1"/>
    <n v="0"/>
    <n v="0"/>
    <s v="MMR001CMP070"/>
    <x v="0"/>
    <x v="1"/>
    <x v="2"/>
    <n v="0"/>
    <m/>
    <s v="Data source: Solidarities/under Nov_2016_CAR"/>
  </r>
  <r>
    <n v="6.166666666666667"/>
    <d v="2016-06-30T00:00:00"/>
    <x v="1"/>
    <s v="Solidarities"/>
    <s v="Kachin"/>
    <s v="Momauk"/>
    <s v="Nyaung Na Pin "/>
    <m/>
    <m/>
    <m/>
    <m/>
    <m/>
    <m/>
    <m/>
    <m/>
    <m/>
    <m/>
    <m/>
    <m/>
    <m/>
    <m/>
    <n v="1"/>
    <m/>
    <m/>
    <n v="0"/>
    <n v="0"/>
    <n v="0"/>
    <n v="0"/>
    <n v="0"/>
    <n v="0"/>
    <n v="0"/>
    <n v="0"/>
    <n v="0"/>
    <n v="0"/>
    <n v="0"/>
    <n v="0"/>
    <n v="0"/>
    <n v="0"/>
    <x v="0"/>
    <n v="1"/>
    <n v="0"/>
    <n v="0"/>
    <s v="MMR001CMP072"/>
    <x v="0"/>
    <x v="1"/>
    <x v="2"/>
    <n v="0"/>
    <m/>
    <s v="Data source: Solidarities/under Nov_2016_CAR"/>
  </r>
  <r>
    <n v="6.166666666666667"/>
    <d v="2016-06-30T00:00:00"/>
    <x v="1"/>
    <s v="Solidarities"/>
    <s v="Kachin"/>
    <s v="Bhamo"/>
    <s v="Phan Khar Kone"/>
    <m/>
    <m/>
    <m/>
    <m/>
    <m/>
    <m/>
    <m/>
    <m/>
    <m/>
    <m/>
    <m/>
    <m/>
    <m/>
    <m/>
    <n v="4"/>
    <m/>
    <m/>
    <n v="0"/>
    <n v="0"/>
    <n v="0"/>
    <n v="0"/>
    <n v="0"/>
    <n v="0"/>
    <n v="0"/>
    <n v="0"/>
    <n v="0"/>
    <n v="0"/>
    <n v="0"/>
    <n v="0"/>
    <n v="0"/>
    <n v="0"/>
    <x v="0"/>
    <n v="4"/>
    <n v="0"/>
    <n v="0"/>
    <s v="MMR001CMP193"/>
    <x v="0"/>
    <x v="1"/>
    <x v="1"/>
    <n v="0"/>
    <m/>
    <s v="Data source: Solidarities/under Nov_2016_CAR"/>
  </r>
  <r>
    <n v="6.166666666666667"/>
    <d v="2016-06-30T00:00:00"/>
    <x v="1"/>
    <s v="Solidarities"/>
    <s v="Kachin"/>
    <s v="Momauk"/>
    <s v="Seng Ja "/>
    <m/>
    <m/>
    <m/>
    <m/>
    <m/>
    <m/>
    <m/>
    <m/>
    <m/>
    <m/>
    <m/>
    <m/>
    <m/>
    <m/>
    <n v="1"/>
    <m/>
    <m/>
    <n v="0"/>
    <n v="0"/>
    <n v="0"/>
    <n v="0"/>
    <n v="0"/>
    <n v="0"/>
    <n v="0"/>
    <n v="0"/>
    <n v="0"/>
    <n v="0"/>
    <n v="0"/>
    <n v="0"/>
    <n v="0"/>
    <n v="0"/>
    <x v="0"/>
    <n v="1"/>
    <n v="0"/>
    <n v="0"/>
    <s v="MMR001CMP073"/>
    <x v="0"/>
    <x v="1"/>
    <x v="2"/>
    <n v="0"/>
    <m/>
    <s v="Data source: Solidarities/under Nov_2016_CAR"/>
  </r>
  <r>
    <n v="6.166666666666667"/>
    <d v="2016-06-30T00:00:00"/>
    <x v="1"/>
    <s v="Solidarities"/>
    <s v="Kachin"/>
    <s v="Bhamo"/>
    <s v="Ta Gun Taing Monastery (Shwe Kyi Na)"/>
    <m/>
    <m/>
    <m/>
    <m/>
    <m/>
    <m/>
    <m/>
    <m/>
    <m/>
    <m/>
    <m/>
    <m/>
    <m/>
    <m/>
    <n v="2"/>
    <m/>
    <m/>
    <n v="0"/>
    <n v="0"/>
    <n v="0"/>
    <n v="0"/>
    <n v="0"/>
    <n v="0"/>
    <n v="0"/>
    <n v="0"/>
    <n v="0"/>
    <n v="0"/>
    <n v="0"/>
    <n v="0"/>
    <n v="0"/>
    <n v="0"/>
    <x v="0"/>
    <n v="2"/>
    <n v="0"/>
    <n v="0"/>
    <s v="MMR001CMP055"/>
    <x v="0"/>
    <x v="1"/>
    <x v="1"/>
    <n v="0"/>
    <m/>
    <s v="Data source: Solidarities/under Nov_2016_CAR"/>
  </r>
  <r>
    <n v="6.7666666666666666"/>
    <d v="2016-06-12T00:00:00"/>
    <x v="2"/>
    <s v="Relief International"/>
    <s v="Shan_North"/>
    <s v="Namtu"/>
    <s v="Namtu KBC 1"/>
    <m/>
    <m/>
    <m/>
    <m/>
    <n v="41"/>
    <m/>
    <m/>
    <m/>
    <m/>
    <m/>
    <m/>
    <m/>
    <m/>
    <m/>
    <m/>
    <m/>
    <m/>
    <n v="0"/>
    <n v="0"/>
    <n v="0"/>
    <n v="0"/>
    <n v="41"/>
    <n v="0"/>
    <n v="0"/>
    <n v="0"/>
    <n v="0"/>
    <n v="0"/>
    <n v="0"/>
    <n v="0"/>
    <n v="0"/>
    <n v="0"/>
    <x v="0"/>
    <n v="0"/>
    <n v="0"/>
    <n v="0"/>
    <s v="MMR015CMP230"/>
    <x v="0"/>
    <x v="1"/>
    <x v="3"/>
    <s v=""/>
    <m/>
    <s v="According to their list, Tarpulin is under &quot;Shelter Kit&quot; . Two items (Tarpulin and Rope) are included in &quot;Shelter Kit&quot;"/>
  </r>
  <r>
    <n v="6.7666666666666666"/>
    <d v="2016-06-12T00:00:00"/>
    <x v="2"/>
    <s v="Relief International"/>
    <s v="Shan_North"/>
    <s v="Namtu"/>
    <s v="Namtu RC"/>
    <m/>
    <m/>
    <m/>
    <m/>
    <n v="23"/>
    <m/>
    <m/>
    <m/>
    <m/>
    <m/>
    <m/>
    <m/>
    <m/>
    <m/>
    <m/>
    <m/>
    <m/>
    <n v="0"/>
    <n v="0"/>
    <n v="0"/>
    <n v="0"/>
    <n v="23"/>
    <n v="0"/>
    <n v="0"/>
    <n v="0"/>
    <n v="0"/>
    <n v="0"/>
    <n v="0"/>
    <n v="0"/>
    <n v="0"/>
    <n v="0"/>
    <x v="0"/>
    <n v="0"/>
    <n v="0"/>
    <n v="0"/>
    <s v="MMR015CMP229"/>
    <x v="0"/>
    <x v="1"/>
    <x v="3"/>
    <s v=""/>
    <m/>
    <s v="According to their list, Tarpulin is under &quot;Shelter Kit&quot; . Two items (Tarpulin and Rope) are included in &quot;Shelter Kit&quot;"/>
  </r>
  <r>
    <n v="6.833333333333333"/>
    <d v="2016-06-10T00:00:00"/>
    <x v="0"/>
    <s v="UNHCR"/>
    <s v="Kachin"/>
    <s v="Sumprabum"/>
    <s v="Lisu Manau Park"/>
    <m/>
    <m/>
    <m/>
    <n v="25"/>
    <n v="8"/>
    <n v="66"/>
    <n v="34"/>
    <m/>
    <n v="6"/>
    <n v="104"/>
    <m/>
    <m/>
    <m/>
    <m/>
    <m/>
    <m/>
    <m/>
    <n v="0"/>
    <n v="0"/>
    <n v="0"/>
    <n v="25"/>
    <n v="8"/>
    <n v="66"/>
    <n v="34"/>
    <n v="0"/>
    <n v="6"/>
    <n v="260"/>
    <n v="0"/>
    <n v="0"/>
    <n v="0"/>
    <n v="0"/>
    <x v="0"/>
    <n v="0"/>
    <n v="0"/>
    <n v="0"/>
    <s v=""/>
    <x v="2"/>
    <x v="2"/>
    <x v="0"/>
    <s v=""/>
    <s v="No"/>
    <m/>
  </r>
  <r>
    <n v="7.166666666666667"/>
    <d v="2016-05-31T00:00:00"/>
    <x v="1"/>
    <s v="Solidarities"/>
    <s v="Kachin"/>
    <s v="Mansi"/>
    <s v="Maing Khaung"/>
    <n v="25"/>
    <n v="25"/>
    <m/>
    <m/>
    <n v="25"/>
    <m/>
    <m/>
    <m/>
    <m/>
    <m/>
    <m/>
    <m/>
    <m/>
    <m/>
    <m/>
    <m/>
    <m/>
    <n v="25"/>
    <n v="25"/>
    <n v="0"/>
    <n v="0"/>
    <n v="25"/>
    <n v="0"/>
    <n v="0"/>
    <n v="0"/>
    <n v="0"/>
    <n v="0"/>
    <n v="0"/>
    <n v="0"/>
    <n v="0"/>
    <n v="0"/>
    <x v="0"/>
    <n v="0"/>
    <n v="0"/>
    <n v="0"/>
    <s v="MMR001CMP218"/>
    <x v="0"/>
    <x v="1"/>
    <x v="1"/>
    <n v="0"/>
    <m/>
    <m/>
  </r>
  <r>
    <n v="8.0333333333333332"/>
    <d v="2016-05-05T00:00:00"/>
    <x v="0"/>
    <s v="KMSS_Myitkyina"/>
    <s v="Kachin"/>
    <s v="Mogaung"/>
    <s v="Ma Hawng RC "/>
    <m/>
    <n v="7"/>
    <n v="7"/>
    <n v="13"/>
    <n v="7"/>
    <n v="13"/>
    <n v="7"/>
    <n v="7"/>
    <n v="7"/>
    <n v="13"/>
    <m/>
    <m/>
    <m/>
    <m/>
    <n v="7"/>
    <m/>
    <m/>
    <n v="0"/>
    <n v="7"/>
    <n v="7"/>
    <n v="13"/>
    <n v="7"/>
    <n v="13"/>
    <n v="7"/>
    <n v="7"/>
    <n v="7"/>
    <n v="32.5"/>
    <n v="0"/>
    <n v="0"/>
    <n v="0"/>
    <n v="0"/>
    <x v="0"/>
    <n v="7"/>
    <n v="0"/>
    <n v="0"/>
    <s v="MMR001CMP237"/>
    <x v="1"/>
    <x v="1"/>
    <x v="3"/>
    <n v="1.6617210682492583E-4"/>
    <m/>
    <m/>
  </r>
  <r>
    <n v="8.1999999999999993"/>
    <d v="2016-04-30T00:00:00"/>
    <x v="1"/>
    <s v="Solidarities"/>
    <s v="Kachin"/>
    <s v="Momauk"/>
    <s v="Loi Je Baptist Church"/>
    <m/>
    <m/>
    <m/>
    <m/>
    <m/>
    <m/>
    <m/>
    <m/>
    <m/>
    <m/>
    <m/>
    <m/>
    <m/>
    <m/>
    <m/>
    <n v="3"/>
    <m/>
    <n v="0"/>
    <n v="0"/>
    <n v="0"/>
    <n v="0"/>
    <n v="0"/>
    <n v="0"/>
    <n v="0"/>
    <n v="0"/>
    <n v="0"/>
    <n v="0"/>
    <n v="0"/>
    <n v="0"/>
    <n v="0"/>
    <n v="0"/>
    <x v="0"/>
    <n v="0"/>
    <n v="3"/>
    <n v="0"/>
    <s v="MMR001CMP071"/>
    <x v="0"/>
    <x v="1"/>
    <x v="2"/>
    <n v="0"/>
    <m/>
    <m/>
  </r>
  <r>
    <n v="8.1999999999999993"/>
    <d v="2016-04-30T00:00:00"/>
    <x v="1"/>
    <s v="Solidarities"/>
    <s v="Kachin"/>
    <s v="Momauk"/>
    <s v="Loi Je Baptist Church"/>
    <m/>
    <m/>
    <m/>
    <m/>
    <m/>
    <m/>
    <m/>
    <m/>
    <m/>
    <m/>
    <m/>
    <m/>
    <m/>
    <m/>
    <m/>
    <m/>
    <m/>
    <n v="0"/>
    <n v="0"/>
    <n v="0"/>
    <n v="0"/>
    <n v="0"/>
    <n v="0"/>
    <n v="0"/>
    <n v="0"/>
    <n v="0"/>
    <n v="0"/>
    <n v="0"/>
    <n v="0"/>
    <n v="0"/>
    <n v="0"/>
    <x v="0"/>
    <n v="0"/>
    <n v="0"/>
    <n v="0"/>
    <s v="MMR001CMP071"/>
    <x v="0"/>
    <x v="1"/>
    <x v="2"/>
    <n v="0"/>
    <m/>
    <m/>
  </r>
  <r>
    <n v="8.1999999999999993"/>
    <d v="2016-04-30T00:00:00"/>
    <x v="1"/>
    <s v="Solidarities"/>
    <s v="Kachin"/>
    <s v="Momauk"/>
    <s v="Loi Je Catholic Church"/>
    <m/>
    <m/>
    <m/>
    <m/>
    <m/>
    <m/>
    <m/>
    <m/>
    <m/>
    <m/>
    <m/>
    <m/>
    <m/>
    <m/>
    <m/>
    <n v="6"/>
    <m/>
    <n v="0"/>
    <n v="0"/>
    <n v="0"/>
    <n v="0"/>
    <n v="0"/>
    <n v="0"/>
    <n v="0"/>
    <n v="0"/>
    <n v="0"/>
    <n v="0"/>
    <n v="0"/>
    <n v="0"/>
    <n v="0"/>
    <n v="0"/>
    <x v="0"/>
    <n v="0"/>
    <n v="6"/>
    <n v="0"/>
    <s v="MMR001CMP069"/>
    <x v="0"/>
    <x v="1"/>
    <x v="2"/>
    <n v="0"/>
    <m/>
    <m/>
  </r>
  <r>
    <n v="8.1999999999999993"/>
    <d v="2016-04-30T00:00:00"/>
    <x v="1"/>
    <s v="Solidarities"/>
    <s v="Kachin"/>
    <s v="Momauk"/>
    <s v="Loi Je Lisu Camp"/>
    <m/>
    <m/>
    <m/>
    <m/>
    <m/>
    <m/>
    <m/>
    <m/>
    <m/>
    <m/>
    <m/>
    <m/>
    <m/>
    <m/>
    <m/>
    <n v="14"/>
    <m/>
    <n v="0"/>
    <n v="0"/>
    <n v="0"/>
    <n v="0"/>
    <n v="0"/>
    <n v="0"/>
    <n v="0"/>
    <n v="0"/>
    <n v="0"/>
    <n v="0"/>
    <n v="0"/>
    <n v="0"/>
    <n v="0"/>
    <n v="0"/>
    <x v="0"/>
    <n v="0"/>
    <n v="14"/>
    <n v="0"/>
    <s v="MMR001CMP070"/>
    <x v="0"/>
    <x v="1"/>
    <x v="2"/>
    <n v="0"/>
    <m/>
    <m/>
  </r>
  <r>
    <n v="8.1999999999999993"/>
    <d v="2016-04-30T00:00:00"/>
    <x v="1"/>
    <s v="Solidarities"/>
    <s v="Kachin"/>
    <s v="Momauk"/>
    <s v="Nyaung Na Pin "/>
    <m/>
    <m/>
    <m/>
    <m/>
    <m/>
    <m/>
    <m/>
    <m/>
    <m/>
    <m/>
    <m/>
    <m/>
    <m/>
    <m/>
    <m/>
    <n v="5"/>
    <m/>
    <n v="0"/>
    <n v="0"/>
    <n v="0"/>
    <n v="0"/>
    <n v="0"/>
    <n v="0"/>
    <n v="0"/>
    <n v="0"/>
    <n v="0"/>
    <n v="0"/>
    <n v="0"/>
    <n v="0"/>
    <n v="0"/>
    <n v="0"/>
    <x v="0"/>
    <n v="0"/>
    <n v="5"/>
    <n v="0"/>
    <s v="MMR001CMP072"/>
    <x v="0"/>
    <x v="1"/>
    <x v="2"/>
    <n v="0"/>
    <m/>
    <m/>
  </r>
  <r>
    <n v="8.1999999999999993"/>
    <d v="2016-04-30T00:00:00"/>
    <x v="1"/>
    <s v="Solidarities"/>
    <s v="Kachin"/>
    <s v="Momauk"/>
    <s v="Seng Ja "/>
    <m/>
    <m/>
    <m/>
    <m/>
    <m/>
    <m/>
    <m/>
    <m/>
    <m/>
    <m/>
    <m/>
    <m/>
    <m/>
    <m/>
    <m/>
    <n v="4"/>
    <m/>
    <n v="0"/>
    <n v="0"/>
    <n v="0"/>
    <n v="0"/>
    <n v="0"/>
    <n v="0"/>
    <n v="0"/>
    <n v="0"/>
    <n v="0"/>
    <n v="0"/>
    <n v="0"/>
    <n v="0"/>
    <n v="0"/>
    <n v="0"/>
    <x v="0"/>
    <n v="0"/>
    <n v="4"/>
    <n v="0"/>
    <s v="MMR001CMP073"/>
    <x v="0"/>
    <x v="1"/>
    <x v="2"/>
    <n v="0"/>
    <m/>
    <m/>
  </r>
  <r>
    <n v="8.2333333333333325"/>
    <d v="2016-04-29T00:00:00"/>
    <x v="1"/>
    <s v="Solidarities"/>
    <s v="Kachin"/>
    <s v="Bhamo"/>
    <s v="AD-2000 Tharthana Compound"/>
    <m/>
    <m/>
    <m/>
    <m/>
    <m/>
    <m/>
    <m/>
    <m/>
    <m/>
    <m/>
    <m/>
    <m/>
    <m/>
    <m/>
    <m/>
    <n v="74"/>
    <m/>
    <n v="0"/>
    <n v="0"/>
    <n v="0"/>
    <n v="0"/>
    <n v="0"/>
    <n v="0"/>
    <n v="0"/>
    <n v="0"/>
    <n v="0"/>
    <n v="0"/>
    <n v="0"/>
    <n v="0"/>
    <n v="0"/>
    <n v="0"/>
    <x v="0"/>
    <n v="0"/>
    <n v="74"/>
    <n v="0"/>
    <s v="MMR001CMP050"/>
    <x v="0"/>
    <x v="1"/>
    <x v="1"/>
    <n v="0"/>
    <m/>
    <m/>
  </r>
  <r>
    <n v="8.2333333333333325"/>
    <d v="2016-04-29T00:00:00"/>
    <x v="1"/>
    <s v="Solidarities"/>
    <s v="Kachin"/>
    <s v="Momauk"/>
    <s v="Edin"/>
    <m/>
    <m/>
    <m/>
    <m/>
    <m/>
    <m/>
    <m/>
    <m/>
    <m/>
    <m/>
    <m/>
    <m/>
    <m/>
    <m/>
    <m/>
    <n v="26"/>
    <m/>
    <n v="0"/>
    <n v="0"/>
    <n v="0"/>
    <n v="0"/>
    <n v="0"/>
    <n v="0"/>
    <n v="0"/>
    <n v="0"/>
    <n v="0"/>
    <n v="0"/>
    <n v="0"/>
    <n v="0"/>
    <n v="0"/>
    <n v="0"/>
    <x v="0"/>
    <n v="0"/>
    <n v="26"/>
    <n v="0"/>
    <s v=""/>
    <x v="2"/>
    <x v="2"/>
    <x v="0"/>
    <s v=""/>
    <m/>
    <m/>
  </r>
  <r>
    <n v="8.2333333333333325"/>
    <d v="2016-04-29T00:00:00"/>
    <x v="1"/>
    <s v="Solidarities"/>
    <s v="Kachin"/>
    <s v="Momauk"/>
    <s v="Ni Thaw Ka Monestry"/>
    <m/>
    <m/>
    <m/>
    <m/>
    <m/>
    <m/>
    <m/>
    <m/>
    <m/>
    <m/>
    <m/>
    <m/>
    <m/>
    <m/>
    <m/>
    <n v="10"/>
    <m/>
    <n v="0"/>
    <n v="0"/>
    <n v="0"/>
    <n v="0"/>
    <n v="0"/>
    <n v="0"/>
    <n v="0"/>
    <n v="0"/>
    <n v="0"/>
    <n v="0"/>
    <n v="0"/>
    <n v="0"/>
    <n v="0"/>
    <n v="0"/>
    <x v="0"/>
    <n v="0"/>
    <n v="10"/>
    <n v="0"/>
    <s v="MMR001CMP059"/>
    <x v="0"/>
    <x v="0"/>
    <x v="1"/>
    <n v="0"/>
    <m/>
    <m/>
  </r>
  <r>
    <n v="8.2333333333333325"/>
    <d v="2016-04-29T00:00:00"/>
    <x v="1"/>
    <s v="Solidarities"/>
    <s v="Kachin"/>
    <s v="Bhamo"/>
    <s v="Phan Khar Kone"/>
    <m/>
    <m/>
    <m/>
    <m/>
    <m/>
    <m/>
    <m/>
    <m/>
    <m/>
    <m/>
    <m/>
    <m/>
    <m/>
    <m/>
    <m/>
    <n v="48"/>
    <m/>
    <n v="0"/>
    <n v="0"/>
    <n v="0"/>
    <n v="0"/>
    <n v="0"/>
    <n v="0"/>
    <n v="0"/>
    <n v="0"/>
    <n v="0"/>
    <n v="0"/>
    <n v="0"/>
    <n v="0"/>
    <n v="0"/>
    <n v="0"/>
    <x v="0"/>
    <n v="0"/>
    <n v="48"/>
    <n v="0"/>
    <s v="MMR001CMP193"/>
    <x v="0"/>
    <x v="1"/>
    <x v="1"/>
    <n v="0"/>
    <m/>
    <m/>
  </r>
  <r>
    <n v="8.2333333333333325"/>
    <d v="2016-04-29T00:00:00"/>
    <x v="1"/>
    <s v="Solidarities"/>
    <s v="Kachin"/>
    <s v="Bhamo"/>
    <s v="Robert Church"/>
    <m/>
    <m/>
    <m/>
    <m/>
    <m/>
    <m/>
    <m/>
    <m/>
    <m/>
    <m/>
    <m/>
    <m/>
    <m/>
    <m/>
    <m/>
    <n v="152"/>
    <m/>
    <n v="0"/>
    <n v="0"/>
    <n v="0"/>
    <n v="0"/>
    <n v="0"/>
    <n v="0"/>
    <n v="0"/>
    <n v="0"/>
    <n v="0"/>
    <n v="0"/>
    <n v="0"/>
    <n v="0"/>
    <n v="0"/>
    <n v="0"/>
    <x v="0"/>
    <n v="0"/>
    <n v="152"/>
    <n v="0"/>
    <s v="MMR001CMP047"/>
    <x v="0"/>
    <x v="1"/>
    <x v="1"/>
    <n v="0"/>
    <m/>
    <m/>
  </r>
  <r>
    <n v="8.2333333333333325"/>
    <d v="2016-04-29T00:00:00"/>
    <x v="1"/>
    <s v="Solidarities"/>
    <s v="Kachin"/>
    <s v="Bhamo"/>
    <s v="Ta Gun Taing Monastery (Shwe Kyi Na)"/>
    <m/>
    <m/>
    <m/>
    <m/>
    <m/>
    <m/>
    <m/>
    <m/>
    <m/>
    <m/>
    <m/>
    <m/>
    <m/>
    <m/>
    <m/>
    <n v="10"/>
    <m/>
    <n v="0"/>
    <n v="0"/>
    <n v="0"/>
    <n v="0"/>
    <n v="0"/>
    <n v="0"/>
    <n v="0"/>
    <n v="0"/>
    <n v="0"/>
    <n v="0"/>
    <n v="0"/>
    <n v="0"/>
    <n v="0"/>
    <n v="0"/>
    <x v="0"/>
    <n v="0"/>
    <n v="10"/>
    <n v="0"/>
    <s v="MMR001CMP055"/>
    <x v="0"/>
    <x v="1"/>
    <x v="1"/>
    <n v="0"/>
    <m/>
    <m/>
  </r>
  <r>
    <n v="8.8333333333333339"/>
    <d v="2016-04-11T00:00:00"/>
    <x v="0"/>
    <s v="KBC"/>
    <s v="Shan_North"/>
    <s v="Namhkan"/>
    <s v="Mine Wee (Man Jan)"/>
    <m/>
    <m/>
    <m/>
    <n v="126"/>
    <m/>
    <n v="126"/>
    <n v="64"/>
    <m/>
    <m/>
    <n v="122"/>
    <m/>
    <m/>
    <m/>
    <m/>
    <n v="64"/>
    <m/>
    <m/>
    <n v="0"/>
    <n v="0"/>
    <n v="0"/>
    <n v="126"/>
    <n v="0"/>
    <n v="126"/>
    <n v="64"/>
    <n v="0"/>
    <n v="0"/>
    <n v="305"/>
    <n v="0"/>
    <n v="0"/>
    <n v="0"/>
    <n v="0"/>
    <x v="0"/>
    <n v="64"/>
    <n v="0"/>
    <n v="0"/>
    <s v=""/>
    <x v="2"/>
    <x v="2"/>
    <x v="0"/>
    <s v=""/>
    <m/>
    <m/>
  </r>
  <r>
    <n v="8.9333333333333336"/>
    <d v="2016-04-08T00:00:00"/>
    <x v="0"/>
    <s v="KBC"/>
    <s v="Kachin"/>
    <s v="Bhamo"/>
    <s v="Lisu Boarding-House"/>
    <m/>
    <m/>
    <m/>
    <m/>
    <n v="10"/>
    <m/>
    <m/>
    <m/>
    <m/>
    <m/>
    <m/>
    <m/>
    <m/>
    <m/>
    <m/>
    <m/>
    <m/>
    <n v="0"/>
    <n v="0"/>
    <n v="0"/>
    <n v="0"/>
    <n v="10"/>
    <n v="0"/>
    <n v="0"/>
    <n v="0"/>
    <n v="0"/>
    <n v="0"/>
    <n v="0"/>
    <n v="0"/>
    <n v="0"/>
    <n v="0"/>
    <x v="0"/>
    <n v="0"/>
    <n v="0"/>
    <n v="0"/>
    <s v="MMR001CMP049"/>
    <x v="0"/>
    <x v="1"/>
    <x v="1"/>
    <n v="0"/>
    <m/>
    <m/>
  </r>
  <r>
    <n v="9.1999999999999993"/>
    <d v="2016-03-31T00:00:00"/>
    <x v="0"/>
    <s v="Shalom"/>
    <s v="Kachin"/>
    <s v="Bhamo"/>
    <s v="Mu-yin Baptist Church"/>
    <m/>
    <m/>
    <m/>
    <m/>
    <n v="4"/>
    <m/>
    <m/>
    <m/>
    <m/>
    <m/>
    <m/>
    <m/>
    <m/>
    <m/>
    <m/>
    <m/>
    <m/>
    <n v="0"/>
    <n v="0"/>
    <n v="0"/>
    <n v="0"/>
    <n v="4"/>
    <n v="0"/>
    <n v="0"/>
    <n v="0"/>
    <n v="0"/>
    <n v="0"/>
    <n v="0"/>
    <n v="0"/>
    <n v="0"/>
    <n v="0"/>
    <x v="0"/>
    <n v="0"/>
    <n v="0"/>
    <n v="0"/>
    <s v="MMR001CMP051"/>
    <x v="0"/>
    <x v="1"/>
    <x v="1"/>
    <n v="0"/>
    <m/>
    <m/>
  </r>
  <r>
    <n v="9.6666666666666661"/>
    <d v="2016-03-17T00:00:00"/>
    <x v="1"/>
    <s v="Solidarities"/>
    <s v="Kachin"/>
    <s v="Bhamo"/>
    <s v="Robert Church"/>
    <m/>
    <m/>
    <m/>
    <m/>
    <m/>
    <m/>
    <m/>
    <m/>
    <m/>
    <m/>
    <m/>
    <m/>
    <m/>
    <m/>
    <n v="1"/>
    <m/>
    <m/>
    <n v="0"/>
    <n v="0"/>
    <n v="0"/>
    <n v="0"/>
    <n v="0"/>
    <n v="0"/>
    <n v="0"/>
    <n v="0"/>
    <n v="0"/>
    <n v="0"/>
    <n v="0"/>
    <n v="0"/>
    <n v="0"/>
    <n v="0"/>
    <x v="0"/>
    <n v="1"/>
    <n v="0"/>
    <n v="0"/>
    <s v="MMR001CMP047"/>
    <x v="0"/>
    <x v="1"/>
    <x v="1"/>
    <n v="0"/>
    <m/>
    <m/>
  </r>
  <r>
    <n v="9.6999999999999993"/>
    <d v="2016-03-16T00:00:00"/>
    <x v="1"/>
    <s v="Solidarities"/>
    <s v="Kachin"/>
    <s v="Momauk"/>
    <s v="Ni Thaw Ka Monestry"/>
    <m/>
    <m/>
    <m/>
    <m/>
    <m/>
    <m/>
    <m/>
    <m/>
    <m/>
    <m/>
    <m/>
    <m/>
    <m/>
    <m/>
    <n v="1"/>
    <m/>
    <m/>
    <n v="0"/>
    <n v="0"/>
    <n v="0"/>
    <n v="0"/>
    <n v="0"/>
    <n v="0"/>
    <n v="0"/>
    <n v="0"/>
    <n v="0"/>
    <n v="0"/>
    <n v="0"/>
    <n v="0"/>
    <n v="0"/>
    <n v="0"/>
    <x v="0"/>
    <n v="1"/>
    <n v="0"/>
    <n v="0"/>
    <s v="MMR001CMP059"/>
    <x v="0"/>
    <x v="0"/>
    <x v="1"/>
    <n v="0"/>
    <m/>
    <m/>
  </r>
  <r>
    <n v="9.6999999999999993"/>
    <d v="2016-03-16T00:00:00"/>
    <x v="1"/>
    <s v="Solidarities"/>
    <s v="Kachin"/>
    <s v="Bhamo"/>
    <s v="Phan Khar Kone"/>
    <m/>
    <m/>
    <m/>
    <m/>
    <m/>
    <m/>
    <m/>
    <m/>
    <m/>
    <m/>
    <m/>
    <m/>
    <m/>
    <m/>
    <n v="4"/>
    <m/>
    <m/>
    <n v="0"/>
    <n v="0"/>
    <n v="0"/>
    <n v="0"/>
    <n v="0"/>
    <n v="0"/>
    <n v="0"/>
    <n v="0"/>
    <n v="0"/>
    <n v="0"/>
    <n v="0"/>
    <n v="0"/>
    <n v="0"/>
    <n v="0"/>
    <x v="0"/>
    <n v="4"/>
    <n v="0"/>
    <n v="0"/>
    <s v="MMR001CMP193"/>
    <x v="0"/>
    <x v="1"/>
    <x v="1"/>
    <n v="0"/>
    <m/>
    <m/>
  </r>
  <r>
    <n v="9.9666666666666668"/>
    <d v="2016-03-08T00:00:00"/>
    <x v="0"/>
    <s v="KMSS_LSO"/>
    <s v="Shan_North"/>
    <s v="Kutkai"/>
    <m/>
    <m/>
    <m/>
    <m/>
    <n v="600"/>
    <m/>
    <m/>
    <m/>
    <m/>
    <m/>
    <m/>
    <m/>
    <m/>
    <m/>
    <m/>
    <m/>
    <m/>
    <m/>
    <n v="0"/>
    <n v="0"/>
    <n v="0"/>
    <n v="600"/>
    <n v="0"/>
    <n v="0"/>
    <n v="0"/>
    <n v="0"/>
    <n v="0"/>
    <n v="0"/>
    <n v="0"/>
    <n v="0"/>
    <n v="0"/>
    <n v="0"/>
    <x v="0"/>
    <n v="0"/>
    <n v="0"/>
    <n v="0"/>
    <s v=""/>
    <x v="2"/>
    <x v="2"/>
    <x v="0"/>
    <s v=""/>
    <m/>
    <s v="For Kyauk Mae Areas. Mosquito 650 pcs transported to Shan but 600 pcs are distributed through RRD and KMSS-Lashio to 12 camp-like setting areas and 50 pcs are returned back to UNHCR Myitkyina warehouse. "/>
  </r>
  <r>
    <n v="10.233333333333333"/>
    <d v="2016-02-29T00:00:00"/>
    <x v="1"/>
    <s v="Solidarities"/>
    <s v="Kachin"/>
    <s v="Momauk"/>
    <s v="Edin"/>
    <m/>
    <m/>
    <m/>
    <m/>
    <m/>
    <m/>
    <m/>
    <m/>
    <m/>
    <m/>
    <m/>
    <m/>
    <m/>
    <m/>
    <m/>
    <m/>
    <m/>
    <n v="0"/>
    <n v="0"/>
    <n v="0"/>
    <n v="0"/>
    <n v="0"/>
    <n v="0"/>
    <n v="0"/>
    <n v="0"/>
    <n v="0"/>
    <n v="0"/>
    <n v="0"/>
    <n v="0"/>
    <n v="0"/>
    <n v="0"/>
    <x v="0"/>
    <n v="0"/>
    <n v="0"/>
    <n v="0"/>
    <s v=""/>
    <x v="2"/>
    <x v="2"/>
    <x v="0"/>
    <s v=""/>
    <m/>
    <m/>
  </r>
  <r>
    <n v="10.233333333333333"/>
    <d v="2016-02-29T00:00:00"/>
    <x v="1"/>
    <s v="Solidarities"/>
    <s v="Kachin"/>
    <s v="Momauk"/>
    <s v="Ni Thaw Ka Monestry"/>
    <m/>
    <m/>
    <m/>
    <m/>
    <m/>
    <m/>
    <m/>
    <m/>
    <m/>
    <m/>
    <m/>
    <m/>
    <m/>
    <m/>
    <m/>
    <m/>
    <m/>
    <n v="0"/>
    <n v="0"/>
    <n v="0"/>
    <n v="0"/>
    <n v="0"/>
    <n v="0"/>
    <n v="0"/>
    <n v="0"/>
    <n v="0"/>
    <n v="0"/>
    <n v="0"/>
    <n v="0"/>
    <n v="0"/>
    <n v="0"/>
    <x v="0"/>
    <n v="0"/>
    <n v="0"/>
    <n v="0"/>
    <s v="MMR001CMP059"/>
    <x v="0"/>
    <x v="0"/>
    <x v="1"/>
    <n v="0"/>
    <m/>
    <m/>
  </r>
  <r>
    <n v="10.266666666666667"/>
    <d v="2016-02-28T00:00:00"/>
    <x v="0"/>
    <s v="KBC"/>
    <s v="Kachin"/>
    <s v="Chipwi"/>
    <s v="Hpare Hkyer - BP6"/>
    <m/>
    <m/>
    <m/>
    <m/>
    <m/>
    <n v="345"/>
    <m/>
    <m/>
    <m/>
    <m/>
    <m/>
    <n v="765"/>
    <m/>
    <m/>
    <m/>
    <m/>
    <m/>
    <n v="0"/>
    <n v="0"/>
    <n v="0"/>
    <n v="0"/>
    <n v="0"/>
    <n v="345"/>
    <n v="0"/>
    <n v="0"/>
    <n v="0"/>
    <n v="0"/>
    <n v="0"/>
    <n v="765"/>
    <n v="0"/>
    <n v="0"/>
    <x v="2"/>
    <n v="0"/>
    <n v="0"/>
    <n v="0"/>
    <s v="MMR001CMP043"/>
    <x v="0"/>
    <x v="1"/>
    <x v="5"/>
    <n v="0"/>
    <m/>
    <m/>
  </r>
  <r>
    <n v="10.3"/>
    <d v="2016-02-27T00:00:00"/>
    <x v="0"/>
    <s v="KBC"/>
    <s v="Kachin"/>
    <s v="Waingmaw"/>
    <s v="Hpare Hkyer - BP6"/>
    <m/>
    <m/>
    <m/>
    <m/>
    <m/>
    <m/>
    <m/>
    <m/>
    <m/>
    <m/>
    <n v="380"/>
    <n v="380"/>
    <m/>
    <m/>
    <m/>
    <m/>
    <m/>
    <n v="0"/>
    <n v="0"/>
    <n v="0"/>
    <n v="0"/>
    <n v="0"/>
    <n v="0"/>
    <n v="0"/>
    <n v="0"/>
    <n v="0"/>
    <n v="0"/>
    <n v="380"/>
    <n v="380"/>
    <n v="0"/>
    <n v="0"/>
    <x v="2"/>
    <n v="0"/>
    <n v="0"/>
    <n v="0"/>
    <s v="MMR001CMP043"/>
    <x v="0"/>
    <x v="1"/>
    <x v="5"/>
    <n v="0"/>
    <m/>
    <s v="13/May/16 (Hpare camp received only winter clothes)_x000a_For Pajau camp and Hpare camp, items transported by UNHCR laiza mission team and further distributed by KBC -&gt; 365 pcs of blackets, Fleece jackets for female (M) = 300 pcs, Fleece jackets for  female (L) = 160 pcs, "/>
  </r>
  <r>
    <n v="10.3"/>
    <d v="2016-02-27T00:00:00"/>
    <x v="0"/>
    <s v="KBC"/>
    <s v="Kachin"/>
    <s v="Waingmaw"/>
    <s v="Pajau - Jan Mai"/>
    <m/>
    <m/>
    <m/>
    <m/>
    <m/>
    <m/>
    <m/>
    <m/>
    <m/>
    <m/>
    <n v="330"/>
    <n v="330"/>
    <m/>
    <n v="346"/>
    <m/>
    <m/>
    <m/>
    <n v="0"/>
    <n v="0"/>
    <n v="0"/>
    <n v="0"/>
    <n v="0"/>
    <n v="0"/>
    <n v="0"/>
    <n v="0"/>
    <n v="0"/>
    <n v="0"/>
    <n v="330"/>
    <n v="330"/>
    <n v="0"/>
    <n v="346"/>
    <x v="2"/>
    <n v="0"/>
    <n v="0"/>
    <n v="0"/>
    <s v="MMR001CMP120"/>
    <x v="0"/>
    <x v="1"/>
    <x v="5"/>
    <n v="0"/>
    <m/>
    <s v="Pajau camp received both winter itmes and blankets"/>
  </r>
  <r>
    <n v="10.3"/>
    <d v="2016-02-27T00:00:00"/>
    <x v="0"/>
    <s v="KBC"/>
    <s v="Kachin"/>
    <s v="Waingmaw"/>
    <s v="Pajau - Jan Mai"/>
    <m/>
    <m/>
    <m/>
    <m/>
    <m/>
    <n v="670"/>
    <m/>
    <m/>
    <n v="345"/>
    <m/>
    <m/>
    <m/>
    <m/>
    <m/>
    <m/>
    <m/>
    <m/>
    <n v="0"/>
    <n v="0"/>
    <n v="0"/>
    <n v="0"/>
    <n v="0"/>
    <n v="670"/>
    <n v="0"/>
    <n v="0"/>
    <n v="345"/>
    <n v="0"/>
    <n v="0"/>
    <n v="0"/>
    <n v="0"/>
    <n v="0"/>
    <x v="0"/>
    <n v="0"/>
    <n v="0"/>
    <n v="0"/>
    <s v="MMR001CMP120"/>
    <x v="0"/>
    <x v="1"/>
    <x v="5"/>
    <n v="0"/>
    <m/>
    <m/>
  </r>
  <r>
    <n v="10.333333333333334"/>
    <d v="2016-02-26T00:00:00"/>
    <x v="1"/>
    <s v="Solidarities"/>
    <s v="Kachin"/>
    <s v="Bhamo"/>
    <s v="AD-2000 Tharthana Compound"/>
    <m/>
    <m/>
    <m/>
    <m/>
    <m/>
    <m/>
    <m/>
    <m/>
    <m/>
    <m/>
    <m/>
    <m/>
    <m/>
    <m/>
    <m/>
    <m/>
    <m/>
    <n v="0"/>
    <n v="0"/>
    <n v="0"/>
    <n v="0"/>
    <n v="0"/>
    <n v="0"/>
    <n v="0"/>
    <n v="0"/>
    <n v="0"/>
    <n v="0"/>
    <n v="0"/>
    <n v="0"/>
    <n v="0"/>
    <n v="0"/>
    <x v="0"/>
    <n v="0"/>
    <n v="0"/>
    <n v="0"/>
    <s v="MMR001CMP050"/>
    <x v="0"/>
    <x v="1"/>
    <x v="1"/>
    <n v="0"/>
    <m/>
    <m/>
  </r>
  <r>
    <n v="10.333333333333334"/>
    <d v="2016-02-26T00:00:00"/>
    <x v="1"/>
    <s v="Solidarities"/>
    <s v="Kachin"/>
    <s v="Bhamo"/>
    <s v="Ta Gun Taing Monastery (Shwe Kyi Na)"/>
    <m/>
    <m/>
    <m/>
    <m/>
    <m/>
    <m/>
    <m/>
    <m/>
    <m/>
    <m/>
    <m/>
    <m/>
    <m/>
    <m/>
    <m/>
    <m/>
    <m/>
    <n v="0"/>
    <n v="0"/>
    <n v="0"/>
    <n v="0"/>
    <n v="0"/>
    <n v="0"/>
    <n v="0"/>
    <n v="0"/>
    <n v="0"/>
    <n v="0"/>
    <n v="0"/>
    <n v="0"/>
    <n v="0"/>
    <n v="0"/>
    <x v="0"/>
    <n v="0"/>
    <n v="0"/>
    <n v="0"/>
    <s v="MMR001CMP055"/>
    <x v="0"/>
    <x v="1"/>
    <x v="1"/>
    <n v="0"/>
    <m/>
    <m/>
  </r>
  <r>
    <n v="10.366666666666667"/>
    <d v="2016-02-25T00:00:00"/>
    <x v="1"/>
    <s v="Solidarities"/>
    <s v="Kachin"/>
    <s v="Bhamo"/>
    <s v="Phan Khar Kone"/>
    <m/>
    <m/>
    <m/>
    <m/>
    <m/>
    <m/>
    <m/>
    <m/>
    <m/>
    <m/>
    <m/>
    <m/>
    <m/>
    <m/>
    <m/>
    <m/>
    <m/>
    <n v="0"/>
    <n v="0"/>
    <n v="0"/>
    <n v="0"/>
    <n v="0"/>
    <n v="0"/>
    <n v="0"/>
    <n v="0"/>
    <n v="0"/>
    <n v="0"/>
    <n v="0"/>
    <n v="0"/>
    <n v="0"/>
    <n v="0"/>
    <x v="0"/>
    <n v="0"/>
    <n v="0"/>
    <n v="0"/>
    <s v="MMR001CMP193"/>
    <x v="0"/>
    <x v="1"/>
    <x v="1"/>
    <n v="0"/>
    <m/>
    <m/>
  </r>
  <r>
    <n v="10.366666666666667"/>
    <d v="2016-02-25T00:00:00"/>
    <x v="1"/>
    <s v="Solidarities"/>
    <s v="Kachin"/>
    <s v="Bhamo"/>
    <s v="Robert Church"/>
    <m/>
    <m/>
    <m/>
    <m/>
    <m/>
    <m/>
    <m/>
    <m/>
    <m/>
    <m/>
    <m/>
    <m/>
    <m/>
    <m/>
    <m/>
    <m/>
    <m/>
    <n v="0"/>
    <n v="0"/>
    <n v="0"/>
    <n v="0"/>
    <n v="0"/>
    <n v="0"/>
    <n v="0"/>
    <n v="0"/>
    <n v="0"/>
    <n v="0"/>
    <n v="0"/>
    <n v="0"/>
    <n v="0"/>
    <n v="0"/>
    <x v="0"/>
    <n v="0"/>
    <n v="0"/>
    <n v="0"/>
    <s v="MMR001CMP047"/>
    <x v="0"/>
    <x v="1"/>
    <x v="1"/>
    <n v="0"/>
    <m/>
    <m/>
  </r>
  <r>
    <n v="10.4"/>
    <d v="2016-02-24T00:00:00"/>
    <x v="1"/>
    <s v="KBC"/>
    <s v="Kachin"/>
    <s v="Momauk"/>
    <s v="Je Yang Hka "/>
    <m/>
    <m/>
    <m/>
    <m/>
    <m/>
    <m/>
    <m/>
    <m/>
    <m/>
    <m/>
    <m/>
    <m/>
    <m/>
    <m/>
    <m/>
    <m/>
    <m/>
    <n v="0"/>
    <n v="0"/>
    <n v="0"/>
    <n v="0"/>
    <n v="0"/>
    <n v="0"/>
    <n v="0"/>
    <n v="0"/>
    <n v="0"/>
    <n v="0"/>
    <n v="0"/>
    <n v="0"/>
    <n v="0"/>
    <n v="0"/>
    <x v="0"/>
    <n v="0"/>
    <n v="0"/>
    <n v="0"/>
    <s v="MMR001CMP121"/>
    <x v="0"/>
    <x v="1"/>
    <x v="6"/>
    <n v="0"/>
    <m/>
    <m/>
  </r>
  <r>
    <n v="10.433333333333334"/>
    <d v="2016-02-23T00:00:00"/>
    <x v="1"/>
    <s v="KBC"/>
    <s v="Kachin"/>
    <s v="Momauk"/>
    <s v="Je Yang Hka "/>
    <m/>
    <m/>
    <n v="1807"/>
    <m/>
    <m/>
    <m/>
    <m/>
    <m/>
    <m/>
    <m/>
    <m/>
    <m/>
    <m/>
    <m/>
    <m/>
    <m/>
    <m/>
    <n v="0"/>
    <n v="0"/>
    <n v="1807"/>
    <n v="0"/>
    <n v="0"/>
    <n v="0"/>
    <n v="0"/>
    <n v="0"/>
    <n v="0"/>
    <n v="0"/>
    <n v="0"/>
    <n v="0"/>
    <n v="0"/>
    <n v="0"/>
    <x v="0"/>
    <n v="0"/>
    <n v="0"/>
    <n v="0"/>
    <s v="MMR001CMP121"/>
    <x v="0"/>
    <x v="1"/>
    <x v="6"/>
    <n v="0"/>
    <m/>
    <m/>
  </r>
  <r>
    <n v="10.466666666666667"/>
    <d v="2016-02-22T00:00:00"/>
    <x v="0"/>
    <s v="KBC"/>
    <s v="Shan_North"/>
    <s v="Kutkai"/>
    <m/>
    <m/>
    <m/>
    <m/>
    <m/>
    <m/>
    <m/>
    <m/>
    <m/>
    <m/>
    <m/>
    <m/>
    <m/>
    <m/>
    <m/>
    <m/>
    <m/>
    <n v="71"/>
    <n v="0"/>
    <n v="0"/>
    <n v="0"/>
    <n v="0"/>
    <n v="0"/>
    <n v="0"/>
    <n v="0"/>
    <n v="0"/>
    <n v="0"/>
    <n v="0"/>
    <n v="0"/>
    <n v="0"/>
    <n v="0"/>
    <n v="0"/>
    <x v="0"/>
    <n v="0"/>
    <n v="0"/>
    <n v="71"/>
    <s v=""/>
    <x v="2"/>
    <x v="2"/>
    <x v="0"/>
    <s v=""/>
    <m/>
    <s v="For Mang Wee villagers. 'KBC-Muse released family tents from their stock for this distribution"/>
  </r>
  <r>
    <n v="10.933333333333334"/>
    <d v="2016-02-08T00:00:00"/>
    <x v="1"/>
    <s v="Solidarities"/>
    <s v="Kachin"/>
    <s v="Momauk"/>
    <s v="Nyaung Na Pin "/>
    <m/>
    <m/>
    <n v="82"/>
    <m/>
    <m/>
    <m/>
    <m/>
    <m/>
    <m/>
    <m/>
    <m/>
    <m/>
    <m/>
    <m/>
    <m/>
    <m/>
    <m/>
    <n v="0"/>
    <n v="0"/>
    <n v="82"/>
    <n v="0"/>
    <n v="0"/>
    <n v="0"/>
    <n v="0"/>
    <n v="0"/>
    <n v="0"/>
    <n v="0"/>
    <n v="0"/>
    <n v="0"/>
    <n v="0"/>
    <n v="0"/>
    <x v="0"/>
    <n v="0"/>
    <n v="0"/>
    <n v="0"/>
    <s v="MMR001CMP072"/>
    <x v="0"/>
    <x v="1"/>
    <x v="2"/>
    <n v="0"/>
    <m/>
    <m/>
  </r>
  <r>
    <n v="10.933333333333334"/>
    <d v="2016-02-08T00:00:00"/>
    <x v="1"/>
    <s v="Solidarities"/>
    <s v="Kachin"/>
    <s v="Bhamo"/>
    <s v="Robert Church"/>
    <m/>
    <m/>
    <n v="996"/>
    <m/>
    <m/>
    <m/>
    <m/>
    <m/>
    <m/>
    <m/>
    <m/>
    <m/>
    <m/>
    <m/>
    <m/>
    <m/>
    <m/>
    <n v="0"/>
    <n v="0"/>
    <n v="996"/>
    <n v="0"/>
    <n v="0"/>
    <n v="0"/>
    <n v="0"/>
    <n v="0"/>
    <n v="0"/>
    <n v="0"/>
    <n v="0"/>
    <n v="0"/>
    <n v="0"/>
    <n v="0"/>
    <x v="0"/>
    <n v="0"/>
    <n v="0"/>
    <n v="0"/>
    <s v="MMR001CMP047"/>
    <x v="0"/>
    <x v="1"/>
    <x v="1"/>
    <n v="0"/>
    <m/>
    <m/>
  </r>
  <r>
    <n v="10.933333333333334"/>
    <d v="2016-02-08T00:00:00"/>
    <x v="1"/>
    <s v="Solidarities"/>
    <s v="Kachin"/>
    <s v="Momauk"/>
    <s v="Seng Ja "/>
    <m/>
    <m/>
    <n v="62"/>
    <m/>
    <m/>
    <m/>
    <m/>
    <m/>
    <m/>
    <m/>
    <m/>
    <m/>
    <m/>
    <m/>
    <m/>
    <m/>
    <m/>
    <n v="0"/>
    <n v="0"/>
    <n v="62"/>
    <n v="0"/>
    <n v="0"/>
    <n v="0"/>
    <n v="0"/>
    <n v="0"/>
    <n v="0"/>
    <n v="0"/>
    <n v="0"/>
    <n v="0"/>
    <n v="0"/>
    <n v="0"/>
    <x v="0"/>
    <n v="0"/>
    <n v="0"/>
    <n v="0"/>
    <s v="MMR001CMP073"/>
    <x v="0"/>
    <x v="1"/>
    <x v="2"/>
    <n v="0"/>
    <m/>
    <m/>
  </r>
  <r>
    <n v="11.033333333333333"/>
    <d v="2016-02-05T00:00:00"/>
    <x v="1"/>
    <s v="Solidarities"/>
    <s v="Kachin"/>
    <s v="Momauk"/>
    <s v="Loi Je Lisu Camp"/>
    <m/>
    <m/>
    <n v="258"/>
    <m/>
    <m/>
    <m/>
    <m/>
    <m/>
    <m/>
    <m/>
    <m/>
    <m/>
    <m/>
    <m/>
    <m/>
    <m/>
    <m/>
    <n v="0"/>
    <n v="0"/>
    <n v="258"/>
    <n v="0"/>
    <n v="0"/>
    <n v="0"/>
    <n v="0"/>
    <n v="0"/>
    <n v="0"/>
    <n v="0"/>
    <n v="0"/>
    <n v="0"/>
    <n v="0"/>
    <n v="0"/>
    <x v="0"/>
    <n v="0"/>
    <n v="0"/>
    <n v="0"/>
    <s v="MMR001CMP070"/>
    <x v="0"/>
    <x v="1"/>
    <x v="2"/>
    <n v="0"/>
    <m/>
    <m/>
  </r>
  <r>
    <n v="11.066666666666666"/>
    <d v="2016-02-04T00:00:00"/>
    <x v="1"/>
    <s v="Solidarities"/>
    <s v="Kachin"/>
    <s v="Momauk"/>
    <s v="Edin"/>
    <m/>
    <m/>
    <n v="96"/>
    <m/>
    <m/>
    <m/>
    <m/>
    <m/>
    <m/>
    <m/>
    <m/>
    <m/>
    <m/>
    <m/>
    <m/>
    <m/>
    <m/>
    <n v="0"/>
    <n v="0"/>
    <n v="96"/>
    <n v="0"/>
    <n v="0"/>
    <n v="0"/>
    <n v="0"/>
    <n v="0"/>
    <n v="0"/>
    <n v="0"/>
    <n v="0"/>
    <n v="0"/>
    <n v="0"/>
    <n v="0"/>
    <x v="0"/>
    <n v="0"/>
    <n v="0"/>
    <n v="0"/>
    <s v=""/>
    <x v="2"/>
    <x v="2"/>
    <x v="0"/>
    <s v=""/>
    <m/>
    <m/>
  </r>
  <r>
    <n v="11.066666666666666"/>
    <d v="2016-02-04T00:00:00"/>
    <x v="1"/>
    <s v="Solidarities"/>
    <s v="Kachin"/>
    <s v="Momauk"/>
    <s v="Ni Thaw Ka Monestry"/>
    <m/>
    <m/>
    <n v="33"/>
    <m/>
    <m/>
    <m/>
    <m/>
    <m/>
    <m/>
    <m/>
    <m/>
    <m/>
    <m/>
    <m/>
    <m/>
    <m/>
    <m/>
    <n v="0"/>
    <n v="0"/>
    <n v="33"/>
    <n v="0"/>
    <n v="0"/>
    <n v="0"/>
    <n v="0"/>
    <n v="0"/>
    <n v="0"/>
    <n v="0"/>
    <n v="0"/>
    <n v="0"/>
    <n v="0"/>
    <n v="0"/>
    <x v="0"/>
    <n v="0"/>
    <n v="0"/>
    <n v="0"/>
    <s v="MMR001CMP059"/>
    <x v="0"/>
    <x v="0"/>
    <x v="1"/>
    <n v="0"/>
    <m/>
    <m/>
  </r>
  <r>
    <n v="11.066666666666666"/>
    <d v="2016-02-04T00:00:00"/>
    <x v="1"/>
    <s v="Solidarities"/>
    <s v="Kachin"/>
    <s v="Momauk"/>
    <s v="Loi Je Baptist Church"/>
    <m/>
    <m/>
    <n v="55"/>
    <m/>
    <m/>
    <m/>
    <m/>
    <m/>
    <m/>
    <m/>
    <m/>
    <m/>
    <m/>
    <m/>
    <m/>
    <m/>
    <m/>
    <n v="0"/>
    <n v="0"/>
    <n v="55"/>
    <n v="0"/>
    <n v="0"/>
    <n v="0"/>
    <n v="0"/>
    <n v="0"/>
    <n v="0"/>
    <n v="0"/>
    <n v="0"/>
    <n v="0"/>
    <n v="0"/>
    <n v="0"/>
    <x v="0"/>
    <n v="0"/>
    <n v="0"/>
    <n v="0"/>
    <s v="MMR001CMP071"/>
    <x v="0"/>
    <x v="1"/>
    <x v="2"/>
    <n v="0"/>
    <m/>
    <m/>
  </r>
  <r>
    <n v="11.066666666666666"/>
    <d v="2016-02-04T00:00:00"/>
    <x v="1"/>
    <s v="Solidarities"/>
    <s v="Kachin"/>
    <s v="Momauk"/>
    <s v="Loi Je Baptist Church"/>
    <m/>
    <m/>
    <m/>
    <m/>
    <m/>
    <m/>
    <m/>
    <m/>
    <m/>
    <m/>
    <m/>
    <m/>
    <m/>
    <m/>
    <m/>
    <m/>
    <m/>
    <n v="0"/>
    <n v="0"/>
    <n v="0"/>
    <n v="0"/>
    <n v="0"/>
    <n v="0"/>
    <n v="0"/>
    <n v="0"/>
    <n v="0"/>
    <n v="0"/>
    <n v="0"/>
    <n v="0"/>
    <n v="0"/>
    <n v="0"/>
    <x v="0"/>
    <n v="0"/>
    <n v="0"/>
    <n v="0"/>
    <s v="MMR001CMP071"/>
    <x v="0"/>
    <x v="1"/>
    <x v="2"/>
    <n v="0"/>
    <m/>
    <m/>
  </r>
  <r>
    <n v="11.066666666666666"/>
    <d v="2016-02-04T00:00:00"/>
    <x v="1"/>
    <s v="Solidarities"/>
    <s v="Kachin"/>
    <s v="Momauk"/>
    <s v="Loi Je Catholic Church"/>
    <m/>
    <m/>
    <n v="71"/>
    <m/>
    <m/>
    <m/>
    <m/>
    <m/>
    <m/>
    <m/>
    <m/>
    <m/>
    <m/>
    <m/>
    <m/>
    <m/>
    <m/>
    <n v="0"/>
    <n v="0"/>
    <n v="71"/>
    <n v="0"/>
    <n v="0"/>
    <n v="0"/>
    <n v="0"/>
    <n v="0"/>
    <n v="0"/>
    <n v="0"/>
    <n v="0"/>
    <n v="0"/>
    <n v="0"/>
    <n v="0"/>
    <x v="0"/>
    <n v="0"/>
    <n v="0"/>
    <n v="0"/>
    <s v="MMR001CMP069"/>
    <x v="0"/>
    <x v="1"/>
    <x v="2"/>
    <n v="0"/>
    <m/>
    <m/>
  </r>
  <r>
    <n v="11.066666666666666"/>
    <d v="2016-02-04T00:00:00"/>
    <x v="1"/>
    <s v="Solidarities"/>
    <s v="Kachin"/>
    <s v="Bhamo"/>
    <s v="Ta Gun Taing Monastery (Shwe Kyi Na)"/>
    <m/>
    <m/>
    <n v="29"/>
    <m/>
    <m/>
    <m/>
    <m/>
    <m/>
    <m/>
    <m/>
    <m/>
    <m/>
    <m/>
    <m/>
    <m/>
    <m/>
    <m/>
    <n v="0"/>
    <n v="0"/>
    <n v="29"/>
    <n v="0"/>
    <n v="0"/>
    <n v="0"/>
    <n v="0"/>
    <n v="0"/>
    <n v="0"/>
    <n v="0"/>
    <n v="0"/>
    <n v="0"/>
    <n v="0"/>
    <n v="0"/>
    <x v="0"/>
    <n v="0"/>
    <n v="0"/>
    <n v="0"/>
    <s v="MMR001CMP055"/>
    <x v="0"/>
    <x v="1"/>
    <x v="1"/>
    <n v="0"/>
    <m/>
    <m/>
  </r>
  <r>
    <n v="11.133333333333333"/>
    <d v="2016-02-02T00:00:00"/>
    <x v="1"/>
    <s v="Solidarities"/>
    <s v="Kachin"/>
    <s v="Bhamo"/>
    <s v="AD-2000 Tharthana Compound"/>
    <m/>
    <m/>
    <n v="310"/>
    <m/>
    <m/>
    <m/>
    <m/>
    <m/>
    <m/>
    <m/>
    <m/>
    <m/>
    <m/>
    <m/>
    <m/>
    <m/>
    <m/>
    <n v="0"/>
    <n v="0"/>
    <n v="310"/>
    <n v="0"/>
    <n v="0"/>
    <n v="0"/>
    <n v="0"/>
    <n v="0"/>
    <n v="0"/>
    <n v="0"/>
    <n v="0"/>
    <n v="0"/>
    <n v="0"/>
    <n v="0"/>
    <x v="0"/>
    <n v="0"/>
    <n v="0"/>
    <n v="0"/>
    <s v="MMR001CMP050"/>
    <x v="0"/>
    <x v="1"/>
    <x v="1"/>
    <n v="0"/>
    <m/>
    <m/>
  </r>
  <r>
    <n v="11.133333333333333"/>
    <d v="2016-02-02T00:00:00"/>
    <x v="1"/>
    <s v="Solidarities"/>
    <s v="Kachin"/>
    <s v="Bhamo"/>
    <s v="Phan Khar Kone"/>
    <m/>
    <m/>
    <n v="204"/>
    <m/>
    <m/>
    <m/>
    <m/>
    <m/>
    <m/>
    <m/>
    <m/>
    <m/>
    <m/>
    <m/>
    <m/>
    <m/>
    <m/>
    <n v="0"/>
    <n v="0"/>
    <n v="204"/>
    <n v="0"/>
    <n v="0"/>
    <n v="0"/>
    <n v="0"/>
    <n v="0"/>
    <n v="0"/>
    <n v="0"/>
    <n v="0"/>
    <n v="0"/>
    <n v="0"/>
    <n v="0"/>
    <x v="0"/>
    <n v="0"/>
    <n v="0"/>
    <n v="0"/>
    <s v="MMR001CMP193"/>
    <x v="0"/>
    <x v="1"/>
    <x v="1"/>
    <n v="0"/>
    <m/>
    <m/>
  </r>
  <r>
    <n v="11.266666666666667"/>
    <d v="2016-01-29T00:00:00"/>
    <x v="1"/>
    <s v="Solidarities"/>
    <s v="Kachin"/>
    <s v="Momauk"/>
    <s v="Loi Je Baptist Church"/>
    <m/>
    <m/>
    <m/>
    <m/>
    <m/>
    <m/>
    <m/>
    <m/>
    <m/>
    <m/>
    <m/>
    <m/>
    <m/>
    <m/>
    <n v="2"/>
    <m/>
    <m/>
    <n v="0"/>
    <n v="0"/>
    <n v="0"/>
    <n v="0"/>
    <n v="0"/>
    <n v="0"/>
    <n v="0"/>
    <n v="0"/>
    <n v="0"/>
    <n v="0"/>
    <n v="0"/>
    <n v="0"/>
    <n v="0"/>
    <n v="0"/>
    <x v="0"/>
    <n v="2"/>
    <n v="0"/>
    <n v="0"/>
    <s v="MMR001CMP071"/>
    <x v="0"/>
    <x v="1"/>
    <x v="2"/>
    <n v="0"/>
    <m/>
    <m/>
  </r>
  <r>
    <n v="11.266666666666667"/>
    <d v="2016-01-29T00:00:00"/>
    <x v="1"/>
    <s v="Solidarities"/>
    <s v="Kachin"/>
    <s v="Momauk"/>
    <s v="Loi Je Lisu Camp"/>
    <m/>
    <m/>
    <m/>
    <m/>
    <m/>
    <m/>
    <m/>
    <m/>
    <m/>
    <m/>
    <m/>
    <m/>
    <m/>
    <m/>
    <n v="3"/>
    <m/>
    <m/>
    <n v="0"/>
    <n v="0"/>
    <n v="0"/>
    <n v="0"/>
    <n v="0"/>
    <n v="0"/>
    <n v="0"/>
    <n v="0"/>
    <n v="0"/>
    <n v="0"/>
    <n v="0"/>
    <n v="0"/>
    <n v="0"/>
    <n v="0"/>
    <x v="0"/>
    <n v="3"/>
    <n v="0"/>
    <n v="0"/>
    <s v="MMR001CMP070"/>
    <x v="0"/>
    <x v="1"/>
    <x v="2"/>
    <n v="0"/>
    <m/>
    <m/>
  </r>
  <r>
    <n v="11.266666666666667"/>
    <d v="2016-01-29T00:00:00"/>
    <x v="1"/>
    <s v="Solidarities"/>
    <s v="Kachin"/>
    <s v="Momauk"/>
    <s v="Seng Ja "/>
    <m/>
    <m/>
    <m/>
    <m/>
    <m/>
    <m/>
    <m/>
    <m/>
    <m/>
    <m/>
    <m/>
    <m/>
    <m/>
    <m/>
    <n v="3"/>
    <m/>
    <m/>
    <n v="0"/>
    <n v="0"/>
    <n v="0"/>
    <n v="0"/>
    <n v="0"/>
    <n v="0"/>
    <n v="0"/>
    <n v="0"/>
    <n v="0"/>
    <n v="0"/>
    <n v="0"/>
    <n v="0"/>
    <n v="0"/>
    <n v="0"/>
    <x v="0"/>
    <n v="3"/>
    <n v="0"/>
    <n v="0"/>
    <s v="MMR001CMP073"/>
    <x v="0"/>
    <x v="1"/>
    <x v="2"/>
    <n v="0"/>
    <m/>
    <m/>
  </r>
  <r>
    <n v="11.366666666666667"/>
    <d v="2016-01-26T00:00:00"/>
    <x v="1"/>
    <s v="Solidarities"/>
    <s v="Kachin"/>
    <s v="Bhamo"/>
    <s v="Robert Church"/>
    <m/>
    <m/>
    <m/>
    <m/>
    <m/>
    <m/>
    <m/>
    <m/>
    <m/>
    <m/>
    <m/>
    <m/>
    <m/>
    <m/>
    <n v="5"/>
    <m/>
    <m/>
    <n v="0"/>
    <n v="0"/>
    <n v="0"/>
    <n v="0"/>
    <n v="0"/>
    <n v="0"/>
    <n v="0"/>
    <n v="0"/>
    <n v="0"/>
    <n v="0"/>
    <n v="0"/>
    <n v="0"/>
    <n v="0"/>
    <n v="0"/>
    <x v="0"/>
    <n v="5"/>
    <n v="0"/>
    <n v="0"/>
    <s v="MMR001CMP047"/>
    <x v="0"/>
    <x v="1"/>
    <x v="1"/>
    <n v="0"/>
    <m/>
    <m/>
  </r>
  <r>
    <n v="11.5"/>
    <d v="2016-01-22T00:00:00"/>
    <x v="1"/>
    <s v="Solidarities"/>
    <s v="Kachin"/>
    <s v="Bhamo"/>
    <s v="Phan Khar Kone"/>
    <m/>
    <m/>
    <m/>
    <m/>
    <m/>
    <m/>
    <m/>
    <m/>
    <m/>
    <m/>
    <m/>
    <m/>
    <m/>
    <m/>
    <n v="4"/>
    <m/>
    <m/>
    <n v="0"/>
    <n v="0"/>
    <n v="0"/>
    <n v="0"/>
    <n v="0"/>
    <n v="0"/>
    <n v="0"/>
    <n v="0"/>
    <n v="0"/>
    <n v="0"/>
    <n v="0"/>
    <n v="0"/>
    <n v="0"/>
    <n v="0"/>
    <x v="0"/>
    <n v="4"/>
    <n v="0"/>
    <n v="0"/>
    <s v="MMR001CMP193"/>
    <x v="0"/>
    <x v="1"/>
    <x v="1"/>
    <n v="0"/>
    <m/>
    <m/>
  </r>
  <r>
    <n v="11.966666666666667"/>
    <d v="2016-01-08T00:00:00"/>
    <x v="0"/>
    <s v="KBC"/>
    <s v="Shan_North"/>
    <s v="Namtu"/>
    <s v="Nam Tu Baptist"/>
    <m/>
    <m/>
    <m/>
    <n v="35"/>
    <m/>
    <n v="35"/>
    <n v="18"/>
    <m/>
    <n v="18"/>
    <n v="82"/>
    <m/>
    <m/>
    <m/>
    <m/>
    <n v="18"/>
    <m/>
    <m/>
    <n v="0"/>
    <n v="0"/>
    <n v="0"/>
    <n v="35"/>
    <n v="0"/>
    <n v="35"/>
    <n v="18"/>
    <n v="0"/>
    <n v="18"/>
    <n v="205"/>
    <n v="0"/>
    <n v="0"/>
    <n v="0"/>
    <n v="0"/>
    <x v="0"/>
    <n v="18"/>
    <n v="0"/>
    <n v="0"/>
    <s v="MMR015CMP014"/>
    <x v="0"/>
    <x v="1"/>
    <x v="2"/>
    <n v="4.3902439024390245E-4"/>
    <m/>
    <m/>
  </r>
  <r>
    <n v="12.166666666666666"/>
    <d v="2016-01-02T00:00:00"/>
    <x v="0"/>
    <s v="KBC"/>
    <s v="Shan_North"/>
    <s v="Namhkan"/>
    <m/>
    <m/>
    <m/>
    <m/>
    <m/>
    <m/>
    <m/>
    <m/>
    <m/>
    <m/>
    <m/>
    <m/>
    <m/>
    <m/>
    <m/>
    <m/>
    <m/>
    <n v="37"/>
    <n v="0"/>
    <n v="0"/>
    <n v="0"/>
    <n v="0"/>
    <n v="0"/>
    <n v="0"/>
    <n v="0"/>
    <n v="0"/>
    <n v="0"/>
    <n v="0"/>
    <n v="0"/>
    <n v="0"/>
    <n v="0"/>
    <n v="0"/>
    <x v="0"/>
    <n v="0"/>
    <n v="0"/>
    <n v="0"/>
    <s v=""/>
    <x v="2"/>
    <x v="2"/>
    <x v="0"/>
    <s v=""/>
    <m/>
    <s v="Man Sa village"/>
  </r>
  <r>
    <n v="12.666666666666666"/>
    <d v="2015-12-18T00:00:00"/>
    <x v="1"/>
    <s v="Solidarities"/>
    <s v="Kachin"/>
    <s v="Momauk"/>
    <s v="Edin"/>
    <m/>
    <m/>
    <m/>
    <m/>
    <m/>
    <m/>
    <m/>
    <m/>
    <m/>
    <m/>
    <m/>
    <m/>
    <m/>
    <m/>
    <m/>
    <n v="13"/>
    <m/>
    <n v="0"/>
    <n v="0"/>
    <n v="0"/>
    <n v="0"/>
    <n v="0"/>
    <n v="0"/>
    <n v="0"/>
    <n v="0"/>
    <n v="0"/>
    <n v="0"/>
    <n v="0"/>
    <n v="0"/>
    <n v="0"/>
    <n v="0"/>
    <x v="0"/>
    <n v="0"/>
    <n v="0"/>
    <n v="0"/>
    <s v=""/>
    <x v="2"/>
    <x v="2"/>
    <x v="0"/>
    <s v=""/>
    <m/>
    <m/>
  </r>
  <r>
    <n v="12.666666666666666"/>
    <d v="2015-12-18T00:00:00"/>
    <x v="1"/>
    <s v="Solidarities"/>
    <s v="Kachin"/>
    <s v="Momauk"/>
    <s v="Ni Thaw Ka Monestry"/>
    <m/>
    <m/>
    <m/>
    <m/>
    <m/>
    <m/>
    <m/>
    <m/>
    <m/>
    <m/>
    <m/>
    <m/>
    <m/>
    <m/>
    <m/>
    <n v="5"/>
    <m/>
    <n v="0"/>
    <n v="0"/>
    <n v="0"/>
    <n v="0"/>
    <n v="0"/>
    <n v="0"/>
    <n v="0"/>
    <n v="0"/>
    <n v="0"/>
    <n v="0"/>
    <n v="0"/>
    <n v="0"/>
    <n v="0"/>
    <n v="0"/>
    <x v="0"/>
    <n v="0"/>
    <n v="0"/>
    <n v="0"/>
    <s v="MMR001CMP059"/>
    <x v="0"/>
    <x v="0"/>
    <x v="1"/>
    <n v="0"/>
    <m/>
    <m/>
  </r>
  <r>
    <n v="12.666666666666666"/>
    <d v="2015-12-18T00:00:00"/>
    <x v="1"/>
    <s v="Solidarities"/>
    <s v="Kachin"/>
    <s v="Bhamo"/>
    <s v="Phan Khar Kone"/>
    <m/>
    <m/>
    <m/>
    <m/>
    <m/>
    <m/>
    <m/>
    <m/>
    <m/>
    <m/>
    <m/>
    <m/>
    <m/>
    <m/>
    <m/>
    <n v="24"/>
    <m/>
    <n v="0"/>
    <n v="0"/>
    <n v="0"/>
    <n v="0"/>
    <n v="0"/>
    <n v="0"/>
    <n v="0"/>
    <n v="0"/>
    <n v="0"/>
    <n v="0"/>
    <n v="0"/>
    <n v="0"/>
    <n v="0"/>
    <n v="0"/>
    <x v="0"/>
    <n v="0"/>
    <n v="0"/>
    <n v="0"/>
    <s v="MMR001CMP193"/>
    <x v="0"/>
    <x v="1"/>
    <x v="1"/>
    <n v="0"/>
    <m/>
    <m/>
  </r>
  <r>
    <n v="12.666666666666666"/>
    <d v="2015-12-18T00:00:00"/>
    <x v="1"/>
    <s v="Solidarities"/>
    <s v="Kachin"/>
    <s v="Bhamo"/>
    <s v="Ta Gun Taing Monastery (Shwe Kyi Na)"/>
    <m/>
    <m/>
    <m/>
    <m/>
    <m/>
    <m/>
    <m/>
    <m/>
    <m/>
    <m/>
    <m/>
    <m/>
    <m/>
    <m/>
    <m/>
    <n v="5"/>
    <m/>
    <n v="0"/>
    <n v="0"/>
    <n v="0"/>
    <n v="0"/>
    <n v="0"/>
    <n v="0"/>
    <n v="0"/>
    <n v="0"/>
    <n v="0"/>
    <n v="0"/>
    <n v="0"/>
    <n v="0"/>
    <n v="0"/>
    <n v="0"/>
    <x v="0"/>
    <n v="0"/>
    <n v="0"/>
    <n v="0"/>
    <s v="MMR001CMP055"/>
    <x v="0"/>
    <x v="1"/>
    <x v="1"/>
    <n v="0"/>
    <m/>
    <m/>
  </r>
  <r>
    <n v="12.7"/>
    <d v="2015-12-17T00:00:00"/>
    <x v="1"/>
    <s v="Solidarities"/>
    <s v="Kachin"/>
    <s v="Bhamo"/>
    <s v="AD-2000 Tharthana Compound"/>
    <m/>
    <m/>
    <m/>
    <m/>
    <m/>
    <m/>
    <m/>
    <m/>
    <m/>
    <m/>
    <m/>
    <m/>
    <m/>
    <m/>
    <m/>
    <n v="38"/>
    <m/>
    <n v="0"/>
    <n v="0"/>
    <n v="0"/>
    <n v="0"/>
    <n v="0"/>
    <n v="0"/>
    <n v="0"/>
    <n v="0"/>
    <n v="0"/>
    <n v="0"/>
    <n v="0"/>
    <n v="0"/>
    <n v="0"/>
    <n v="0"/>
    <x v="0"/>
    <n v="0"/>
    <n v="0"/>
    <n v="0"/>
    <s v="MMR001CMP050"/>
    <x v="0"/>
    <x v="1"/>
    <x v="1"/>
    <n v="0"/>
    <m/>
    <m/>
  </r>
  <r>
    <n v="12.7"/>
    <d v="2015-12-17T00:00:00"/>
    <x v="1"/>
    <s v="Solidarities"/>
    <s v="Kachin"/>
    <s v="Bhamo"/>
    <s v="Robert Church"/>
    <m/>
    <m/>
    <m/>
    <m/>
    <m/>
    <m/>
    <m/>
    <m/>
    <m/>
    <m/>
    <m/>
    <m/>
    <m/>
    <m/>
    <m/>
    <n v="76"/>
    <m/>
    <n v="0"/>
    <n v="0"/>
    <n v="0"/>
    <n v="0"/>
    <n v="0"/>
    <n v="0"/>
    <n v="0"/>
    <n v="0"/>
    <n v="0"/>
    <n v="0"/>
    <n v="0"/>
    <n v="0"/>
    <n v="0"/>
    <n v="0"/>
    <x v="0"/>
    <n v="0"/>
    <n v="0"/>
    <n v="0"/>
    <s v="MMR001CMP047"/>
    <x v="0"/>
    <x v="1"/>
    <x v="1"/>
    <n v="0"/>
    <m/>
    <m/>
  </r>
  <r>
    <n v="12.766666666666667"/>
    <d v="2015-12-15T00:00:00"/>
    <x v="1"/>
    <s v="Solidarities"/>
    <s v="Kachin"/>
    <s v="Momauk"/>
    <s v="Loi Je Baptist Church"/>
    <m/>
    <m/>
    <m/>
    <m/>
    <m/>
    <m/>
    <m/>
    <m/>
    <m/>
    <m/>
    <m/>
    <m/>
    <m/>
    <m/>
    <m/>
    <n v="3"/>
    <m/>
    <n v="0"/>
    <n v="0"/>
    <n v="0"/>
    <n v="0"/>
    <n v="0"/>
    <n v="0"/>
    <n v="0"/>
    <n v="0"/>
    <n v="0"/>
    <n v="0"/>
    <n v="0"/>
    <n v="0"/>
    <n v="0"/>
    <n v="0"/>
    <x v="0"/>
    <n v="0"/>
    <n v="0"/>
    <n v="0"/>
    <s v="MMR001CMP071"/>
    <x v="0"/>
    <x v="1"/>
    <x v="2"/>
    <n v="0"/>
    <m/>
    <m/>
  </r>
  <r>
    <n v="12.766666666666667"/>
    <d v="2015-12-15T00:00:00"/>
    <x v="1"/>
    <s v="Solidarities"/>
    <s v="Kachin"/>
    <s v="Momauk"/>
    <s v="Loi Je Baptist Church"/>
    <m/>
    <m/>
    <m/>
    <m/>
    <m/>
    <m/>
    <m/>
    <m/>
    <m/>
    <m/>
    <m/>
    <m/>
    <m/>
    <m/>
    <m/>
    <m/>
    <m/>
    <n v="0"/>
    <n v="0"/>
    <n v="0"/>
    <n v="0"/>
    <n v="0"/>
    <n v="0"/>
    <n v="0"/>
    <n v="0"/>
    <n v="0"/>
    <n v="0"/>
    <n v="0"/>
    <n v="0"/>
    <n v="0"/>
    <n v="0"/>
    <x v="0"/>
    <n v="0"/>
    <n v="0"/>
    <n v="0"/>
    <s v="MMR001CMP071"/>
    <x v="0"/>
    <x v="1"/>
    <x v="2"/>
    <n v="0"/>
    <m/>
    <m/>
  </r>
  <r>
    <n v="12.766666666666667"/>
    <d v="2015-12-15T00:00:00"/>
    <x v="1"/>
    <s v="Solidarities"/>
    <s v="Kachin"/>
    <s v="Momauk"/>
    <s v="Loi Je Catholic Church"/>
    <m/>
    <m/>
    <m/>
    <m/>
    <m/>
    <m/>
    <m/>
    <m/>
    <m/>
    <m/>
    <m/>
    <m/>
    <m/>
    <m/>
    <m/>
    <n v="20"/>
    <m/>
    <n v="0"/>
    <n v="0"/>
    <n v="0"/>
    <n v="0"/>
    <n v="0"/>
    <n v="0"/>
    <n v="0"/>
    <n v="0"/>
    <n v="0"/>
    <n v="0"/>
    <n v="0"/>
    <n v="0"/>
    <n v="0"/>
    <n v="0"/>
    <x v="0"/>
    <n v="0"/>
    <n v="0"/>
    <n v="0"/>
    <s v="MMR001CMP069"/>
    <x v="0"/>
    <x v="1"/>
    <x v="2"/>
    <n v="0"/>
    <m/>
    <m/>
  </r>
  <r>
    <n v="12.766666666666667"/>
    <d v="2015-12-15T00:00:00"/>
    <x v="1"/>
    <s v="Solidarities"/>
    <s v="Kachin"/>
    <s v="Momauk"/>
    <s v="Loi Je Lisu Camp"/>
    <m/>
    <m/>
    <m/>
    <m/>
    <m/>
    <m/>
    <m/>
    <m/>
    <m/>
    <m/>
    <m/>
    <m/>
    <m/>
    <m/>
    <m/>
    <n v="14"/>
    <m/>
    <n v="0"/>
    <n v="0"/>
    <n v="0"/>
    <n v="0"/>
    <n v="0"/>
    <n v="0"/>
    <n v="0"/>
    <n v="0"/>
    <n v="0"/>
    <n v="0"/>
    <n v="0"/>
    <n v="0"/>
    <n v="0"/>
    <n v="0"/>
    <x v="0"/>
    <n v="0"/>
    <n v="0"/>
    <n v="0"/>
    <s v="MMR001CMP070"/>
    <x v="0"/>
    <x v="1"/>
    <x v="2"/>
    <n v="0"/>
    <m/>
    <m/>
  </r>
  <r>
    <n v="12.766666666666667"/>
    <d v="2015-12-15T00:00:00"/>
    <x v="0"/>
    <s v="KBC"/>
    <s v="Kachin"/>
    <s v="Myitkyina"/>
    <s v="Man Hkring Baptist Church"/>
    <m/>
    <m/>
    <m/>
    <n v="7"/>
    <n v="7"/>
    <m/>
    <n v="7"/>
    <m/>
    <n v="7"/>
    <n v="27"/>
    <m/>
    <m/>
    <m/>
    <n v="27"/>
    <n v="7"/>
    <m/>
    <m/>
    <n v="0"/>
    <n v="0"/>
    <n v="0"/>
    <n v="0"/>
    <n v="0"/>
    <n v="0"/>
    <n v="0"/>
    <n v="0"/>
    <n v="0"/>
    <n v="0"/>
    <n v="0"/>
    <n v="0"/>
    <n v="0"/>
    <n v="0"/>
    <x v="2"/>
    <n v="0"/>
    <n v="0"/>
    <n v="0"/>
    <s v="MMR001CMP008"/>
    <x v="0"/>
    <x v="1"/>
    <x v="1"/>
    <n v="1.7188459177409454E-4"/>
    <s v="No"/>
    <m/>
  </r>
  <r>
    <n v="12.766666666666667"/>
    <d v="2015-12-15T00:00:00"/>
    <x v="1"/>
    <s v="Solidarities"/>
    <s v="Kachin"/>
    <s v="Momauk"/>
    <s v="Nyaung Na Pin "/>
    <m/>
    <m/>
    <m/>
    <m/>
    <m/>
    <m/>
    <m/>
    <m/>
    <m/>
    <m/>
    <m/>
    <m/>
    <m/>
    <m/>
    <m/>
    <n v="5"/>
    <m/>
    <n v="0"/>
    <n v="0"/>
    <n v="0"/>
    <n v="0"/>
    <n v="0"/>
    <n v="0"/>
    <n v="0"/>
    <n v="0"/>
    <n v="0"/>
    <n v="0"/>
    <n v="0"/>
    <n v="0"/>
    <n v="0"/>
    <n v="0"/>
    <x v="0"/>
    <n v="0"/>
    <n v="0"/>
    <n v="0"/>
    <s v="MMR001CMP072"/>
    <x v="0"/>
    <x v="1"/>
    <x v="2"/>
    <n v="0"/>
    <m/>
    <m/>
  </r>
  <r>
    <n v="12.766666666666667"/>
    <d v="2015-12-15T00:00:00"/>
    <x v="1"/>
    <s v="Solidarities"/>
    <s v="Kachin"/>
    <s v="Momauk"/>
    <s v="Seng Ja "/>
    <m/>
    <m/>
    <m/>
    <m/>
    <m/>
    <m/>
    <m/>
    <m/>
    <m/>
    <m/>
    <m/>
    <m/>
    <m/>
    <m/>
    <m/>
    <n v="4"/>
    <m/>
    <n v="0"/>
    <n v="0"/>
    <n v="0"/>
    <n v="0"/>
    <n v="0"/>
    <n v="0"/>
    <n v="0"/>
    <n v="0"/>
    <n v="0"/>
    <n v="0"/>
    <n v="0"/>
    <n v="0"/>
    <n v="0"/>
    <n v="0"/>
    <x v="0"/>
    <n v="0"/>
    <n v="0"/>
    <n v="0"/>
    <s v="MMR001CMP073"/>
    <x v="0"/>
    <x v="1"/>
    <x v="2"/>
    <n v="0"/>
    <m/>
    <m/>
  </r>
  <r>
    <n v="12.8"/>
    <d v="2015-12-14T00:00:00"/>
    <x v="1"/>
    <s v="Solidarities"/>
    <s v="Kachin"/>
    <s v="Bhamo"/>
    <s v="Robert Church"/>
    <m/>
    <m/>
    <m/>
    <m/>
    <m/>
    <m/>
    <m/>
    <m/>
    <m/>
    <m/>
    <m/>
    <m/>
    <m/>
    <m/>
    <n v="2"/>
    <m/>
    <m/>
    <n v="0"/>
    <n v="0"/>
    <n v="0"/>
    <n v="0"/>
    <n v="0"/>
    <n v="0"/>
    <n v="0"/>
    <n v="0"/>
    <n v="0"/>
    <n v="0"/>
    <n v="0"/>
    <n v="0"/>
    <n v="0"/>
    <n v="0"/>
    <x v="0"/>
    <n v="0"/>
    <n v="0"/>
    <n v="0"/>
    <s v="MMR001CMP047"/>
    <x v="0"/>
    <x v="1"/>
    <x v="1"/>
    <n v="0"/>
    <m/>
    <m/>
  </r>
  <r>
    <n v="12.9"/>
    <d v="2015-12-11T00:00:00"/>
    <x v="0"/>
    <s v="Shalom"/>
    <s v="Kachin"/>
    <s v="Myitkyina"/>
    <s v="Tat Kone Emanuel Church"/>
    <m/>
    <m/>
    <m/>
    <m/>
    <m/>
    <m/>
    <m/>
    <m/>
    <m/>
    <m/>
    <m/>
    <m/>
    <m/>
    <n v="11"/>
    <m/>
    <m/>
    <m/>
    <n v="0"/>
    <n v="0"/>
    <n v="0"/>
    <n v="0"/>
    <n v="0"/>
    <n v="0"/>
    <n v="0"/>
    <n v="0"/>
    <n v="0"/>
    <n v="0"/>
    <n v="0"/>
    <n v="0"/>
    <n v="0"/>
    <n v="0"/>
    <x v="2"/>
    <n v="0"/>
    <n v="0"/>
    <n v="0"/>
    <s v="MMR001CMP004"/>
    <x v="0"/>
    <x v="1"/>
    <x v="1"/>
    <n v="0"/>
    <s v="No"/>
    <m/>
  </r>
  <r>
    <n v="13.133333333333333"/>
    <d v="2015-12-04T00:00:00"/>
    <x v="1"/>
    <s v="Solidarities"/>
    <s v="Kachin"/>
    <s v="Momauk"/>
    <s v="Edin"/>
    <m/>
    <m/>
    <m/>
    <m/>
    <m/>
    <m/>
    <m/>
    <m/>
    <m/>
    <m/>
    <m/>
    <m/>
    <m/>
    <m/>
    <n v="1"/>
    <m/>
    <m/>
    <n v="0"/>
    <n v="0"/>
    <n v="0"/>
    <n v="0"/>
    <n v="0"/>
    <n v="0"/>
    <n v="0"/>
    <n v="0"/>
    <n v="0"/>
    <n v="0"/>
    <n v="0"/>
    <n v="0"/>
    <n v="0"/>
    <n v="0"/>
    <x v="0"/>
    <n v="0"/>
    <n v="0"/>
    <n v="0"/>
    <s v=""/>
    <x v="2"/>
    <x v="2"/>
    <x v="0"/>
    <s v=""/>
    <m/>
    <m/>
  </r>
  <r>
    <n v="13.133333333333333"/>
    <d v="2015-12-04T00:00:00"/>
    <x v="1"/>
    <s v="Solidarities"/>
    <s v="Kachin"/>
    <s v="Bhamo"/>
    <s v="Phan Khar Kone"/>
    <m/>
    <m/>
    <m/>
    <m/>
    <m/>
    <m/>
    <m/>
    <m/>
    <m/>
    <m/>
    <m/>
    <m/>
    <m/>
    <m/>
    <n v="5"/>
    <m/>
    <m/>
    <n v="0"/>
    <n v="0"/>
    <n v="0"/>
    <n v="0"/>
    <n v="0"/>
    <n v="0"/>
    <n v="0"/>
    <n v="0"/>
    <n v="0"/>
    <n v="0"/>
    <n v="0"/>
    <n v="0"/>
    <n v="0"/>
    <n v="0"/>
    <x v="0"/>
    <n v="0"/>
    <n v="0"/>
    <n v="0"/>
    <s v="MMR001CMP193"/>
    <x v="0"/>
    <x v="1"/>
    <x v="1"/>
    <n v="0"/>
    <m/>
    <m/>
  </r>
  <r>
    <n v="13.233333333333333"/>
    <d v="2015-12-01T00:00:00"/>
    <x v="1"/>
    <s v="Solidarities"/>
    <s v="Kachin"/>
    <s v="Momauk"/>
    <s v="Loi Je B.E.H.S"/>
    <m/>
    <m/>
    <m/>
    <m/>
    <m/>
    <m/>
    <m/>
    <m/>
    <m/>
    <m/>
    <m/>
    <m/>
    <m/>
    <m/>
    <n v="44"/>
    <m/>
    <m/>
    <n v="0"/>
    <n v="0"/>
    <n v="0"/>
    <n v="0"/>
    <n v="0"/>
    <n v="0"/>
    <n v="0"/>
    <n v="0"/>
    <n v="0"/>
    <n v="0"/>
    <n v="0"/>
    <n v="0"/>
    <n v="0"/>
    <n v="0"/>
    <x v="0"/>
    <n v="0"/>
    <n v="0"/>
    <n v="0"/>
    <s v=""/>
    <x v="2"/>
    <x v="2"/>
    <x v="0"/>
    <s v=""/>
    <m/>
    <m/>
  </r>
  <r>
    <n v="13.366666666666667"/>
    <d v="2015-11-27T00:00:00"/>
    <x v="0"/>
    <s v="KBC"/>
    <s v="Kachin"/>
    <s v="Shwegu"/>
    <s v="Shwe Gu Baptist Church"/>
    <m/>
    <m/>
    <m/>
    <m/>
    <n v="9"/>
    <n v="23"/>
    <n v="10"/>
    <m/>
    <n v="8"/>
    <n v="24"/>
    <m/>
    <m/>
    <m/>
    <m/>
    <n v="6"/>
    <m/>
    <m/>
    <n v="0"/>
    <n v="0"/>
    <n v="0"/>
    <n v="0"/>
    <n v="0"/>
    <n v="0"/>
    <n v="0"/>
    <n v="0"/>
    <n v="0"/>
    <n v="0"/>
    <n v="0"/>
    <n v="0"/>
    <n v="0"/>
    <n v="0"/>
    <x v="0"/>
    <n v="0"/>
    <n v="0"/>
    <n v="0"/>
    <s v="MMR001CMP067"/>
    <x v="0"/>
    <x v="1"/>
    <x v="1"/>
    <n v="2.4554941682013506E-4"/>
    <s v="No"/>
    <m/>
  </r>
  <r>
    <n v="13.433333333333334"/>
    <d v="2015-11-25T00:00:00"/>
    <x v="0"/>
    <s v="KBC"/>
    <s v="Kachin"/>
    <s v="Shwegu"/>
    <s v="Shwe Gu Baptist Church"/>
    <m/>
    <m/>
    <m/>
    <m/>
    <n v="4"/>
    <n v="16"/>
    <n v="4"/>
    <m/>
    <n v="4"/>
    <n v="23"/>
    <m/>
    <m/>
    <m/>
    <m/>
    <n v="7"/>
    <m/>
    <m/>
    <n v="0"/>
    <n v="0"/>
    <n v="0"/>
    <n v="0"/>
    <n v="0"/>
    <n v="0"/>
    <n v="0"/>
    <n v="0"/>
    <n v="0"/>
    <n v="0"/>
    <n v="0"/>
    <n v="0"/>
    <n v="0"/>
    <n v="0"/>
    <x v="0"/>
    <n v="0"/>
    <n v="0"/>
    <n v="0"/>
    <s v="MMR001CMP067"/>
    <x v="0"/>
    <x v="1"/>
    <x v="1"/>
    <n v="9.8219766728054015E-5"/>
    <s v="No"/>
    <m/>
  </r>
  <r>
    <n v="13.433333333333334"/>
    <d v="2015-11-25T00:00:00"/>
    <x v="0"/>
    <s v="KBC"/>
    <s v="Kachin"/>
    <s v="Shwegu"/>
    <s v="Shwe Gu Catholic Church"/>
    <m/>
    <m/>
    <m/>
    <m/>
    <n v="4"/>
    <n v="12"/>
    <n v="3"/>
    <m/>
    <n v="4"/>
    <n v="14"/>
    <m/>
    <m/>
    <m/>
    <m/>
    <n v="4"/>
    <m/>
    <m/>
    <n v="0"/>
    <n v="0"/>
    <n v="0"/>
    <n v="0"/>
    <n v="0"/>
    <n v="0"/>
    <n v="0"/>
    <n v="0"/>
    <n v="0"/>
    <n v="0"/>
    <n v="0"/>
    <n v="0"/>
    <n v="0"/>
    <n v="0"/>
    <x v="0"/>
    <n v="0"/>
    <n v="0"/>
    <n v="0"/>
    <s v="MMR001CMP068"/>
    <x v="0"/>
    <x v="1"/>
    <x v="1"/>
    <n v="7.3664825046040511E-5"/>
    <s v="No"/>
    <m/>
  </r>
  <r>
    <n v="13.466666666666667"/>
    <d v="2015-11-24T00:00:00"/>
    <x v="0"/>
    <s v="KMSS"/>
    <s v="Kachin"/>
    <s v="Myitkyina"/>
    <s v="Pa Dauk Myaing(Pa La Na)"/>
    <m/>
    <m/>
    <m/>
    <m/>
    <m/>
    <m/>
    <m/>
    <m/>
    <m/>
    <m/>
    <m/>
    <m/>
    <m/>
    <n v="50"/>
    <m/>
    <m/>
    <m/>
    <n v="0"/>
    <n v="0"/>
    <n v="0"/>
    <n v="0"/>
    <n v="0"/>
    <n v="0"/>
    <n v="0"/>
    <n v="0"/>
    <n v="0"/>
    <n v="0"/>
    <n v="0"/>
    <n v="0"/>
    <n v="0"/>
    <n v="0"/>
    <x v="2"/>
    <n v="0"/>
    <n v="0"/>
    <n v="0"/>
    <s v="MMR001CMP162"/>
    <x v="0"/>
    <x v="1"/>
    <x v="1"/>
    <n v="0"/>
    <s v="No"/>
    <m/>
  </r>
  <r>
    <n v="14.2"/>
    <d v="2015-11-02T00:00:00"/>
    <x v="0"/>
    <s v="KBC"/>
    <s v="Kachin"/>
    <s v="Mansi"/>
    <s v="Mai hkawng Camp (RC +KBC)"/>
    <m/>
    <m/>
    <n v="223"/>
    <m/>
    <n v="30"/>
    <m/>
    <m/>
    <m/>
    <m/>
    <n v="337"/>
    <m/>
    <m/>
    <m/>
    <m/>
    <m/>
    <m/>
    <m/>
    <n v="0"/>
    <n v="0"/>
    <n v="0"/>
    <n v="0"/>
    <n v="0"/>
    <n v="0"/>
    <n v="0"/>
    <n v="0"/>
    <n v="0"/>
    <n v="0"/>
    <n v="0"/>
    <n v="0"/>
    <n v="0"/>
    <n v="0"/>
    <x v="0"/>
    <n v="0"/>
    <n v="0"/>
    <n v="0"/>
    <s v=""/>
    <x v="2"/>
    <x v="2"/>
    <x v="0"/>
    <s v=""/>
    <s v="No"/>
    <m/>
  </r>
  <r>
    <n v="15.266666666666667"/>
    <d v="2015-10-01T00:00:00"/>
    <x v="0"/>
    <s v="KBC"/>
    <s v="Kachin"/>
    <s v="Mansi"/>
    <s v="Mai hkawng Camp (RC +KBC)"/>
    <m/>
    <n v="77"/>
    <n v="232"/>
    <n v="200"/>
    <n v="89"/>
    <n v="200"/>
    <n v="119"/>
    <m/>
    <n v="119"/>
    <n v="345"/>
    <m/>
    <m/>
    <m/>
    <m/>
    <n v="119"/>
    <m/>
    <n v="45"/>
    <n v="0"/>
    <n v="0"/>
    <n v="0"/>
    <n v="0"/>
    <n v="0"/>
    <n v="0"/>
    <n v="0"/>
    <n v="0"/>
    <n v="0"/>
    <n v="0"/>
    <n v="0"/>
    <n v="0"/>
    <n v="0"/>
    <n v="0"/>
    <x v="0"/>
    <n v="0"/>
    <n v="0"/>
    <n v="0"/>
    <s v=""/>
    <x v="2"/>
    <x v="2"/>
    <x v="0"/>
    <s v=""/>
    <s v="No"/>
    <m/>
  </r>
  <r>
    <n v="15.566666666666666"/>
    <d v="2015-09-22T00:00:00"/>
    <x v="0"/>
    <s v="KBC"/>
    <s v="Kachin"/>
    <s v="Mansi"/>
    <s v="Mai hkawng Camp (RC +KBC)"/>
    <m/>
    <m/>
    <n v="145"/>
    <n v="132"/>
    <n v="66"/>
    <n v="132"/>
    <n v="66"/>
    <m/>
    <n v="66"/>
    <n v="243"/>
    <m/>
    <m/>
    <m/>
    <m/>
    <n v="66"/>
    <m/>
    <m/>
    <n v="0"/>
    <n v="0"/>
    <n v="0"/>
    <n v="0"/>
    <n v="0"/>
    <n v="0"/>
    <n v="0"/>
    <n v="0"/>
    <n v="0"/>
    <n v="0"/>
    <n v="0"/>
    <n v="0"/>
    <n v="0"/>
    <n v="0"/>
    <x v="0"/>
    <n v="0"/>
    <n v="0"/>
    <n v="0"/>
    <s v=""/>
    <x v="2"/>
    <x v="2"/>
    <x v="0"/>
    <s v=""/>
    <s v="No"/>
    <m/>
  </r>
  <r>
    <n v="15.6"/>
    <d v="2015-09-21T00:00:00"/>
    <x v="0"/>
    <s v="KMSS-MKN"/>
    <s v="Kachin"/>
    <s v="Myitkyina"/>
    <m/>
    <m/>
    <m/>
    <m/>
    <m/>
    <m/>
    <m/>
    <m/>
    <m/>
    <m/>
    <m/>
    <m/>
    <m/>
    <m/>
    <m/>
    <m/>
    <m/>
    <m/>
    <n v="0"/>
    <n v="0"/>
    <n v="0"/>
    <n v="0"/>
    <n v="0"/>
    <n v="0"/>
    <n v="0"/>
    <n v="0"/>
    <n v="0"/>
    <n v="0"/>
    <n v="0"/>
    <n v="0"/>
    <n v="0"/>
    <n v="0"/>
    <x v="0"/>
    <n v="0"/>
    <n v="0"/>
    <n v="0"/>
    <s v=""/>
    <x v="2"/>
    <x v="2"/>
    <x v="0"/>
    <s v=""/>
    <s v="No"/>
    <m/>
  </r>
  <r>
    <n v="15.6"/>
    <d v="2015-09-21T00:00:00"/>
    <x v="0"/>
    <s v="KMSS"/>
    <s v="Kachin"/>
    <s v="Waingmaw"/>
    <s v="Maina Catholic Church (St. Joseph)"/>
    <m/>
    <m/>
    <m/>
    <n v="41"/>
    <n v="16"/>
    <n v="41"/>
    <n v="16"/>
    <m/>
    <n v="16"/>
    <n v="80"/>
    <m/>
    <m/>
    <m/>
    <m/>
    <n v="16"/>
    <m/>
    <m/>
    <n v="0"/>
    <n v="0"/>
    <n v="0"/>
    <n v="0"/>
    <n v="0"/>
    <n v="0"/>
    <n v="0"/>
    <n v="0"/>
    <n v="0"/>
    <n v="0"/>
    <n v="0"/>
    <n v="0"/>
    <n v="0"/>
    <n v="0"/>
    <x v="0"/>
    <n v="0"/>
    <n v="0"/>
    <n v="0"/>
    <s v="MMR001CMP029"/>
    <x v="0"/>
    <x v="1"/>
    <x v="1"/>
    <n v="3.8623086950224499E-4"/>
    <s v="No"/>
    <m/>
  </r>
  <r>
    <n v="15.7"/>
    <d v="2015-09-18T00:00:00"/>
    <x v="0"/>
    <s v="KMSS"/>
    <s v="Kachin"/>
    <s v="Myitkyina"/>
    <s v="Pa Dauk Myaing(Pa La Na)"/>
    <m/>
    <n v="11"/>
    <n v="11"/>
    <n v="21"/>
    <n v="16"/>
    <n v="21"/>
    <n v="11"/>
    <m/>
    <n v="11"/>
    <n v="42"/>
    <m/>
    <m/>
    <m/>
    <m/>
    <n v="11"/>
    <m/>
    <n v="6"/>
    <n v="0"/>
    <n v="0"/>
    <n v="0"/>
    <n v="0"/>
    <n v="0"/>
    <n v="0"/>
    <n v="0"/>
    <n v="0"/>
    <n v="0"/>
    <n v="0"/>
    <n v="0"/>
    <n v="0"/>
    <n v="0"/>
    <n v="0"/>
    <x v="0"/>
    <n v="0"/>
    <n v="0"/>
    <n v="0"/>
    <s v="MMR001CMP162"/>
    <x v="0"/>
    <x v="1"/>
    <x v="1"/>
    <n v="2.667054601881486E-4"/>
    <s v="No"/>
    <m/>
  </r>
  <r>
    <n v="16.433333333333334"/>
    <d v="2015-08-27T00:00:00"/>
    <x v="0"/>
    <s v="KBC"/>
    <s v="Kachin"/>
    <s v="Myitkyina"/>
    <m/>
    <m/>
    <m/>
    <m/>
    <m/>
    <m/>
    <m/>
    <m/>
    <m/>
    <m/>
    <m/>
    <m/>
    <m/>
    <m/>
    <m/>
    <m/>
    <n v="10"/>
    <m/>
    <n v="0"/>
    <n v="0"/>
    <n v="0"/>
    <n v="0"/>
    <n v="0"/>
    <n v="0"/>
    <n v="0"/>
    <n v="0"/>
    <n v="0"/>
    <n v="0"/>
    <n v="0"/>
    <n v="0"/>
    <n v="0"/>
    <n v="0"/>
    <x v="0"/>
    <n v="0"/>
    <n v="0"/>
    <n v="0"/>
    <s v=""/>
    <x v="2"/>
    <x v="2"/>
    <x v="0"/>
    <s v=""/>
    <s v="No"/>
    <m/>
  </r>
  <r>
    <n v="16.433333333333334"/>
    <d v="2015-08-27T00:00:00"/>
    <x v="0"/>
    <s v="KMSS-MKN"/>
    <s v="Kachin"/>
    <s v="Myitkyina"/>
    <m/>
    <m/>
    <m/>
    <m/>
    <m/>
    <m/>
    <m/>
    <m/>
    <m/>
    <m/>
    <m/>
    <m/>
    <m/>
    <m/>
    <m/>
    <m/>
    <n v="7"/>
    <m/>
    <n v="0"/>
    <n v="0"/>
    <n v="0"/>
    <n v="0"/>
    <n v="0"/>
    <n v="0"/>
    <n v="0"/>
    <n v="0"/>
    <n v="0"/>
    <n v="0"/>
    <n v="0"/>
    <n v="0"/>
    <n v="0"/>
    <n v="0"/>
    <x v="0"/>
    <n v="0"/>
    <n v="0"/>
    <n v="0"/>
    <s v=""/>
    <x v="2"/>
    <x v="2"/>
    <x v="0"/>
    <s v=""/>
    <s v="No"/>
    <m/>
  </r>
  <r>
    <n v="16.433333333333334"/>
    <d v="2015-08-27T00:00:00"/>
    <x v="0"/>
    <s v="Shalom"/>
    <s v="Kachin"/>
    <s v="Myitkyina"/>
    <m/>
    <m/>
    <m/>
    <m/>
    <m/>
    <m/>
    <m/>
    <m/>
    <m/>
    <m/>
    <m/>
    <m/>
    <m/>
    <m/>
    <m/>
    <m/>
    <n v="8"/>
    <m/>
    <n v="0"/>
    <n v="0"/>
    <n v="0"/>
    <n v="0"/>
    <n v="0"/>
    <n v="0"/>
    <n v="0"/>
    <n v="0"/>
    <n v="0"/>
    <n v="0"/>
    <n v="0"/>
    <n v="0"/>
    <n v="0"/>
    <n v="0"/>
    <x v="0"/>
    <n v="0"/>
    <n v="0"/>
    <n v="0"/>
    <s v=""/>
    <x v="2"/>
    <x v="2"/>
    <x v="0"/>
    <s v=""/>
    <s v="No"/>
    <s v="Updated on 2/Dec/2015. Data source: mail by Win Aung Htun_x000a_Updated on 11/Nov/2015. Added jerry can data. Data source: mail by Win Aung Htun_x000a_Updated on 29/Sep/2015. _x000a_Data Source: Lu Lu Awng and Win Aung Tun"/>
  </r>
  <r>
    <n v="16.966666666666665"/>
    <d v="2015-08-11T00:00:00"/>
    <x v="0"/>
    <s v="KBC"/>
    <s v="Kachin"/>
    <s v="Mogaung"/>
    <s v="Kyun Taw Baptist Church "/>
    <m/>
    <m/>
    <m/>
    <n v="14"/>
    <n v="14"/>
    <m/>
    <m/>
    <m/>
    <m/>
    <m/>
    <m/>
    <m/>
    <m/>
    <m/>
    <m/>
    <m/>
    <m/>
    <n v="0"/>
    <n v="0"/>
    <n v="0"/>
    <n v="0"/>
    <n v="0"/>
    <n v="0"/>
    <n v="0"/>
    <n v="0"/>
    <n v="0"/>
    <n v="0"/>
    <n v="0"/>
    <n v="0"/>
    <n v="0"/>
    <n v="0"/>
    <x v="0"/>
    <n v="0"/>
    <n v="0"/>
    <n v="0"/>
    <s v="MMR001CMP078"/>
    <x v="0"/>
    <x v="1"/>
    <x v="1"/>
    <n v="0"/>
    <s v="No"/>
    <s v="Updated on 2/Dec/2015. Data source: mail by Win Aung Htun_x000a_Updated on 29/Sep/2015. _x000a_Data Source: Lu Lu Awng and Win Aung Tun"/>
  </r>
  <r>
    <n v="16.966666666666665"/>
    <d v="2015-08-11T00:00:00"/>
    <x v="0"/>
    <s v="Shalom"/>
    <s v="Kachin"/>
    <s v="Myitkyina"/>
    <s v="Tat Kone Emanuel Church"/>
    <m/>
    <m/>
    <m/>
    <n v="6"/>
    <n v="4"/>
    <n v="6"/>
    <n v="4"/>
    <m/>
    <n v="4"/>
    <n v="10"/>
    <m/>
    <m/>
    <m/>
    <m/>
    <n v="4"/>
    <m/>
    <m/>
    <n v="0"/>
    <n v="0"/>
    <n v="0"/>
    <n v="0"/>
    <n v="0"/>
    <n v="0"/>
    <n v="0"/>
    <n v="0"/>
    <n v="0"/>
    <n v="0"/>
    <n v="0"/>
    <n v="0"/>
    <n v="0"/>
    <n v="0"/>
    <x v="0"/>
    <n v="0"/>
    <n v="0"/>
    <n v="0"/>
    <s v="MMR001CMP004"/>
    <x v="0"/>
    <x v="1"/>
    <x v="1"/>
    <n v="9.814505839630975E-5"/>
    <s v="No"/>
    <m/>
  </r>
  <r>
    <n v="17.666666666666668"/>
    <d v="2015-07-21T00:00:00"/>
    <x v="0"/>
    <s v="KBC"/>
    <s v="Kachin"/>
    <s v="Sumprabum"/>
    <s v="Sumprabum"/>
    <m/>
    <m/>
    <m/>
    <m/>
    <n v="250"/>
    <m/>
    <m/>
    <m/>
    <m/>
    <m/>
    <m/>
    <m/>
    <m/>
    <m/>
    <m/>
    <m/>
    <m/>
    <n v="0"/>
    <n v="0"/>
    <n v="0"/>
    <n v="0"/>
    <n v="0"/>
    <n v="0"/>
    <n v="0"/>
    <n v="0"/>
    <n v="0"/>
    <n v="0"/>
    <n v="0"/>
    <n v="0"/>
    <n v="0"/>
    <n v="0"/>
    <x v="0"/>
    <n v="0"/>
    <n v="0"/>
    <n v="0"/>
    <s v="MMR001CMP206"/>
    <x v="0"/>
    <x v="1"/>
    <x v="1"/>
    <s v=""/>
    <s v="No"/>
    <s v="Updated on 2/Dec/2015. Data source: mail by Win Aung Htun_x000a_Updated on 11/Nov/2015. Added jerry can data. Data source: mail by Win Aung Htun_x000a_Updated on 29/Sep/2015. _x000a_Data Source: Lu Lu Awng and Win Aung Tun"/>
  </r>
  <r>
    <n v="18.366666666666667"/>
    <d v="2015-06-30T00:00:00"/>
    <x v="1"/>
    <s v="Solidarities"/>
    <s v="Kachin"/>
    <s v="Bhamo"/>
    <s v="AD-2000 Tharthana Compound"/>
    <m/>
    <m/>
    <m/>
    <m/>
    <m/>
    <m/>
    <m/>
    <m/>
    <m/>
    <m/>
    <m/>
    <m/>
    <m/>
    <m/>
    <n v="3"/>
    <m/>
    <m/>
    <n v="0"/>
    <n v="0"/>
    <n v="0"/>
    <n v="0"/>
    <n v="0"/>
    <n v="0"/>
    <n v="0"/>
    <n v="0"/>
    <n v="0"/>
    <n v="0"/>
    <n v="0"/>
    <n v="0"/>
    <n v="0"/>
    <n v="0"/>
    <x v="0"/>
    <n v="0"/>
    <n v="0"/>
    <n v="0"/>
    <s v="MMR001CMP050"/>
    <x v="0"/>
    <x v="1"/>
    <x v="1"/>
    <n v="0"/>
    <m/>
    <m/>
  </r>
  <r>
    <n v="18.366666666666667"/>
    <d v="2015-06-30T00:00:00"/>
    <x v="1"/>
    <s v="Solidarities"/>
    <s v="Kachin"/>
    <s v="Momauk"/>
    <s v="Edin"/>
    <m/>
    <m/>
    <m/>
    <m/>
    <m/>
    <m/>
    <m/>
    <m/>
    <m/>
    <m/>
    <m/>
    <m/>
    <m/>
    <m/>
    <n v="2"/>
    <m/>
    <m/>
    <n v="0"/>
    <n v="0"/>
    <n v="0"/>
    <n v="0"/>
    <n v="0"/>
    <n v="0"/>
    <n v="0"/>
    <n v="0"/>
    <n v="0"/>
    <n v="0"/>
    <n v="0"/>
    <n v="0"/>
    <n v="0"/>
    <n v="0"/>
    <x v="0"/>
    <n v="0"/>
    <n v="0"/>
    <n v="0"/>
    <s v=""/>
    <x v="2"/>
    <x v="2"/>
    <x v="0"/>
    <s v=""/>
    <m/>
    <m/>
  </r>
  <r>
    <n v="18.366666666666667"/>
    <d v="2015-06-30T00:00:00"/>
    <x v="1"/>
    <s v="Solidarities"/>
    <s v="Kachin"/>
    <s v="Waingmaw"/>
    <s v="Laiza Market 3 - Laiza Gat"/>
    <m/>
    <m/>
    <n v="825"/>
    <m/>
    <m/>
    <m/>
    <m/>
    <m/>
    <m/>
    <m/>
    <m/>
    <m/>
    <m/>
    <m/>
    <m/>
    <m/>
    <m/>
    <n v="0"/>
    <n v="0"/>
    <n v="0"/>
    <n v="0"/>
    <n v="0"/>
    <n v="0"/>
    <n v="0"/>
    <n v="0"/>
    <n v="0"/>
    <n v="0"/>
    <n v="0"/>
    <n v="0"/>
    <n v="0"/>
    <n v="0"/>
    <x v="0"/>
    <n v="0"/>
    <n v="0"/>
    <n v="0"/>
    <s v="MMR001CMP117"/>
    <x v="0"/>
    <x v="0"/>
    <x v="6"/>
    <n v="0"/>
    <m/>
    <m/>
  </r>
  <r>
    <n v="18.366666666666667"/>
    <d v="2015-06-30T00:00:00"/>
    <x v="1"/>
    <s v="Solidarities"/>
    <s v="Kachin"/>
    <s v="Bhamo"/>
    <s v="Phan Khar Kone"/>
    <m/>
    <m/>
    <m/>
    <m/>
    <m/>
    <m/>
    <m/>
    <m/>
    <m/>
    <m/>
    <m/>
    <m/>
    <m/>
    <m/>
    <n v="5"/>
    <m/>
    <m/>
    <n v="0"/>
    <n v="0"/>
    <n v="0"/>
    <n v="0"/>
    <n v="0"/>
    <n v="0"/>
    <n v="0"/>
    <n v="0"/>
    <n v="0"/>
    <n v="0"/>
    <n v="0"/>
    <n v="0"/>
    <n v="0"/>
    <n v="0"/>
    <x v="0"/>
    <n v="0"/>
    <n v="0"/>
    <n v="0"/>
    <s v="MMR001CMP193"/>
    <x v="0"/>
    <x v="1"/>
    <x v="1"/>
    <n v="0"/>
    <m/>
    <m/>
  </r>
  <r>
    <n v="18.399999999999999"/>
    <d v="2015-06-29T00:00:00"/>
    <x v="1"/>
    <s v="KBC"/>
    <s v="Kachin"/>
    <s v="Momauk"/>
    <s v="Je Yang Hka "/>
    <m/>
    <m/>
    <n v="2350"/>
    <m/>
    <m/>
    <m/>
    <m/>
    <m/>
    <m/>
    <m/>
    <m/>
    <m/>
    <m/>
    <m/>
    <m/>
    <m/>
    <m/>
    <n v="0"/>
    <n v="0"/>
    <n v="0"/>
    <n v="0"/>
    <n v="0"/>
    <n v="0"/>
    <n v="0"/>
    <n v="0"/>
    <n v="0"/>
    <n v="0"/>
    <n v="0"/>
    <n v="0"/>
    <n v="0"/>
    <n v="0"/>
    <x v="0"/>
    <n v="0"/>
    <n v="0"/>
    <n v="0"/>
    <s v="MMR001CMP121"/>
    <x v="0"/>
    <x v="1"/>
    <x v="6"/>
    <n v="0"/>
    <m/>
    <m/>
  </r>
  <r>
    <n v="19.233333333333334"/>
    <d v="2015-06-04T00:00:00"/>
    <x v="1"/>
    <s v="Solidarities"/>
    <s v="Kachin"/>
    <s v="Momauk"/>
    <s v="Loi Je Baptist Church"/>
    <m/>
    <m/>
    <n v="54"/>
    <m/>
    <m/>
    <m/>
    <m/>
    <m/>
    <m/>
    <m/>
    <m/>
    <m/>
    <m/>
    <m/>
    <m/>
    <m/>
    <m/>
    <n v="0"/>
    <n v="0"/>
    <n v="0"/>
    <n v="0"/>
    <n v="0"/>
    <n v="0"/>
    <n v="0"/>
    <n v="0"/>
    <n v="0"/>
    <n v="0"/>
    <n v="0"/>
    <n v="0"/>
    <n v="0"/>
    <n v="0"/>
    <x v="0"/>
    <n v="0"/>
    <n v="0"/>
    <n v="0"/>
    <s v="MMR001CMP071"/>
    <x v="0"/>
    <x v="1"/>
    <x v="2"/>
    <n v="0"/>
    <m/>
    <m/>
  </r>
  <r>
    <n v="19.233333333333334"/>
    <d v="2015-06-04T00:00:00"/>
    <x v="0"/>
    <s v="KBC"/>
    <s v="Kachin"/>
    <s v="Momauk"/>
    <s v="Loi Je Lisu Camp"/>
    <m/>
    <m/>
    <m/>
    <m/>
    <n v="88"/>
    <n v="27"/>
    <n v="9"/>
    <m/>
    <n v="9"/>
    <n v="48"/>
    <m/>
    <m/>
    <m/>
    <m/>
    <n v="9"/>
    <m/>
    <m/>
    <n v="0"/>
    <n v="0"/>
    <n v="0"/>
    <n v="0"/>
    <n v="0"/>
    <n v="0"/>
    <n v="0"/>
    <n v="0"/>
    <n v="0"/>
    <n v="0"/>
    <n v="0"/>
    <n v="0"/>
    <n v="0"/>
    <n v="0"/>
    <x v="0"/>
    <n v="0"/>
    <n v="0"/>
    <n v="0"/>
    <s v="MMR001CMP070"/>
    <x v="0"/>
    <x v="1"/>
    <x v="2"/>
    <n v="2.1951219512195122E-4"/>
    <s v="No"/>
    <m/>
  </r>
  <r>
    <n v="19.233333333333334"/>
    <d v="2015-06-04T00:00:00"/>
    <x v="0"/>
    <s v="KBC"/>
    <s v="Kachin"/>
    <s v="Momauk"/>
    <s v="Momauk Baptist Church"/>
    <m/>
    <m/>
    <m/>
    <m/>
    <n v="80"/>
    <m/>
    <m/>
    <m/>
    <m/>
    <m/>
    <m/>
    <m/>
    <m/>
    <m/>
    <m/>
    <m/>
    <m/>
    <n v="0"/>
    <n v="0"/>
    <n v="0"/>
    <n v="0"/>
    <n v="0"/>
    <n v="0"/>
    <n v="0"/>
    <n v="0"/>
    <n v="0"/>
    <n v="0"/>
    <n v="0"/>
    <n v="0"/>
    <n v="0"/>
    <n v="0"/>
    <x v="0"/>
    <n v="0"/>
    <n v="0"/>
    <n v="0"/>
    <s v="MMR001CMP056"/>
    <x v="0"/>
    <x v="1"/>
    <x v="1"/>
    <n v="0"/>
    <s v="No"/>
    <m/>
  </r>
  <r>
    <n v="19.233333333333334"/>
    <d v="2015-06-04T00:00:00"/>
    <x v="1"/>
    <s v="Solidarities"/>
    <s v="Kachin"/>
    <s v="Momauk"/>
    <s v="Nyaung Na Pin "/>
    <m/>
    <m/>
    <n v="87"/>
    <m/>
    <m/>
    <m/>
    <m/>
    <m/>
    <m/>
    <m/>
    <m/>
    <m/>
    <m/>
    <m/>
    <m/>
    <m/>
    <m/>
    <n v="0"/>
    <n v="0"/>
    <n v="0"/>
    <n v="0"/>
    <n v="0"/>
    <n v="0"/>
    <n v="0"/>
    <n v="0"/>
    <n v="0"/>
    <n v="0"/>
    <n v="0"/>
    <n v="0"/>
    <n v="0"/>
    <n v="0"/>
    <x v="0"/>
    <n v="0"/>
    <n v="0"/>
    <n v="0"/>
    <s v="MMR001CMP072"/>
    <x v="0"/>
    <x v="1"/>
    <x v="2"/>
    <n v="0"/>
    <m/>
    <m/>
  </r>
  <r>
    <n v="19.233333333333334"/>
    <d v="2015-06-04T00:00:00"/>
    <x v="0"/>
    <s v="KBC"/>
    <s v="Kachin"/>
    <s v="Bhamo"/>
    <s v="Phan Khar Kone"/>
    <m/>
    <m/>
    <m/>
    <m/>
    <n v="37"/>
    <m/>
    <m/>
    <m/>
    <m/>
    <m/>
    <m/>
    <m/>
    <m/>
    <m/>
    <m/>
    <m/>
    <m/>
    <n v="0"/>
    <n v="0"/>
    <n v="0"/>
    <n v="0"/>
    <n v="0"/>
    <n v="0"/>
    <n v="0"/>
    <n v="0"/>
    <n v="0"/>
    <n v="0"/>
    <n v="0"/>
    <n v="0"/>
    <n v="0"/>
    <n v="0"/>
    <x v="0"/>
    <n v="0"/>
    <n v="0"/>
    <n v="0"/>
    <s v="MMR001CMP193"/>
    <x v="0"/>
    <x v="1"/>
    <x v="1"/>
    <n v="0"/>
    <s v="No"/>
    <m/>
  </r>
  <r>
    <n v="19.233333333333334"/>
    <d v="2015-06-04T00:00:00"/>
    <x v="0"/>
    <s v="KBC"/>
    <s v="Kachin"/>
    <s v="Momauk"/>
    <s v="Seng Ja "/>
    <m/>
    <m/>
    <m/>
    <n v="18"/>
    <n v="35"/>
    <m/>
    <m/>
    <m/>
    <m/>
    <m/>
    <m/>
    <m/>
    <m/>
    <m/>
    <m/>
    <m/>
    <n v="8"/>
    <n v="0"/>
    <n v="0"/>
    <n v="0"/>
    <n v="0"/>
    <n v="0"/>
    <n v="0"/>
    <n v="0"/>
    <n v="0"/>
    <n v="0"/>
    <n v="0"/>
    <n v="0"/>
    <n v="0"/>
    <n v="0"/>
    <n v="0"/>
    <x v="0"/>
    <n v="0"/>
    <n v="0"/>
    <n v="0"/>
    <s v="MMR001CMP073"/>
    <x v="0"/>
    <x v="1"/>
    <x v="2"/>
    <n v="0"/>
    <s v="No"/>
    <m/>
  </r>
  <r>
    <n v="19.233333333333334"/>
    <d v="2015-06-04T00:00:00"/>
    <x v="1"/>
    <s v="Solidarities"/>
    <s v="Kachin"/>
    <s v="Momauk"/>
    <s v="Seng Ja "/>
    <m/>
    <m/>
    <n v="73"/>
    <m/>
    <m/>
    <m/>
    <m/>
    <m/>
    <m/>
    <m/>
    <m/>
    <m/>
    <m/>
    <m/>
    <m/>
    <m/>
    <m/>
    <n v="0"/>
    <n v="0"/>
    <n v="0"/>
    <n v="0"/>
    <n v="0"/>
    <n v="0"/>
    <n v="0"/>
    <n v="0"/>
    <n v="0"/>
    <n v="0"/>
    <n v="0"/>
    <n v="0"/>
    <n v="0"/>
    <n v="0"/>
    <x v="0"/>
    <n v="0"/>
    <n v="0"/>
    <n v="0"/>
    <s v="MMR001CMP073"/>
    <x v="0"/>
    <x v="1"/>
    <x v="2"/>
    <n v="0"/>
    <m/>
    <m/>
  </r>
  <r>
    <n v="19.266666666666666"/>
    <d v="2015-06-03T00:00:00"/>
    <x v="1"/>
    <s v="Solidarities"/>
    <s v="Kachin"/>
    <s v="Momauk"/>
    <s v="Loi Je Baptist Church"/>
    <m/>
    <m/>
    <m/>
    <m/>
    <m/>
    <m/>
    <m/>
    <m/>
    <m/>
    <m/>
    <m/>
    <m/>
    <m/>
    <m/>
    <m/>
    <m/>
    <m/>
    <n v="0"/>
    <n v="0"/>
    <n v="0"/>
    <n v="0"/>
    <n v="0"/>
    <n v="0"/>
    <n v="0"/>
    <n v="0"/>
    <n v="0"/>
    <n v="0"/>
    <n v="0"/>
    <n v="0"/>
    <n v="0"/>
    <n v="0"/>
    <x v="0"/>
    <n v="0"/>
    <n v="0"/>
    <n v="0"/>
    <s v="MMR001CMP071"/>
    <x v="0"/>
    <x v="1"/>
    <x v="2"/>
    <n v="0"/>
    <m/>
    <m/>
  </r>
  <r>
    <n v="19.266666666666666"/>
    <d v="2015-06-03T00:00:00"/>
    <x v="1"/>
    <s v="Solidarities"/>
    <s v="Kachin"/>
    <s v="Momauk"/>
    <s v="Loi Je Catholic Church"/>
    <m/>
    <m/>
    <n v="115"/>
    <m/>
    <m/>
    <m/>
    <m/>
    <m/>
    <m/>
    <m/>
    <m/>
    <m/>
    <m/>
    <m/>
    <m/>
    <m/>
    <m/>
    <n v="0"/>
    <n v="0"/>
    <n v="0"/>
    <n v="0"/>
    <n v="0"/>
    <n v="0"/>
    <n v="0"/>
    <n v="0"/>
    <n v="0"/>
    <n v="0"/>
    <n v="0"/>
    <n v="0"/>
    <n v="0"/>
    <n v="0"/>
    <x v="0"/>
    <n v="0"/>
    <n v="0"/>
    <n v="0"/>
    <s v="MMR001CMP069"/>
    <x v="0"/>
    <x v="1"/>
    <x v="2"/>
    <n v="0"/>
    <m/>
    <m/>
  </r>
  <r>
    <n v="19.266666666666666"/>
    <d v="2015-06-03T00:00:00"/>
    <x v="1"/>
    <s v="Solidarities"/>
    <s v="Kachin"/>
    <s v="Momauk"/>
    <s v="Loi Je Lisu Camp"/>
    <m/>
    <m/>
    <n v="270"/>
    <m/>
    <m/>
    <m/>
    <m/>
    <m/>
    <m/>
    <m/>
    <m/>
    <m/>
    <m/>
    <m/>
    <m/>
    <m/>
    <m/>
    <n v="0"/>
    <n v="0"/>
    <n v="0"/>
    <n v="0"/>
    <n v="0"/>
    <n v="0"/>
    <n v="0"/>
    <n v="0"/>
    <n v="0"/>
    <n v="0"/>
    <n v="0"/>
    <n v="0"/>
    <n v="0"/>
    <n v="0"/>
    <x v="0"/>
    <n v="0"/>
    <n v="0"/>
    <n v="0"/>
    <s v="MMR001CMP070"/>
    <x v="0"/>
    <x v="1"/>
    <x v="2"/>
    <n v="0"/>
    <m/>
    <m/>
  </r>
  <r>
    <n v="19.266666666666666"/>
    <d v="2015-06-03T00:00:00"/>
    <x v="0"/>
    <s v="KBC"/>
    <s v="Kachin"/>
    <s v="Mansi"/>
    <s v="Maing Khaung"/>
    <m/>
    <m/>
    <m/>
    <n v="6"/>
    <n v="12"/>
    <n v="24"/>
    <n v="3"/>
    <m/>
    <n v="3"/>
    <n v="9"/>
    <m/>
    <m/>
    <m/>
    <m/>
    <n v="3"/>
    <m/>
    <m/>
    <n v="0"/>
    <n v="0"/>
    <n v="0"/>
    <n v="0"/>
    <n v="0"/>
    <n v="0"/>
    <n v="0"/>
    <n v="0"/>
    <n v="0"/>
    <n v="0"/>
    <n v="0"/>
    <n v="0"/>
    <n v="0"/>
    <n v="0"/>
    <x v="0"/>
    <n v="0"/>
    <n v="0"/>
    <n v="0"/>
    <s v="MMR001CMP218"/>
    <x v="0"/>
    <x v="1"/>
    <x v="1"/>
    <n v="7.2205641667468946E-5"/>
    <s v="No"/>
    <m/>
  </r>
  <r>
    <n v="19.3"/>
    <d v="2015-06-02T00:00:00"/>
    <x v="1"/>
    <s v="Solidarities"/>
    <s v="Kachin"/>
    <s v="Bhamo"/>
    <s v="Robert Church"/>
    <m/>
    <m/>
    <n v="1048"/>
    <m/>
    <m/>
    <m/>
    <m/>
    <m/>
    <m/>
    <m/>
    <m/>
    <m/>
    <m/>
    <m/>
    <m/>
    <m/>
    <m/>
    <n v="0"/>
    <n v="0"/>
    <n v="0"/>
    <n v="0"/>
    <n v="0"/>
    <n v="0"/>
    <n v="0"/>
    <n v="0"/>
    <n v="0"/>
    <n v="0"/>
    <n v="0"/>
    <n v="0"/>
    <n v="0"/>
    <n v="0"/>
    <x v="0"/>
    <n v="0"/>
    <n v="0"/>
    <n v="0"/>
    <s v="MMR001CMP047"/>
    <x v="0"/>
    <x v="1"/>
    <x v="1"/>
    <n v="0"/>
    <m/>
    <m/>
  </r>
  <r>
    <n v="19.366666666666667"/>
    <d v="2015-05-31T00:00:00"/>
    <x v="1"/>
    <s v="Solidarities"/>
    <s v="Kachin"/>
    <s v="Momauk"/>
    <s v="Ni Thaw Ka Monestry"/>
    <m/>
    <m/>
    <n v="34"/>
    <m/>
    <m/>
    <m/>
    <m/>
    <m/>
    <m/>
    <m/>
    <m/>
    <m/>
    <m/>
    <m/>
    <m/>
    <m/>
    <m/>
    <n v="0"/>
    <n v="0"/>
    <n v="0"/>
    <n v="0"/>
    <n v="0"/>
    <n v="0"/>
    <n v="0"/>
    <n v="0"/>
    <n v="0"/>
    <n v="0"/>
    <n v="0"/>
    <n v="0"/>
    <n v="0"/>
    <n v="0"/>
    <x v="0"/>
    <n v="0"/>
    <n v="0"/>
    <n v="0"/>
    <s v="MMR001CMP059"/>
    <x v="0"/>
    <x v="0"/>
    <x v="1"/>
    <n v="0"/>
    <m/>
    <m/>
  </r>
  <r>
    <n v="19.366666666666667"/>
    <d v="2015-05-31T00:00:00"/>
    <x v="1"/>
    <s v="Solidarities"/>
    <s v="Kachin"/>
    <s v="Momauk"/>
    <s v="Loi Je Baptist Church"/>
    <m/>
    <m/>
    <m/>
    <m/>
    <m/>
    <m/>
    <m/>
    <m/>
    <m/>
    <m/>
    <m/>
    <m/>
    <m/>
    <m/>
    <n v="2"/>
    <m/>
    <m/>
    <n v="0"/>
    <n v="0"/>
    <n v="0"/>
    <n v="0"/>
    <n v="0"/>
    <n v="0"/>
    <n v="0"/>
    <n v="0"/>
    <n v="0"/>
    <n v="0"/>
    <n v="0"/>
    <n v="0"/>
    <n v="0"/>
    <n v="0"/>
    <x v="0"/>
    <n v="0"/>
    <n v="0"/>
    <n v="0"/>
    <s v="MMR001CMP071"/>
    <x v="0"/>
    <x v="1"/>
    <x v="2"/>
    <n v="0"/>
    <m/>
    <m/>
  </r>
  <r>
    <n v="19.366666666666667"/>
    <d v="2015-05-31T00:00:00"/>
    <x v="1"/>
    <s v="Solidarities"/>
    <s v="Kachin"/>
    <s v="Momauk"/>
    <s v="Loi Je Lisu Camp"/>
    <m/>
    <m/>
    <m/>
    <m/>
    <m/>
    <m/>
    <m/>
    <m/>
    <m/>
    <m/>
    <m/>
    <m/>
    <m/>
    <m/>
    <n v="4"/>
    <m/>
    <m/>
    <n v="0"/>
    <n v="0"/>
    <n v="0"/>
    <n v="0"/>
    <n v="0"/>
    <n v="0"/>
    <n v="0"/>
    <n v="0"/>
    <n v="0"/>
    <n v="0"/>
    <n v="0"/>
    <n v="0"/>
    <n v="0"/>
    <n v="0"/>
    <x v="0"/>
    <n v="0"/>
    <n v="0"/>
    <n v="0"/>
    <s v="MMR001CMP070"/>
    <x v="0"/>
    <x v="1"/>
    <x v="2"/>
    <n v="0"/>
    <m/>
    <m/>
  </r>
  <r>
    <n v="19.366666666666667"/>
    <d v="2015-05-31T00:00:00"/>
    <x v="1"/>
    <s v="Solidarities"/>
    <s v="Kachin"/>
    <s v="Bhamo"/>
    <s v="Phan Khar Kone"/>
    <m/>
    <m/>
    <m/>
    <m/>
    <m/>
    <m/>
    <m/>
    <m/>
    <m/>
    <m/>
    <m/>
    <m/>
    <m/>
    <m/>
    <n v="6"/>
    <m/>
    <m/>
    <n v="0"/>
    <n v="0"/>
    <n v="0"/>
    <n v="0"/>
    <n v="0"/>
    <n v="0"/>
    <n v="0"/>
    <n v="0"/>
    <n v="0"/>
    <n v="0"/>
    <n v="0"/>
    <n v="0"/>
    <n v="0"/>
    <n v="0"/>
    <x v="0"/>
    <n v="0"/>
    <n v="0"/>
    <n v="0"/>
    <s v="MMR001CMP193"/>
    <x v="0"/>
    <x v="1"/>
    <x v="1"/>
    <n v="0"/>
    <m/>
    <m/>
  </r>
  <r>
    <n v="19.366666666666667"/>
    <d v="2015-05-31T00:00:00"/>
    <x v="1"/>
    <s v="Solidarities"/>
    <s v="Kachin"/>
    <s v="Momauk"/>
    <s v="Seng Ja "/>
    <m/>
    <m/>
    <m/>
    <m/>
    <m/>
    <m/>
    <m/>
    <m/>
    <m/>
    <m/>
    <m/>
    <m/>
    <m/>
    <m/>
    <n v="3"/>
    <m/>
    <m/>
    <n v="0"/>
    <n v="0"/>
    <n v="0"/>
    <n v="0"/>
    <n v="0"/>
    <n v="0"/>
    <n v="0"/>
    <n v="0"/>
    <n v="0"/>
    <n v="0"/>
    <n v="0"/>
    <n v="0"/>
    <n v="0"/>
    <n v="0"/>
    <x v="0"/>
    <n v="0"/>
    <n v="0"/>
    <n v="0"/>
    <s v="MMR001CMP073"/>
    <x v="0"/>
    <x v="1"/>
    <x v="2"/>
    <n v="0"/>
    <m/>
    <m/>
  </r>
  <r>
    <n v="19.399999999999999"/>
    <d v="2015-05-30T00:00:00"/>
    <x v="1"/>
    <s v="Solidarities"/>
    <s v="Kachin"/>
    <s v="Bhamo"/>
    <s v="Robert Church"/>
    <m/>
    <m/>
    <m/>
    <m/>
    <m/>
    <m/>
    <m/>
    <m/>
    <m/>
    <m/>
    <m/>
    <m/>
    <m/>
    <m/>
    <n v="3"/>
    <m/>
    <m/>
    <n v="0"/>
    <n v="0"/>
    <n v="0"/>
    <n v="0"/>
    <n v="0"/>
    <n v="0"/>
    <n v="0"/>
    <n v="0"/>
    <n v="0"/>
    <n v="0"/>
    <n v="0"/>
    <n v="0"/>
    <n v="0"/>
    <n v="0"/>
    <x v="0"/>
    <n v="0"/>
    <n v="0"/>
    <n v="0"/>
    <s v="MMR001CMP047"/>
    <x v="0"/>
    <x v="1"/>
    <x v="1"/>
    <n v="0"/>
    <m/>
    <m/>
  </r>
  <r>
    <n v="19.433333333333334"/>
    <d v="2015-05-29T00:00:00"/>
    <x v="1"/>
    <s v="Solidarities"/>
    <s v="Kachin"/>
    <s v="Momauk"/>
    <s v="Edin"/>
    <m/>
    <m/>
    <n v="103"/>
    <m/>
    <m/>
    <m/>
    <m/>
    <m/>
    <m/>
    <m/>
    <m/>
    <m/>
    <m/>
    <m/>
    <m/>
    <m/>
    <m/>
    <n v="0"/>
    <n v="0"/>
    <n v="0"/>
    <n v="0"/>
    <n v="0"/>
    <n v="0"/>
    <n v="0"/>
    <n v="0"/>
    <n v="0"/>
    <n v="0"/>
    <n v="0"/>
    <n v="0"/>
    <n v="0"/>
    <n v="0"/>
    <x v="0"/>
    <n v="0"/>
    <n v="0"/>
    <n v="0"/>
    <s v=""/>
    <x v="2"/>
    <x v="2"/>
    <x v="0"/>
    <s v=""/>
    <m/>
    <m/>
  </r>
  <r>
    <n v="19.433333333333334"/>
    <d v="2015-05-29T00:00:00"/>
    <x v="1"/>
    <s v="Solidarities"/>
    <s v="Kachin"/>
    <s v="Bhamo"/>
    <s v="Phan Khar Kone"/>
    <m/>
    <m/>
    <n v="258"/>
    <m/>
    <m/>
    <m/>
    <m/>
    <m/>
    <m/>
    <m/>
    <m/>
    <m/>
    <m/>
    <m/>
    <m/>
    <m/>
    <m/>
    <n v="0"/>
    <n v="0"/>
    <n v="0"/>
    <n v="0"/>
    <n v="0"/>
    <n v="0"/>
    <n v="0"/>
    <n v="0"/>
    <n v="0"/>
    <n v="0"/>
    <n v="0"/>
    <n v="0"/>
    <n v="0"/>
    <n v="0"/>
    <x v="0"/>
    <n v="0"/>
    <n v="0"/>
    <n v="0"/>
    <s v="MMR001CMP193"/>
    <x v="0"/>
    <x v="1"/>
    <x v="1"/>
    <n v="0"/>
    <m/>
    <m/>
  </r>
  <r>
    <n v="19.466666666666665"/>
    <d v="2015-05-28T00:00:00"/>
    <x v="1"/>
    <s v="Solidarities"/>
    <s v="Kachin"/>
    <s v="Bhamo"/>
    <s v="Ta Gun Taing Monastery (Shwe Kyi Na)"/>
    <m/>
    <m/>
    <n v="36"/>
    <m/>
    <m/>
    <m/>
    <m/>
    <m/>
    <m/>
    <m/>
    <m/>
    <m/>
    <m/>
    <m/>
    <m/>
    <m/>
    <m/>
    <n v="0"/>
    <n v="0"/>
    <n v="0"/>
    <n v="0"/>
    <n v="0"/>
    <n v="0"/>
    <n v="0"/>
    <n v="0"/>
    <n v="0"/>
    <n v="0"/>
    <n v="0"/>
    <n v="0"/>
    <n v="0"/>
    <n v="0"/>
    <x v="0"/>
    <n v="0"/>
    <n v="0"/>
    <n v="0"/>
    <s v="MMR001CMP055"/>
    <x v="0"/>
    <x v="1"/>
    <x v="1"/>
    <n v="0"/>
    <m/>
    <m/>
  </r>
  <r>
    <n v="19.5"/>
    <d v="2015-05-27T00:00:00"/>
    <x v="1"/>
    <s v="Solidarities"/>
    <s v="Kachin"/>
    <s v="Bhamo"/>
    <s v="AD-2000 Tharthana Compound"/>
    <m/>
    <m/>
    <n v="424"/>
    <m/>
    <m/>
    <m/>
    <m/>
    <m/>
    <m/>
    <m/>
    <m/>
    <m/>
    <m/>
    <m/>
    <m/>
    <m/>
    <m/>
    <n v="0"/>
    <n v="0"/>
    <n v="0"/>
    <n v="0"/>
    <n v="0"/>
    <n v="0"/>
    <n v="0"/>
    <n v="0"/>
    <n v="0"/>
    <n v="0"/>
    <n v="0"/>
    <n v="0"/>
    <n v="0"/>
    <n v="0"/>
    <x v="0"/>
    <n v="0"/>
    <n v="0"/>
    <n v="0"/>
    <s v="MMR001CMP050"/>
    <x v="0"/>
    <x v="1"/>
    <x v="1"/>
    <n v="0"/>
    <m/>
    <m/>
  </r>
  <r>
    <n v="19.966666666666665"/>
    <d v="2015-05-13T00:00:00"/>
    <x v="0"/>
    <s v="KMSS-BMO"/>
    <s v="Kachin"/>
    <s v="Momauk"/>
    <s v="Man Bung Catholic compound"/>
    <m/>
    <m/>
    <m/>
    <m/>
    <m/>
    <n v="28"/>
    <m/>
    <m/>
    <m/>
    <m/>
    <m/>
    <m/>
    <m/>
    <m/>
    <m/>
    <m/>
    <m/>
    <n v="0"/>
    <n v="0"/>
    <n v="0"/>
    <n v="0"/>
    <n v="0"/>
    <n v="0"/>
    <n v="0"/>
    <n v="0"/>
    <n v="0"/>
    <n v="0"/>
    <n v="0"/>
    <n v="0"/>
    <n v="0"/>
    <n v="0"/>
    <x v="0"/>
    <n v="0"/>
    <n v="0"/>
    <n v="0"/>
    <s v="MMR001CMP062"/>
    <x v="0"/>
    <x v="1"/>
    <x v="1"/>
    <n v="0"/>
    <s v="No"/>
    <m/>
  </r>
  <r>
    <n v="20.6"/>
    <d v="2015-04-24T00:00:00"/>
    <x v="0"/>
    <s v="KBC"/>
    <s v="Kachin"/>
    <s v="Momauk"/>
    <s v="Loi Je Lisu Camp"/>
    <m/>
    <m/>
    <m/>
    <m/>
    <m/>
    <m/>
    <m/>
    <m/>
    <n v="9"/>
    <m/>
    <m/>
    <m/>
    <m/>
    <m/>
    <m/>
    <m/>
    <m/>
    <n v="0"/>
    <n v="0"/>
    <n v="0"/>
    <n v="0"/>
    <n v="0"/>
    <n v="0"/>
    <n v="0"/>
    <n v="0"/>
    <n v="0"/>
    <n v="0"/>
    <n v="0"/>
    <n v="0"/>
    <n v="0"/>
    <n v="0"/>
    <x v="0"/>
    <n v="0"/>
    <n v="0"/>
    <n v="0"/>
    <s v="MMR001CMP070"/>
    <x v="0"/>
    <x v="1"/>
    <x v="2"/>
    <n v="0"/>
    <s v="No"/>
    <m/>
  </r>
  <r>
    <n v="20.6"/>
    <d v="2015-04-24T00:00:00"/>
    <x v="0"/>
    <s v="KBC"/>
    <s v="Kachin"/>
    <s v="Momauk"/>
    <s v="Seng Ja "/>
    <m/>
    <m/>
    <m/>
    <n v="36"/>
    <n v="18"/>
    <n v="90"/>
    <n v="18"/>
    <m/>
    <m/>
    <n v="90"/>
    <m/>
    <m/>
    <m/>
    <m/>
    <n v="18"/>
    <m/>
    <m/>
    <n v="0"/>
    <n v="0"/>
    <n v="0"/>
    <n v="0"/>
    <n v="0"/>
    <n v="0"/>
    <n v="0"/>
    <n v="0"/>
    <n v="0"/>
    <n v="0"/>
    <n v="0"/>
    <n v="0"/>
    <n v="0"/>
    <n v="0"/>
    <x v="0"/>
    <n v="0"/>
    <n v="0"/>
    <n v="0"/>
    <s v="MMR001CMP073"/>
    <x v="0"/>
    <x v="1"/>
    <x v="2"/>
    <n v="4.3772190068576433E-4"/>
    <s v="No"/>
    <m/>
  </r>
  <r>
    <n v="20.866666666666667"/>
    <d v="2015-04-16T00:00:00"/>
    <x v="0"/>
    <s v="KMSS-LSO"/>
    <s v="Shan_North"/>
    <s v="Kutkai"/>
    <s v="Kutkai downtown (RC Church)"/>
    <m/>
    <m/>
    <m/>
    <m/>
    <m/>
    <m/>
    <m/>
    <m/>
    <m/>
    <n v="69"/>
    <m/>
    <m/>
    <m/>
    <m/>
    <m/>
    <m/>
    <m/>
    <n v="0"/>
    <n v="0"/>
    <n v="0"/>
    <n v="0"/>
    <n v="0"/>
    <n v="0"/>
    <n v="0"/>
    <n v="0"/>
    <n v="0"/>
    <n v="0"/>
    <n v="0"/>
    <n v="0"/>
    <n v="0"/>
    <n v="0"/>
    <x v="0"/>
    <n v="0"/>
    <n v="0"/>
    <n v="0"/>
    <s v="MMR015CMP017"/>
    <x v="0"/>
    <x v="1"/>
    <x v="2"/>
    <n v="0"/>
    <s v="No"/>
    <m/>
  </r>
  <r>
    <n v="21.133333333333333"/>
    <d v="2015-04-08T00:00:00"/>
    <x v="1"/>
    <s v="Solidarities"/>
    <s v="Kachin"/>
    <s v="Bhamo"/>
    <s v="AD-2000 Tharthana Compound"/>
    <m/>
    <m/>
    <m/>
    <m/>
    <m/>
    <m/>
    <m/>
    <m/>
    <m/>
    <m/>
    <m/>
    <m/>
    <m/>
    <m/>
    <m/>
    <n v="7"/>
    <m/>
    <n v="0"/>
    <n v="0"/>
    <n v="0"/>
    <n v="0"/>
    <n v="0"/>
    <n v="0"/>
    <n v="0"/>
    <n v="0"/>
    <n v="0"/>
    <n v="0"/>
    <n v="0"/>
    <n v="0"/>
    <n v="0"/>
    <n v="0"/>
    <x v="0"/>
    <n v="0"/>
    <n v="0"/>
    <n v="0"/>
    <s v="MMR001CMP050"/>
    <x v="0"/>
    <x v="1"/>
    <x v="1"/>
    <n v="0"/>
    <m/>
    <m/>
  </r>
  <r>
    <n v="21.133333333333333"/>
    <d v="2015-04-08T00:00:00"/>
    <x v="0"/>
    <s v="KBC"/>
    <s v="Kachin"/>
    <s v="Mansi"/>
    <s v="Maing Khaung"/>
    <m/>
    <m/>
    <m/>
    <n v="8"/>
    <n v="4"/>
    <m/>
    <n v="4"/>
    <m/>
    <n v="4"/>
    <m/>
    <m/>
    <m/>
    <m/>
    <m/>
    <m/>
    <m/>
    <m/>
    <n v="0"/>
    <n v="0"/>
    <n v="0"/>
    <n v="0"/>
    <n v="0"/>
    <n v="0"/>
    <n v="0"/>
    <n v="0"/>
    <n v="0"/>
    <n v="0"/>
    <n v="0"/>
    <n v="0"/>
    <n v="0"/>
    <n v="0"/>
    <x v="0"/>
    <n v="0"/>
    <n v="0"/>
    <n v="0"/>
    <s v="MMR001CMP218"/>
    <x v="0"/>
    <x v="1"/>
    <x v="1"/>
    <n v="9.6274188889958599E-5"/>
    <s v="No"/>
    <m/>
  </r>
  <r>
    <n v="21.133333333333333"/>
    <d v="2015-04-08T00:00:00"/>
    <x v="1"/>
    <s v="Solidarities"/>
    <s v="Kachin"/>
    <s v="Bhamo"/>
    <s v="Ta Gun Taing Monastery (Shwe Kyi Na)"/>
    <m/>
    <m/>
    <m/>
    <m/>
    <m/>
    <m/>
    <m/>
    <m/>
    <m/>
    <m/>
    <m/>
    <m/>
    <m/>
    <m/>
    <m/>
    <n v="2"/>
    <m/>
    <n v="0"/>
    <n v="0"/>
    <n v="0"/>
    <n v="0"/>
    <n v="0"/>
    <n v="0"/>
    <n v="0"/>
    <n v="0"/>
    <n v="0"/>
    <n v="0"/>
    <n v="0"/>
    <n v="0"/>
    <n v="0"/>
    <n v="0"/>
    <x v="0"/>
    <n v="0"/>
    <n v="0"/>
    <n v="0"/>
    <s v="MMR001CMP055"/>
    <x v="0"/>
    <x v="1"/>
    <x v="1"/>
    <n v="0"/>
    <m/>
    <m/>
  </r>
  <r>
    <n v="21.3"/>
    <d v="2015-04-03T00:00:00"/>
    <x v="0"/>
    <s v="Shalom-BM"/>
    <s v="Kachin"/>
    <s v="Bhamo"/>
    <s v="Lisu Baptist Church"/>
    <m/>
    <m/>
    <m/>
    <m/>
    <m/>
    <n v="15"/>
    <m/>
    <m/>
    <n v="26"/>
    <n v="720"/>
    <m/>
    <m/>
    <m/>
    <m/>
    <n v="26"/>
    <m/>
    <m/>
    <n v="0"/>
    <n v="0"/>
    <n v="0"/>
    <n v="0"/>
    <n v="0"/>
    <n v="0"/>
    <n v="0"/>
    <n v="0"/>
    <n v="0"/>
    <n v="0"/>
    <n v="0"/>
    <n v="0"/>
    <n v="0"/>
    <n v="0"/>
    <x v="0"/>
    <n v="0"/>
    <n v="0"/>
    <n v="0"/>
    <s v=""/>
    <x v="2"/>
    <x v="2"/>
    <x v="0"/>
    <s v=""/>
    <s v="No"/>
    <m/>
  </r>
  <r>
    <n v="21.3"/>
    <d v="2015-04-03T00:00:00"/>
    <x v="0"/>
    <s v="Shalom"/>
    <s v="Kachin"/>
    <s v="Momauk"/>
    <s v="Mandalay Monestry"/>
    <m/>
    <m/>
    <m/>
    <m/>
    <m/>
    <m/>
    <m/>
    <m/>
    <m/>
    <m/>
    <m/>
    <m/>
    <m/>
    <m/>
    <m/>
    <m/>
    <m/>
    <n v="0"/>
    <n v="0"/>
    <n v="0"/>
    <n v="0"/>
    <n v="0"/>
    <n v="0"/>
    <n v="0"/>
    <n v="0"/>
    <n v="0"/>
    <n v="0"/>
    <n v="0"/>
    <n v="0"/>
    <n v="0"/>
    <n v="0"/>
    <x v="0"/>
    <n v="0"/>
    <n v="0"/>
    <n v="0"/>
    <s v="MMR001CMP058"/>
    <x v="0"/>
    <x v="0"/>
    <x v="1"/>
    <n v="0"/>
    <s v="No"/>
    <m/>
  </r>
  <r>
    <n v="21.3"/>
    <d v="2015-04-03T00:00:00"/>
    <x v="0"/>
    <s v="Shalom"/>
    <s v="Kachin"/>
    <s v="Momauk"/>
    <s v="Ni Thaw Ka Monestry"/>
    <m/>
    <m/>
    <m/>
    <n v="105"/>
    <n v="26"/>
    <n v="308"/>
    <n v="29"/>
    <m/>
    <m/>
    <n v="69"/>
    <m/>
    <m/>
    <m/>
    <m/>
    <m/>
    <m/>
    <m/>
    <n v="0"/>
    <n v="0"/>
    <n v="0"/>
    <n v="0"/>
    <n v="0"/>
    <n v="0"/>
    <n v="0"/>
    <n v="0"/>
    <n v="0"/>
    <n v="0"/>
    <n v="0"/>
    <n v="0"/>
    <n v="0"/>
    <n v="0"/>
    <x v="0"/>
    <n v="0"/>
    <n v="0"/>
    <n v="0"/>
    <s v="MMR001CMP059"/>
    <x v="0"/>
    <x v="0"/>
    <x v="1"/>
    <n v="7.1048827694343043E-4"/>
    <s v="No"/>
    <m/>
  </r>
  <r>
    <n v="21.3"/>
    <d v="2015-04-03T00:00:00"/>
    <x v="0"/>
    <s v="Shalom-BM"/>
    <s v="Kachin"/>
    <s v="Bhamo"/>
    <s v="Mu-yin Baptist Church"/>
    <m/>
    <m/>
    <m/>
    <m/>
    <n v="3"/>
    <n v="53"/>
    <m/>
    <m/>
    <n v="3"/>
    <n v="11"/>
    <m/>
    <m/>
    <m/>
    <m/>
    <n v="3"/>
    <m/>
    <m/>
    <n v="0"/>
    <n v="0"/>
    <n v="0"/>
    <n v="0"/>
    <n v="0"/>
    <n v="0"/>
    <n v="0"/>
    <n v="0"/>
    <n v="0"/>
    <n v="0"/>
    <n v="0"/>
    <n v="0"/>
    <n v="0"/>
    <n v="0"/>
    <x v="0"/>
    <n v="0"/>
    <n v="0"/>
    <n v="0"/>
    <s v="MMR001CMP051"/>
    <x v="0"/>
    <x v="1"/>
    <x v="1"/>
    <n v="0"/>
    <s v="No"/>
    <m/>
  </r>
  <r>
    <n v="21.3"/>
    <d v="2015-04-03T00:00:00"/>
    <x v="0"/>
    <s v="UNHCR"/>
    <s v="Kachin"/>
    <s v="Momauk"/>
    <s v="Nhkawng Pa "/>
    <m/>
    <m/>
    <m/>
    <m/>
    <m/>
    <m/>
    <m/>
    <m/>
    <m/>
    <m/>
    <m/>
    <m/>
    <m/>
    <m/>
    <n v="405"/>
    <m/>
    <m/>
    <n v="0"/>
    <n v="0"/>
    <n v="0"/>
    <n v="0"/>
    <n v="0"/>
    <n v="0"/>
    <n v="0"/>
    <n v="0"/>
    <n v="0"/>
    <n v="0"/>
    <n v="0"/>
    <n v="0"/>
    <n v="0"/>
    <n v="0"/>
    <x v="0"/>
    <n v="0"/>
    <n v="0"/>
    <n v="0"/>
    <s v="MMR001CMP131"/>
    <x v="0"/>
    <x v="1"/>
    <x v="5"/>
    <n v="0"/>
    <s v="No"/>
    <m/>
  </r>
  <r>
    <n v="21.5"/>
    <d v="2015-03-28T00:00:00"/>
    <x v="0"/>
    <s v="KMSS-BMO"/>
    <s v="Kachin"/>
    <s v="Mansi"/>
    <s v="Bum Tsit Pa Camp II"/>
    <m/>
    <m/>
    <m/>
    <m/>
    <m/>
    <n v="704"/>
    <m/>
    <m/>
    <n v="9"/>
    <m/>
    <m/>
    <m/>
    <m/>
    <m/>
    <m/>
    <m/>
    <m/>
    <n v="0"/>
    <n v="0"/>
    <n v="0"/>
    <n v="0"/>
    <n v="0"/>
    <n v="0"/>
    <n v="0"/>
    <n v="0"/>
    <n v="0"/>
    <n v="0"/>
    <n v="0"/>
    <n v="0"/>
    <n v="0"/>
    <n v="0"/>
    <x v="0"/>
    <n v="0"/>
    <n v="0"/>
    <n v="0"/>
    <s v="MMR001CMP226"/>
    <x v="0"/>
    <x v="0"/>
    <x v="6"/>
    <n v="0"/>
    <s v="No"/>
    <m/>
  </r>
  <r>
    <n v="21.533333333333335"/>
    <d v="2015-03-27T00:00:00"/>
    <x v="0"/>
    <s v="KMSS-BMO"/>
    <s v="Kachin"/>
    <s v="Mansi"/>
    <s v="Lana Zup Ja "/>
    <m/>
    <m/>
    <m/>
    <m/>
    <m/>
    <n v="357"/>
    <m/>
    <m/>
    <m/>
    <m/>
    <m/>
    <m/>
    <m/>
    <m/>
    <m/>
    <m/>
    <m/>
    <n v="0"/>
    <n v="0"/>
    <n v="0"/>
    <n v="0"/>
    <n v="0"/>
    <n v="0"/>
    <n v="0"/>
    <n v="0"/>
    <n v="0"/>
    <n v="0"/>
    <n v="0"/>
    <n v="0"/>
    <n v="0"/>
    <n v="0"/>
    <x v="0"/>
    <n v="0"/>
    <n v="0"/>
    <n v="0"/>
    <s v="MMR001CMP128"/>
    <x v="0"/>
    <x v="1"/>
    <x v="6"/>
    <n v="0"/>
    <s v="No"/>
    <m/>
  </r>
  <r>
    <n v="21.6"/>
    <d v="2015-03-25T00:00:00"/>
    <x v="0"/>
    <s v="KMSS-BMO"/>
    <s v="Kachin"/>
    <s v="Mansi"/>
    <s v="Bum Tsit Pa "/>
    <m/>
    <m/>
    <m/>
    <m/>
    <m/>
    <n v="829"/>
    <m/>
    <m/>
    <m/>
    <m/>
    <m/>
    <m/>
    <m/>
    <m/>
    <m/>
    <m/>
    <m/>
    <n v="0"/>
    <n v="0"/>
    <n v="0"/>
    <n v="0"/>
    <n v="0"/>
    <n v="0"/>
    <n v="0"/>
    <n v="0"/>
    <n v="0"/>
    <n v="0"/>
    <n v="0"/>
    <n v="0"/>
    <n v="0"/>
    <n v="0"/>
    <x v="0"/>
    <n v="0"/>
    <n v="0"/>
    <n v="0"/>
    <s v="MMR001CMP129"/>
    <x v="0"/>
    <x v="1"/>
    <x v="6"/>
    <n v="0"/>
    <s v="No"/>
    <m/>
  </r>
  <r>
    <n v="21.6"/>
    <d v="2015-03-25T00:00:00"/>
    <x v="1"/>
    <s v="Solidarities"/>
    <s v="Kachin"/>
    <s v="Momauk"/>
    <s v="Edin"/>
    <m/>
    <m/>
    <m/>
    <m/>
    <m/>
    <m/>
    <m/>
    <m/>
    <m/>
    <m/>
    <m/>
    <m/>
    <m/>
    <m/>
    <m/>
    <n v="3"/>
    <m/>
    <n v="0"/>
    <n v="0"/>
    <n v="0"/>
    <n v="0"/>
    <n v="0"/>
    <n v="0"/>
    <n v="0"/>
    <n v="0"/>
    <n v="0"/>
    <n v="0"/>
    <n v="0"/>
    <n v="0"/>
    <n v="0"/>
    <n v="0"/>
    <x v="0"/>
    <n v="0"/>
    <n v="0"/>
    <n v="0"/>
    <s v=""/>
    <x v="2"/>
    <x v="2"/>
    <x v="0"/>
    <s v=""/>
    <m/>
    <m/>
  </r>
  <r>
    <n v="21.6"/>
    <d v="2015-03-25T00:00:00"/>
    <x v="0"/>
    <s v="UNHCR"/>
    <s v="Kachin"/>
    <s v="Mansi"/>
    <s v="Lana Zup Ja and Bumtsit pa (1) and (2)"/>
    <m/>
    <m/>
    <m/>
    <n v="1621"/>
    <m/>
    <m/>
    <m/>
    <m/>
    <m/>
    <m/>
    <m/>
    <m/>
    <m/>
    <m/>
    <m/>
    <m/>
    <m/>
    <n v="0"/>
    <n v="0"/>
    <n v="0"/>
    <n v="0"/>
    <n v="0"/>
    <n v="0"/>
    <n v="0"/>
    <n v="0"/>
    <n v="0"/>
    <n v="0"/>
    <n v="0"/>
    <n v="0"/>
    <n v="0"/>
    <n v="0"/>
    <x v="0"/>
    <n v="0"/>
    <n v="0"/>
    <n v="0"/>
    <s v=""/>
    <x v="2"/>
    <x v="2"/>
    <x v="0"/>
    <s v=""/>
    <s v="No"/>
    <m/>
  </r>
  <r>
    <n v="21.6"/>
    <d v="2015-03-25T00:00:00"/>
    <x v="0"/>
    <s v="UNHCR"/>
    <s v="Kachin"/>
    <s v="Bhamo"/>
    <s v="Nhkawng Pa camp and Pa Kahtawng camp thru cross line mission with KMSS-Bhamo"/>
    <m/>
    <m/>
    <m/>
    <m/>
    <m/>
    <m/>
    <m/>
    <m/>
    <m/>
    <m/>
    <n v="2086"/>
    <n v="3036"/>
    <m/>
    <m/>
    <m/>
    <m/>
    <m/>
    <n v="0"/>
    <n v="0"/>
    <n v="0"/>
    <n v="0"/>
    <n v="0"/>
    <n v="0"/>
    <n v="0"/>
    <n v="0"/>
    <n v="0"/>
    <n v="0"/>
    <n v="0"/>
    <n v="0"/>
    <n v="0"/>
    <n v="0"/>
    <x v="2"/>
    <n v="0"/>
    <n v="0"/>
    <n v="0"/>
    <s v=""/>
    <x v="2"/>
    <x v="2"/>
    <x v="0"/>
    <s v=""/>
    <s v="No"/>
    <m/>
  </r>
  <r>
    <n v="21.6"/>
    <d v="2015-03-25T00:00:00"/>
    <x v="1"/>
    <s v="Solidarities"/>
    <s v="Kachin"/>
    <s v="Momauk"/>
    <s v="Ni Thaw Ka Monestry"/>
    <m/>
    <m/>
    <m/>
    <m/>
    <m/>
    <m/>
    <m/>
    <m/>
    <m/>
    <m/>
    <m/>
    <m/>
    <m/>
    <m/>
    <m/>
    <n v="1"/>
    <m/>
    <n v="0"/>
    <n v="0"/>
    <n v="0"/>
    <n v="0"/>
    <n v="0"/>
    <n v="0"/>
    <n v="0"/>
    <n v="0"/>
    <n v="0"/>
    <n v="0"/>
    <n v="0"/>
    <n v="0"/>
    <n v="0"/>
    <n v="0"/>
    <x v="0"/>
    <n v="0"/>
    <n v="0"/>
    <n v="0"/>
    <s v="MMR001CMP059"/>
    <x v="0"/>
    <x v="0"/>
    <x v="1"/>
    <n v="0"/>
    <m/>
    <m/>
  </r>
  <r>
    <n v="21.9"/>
    <d v="2015-03-16T00:00:00"/>
    <x v="0"/>
    <s v="UNHCR"/>
    <s v="Kachin"/>
    <s v="Bhamo"/>
    <s v="Nhkawng Pa camp and Pa Kahtawng camp thru cross line mission with KMSS-Bhamo"/>
    <m/>
    <m/>
    <m/>
    <m/>
    <m/>
    <m/>
    <m/>
    <m/>
    <m/>
    <m/>
    <n v="2460"/>
    <n v="3600"/>
    <m/>
    <m/>
    <m/>
    <m/>
    <m/>
    <n v="0"/>
    <n v="0"/>
    <n v="0"/>
    <n v="0"/>
    <n v="0"/>
    <n v="0"/>
    <n v="0"/>
    <n v="0"/>
    <n v="0"/>
    <n v="0"/>
    <n v="0"/>
    <n v="0"/>
    <n v="0"/>
    <n v="0"/>
    <x v="2"/>
    <n v="0"/>
    <n v="0"/>
    <n v="0"/>
    <s v=""/>
    <x v="2"/>
    <x v="2"/>
    <x v="0"/>
    <s v=""/>
    <s v="No"/>
    <m/>
  </r>
  <r>
    <n v="22"/>
    <d v="2015-03-13T00:00:00"/>
    <x v="0"/>
    <s v="KMSS"/>
    <s v="Kachin"/>
    <s v="Waingmaw"/>
    <s v="Maina Catholic Church (St. Joseph)"/>
    <m/>
    <m/>
    <m/>
    <m/>
    <n v="1"/>
    <m/>
    <m/>
    <m/>
    <m/>
    <m/>
    <m/>
    <m/>
    <m/>
    <m/>
    <m/>
    <m/>
    <m/>
    <n v="0"/>
    <n v="0"/>
    <n v="0"/>
    <n v="0"/>
    <n v="0"/>
    <n v="0"/>
    <n v="0"/>
    <n v="0"/>
    <n v="0"/>
    <n v="0"/>
    <n v="0"/>
    <n v="0"/>
    <n v="0"/>
    <n v="0"/>
    <x v="0"/>
    <n v="0"/>
    <n v="0"/>
    <n v="0"/>
    <s v="MMR001CMP029"/>
    <x v="0"/>
    <x v="1"/>
    <x v="1"/>
    <n v="0"/>
    <s v="No"/>
    <m/>
  </r>
  <r>
    <n v="22.033333333333335"/>
    <d v="2015-03-12T00:00:00"/>
    <x v="1"/>
    <s v="Solidarities"/>
    <s v="Kachin"/>
    <s v="Momauk"/>
    <s v="Loi Je Baptist Church"/>
    <m/>
    <m/>
    <m/>
    <m/>
    <m/>
    <m/>
    <m/>
    <m/>
    <m/>
    <m/>
    <m/>
    <m/>
    <m/>
    <m/>
    <m/>
    <n v="1"/>
    <m/>
    <n v="0"/>
    <n v="0"/>
    <n v="0"/>
    <n v="0"/>
    <n v="0"/>
    <n v="0"/>
    <n v="0"/>
    <n v="0"/>
    <n v="0"/>
    <n v="0"/>
    <n v="0"/>
    <n v="0"/>
    <n v="0"/>
    <n v="0"/>
    <x v="0"/>
    <n v="0"/>
    <n v="0"/>
    <n v="0"/>
    <s v="MMR001CMP071"/>
    <x v="0"/>
    <x v="1"/>
    <x v="2"/>
    <n v="0"/>
    <m/>
    <m/>
  </r>
  <r>
    <n v="22.033333333333335"/>
    <d v="2015-03-12T00:00:00"/>
    <x v="1"/>
    <s v="Solidarities"/>
    <s v="Kachin"/>
    <s v="Momauk"/>
    <s v="Loi Je Baptist Church"/>
    <m/>
    <m/>
    <m/>
    <m/>
    <m/>
    <m/>
    <m/>
    <m/>
    <m/>
    <m/>
    <m/>
    <m/>
    <m/>
    <m/>
    <m/>
    <m/>
    <m/>
    <n v="0"/>
    <n v="0"/>
    <n v="0"/>
    <n v="0"/>
    <n v="0"/>
    <n v="0"/>
    <n v="0"/>
    <n v="0"/>
    <n v="0"/>
    <n v="0"/>
    <n v="0"/>
    <n v="0"/>
    <n v="0"/>
    <n v="0"/>
    <x v="0"/>
    <n v="0"/>
    <n v="0"/>
    <n v="0"/>
    <s v="MMR001CMP071"/>
    <x v="0"/>
    <x v="1"/>
    <x v="2"/>
    <n v="0"/>
    <m/>
    <m/>
  </r>
  <r>
    <n v="22.033333333333335"/>
    <d v="2015-03-12T00:00:00"/>
    <x v="1"/>
    <s v="Solidarities"/>
    <s v="Kachin"/>
    <s v="Momauk"/>
    <s v="Loi Je Catholic Church"/>
    <m/>
    <m/>
    <m/>
    <m/>
    <m/>
    <m/>
    <m/>
    <m/>
    <m/>
    <m/>
    <m/>
    <m/>
    <m/>
    <m/>
    <m/>
    <n v="2"/>
    <m/>
    <n v="0"/>
    <n v="0"/>
    <n v="0"/>
    <n v="0"/>
    <n v="0"/>
    <n v="0"/>
    <n v="0"/>
    <n v="0"/>
    <n v="0"/>
    <n v="0"/>
    <n v="0"/>
    <n v="0"/>
    <n v="0"/>
    <n v="0"/>
    <x v="0"/>
    <n v="0"/>
    <n v="0"/>
    <n v="0"/>
    <s v="MMR001CMP069"/>
    <x v="0"/>
    <x v="1"/>
    <x v="2"/>
    <n v="0"/>
    <m/>
    <m/>
  </r>
  <r>
    <n v="22.033333333333335"/>
    <d v="2015-03-12T00:00:00"/>
    <x v="1"/>
    <s v="Solidarities"/>
    <s v="Kachin"/>
    <s v="Momauk"/>
    <s v="Loi Je Lisu Camp"/>
    <m/>
    <m/>
    <m/>
    <m/>
    <m/>
    <m/>
    <m/>
    <m/>
    <m/>
    <m/>
    <m/>
    <m/>
    <m/>
    <m/>
    <m/>
    <n v="5"/>
    <m/>
    <n v="0"/>
    <n v="0"/>
    <n v="0"/>
    <n v="0"/>
    <n v="0"/>
    <n v="0"/>
    <n v="0"/>
    <n v="0"/>
    <n v="0"/>
    <n v="0"/>
    <n v="0"/>
    <n v="0"/>
    <n v="0"/>
    <n v="0"/>
    <x v="0"/>
    <n v="0"/>
    <n v="0"/>
    <n v="0"/>
    <s v="MMR001CMP070"/>
    <x v="0"/>
    <x v="1"/>
    <x v="2"/>
    <n v="0"/>
    <m/>
    <m/>
  </r>
  <r>
    <n v="22.033333333333335"/>
    <d v="2015-03-12T00:00:00"/>
    <x v="1"/>
    <s v="Solidarities"/>
    <s v="Kachin"/>
    <s v="Bhamo"/>
    <s v="Phan Khar Kone"/>
    <m/>
    <m/>
    <m/>
    <m/>
    <m/>
    <m/>
    <m/>
    <m/>
    <m/>
    <m/>
    <m/>
    <m/>
    <m/>
    <m/>
    <m/>
    <n v="7"/>
    <m/>
    <n v="0"/>
    <n v="0"/>
    <n v="0"/>
    <n v="0"/>
    <n v="0"/>
    <n v="0"/>
    <n v="0"/>
    <n v="0"/>
    <n v="0"/>
    <n v="0"/>
    <n v="0"/>
    <n v="0"/>
    <n v="0"/>
    <n v="0"/>
    <x v="0"/>
    <n v="0"/>
    <n v="0"/>
    <n v="0"/>
    <s v="MMR001CMP193"/>
    <x v="0"/>
    <x v="1"/>
    <x v="1"/>
    <n v="0"/>
    <m/>
    <m/>
  </r>
  <r>
    <n v="22.033333333333335"/>
    <d v="2015-03-12T00:00:00"/>
    <x v="1"/>
    <s v="Solidarities"/>
    <s v="Kachin"/>
    <s v="Bhamo"/>
    <s v="Robert Church"/>
    <m/>
    <m/>
    <m/>
    <m/>
    <m/>
    <m/>
    <m/>
    <m/>
    <m/>
    <m/>
    <m/>
    <m/>
    <m/>
    <m/>
    <m/>
    <n v="11"/>
    <m/>
    <n v="0"/>
    <n v="0"/>
    <n v="0"/>
    <n v="0"/>
    <n v="0"/>
    <n v="0"/>
    <n v="0"/>
    <n v="0"/>
    <n v="0"/>
    <n v="0"/>
    <n v="0"/>
    <n v="0"/>
    <n v="0"/>
    <n v="0"/>
    <x v="0"/>
    <n v="0"/>
    <n v="0"/>
    <n v="0"/>
    <s v="MMR001CMP047"/>
    <x v="0"/>
    <x v="1"/>
    <x v="1"/>
    <n v="0"/>
    <m/>
    <m/>
  </r>
  <r>
    <n v="22.033333333333335"/>
    <d v="2015-03-12T00:00:00"/>
    <x v="1"/>
    <s v="Solidarities"/>
    <s v="Kachin"/>
    <s v="Momauk"/>
    <s v="Seng Ja "/>
    <m/>
    <m/>
    <m/>
    <m/>
    <m/>
    <m/>
    <m/>
    <m/>
    <m/>
    <m/>
    <m/>
    <m/>
    <m/>
    <m/>
    <m/>
    <n v="4"/>
    <m/>
    <n v="0"/>
    <n v="0"/>
    <n v="0"/>
    <n v="0"/>
    <n v="0"/>
    <n v="0"/>
    <n v="0"/>
    <n v="0"/>
    <n v="0"/>
    <n v="0"/>
    <n v="0"/>
    <n v="0"/>
    <n v="0"/>
    <n v="0"/>
    <x v="0"/>
    <n v="0"/>
    <n v="0"/>
    <n v="0"/>
    <s v="MMR001CMP073"/>
    <x v="0"/>
    <x v="1"/>
    <x v="2"/>
    <n v="0"/>
    <m/>
    <m/>
  </r>
  <r>
    <n v="22.1"/>
    <d v="2015-03-10T00:00:00"/>
    <x v="1"/>
    <s v="Solidarities"/>
    <s v="Kachin"/>
    <s v="Momauk"/>
    <s v="Nyaung Na Pin "/>
    <m/>
    <m/>
    <m/>
    <m/>
    <m/>
    <m/>
    <m/>
    <m/>
    <m/>
    <m/>
    <m/>
    <m/>
    <m/>
    <m/>
    <m/>
    <n v="2"/>
    <m/>
    <n v="0"/>
    <n v="0"/>
    <n v="0"/>
    <n v="0"/>
    <n v="0"/>
    <n v="0"/>
    <n v="0"/>
    <n v="0"/>
    <n v="0"/>
    <n v="0"/>
    <n v="0"/>
    <n v="0"/>
    <n v="0"/>
    <n v="0"/>
    <x v="0"/>
    <n v="0"/>
    <n v="0"/>
    <n v="0"/>
    <s v="MMR001CMP072"/>
    <x v="0"/>
    <x v="1"/>
    <x v="2"/>
    <n v="0"/>
    <m/>
    <m/>
  </r>
  <r>
    <n v="22.266666666666666"/>
    <d v="2015-03-05T00:00:00"/>
    <x v="0"/>
    <s v="KMSS-LSO"/>
    <s v="Shan_North"/>
    <s v="Hseni"/>
    <s v="Nam Sa Larp"/>
    <m/>
    <n v="43"/>
    <n v="43"/>
    <n v="85"/>
    <n v="43"/>
    <n v="95"/>
    <n v="43"/>
    <n v="43"/>
    <n v="43"/>
    <n v="95"/>
    <m/>
    <m/>
    <m/>
    <m/>
    <n v="43"/>
    <m/>
    <m/>
    <n v="0"/>
    <n v="0"/>
    <n v="0"/>
    <n v="0"/>
    <n v="0"/>
    <n v="0"/>
    <n v="0"/>
    <n v="0"/>
    <n v="0"/>
    <n v="0"/>
    <n v="0"/>
    <n v="0"/>
    <n v="0"/>
    <n v="0"/>
    <x v="0"/>
    <n v="0"/>
    <n v="0"/>
    <n v="0"/>
    <s v="MMR015CMP218"/>
    <x v="1"/>
    <x v="1"/>
    <x v="3"/>
    <n v="1.0229327243315254E-3"/>
    <s v="No"/>
    <m/>
  </r>
  <r>
    <n v="22.5"/>
    <d v="2015-02-26T00:00:00"/>
    <x v="1"/>
    <s v="Solidarities"/>
    <s v="Kachin"/>
    <s v="Bhamo"/>
    <s v="AD-2000 Tharthana Compound"/>
    <m/>
    <m/>
    <m/>
    <m/>
    <m/>
    <m/>
    <m/>
    <m/>
    <m/>
    <m/>
    <m/>
    <m/>
    <m/>
    <m/>
    <m/>
    <n v="37"/>
    <m/>
    <n v="0"/>
    <n v="0"/>
    <n v="0"/>
    <n v="0"/>
    <n v="0"/>
    <n v="0"/>
    <n v="0"/>
    <n v="0"/>
    <n v="0"/>
    <n v="0"/>
    <n v="0"/>
    <n v="0"/>
    <n v="0"/>
    <n v="0"/>
    <x v="0"/>
    <n v="0"/>
    <n v="0"/>
    <n v="0"/>
    <s v="MMR001CMP050"/>
    <x v="0"/>
    <x v="1"/>
    <x v="1"/>
    <n v="0"/>
    <m/>
    <m/>
  </r>
  <r>
    <n v="22.533333333333335"/>
    <d v="2015-02-25T00:00:00"/>
    <x v="1"/>
    <s v="Solidarities"/>
    <s v="Kachin"/>
    <s v="Bhamo"/>
    <s v="Robert Church"/>
    <m/>
    <m/>
    <m/>
    <m/>
    <m/>
    <m/>
    <m/>
    <m/>
    <m/>
    <m/>
    <m/>
    <m/>
    <m/>
    <m/>
    <m/>
    <n v="76"/>
    <m/>
    <n v="0"/>
    <n v="0"/>
    <n v="0"/>
    <n v="0"/>
    <n v="0"/>
    <n v="0"/>
    <n v="0"/>
    <n v="0"/>
    <n v="0"/>
    <n v="0"/>
    <n v="0"/>
    <n v="0"/>
    <n v="0"/>
    <n v="0"/>
    <x v="0"/>
    <n v="0"/>
    <n v="0"/>
    <n v="0"/>
    <s v="MMR001CMP047"/>
    <x v="0"/>
    <x v="1"/>
    <x v="1"/>
    <n v="0"/>
    <m/>
    <m/>
  </r>
  <r>
    <n v="22.666666666666668"/>
    <d v="2015-02-21T00:00:00"/>
    <x v="0"/>
    <s v="UNHCR"/>
    <s v="Shan_North"/>
    <s v="Kutkai"/>
    <s v="Namtit"/>
    <m/>
    <m/>
    <m/>
    <n v="161"/>
    <n v="76"/>
    <m/>
    <n v="76"/>
    <m/>
    <n v="76"/>
    <m/>
    <m/>
    <m/>
    <m/>
    <m/>
    <n v="76"/>
    <m/>
    <m/>
    <n v="0"/>
    <n v="0"/>
    <n v="0"/>
    <n v="0"/>
    <n v="0"/>
    <n v="0"/>
    <n v="0"/>
    <n v="0"/>
    <n v="0"/>
    <n v="0"/>
    <n v="0"/>
    <n v="0"/>
    <n v="0"/>
    <n v="0"/>
    <x v="0"/>
    <n v="0"/>
    <n v="0"/>
    <n v="0"/>
    <s v=""/>
    <x v="2"/>
    <x v="2"/>
    <x v="0"/>
    <s v=""/>
    <s v="No"/>
    <m/>
  </r>
  <r>
    <n v="22.666666666666668"/>
    <d v="2015-02-21T00:00:00"/>
    <x v="0"/>
    <s v="KMSS-LSO"/>
    <s v="Shan_North"/>
    <s v="Kutkai"/>
    <s v="Zup Aung Camp"/>
    <m/>
    <n v="54"/>
    <n v="36"/>
    <n v="108"/>
    <n v="54"/>
    <n v="108"/>
    <n v="54"/>
    <n v="54"/>
    <n v="54"/>
    <n v="108"/>
    <m/>
    <m/>
    <m/>
    <m/>
    <n v="54"/>
    <m/>
    <m/>
    <n v="0"/>
    <n v="0"/>
    <n v="0"/>
    <n v="0"/>
    <n v="0"/>
    <n v="0"/>
    <n v="0"/>
    <n v="0"/>
    <n v="0"/>
    <n v="0"/>
    <n v="0"/>
    <n v="0"/>
    <n v="0"/>
    <n v="0"/>
    <x v="0"/>
    <n v="0"/>
    <n v="0"/>
    <n v="0"/>
    <s v="MMR015CMP020"/>
    <x v="0"/>
    <x v="1"/>
    <x v="2"/>
    <n v="1.3092813500145475E-3"/>
    <s v="No"/>
    <m/>
  </r>
  <r>
    <n v="22.833333333333332"/>
    <d v="2015-02-16T00:00:00"/>
    <x v="0"/>
    <s v="KMSS"/>
    <s v="Kachin"/>
    <s v="Waingmaw"/>
    <s v="Laiza Market 3 - Laiza Gat"/>
    <m/>
    <m/>
    <m/>
    <m/>
    <m/>
    <m/>
    <m/>
    <m/>
    <m/>
    <m/>
    <n v="1119"/>
    <n v="1455"/>
    <m/>
    <n v="1080"/>
    <m/>
    <m/>
    <m/>
    <n v="0"/>
    <n v="0"/>
    <n v="0"/>
    <n v="0"/>
    <n v="0"/>
    <n v="0"/>
    <n v="0"/>
    <n v="0"/>
    <n v="0"/>
    <n v="0"/>
    <n v="0"/>
    <n v="0"/>
    <n v="0"/>
    <n v="0"/>
    <x v="2"/>
    <n v="0"/>
    <n v="0"/>
    <n v="0"/>
    <s v="MMR001CMP117"/>
    <x v="0"/>
    <x v="0"/>
    <x v="6"/>
    <n v="0"/>
    <s v="No"/>
    <m/>
  </r>
  <r>
    <n v="22.833333333333332"/>
    <d v="2015-02-16T00:00:00"/>
    <x v="0"/>
    <s v="KMSS"/>
    <s v="Kachin"/>
    <s v="Waingmaw"/>
    <s v="Hpun Lum Yang "/>
    <m/>
    <m/>
    <m/>
    <m/>
    <m/>
    <m/>
    <m/>
    <m/>
    <m/>
    <m/>
    <n v="865"/>
    <n v="924"/>
    <m/>
    <n v="918"/>
    <m/>
    <m/>
    <m/>
    <n v="0"/>
    <n v="0"/>
    <n v="0"/>
    <n v="0"/>
    <n v="0"/>
    <n v="0"/>
    <n v="0"/>
    <n v="0"/>
    <n v="0"/>
    <n v="0"/>
    <n v="0"/>
    <n v="0"/>
    <n v="0"/>
    <n v="0"/>
    <x v="2"/>
    <n v="0"/>
    <n v="0"/>
    <n v="0"/>
    <s v="MMR001CMP122"/>
    <x v="0"/>
    <x v="1"/>
    <x v="6"/>
    <n v="0"/>
    <s v="No"/>
    <m/>
  </r>
  <r>
    <n v="22.833333333333332"/>
    <d v="2015-02-16T00:00:00"/>
    <x v="0"/>
    <s v="KMSS"/>
    <s v="Kachin"/>
    <s v="Waingmaw"/>
    <s v="Je Yang Hka "/>
    <m/>
    <m/>
    <m/>
    <m/>
    <m/>
    <m/>
    <m/>
    <m/>
    <m/>
    <m/>
    <n v="2676"/>
    <n v="2672"/>
    <m/>
    <n v="3186"/>
    <m/>
    <m/>
    <m/>
    <n v="0"/>
    <n v="0"/>
    <n v="0"/>
    <n v="0"/>
    <n v="0"/>
    <n v="0"/>
    <n v="0"/>
    <n v="0"/>
    <n v="0"/>
    <n v="0"/>
    <n v="0"/>
    <n v="0"/>
    <n v="0"/>
    <n v="0"/>
    <x v="2"/>
    <n v="0"/>
    <n v="0"/>
    <n v="0"/>
    <s v="MMR001CMP121"/>
    <x v="0"/>
    <x v="1"/>
    <x v="6"/>
    <n v="0"/>
    <s v="No"/>
    <m/>
  </r>
  <r>
    <n v="22.833333333333332"/>
    <d v="2015-02-16T00:00:00"/>
    <x v="0"/>
    <s v="KMSS"/>
    <s v="Kachin"/>
    <s v="Waingmaw"/>
    <s v="Woi Chyai "/>
    <m/>
    <m/>
    <m/>
    <m/>
    <m/>
    <m/>
    <m/>
    <m/>
    <m/>
    <m/>
    <n v="1620"/>
    <n v="2207"/>
    <m/>
    <n v="1760"/>
    <m/>
    <m/>
    <m/>
    <n v="0"/>
    <n v="0"/>
    <n v="0"/>
    <n v="0"/>
    <n v="0"/>
    <n v="0"/>
    <n v="0"/>
    <n v="0"/>
    <n v="0"/>
    <n v="0"/>
    <n v="0"/>
    <n v="0"/>
    <n v="0"/>
    <n v="0"/>
    <x v="2"/>
    <n v="0"/>
    <n v="0"/>
    <n v="0"/>
    <s v="MMR001CMP116"/>
    <x v="0"/>
    <x v="1"/>
    <x v="1"/>
    <n v="0"/>
    <s v="No"/>
    <m/>
  </r>
  <r>
    <n v="22.933333333333334"/>
    <d v="2015-02-13T00:00:00"/>
    <x v="0"/>
    <s v="KMSS-LSO"/>
    <s v="Shan_North"/>
    <s v="Kutkai"/>
    <s v="Pyi Lung Chan Tar"/>
    <m/>
    <n v="68"/>
    <n v="54"/>
    <n v="134"/>
    <n v="68"/>
    <n v="134"/>
    <n v="68"/>
    <m/>
    <n v="68"/>
    <n v="134"/>
    <m/>
    <m/>
    <m/>
    <m/>
    <n v="68"/>
    <m/>
    <m/>
    <n v="0"/>
    <n v="0"/>
    <n v="0"/>
    <n v="0"/>
    <n v="0"/>
    <n v="0"/>
    <n v="0"/>
    <n v="0"/>
    <n v="0"/>
    <n v="0"/>
    <n v="0"/>
    <n v="0"/>
    <n v="0"/>
    <n v="0"/>
    <x v="0"/>
    <n v="0"/>
    <n v="0"/>
    <n v="0"/>
    <s v=""/>
    <x v="2"/>
    <x v="2"/>
    <x v="0"/>
    <s v=""/>
    <s v="No"/>
    <m/>
  </r>
  <r>
    <n v="22.933333333333334"/>
    <d v="2015-02-13T00:00:00"/>
    <x v="0"/>
    <s v="KMSS"/>
    <s v="Kachin"/>
    <s v="Myitkyina"/>
    <s v="Pa Dauk Myaing(Pa La Na)"/>
    <m/>
    <m/>
    <m/>
    <m/>
    <m/>
    <n v="18"/>
    <n v="9"/>
    <m/>
    <n v="29"/>
    <n v="145"/>
    <m/>
    <m/>
    <m/>
    <m/>
    <m/>
    <m/>
    <m/>
    <n v="0"/>
    <n v="0"/>
    <n v="0"/>
    <n v="0"/>
    <n v="0"/>
    <n v="0"/>
    <n v="0"/>
    <n v="0"/>
    <n v="0"/>
    <n v="0"/>
    <n v="0"/>
    <n v="0"/>
    <n v="0"/>
    <n v="0"/>
    <x v="0"/>
    <n v="0"/>
    <n v="0"/>
    <n v="0"/>
    <s v="MMR001CMP162"/>
    <x v="0"/>
    <x v="1"/>
    <x v="1"/>
    <n v="2.1821355833575792E-4"/>
    <s v="No"/>
    <m/>
  </r>
  <r>
    <n v="23.033333333333335"/>
    <d v="2015-02-10T00:00:00"/>
    <x v="0"/>
    <s v="UNHCR"/>
    <s v="Shan_North"/>
    <s v="Mansi"/>
    <s v="Moe Gok (A Shae Kyaung)"/>
    <m/>
    <m/>
    <m/>
    <n v="49"/>
    <n v="16"/>
    <n v="49"/>
    <n v="16"/>
    <m/>
    <n v="16"/>
    <n v="92"/>
    <m/>
    <m/>
    <m/>
    <m/>
    <n v="15"/>
    <m/>
    <m/>
    <n v="0"/>
    <n v="0"/>
    <n v="0"/>
    <n v="0"/>
    <n v="0"/>
    <n v="0"/>
    <n v="0"/>
    <n v="0"/>
    <n v="0"/>
    <n v="0"/>
    <n v="0"/>
    <n v="0"/>
    <n v="0"/>
    <n v="0"/>
    <x v="0"/>
    <n v="0"/>
    <n v="0"/>
    <n v="0"/>
    <s v=""/>
    <x v="2"/>
    <x v="2"/>
    <x v="0"/>
    <s v=""/>
    <s v="No"/>
    <m/>
  </r>
  <r>
    <n v="23.033333333333335"/>
    <d v="2015-02-10T00:00:00"/>
    <x v="0"/>
    <s v="UNHCR"/>
    <s v="Shan_North"/>
    <s v="Mansi"/>
    <s v="Moe Gok (Aung Daw Mu)"/>
    <m/>
    <m/>
    <m/>
    <n v="75"/>
    <n v="13"/>
    <n v="110"/>
    <n v="13"/>
    <m/>
    <n v="13"/>
    <n v="45"/>
    <m/>
    <m/>
    <m/>
    <m/>
    <m/>
    <m/>
    <m/>
    <n v="0"/>
    <n v="0"/>
    <n v="0"/>
    <n v="0"/>
    <n v="0"/>
    <n v="0"/>
    <n v="0"/>
    <n v="0"/>
    <n v="0"/>
    <n v="0"/>
    <n v="0"/>
    <n v="0"/>
    <n v="0"/>
    <n v="0"/>
    <x v="0"/>
    <n v="0"/>
    <n v="0"/>
    <n v="0"/>
    <s v=""/>
    <x v="2"/>
    <x v="2"/>
    <x v="0"/>
    <s v=""/>
    <s v="No"/>
    <m/>
  </r>
  <r>
    <n v="23.033333333333335"/>
    <d v="2015-02-10T00:00:00"/>
    <x v="0"/>
    <s v="UNHCR"/>
    <s v="Shan_North"/>
    <s v="Mansi"/>
    <s v="Moe Gok (Pain Pyit Lisu Village)"/>
    <m/>
    <n v="200"/>
    <m/>
    <n v="86"/>
    <n v="28"/>
    <n v="173"/>
    <n v="28"/>
    <m/>
    <n v="43"/>
    <n v="199"/>
    <m/>
    <m/>
    <m/>
    <m/>
    <n v="42"/>
    <m/>
    <m/>
    <n v="0"/>
    <n v="0"/>
    <n v="0"/>
    <n v="0"/>
    <n v="0"/>
    <n v="0"/>
    <n v="0"/>
    <n v="0"/>
    <n v="0"/>
    <n v="0"/>
    <n v="0"/>
    <n v="0"/>
    <n v="0"/>
    <n v="0"/>
    <x v="0"/>
    <n v="0"/>
    <n v="0"/>
    <n v="0"/>
    <s v=""/>
    <x v="2"/>
    <x v="2"/>
    <x v="0"/>
    <s v=""/>
    <s v="No"/>
    <m/>
  </r>
  <r>
    <n v="23.033333333333335"/>
    <d v="2015-02-10T00:00:00"/>
    <x v="0"/>
    <s v="UNHCR"/>
    <s v="Shan_North"/>
    <s v="Mansi"/>
    <s v="Moe Mait (Man Ohn0"/>
    <m/>
    <m/>
    <m/>
    <n v="90"/>
    <n v="43"/>
    <n v="93"/>
    <n v="43"/>
    <m/>
    <n v="32"/>
    <n v="164"/>
    <m/>
    <m/>
    <m/>
    <m/>
    <n v="43"/>
    <m/>
    <m/>
    <n v="0"/>
    <n v="0"/>
    <n v="0"/>
    <n v="0"/>
    <n v="0"/>
    <n v="0"/>
    <n v="0"/>
    <n v="0"/>
    <n v="0"/>
    <n v="0"/>
    <n v="0"/>
    <n v="0"/>
    <n v="0"/>
    <n v="0"/>
    <x v="0"/>
    <n v="0"/>
    <n v="0"/>
    <n v="0"/>
    <s v=""/>
    <x v="2"/>
    <x v="2"/>
    <x v="0"/>
    <s v=""/>
    <s v="No"/>
    <m/>
  </r>
  <r>
    <n v="23.033333333333335"/>
    <d v="2015-02-10T00:00:00"/>
    <x v="0"/>
    <s v="KBC"/>
    <s v="Kachin"/>
    <s v="Puta-O"/>
    <s v="Resettlement place"/>
    <m/>
    <m/>
    <n v="46"/>
    <n v="92"/>
    <n v="46"/>
    <n v="92"/>
    <n v="46"/>
    <m/>
    <n v="46"/>
    <n v="230"/>
    <m/>
    <m/>
    <m/>
    <m/>
    <n v="46"/>
    <m/>
    <n v="55"/>
    <n v="0"/>
    <n v="0"/>
    <n v="0"/>
    <n v="0"/>
    <n v="0"/>
    <n v="0"/>
    <n v="0"/>
    <n v="0"/>
    <n v="0"/>
    <n v="0"/>
    <n v="0"/>
    <n v="0"/>
    <n v="0"/>
    <n v="0"/>
    <x v="0"/>
    <n v="0"/>
    <n v="0"/>
    <n v="0"/>
    <s v=""/>
    <x v="2"/>
    <x v="2"/>
    <x v="0"/>
    <s v=""/>
    <s v="No"/>
    <m/>
  </r>
  <r>
    <n v="23.533333333333335"/>
    <d v="2015-01-26T00:00:00"/>
    <x v="0"/>
    <s v="KBC"/>
    <s v="Kachin"/>
    <s v="Hpakant"/>
    <s v="5 Ward RC Church(lon Khin)"/>
    <m/>
    <n v="100"/>
    <m/>
    <n v="200"/>
    <n v="200"/>
    <n v="200"/>
    <n v="100"/>
    <m/>
    <n v="100"/>
    <n v="500"/>
    <m/>
    <m/>
    <m/>
    <m/>
    <n v="100"/>
    <m/>
    <m/>
    <n v="0"/>
    <n v="0"/>
    <n v="0"/>
    <n v="0"/>
    <n v="0"/>
    <n v="0"/>
    <n v="0"/>
    <n v="0"/>
    <n v="0"/>
    <n v="0"/>
    <n v="0"/>
    <n v="0"/>
    <n v="0"/>
    <n v="0"/>
    <x v="0"/>
    <n v="0"/>
    <n v="0"/>
    <n v="0"/>
    <s v="MMR001CMP168"/>
    <x v="0"/>
    <x v="1"/>
    <x v="1"/>
    <n v="2.4227740763173833E-3"/>
    <s v="No"/>
    <s v="Updated on 11/Nov/2015. Added jerry can data. Data source: mail by Win Aung Htun"/>
  </r>
  <r>
    <n v="23.533333333333335"/>
    <d v="2015-01-26T00:00:00"/>
    <x v="0"/>
    <s v="KMSS"/>
    <s v="Kachin"/>
    <s v="Hpakant"/>
    <s v="Emergency"/>
    <m/>
    <n v="200"/>
    <m/>
    <n v="400"/>
    <n v="250"/>
    <n v="400"/>
    <n v="200"/>
    <m/>
    <n v="200"/>
    <n v="1200"/>
    <m/>
    <m/>
    <m/>
    <m/>
    <n v="200"/>
    <m/>
    <n v="30"/>
    <n v="0"/>
    <n v="0"/>
    <n v="0"/>
    <n v="0"/>
    <n v="0"/>
    <n v="0"/>
    <n v="0"/>
    <n v="0"/>
    <n v="0"/>
    <n v="0"/>
    <n v="0"/>
    <n v="0"/>
    <n v="0"/>
    <n v="0"/>
    <x v="0"/>
    <n v="0"/>
    <n v="0"/>
    <n v="0"/>
    <s v=""/>
    <x v="2"/>
    <x v="2"/>
    <x v="0"/>
    <s v=""/>
    <s v="No"/>
    <m/>
  </r>
  <r>
    <n v="23.966666666666665"/>
    <d v="2015-01-13T00:00:00"/>
    <x v="4"/>
    <s v="MRCS"/>
    <s v="Kachin"/>
    <s v="Chipwi"/>
    <s v="Chipwi KBC camp"/>
    <m/>
    <m/>
    <m/>
    <m/>
    <m/>
    <m/>
    <m/>
    <m/>
    <m/>
    <m/>
    <n v="293"/>
    <n v="190"/>
    <m/>
    <n v="170"/>
    <m/>
    <m/>
    <m/>
    <n v="0"/>
    <n v="0"/>
    <n v="0"/>
    <n v="0"/>
    <n v="0"/>
    <n v="0"/>
    <n v="0"/>
    <n v="0"/>
    <n v="0"/>
    <n v="0"/>
    <n v="0"/>
    <n v="0"/>
    <n v="0"/>
    <n v="0"/>
    <x v="2"/>
    <n v="0"/>
    <n v="0"/>
    <n v="0"/>
    <s v="MMR001CMP042"/>
    <x v="0"/>
    <x v="1"/>
    <x v="5"/>
    <n v="0"/>
    <m/>
    <m/>
  </r>
  <r>
    <n v="23.966666666666665"/>
    <d v="2015-01-13T00:00:00"/>
    <x v="4"/>
    <s v="MRCS"/>
    <s v="Kachin"/>
    <s v="Chipwi"/>
    <s v="Lhaovao Baptist Church (LBC)"/>
    <m/>
    <m/>
    <m/>
    <m/>
    <m/>
    <m/>
    <m/>
    <m/>
    <m/>
    <m/>
    <n v="350"/>
    <n v="236"/>
    <m/>
    <n v="203"/>
    <m/>
    <m/>
    <m/>
    <n v="0"/>
    <n v="0"/>
    <n v="0"/>
    <n v="0"/>
    <n v="0"/>
    <n v="0"/>
    <n v="0"/>
    <n v="0"/>
    <n v="0"/>
    <n v="0"/>
    <n v="0"/>
    <n v="0"/>
    <n v="0"/>
    <n v="0"/>
    <x v="2"/>
    <n v="0"/>
    <n v="0"/>
    <n v="0"/>
    <s v="MMR001CMP195"/>
    <x v="0"/>
    <x v="1"/>
    <x v="5"/>
    <n v="0"/>
    <m/>
    <m/>
  </r>
  <r>
    <n v="23.966666666666665"/>
    <d v="2015-01-13T00:00:00"/>
    <x v="4"/>
    <s v="MRCS"/>
    <s v="Kachin"/>
    <s v="Momauk"/>
    <s v="Nyaung Na Pin "/>
    <m/>
    <m/>
    <m/>
    <m/>
    <m/>
    <m/>
    <m/>
    <m/>
    <m/>
    <m/>
    <n v="195"/>
    <n v="91"/>
    <m/>
    <n v="92"/>
    <m/>
    <m/>
    <m/>
    <n v="0"/>
    <n v="0"/>
    <n v="0"/>
    <n v="0"/>
    <n v="0"/>
    <n v="0"/>
    <n v="0"/>
    <n v="0"/>
    <n v="0"/>
    <n v="0"/>
    <n v="0"/>
    <n v="0"/>
    <n v="0"/>
    <n v="0"/>
    <x v="2"/>
    <n v="0"/>
    <n v="0"/>
    <n v="0"/>
    <s v="MMR001CMP072"/>
    <x v="0"/>
    <x v="1"/>
    <x v="2"/>
    <n v="0"/>
    <m/>
    <m/>
  </r>
  <r>
    <n v="23.966666666666665"/>
    <d v="2015-01-13T00:00:00"/>
    <x v="4"/>
    <s v="MRCS"/>
    <s v="Kachin"/>
    <s v="Myitkyina"/>
    <s v="Pa Dauk Myaing(Pa La Na)"/>
    <m/>
    <m/>
    <m/>
    <m/>
    <m/>
    <m/>
    <m/>
    <m/>
    <m/>
    <m/>
    <n v="323"/>
    <n v="178"/>
    <m/>
    <m/>
    <m/>
    <m/>
    <m/>
    <n v="0"/>
    <n v="0"/>
    <n v="0"/>
    <n v="0"/>
    <n v="0"/>
    <n v="0"/>
    <n v="0"/>
    <n v="0"/>
    <n v="0"/>
    <n v="0"/>
    <n v="0"/>
    <n v="0"/>
    <n v="0"/>
    <n v="0"/>
    <x v="2"/>
    <n v="0"/>
    <n v="0"/>
    <n v="0"/>
    <s v="MMR001CMP162"/>
    <x v="0"/>
    <x v="1"/>
    <x v="1"/>
    <n v="0"/>
    <m/>
    <m/>
  </r>
  <r>
    <n v="23.966666666666665"/>
    <d v="2015-01-13T00:00:00"/>
    <x v="4"/>
    <s v="MRCS"/>
    <s v="Kachin"/>
    <s v="Chipwi"/>
    <s v="Pan Wa"/>
    <m/>
    <m/>
    <m/>
    <m/>
    <m/>
    <m/>
    <m/>
    <m/>
    <m/>
    <m/>
    <n v="187"/>
    <n v="137"/>
    <m/>
    <n v="118"/>
    <m/>
    <m/>
    <m/>
    <n v="0"/>
    <n v="0"/>
    <n v="0"/>
    <n v="0"/>
    <n v="0"/>
    <n v="0"/>
    <n v="0"/>
    <n v="0"/>
    <n v="0"/>
    <n v="0"/>
    <n v="0"/>
    <n v="0"/>
    <n v="0"/>
    <n v="0"/>
    <x v="2"/>
    <n v="0"/>
    <n v="0"/>
    <n v="0"/>
    <s v="MMR001CMP210"/>
    <x v="0"/>
    <x v="1"/>
    <x v="5"/>
    <n v="0"/>
    <m/>
    <m/>
  </r>
  <r>
    <n v="23.966666666666665"/>
    <d v="2015-01-13T00:00:00"/>
    <x v="4"/>
    <s v="MRCS"/>
    <s v="Kachin"/>
    <s v="Hpakant"/>
    <s v="Rawan Baptist Church, Maw Shan Vil., Seik Mu"/>
    <m/>
    <m/>
    <m/>
    <m/>
    <m/>
    <m/>
    <m/>
    <m/>
    <m/>
    <m/>
    <n v="26"/>
    <n v="14"/>
    <m/>
    <m/>
    <m/>
    <m/>
    <m/>
    <n v="0"/>
    <n v="0"/>
    <n v="0"/>
    <n v="0"/>
    <n v="0"/>
    <n v="0"/>
    <n v="0"/>
    <n v="0"/>
    <n v="0"/>
    <n v="0"/>
    <n v="0"/>
    <n v="0"/>
    <n v="0"/>
    <n v="0"/>
    <x v="2"/>
    <n v="0"/>
    <n v="0"/>
    <n v="0"/>
    <s v="MMR001CMP182"/>
    <x v="0"/>
    <x v="1"/>
    <x v="1"/>
    <n v="0"/>
    <m/>
    <m/>
  </r>
  <r>
    <n v="23.966666666666665"/>
    <d v="2015-01-13T00:00:00"/>
    <x v="4"/>
    <s v="MRCS"/>
    <s v="Kachin"/>
    <s v="Hpakant"/>
    <s v="Sai Nai Baptish Church, Maw Shan Vil., Seki Mu"/>
    <m/>
    <m/>
    <m/>
    <m/>
    <m/>
    <m/>
    <m/>
    <m/>
    <m/>
    <m/>
    <n v="34"/>
    <n v="9"/>
    <m/>
    <m/>
    <m/>
    <m/>
    <m/>
    <n v="0"/>
    <n v="0"/>
    <n v="0"/>
    <n v="0"/>
    <n v="0"/>
    <n v="0"/>
    <n v="0"/>
    <n v="0"/>
    <n v="0"/>
    <n v="0"/>
    <n v="0"/>
    <n v="0"/>
    <n v="0"/>
    <n v="0"/>
    <x v="2"/>
    <n v="0"/>
    <n v="0"/>
    <n v="0"/>
    <s v="MMR001CMP183"/>
    <x v="0"/>
    <x v="1"/>
    <x v="1"/>
    <n v="0"/>
    <m/>
    <m/>
  </r>
  <r>
    <n v="23.966666666666665"/>
    <d v="2015-01-13T00:00:00"/>
    <x v="4"/>
    <s v="MRCS"/>
    <s v="Kachin"/>
    <s v="Chipwi"/>
    <s v="Saw Zam"/>
    <m/>
    <m/>
    <m/>
    <m/>
    <m/>
    <m/>
    <m/>
    <m/>
    <m/>
    <m/>
    <n v="111"/>
    <n v="56"/>
    <m/>
    <n v="58"/>
    <m/>
    <m/>
    <m/>
    <n v="0"/>
    <n v="0"/>
    <n v="0"/>
    <n v="0"/>
    <n v="0"/>
    <n v="0"/>
    <n v="0"/>
    <n v="0"/>
    <n v="0"/>
    <n v="0"/>
    <n v="0"/>
    <n v="0"/>
    <n v="0"/>
    <n v="0"/>
    <x v="2"/>
    <n v="0"/>
    <n v="0"/>
    <n v="0"/>
    <s v="MMR001CMP225"/>
    <x v="0"/>
    <x v="1"/>
    <x v="5"/>
    <n v="0"/>
    <m/>
    <m/>
  </r>
  <r>
    <n v="23.966666666666665"/>
    <d v="2015-01-13T00:00:00"/>
    <x v="4"/>
    <s v="MRCS"/>
    <s v="Kachin"/>
    <s v="Momauk"/>
    <s v="Seng Ja "/>
    <m/>
    <m/>
    <m/>
    <m/>
    <m/>
    <m/>
    <m/>
    <m/>
    <m/>
    <m/>
    <n v="155"/>
    <n v="73"/>
    <m/>
    <n v="96"/>
    <m/>
    <m/>
    <m/>
    <n v="0"/>
    <n v="0"/>
    <n v="0"/>
    <n v="0"/>
    <n v="0"/>
    <n v="0"/>
    <n v="0"/>
    <n v="0"/>
    <n v="0"/>
    <n v="0"/>
    <n v="0"/>
    <n v="0"/>
    <n v="0"/>
    <n v="0"/>
    <x v="2"/>
    <n v="0"/>
    <n v="0"/>
    <n v="0"/>
    <s v="MMR001CMP073"/>
    <x v="0"/>
    <x v="1"/>
    <x v="2"/>
    <n v="0"/>
    <m/>
    <m/>
  </r>
  <r>
    <n v="23.966666666666665"/>
    <d v="2015-01-13T00:00:00"/>
    <x v="4"/>
    <s v="MRCS"/>
    <s v="Kachin"/>
    <s v="Sumprabum"/>
    <s v="Sumprabum"/>
    <m/>
    <m/>
    <m/>
    <m/>
    <m/>
    <m/>
    <m/>
    <m/>
    <m/>
    <m/>
    <n v="91"/>
    <n v="32"/>
    <m/>
    <n v="36"/>
    <m/>
    <m/>
    <m/>
    <n v="0"/>
    <n v="0"/>
    <n v="0"/>
    <n v="0"/>
    <n v="0"/>
    <n v="0"/>
    <n v="0"/>
    <n v="0"/>
    <n v="0"/>
    <n v="0"/>
    <n v="0"/>
    <n v="0"/>
    <n v="0"/>
    <n v="0"/>
    <x v="2"/>
    <n v="0"/>
    <n v="0"/>
    <n v="0"/>
    <s v="MMR001CMP206"/>
    <x v="0"/>
    <x v="1"/>
    <x v="1"/>
    <s v=""/>
    <m/>
    <m/>
  </r>
  <r>
    <n v="23.966666666666665"/>
    <d v="2015-01-13T00:00:00"/>
    <x v="0"/>
    <s v="Shalom"/>
    <s v="Kachin"/>
    <s v="Myitkyina"/>
    <s v="Tat Kone COC Baptist - Tat Kone Htoi San"/>
    <m/>
    <m/>
    <m/>
    <m/>
    <n v="2"/>
    <m/>
    <m/>
    <m/>
    <m/>
    <m/>
    <m/>
    <m/>
    <m/>
    <m/>
    <m/>
    <m/>
    <m/>
    <n v="0"/>
    <n v="0"/>
    <n v="0"/>
    <n v="0"/>
    <n v="0"/>
    <n v="0"/>
    <n v="0"/>
    <n v="0"/>
    <n v="0"/>
    <n v="0"/>
    <n v="0"/>
    <n v="0"/>
    <n v="0"/>
    <n v="0"/>
    <x v="0"/>
    <n v="0"/>
    <n v="0"/>
    <n v="0"/>
    <s v="MMR001CMP023"/>
    <x v="0"/>
    <x v="1"/>
    <x v="1"/>
    <n v="0"/>
    <s v="No"/>
    <m/>
  </r>
  <r>
    <n v="23.966666666666665"/>
    <d v="2015-01-13T00:00:00"/>
    <x v="4"/>
    <s v="MRCS"/>
    <s v="Kachin"/>
    <s v="Hpakant"/>
    <s v="Ward 2 Sai Taung Baptist Church, Seik Mu "/>
    <m/>
    <m/>
    <m/>
    <m/>
    <m/>
    <m/>
    <m/>
    <m/>
    <m/>
    <m/>
    <n v="94"/>
    <n v="58"/>
    <m/>
    <m/>
    <m/>
    <m/>
    <m/>
    <n v="0"/>
    <n v="0"/>
    <n v="0"/>
    <n v="0"/>
    <n v="0"/>
    <n v="0"/>
    <n v="0"/>
    <n v="0"/>
    <n v="0"/>
    <n v="0"/>
    <n v="0"/>
    <n v="0"/>
    <n v="0"/>
    <n v="0"/>
    <x v="2"/>
    <n v="0"/>
    <n v="0"/>
    <n v="0"/>
    <s v="MMR001CMP184"/>
    <x v="0"/>
    <x v="1"/>
    <x v="1"/>
    <n v="0"/>
    <m/>
    <m/>
  </r>
  <r>
    <n v="23.966666666666665"/>
    <d v="2015-01-13T00:00:00"/>
    <x v="4"/>
    <s v="MRCS"/>
    <s v="Kachin"/>
    <s v="Hpakant"/>
    <s v="Yumar Baptist Church"/>
    <m/>
    <m/>
    <m/>
    <m/>
    <m/>
    <m/>
    <m/>
    <m/>
    <m/>
    <m/>
    <n v="33"/>
    <n v="8"/>
    <m/>
    <m/>
    <m/>
    <m/>
    <m/>
    <n v="0"/>
    <n v="0"/>
    <n v="0"/>
    <n v="0"/>
    <n v="0"/>
    <n v="0"/>
    <n v="0"/>
    <n v="0"/>
    <n v="0"/>
    <n v="0"/>
    <n v="0"/>
    <n v="0"/>
    <n v="0"/>
    <n v="0"/>
    <x v="2"/>
    <n v="0"/>
    <n v="0"/>
    <n v="0"/>
    <s v="MMR001CMP105"/>
    <x v="0"/>
    <x v="1"/>
    <x v="1"/>
    <n v="0"/>
    <m/>
    <m/>
  </r>
  <r>
    <n v="24.066666666666666"/>
    <d v="2015-01-10T00:00:00"/>
    <x v="0"/>
    <s v="UNHCR"/>
    <s v="Kachin"/>
    <s v="Puta-O"/>
    <s v="Naung Khaing"/>
    <m/>
    <m/>
    <n v="55"/>
    <n v="110"/>
    <n v="55"/>
    <n v="110"/>
    <n v="55"/>
    <m/>
    <n v="55"/>
    <n v="275"/>
    <m/>
    <m/>
    <m/>
    <m/>
    <n v="55"/>
    <m/>
    <m/>
    <n v="0"/>
    <n v="0"/>
    <n v="0"/>
    <n v="0"/>
    <n v="0"/>
    <n v="0"/>
    <n v="0"/>
    <n v="0"/>
    <n v="0"/>
    <n v="0"/>
    <n v="0"/>
    <n v="0"/>
    <n v="0"/>
    <n v="0"/>
    <x v="0"/>
    <n v="0"/>
    <n v="0"/>
    <n v="0"/>
    <s v="MMR001CMP220"/>
    <x v="0"/>
    <x v="0"/>
    <x v="2"/>
    <n v="1.3257164895027359E-3"/>
    <s v="No"/>
    <m/>
  </r>
  <r>
    <n v="24.366666666666667"/>
    <d v="2015-01-01T00:00:00"/>
    <x v="0"/>
    <s v="KBC"/>
    <s v="Kachin"/>
    <s v="Waingmaw"/>
    <s v="Shing Jai"/>
    <m/>
    <m/>
    <m/>
    <m/>
    <m/>
    <m/>
    <n v="50"/>
    <m/>
    <m/>
    <m/>
    <m/>
    <m/>
    <m/>
    <m/>
    <m/>
    <m/>
    <n v="90"/>
    <n v="0"/>
    <n v="0"/>
    <n v="0"/>
    <n v="0"/>
    <n v="0"/>
    <n v="0"/>
    <n v="0"/>
    <n v="0"/>
    <n v="0"/>
    <n v="0"/>
    <n v="0"/>
    <n v="0"/>
    <n v="0"/>
    <n v="0"/>
    <x v="0"/>
    <n v="0"/>
    <n v="0"/>
    <n v="0"/>
    <s v="MMR001CMP041"/>
    <x v="0"/>
    <x v="1"/>
    <x v="5"/>
    <n v="1.2240501370936153E-3"/>
    <s v="No"/>
    <m/>
  </r>
  <r>
    <n v="24.433333333333334"/>
    <d v="2014-12-30T00:00:00"/>
    <x v="0"/>
    <s v="KBC"/>
    <s v="Kachin"/>
    <s v="Waingmaw"/>
    <s v="Shing Jai"/>
    <m/>
    <m/>
    <n v="120"/>
    <n v="240"/>
    <n v="135"/>
    <n v="240"/>
    <n v="170"/>
    <n v="120"/>
    <n v="120"/>
    <n v="600"/>
    <m/>
    <m/>
    <m/>
    <m/>
    <m/>
    <m/>
    <m/>
    <n v="0"/>
    <n v="0"/>
    <n v="0"/>
    <n v="0"/>
    <n v="0"/>
    <n v="0"/>
    <n v="0"/>
    <n v="0"/>
    <n v="0"/>
    <n v="0"/>
    <n v="0"/>
    <n v="0"/>
    <n v="0"/>
    <n v="0"/>
    <x v="0"/>
    <n v="0"/>
    <n v="0"/>
    <n v="0"/>
    <s v="MMR001CMP041"/>
    <x v="0"/>
    <x v="1"/>
    <x v="5"/>
    <n v="4.1617704661182919E-3"/>
    <m/>
    <m/>
  </r>
  <r>
    <n v="24.8"/>
    <d v="2014-12-19T00:00:00"/>
    <x v="0"/>
    <s v="KBC"/>
    <s v="Kachin"/>
    <s v="Waingmaw"/>
    <s v="Hkau Shau (BP 12)"/>
    <m/>
    <m/>
    <m/>
    <m/>
    <m/>
    <m/>
    <m/>
    <m/>
    <m/>
    <m/>
    <n v="364"/>
    <n v="543"/>
    <m/>
    <n v="362"/>
    <m/>
    <m/>
    <m/>
    <n v="0"/>
    <n v="0"/>
    <n v="0"/>
    <n v="0"/>
    <n v="0"/>
    <n v="0"/>
    <n v="0"/>
    <n v="0"/>
    <n v="0"/>
    <n v="0"/>
    <n v="0"/>
    <n v="0"/>
    <n v="0"/>
    <n v="0"/>
    <x v="2"/>
    <n v="0"/>
    <n v="0"/>
    <n v="0"/>
    <s v="MMR001CMP115"/>
    <x v="0"/>
    <x v="1"/>
    <x v="5"/>
    <n v="0"/>
    <m/>
    <m/>
  </r>
  <r>
    <n v="24.8"/>
    <d v="2014-12-19T00:00:00"/>
    <x v="0"/>
    <m/>
    <s v="Kachin"/>
    <s v="Chipwi"/>
    <s v="Hpare Hkyer - BP6"/>
    <m/>
    <m/>
    <m/>
    <m/>
    <m/>
    <m/>
    <m/>
    <m/>
    <m/>
    <m/>
    <n v="320"/>
    <n v="465"/>
    <m/>
    <n v="310"/>
    <m/>
    <m/>
    <m/>
    <n v="0"/>
    <n v="0"/>
    <n v="0"/>
    <n v="0"/>
    <n v="0"/>
    <n v="0"/>
    <n v="0"/>
    <n v="0"/>
    <n v="0"/>
    <n v="0"/>
    <n v="0"/>
    <n v="0"/>
    <n v="0"/>
    <n v="0"/>
    <x v="2"/>
    <n v="0"/>
    <n v="0"/>
    <n v="0"/>
    <s v="MMR001CMP043"/>
    <x v="0"/>
    <x v="1"/>
    <x v="5"/>
    <n v="0"/>
    <m/>
    <m/>
  </r>
  <r>
    <n v="24.8"/>
    <d v="2014-12-19T00:00:00"/>
    <x v="0"/>
    <m/>
    <s v="Kachin"/>
    <s v="Waingmaw"/>
    <s v="Pajau - Jan Mai"/>
    <m/>
    <m/>
    <m/>
    <m/>
    <m/>
    <m/>
    <m/>
    <m/>
    <m/>
    <m/>
    <n v="384"/>
    <n v="573"/>
    <m/>
    <n v="382"/>
    <m/>
    <m/>
    <m/>
    <n v="0"/>
    <n v="0"/>
    <n v="0"/>
    <n v="0"/>
    <n v="0"/>
    <n v="0"/>
    <n v="0"/>
    <n v="0"/>
    <n v="0"/>
    <n v="0"/>
    <n v="0"/>
    <n v="0"/>
    <n v="0"/>
    <n v="0"/>
    <x v="2"/>
    <n v="0"/>
    <n v="0"/>
    <n v="0"/>
    <s v="MMR001CMP120"/>
    <x v="0"/>
    <x v="1"/>
    <x v="5"/>
    <n v="0"/>
    <m/>
    <m/>
  </r>
  <r>
    <n v="24.8"/>
    <d v="2014-12-19T00:00:00"/>
    <x v="0"/>
    <s v="KBC"/>
    <s v="Kachin"/>
    <s v="Waingmaw"/>
    <s v="Zai Awng - Mung Ga Zup"/>
    <m/>
    <m/>
    <m/>
    <m/>
    <m/>
    <m/>
    <m/>
    <m/>
    <m/>
    <m/>
    <n v="1292"/>
    <n v="1938"/>
    <m/>
    <n v="1292"/>
    <m/>
    <m/>
    <m/>
    <n v="0"/>
    <n v="0"/>
    <n v="0"/>
    <n v="0"/>
    <n v="0"/>
    <n v="0"/>
    <n v="0"/>
    <n v="0"/>
    <n v="0"/>
    <n v="0"/>
    <n v="0"/>
    <n v="0"/>
    <n v="0"/>
    <n v="0"/>
    <x v="2"/>
    <n v="0"/>
    <n v="0"/>
    <n v="0"/>
    <s v="MMR001CMP111"/>
    <x v="0"/>
    <x v="1"/>
    <x v="6"/>
    <n v="0"/>
    <m/>
    <m/>
  </r>
  <r>
    <n v="24.833333333333332"/>
    <d v="2014-12-18T00:00:00"/>
    <x v="1"/>
    <s v="Solidarities"/>
    <s v="Kachin"/>
    <s v="Momauk"/>
    <s v="Nyaung Na Pin "/>
    <m/>
    <m/>
    <n v="85"/>
    <m/>
    <m/>
    <m/>
    <m/>
    <m/>
    <m/>
    <m/>
    <m/>
    <m/>
    <m/>
    <m/>
    <m/>
    <m/>
    <m/>
    <n v="0"/>
    <n v="0"/>
    <n v="0"/>
    <n v="0"/>
    <n v="0"/>
    <n v="0"/>
    <n v="0"/>
    <n v="0"/>
    <n v="0"/>
    <n v="0"/>
    <n v="0"/>
    <n v="0"/>
    <n v="0"/>
    <n v="0"/>
    <x v="0"/>
    <n v="0"/>
    <n v="0"/>
    <n v="0"/>
    <s v="MMR001CMP072"/>
    <x v="0"/>
    <x v="1"/>
    <x v="2"/>
    <n v="0"/>
    <m/>
    <m/>
  </r>
  <r>
    <n v="24.833333333333332"/>
    <d v="2014-12-18T00:00:00"/>
    <x v="1"/>
    <s v="Solidarities"/>
    <s v="Kachin"/>
    <s v="Momauk"/>
    <s v="Seng Ja "/>
    <m/>
    <m/>
    <n v="61"/>
    <m/>
    <m/>
    <m/>
    <m/>
    <m/>
    <m/>
    <m/>
    <m/>
    <m/>
    <m/>
    <m/>
    <m/>
    <m/>
    <m/>
    <n v="0"/>
    <n v="0"/>
    <n v="0"/>
    <n v="0"/>
    <n v="0"/>
    <n v="0"/>
    <n v="0"/>
    <n v="0"/>
    <n v="0"/>
    <n v="0"/>
    <n v="0"/>
    <n v="0"/>
    <n v="0"/>
    <n v="0"/>
    <x v="0"/>
    <n v="0"/>
    <n v="0"/>
    <n v="0"/>
    <s v="MMR001CMP073"/>
    <x v="0"/>
    <x v="1"/>
    <x v="2"/>
    <n v="0"/>
    <m/>
    <m/>
  </r>
  <r>
    <n v="24.866666666666667"/>
    <d v="2014-12-17T00:00:00"/>
    <x v="1"/>
    <s v="Solidarities"/>
    <s v="Kachin"/>
    <s v="Momauk"/>
    <s v="Loi Je Baptist Church"/>
    <m/>
    <m/>
    <m/>
    <m/>
    <m/>
    <m/>
    <m/>
    <m/>
    <m/>
    <m/>
    <m/>
    <m/>
    <m/>
    <m/>
    <m/>
    <m/>
    <m/>
    <n v="0"/>
    <n v="0"/>
    <n v="0"/>
    <n v="0"/>
    <n v="0"/>
    <n v="0"/>
    <n v="0"/>
    <n v="0"/>
    <n v="0"/>
    <n v="0"/>
    <n v="0"/>
    <n v="0"/>
    <n v="0"/>
    <n v="0"/>
    <x v="0"/>
    <n v="0"/>
    <n v="0"/>
    <n v="0"/>
    <s v="MMR001CMP071"/>
    <x v="0"/>
    <x v="1"/>
    <x v="2"/>
    <n v="0"/>
    <m/>
    <m/>
  </r>
  <r>
    <n v="24.866666666666667"/>
    <d v="2014-12-17T00:00:00"/>
    <x v="1"/>
    <s v="Solidarities"/>
    <s v="Kachin"/>
    <s v="Momauk"/>
    <s v="Loi Je Catholic Church"/>
    <m/>
    <m/>
    <n v="124"/>
    <m/>
    <m/>
    <m/>
    <m/>
    <m/>
    <m/>
    <m/>
    <m/>
    <m/>
    <m/>
    <m/>
    <m/>
    <m/>
    <m/>
    <n v="0"/>
    <n v="0"/>
    <n v="0"/>
    <n v="0"/>
    <n v="0"/>
    <n v="0"/>
    <n v="0"/>
    <n v="0"/>
    <n v="0"/>
    <n v="0"/>
    <n v="0"/>
    <n v="0"/>
    <n v="0"/>
    <n v="0"/>
    <x v="0"/>
    <n v="0"/>
    <n v="0"/>
    <n v="0"/>
    <s v="MMR001CMP069"/>
    <x v="0"/>
    <x v="1"/>
    <x v="2"/>
    <n v="0"/>
    <m/>
    <m/>
  </r>
  <r>
    <n v="24.866666666666667"/>
    <d v="2014-12-17T00:00:00"/>
    <x v="1"/>
    <s v="Solidarities"/>
    <s v="Kachin"/>
    <s v="Momauk"/>
    <s v="Loi Je Lisu Camp"/>
    <m/>
    <m/>
    <n v="283"/>
    <m/>
    <m/>
    <m/>
    <m/>
    <m/>
    <m/>
    <m/>
    <m/>
    <m/>
    <m/>
    <m/>
    <m/>
    <m/>
    <m/>
    <n v="0"/>
    <n v="0"/>
    <n v="0"/>
    <n v="0"/>
    <n v="0"/>
    <n v="0"/>
    <n v="0"/>
    <n v="0"/>
    <n v="0"/>
    <n v="0"/>
    <n v="0"/>
    <n v="0"/>
    <n v="0"/>
    <n v="0"/>
    <x v="0"/>
    <n v="0"/>
    <n v="0"/>
    <n v="0"/>
    <s v="MMR001CMP070"/>
    <x v="0"/>
    <x v="1"/>
    <x v="2"/>
    <n v="0"/>
    <m/>
    <m/>
  </r>
  <r>
    <n v="25.1"/>
    <d v="2014-12-10T00:00:00"/>
    <x v="1"/>
    <s v="Solidarities"/>
    <s v="Kachin"/>
    <s v="Momauk"/>
    <s v="Edin"/>
    <m/>
    <m/>
    <n v="85"/>
    <m/>
    <m/>
    <m/>
    <m/>
    <m/>
    <m/>
    <m/>
    <m/>
    <m/>
    <m/>
    <m/>
    <m/>
    <m/>
    <m/>
    <n v="0"/>
    <n v="0"/>
    <n v="0"/>
    <n v="0"/>
    <n v="0"/>
    <n v="0"/>
    <n v="0"/>
    <n v="0"/>
    <n v="0"/>
    <n v="0"/>
    <n v="0"/>
    <n v="0"/>
    <n v="0"/>
    <n v="0"/>
    <x v="0"/>
    <n v="0"/>
    <n v="0"/>
    <n v="0"/>
    <s v=""/>
    <x v="2"/>
    <x v="2"/>
    <x v="0"/>
    <s v=""/>
    <m/>
    <m/>
  </r>
  <r>
    <n v="25.1"/>
    <d v="2014-12-10T00:00:00"/>
    <x v="1"/>
    <s v="Solidarities"/>
    <s v="Kachin"/>
    <s v="Momauk"/>
    <s v="Ni Thaw Ka Monestry"/>
    <m/>
    <m/>
    <n v="33"/>
    <m/>
    <m/>
    <m/>
    <m/>
    <m/>
    <m/>
    <m/>
    <m/>
    <m/>
    <m/>
    <m/>
    <m/>
    <m/>
    <m/>
    <n v="0"/>
    <n v="0"/>
    <n v="0"/>
    <n v="0"/>
    <n v="0"/>
    <n v="0"/>
    <n v="0"/>
    <n v="0"/>
    <n v="0"/>
    <n v="0"/>
    <n v="0"/>
    <n v="0"/>
    <n v="0"/>
    <n v="0"/>
    <x v="0"/>
    <n v="0"/>
    <n v="0"/>
    <n v="0"/>
    <s v="MMR001CMP059"/>
    <x v="0"/>
    <x v="0"/>
    <x v="1"/>
    <n v="0"/>
    <m/>
    <m/>
  </r>
  <r>
    <n v="25.1"/>
    <d v="2014-12-10T00:00:00"/>
    <x v="1"/>
    <s v="Solidarities"/>
    <s v="Kachin"/>
    <s v="Bhamo"/>
    <s v="Phan Khar Kone"/>
    <m/>
    <m/>
    <n v="245"/>
    <m/>
    <m/>
    <m/>
    <m/>
    <m/>
    <m/>
    <m/>
    <m/>
    <m/>
    <m/>
    <m/>
    <m/>
    <m/>
    <m/>
    <n v="0"/>
    <n v="0"/>
    <n v="0"/>
    <n v="0"/>
    <n v="0"/>
    <n v="0"/>
    <n v="0"/>
    <n v="0"/>
    <n v="0"/>
    <n v="0"/>
    <n v="0"/>
    <n v="0"/>
    <n v="0"/>
    <n v="0"/>
    <x v="0"/>
    <n v="0"/>
    <n v="0"/>
    <n v="0"/>
    <s v="MMR001CMP193"/>
    <x v="0"/>
    <x v="1"/>
    <x v="1"/>
    <n v="0"/>
    <m/>
    <m/>
  </r>
  <r>
    <n v="25.1"/>
    <d v="2014-12-10T00:00:00"/>
    <x v="1"/>
    <s v="Solidarities"/>
    <s v="Kachin"/>
    <s v="Bhamo"/>
    <s v="Ta Gun Taing Monastery (Shwe Kyi Na)"/>
    <m/>
    <m/>
    <n v="55"/>
    <m/>
    <m/>
    <m/>
    <m/>
    <m/>
    <m/>
    <m/>
    <m/>
    <m/>
    <m/>
    <m/>
    <m/>
    <m/>
    <m/>
    <n v="0"/>
    <n v="0"/>
    <n v="0"/>
    <n v="0"/>
    <n v="0"/>
    <n v="0"/>
    <n v="0"/>
    <n v="0"/>
    <n v="0"/>
    <n v="0"/>
    <n v="0"/>
    <n v="0"/>
    <n v="0"/>
    <n v="0"/>
    <x v="0"/>
    <n v="0"/>
    <n v="0"/>
    <n v="0"/>
    <s v="MMR001CMP055"/>
    <x v="0"/>
    <x v="1"/>
    <x v="1"/>
    <n v="0"/>
    <m/>
    <m/>
  </r>
  <r>
    <n v="25.133333333333333"/>
    <d v="2014-12-09T00:00:00"/>
    <x v="1"/>
    <s v="Solidarities"/>
    <s v="Kachin"/>
    <s v="Bhamo"/>
    <s v="AD-2000 Tharthana Compound"/>
    <m/>
    <m/>
    <n v="354"/>
    <m/>
    <m/>
    <m/>
    <m/>
    <m/>
    <m/>
    <m/>
    <m/>
    <m/>
    <m/>
    <m/>
    <m/>
    <m/>
    <m/>
    <n v="0"/>
    <n v="0"/>
    <n v="0"/>
    <n v="0"/>
    <n v="0"/>
    <n v="0"/>
    <n v="0"/>
    <n v="0"/>
    <n v="0"/>
    <n v="0"/>
    <n v="0"/>
    <n v="0"/>
    <n v="0"/>
    <n v="0"/>
    <x v="0"/>
    <n v="0"/>
    <n v="0"/>
    <n v="0"/>
    <s v="MMR001CMP050"/>
    <x v="0"/>
    <x v="1"/>
    <x v="1"/>
    <n v="0"/>
    <m/>
    <m/>
  </r>
  <r>
    <n v="25.133333333333333"/>
    <d v="2014-12-09T00:00:00"/>
    <x v="1"/>
    <s v="Solidarities"/>
    <s v="Kachin"/>
    <s v="Bhamo"/>
    <s v="Robert Church"/>
    <m/>
    <m/>
    <n v="1135"/>
    <m/>
    <m/>
    <m/>
    <m/>
    <m/>
    <m/>
    <m/>
    <m/>
    <m/>
    <m/>
    <m/>
    <m/>
    <m/>
    <m/>
    <n v="0"/>
    <n v="0"/>
    <n v="0"/>
    <n v="0"/>
    <n v="0"/>
    <n v="0"/>
    <n v="0"/>
    <n v="0"/>
    <n v="0"/>
    <n v="0"/>
    <n v="0"/>
    <n v="0"/>
    <n v="0"/>
    <n v="0"/>
    <x v="0"/>
    <n v="0"/>
    <n v="0"/>
    <n v="0"/>
    <s v="MMR001CMP047"/>
    <x v="0"/>
    <x v="1"/>
    <x v="1"/>
    <n v="0"/>
    <m/>
    <m/>
  </r>
  <r>
    <n v="25.266666666666666"/>
    <d v="2014-12-05T00:00:00"/>
    <x v="0"/>
    <s v="KMSS"/>
    <s v="Kachin"/>
    <s v="Waingmaw"/>
    <s v="Border Post 8"/>
    <m/>
    <m/>
    <m/>
    <n v="164"/>
    <m/>
    <m/>
    <m/>
    <m/>
    <m/>
    <m/>
    <n v="302"/>
    <n v="440"/>
    <m/>
    <n v="297"/>
    <m/>
    <m/>
    <m/>
    <n v="0"/>
    <n v="0"/>
    <n v="0"/>
    <n v="0"/>
    <n v="0"/>
    <n v="0"/>
    <n v="0"/>
    <n v="0"/>
    <n v="0"/>
    <n v="0"/>
    <n v="0"/>
    <n v="0"/>
    <n v="0"/>
    <n v="0"/>
    <x v="2"/>
    <n v="0"/>
    <n v="0"/>
    <n v="0"/>
    <s v="MMR001CMP113"/>
    <x v="0"/>
    <x v="1"/>
    <x v="5"/>
    <n v="0"/>
    <m/>
    <m/>
  </r>
  <r>
    <n v="25.266666666666666"/>
    <d v="2014-12-05T00:00:00"/>
    <x v="0"/>
    <s v="KMSS"/>
    <s v="Kachin"/>
    <s v="Waingmaw"/>
    <s v="Post 6 Camp"/>
    <m/>
    <m/>
    <m/>
    <n v="124"/>
    <m/>
    <m/>
    <m/>
    <m/>
    <m/>
    <m/>
    <n v="262"/>
    <n v="400"/>
    <m/>
    <n v="257"/>
    <m/>
    <m/>
    <m/>
    <n v="0"/>
    <n v="0"/>
    <n v="0"/>
    <n v="0"/>
    <n v="0"/>
    <n v="0"/>
    <n v="0"/>
    <n v="0"/>
    <n v="0"/>
    <n v="0"/>
    <n v="0"/>
    <n v="0"/>
    <n v="0"/>
    <n v="0"/>
    <x v="2"/>
    <n v="0"/>
    <n v="0"/>
    <n v="0"/>
    <s v="MMR001CMP160"/>
    <x v="0"/>
    <x v="1"/>
    <x v="5"/>
    <n v="0"/>
    <m/>
    <m/>
  </r>
  <r>
    <n v="25.666666666666668"/>
    <d v="2014-11-23T00:00:00"/>
    <x v="0"/>
    <s v="KBC"/>
    <s v="Kachin"/>
    <s v="Myitkyina"/>
    <s v="Jan Mai Kawng Baptist Church"/>
    <m/>
    <m/>
    <m/>
    <n v="72"/>
    <n v="36"/>
    <n v="72"/>
    <n v="36"/>
    <m/>
    <n v="36"/>
    <n v="180"/>
    <m/>
    <m/>
    <m/>
    <m/>
    <m/>
    <m/>
    <m/>
    <n v="0"/>
    <n v="0"/>
    <n v="0"/>
    <n v="0"/>
    <n v="0"/>
    <n v="0"/>
    <n v="0"/>
    <n v="0"/>
    <n v="0"/>
    <n v="0"/>
    <n v="0"/>
    <n v="0"/>
    <n v="0"/>
    <n v="0"/>
    <x v="0"/>
    <n v="0"/>
    <n v="0"/>
    <n v="0"/>
    <s v="MMR001CMP018"/>
    <x v="0"/>
    <x v="1"/>
    <x v="1"/>
    <n v="8.8397790055248619E-4"/>
    <m/>
    <m/>
  </r>
  <r>
    <n v="26.066666666666666"/>
    <d v="2014-11-11T00:00:00"/>
    <x v="0"/>
    <s v="KBC"/>
    <s v="Kachin"/>
    <s v="Hpakant"/>
    <s v="Hlaing Naung Baptist"/>
    <m/>
    <m/>
    <n v="19"/>
    <n v="38"/>
    <n v="19"/>
    <n v="38"/>
    <n v="19"/>
    <m/>
    <n v="19"/>
    <n v="95"/>
    <m/>
    <m/>
    <m/>
    <m/>
    <m/>
    <m/>
    <m/>
    <n v="0"/>
    <n v="0"/>
    <n v="0"/>
    <n v="0"/>
    <n v="0"/>
    <n v="0"/>
    <n v="0"/>
    <n v="0"/>
    <n v="0"/>
    <n v="0"/>
    <n v="0"/>
    <n v="0"/>
    <n v="0"/>
    <n v="0"/>
    <x v="0"/>
    <n v="0"/>
    <n v="0"/>
    <n v="0"/>
    <s v="MMR001CMP148"/>
    <x v="0"/>
    <x v="1"/>
    <x v="1"/>
    <n v="4.6135541364155112E-4"/>
    <m/>
    <m/>
  </r>
  <r>
    <n v="26.1"/>
    <d v="2014-11-10T00:00:00"/>
    <x v="4"/>
    <s v="MRCS"/>
    <s v="Kachin"/>
    <s v="Puta-O"/>
    <s v="Naung Khaing"/>
    <m/>
    <m/>
    <m/>
    <m/>
    <m/>
    <m/>
    <m/>
    <m/>
    <m/>
    <m/>
    <n v="52"/>
    <n v="16"/>
    <m/>
    <m/>
    <m/>
    <m/>
    <m/>
    <n v="0"/>
    <n v="0"/>
    <n v="0"/>
    <n v="0"/>
    <n v="0"/>
    <n v="0"/>
    <n v="0"/>
    <n v="0"/>
    <n v="0"/>
    <n v="0"/>
    <n v="0"/>
    <n v="0"/>
    <n v="0"/>
    <n v="0"/>
    <x v="2"/>
    <n v="0"/>
    <n v="0"/>
    <n v="0"/>
    <s v="MMR001CMP220"/>
    <x v="0"/>
    <x v="0"/>
    <x v="2"/>
    <n v="0"/>
    <m/>
    <m/>
  </r>
  <r>
    <n v="26.1"/>
    <d v="2014-11-10T00:00:00"/>
    <x v="4"/>
    <s v="MRCS"/>
    <s v="Kachin"/>
    <s v="Hpakant"/>
    <s v="Nam Ma Phyit, COC"/>
    <m/>
    <m/>
    <m/>
    <m/>
    <m/>
    <m/>
    <m/>
    <m/>
    <m/>
    <m/>
    <n v="50"/>
    <n v="17"/>
    <m/>
    <m/>
    <m/>
    <m/>
    <m/>
    <n v="0"/>
    <n v="0"/>
    <n v="0"/>
    <n v="0"/>
    <n v="0"/>
    <n v="0"/>
    <n v="0"/>
    <n v="0"/>
    <n v="0"/>
    <n v="0"/>
    <n v="0"/>
    <n v="0"/>
    <n v="0"/>
    <n v="0"/>
    <x v="2"/>
    <n v="0"/>
    <n v="0"/>
    <n v="0"/>
    <s v="MMR001CMP192"/>
    <x v="0"/>
    <x v="1"/>
    <x v="1"/>
    <n v="0"/>
    <m/>
    <m/>
  </r>
  <r>
    <n v="26.1"/>
    <d v="2014-11-10T00:00:00"/>
    <x v="4"/>
    <s v="MRCS"/>
    <s v="Kachin"/>
    <s v="Hpakant"/>
    <s v="Nant Ma Hpit Catholic Church"/>
    <m/>
    <m/>
    <m/>
    <m/>
    <m/>
    <m/>
    <m/>
    <m/>
    <m/>
    <m/>
    <n v="117"/>
    <n v="65"/>
    <m/>
    <m/>
    <m/>
    <m/>
    <m/>
    <n v="0"/>
    <n v="0"/>
    <n v="0"/>
    <n v="0"/>
    <n v="0"/>
    <n v="0"/>
    <n v="0"/>
    <n v="0"/>
    <n v="0"/>
    <n v="0"/>
    <n v="0"/>
    <n v="0"/>
    <n v="0"/>
    <n v="0"/>
    <x v="2"/>
    <n v="0"/>
    <n v="0"/>
    <n v="0"/>
    <s v="MMR001CMP103"/>
    <x v="0"/>
    <x v="1"/>
    <x v="1"/>
    <n v="0"/>
    <m/>
    <m/>
  </r>
  <r>
    <n v="26.1"/>
    <d v="2014-11-10T00:00:00"/>
    <x v="4"/>
    <s v="MRCS"/>
    <s v="Kachin"/>
    <s v="Puta-O"/>
    <s v="Tote Tan Ward"/>
    <m/>
    <m/>
    <m/>
    <m/>
    <m/>
    <m/>
    <m/>
    <m/>
    <m/>
    <m/>
    <n v="72"/>
    <n v="11"/>
    <m/>
    <m/>
    <m/>
    <m/>
    <m/>
    <n v="0"/>
    <n v="0"/>
    <n v="0"/>
    <n v="0"/>
    <n v="0"/>
    <n v="0"/>
    <n v="0"/>
    <n v="0"/>
    <n v="0"/>
    <n v="0"/>
    <n v="0"/>
    <n v="0"/>
    <n v="0"/>
    <n v="0"/>
    <x v="2"/>
    <n v="0"/>
    <n v="0"/>
    <n v="0"/>
    <s v="MMR001CMP075"/>
    <x v="0"/>
    <x v="1"/>
    <x v="2"/>
    <s v=""/>
    <m/>
    <m/>
  </r>
  <r>
    <n v="26.333333333333332"/>
    <d v="2014-11-03T00:00:00"/>
    <x v="0"/>
    <s v="Shalom"/>
    <s v="Kachin"/>
    <s v="Waingmaw"/>
    <s v="Hkat Cho "/>
    <m/>
    <m/>
    <n v="15"/>
    <n v="30"/>
    <n v="15"/>
    <n v="30"/>
    <n v="15"/>
    <m/>
    <n v="15"/>
    <n v="75"/>
    <m/>
    <m/>
    <m/>
    <m/>
    <m/>
    <m/>
    <m/>
    <n v="0"/>
    <n v="0"/>
    <n v="0"/>
    <n v="0"/>
    <n v="0"/>
    <n v="0"/>
    <n v="0"/>
    <n v="0"/>
    <n v="0"/>
    <n v="0"/>
    <n v="0"/>
    <n v="0"/>
    <n v="0"/>
    <n v="0"/>
    <x v="0"/>
    <n v="0"/>
    <n v="0"/>
    <n v="0"/>
    <s v="MMR001CMP028"/>
    <x v="0"/>
    <x v="1"/>
    <x v="1"/>
    <n v="3.6859565057132326E-4"/>
    <m/>
    <m/>
  </r>
  <r>
    <n v="26.433333333333334"/>
    <d v="2014-10-31T00:00:00"/>
    <x v="0"/>
    <m/>
    <s v="Kachin"/>
    <s v="Hpakant"/>
    <s v="5 Ward Baptist Church(lon Khin)"/>
    <m/>
    <m/>
    <n v="77"/>
    <n v="154"/>
    <n v="77"/>
    <n v="154"/>
    <n v="77"/>
    <m/>
    <n v="77"/>
    <n v="385"/>
    <m/>
    <m/>
    <m/>
    <m/>
    <m/>
    <m/>
    <m/>
    <n v="0"/>
    <n v="0"/>
    <n v="0"/>
    <n v="0"/>
    <n v="0"/>
    <n v="0"/>
    <n v="0"/>
    <n v="0"/>
    <n v="0"/>
    <n v="0"/>
    <n v="0"/>
    <n v="0"/>
    <n v="0"/>
    <n v="0"/>
    <x v="0"/>
    <n v="0"/>
    <n v="0"/>
    <n v="0"/>
    <s v="MMR001CMP179"/>
    <x v="0"/>
    <x v="1"/>
    <x v="1"/>
    <n v="1.8655360387643853E-3"/>
    <m/>
    <m/>
  </r>
  <r>
    <n v="26.433333333333334"/>
    <d v="2014-10-31T00:00:00"/>
    <x v="0"/>
    <m/>
    <s v="Kachin"/>
    <s v="Hpakant"/>
    <s v="5 Ward RC Church(lon Khin)"/>
    <m/>
    <m/>
    <n v="59"/>
    <n v="118"/>
    <n v="59"/>
    <n v="118"/>
    <n v="59"/>
    <m/>
    <n v="59"/>
    <n v="295"/>
    <m/>
    <m/>
    <m/>
    <m/>
    <m/>
    <m/>
    <m/>
    <n v="0"/>
    <n v="0"/>
    <n v="0"/>
    <n v="0"/>
    <n v="0"/>
    <n v="0"/>
    <n v="0"/>
    <n v="0"/>
    <n v="0"/>
    <n v="0"/>
    <n v="0"/>
    <n v="0"/>
    <n v="0"/>
    <n v="0"/>
    <x v="0"/>
    <n v="0"/>
    <n v="0"/>
    <n v="0"/>
    <s v="MMR001CMP168"/>
    <x v="0"/>
    <x v="1"/>
    <x v="1"/>
    <n v="1.4294367050272563E-3"/>
    <m/>
    <m/>
  </r>
  <r>
    <n v="26.433333333333334"/>
    <d v="2014-10-31T00:00:00"/>
    <x v="0"/>
    <m/>
    <s v="Kachin"/>
    <s v="Hpakant"/>
    <s v="AG Church, Hmaw Si Sa"/>
    <m/>
    <m/>
    <n v="67"/>
    <n v="134"/>
    <n v="67"/>
    <n v="134"/>
    <n v="67"/>
    <m/>
    <n v="67"/>
    <n v="335"/>
    <m/>
    <m/>
    <m/>
    <m/>
    <m/>
    <m/>
    <m/>
    <n v="0"/>
    <n v="0"/>
    <n v="0"/>
    <n v="0"/>
    <n v="0"/>
    <n v="0"/>
    <n v="0"/>
    <n v="0"/>
    <n v="0"/>
    <n v="0"/>
    <n v="0"/>
    <n v="0"/>
    <n v="0"/>
    <n v="0"/>
    <x v="0"/>
    <n v="0"/>
    <n v="0"/>
    <n v="0"/>
    <s v="MMR001CMP176"/>
    <x v="0"/>
    <x v="1"/>
    <x v="1"/>
    <n v="1.6232586311326468E-3"/>
    <m/>
    <m/>
  </r>
  <r>
    <n v="26.433333333333334"/>
    <d v="2014-10-31T00:00:00"/>
    <x v="0"/>
    <m/>
    <s v="Kachin"/>
    <s v="Hpakant"/>
    <s v="AG Church, Maw Wan"/>
    <m/>
    <m/>
    <n v="14"/>
    <n v="28"/>
    <n v="14"/>
    <n v="28"/>
    <n v="14"/>
    <m/>
    <n v="14"/>
    <n v="70"/>
    <m/>
    <m/>
    <m/>
    <m/>
    <m/>
    <m/>
    <m/>
    <n v="0"/>
    <n v="0"/>
    <n v="0"/>
    <n v="0"/>
    <n v="0"/>
    <n v="0"/>
    <n v="0"/>
    <n v="0"/>
    <n v="0"/>
    <n v="0"/>
    <n v="0"/>
    <n v="0"/>
    <n v="0"/>
    <n v="0"/>
    <x v="0"/>
    <n v="0"/>
    <n v="0"/>
    <n v="0"/>
    <s v="MMR001CMP190"/>
    <x v="0"/>
    <x v="1"/>
    <x v="1"/>
    <n v="3.391883706844337E-4"/>
    <m/>
    <m/>
  </r>
  <r>
    <n v="26.433333333333334"/>
    <d v="2014-10-31T00:00:00"/>
    <x v="0"/>
    <m/>
    <s v="Kachin"/>
    <s v="Hpakant"/>
    <s v="Baptist Church, Hmaw Si Sar(Lon Khin)"/>
    <m/>
    <m/>
    <n v="38"/>
    <n v="76"/>
    <n v="38"/>
    <n v="76"/>
    <n v="38"/>
    <m/>
    <n v="38"/>
    <n v="190"/>
    <m/>
    <m/>
    <m/>
    <m/>
    <m/>
    <m/>
    <m/>
    <n v="0"/>
    <n v="0"/>
    <n v="0"/>
    <n v="0"/>
    <n v="0"/>
    <n v="0"/>
    <n v="0"/>
    <n v="0"/>
    <n v="0"/>
    <n v="0"/>
    <n v="0"/>
    <n v="0"/>
    <n v="0"/>
    <n v="0"/>
    <x v="0"/>
    <n v="0"/>
    <n v="0"/>
    <n v="0"/>
    <s v="MMR001CMP169"/>
    <x v="0"/>
    <x v="1"/>
    <x v="1"/>
    <n v="9.2065414900060572E-4"/>
    <m/>
    <m/>
  </r>
  <r>
    <n v="26.433333333333334"/>
    <d v="2014-10-31T00:00:00"/>
    <x v="0"/>
    <m/>
    <s v="Kachin"/>
    <s v="Hpakant"/>
    <s v="Chin Church, Seik Mu"/>
    <m/>
    <m/>
    <n v="5"/>
    <n v="10"/>
    <n v="5"/>
    <n v="10"/>
    <n v="5"/>
    <m/>
    <n v="5"/>
    <n v="25"/>
    <m/>
    <m/>
    <m/>
    <m/>
    <m/>
    <m/>
    <m/>
    <n v="0"/>
    <n v="0"/>
    <n v="0"/>
    <n v="0"/>
    <n v="0"/>
    <n v="0"/>
    <n v="0"/>
    <n v="0"/>
    <n v="0"/>
    <n v="0"/>
    <n v="0"/>
    <n v="0"/>
    <n v="0"/>
    <n v="0"/>
    <x v="0"/>
    <n v="0"/>
    <n v="0"/>
    <n v="0"/>
    <s v="MMR001CMP109"/>
    <x v="0"/>
    <x v="1"/>
    <x v="1"/>
    <n v="1.2051968086388508E-4"/>
    <m/>
    <m/>
  </r>
  <r>
    <n v="26.433333333333334"/>
    <d v="2014-10-31T00:00:00"/>
    <x v="0"/>
    <m/>
    <s v="Kachin"/>
    <s v="Hpakant"/>
    <s v="Dhama Rakhita, Nyein Chan Tar Yar Ward(Lon Khin)"/>
    <m/>
    <m/>
    <n v="67"/>
    <n v="134"/>
    <n v="67"/>
    <n v="134"/>
    <n v="67"/>
    <m/>
    <n v="67"/>
    <n v="335"/>
    <m/>
    <m/>
    <m/>
    <m/>
    <m/>
    <m/>
    <m/>
    <n v="0"/>
    <n v="0"/>
    <n v="0"/>
    <n v="0"/>
    <n v="0"/>
    <n v="0"/>
    <n v="0"/>
    <n v="0"/>
    <n v="0"/>
    <n v="0"/>
    <n v="0"/>
    <n v="0"/>
    <n v="0"/>
    <n v="0"/>
    <x v="0"/>
    <n v="0"/>
    <n v="0"/>
    <n v="0"/>
    <s v="MMR001CMP174"/>
    <x v="0"/>
    <x v="1"/>
    <x v="1"/>
    <n v="1.6232586311326468E-3"/>
    <m/>
    <m/>
  </r>
  <r>
    <n v="26.433333333333334"/>
    <d v="2014-10-31T00:00:00"/>
    <x v="0"/>
    <m/>
    <s v="Kachin"/>
    <s v="Hpakant"/>
    <s v="Hmaw Wan, Anglican"/>
    <m/>
    <m/>
    <n v="10"/>
    <n v="20"/>
    <n v="10"/>
    <n v="20"/>
    <n v="10"/>
    <m/>
    <n v="10"/>
    <n v="50"/>
    <m/>
    <m/>
    <m/>
    <m/>
    <m/>
    <m/>
    <m/>
    <n v="0"/>
    <n v="0"/>
    <n v="0"/>
    <n v="0"/>
    <n v="0"/>
    <n v="0"/>
    <n v="0"/>
    <n v="0"/>
    <n v="0"/>
    <n v="0"/>
    <n v="0"/>
    <n v="0"/>
    <n v="0"/>
    <n v="0"/>
    <x v="0"/>
    <n v="0"/>
    <n v="0"/>
    <n v="0"/>
    <s v="MMR001CMP191"/>
    <x v="0"/>
    <x v="1"/>
    <x v="1"/>
    <n v="2.431788337143135E-4"/>
    <m/>
    <m/>
  </r>
  <r>
    <n v="26.433333333333334"/>
    <d v="2014-10-31T00:00:00"/>
    <x v="0"/>
    <m/>
    <s v="Kachin"/>
    <s v="Hpakant"/>
    <s v="Hpakant Baptist Church, Nam Ma Hpit"/>
    <m/>
    <m/>
    <n v="64"/>
    <n v="128"/>
    <n v="64"/>
    <n v="128"/>
    <n v="64"/>
    <m/>
    <n v="64"/>
    <n v="320"/>
    <m/>
    <m/>
    <m/>
    <m/>
    <m/>
    <m/>
    <m/>
    <n v="0"/>
    <n v="0"/>
    <n v="0"/>
    <n v="0"/>
    <n v="0"/>
    <n v="0"/>
    <n v="0"/>
    <n v="0"/>
    <n v="0"/>
    <n v="0"/>
    <n v="0"/>
    <n v="0"/>
    <n v="0"/>
    <n v="0"/>
    <x v="0"/>
    <n v="0"/>
    <n v="0"/>
    <n v="0"/>
    <s v="MMR001CMP229"/>
    <x v="0"/>
    <x v="1"/>
    <x v="1"/>
    <n v="1.5563445357716064E-3"/>
    <m/>
    <m/>
  </r>
  <r>
    <n v="26.433333333333334"/>
    <d v="2014-10-31T00:00:00"/>
    <x v="4"/>
    <s v="MRCS"/>
    <s v="Kachin"/>
    <s v="Machanbaw"/>
    <s v="Machanbaw - KBC"/>
    <m/>
    <m/>
    <m/>
    <m/>
    <m/>
    <m/>
    <m/>
    <m/>
    <m/>
    <m/>
    <n v="20"/>
    <n v="8"/>
    <m/>
    <m/>
    <m/>
    <m/>
    <m/>
    <n v="0"/>
    <n v="0"/>
    <n v="0"/>
    <n v="0"/>
    <n v="0"/>
    <n v="0"/>
    <n v="0"/>
    <n v="0"/>
    <n v="0"/>
    <n v="0"/>
    <n v="0"/>
    <n v="0"/>
    <n v="0"/>
    <n v="0"/>
    <x v="2"/>
    <n v="0"/>
    <n v="0"/>
    <n v="0"/>
    <s v="MMR001CMP221"/>
    <x v="0"/>
    <x v="0"/>
    <x v="2"/>
    <n v="0"/>
    <m/>
    <m/>
  </r>
  <r>
    <n v="26.433333333333334"/>
    <d v="2014-10-31T00:00:00"/>
    <x v="0"/>
    <m/>
    <s v="Kachin"/>
    <s v="Hpakant"/>
    <s v="Lisu Baptist Church, Maw Shan Vil,. Seik Mu"/>
    <m/>
    <m/>
    <n v="25"/>
    <n v="50"/>
    <n v="25"/>
    <n v="50"/>
    <n v="25"/>
    <m/>
    <n v="25"/>
    <n v="125"/>
    <m/>
    <m/>
    <m/>
    <m/>
    <m/>
    <m/>
    <m/>
    <n v="0"/>
    <n v="0"/>
    <n v="0"/>
    <n v="0"/>
    <n v="0"/>
    <n v="0"/>
    <n v="0"/>
    <n v="0"/>
    <n v="0"/>
    <n v="0"/>
    <n v="0"/>
    <n v="0"/>
    <n v="0"/>
    <n v="0"/>
    <x v="0"/>
    <n v="0"/>
    <n v="0"/>
    <n v="0"/>
    <s v="MMR001CMP181"/>
    <x v="0"/>
    <x v="1"/>
    <x v="1"/>
    <n v="6.0569351907934583E-4"/>
    <m/>
    <m/>
  </r>
  <r>
    <n v="26.433333333333334"/>
    <d v="2014-10-31T00:00:00"/>
    <x v="0"/>
    <m/>
    <s v="Kachin"/>
    <s v="Hpakant"/>
    <s v="Lisu Baptist Church, Maw Wan Ward"/>
    <m/>
    <m/>
    <n v="15"/>
    <n v="30"/>
    <n v="15"/>
    <n v="30"/>
    <n v="15"/>
    <m/>
    <n v="15"/>
    <n v="75"/>
    <m/>
    <m/>
    <m/>
    <m/>
    <m/>
    <m/>
    <m/>
    <n v="0"/>
    <n v="0"/>
    <n v="0"/>
    <n v="0"/>
    <n v="0"/>
    <n v="0"/>
    <n v="0"/>
    <n v="0"/>
    <n v="0"/>
    <n v="0"/>
    <n v="0"/>
    <n v="0"/>
    <n v="0"/>
    <n v="0"/>
    <x v="0"/>
    <n v="0"/>
    <n v="0"/>
    <n v="0"/>
    <s v="MMR001CMP167"/>
    <x v="0"/>
    <x v="1"/>
    <x v="1"/>
    <n v="3.6341611144760752E-4"/>
    <m/>
    <m/>
  </r>
  <r>
    <n v="26.433333333333334"/>
    <d v="2014-10-31T00:00:00"/>
    <x v="4"/>
    <s v="MRCS"/>
    <s v="Kachin"/>
    <s v="Hpakant"/>
    <s v="Maw Wan, Mu-yin Baptist Church"/>
    <m/>
    <m/>
    <m/>
    <m/>
    <m/>
    <m/>
    <m/>
    <m/>
    <m/>
    <m/>
    <n v="11"/>
    <n v="15"/>
    <m/>
    <m/>
    <m/>
    <m/>
    <m/>
    <n v="0"/>
    <n v="0"/>
    <n v="0"/>
    <n v="0"/>
    <n v="0"/>
    <n v="0"/>
    <n v="0"/>
    <n v="0"/>
    <n v="0"/>
    <n v="0"/>
    <n v="0"/>
    <n v="0"/>
    <n v="0"/>
    <n v="0"/>
    <x v="2"/>
    <n v="0"/>
    <n v="0"/>
    <n v="0"/>
    <s v="MMR001CMP091"/>
    <x v="0"/>
    <x v="1"/>
    <x v="1"/>
    <n v="0"/>
    <m/>
    <m/>
  </r>
  <r>
    <n v="26.433333333333334"/>
    <d v="2014-10-31T00:00:00"/>
    <x v="0"/>
    <m/>
    <s v="Kachin"/>
    <s v="Hpakant"/>
    <s v="Maw Wan, Mu-yin Baptist Church"/>
    <m/>
    <m/>
    <n v="5"/>
    <n v="10"/>
    <n v="5"/>
    <n v="10"/>
    <n v="5"/>
    <m/>
    <n v="5"/>
    <n v="25"/>
    <m/>
    <m/>
    <m/>
    <m/>
    <m/>
    <m/>
    <m/>
    <n v="0"/>
    <n v="0"/>
    <n v="0"/>
    <n v="0"/>
    <n v="0"/>
    <n v="0"/>
    <n v="0"/>
    <n v="0"/>
    <n v="0"/>
    <n v="0"/>
    <n v="0"/>
    <n v="0"/>
    <n v="0"/>
    <n v="0"/>
    <x v="0"/>
    <n v="0"/>
    <n v="0"/>
    <n v="0"/>
    <s v="MMR001CMP091"/>
    <x v="0"/>
    <x v="1"/>
    <x v="1"/>
    <n v="1.2158941685715675E-4"/>
    <m/>
    <m/>
  </r>
  <r>
    <n v="26.433333333333334"/>
    <d v="2014-10-31T00:00:00"/>
    <x v="0"/>
    <m/>
    <s v="Kachin"/>
    <s v="Hpakant"/>
    <s v="Nam Ma Phyit, COC"/>
    <m/>
    <m/>
    <n v="17"/>
    <n v="34"/>
    <n v="17"/>
    <n v="34"/>
    <n v="17"/>
    <m/>
    <n v="17"/>
    <n v="85"/>
    <m/>
    <m/>
    <m/>
    <m/>
    <m/>
    <m/>
    <m/>
    <n v="0"/>
    <n v="0"/>
    <n v="0"/>
    <n v="0"/>
    <n v="0"/>
    <n v="0"/>
    <n v="0"/>
    <n v="0"/>
    <n v="0"/>
    <n v="0"/>
    <n v="0"/>
    <n v="0"/>
    <n v="0"/>
    <n v="0"/>
    <x v="0"/>
    <n v="0"/>
    <n v="0"/>
    <n v="0"/>
    <s v="MMR001CMP192"/>
    <x v="0"/>
    <x v="1"/>
    <x v="1"/>
    <n v="4.1187159297395516E-4"/>
    <m/>
    <m/>
  </r>
  <r>
    <n v="26.433333333333334"/>
    <d v="2014-10-31T00:00:00"/>
    <x v="0"/>
    <m/>
    <s v="Kachin"/>
    <s v="Hpakant"/>
    <s v="Nant Ma Hpit Catholic Church"/>
    <m/>
    <m/>
    <n v="36"/>
    <n v="72"/>
    <n v="36"/>
    <n v="72"/>
    <n v="36"/>
    <m/>
    <n v="36"/>
    <n v="180"/>
    <m/>
    <m/>
    <m/>
    <m/>
    <m/>
    <m/>
    <m/>
    <n v="0"/>
    <n v="0"/>
    <n v="0"/>
    <n v="0"/>
    <n v="0"/>
    <n v="0"/>
    <n v="0"/>
    <n v="0"/>
    <n v="0"/>
    <n v="0"/>
    <n v="0"/>
    <n v="0"/>
    <n v="0"/>
    <n v="0"/>
    <x v="0"/>
    <n v="0"/>
    <n v="0"/>
    <n v="0"/>
    <s v="MMR001CMP103"/>
    <x v="0"/>
    <x v="1"/>
    <x v="1"/>
    <n v="8.6774170221997249E-4"/>
    <m/>
    <s v="used in warehouse"/>
  </r>
  <r>
    <n v="26.433333333333334"/>
    <d v="2014-10-31T00:00:00"/>
    <x v="0"/>
    <m/>
    <s v="Kachin"/>
    <s v="Hpakant"/>
    <s v="Rawan Baptist Church, Maw Shan Vil., Seik Mu"/>
    <m/>
    <m/>
    <n v="12"/>
    <n v="24"/>
    <n v="12"/>
    <n v="24"/>
    <n v="12"/>
    <m/>
    <n v="12"/>
    <n v="60"/>
    <m/>
    <m/>
    <m/>
    <m/>
    <m/>
    <m/>
    <m/>
    <n v="0"/>
    <n v="0"/>
    <n v="0"/>
    <n v="0"/>
    <n v="0"/>
    <n v="0"/>
    <n v="0"/>
    <n v="0"/>
    <n v="0"/>
    <n v="0"/>
    <n v="0"/>
    <n v="0"/>
    <n v="0"/>
    <n v="0"/>
    <x v="0"/>
    <n v="0"/>
    <n v="0"/>
    <n v="0"/>
    <s v="MMR001CMP182"/>
    <x v="0"/>
    <x v="1"/>
    <x v="1"/>
    <n v="2.9073288915808601E-4"/>
    <m/>
    <m/>
  </r>
  <r>
    <n v="26.433333333333334"/>
    <d v="2014-10-31T00:00:00"/>
    <x v="0"/>
    <m/>
    <s v="Kachin"/>
    <s v="Hpakant"/>
    <s v="Sai Nai Baptish Church, Maw Shan Vil., Seki Mu"/>
    <m/>
    <m/>
    <n v="9"/>
    <n v="18"/>
    <n v="9"/>
    <n v="18"/>
    <n v="9"/>
    <m/>
    <n v="9"/>
    <n v="45"/>
    <m/>
    <m/>
    <m/>
    <m/>
    <m/>
    <m/>
    <m/>
    <n v="0"/>
    <n v="0"/>
    <n v="0"/>
    <n v="0"/>
    <n v="0"/>
    <n v="0"/>
    <n v="0"/>
    <n v="0"/>
    <n v="0"/>
    <n v="0"/>
    <n v="0"/>
    <n v="0"/>
    <n v="0"/>
    <n v="0"/>
    <x v="0"/>
    <n v="0"/>
    <n v="0"/>
    <n v="0"/>
    <s v="MMR001CMP183"/>
    <x v="0"/>
    <x v="1"/>
    <x v="1"/>
    <n v="2.1804966686856452E-4"/>
    <m/>
    <m/>
  </r>
  <r>
    <n v="26.433333333333334"/>
    <d v="2014-10-31T00:00:00"/>
    <x v="0"/>
    <m/>
    <s v="Kachin"/>
    <s v="Hpakant"/>
    <s v="Ward 2 Sai Taung Baptist Church, Seik Mu "/>
    <m/>
    <m/>
    <n v="38"/>
    <n v="76"/>
    <n v="38"/>
    <n v="76"/>
    <n v="38"/>
    <m/>
    <n v="38"/>
    <n v="190"/>
    <m/>
    <m/>
    <m/>
    <m/>
    <m/>
    <m/>
    <m/>
    <n v="0"/>
    <n v="0"/>
    <n v="0"/>
    <n v="0"/>
    <n v="0"/>
    <n v="0"/>
    <n v="0"/>
    <n v="0"/>
    <n v="0"/>
    <n v="0"/>
    <n v="0"/>
    <n v="0"/>
    <n v="0"/>
    <n v="0"/>
    <x v="0"/>
    <n v="0"/>
    <n v="0"/>
    <n v="0"/>
    <s v="MMR001CMP184"/>
    <x v="0"/>
    <x v="1"/>
    <x v="1"/>
    <n v="9.2065414900060572E-4"/>
    <m/>
    <m/>
  </r>
  <r>
    <n v="26.433333333333334"/>
    <d v="2014-10-31T00:00:00"/>
    <x v="0"/>
    <m/>
    <s v="Kachin"/>
    <s v="Hpakant"/>
    <s v="Yumar Baptist Church"/>
    <m/>
    <m/>
    <n v="10"/>
    <n v="20"/>
    <n v="10"/>
    <n v="20"/>
    <n v="10"/>
    <m/>
    <n v="10"/>
    <n v="50"/>
    <m/>
    <m/>
    <m/>
    <m/>
    <m/>
    <m/>
    <m/>
    <n v="0"/>
    <n v="0"/>
    <n v="0"/>
    <n v="0"/>
    <n v="0"/>
    <n v="0"/>
    <n v="0"/>
    <n v="0"/>
    <n v="0"/>
    <n v="0"/>
    <n v="0"/>
    <n v="0"/>
    <n v="0"/>
    <n v="0"/>
    <x v="0"/>
    <n v="0"/>
    <n v="0"/>
    <n v="0"/>
    <s v="MMR001CMP105"/>
    <x v="0"/>
    <x v="1"/>
    <x v="1"/>
    <n v="2.431788337143135E-4"/>
    <m/>
    <m/>
  </r>
  <r>
    <n v="26.466666666666665"/>
    <d v="2014-10-30T00:00:00"/>
    <x v="0"/>
    <m/>
    <s v="Kachin"/>
    <s v="Bhamo"/>
    <s v="Aung Thar Church"/>
    <m/>
    <m/>
    <m/>
    <m/>
    <m/>
    <m/>
    <m/>
    <m/>
    <m/>
    <m/>
    <m/>
    <m/>
    <m/>
    <m/>
    <m/>
    <m/>
    <m/>
    <n v="0"/>
    <n v="0"/>
    <n v="0"/>
    <n v="0"/>
    <n v="0"/>
    <n v="0"/>
    <n v="0"/>
    <n v="0"/>
    <n v="0"/>
    <n v="0"/>
    <n v="0"/>
    <n v="0"/>
    <n v="0"/>
    <n v="0"/>
    <x v="0"/>
    <n v="0"/>
    <n v="0"/>
    <n v="0"/>
    <s v="MMR001CMP194"/>
    <x v="0"/>
    <x v="1"/>
    <x v="1"/>
    <n v="0"/>
    <m/>
    <m/>
  </r>
  <r>
    <n v="26.633333333333333"/>
    <d v="2014-10-25T00:00:00"/>
    <x v="4"/>
    <s v="MRCS"/>
    <s v="Kachin"/>
    <s v="Hpakant"/>
    <s v="5 Ward Baptist Church(lon Khin)"/>
    <m/>
    <m/>
    <m/>
    <m/>
    <m/>
    <m/>
    <m/>
    <m/>
    <m/>
    <m/>
    <n v="229"/>
    <n v="126"/>
    <m/>
    <m/>
    <m/>
    <m/>
    <m/>
    <n v="0"/>
    <n v="0"/>
    <n v="0"/>
    <n v="0"/>
    <n v="0"/>
    <n v="0"/>
    <n v="0"/>
    <n v="0"/>
    <n v="0"/>
    <n v="0"/>
    <n v="0"/>
    <n v="0"/>
    <n v="0"/>
    <n v="0"/>
    <x v="2"/>
    <n v="0"/>
    <n v="0"/>
    <n v="0"/>
    <s v="MMR001CMP179"/>
    <x v="0"/>
    <x v="1"/>
    <x v="1"/>
    <n v="0"/>
    <m/>
    <m/>
  </r>
  <r>
    <n v="26.633333333333333"/>
    <d v="2014-10-25T00:00:00"/>
    <x v="4"/>
    <s v="MRCS"/>
    <s v="Kachin"/>
    <s v="Hpakant"/>
    <s v="5 Ward RC Church(lon Khin)"/>
    <m/>
    <m/>
    <m/>
    <m/>
    <m/>
    <m/>
    <m/>
    <m/>
    <m/>
    <m/>
    <n v="223"/>
    <n v="96"/>
    <m/>
    <m/>
    <m/>
    <m/>
    <m/>
    <n v="0"/>
    <n v="0"/>
    <n v="0"/>
    <n v="0"/>
    <n v="0"/>
    <n v="0"/>
    <n v="0"/>
    <n v="0"/>
    <n v="0"/>
    <n v="0"/>
    <n v="0"/>
    <n v="0"/>
    <n v="0"/>
    <n v="0"/>
    <x v="2"/>
    <n v="0"/>
    <n v="0"/>
    <n v="0"/>
    <s v="MMR001CMP168"/>
    <x v="0"/>
    <x v="1"/>
    <x v="1"/>
    <n v="0"/>
    <m/>
    <m/>
  </r>
  <r>
    <n v="26.633333333333333"/>
    <d v="2014-10-25T00:00:00"/>
    <x v="4"/>
    <s v="MRCS"/>
    <s v="Kachin"/>
    <s v="Hpakant"/>
    <s v="AG Church, Hmaw Si Sa"/>
    <m/>
    <m/>
    <m/>
    <m/>
    <m/>
    <m/>
    <m/>
    <m/>
    <m/>
    <m/>
    <n v="232"/>
    <n v="105"/>
    <m/>
    <m/>
    <m/>
    <m/>
    <m/>
    <n v="0"/>
    <n v="0"/>
    <n v="0"/>
    <n v="0"/>
    <n v="0"/>
    <n v="0"/>
    <n v="0"/>
    <n v="0"/>
    <n v="0"/>
    <n v="0"/>
    <n v="0"/>
    <n v="0"/>
    <n v="0"/>
    <n v="0"/>
    <x v="2"/>
    <n v="0"/>
    <n v="0"/>
    <n v="0"/>
    <s v="MMR001CMP176"/>
    <x v="0"/>
    <x v="1"/>
    <x v="1"/>
    <n v="0"/>
    <m/>
    <m/>
  </r>
  <r>
    <n v="26.633333333333333"/>
    <d v="2014-10-25T00:00:00"/>
    <x v="4"/>
    <s v="MRCS"/>
    <s v="Kachin"/>
    <s v="Hpakant"/>
    <s v="AG Church, Maw Wan"/>
    <m/>
    <m/>
    <m/>
    <m/>
    <m/>
    <m/>
    <m/>
    <m/>
    <m/>
    <m/>
    <n v="55"/>
    <n v="27"/>
    <m/>
    <m/>
    <m/>
    <m/>
    <m/>
    <n v="0"/>
    <n v="0"/>
    <n v="0"/>
    <n v="0"/>
    <n v="0"/>
    <n v="0"/>
    <n v="0"/>
    <n v="0"/>
    <n v="0"/>
    <n v="0"/>
    <n v="0"/>
    <n v="0"/>
    <n v="0"/>
    <n v="0"/>
    <x v="2"/>
    <n v="0"/>
    <n v="0"/>
    <n v="0"/>
    <s v="MMR001CMP190"/>
    <x v="0"/>
    <x v="1"/>
    <x v="1"/>
    <n v="0"/>
    <m/>
    <m/>
  </r>
  <r>
    <n v="26.633333333333333"/>
    <d v="2014-10-25T00:00:00"/>
    <x v="4"/>
    <s v="MRCS"/>
    <s v="Kachin"/>
    <s v="Hpakant"/>
    <s v="Baptist Church, Hmaw Si Sar(Lon Khin)"/>
    <m/>
    <m/>
    <m/>
    <m/>
    <m/>
    <m/>
    <m/>
    <m/>
    <m/>
    <m/>
    <n v="123"/>
    <n v="104"/>
    <m/>
    <m/>
    <m/>
    <m/>
    <m/>
    <n v="0"/>
    <n v="0"/>
    <n v="0"/>
    <n v="0"/>
    <n v="0"/>
    <n v="0"/>
    <n v="0"/>
    <n v="0"/>
    <n v="0"/>
    <n v="0"/>
    <n v="0"/>
    <n v="0"/>
    <n v="0"/>
    <n v="0"/>
    <x v="2"/>
    <n v="0"/>
    <n v="0"/>
    <n v="0"/>
    <s v="MMR001CMP169"/>
    <x v="0"/>
    <x v="1"/>
    <x v="1"/>
    <n v="0"/>
    <m/>
    <m/>
  </r>
  <r>
    <n v="26.633333333333333"/>
    <d v="2014-10-25T00:00:00"/>
    <x v="4"/>
    <s v="MRCS"/>
    <s v="Kachin"/>
    <s v="Hpakant"/>
    <s v="Chin Church, Seik Mu"/>
    <m/>
    <m/>
    <m/>
    <m/>
    <m/>
    <m/>
    <m/>
    <m/>
    <m/>
    <m/>
    <n v="15"/>
    <n v="10"/>
    <m/>
    <m/>
    <m/>
    <m/>
    <m/>
    <n v="0"/>
    <n v="0"/>
    <n v="0"/>
    <n v="0"/>
    <n v="0"/>
    <n v="0"/>
    <n v="0"/>
    <n v="0"/>
    <n v="0"/>
    <n v="0"/>
    <n v="0"/>
    <n v="0"/>
    <n v="0"/>
    <n v="0"/>
    <x v="2"/>
    <n v="0"/>
    <n v="0"/>
    <n v="0"/>
    <s v="MMR001CMP109"/>
    <x v="0"/>
    <x v="1"/>
    <x v="1"/>
    <n v="0"/>
    <m/>
    <m/>
  </r>
  <r>
    <n v="26.633333333333333"/>
    <d v="2014-10-25T00:00:00"/>
    <x v="4"/>
    <s v="MRCS"/>
    <s v="Kachin"/>
    <s v="Hpakant"/>
    <s v="Dhama Rakhita, Nyein Chan Tar Yar Ward(Lon Khin)"/>
    <m/>
    <m/>
    <m/>
    <m/>
    <m/>
    <m/>
    <m/>
    <m/>
    <m/>
    <m/>
    <n v="214"/>
    <n v="112"/>
    <m/>
    <m/>
    <m/>
    <m/>
    <m/>
    <n v="0"/>
    <n v="0"/>
    <n v="0"/>
    <n v="0"/>
    <n v="0"/>
    <n v="0"/>
    <n v="0"/>
    <n v="0"/>
    <n v="0"/>
    <n v="0"/>
    <n v="0"/>
    <n v="0"/>
    <n v="0"/>
    <n v="0"/>
    <x v="2"/>
    <n v="0"/>
    <n v="0"/>
    <n v="0"/>
    <s v="MMR001CMP174"/>
    <x v="0"/>
    <x v="1"/>
    <x v="1"/>
    <n v="0"/>
    <m/>
    <m/>
  </r>
  <r>
    <n v="26.633333333333333"/>
    <d v="2014-10-25T00:00:00"/>
    <x v="4"/>
    <s v="MRCS"/>
    <s v="Kachin"/>
    <s v="Hpakant"/>
    <s v="Hlaing Naung Baptist"/>
    <m/>
    <m/>
    <m/>
    <m/>
    <m/>
    <m/>
    <m/>
    <m/>
    <m/>
    <m/>
    <n v="37"/>
    <n v="24"/>
    <m/>
    <m/>
    <m/>
    <m/>
    <m/>
    <n v="0"/>
    <n v="0"/>
    <n v="0"/>
    <n v="0"/>
    <n v="0"/>
    <n v="0"/>
    <n v="0"/>
    <n v="0"/>
    <n v="0"/>
    <n v="0"/>
    <n v="0"/>
    <n v="0"/>
    <n v="0"/>
    <n v="0"/>
    <x v="2"/>
    <n v="0"/>
    <n v="0"/>
    <n v="0"/>
    <s v="MMR001CMP148"/>
    <x v="0"/>
    <x v="1"/>
    <x v="1"/>
    <n v="0"/>
    <m/>
    <m/>
  </r>
  <r>
    <n v="26.633333333333333"/>
    <d v="2014-10-25T00:00:00"/>
    <x v="4"/>
    <s v="MRCS"/>
    <s v="Kachin"/>
    <s v="Hpakant"/>
    <s v="Hmaw Wan, Anglican"/>
    <m/>
    <m/>
    <m/>
    <m/>
    <m/>
    <m/>
    <m/>
    <m/>
    <m/>
    <m/>
    <n v="33"/>
    <n v="24"/>
    <m/>
    <m/>
    <m/>
    <m/>
    <m/>
    <n v="0"/>
    <n v="0"/>
    <n v="0"/>
    <n v="0"/>
    <n v="0"/>
    <n v="0"/>
    <n v="0"/>
    <n v="0"/>
    <n v="0"/>
    <n v="0"/>
    <n v="0"/>
    <n v="0"/>
    <n v="0"/>
    <n v="0"/>
    <x v="2"/>
    <n v="0"/>
    <n v="0"/>
    <n v="0"/>
    <s v="MMR001CMP191"/>
    <x v="0"/>
    <x v="1"/>
    <x v="1"/>
    <n v="0"/>
    <m/>
    <m/>
  </r>
  <r>
    <n v="26.633333333333333"/>
    <d v="2014-10-25T00:00:00"/>
    <x v="4"/>
    <s v="MRCS"/>
    <s v="Kachin"/>
    <s v="Hpakant"/>
    <s v="Hpakant Baptist Church, Nam Ma Hpit"/>
    <m/>
    <m/>
    <m/>
    <m/>
    <m/>
    <m/>
    <m/>
    <m/>
    <m/>
    <m/>
    <n v="186"/>
    <n v="125"/>
    <m/>
    <m/>
    <m/>
    <m/>
    <m/>
    <n v="0"/>
    <n v="0"/>
    <n v="0"/>
    <n v="0"/>
    <n v="0"/>
    <n v="0"/>
    <n v="0"/>
    <n v="0"/>
    <n v="0"/>
    <n v="0"/>
    <n v="0"/>
    <n v="0"/>
    <n v="0"/>
    <n v="0"/>
    <x v="2"/>
    <n v="0"/>
    <n v="0"/>
    <n v="0"/>
    <s v="MMR001CMP229"/>
    <x v="0"/>
    <x v="1"/>
    <x v="1"/>
    <n v="0"/>
    <m/>
    <m/>
  </r>
  <r>
    <n v="26.633333333333333"/>
    <d v="2014-10-25T00:00:00"/>
    <x v="4"/>
    <s v="MRCS"/>
    <s v="Kachin"/>
    <s v="Hpakant"/>
    <s v="Baptist Church, Naung Hmee VT"/>
    <m/>
    <m/>
    <m/>
    <m/>
    <m/>
    <m/>
    <m/>
    <m/>
    <m/>
    <m/>
    <n v="48"/>
    <n v="30"/>
    <m/>
    <m/>
    <m/>
    <m/>
    <m/>
    <n v="0"/>
    <n v="0"/>
    <n v="0"/>
    <n v="0"/>
    <n v="0"/>
    <n v="0"/>
    <n v="0"/>
    <n v="0"/>
    <n v="0"/>
    <n v="0"/>
    <n v="0"/>
    <n v="0"/>
    <n v="0"/>
    <n v="0"/>
    <x v="2"/>
    <n v="0"/>
    <n v="0"/>
    <n v="0"/>
    <s v="MMR001CMP188"/>
    <x v="0"/>
    <x v="0"/>
    <x v="1"/>
    <s v=""/>
    <m/>
    <m/>
  </r>
  <r>
    <n v="26.633333333333333"/>
    <d v="2014-10-25T00:00:00"/>
    <x v="4"/>
    <s v="MRCS"/>
    <s v="Kachin"/>
    <s v="Hpakant"/>
    <s v="Lisu Baptist Church, Maw Shan Vil,. Seik Mu"/>
    <m/>
    <m/>
    <m/>
    <m/>
    <m/>
    <m/>
    <m/>
    <m/>
    <m/>
    <m/>
    <n v="90"/>
    <n v="39"/>
    <m/>
    <m/>
    <m/>
    <m/>
    <m/>
    <n v="0"/>
    <n v="0"/>
    <n v="0"/>
    <n v="0"/>
    <n v="0"/>
    <n v="0"/>
    <n v="0"/>
    <n v="0"/>
    <n v="0"/>
    <n v="0"/>
    <n v="0"/>
    <n v="0"/>
    <n v="0"/>
    <n v="0"/>
    <x v="2"/>
    <n v="0"/>
    <n v="0"/>
    <n v="0"/>
    <s v="MMR001CMP181"/>
    <x v="0"/>
    <x v="1"/>
    <x v="1"/>
    <n v="0"/>
    <m/>
    <m/>
  </r>
  <r>
    <n v="26.633333333333333"/>
    <d v="2014-10-25T00:00:00"/>
    <x v="4"/>
    <s v="MRCS"/>
    <s v="Kachin"/>
    <s v="Hpakant"/>
    <s v="Lisu Baptist Church, Maw Wan Ward"/>
    <m/>
    <m/>
    <m/>
    <m/>
    <m/>
    <m/>
    <m/>
    <m/>
    <m/>
    <m/>
    <n v="48"/>
    <n v="23"/>
    <m/>
    <m/>
    <m/>
    <m/>
    <m/>
    <n v="0"/>
    <n v="0"/>
    <n v="0"/>
    <n v="0"/>
    <n v="0"/>
    <n v="0"/>
    <n v="0"/>
    <n v="0"/>
    <n v="0"/>
    <n v="0"/>
    <n v="0"/>
    <n v="0"/>
    <n v="0"/>
    <n v="0"/>
    <x v="2"/>
    <n v="0"/>
    <n v="0"/>
    <n v="0"/>
    <s v="MMR001CMP167"/>
    <x v="0"/>
    <x v="1"/>
    <x v="1"/>
    <n v="0"/>
    <m/>
    <m/>
  </r>
  <r>
    <n v="26.633333333333333"/>
    <d v="2014-10-25T00:00:00"/>
    <x v="4"/>
    <s v="MRCS"/>
    <s v="Kachin"/>
    <s v="Momauk"/>
    <s v="Loi Je Baptist Church"/>
    <m/>
    <m/>
    <m/>
    <m/>
    <m/>
    <m/>
    <m/>
    <m/>
    <m/>
    <m/>
    <n v="112"/>
    <n v="59"/>
    <m/>
    <n v="74"/>
    <m/>
    <m/>
    <m/>
    <n v="0"/>
    <n v="0"/>
    <n v="0"/>
    <n v="0"/>
    <n v="0"/>
    <n v="0"/>
    <n v="0"/>
    <n v="0"/>
    <n v="0"/>
    <n v="0"/>
    <n v="0"/>
    <n v="0"/>
    <n v="0"/>
    <n v="0"/>
    <x v="2"/>
    <n v="0"/>
    <n v="0"/>
    <n v="0"/>
    <s v="MMR001CMP071"/>
    <x v="0"/>
    <x v="1"/>
    <x v="2"/>
    <n v="0"/>
    <m/>
    <m/>
  </r>
  <r>
    <n v="26.633333333333333"/>
    <d v="2014-10-25T00:00:00"/>
    <x v="4"/>
    <s v="MRCS"/>
    <s v="Kachin"/>
    <s v="Momauk"/>
    <s v="Loi Je Catholic Church"/>
    <m/>
    <m/>
    <m/>
    <m/>
    <m/>
    <m/>
    <m/>
    <m/>
    <m/>
    <m/>
    <n v="203"/>
    <n v="102"/>
    <m/>
    <n v="138"/>
    <m/>
    <m/>
    <m/>
    <n v="0"/>
    <n v="0"/>
    <n v="0"/>
    <n v="0"/>
    <n v="0"/>
    <n v="0"/>
    <n v="0"/>
    <n v="0"/>
    <n v="0"/>
    <n v="0"/>
    <n v="0"/>
    <n v="0"/>
    <n v="0"/>
    <n v="0"/>
    <x v="2"/>
    <n v="0"/>
    <n v="0"/>
    <n v="0"/>
    <s v="MMR001CMP069"/>
    <x v="0"/>
    <x v="1"/>
    <x v="2"/>
    <n v="0"/>
    <m/>
    <m/>
  </r>
  <r>
    <n v="26.633333333333333"/>
    <d v="2014-10-25T00:00:00"/>
    <x v="4"/>
    <s v="MRCS"/>
    <s v="Kachin"/>
    <s v="Momauk"/>
    <s v="Loi Je Lisu Camp"/>
    <m/>
    <m/>
    <m/>
    <m/>
    <m/>
    <m/>
    <m/>
    <m/>
    <m/>
    <m/>
    <n v="591"/>
    <n v="347"/>
    <m/>
    <n v="311"/>
    <m/>
    <m/>
    <m/>
    <n v="0"/>
    <n v="0"/>
    <n v="0"/>
    <n v="0"/>
    <n v="0"/>
    <n v="0"/>
    <n v="0"/>
    <n v="0"/>
    <n v="0"/>
    <n v="0"/>
    <n v="0"/>
    <n v="0"/>
    <n v="0"/>
    <n v="0"/>
    <x v="2"/>
    <n v="0"/>
    <n v="0"/>
    <n v="0"/>
    <s v="MMR001CMP070"/>
    <x v="0"/>
    <x v="1"/>
    <x v="2"/>
    <n v="0"/>
    <m/>
    <m/>
  </r>
  <r>
    <n v="27.066666666666666"/>
    <d v="2014-10-12T00:00:00"/>
    <x v="0"/>
    <m/>
    <s v="Kachin"/>
    <s v="Momauk"/>
    <s v="Man Bung Catholic compound"/>
    <m/>
    <m/>
    <m/>
    <m/>
    <n v="25"/>
    <m/>
    <m/>
    <m/>
    <m/>
    <m/>
    <m/>
    <m/>
    <m/>
    <m/>
    <m/>
    <m/>
    <m/>
    <n v="0"/>
    <n v="0"/>
    <n v="0"/>
    <n v="0"/>
    <n v="0"/>
    <n v="0"/>
    <n v="0"/>
    <n v="0"/>
    <n v="0"/>
    <n v="0"/>
    <n v="0"/>
    <n v="0"/>
    <n v="0"/>
    <n v="0"/>
    <x v="0"/>
    <n v="0"/>
    <n v="0"/>
    <n v="0"/>
    <s v="MMR001CMP062"/>
    <x v="0"/>
    <x v="1"/>
    <x v="1"/>
    <n v="0"/>
    <m/>
    <m/>
  </r>
  <r>
    <n v="27.133333333333333"/>
    <d v="2014-10-10T00:00:00"/>
    <x v="0"/>
    <m/>
    <s v="Kachin"/>
    <s v="Momauk"/>
    <s v="Loi Je Baptist Church"/>
    <m/>
    <m/>
    <m/>
    <m/>
    <n v="60"/>
    <m/>
    <m/>
    <m/>
    <m/>
    <m/>
    <m/>
    <m/>
    <m/>
    <m/>
    <m/>
    <m/>
    <m/>
    <n v="0"/>
    <n v="0"/>
    <n v="0"/>
    <n v="0"/>
    <n v="0"/>
    <n v="0"/>
    <n v="0"/>
    <n v="0"/>
    <n v="0"/>
    <n v="0"/>
    <n v="0"/>
    <n v="0"/>
    <n v="0"/>
    <n v="0"/>
    <x v="0"/>
    <n v="0"/>
    <n v="0"/>
    <n v="0"/>
    <s v="MMR001CMP071"/>
    <x v="0"/>
    <x v="1"/>
    <x v="2"/>
    <n v="0"/>
    <m/>
    <m/>
  </r>
  <r>
    <n v="27.133333333333333"/>
    <d v="2014-10-10T00:00:00"/>
    <x v="0"/>
    <m/>
    <s v="Kachin"/>
    <s v="Momauk"/>
    <s v="Loi Je Lisu Camp"/>
    <m/>
    <m/>
    <m/>
    <m/>
    <n v="30"/>
    <m/>
    <m/>
    <m/>
    <m/>
    <m/>
    <m/>
    <m/>
    <m/>
    <m/>
    <m/>
    <m/>
    <m/>
    <n v="0"/>
    <n v="0"/>
    <n v="0"/>
    <n v="0"/>
    <n v="0"/>
    <n v="0"/>
    <n v="0"/>
    <n v="0"/>
    <n v="0"/>
    <n v="0"/>
    <n v="0"/>
    <n v="0"/>
    <n v="0"/>
    <n v="0"/>
    <x v="0"/>
    <n v="0"/>
    <n v="0"/>
    <n v="0"/>
    <s v="MMR001CMP070"/>
    <x v="0"/>
    <x v="1"/>
    <x v="2"/>
    <n v="0"/>
    <m/>
    <m/>
  </r>
  <r>
    <n v="27.133333333333333"/>
    <d v="2014-10-10T00:00:00"/>
    <x v="0"/>
    <m/>
    <s v="Kachin"/>
    <s v="Momauk"/>
    <s v="Nyaung Na Pin "/>
    <m/>
    <m/>
    <m/>
    <m/>
    <n v="60"/>
    <m/>
    <m/>
    <m/>
    <m/>
    <m/>
    <m/>
    <m/>
    <m/>
    <m/>
    <m/>
    <m/>
    <m/>
    <n v="0"/>
    <n v="0"/>
    <n v="0"/>
    <n v="0"/>
    <n v="0"/>
    <n v="0"/>
    <n v="0"/>
    <n v="0"/>
    <n v="0"/>
    <n v="0"/>
    <n v="0"/>
    <n v="0"/>
    <n v="0"/>
    <n v="0"/>
    <x v="0"/>
    <n v="0"/>
    <n v="0"/>
    <n v="0"/>
    <s v="MMR001CMP072"/>
    <x v="0"/>
    <x v="1"/>
    <x v="2"/>
    <n v="0"/>
    <m/>
    <m/>
  </r>
  <r>
    <n v="27.433333333333334"/>
    <d v="2014-10-01T00:00:00"/>
    <x v="0"/>
    <s v="KMSS"/>
    <s v="Kachin"/>
    <s v="Hpakant"/>
    <s v="5 Ward RC Church(lon Khin)"/>
    <m/>
    <m/>
    <m/>
    <n v="156"/>
    <m/>
    <m/>
    <m/>
    <m/>
    <m/>
    <m/>
    <m/>
    <m/>
    <m/>
    <m/>
    <m/>
    <m/>
    <m/>
    <n v="0"/>
    <n v="0"/>
    <n v="0"/>
    <n v="0"/>
    <n v="0"/>
    <n v="0"/>
    <n v="0"/>
    <n v="0"/>
    <n v="0"/>
    <n v="0"/>
    <n v="0"/>
    <n v="0"/>
    <n v="0"/>
    <n v="0"/>
    <x v="0"/>
    <n v="0"/>
    <n v="0"/>
    <n v="0"/>
    <s v="MMR001CMP168"/>
    <x v="0"/>
    <x v="1"/>
    <x v="1"/>
    <n v="0"/>
    <m/>
    <m/>
  </r>
  <r>
    <n v="27.433333333333334"/>
    <d v="2014-10-01T00:00:00"/>
    <x v="0"/>
    <s v="Shalom"/>
    <s v="Kachin"/>
    <s v="Hpakant"/>
    <s v="AG Church, Hmaw Si Sa"/>
    <m/>
    <m/>
    <m/>
    <n v="130"/>
    <m/>
    <m/>
    <m/>
    <m/>
    <m/>
    <m/>
    <m/>
    <m/>
    <m/>
    <m/>
    <m/>
    <m/>
    <m/>
    <n v="0"/>
    <n v="0"/>
    <n v="0"/>
    <n v="0"/>
    <n v="0"/>
    <n v="0"/>
    <n v="0"/>
    <n v="0"/>
    <n v="0"/>
    <n v="0"/>
    <n v="0"/>
    <n v="0"/>
    <n v="0"/>
    <n v="0"/>
    <x v="0"/>
    <n v="0"/>
    <n v="0"/>
    <n v="0"/>
    <s v="MMR001CMP176"/>
    <x v="0"/>
    <x v="1"/>
    <x v="1"/>
    <n v="0"/>
    <m/>
    <m/>
  </r>
  <r>
    <n v="27.433333333333334"/>
    <d v="2014-10-01T00:00:00"/>
    <x v="0"/>
    <s v="Shalom"/>
    <s v="Kachin"/>
    <s v="Hpakant"/>
    <s v="AG Church, Maw Wan"/>
    <m/>
    <m/>
    <m/>
    <n v="30"/>
    <m/>
    <m/>
    <m/>
    <m/>
    <m/>
    <m/>
    <m/>
    <m/>
    <m/>
    <m/>
    <m/>
    <m/>
    <m/>
    <n v="0"/>
    <n v="0"/>
    <n v="0"/>
    <n v="0"/>
    <n v="0"/>
    <n v="0"/>
    <n v="0"/>
    <n v="0"/>
    <n v="0"/>
    <n v="0"/>
    <n v="0"/>
    <n v="0"/>
    <n v="0"/>
    <n v="0"/>
    <x v="0"/>
    <n v="0"/>
    <n v="0"/>
    <n v="0"/>
    <s v="MMR001CMP190"/>
    <x v="0"/>
    <x v="1"/>
    <x v="1"/>
    <n v="0"/>
    <m/>
    <m/>
  </r>
  <r>
    <n v="27.433333333333334"/>
    <d v="2014-10-01T00:00:00"/>
    <x v="0"/>
    <s v="Shalom"/>
    <s v="Kachin"/>
    <s v="Hpakant"/>
    <s v="Chin Church, Seik Mu"/>
    <m/>
    <m/>
    <m/>
    <n v="8"/>
    <m/>
    <m/>
    <m/>
    <m/>
    <m/>
    <m/>
    <m/>
    <m/>
    <m/>
    <m/>
    <m/>
    <m/>
    <m/>
    <n v="0"/>
    <n v="0"/>
    <n v="0"/>
    <n v="0"/>
    <n v="0"/>
    <n v="0"/>
    <n v="0"/>
    <n v="0"/>
    <n v="0"/>
    <n v="0"/>
    <n v="0"/>
    <n v="0"/>
    <n v="0"/>
    <n v="0"/>
    <x v="0"/>
    <n v="0"/>
    <n v="0"/>
    <n v="0"/>
    <s v="MMR001CMP109"/>
    <x v="0"/>
    <x v="1"/>
    <x v="1"/>
    <n v="0"/>
    <m/>
    <m/>
  </r>
  <r>
    <n v="27.433333333333334"/>
    <d v="2014-10-01T00:00:00"/>
    <x v="0"/>
    <s v="Shalom"/>
    <s v="Kachin"/>
    <s v="Chipwi"/>
    <s v="Chipwi KBC camp"/>
    <m/>
    <m/>
    <m/>
    <n v="214"/>
    <m/>
    <m/>
    <m/>
    <m/>
    <m/>
    <m/>
    <m/>
    <m/>
    <m/>
    <n v="214"/>
    <m/>
    <m/>
    <m/>
    <n v="0"/>
    <n v="0"/>
    <n v="0"/>
    <n v="0"/>
    <n v="0"/>
    <n v="0"/>
    <n v="0"/>
    <n v="0"/>
    <n v="0"/>
    <n v="0"/>
    <n v="0"/>
    <n v="0"/>
    <n v="0"/>
    <n v="0"/>
    <x v="2"/>
    <n v="0"/>
    <n v="0"/>
    <n v="0"/>
    <s v="MMR001CMP042"/>
    <x v="0"/>
    <x v="1"/>
    <x v="5"/>
    <n v="0"/>
    <m/>
    <m/>
  </r>
  <r>
    <n v="27.433333333333334"/>
    <d v="2014-10-01T00:00:00"/>
    <x v="0"/>
    <s v="Shalom"/>
    <s v="Kachin"/>
    <s v="Hpakant"/>
    <s v="Dhama Rakhita, Nyein Chan Tar Yar Ward(Lon Khin)"/>
    <m/>
    <m/>
    <m/>
    <n v="130"/>
    <m/>
    <m/>
    <m/>
    <m/>
    <m/>
    <m/>
    <m/>
    <m/>
    <m/>
    <m/>
    <m/>
    <m/>
    <m/>
    <n v="0"/>
    <n v="0"/>
    <n v="0"/>
    <n v="0"/>
    <n v="0"/>
    <n v="0"/>
    <n v="0"/>
    <n v="0"/>
    <n v="0"/>
    <n v="0"/>
    <n v="0"/>
    <n v="0"/>
    <n v="0"/>
    <n v="0"/>
    <x v="0"/>
    <n v="0"/>
    <n v="0"/>
    <n v="0"/>
    <s v="MMR001CMP174"/>
    <x v="0"/>
    <x v="1"/>
    <x v="1"/>
    <n v="0"/>
    <m/>
    <m/>
  </r>
  <r>
    <n v="27.433333333333334"/>
    <d v="2014-10-01T00:00:00"/>
    <x v="0"/>
    <s v="KMSS"/>
    <s v="Kachin"/>
    <s v="Momauk"/>
    <s v="Dum Bung "/>
    <m/>
    <m/>
    <m/>
    <n v="238"/>
    <m/>
    <m/>
    <m/>
    <m/>
    <m/>
    <m/>
    <m/>
    <m/>
    <m/>
    <n v="238"/>
    <m/>
    <m/>
    <m/>
    <n v="0"/>
    <n v="0"/>
    <n v="0"/>
    <n v="0"/>
    <n v="0"/>
    <n v="0"/>
    <n v="0"/>
    <n v="0"/>
    <n v="0"/>
    <n v="0"/>
    <n v="0"/>
    <n v="0"/>
    <n v="0"/>
    <n v="0"/>
    <x v="2"/>
    <n v="0"/>
    <n v="0"/>
    <n v="0"/>
    <s v="MMR001CMP123"/>
    <x v="0"/>
    <x v="1"/>
    <x v="6"/>
    <n v="0"/>
    <m/>
    <m/>
  </r>
  <r>
    <n v="27.433333333333334"/>
    <d v="2014-10-01T00:00:00"/>
    <x v="0"/>
    <s v="Shalom"/>
    <s v="Kachin"/>
    <s v="Waingmaw"/>
    <s v="Hkat Cho "/>
    <m/>
    <m/>
    <m/>
    <n v="268"/>
    <m/>
    <m/>
    <m/>
    <m/>
    <m/>
    <m/>
    <m/>
    <m/>
    <m/>
    <m/>
    <m/>
    <m/>
    <m/>
    <n v="0"/>
    <n v="0"/>
    <n v="0"/>
    <n v="0"/>
    <n v="0"/>
    <n v="0"/>
    <n v="0"/>
    <n v="0"/>
    <n v="0"/>
    <n v="0"/>
    <n v="0"/>
    <n v="0"/>
    <n v="0"/>
    <n v="0"/>
    <x v="0"/>
    <n v="0"/>
    <n v="0"/>
    <n v="0"/>
    <s v="MMR001CMP028"/>
    <x v="0"/>
    <x v="1"/>
    <x v="1"/>
    <n v="0"/>
    <m/>
    <m/>
  </r>
  <r>
    <n v="27.433333333333334"/>
    <d v="2014-10-01T00:00:00"/>
    <x v="0"/>
    <s v="Shalom"/>
    <s v="Kachin"/>
    <s v="Hpakant"/>
    <s v="Hmaw Wan, Anglican"/>
    <m/>
    <m/>
    <m/>
    <n v="20"/>
    <m/>
    <m/>
    <m/>
    <m/>
    <m/>
    <m/>
    <m/>
    <m/>
    <m/>
    <m/>
    <m/>
    <m/>
    <m/>
    <n v="0"/>
    <n v="0"/>
    <n v="0"/>
    <n v="0"/>
    <n v="0"/>
    <n v="0"/>
    <n v="0"/>
    <n v="0"/>
    <n v="0"/>
    <n v="0"/>
    <n v="0"/>
    <n v="0"/>
    <n v="0"/>
    <n v="0"/>
    <x v="0"/>
    <n v="0"/>
    <n v="0"/>
    <n v="0"/>
    <s v="MMR001CMP191"/>
    <x v="0"/>
    <x v="1"/>
    <x v="1"/>
    <n v="0"/>
    <m/>
    <m/>
  </r>
  <r>
    <n v="27.433333333333334"/>
    <d v="2014-10-01T00:00:00"/>
    <x v="0"/>
    <s v="KMSS"/>
    <s v="Kachin"/>
    <s v="Myitkyina"/>
    <s v="Jan Mai Kawng Catholic Church"/>
    <m/>
    <m/>
    <m/>
    <n v="218"/>
    <m/>
    <m/>
    <m/>
    <m/>
    <m/>
    <m/>
    <m/>
    <m/>
    <m/>
    <m/>
    <m/>
    <m/>
    <m/>
    <n v="0"/>
    <n v="0"/>
    <n v="0"/>
    <n v="0"/>
    <n v="0"/>
    <n v="0"/>
    <n v="0"/>
    <n v="0"/>
    <n v="0"/>
    <n v="0"/>
    <n v="0"/>
    <n v="0"/>
    <n v="0"/>
    <n v="0"/>
    <x v="0"/>
    <n v="0"/>
    <n v="0"/>
    <n v="0"/>
    <s v="MMR001CMP019"/>
    <x v="0"/>
    <x v="1"/>
    <x v="1"/>
    <n v="0"/>
    <m/>
    <m/>
  </r>
  <r>
    <n v="27.433333333333334"/>
    <d v="2014-10-01T00:00:00"/>
    <x v="0"/>
    <s v="Shalom"/>
    <s v="Kachin"/>
    <s v="Hpakant"/>
    <s v="Baptist Church, Naung Hmee VT"/>
    <m/>
    <m/>
    <m/>
    <n v="30"/>
    <m/>
    <m/>
    <m/>
    <m/>
    <m/>
    <m/>
    <m/>
    <m/>
    <m/>
    <m/>
    <m/>
    <m/>
    <m/>
    <n v="0"/>
    <n v="0"/>
    <n v="0"/>
    <n v="0"/>
    <n v="0"/>
    <n v="0"/>
    <n v="0"/>
    <n v="0"/>
    <n v="0"/>
    <n v="0"/>
    <n v="0"/>
    <n v="0"/>
    <n v="0"/>
    <n v="0"/>
    <x v="0"/>
    <n v="0"/>
    <n v="0"/>
    <n v="0"/>
    <s v="MMR001CMP188"/>
    <x v="0"/>
    <x v="0"/>
    <x v="1"/>
    <s v=""/>
    <m/>
    <m/>
  </r>
  <r>
    <n v="27.433333333333334"/>
    <d v="2014-10-01T00:00:00"/>
    <x v="0"/>
    <s v="Shalom"/>
    <s v="Kachin"/>
    <s v="Myitkyina"/>
    <s v="Myay Myint Baptist Church"/>
    <m/>
    <m/>
    <m/>
    <n v="24"/>
    <m/>
    <m/>
    <m/>
    <m/>
    <m/>
    <m/>
    <m/>
    <m/>
    <m/>
    <m/>
    <m/>
    <m/>
    <m/>
    <n v="0"/>
    <n v="0"/>
    <n v="0"/>
    <n v="0"/>
    <n v="0"/>
    <n v="0"/>
    <n v="0"/>
    <n v="0"/>
    <n v="0"/>
    <n v="0"/>
    <n v="0"/>
    <n v="0"/>
    <n v="0"/>
    <n v="0"/>
    <x v="0"/>
    <n v="0"/>
    <n v="0"/>
    <n v="0"/>
    <s v="MMR001CMP017"/>
    <x v="0"/>
    <x v="0"/>
    <x v="1"/>
    <n v="0"/>
    <m/>
    <m/>
  </r>
  <r>
    <n v="27.433333333333334"/>
    <d v="2014-10-01T00:00:00"/>
    <x v="0"/>
    <s v="Shalom"/>
    <s v="Kachin"/>
    <s v="Chipwi"/>
    <s v="Lhaovao Baptist Church (LBC)"/>
    <m/>
    <m/>
    <m/>
    <n v="278"/>
    <m/>
    <m/>
    <m/>
    <m/>
    <m/>
    <m/>
    <m/>
    <m/>
    <m/>
    <n v="278"/>
    <m/>
    <m/>
    <m/>
    <n v="0"/>
    <n v="0"/>
    <n v="0"/>
    <n v="0"/>
    <n v="0"/>
    <n v="0"/>
    <n v="0"/>
    <n v="0"/>
    <n v="0"/>
    <n v="0"/>
    <n v="0"/>
    <n v="0"/>
    <n v="0"/>
    <n v="0"/>
    <x v="2"/>
    <n v="0"/>
    <n v="0"/>
    <n v="0"/>
    <s v="MMR001CMP195"/>
    <x v="0"/>
    <x v="1"/>
    <x v="5"/>
    <n v="0"/>
    <m/>
    <m/>
  </r>
  <r>
    <n v="27.433333333333334"/>
    <d v="2014-10-01T00:00:00"/>
    <x v="0"/>
    <s v="Shalom"/>
    <s v="Kachin"/>
    <s v="Hpakant"/>
    <s v="Lisu Baptist Church, Maw Shan Vil,. Seik Mu"/>
    <m/>
    <m/>
    <m/>
    <n v="40"/>
    <m/>
    <m/>
    <m/>
    <m/>
    <m/>
    <m/>
    <m/>
    <m/>
    <m/>
    <m/>
    <m/>
    <m/>
    <m/>
    <n v="0"/>
    <n v="0"/>
    <n v="0"/>
    <n v="0"/>
    <n v="0"/>
    <n v="0"/>
    <n v="0"/>
    <n v="0"/>
    <n v="0"/>
    <n v="0"/>
    <n v="0"/>
    <n v="0"/>
    <n v="0"/>
    <n v="0"/>
    <x v="0"/>
    <n v="0"/>
    <n v="0"/>
    <n v="0"/>
    <s v="MMR001CMP181"/>
    <x v="0"/>
    <x v="1"/>
    <x v="1"/>
    <n v="0"/>
    <m/>
    <m/>
  </r>
  <r>
    <n v="27.433333333333334"/>
    <d v="2014-10-01T00:00:00"/>
    <x v="0"/>
    <s v="Shalom"/>
    <s v="Kachin"/>
    <s v="Hpakant"/>
    <s v="Lisu Baptist Church, Maw Wan Ward"/>
    <m/>
    <m/>
    <m/>
    <n v="16"/>
    <m/>
    <m/>
    <m/>
    <m/>
    <m/>
    <m/>
    <m/>
    <m/>
    <m/>
    <m/>
    <m/>
    <m/>
    <m/>
    <n v="0"/>
    <n v="0"/>
    <n v="0"/>
    <n v="0"/>
    <n v="0"/>
    <n v="0"/>
    <n v="0"/>
    <n v="0"/>
    <n v="0"/>
    <n v="0"/>
    <n v="0"/>
    <n v="0"/>
    <n v="0"/>
    <n v="0"/>
    <x v="0"/>
    <n v="0"/>
    <n v="0"/>
    <n v="0"/>
    <s v="MMR001CMP167"/>
    <x v="0"/>
    <x v="1"/>
    <x v="1"/>
    <n v="0"/>
    <m/>
    <m/>
  </r>
  <r>
    <n v="27.433333333333334"/>
    <d v="2014-10-01T00:00:00"/>
    <x v="0"/>
    <s v="KMSS"/>
    <s v="Kachin"/>
    <s v="Waingmaw"/>
    <s v="Maga Yang "/>
    <m/>
    <m/>
    <m/>
    <n v="1248"/>
    <m/>
    <m/>
    <m/>
    <m/>
    <m/>
    <m/>
    <m/>
    <m/>
    <m/>
    <n v="1248"/>
    <m/>
    <m/>
    <m/>
    <n v="0"/>
    <n v="0"/>
    <n v="0"/>
    <n v="0"/>
    <n v="0"/>
    <n v="0"/>
    <n v="0"/>
    <n v="0"/>
    <n v="0"/>
    <n v="0"/>
    <n v="0"/>
    <n v="0"/>
    <n v="0"/>
    <n v="0"/>
    <x v="2"/>
    <n v="0"/>
    <n v="0"/>
    <n v="0"/>
    <s v="MMR001CMP119"/>
    <x v="0"/>
    <x v="1"/>
    <x v="6"/>
    <n v="0"/>
    <m/>
    <m/>
  </r>
  <r>
    <n v="27.433333333333334"/>
    <d v="2014-10-01T00:00:00"/>
    <x v="0"/>
    <s v="Shalom"/>
    <s v="Kachin"/>
    <s v="Waingmaw"/>
    <s v="Maina AG Church"/>
    <m/>
    <m/>
    <m/>
    <n v="286"/>
    <m/>
    <m/>
    <m/>
    <m/>
    <m/>
    <m/>
    <m/>
    <m/>
    <m/>
    <m/>
    <m/>
    <m/>
    <m/>
    <n v="0"/>
    <n v="0"/>
    <n v="0"/>
    <n v="0"/>
    <n v="0"/>
    <n v="0"/>
    <n v="0"/>
    <n v="0"/>
    <n v="0"/>
    <n v="0"/>
    <n v="0"/>
    <n v="0"/>
    <n v="0"/>
    <n v="0"/>
    <x v="0"/>
    <n v="0"/>
    <n v="0"/>
    <n v="0"/>
    <s v="MMR001CMP031"/>
    <x v="0"/>
    <x v="1"/>
    <x v="1"/>
    <n v="0"/>
    <m/>
    <m/>
  </r>
  <r>
    <n v="27.433333333333334"/>
    <d v="2014-10-01T00:00:00"/>
    <x v="0"/>
    <s v="KMSS"/>
    <s v="Kachin"/>
    <s v="Waingmaw"/>
    <s v="Maina Catholic Church (St. Joseph)"/>
    <m/>
    <m/>
    <m/>
    <n v="462"/>
    <m/>
    <m/>
    <m/>
    <m/>
    <m/>
    <m/>
    <m/>
    <m/>
    <m/>
    <m/>
    <m/>
    <m/>
    <m/>
    <n v="0"/>
    <n v="0"/>
    <n v="0"/>
    <n v="0"/>
    <n v="0"/>
    <n v="0"/>
    <n v="0"/>
    <n v="0"/>
    <n v="0"/>
    <n v="0"/>
    <n v="0"/>
    <n v="0"/>
    <n v="0"/>
    <n v="0"/>
    <x v="0"/>
    <n v="0"/>
    <n v="0"/>
    <n v="0"/>
    <s v="MMR001CMP029"/>
    <x v="0"/>
    <x v="1"/>
    <x v="1"/>
    <n v="0"/>
    <m/>
    <m/>
  </r>
  <r>
    <n v="27.433333333333334"/>
    <d v="2014-10-01T00:00:00"/>
    <x v="0"/>
    <s v="Shalom"/>
    <s v="Kachin"/>
    <s v="Myitkyina"/>
    <s v="Maw Hpawng Hka Nan Baptist Church"/>
    <m/>
    <m/>
    <m/>
    <n v="52"/>
    <m/>
    <m/>
    <m/>
    <m/>
    <m/>
    <m/>
    <m/>
    <m/>
    <m/>
    <m/>
    <m/>
    <m/>
    <m/>
    <n v="0"/>
    <n v="0"/>
    <n v="0"/>
    <n v="0"/>
    <n v="0"/>
    <n v="0"/>
    <n v="0"/>
    <n v="0"/>
    <n v="0"/>
    <n v="0"/>
    <n v="0"/>
    <n v="0"/>
    <n v="0"/>
    <n v="0"/>
    <x v="0"/>
    <n v="0"/>
    <n v="0"/>
    <n v="0"/>
    <s v="MMR001CMP020"/>
    <x v="0"/>
    <x v="1"/>
    <x v="1"/>
    <n v="0"/>
    <m/>
    <m/>
  </r>
  <r>
    <n v="27.433333333333334"/>
    <d v="2014-10-01T00:00:00"/>
    <x v="0"/>
    <s v="Shalom"/>
    <s v="Kachin"/>
    <s v="Myitkyina"/>
    <s v="Maw Hpawng Lhaovo Baptist Church"/>
    <m/>
    <m/>
    <m/>
    <n v="42"/>
    <m/>
    <m/>
    <m/>
    <m/>
    <m/>
    <m/>
    <m/>
    <m/>
    <m/>
    <m/>
    <m/>
    <m/>
    <m/>
    <n v="0"/>
    <n v="0"/>
    <n v="0"/>
    <n v="0"/>
    <n v="0"/>
    <n v="0"/>
    <n v="0"/>
    <n v="0"/>
    <n v="0"/>
    <n v="0"/>
    <n v="0"/>
    <n v="0"/>
    <n v="0"/>
    <n v="0"/>
    <x v="0"/>
    <n v="0"/>
    <n v="0"/>
    <n v="0"/>
    <s v="MMR001CMP021"/>
    <x v="0"/>
    <x v="1"/>
    <x v="1"/>
    <n v="0"/>
    <m/>
    <m/>
  </r>
  <r>
    <n v="27.433333333333334"/>
    <d v="2014-10-01T00:00:00"/>
    <x v="0"/>
    <s v="Shalom"/>
    <s v="Kachin"/>
    <s v="Hpakant"/>
    <s v="Maw Wan, Mu-yin Baptist Church"/>
    <m/>
    <m/>
    <m/>
    <n v="10"/>
    <m/>
    <m/>
    <m/>
    <m/>
    <m/>
    <m/>
    <m/>
    <m/>
    <m/>
    <m/>
    <m/>
    <m/>
    <m/>
    <n v="0"/>
    <n v="0"/>
    <n v="0"/>
    <n v="0"/>
    <n v="0"/>
    <n v="0"/>
    <n v="0"/>
    <n v="0"/>
    <n v="0"/>
    <n v="0"/>
    <n v="0"/>
    <n v="0"/>
    <n v="0"/>
    <n v="0"/>
    <x v="0"/>
    <n v="0"/>
    <n v="0"/>
    <n v="0"/>
    <s v="MMR001CMP091"/>
    <x v="0"/>
    <x v="1"/>
    <x v="1"/>
    <n v="0"/>
    <m/>
    <m/>
  </r>
  <r>
    <n v="27.433333333333334"/>
    <d v="2014-10-01T00:00:00"/>
    <x v="0"/>
    <s v="Shalom"/>
    <s v="Kachin"/>
    <s v="Hpakant"/>
    <s v="Nam Ma Phyit, COC"/>
    <m/>
    <m/>
    <m/>
    <n v="36"/>
    <m/>
    <m/>
    <m/>
    <m/>
    <m/>
    <m/>
    <m/>
    <m/>
    <m/>
    <m/>
    <m/>
    <m/>
    <m/>
    <n v="0"/>
    <n v="0"/>
    <n v="0"/>
    <n v="0"/>
    <n v="0"/>
    <n v="0"/>
    <n v="0"/>
    <n v="0"/>
    <n v="0"/>
    <n v="0"/>
    <n v="0"/>
    <n v="0"/>
    <n v="0"/>
    <n v="0"/>
    <x v="0"/>
    <n v="0"/>
    <n v="0"/>
    <n v="0"/>
    <s v="MMR001CMP192"/>
    <x v="0"/>
    <x v="1"/>
    <x v="1"/>
    <n v="0"/>
    <m/>
    <m/>
  </r>
  <r>
    <n v="27.433333333333334"/>
    <d v="2014-10-01T00:00:00"/>
    <x v="0"/>
    <s v="KMSS"/>
    <s v="Kachin"/>
    <s v="Myitkyina"/>
    <s v="Nan Kway St. John Catholic Church"/>
    <m/>
    <m/>
    <m/>
    <n v="144"/>
    <m/>
    <m/>
    <m/>
    <m/>
    <m/>
    <m/>
    <m/>
    <m/>
    <m/>
    <m/>
    <m/>
    <m/>
    <m/>
    <n v="0"/>
    <n v="0"/>
    <n v="0"/>
    <n v="0"/>
    <n v="0"/>
    <n v="0"/>
    <n v="0"/>
    <n v="0"/>
    <n v="0"/>
    <n v="0"/>
    <n v="0"/>
    <n v="0"/>
    <n v="0"/>
    <n v="0"/>
    <x v="0"/>
    <n v="0"/>
    <n v="0"/>
    <n v="0"/>
    <s v="MMR001CMP024"/>
    <x v="0"/>
    <x v="1"/>
    <x v="1"/>
    <n v="0"/>
    <m/>
    <m/>
  </r>
  <r>
    <n v="27.433333333333334"/>
    <d v="2014-10-01T00:00:00"/>
    <x v="0"/>
    <s v="KMSS"/>
    <s v="Kachin"/>
    <s v="Hpakant"/>
    <s v="Nant Ma Hpit Catholic Church"/>
    <m/>
    <m/>
    <m/>
    <n v="80"/>
    <m/>
    <m/>
    <m/>
    <m/>
    <m/>
    <m/>
    <m/>
    <m/>
    <m/>
    <m/>
    <m/>
    <m/>
    <m/>
    <n v="0"/>
    <n v="0"/>
    <n v="0"/>
    <n v="0"/>
    <n v="0"/>
    <n v="0"/>
    <n v="0"/>
    <n v="0"/>
    <n v="0"/>
    <n v="0"/>
    <n v="0"/>
    <n v="0"/>
    <n v="0"/>
    <n v="0"/>
    <x v="0"/>
    <n v="0"/>
    <n v="0"/>
    <n v="0"/>
    <s v="MMR001CMP103"/>
    <x v="0"/>
    <x v="1"/>
    <x v="1"/>
    <n v="0"/>
    <m/>
    <m/>
  </r>
  <r>
    <n v="27.433333333333334"/>
    <d v="2014-10-01T00:00:00"/>
    <x v="0"/>
    <s v="Shalom"/>
    <s v="Kachin"/>
    <s v="Waingmaw"/>
    <s v="Nawng Hee Village"/>
    <m/>
    <m/>
    <m/>
    <n v="36"/>
    <m/>
    <m/>
    <m/>
    <m/>
    <m/>
    <m/>
    <m/>
    <m/>
    <m/>
    <m/>
    <m/>
    <m/>
    <m/>
    <n v="0"/>
    <n v="0"/>
    <n v="0"/>
    <n v="0"/>
    <n v="0"/>
    <n v="0"/>
    <n v="0"/>
    <n v="0"/>
    <n v="0"/>
    <n v="0"/>
    <n v="0"/>
    <n v="0"/>
    <n v="0"/>
    <n v="0"/>
    <x v="0"/>
    <n v="0"/>
    <n v="0"/>
    <n v="0"/>
    <s v="MMR001CMP033"/>
    <x v="0"/>
    <x v="1"/>
    <x v="1"/>
    <n v="0"/>
    <m/>
    <m/>
  </r>
  <r>
    <n v="27.433333333333334"/>
    <d v="2014-10-01T00:00:00"/>
    <x v="0"/>
    <s v="KMSS"/>
    <s v="Kachin"/>
    <s v="Myitkyina"/>
    <s v="Pa Dauk Myaing(Pa La Na)"/>
    <m/>
    <m/>
    <m/>
    <n v="62"/>
    <m/>
    <m/>
    <m/>
    <m/>
    <m/>
    <m/>
    <m/>
    <m/>
    <m/>
    <m/>
    <m/>
    <m/>
    <m/>
    <n v="0"/>
    <n v="0"/>
    <n v="0"/>
    <n v="0"/>
    <n v="0"/>
    <n v="0"/>
    <n v="0"/>
    <n v="0"/>
    <n v="0"/>
    <n v="0"/>
    <n v="0"/>
    <n v="0"/>
    <n v="0"/>
    <n v="0"/>
    <x v="0"/>
    <n v="0"/>
    <n v="0"/>
    <n v="0"/>
    <s v="MMR001CMP162"/>
    <x v="0"/>
    <x v="1"/>
    <x v="1"/>
    <n v="0"/>
    <m/>
    <m/>
  </r>
  <r>
    <n v="27.433333333333334"/>
    <d v="2014-10-01T00:00:00"/>
    <x v="0"/>
    <s v="KMSS"/>
    <s v="Kachin"/>
    <s v="Chipwi"/>
    <s v="Pan Wa"/>
    <m/>
    <m/>
    <m/>
    <n v="130"/>
    <m/>
    <m/>
    <m/>
    <m/>
    <m/>
    <m/>
    <m/>
    <m/>
    <m/>
    <n v="130"/>
    <m/>
    <m/>
    <m/>
    <n v="0"/>
    <n v="0"/>
    <n v="0"/>
    <n v="0"/>
    <n v="0"/>
    <n v="0"/>
    <n v="0"/>
    <n v="0"/>
    <n v="0"/>
    <n v="0"/>
    <n v="0"/>
    <n v="0"/>
    <n v="0"/>
    <n v="0"/>
    <x v="2"/>
    <n v="0"/>
    <n v="0"/>
    <n v="0"/>
    <s v="MMR001CMP210"/>
    <x v="0"/>
    <x v="1"/>
    <x v="5"/>
    <n v="0"/>
    <m/>
    <m/>
  </r>
  <r>
    <n v="27.433333333333334"/>
    <d v="2014-10-01T00:00:00"/>
    <x v="0"/>
    <s v="Shalom"/>
    <s v="Kachin"/>
    <s v="Waingmaw"/>
    <s v="Qtr. 2 Lhaovo Baptist Church"/>
    <m/>
    <m/>
    <m/>
    <n v="240"/>
    <m/>
    <m/>
    <m/>
    <m/>
    <m/>
    <m/>
    <m/>
    <m/>
    <m/>
    <m/>
    <m/>
    <m/>
    <m/>
    <n v="0"/>
    <n v="0"/>
    <n v="0"/>
    <n v="0"/>
    <n v="0"/>
    <n v="0"/>
    <n v="0"/>
    <n v="0"/>
    <n v="0"/>
    <n v="0"/>
    <n v="0"/>
    <n v="0"/>
    <n v="0"/>
    <n v="0"/>
    <x v="0"/>
    <n v="0"/>
    <n v="0"/>
    <n v="0"/>
    <s v="MMR001CMP032"/>
    <x v="0"/>
    <x v="1"/>
    <x v="1"/>
    <n v="0"/>
    <m/>
    <m/>
  </r>
  <r>
    <n v="27.433333333333334"/>
    <d v="2014-10-01T00:00:00"/>
    <x v="0"/>
    <s v="Shalom"/>
    <s v="Kachin"/>
    <s v="Waingmaw"/>
    <s v="Qtr. 3 Mu-yin  Baptist Church"/>
    <m/>
    <m/>
    <m/>
    <n v="46"/>
    <m/>
    <m/>
    <m/>
    <m/>
    <m/>
    <m/>
    <m/>
    <m/>
    <m/>
    <m/>
    <m/>
    <m/>
    <m/>
    <n v="0"/>
    <n v="0"/>
    <n v="0"/>
    <n v="0"/>
    <n v="0"/>
    <n v="0"/>
    <n v="0"/>
    <n v="0"/>
    <n v="0"/>
    <n v="0"/>
    <n v="0"/>
    <n v="0"/>
    <n v="0"/>
    <n v="0"/>
    <x v="0"/>
    <n v="0"/>
    <n v="0"/>
    <n v="0"/>
    <s v="MMR001CMP030"/>
    <x v="0"/>
    <x v="1"/>
    <x v="1"/>
    <n v="0"/>
    <m/>
    <m/>
  </r>
  <r>
    <n v="27.433333333333334"/>
    <d v="2014-10-01T00:00:00"/>
    <x v="0"/>
    <s v="Shalom"/>
    <s v="Kachin"/>
    <s v="Waingmaw"/>
    <s v="Qtr. 4 Monestry (Thargaya Thayett Taw)"/>
    <m/>
    <m/>
    <m/>
    <n v="204"/>
    <m/>
    <m/>
    <m/>
    <m/>
    <m/>
    <m/>
    <m/>
    <m/>
    <m/>
    <m/>
    <m/>
    <m/>
    <m/>
    <n v="0"/>
    <n v="0"/>
    <n v="0"/>
    <n v="0"/>
    <n v="0"/>
    <n v="0"/>
    <n v="0"/>
    <n v="0"/>
    <n v="0"/>
    <n v="0"/>
    <n v="0"/>
    <n v="0"/>
    <n v="0"/>
    <n v="0"/>
    <x v="0"/>
    <n v="0"/>
    <n v="0"/>
    <n v="0"/>
    <s v="MMR001CMP026"/>
    <x v="0"/>
    <x v="1"/>
    <x v="1"/>
    <n v="0"/>
    <m/>
    <m/>
  </r>
  <r>
    <n v="27.433333333333334"/>
    <d v="2014-10-01T00:00:00"/>
    <x v="0"/>
    <s v="Shalom"/>
    <s v="Kachin"/>
    <s v="Hpakant"/>
    <s v="Rawan Baptist Church, Maw Shan Vil., Seik Mu"/>
    <m/>
    <m/>
    <m/>
    <n v="24"/>
    <m/>
    <m/>
    <m/>
    <m/>
    <m/>
    <m/>
    <m/>
    <m/>
    <m/>
    <m/>
    <m/>
    <m/>
    <m/>
    <n v="0"/>
    <n v="0"/>
    <n v="0"/>
    <n v="0"/>
    <n v="0"/>
    <n v="0"/>
    <n v="0"/>
    <n v="0"/>
    <n v="0"/>
    <n v="0"/>
    <n v="0"/>
    <n v="0"/>
    <n v="0"/>
    <n v="0"/>
    <x v="0"/>
    <n v="0"/>
    <n v="0"/>
    <n v="0"/>
    <s v="MMR001CMP182"/>
    <x v="0"/>
    <x v="1"/>
    <x v="1"/>
    <n v="0"/>
    <m/>
    <m/>
  </r>
  <r>
    <n v="27.433333333333334"/>
    <d v="2014-10-01T00:00:00"/>
    <x v="0"/>
    <s v="KMSS"/>
    <s v="Kachin"/>
    <s v="Chipwi"/>
    <s v="Saw Zam"/>
    <m/>
    <m/>
    <m/>
    <n v="56"/>
    <m/>
    <m/>
    <m/>
    <m/>
    <m/>
    <m/>
    <m/>
    <m/>
    <m/>
    <n v="56"/>
    <m/>
    <m/>
    <m/>
    <n v="0"/>
    <n v="0"/>
    <n v="0"/>
    <n v="0"/>
    <n v="0"/>
    <n v="0"/>
    <n v="0"/>
    <n v="0"/>
    <n v="0"/>
    <n v="0"/>
    <n v="0"/>
    <n v="0"/>
    <n v="0"/>
    <n v="0"/>
    <x v="2"/>
    <n v="0"/>
    <n v="0"/>
    <n v="0"/>
    <s v="MMR001CMP225"/>
    <x v="0"/>
    <x v="1"/>
    <x v="5"/>
    <n v="0"/>
    <m/>
    <m/>
  </r>
  <r>
    <n v="27.433333333333334"/>
    <d v="2014-10-01T00:00:00"/>
    <x v="0"/>
    <s v="Shalom"/>
    <s v="Kachin"/>
    <s v="Myitkyina"/>
    <s v="Shatapru Thida Aye Baptist Church"/>
    <m/>
    <m/>
    <m/>
    <n v="30"/>
    <m/>
    <m/>
    <m/>
    <m/>
    <m/>
    <m/>
    <m/>
    <m/>
    <m/>
    <m/>
    <m/>
    <m/>
    <m/>
    <n v="0"/>
    <n v="0"/>
    <n v="0"/>
    <n v="0"/>
    <n v="0"/>
    <n v="0"/>
    <n v="0"/>
    <n v="0"/>
    <n v="0"/>
    <n v="0"/>
    <n v="0"/>
    <n v="0"/>
    <n v="0"/>
    <n v="0"/>
    <x v="0"/>
    <n v="0"/>
    <n v="0"/>
    <n v="0"/>
    <s v="MMR001CMP007"/>
    <x v="0"/>
    <x v="1"/>
    <x v="1"/>
    <n v="0"/>
    <m/>
    <m/>
  </r>
  <r>
    <n v="27.433333333333334"/>
    <d v="2014-10-01T00:00:00"/>
    <x v="0"/>
    <s v="KMSS"/>
    <s v="Kachin"/>
    <s v="Mohnyin"/>
    <s v="St. Patrick Catholic Church "/>
    <m/>
    <m/>
    <m/>
    <n v="24"/>
    <m/>
    <m/>
    <m/>
    <m/>
    <m/>
    <m/>
    <m/>
    <m/>
    <m/>
    <m/>
    <m/>
    <m/>
    <m/>
    <n v="0"/>
    <n v="0"/>
    <n v="0"/>
    <n v="0"/>
    <n v="0"/>
    <n v="0"/>
    <n v="0"/>
    <n v="0"/>
    <n v="0"/>
    <n v="0"/>
    <n v="0"/>
    <n v="0"/>
    <n v="0"/>
    <n v="0"/>
    <x v="0"/>
    <n v="0"/>
    <n v="0"/>
    <n v="0"/>
    <s v="MMR001CMP080"/>
    <x v="0"/>
    <x v="1"/>
    <x v="1"/>
    <n v="0"/>
    <m/>
    <m/>
  </r>
  <r>
    <n v="27.433333333333334"/>
    <d v="2014-10-01T00:00:00"/>
    <x v="0"/>
    <s v="Shalom"/>
    <s v="Kachin"/>
    <s v="Myitkyina"/>
    <s v="Tat Kone Emanuel Church"/>
    <m/>
    <m/>
    <m/>
    <n v="26"/>
    <m/>
    <m/>
    <m/>
    <m/>
    <m/>
    <m/>
    <m/>
    <m/>
    <m/>
    <m/>
    <m/>
    <m/>
    <m/>
    <n v="0"/>
    <n v="0"/>
    <n v="0"/>
    <n v="0"/>
    <n v="0"/>
    <n v="0"/>
    <n v="0"/>
    <n v="0"/>
    <n v="0"/>
    <n v="0"/>
    <n v="0"/>
    <n v="0"/>
    <n v="0"/>
    <n v="0"/>
    <x v="0"/>
    <n v="0"/>
    <n v="0"/>
    <n v="0"/>
    <s v="MMR001CMP004"/>
    <x v="0"/>
    <x v="1"/>
    <x v="1"/>
    <n v="0"/>
    <m/>
    <m/>
  </r>
  <r>
    <n v="27.433333333333334"/>
    <d v="2014-10-01T00:00:00"/>
    <x v="0"/>
    <s v="Shalom"/>
    <s v="Kachin"/>
    <s v="Waingmaw"/>
    <s v="Thargaya Lisu Baptist Church"/>
    <m/>
    <m/>
    <m/>
    <n v="144"/>
    <m/>
    <m/>
    <m/>
    <m/>
    <m/>
    <m/>
    <m/>
    <m/>
    <m/>
    <m/>
    <m/>
    <m/>
    <m/>
    <n v="0"/>
    <n v="0"/>
    <n v="0"/>
    <n v="0"/>
    <n v="0"/>
    <n v="0"/>
    <n v="0"/>
    <n v="0"/>
    <n v="0"/>
    <n v="0"/>
    <n v="0"/>
    <n v="0"/>
    <n v="0"/>
    <n v="0"/>
    <x v="0"/>
    <n v="0"/>
    <n v="0"/>
    <n v="0"/>
    <s v="MMR001CMP037"/>
    <x v="0"/>
    <x v="1"/>
    <x v="1"/>
    <n v="0"/>
    <m/>
    <m/>
  </r>
  <r>
    <n v="27.433333333333334"/>
    <d v="2014-10-01T00:00:00"/>
    <x v="0"/>
    <s v="Shalom"/>
    <s v="Kachin"/>
    <s v="Waingmaw"/>
    <s v="Waingmaw AG Church"/>
    <m/>
    <m/>
    <m/>
    <n v="150"/>
    <m/>
    <m/>
    <m/>
    <m/>
    <m/>
    <m/>
    <m/>
    <m/>
    <m/>
    <m/>
    <m/>
    <m/>
    <m/>
    <n v="0"/>
    <n v="0"/>
    <n v="0"/>
    <n v="0"/>
    <n v="0"/>
    <n v="0"/>
    <n v="0"/>
    <n v="0"/>
    <n v="0"/>
    <n v="0"/>
    <n v="0"/>
    <n v="0"/>
    <n v="0"/>
    <n v="0"/>
    <x v="0"/>
    <n v="0"/>
    <n v="0"/>
    <n v="0"/>
    <s v="MMR001CMP038"/>
    <x v="0"/>
    <x v="1"/>
    <x v="1"/>
    <n v="0"/>
    <m/>
    <m/>
  </r>
  <r>
    <n v="27.433333333333334"/>
    <d v="2014-10-01T00:00:00"/>
    <x v="0"/>
    <s v="Shalom"/>
    <s v="Kachin"/>
    <s v="Myitkyina"/>
    <s v="Wun Tho Buddhist Monastery"/>
    <m/>
    <m/>
    <m/>
    <n v="12"/>
    <m/>
    <m/>
    <m/>
    <m/>
    <m/>
    <m/>
    <m/>
    <m/>
    <m/>
    <m/>
    <m/>
    <m/>
    <m/>
    <n v="0"/>
    <n v="0"/>
    <n v="0"/>
    <n v="0"/>
    <n v="0"/>
    <n v="0"/>
    <n v="0"/>
    <n v="0"/>
    <n v="0"/>
    <n v="0"/>
    <n v="0"/>
    <n v="0"/>
    <n v="0"/>
    <n v="0"/>
    <x v="0"/>
    <n v="0"/>
    <n v="0"/>
    <n v="0"/>
    <s v="MMR001CMP022"/>
    <x v="0"/>
    <x v="1"/>
    <x v="1"/>
    <n v="0"/>
    <m/>
    <m/>
  </r>
  <r>
    <n v="27.766666666666666"/>
    <d v="2014-09-21T00:00:00"/>
    <x v="0"/>
    <m/>
    <s v="Kachin"/>
    <s v="Momauk"/>
    <s v="Nhkawng Pa "/>
    <m/>
    <m/>
    <m/>
    <n v="604"/>
    <m/>
    <m/>
    <m/>
    <m/>
    <m/>
    <m/>
    <m/>
    <m/>
    <m/>
    <n v="784"/>
    <m/>
    <m/>
    <m/>
    <n v="0"/>
    <n v="0"/>
    <n v="0"/>
    <n v="0"/>
    <n v="0"/>
    <n v="0"/>
    <n v="0"/>
    <n v="0"/>
    <n v="0"/>
    <n v="0"/>
    <n v="0"/>
    <n v="0"/>
    <n v="0"/>
    <n v="0"/>
    <x v="2"/>
    <n v="0"/>
    <n v="0"/>
    <n v="0"/>
    <s v="MMR001CMP131"/>
    <x v="0"/>
    <x v="1"/>
    <x v="5"/>
    <n v="0"/>
    <m/>
    <m/>
  </r>
  <r>
    <n v="27.8"/>
    <d v="2014-09-20T00:00:00"/>
    <x v="0"/>
    <m/>
    <s v="Kachin"/>
    <s v="Momauk"/>
    <s v="Pa Kahtawng "/>
    <m/>
    <m/>
    <m/>
    <n v="1238"/>
    <m/>
    <m/>
    <m/>
    <m/>
    <m/>
    <m/>
    <m/>
    <m/>
    <m/>
    <n v="1761"/>
    <m/>
    <m/>
    <m/>
    <n v="0"/>
    <n v="0"/>
    <n v="0"/>
    <n v="0"/>
    <n v="0"/>
    <n v="0"/>
    <n v="0"/>
    <n v="0"/>
    <n v="0"/>
    <n v="0"/>
    <n v="0"/>
    <n v="0"/>
    <n v="0"/>
    <n v="0"/>
    <x v="2"/>
    <n v="0"/>
    <n v="0"/>
    <n v="0"/>
    <s v="MMR001CMP126"/>
    <x v="0"/>
    <x v="1"/>
    <x v="6"/>
    <n v="0"/>
    <m/>
    <m/>
  </r>
  <r>
    <n v="28.433333333333334"/>
    <d v="2014-09-01T00:00:00"/>
    <x v="5"/>
    <m/>
    <s v="Kachin"/>
    <s v="Waingmaw"/>
    <s v="Hkau Shau (BP 12)"/>
    <m/>
    <m/>
    <m/>
    <m/>
    <m/>
    <m/>
    <m/>
    <m/>
    <m/>
    <m/>
    <m/>
    <n v="407"/>
    <m/>
    <m/>
    <m/>
    <m/>
    <m/>
    <n v="0"/>
    <n v="0"/>
    <n v="0"/>
    <n v="0"/>
    <n v="0"/>
    <n v="0"/>
    <n v="0"/>
    <n v="0"/>
    <n v="0"/>
    <n v="0"/>
    <n v="0"/>
    <n v="0"/>
    <n v="0"/>
    <n v="0"/>
    <x v="2"/>
    <n v="0"/>
    <n v="0"/>
    <n v="0"/>
    <s v="MMR001CMP115"/>
    <x v="0"/>
    <x v="1"/>
    <x v="5"/>
    <n v="0"/>
    <m/>
    <m/>
  </r>
  <r>
    <n v="28.433333333333334"/>
    <d v="2014-09-01T00:00:00"/>
    <x v="5"/>
    <m/>
    <s v="Kachin"/>
    <s v="Chipwi"/>
    <s v="Hpare Hkyer - BP6"/>
    <m/>
    <m/>
    <m/>
    <m/>
    <m/>
    <m/>
    <m/>
    <m/>
    <m/>
    <m/>
    <m/>
    <n v="347"/>
    <m/>
    <m/>
    <m/>
    <m/>
    <m/>
    <n v="0"/>
    <n v="0"/>
    <n v="0"/>
    <n v="0"/>
    <n v="0"/>
    <n v="0"/>
    <n v="0"/>
    <n v="0"/>
    <n v="0"/>
    <n v="0"/>
    <n v="0"/>
    <n v="0"/>
    <n v="0"/>
    <n v="0"/>
    <x v="2"/>
    <n v="0"/>
    <n v="0"/>
    <n v="0"/>
    <s v="MMR001CMP043"/>
    <x v="0"/>
    <x v="1"/>
    <x v="5"/>
    <n v="0"/>
    <m/>
    <m/>
  </r>
  <r>
    <n v="28.433333333333334"/>
    <d v="2014-09-01T00:00:00"/>
    <x v="5"/>
    <m/>
    <s v="Kachin"/>
    <s v="Waingmaw"/>
    <s v="Maga Yang "/>
    <m/>
    <m/>
    <m/>
    <m/>
    <m/>
    <m/>
    <m/>
    <m/>
    <m/>
    <m/>
    <m/>
    <n v="917"/>
    <m/>
    <m/>
    <m/>
    <m/>
    <m/>
    <n v="0"/>
    <n v="0"/>
    <n v="0"/>
    <n v="0"/>
    <n v="0"/>
    <n v="0"/>
    <n v="0"/>
    <n v="0"/>
    <n v="0"/>
    <n v="0"/>
    <n v="0"/>
    <n v="0"/>
    <n v="0"/>
    <n v="0"/>
    <x v="2"/>
    <n v="0"/>
    <n v="0"/>
    <n v="0"/>
    <s v="MMR001CMP119"/>
    <x v="0"/>
    <x v="1"/>
    <x v="6"/>
    <n v="0"/>
    <m/>
    <m/>
  </r>
  <r>
    <n v="28.433333333333334"/>
    <d v="2014-09-01T00:00:00"/>
    <x v="5"/>
    <m/>
    <s v="Kachin"/>
    <s v="Waingmaw"/>
    <s v="Pajau - Jan Mai"/>
    <m/>
    <m/>
    <m/>
    <m/>
    <m/>
    <m/>
    <m/>
    <m/>
    <m/>
    <m/>
    <m/>
    <n v="291"/>
    <m/>
    <m/>
    <m/>
    <m/>
    <m/>
    <n v="0"/>
    <n v="0"/>
    <n v="0"/>
    <n v="0"/>
    <n v="0"/>
    <n v="0"/>
    <n v="0"/>
    <n v="0"/>
    <n v="0"/>
    <n v="0"/>
    <n v="0"/>
    <n v="0"/>
    <n v="0"/>
    <n v="0"/>
    <x v="2"/>
    <n v="0"/>
    <n v="0"/>
    <n v="0"/>
    <s v="MMR001CMP120"/>
    <x v="0"/>
    <x v="1"/>
    <x v="5"/>
    <n v="0"/>
    <m/>
    <m/>
  </r>
  <r>
    <n v="28.433333333333334"/>
    <d v="2014-09-01T00:00:00"/>
    <x v="5"/>
    <m/>
    <s v="Kachin"/>
    <s v="Waingmaw"/>
    <s v="Shing Jai"/>
    <m/>
    <m/>
    <m/>
    <m/>
    <m/>
    <m/>
    <m/>
    <m/>
    <m/>
    <m/>
    <m/>
    <n v="288"/>
    <m/>
    <m/>
    <m/>
    <m/>
    <m/>
    <n v="0"/>
    <n v="0"/>
    <n v="0"/>
    <n v="0"/>
    <n v="0"/>
    <n v="0"/>
    <n v="0"/>
    <n v="0"/>
    <n v="0"/>
    <n v="0"/>
    <n v="0"/>
    <n v="0"/>
    <n v="0"/>
    <n v="0"/>
    <x v="2"/>
    <n v="0"/>
    <n v="0"/>
    <n v="0"/>
    <s v="MMR001CMP041"/>
    <x v="0"/>
    <x v="1"/>
    <x v="5"/>
    <n v="0"/>
    <m/>
    <m/>
  </r>
  <r>
    <n v="28.433333333333334"/>
    <d v="2014-09-01T00:00:00"/>
    <x v="5"/>
    <m/>
    <s v="Kachin"/>
    <s v="Waingmaw"/>
    <s v="Zai Awng - Mung Ga Zup"/>
    <m/>
    <m/>
    <m/>
    <m/>
    <m/>
    <m/>
    <m/>
    <m/>
    <m/>
    <m/>
    <m/>
    <n v="905"/>
    <m/>
    <m/>
    <m/>
    <m/>
    <m/>
    <n v="0"/>
    <n v="0"/>
    <n v="0"/>
    <n v="0"/>
    <n v="0"/>
    <n v="0"/>
    <n v="0"/>
    <n v="0"/>
    <n v="0"/>
    <n v="0"/>
    <n v="0"/>
    <n v="0"/>
    <n v="0"/>
    <n v="0"/>
    <x v="2"/>
    <n v="0"/>
    <n v="0"/>
    <n v="0"/>
    <s v="MMR001CMP111"/>
    <x v="0"/>
    <x v="1"/>
    <x v="6"/>
    <n v="0"/>
    <m/>
    <m/>
  </r>
  <r>
    <n v="28.9"/>
    <d v="2014-08-18T00:00:00"/>
    <x v="0"/>
    <m/>
    <s v="Kachin"/>
    <s v="Mansi"/>
    <s v="Bum Tsit Pa Camp II"/>
    <m/>
    <m/>
    <m/>
    <m/>
    <n v="70"/>
    <m/>
    <m/>
    <m/>
    <m/>
    <m/>
    <m/>
    <m/>
    <m/>
    <m/>
    <m/>
    <m/>
    <m/>
    <n v="0"/>
    <n v="0"/>
    <n v="0"/>
    <n v="0"/>
    <n v="0"/>
    <n v="0"/>
    <n v="0"/>
    <n v="0"/>
    <n v="0"/>
    <n v="0"/>
    <n v="0"/>
    <n v="0"/>
    <n v="0"/>
    <n v="0"/>
    <x v="0"/>
    <n v="0"/>
    <n v="0"/>
    <n v="0"/>
    <s v="MMR001CMP226"/>
    <x v="0"/>
    <x v="0"/>
    <x v="6"/>
    <n v="0"/>
    <m/>
    <m/>
  </r>
  <r>
    <n v="29.166666666666668"/>
    <d v="2014-08-10T00:00:00"/>
    <x v="0"/>
    <m/>
    <s v="Kachin"/>
    <s v="Momauk"/>
    <s v="Pa Kahtawng "/>
    <m/>
    <m/>
    <m/>
    <n v="100"/>
    <n v="52"/>
    <n v="156"/>
    <n v="40"/>
    <m/>
    <n v="52"/>
    <n v="210"/>
    <m/>
    <m/>
    <m/>
    <m/>
    <m/>
    <m/>
    <m/>
    <n v="0"/>
    <n v="0"/>
    <n v="0"/>
    <n v="0"/>
    <n v="0"/>
    <n v="0"/>
    <n v="0"/>
    <n v="0"/>
    <n v="0"/>
    <n v="0"/>
    <n v="0"/>
    <n v="0"/>
    <n v="0"/>
    <n v="0"/>
    <x v="0"/>
    <n v="0"/>
    <n v="0"/>
    <n v="0"/>
    <s v="MMR001CMP126"/>
    <x v="0"/>
    <x v="1"/>
    <x v="6"/>
    <n v="9.7560975609756097E-4"/>
    <m/>
    <m/>
  </r>
  <r>
    <n v="29.266666666666666"/>
    <d v="2014-08-07T00:00:00"/>
    <x v="0"/>
    <s v="Shalom"/>
    <s v="Kachin"/>
    <s v="Chipwi"/>
    <s v="Lhaovao Baptist Church (LBC)"/>
    <m/>
    <m/>
    <n v="50"/>
    <n v="25"/>
    <n v="50"/>
    <n v="25"/>
    <m/>
    <n v="25"/>
    <n v="125"/>
    <m/>
    <m/>
    <m/>
    <m/>
    <m/>
    <m/>
    <m/>
    <m/>
    <n v="0"/>
    <n v="0"/>
    <n v="0"/>
    <n v="0"/>
    <n v="0"/>
    <n v="0"/>
    <n v="0"/>
    <n v="0"/>
    <n v="0"/>
    <n v="0"/>
    <n v="0"/>
    <n v="0"/>
    <n v="0"/>
    <n v="0"/>
    <x v="0"/>
    <n v="0"/>
    <n v="0"/>
    <n v="0"/>
    <s v="MMR001CMP195"/>
    <x v="0"/>
    <x v="1"/>
    <x v="5"/>
    <n v="0"/>
    <m/>
    <m/>
  </r>
  <r>
    <n v="29.266666666666666"/>
    <d v="2014-08-07T00:00:00"/>
    <x v="0"/>
    <s v="Shalom"/>
    <s v="Kachin"/>
    <s v="Waingmaw"/>
    <s v="Qtr. 2 Lhaovo Baptist Church"/>
    <m/>
    <m/>
    <n v="24"/>
    <n v="12"/>
    <n v="24"/>
    <n v="12"/>
    <m/>
    <n v="12"/>
    <n v="60"/>
    <m/>
    <m/>
    <m/>
    <m/>
    <m/>
    <m/>
    <m/>
    <m/>
    <n v="0"/>
    <n v="0"/>
    <n v="0"/>
    <n v="0"/>
    <n v="0"/>
    <n v="0"/>
    <n v="0"/>
    <n v="0"/>
    <n v="0"/>
    <n v="0"/>
    <n v="0"/>
    <n v="0"/>
    <n v="0"/>
    <n v="0"/>
    <x v="0"/>
    <n v="0"/>
    <n v="0"/>
    <n v="0"/>
    <s v="MMR001CMP032"/>
    <x v="0"/>
    <x v="1"/>
    <x v="1"/>
    <n v="0"/>
    <m/>
    <m/>
  </r>
  <r>
    <n v="29.366666666666667"/>
    <d v="2014-08-04T00:00:00"/>
    <x v="0"/>
    <m/>
    <s v="Kachin"/>
    <s v="Bhamo"/>
    <m/>
    <m/>
    <m/>
    <m/>
    <m/>
    <n v="5"/>
    <m/>
    <m/>
    <m/>
    <m/>
    <m/>
    <m/>
    <m/>
    <m/>
    <m/>
    <m/>
    <m/>
    <m/>
    <n v="0"/>
    <n v="0"/>
    <n v="0"/>
    <n v="0"/>
    <n v="0"/>
    <n v="0"/>
    <n v="0"/>
    <n v="0"/>
    <n v="0"/>
    <n v="0"/>
    <n v="0"/>
    <n v="0"/>
    <n v="0"/>
    <n v="0"/>
    <x v="0"/>
    <n v="0"/>
    <n v="0"/>
    <n v="0"/>
    <s v=""/>
    <x v="2"/>
    <x v="2"/>
    <x v="0"/>
    <s v=""/>
    <m/>
    <m/>
  </r>
  <r>
    <n v="29.366666666666667"/>
    <d v="2014-08-04T00:00:00"/>
    <x v="0"/>
    <m/>
    <s v="Kachin"/>
    <s v="Momauk"/>
    <s v="Loi Je Catholic Church"/>
    <m/>
    <m/>
    <m/>
    <m/>
    <n v="116"/>
    <m/>
    <m/>
    <m/>
    <m/>
    <m/>
    <m/>
    <m/>
    <m/>
    <m/>
    <m/>
    <m/>
    <m/>
    <n v="0"/>
    <n v="0"/>
    <n v="0"/>
    <n v="0"/>
    <n v="0"/>
    <n v="0"/>
    <n v="0"/>
    <n v="0"/>
    <n v="0"/>
    <n v="0"/>
    <n v="0"/>
    <n v="0"/>
    <n v="0"/>
    <n v="0"/>
    <x v="0"/>
    <n v="0"/>
    <n v="0"/>
    <n v="0"/>
    <s v="MMR001CMP069"/>
    <x v="0"/>
    <x v="1"/>
    <x v="2"/>
    <n v="0"/>
    <m/>
    <m/>
  </r>
  <r>
    <n v="29.366666666666667"/>
    <d v="2014-08-04T00:00:00"/>
    <x v="0"/>
    <m/>
    <s v="Kachin"/>
    <s v="Momauk"/>
    <s v="Loi Je Lisu Camp"/>
    <m/>
    <m/>
    <m/>
    <n v="84"/>
    <n v="36"/>
    <n v="84"/>
    <n v="36"/>
    <m/>
    <n v="36"/>
    <n v="180"/>
    <m/>
    <m/>
    <m/>
    <m/>
    <m/>
    <m/>
    <m/>
    <n v="0"/>
    <n v="0"/>
    <n v="0"/>
    <n v="0"/>
    <n v="0"/>
    <n v="0"/>
    <n v="0"/>
    <n v="0"/>
    <n v="0"/>
    <n v="0"/>
    <n v="0"/>
    <n v="0"/>
    <n v="0"/>
    <n v="0"/>
    <x v="0"/>
    <n v="0"/>
    <n v="0"/>
    <n v="0"/>
    <s v="MMR001CMP070"/>
    <x v="0"/>
    <x v="1"/>
    <x v="2"/>
    <n v="8.780487804878049E-4"/>
    <m/>
    <m/>
  </r>
  <r>
    <n v="29.366666666666667"/>
    <d v="2014-08-04T00:00:00"/>
    <x v="0"/>
    <m/>
    <s v="Kachin"/>
    <s v="Mansi"/>
    <s v="Maing Khaung Catholic Church"/>
    <m/>
    <m/>
    <m/>
    <m/>
    <m/>
    <m/>
    <m/>
    <m/>
    <n v="2"/>
    <m/>
    <m/>
    <m/>
    <m/>
    <m/>
    <m/>
    <m/>
    <m/>
    <n v="0"/>
    <n v="0"/>
    <n v="0"/>
    <n v="0"/>
    <n v="0"/>
    <n v="0"/>
    <n v="0"/>
    <n v="0"/>
    <n v="0"/>
    <n v="0"/>
    <n v="0"/>
    <n v="0"/>
    <n v="0"/>
    <n v="0"/>
    <x v="0"/>
    <n v="0"/>
    <n v="0"/>
    <n v="0"/>
    <s v="MMR001CMP223"/>
    <x v="0"/>
    <x v="1"/>
    <x v="1"/>
    <n v="0"/>
    <m/>
    <m/>
  </r>
  <r>
    <n v="29.566666666666666"/>
    <d v="2014-07-29T00:00:00"/>
    <x v="0"/>
    <m/>
    <s v="Kachin"/>
    <s v="Momauk"/>
    <s v="Je Yang Hka "/>
    <m/>
    <m/>
    <m/>
    <n v="254"/>
    <n v="204"/>
    <n v="254"/>
    <n v="134"/>
    <m/>
    <n v="134"/>
    <n v="608"/>
    <m/>
    <m/>
    <m/>
    <m/>
    <m/>
    <m/>
    <m/>
    <n v="0"/>
    <n v="0"/>
    <n v="0"/>
    <n v="0"/>
    <n v="0"/>
    <n v="0"/>
    <n v="0"/>
    <n v="0"/>
    <n v="0"/>
    <n v="0"/>
    <n v="0"/>
    <n v="0"/>
    <n v="0"/>
    <n v="0"/>
    <x v="0"/>
    <n v="0"/>
    <n v="0"/>
    <n v="0"/>
    <s v="MMR001CMP121"/>
    <x v="0"/>
    <x v="1"/>
    <x v="6"/>
    <n v="3.2634373249555539E-3"/>
    <m/>
    <m/>
  </r>
  <r>
    <n v="29.566666666666666"/>
    <d v="2014-07-29T00:00:00"/>
    <x v="0"/>
    <m/>
    <s v="Kachin"/>
    <s v="Waingmaw"/>
    <s v="Woi Chyai "/>
    <m/>
    <m/>
    <m/>
    <n v="46"/>
    <n v="46"/>
    <n v="46"/>
    <n v="16"/>
    <m/>
    <n v="16"/>
    <n v="142"/>
    <m/>
    <m/>
    <m/>
    <m/>
    <m/>
    <m/>
    <m/>
    <n v="0"/>
    <n v="0"/>
    <n v="0"/>
    <n v="0"/>
    <n v="0"/>
    <n v="0"/>
    <n v="0"/>
    <n v="0"/>
    <n v="0"/>
    <n v="0"/>
    <n v="0"/>
    <n v="0"/>
    <n v="0"/>
    <n v="0"/>
    <x v="0"/>
    <n v="0"/>
    <n v="0"/>
    <n v="0"/>
    <s v="MMR001CMP116"/>
    <x v="0"/>
    <x v="1"/>
    <x v="1"/>
    <n v="3.9316869394274479E-4"/>
    <m/>
    <m/>
  </r>
  <r>
    <n v="29.7"/>
    <d v="2014-07-25T00:00:00"/>
    <x v="0"/>
    <m/>
    <s v="Kachin"/>
    <s v="Bhamo"/>
    <s v="Lisu Boarding-House"/>
    <m/>
    <m/>
    <m/>
    <m/>
    <n v="7"/>
    <n v="3"/>
    <m/>
    <m/>
    <n v="4"/>
    <n v="9"/>
    <m/>
    <m/>
    <m/>
    <m/>
    <m/>
    <m/>
    <m/>
    <n v="0"/>
    <n v="0"/>
    <n v="0"/>
    <n v="0"/>
    <n v="0"/>
    <n v="0"/>
    <n v="0"/>
    <n v="0"/>
    <n v="0"/>
    <n v="0"/>
    <n v="0"/>
    <n v="0"/>
    <n v="0"/>
    <n v="0"/>
    <x v="0"/>
    <n v="0"/>
    <n v="0"/>
    <n v="0"/>
    <s v="MMR001CMP049"/>
    <x v="0"/>
    <x v="1"/>
    <x v="1"/>
    <n v="0"/>
    <m/>
    <m/>
  </r>
  <r>
    <n v="29.833333333333332"/>
    <d v="2014-07-21T00:00:00"/>
    <x v="0"/>
    <m/>
    <s v="Kachin"/>
    <s v="Bhamo"/>
    <s v="Lisu Boarding-House"/>
    <m/>
    <m/>
    <m/>
    <n v="10"/>
    <n v="36"/>
    <n v="10"/>
    <n v="5"/>
    <m/>
    <n v="33"/>
    <n v="117"/>
    <m/>
    <m/>
    <m/>
    <m/>
    <m/>
    <m/>
    <m/>
    <n v="0"/>
    <n v="0"/>
    <n v="0"/>
    <n v="0"/>
    <n v="0"/>
    <n v="0"/>
    <n v="0"/>
    <n v="0"/>
    <n v="0"/>
    <n v="0"/>
    <n v="0"/>
    <n v="0"/>
    <n v="0"/>
    <n v="0"/>
    <x v="0"/>
    <n v="0"/>
    <n v="0"/>
    <n v="0"/>
    <s v="MMR001CMP049"/>
    <x v="0"/>
    <x v="1"/>
    <x v="1"/>
    <n v="1.2286521685710776E-4"/>
    <m/>
    <m/>
  </r>
  <r>
    <n v="29.833333333333332"/>
    <d v="2014-07-21T00:00:00"/>
    <x v="0"/>
    <m/>
    <s v="Kachin"/>
    <s v="Momauk"/>
    <s v="Momauk Baptist Church"/>
    <m/>
    <m/>
    <m/>
    <m/>
    <n v="75"/>
    <m/>
    <m/>
    <m/>
    <m/>
    <m/>
    <m/>
    <m/>
    <m/>
    <m/>
    <m/>
    <m/>
    <m/>
    <n v="0"/>
    <n v="0"/>
    <n v="0"/>
    <n v="0"/>
    <n v="0"/>
    <n v="0"/>
    <n v="0"/>
    <n v="0"/>
    <n v="0"/>
    <n v="0"/>
    <n v="0"/>
    <n v="0"/>
    <n v="0"/>
    <n v="0"/>
    <x v="0"/>
    <n v="0"/>
    <n v="0"/>
    <n v="0"/>
    <s v="MMR001CMP056"/>
    <x v="0"/>
    <x v="1"/>
    <x v="1"/>
    <n v="0"/>
    <m/>
    <m/>
  </r>
  <r>
    <n v="30.233333333333334"/>
    <d v="2014-07-09T00:00:00"/>
    <x v="0"/>
    <m/>
    <s v="Kachin"/>
    <s v="Mansi"/>
    <s v="Maing Khaung"/>
    <m/>
    <m/>
    <m/>
    <m/>
    <m/>
    <n v="10"/>
    <m/>
    <m/>
    <m/>
    <m/>
    <m/>
    <m/>
    <m/>
    <m/>
    <m/>
    <m/>
    <m/>
    <n v="0"/>
    <n v="0"/>
    <n v="0"/>
    <n v="0"/>
    <n v="0"/>
    <n v="0"/>
    <n v="0"/>
    <n v="0"/>
    <n v="0"/>
    <n v="0"/>
    <n v="0"/>
    <n v="0"/>
    <n v="0"/>
    <n v="0"/>
    <x v="0"/>
    <n v="0"/>
    <n v="0"/>
    <n v="0"/>
    <s v="MMR001CMP218"/>
    <x v="0"/>
    <x v="1"/>
    <x v="1"/>
    <n v="0"/>
    <m/>
    <m/>
  </r>
  <r>
    <n v="30.233333333333334"/>
    <d v="2014-07-09T00:00:00"/>
    <x v="0"/>
    <m/>
    <s v="Kachin"/>
    <s v="Mansi"/>
    <s v="Maing Khaung Catholic Church"/>
    <m/>
    <m/>
    <m/>
    <n v="35"/>
    <n v="13"/>
    <n v="70"/>
    <n v="13"/>
    <m/>
    <n v="13"/>
    <n v="25"/>
    <m/>
    <m/>
    <m/>
    <m/>
    <m/>
    <m/>
    <m/>
    <n v="0"/>
    <n v="0"/>
    <n v="0"/>
    <n v="0"/>
    <n v="0"/>
    <n v="0"/>
    <n v="0"/>
    <n v="0"/>
    <n v="0"/>
    <n v="0"/>
    <n v="0"/>
    <n v="0"/>
    <n v="0"/>
    <n v="0"/>
    <x v="0"/>
    <n v="0"/>
    <n v="0"/>
    <n v="0"/>
    <s v="MMR001CMP223"/>
    <x v="0"/>
    <x v="1"/>
    <x v="1"/>
    <n v="3.1289111389236547E-4"/>
    <m/>
    <m/>
  </r>
  <r>
    <n v="30.366666666666667"/>
    <d v="2014-07-05T00:00:00"/>
    <x v="6"/>
    <s v="MRCS"/>
    <s v="Kachin"/>
    <s v="Waingmaw"/>
    <s v="Waingmaw AG Church"/>
    <m/>
    <m/>
    <m/>
    <m/>
    <m/>
    <m/>
    <m/>
    <m/>
    <m/>
    <m/>
    <m/>
    <m/>
    <m/>
    <n v="124"/>
    <m/>
    <m/>
    <m/>
    <n v="0"/>
    <n v="0"/>
    <n v="0"/>
    <n v="0"/>
    <n v="0"/>
    <n v="0"/>
    <n v="0"/>
    <n v="0"/>
    <n v="0"/>
    <n v="0"/>
    <n v="0"/>
    <n v="0"/>
    <n v="0"/>
    <n v="0"/>
    <x v="2"/>
    <n v="0"/>
    <n v="0"/>
    <n v="0"/>
    <s v="MMR001CMP038"/>
    <x v="0"/>
    <x v="1"/>
    <x v="1"/>
    <n v="0"/>
    <m/>
    <m/>
  </r>
  <r>
    <n v="30.433333333333334"/>
    <d v="2014-07-03T00:00:00"/>
    <x v="0"/>
    <m/>
    <s v="Kachin"/>
    <s v="Mansi"/>
    <s v="Maing Khaung"/>
    <m/>
    <m/>
    <m/>
    <m/>
    <m/>
    <n v="9"/>
    <m/>
    <m/>
    <n v="19"/>
    <n v="1"/>
    <m/>
    <m/>
    <m/>
    <m/>
    <m/>
    <m/>
    <m/>
    <n v="0"/>
    <n v="0"/>
    <n v="0"/>
    <n v="0"/>
    <n v="0"/>
    <n v="0"/>
    <n v="0"/>
    <n v="0"/>
    <n v="0"/>
    <n v="0"/>
    <n v="0"/>
    <n v="0"/>
    <n v="0"/>
    <n v="0"/>
    <x v="0"/>
    <n v="0"/>
    <n v="0"/>
    <n v="0"/>
    <s v="MMR001CMP218"/>
    <x v="0"/>
    <x v="1"/>
    <x v="1"/>
    <n v="0"/>
    <m/>
    <m/>
  </r>
  <r>
    <n v="30.433333333333334"/>
    <d v="2014-07-03T00:00:00"/>
    <x v="0"/>
    <m/>
    <s v="Kachin"/>
    <s v="Mansi"/>
    <s v="Maing Khaung Catholic Church"/>
    <m/>
    <m/>
    <m/>
    <n v="50"/>
    <n v="15"/>
    <m/>
    <n v="15"/>
    <m/>
    <n v="15"/>
    <n v="60"/>
    <m/>
    <m/>
    <m/>
    <m/>
    <m/>
    <m/>
    <m/>
    <n v="0"/>
    <n v="0"/>
    <n v="0"/>
    <n v="0"/>
    <n v="0"/>
    <n v="0"/>
    <n v="0"/>
    <n v="0"/>
    <n v="0"/>
    <n v="0"/>
    <n v="0"/>
    <n v="0"/>
    <n v="0"/>
    <n v="0"/>
    <x v="0"/>
    <n v="0"/>
    <n v="0"/>
    <n v="0"/>
    <s v="MMR001CMP223"/>
    <x v="0"/>
    <x v="1"/>
    <x v="1"/>
    <n v="3.6102820833734477E-4"/>
    <m/>
    <m/>
  </r>
  <r>
    <n v="30.5"/>
    <d v="2014-07-01T00:00:00"/>
    <x v="0"/>
    <m/>
    <s v="Kachin"/>
    <s v="Mansi"/>
    <s v="Maing Khaung"/>
    <m/>
    <m/>
    <m/>
    <m/>
    <n v="19"/>
    <m/>
    <n v="19"/>
    <m/>
    <m/>
    <n v="100"/>
    <m/>
    <m/>
    <m/>
    <m/>
    <m/>
    <m/>
    <m/>
    <n v="0"/>
    <n v="0"/>
    <n v="0"/>
    <n v="0"/>
    <n v="0"/>
    <n v="0"/>
    <n v="0"/>
    <n v="0"/>
    <n v="0"/>
    <n v="0"/>
    <n v="0"/>
    <n v="0"/>
    <n v="0"/>
    <n v="0"/>
    <x v="0"/>
    <n v="0"/>
    <n v="0"/>
    <n v="0"/>
    <s v="MMR001CMP218"/>
    <x v="0"/>
    <x v="1"/>
    <x v="1"/>
    <n v="4.5730239722730338E-4"/>
    <m/>
    <m/>
  </r>
  <r>
    <n v="30.7"/>
    <d v="2014-06-25T00:00:00"/>
    <x v="6"/>
    <s v="MRCS"/>
    <s v="Kachin"/>
    <s v="Momauk"/>
    <s v="Momauk Baptist Church"/>
    <m/>
    <m/>
    <m/>
    <m/>
    <m/>
    <m/>
    <m/>
    <m/>
    <m/>
    <m/>
    <m/>
    <m/>
    <m/>
    <n v="832"/>
    <m/>
    <m/>
    <m/>
    <n v="0"/>
    <n v="0"/>
    <n v="0"/>
    <n v="0"/>
    <n v="0"/>
    <n v="0"/>
    <n v="0"/>
    <n v="0"/>
    <n v="0"/>
    <n v="0"/>
    <n v="0"/>
    <n v="0"/>
    <n v="0"/>
    <n v="0"/>
    <x v="2"/>
    <n v="0"/>
    <n v="0"/>
    <n v="0"/>
    <s v="MMR001CMP056"/>
    <x v="0"/>
    <x v="1"/>
    <x v="1"/>
    <n v="0"/>
    <m/>
    <m/>
  </r>
  <r>
    <n v="30.733333333333334"/>
    <d v="2014-06-24T00:00:00"/>
    <x v="6"/>
    <s v="MRCS"/>
    <s v="Kachin"/>
    <s v="Myitkyina"/>
    <s v="Maw Hpawng Hka Nan Baptist Church"/>
    <m/>
    <m/>
    <m/>
    <m/>
    <m/>
    <m/>
    <m/>
    <m/>
    <m/>
    <m/>
    <m/>
    <m/>
    <m/>
    <n v="44"/>
    <m/>
    <m/>
    <m/>
    <n v="0"/>
    <n v="0"/>
    <n v="0"/>
    <n v="0"/>
    <n v="0"/>
    <n v="0"/>
    <n v="0"/>
    <n v="0"/>
    <n v="0"/>
    <n v="0"/>
    <n v="0"/>
    <n v="0"/>
    <n v="0"/>
    <n v="0"/>
    <x v="2"/>
    <n v="0"/>
    <n v="0"/>
    <n v="0"/>
    <s v="MMR001CMP020"/>
    <x v="0"/>
    <x v="1"/>
    <x v="1"/>
    <n v="0"/>
    <m/>
    <m/>
  </r>
  <r>
    <n v="30.733333333333334"/>
    <d v="2014-06-24T00:00:00"/>
    <x v="6"/>
    <s v="MRCS"/>
    <s v="Kachin"/>
    <s v="Myitkyina"/>
    <s v="Maw Hpawng Lhaovo Baptist Church"/>
    <m/>
    <m/>
    <m/>
    <m/>
    <m/>
    <m/>
    <m/>
    <m/>
    <m/>
    <m/>
    <m/>
    <m/>
    <m/>
    <n v="28"/>
    <m/>
    <m/>
    <m/>
    <n v="0"/>
    <n v="0"/>
    <n v="0"/>
    <n v="0"/>
    <n v="0"/>
    <n v="0"/>
    <n v="0"/>
    <n v="0"/>
    <n v="0"/>
    <n v="0"/>
    <n v="0"/>
    <n v="0"/>
    <n v="0"/>
    <n v="0"/>
    <x v="2"/>
    <n v="0"/>
    <n v="0"/>
    <n v="0"/>
    <s v="MMR001CMP021"/>
    <x v="0"/>
    <x v="1"/>
    <x v="1"/>
    <n v="0"/>
    <m/>
    <m/>
  </r>
  <r>
    <n v="30.766666666666666"/>
    <d v="2014-06-23T00:00:00"/>
    <x v="6"/>
    <s v="MRCS"/>
    <s v="Kachin"/>
    <s v="Myitkyina"/>
    <s v="Tat Kone San Pya Baptist Church"/>
    <m/>
    <m/>
    <m/>
    <m/>
    <m/>
    <m/>
    <m/>
    <m/>
    <m/>
    <m/>
    <m/>
    <m/>
    <m/>
    <n v="88"/>
    <m/>
    <m/>
    <m/>
    <n v="0"/>
    <n v="0"/>
    <n v="0"/>
    <n v="0"/>
    <n v="0"/>
    <n v="0"/>
    <n v="0"/>
    <n v="0"/>
    <n v="0"/>
    <n v="0"/>
    <n v="0"/>
    <n v="0"/>
    <n v="0"/>
    <n v="0"/>
    <x v="2"/>
    <n v="0"/>
    <n v="0"/>
    <n v="0"/>
    <s v="MMR001CMP005"/>
    <x v="0"/>
    <x v="1"/>
    <x v="1"/>
    <n v="0"/>
    <m/>
    <m/>
  </r>
  <r>
    <n v="30.8"/>
    <d v="2014-06-22T00:00:00"/>
    <x v="6"/>
    <s v="MRCS"/>
    <s v="Kachin"/>
    <s v="Momauk"/>
    <s v="Momauk Catholic Church (St. Patrick)"/>
    <m/>
    <m/>
    <m/>
    <m/>
    <m/>
    <m/>
    <m/>
    <m/>
    <m/>
    <m/>
    <m/>
    <m/>
    <m/>
    <n v="462"/>
    <m/>
    <m/>
    <m/>
    <n v="0"/>
    <n v="0"/>
    <n v="0"/>
    <n v="0"/>
    <n v="0"/>
    <n v="0"/>
    <n v="0"/>
    <n v="0"/>
    <n v="0"/>
    <n v="0"/>
    <n v="0"/>
    <n v="0"/>
    <n v="0"/>
    <n v="0"/>
    <x v="2"/>
    <n v="0"/>
    <n v="0"/>
    <n v="0"/>
    <s v="MMR001CMP057"/>
    <x v="0"/>
    <x v="0"/>
    <x v="1"/>
    <n v="0"/>
    <m/>
    <m/>
  </r>
  <r>
    <n v="30.833333333333332"/>
    <d v="2014-06-21T00:00:00"/>
    <x v="6"/>
    <s v="MRCS"/>
    <s v="Kachin"/>
    <s v="Myitkyina"/>
    <s v="Du Kahtawng Qtr. 14"/>
    <m/>
    <m/>
    <m/>
    <m/>
    <m/>
    <m/>
    <m/>
    <m/>
    <m/>
    <m/>
    <m/>
    <m/>
    <m/>
    <n v="12"/>
    <m/>
    <m/>
    <m/>
    <n v="0"/>
    <n v="0"/>
    <n v="0"/>
    <n v="0"/>
    <n v="0"/>
    <n v="0"/>
    <n v="0"/>
    <n v="0"/>
    <n v="0"/>
    <n v="0"/>
    <n v="0"/>
    <n v="0"/>
    <n v="0"/>
    <n v="0"/>
    <x v="2"/>
    <n v="0"/>
    <n v="0"/>
    <n v="0"/>
    <s v="MMR001CMP012"/>
    <x v="0"/>
    <x v="1"/>
    <x v="1"/>
    <n v="0"/>
    <m/>
    <m/>
  </r>
  <r>
    <n v="30.833333333333332"/>
    <d v="2014-06-21T00:00:00"/>
    <x v="6"/>
    <s v="MRCS"/>
    <s v="Kachin"/>
    <s v="Myitkyina"/>
    <s v="Du Kahtawng Qtr. 4"/>
    <m/>
    <m/>
    <m/>
    <m/>
    <m/>
    <m/>
    <m/>
    <m/>
    <m/>
    <m/>
    <m/>
    <m/>
    <m/>
    <n v="12"/>
    <m/>
    <m/>
    <m/>
    <n v="0"/>
    <n v="0"/>
    <n v="0"/>
    <n v="0"/>
    <n v="0"/>
    <n v="0"/>
    <n v="0"/>
    <n v="0"/>
    <n v="0"/>
    <n v="0"/>
    <n v="0"/>
    <n v="0"/>
    <n v="0"/>
    <n v="0"/>
    <x v="2"/>
    <n v="0"/>
    <n v="0"/>
    <n v="0"/>
    <s v="MMR001CMP010"/>
    <x v="0"/>
    <x v="1"/>
    <x v="1"/>
    <n v="0"/>
    <m/>
    <m/>
  </r>
  <r>
    <n v="30.833333333333332"/>
    <d v="2014-06-21T00:00:00"/>
    <x v="6"/>
    <s v="MRCS"/>
    <s v="Kachin"/>
    <s v="Myitkyina"/>
    <s v="Du Kahtawng Qtr. 5"/>
    <m/>
    <m/>
    <m/>
    <m/>
    <m/>
    <m/>
    <m/>
    <m/>
    <m/>
    <m/>
    <m/>
    <m/>
    <m/>
    <n v="16"/>
    <m/>
    <m/>
    <m/>
    <n v="0"/>
    <n v="0"/>
    <n v="0"/>
    <n v="0"/>
    <n v="0"/>
    <n v="0"/>
    <n v="0"/>
    <n v="0"/>
    <n v="0"/>
    <n v="0"/>
    <n v="0"/>
    <n v="0"/>
    <n v="0"/>
    <n v="0"/>
    <x v="2"/>
    <n v="0"/>
    <n v="0"/>
    <n v="0"/>
    <s v="MMR001CMP011"/>
    <x v="0"/>
    <x v="1"/>
    <x v="1"/>
    <n v="0"/>
    <m/>
    <m/>
  </r>
  <r>
    <n v="30.866666666666667"/>
    <d v="2014-06-20T00:00:00"/>
    <x v="6"/>
    <s v="MRCS"/>
    <s v="Kachin"/>
    <s v="Myitkyina"/>
    <s v="Tat Kone Emanuel Church"/>
    <m/>
    <m/>
    <m/>
    <m/>
    <m/>
    <m/>
    <m/>
    <m/>
    <m/>
    <m/>
    <m/>
    <m/>
    <m/>
    <n v="16"/>
    <m/>
    <m/>
    <m/>
    <n v="0"/>
    <n v="0"/>
    <n v="0"/>
    <n v="0"/>
    <n v="0"/>
    <n v="0"/>
    <n v="0"/>
    <n v="0"/>
    <n v="0"/>
    <n v="0"/>
    <n v="0"/>
    <n v="0"/>
    <n v="0"/>
    <n v="0"/>
    <x v="2"/>
    <n v="0"/>
    <n v="0"/>
    <n v="0"/>
    <s v="MMR001CMP004"/>
    <x v="0"/>
    <x v="1"/>
    <x v="1"/>
    <n v="0"/>
    <m/>
    <m/>
  </r>
  <r>
    <n v="30.966666666666665"/>
    <d v="2014-06-17T00:00:00"/>
    <x v="0"/>
    <m/>
    <s v="Kachin"/>
    <s v="Mansi"/>
    <s v="Maing Khaung"/>
    <m/>
    <m/>
    <m/>
    <n v="10"/>
    <n v="3"/>
    <n v="10"/>
    <n v="3"/>
    <m/>
    <n v="3"/>
    <n v="10"/>
    <m/>
    <m/>
    <m/>
    <m/>
    <m/>
    <m/>
    <m/>
    <n v="0"/>
    <n v="0"/>
    <n v="0"/>
    <n v="0"/>
    <n v="0"/>
    <n v="0"/>
    <n v="0"/>
    <n v="0"/>
    <n v="0"/>
    <n v="0"/>
    <n v="0"/>
    <n v="0"/>
    <n v="0"/>
    <n v="0"/>
    <x v="0"/>
    <n v="0"/>
    <n v="0"/>
    <n v="0"/>
    <s v="MMR001CMP218"/>
    <x v="0"/>
    <x v="1"/>
    <x v="1"/>
    <n v="7.2205641667468946E-5"/>
    <m/>
    <m/>
  </r>
  <r>
    <n v="31.033333333333335"/>
    <d v="2014-06-15T00:00:00"/>
    <x v="6"/>
    <s v="MRCS"/>
    <s v="Kachin"/>
    <s v="Shwegu"/>
    <s v="Shwe Gu Baptist Church"/>
    <m/>
    <m/>
    <m/>
    <m/>
    <m/>
    <m/>
    <m/>
    <m/>
    <m/>
    <m/>
    <m/>
    <m/>
    <m/>
    <n v="158"/>
    <m/>
    <m/>
    <m/>
    <n v="0"/>
    <n v="0"/>
    <n v="0"/>
    <n v="0"/>
    <n v="0"/>
    <n v="0"/>
    <n v="0"/>
    <n v="0"/>
    <n v="0"/>
    <n v="0"/>
    <n v="0"/>
    <n v="0"/>
    <n v="0"/>
    <n v="0"/>
    <x v="2"/>
    <n v="0"/>
    <n v="0"/>
    <n v="0"/>
    <s v="MMR001CMP067"/>
    <x v="0"/>
    <x v="1"/>
    <x v="1"/>
    <n v="0"/>
    <m/>
    <m/>
  </r>
  <r>
    <n v="31.033333333333335"/>
    <d v="2014-06-15T00:00:00"/>
    <x v="6"/>
    <s v="MRCS"/>
    <s v="Kachin"/>
    <s v="Shwegu"/>
    <s v="Shwe Gu Catholic Church"/>
    <m/>
    <m/>
    <m/>
    <m/>
    <m/>
    <m/>
    <m/>
    <m/>
    <m/>
    <m/>
    <m/>
    <m/>
    <m/>
    <n v="112"/>
    <m/>
    <m/>
    <m/>
    <n v="0"/>
    <n v="0"/>
    <n v="0"/>
    <n v="0"/>
    <n v="0"/>
    <n v="0"/>
    <n v="0"/>
    <n v="0"/>
    <n v="0"/>
    <n v="0"/>
    <n v="0"/>
    <n v="0"/>
    <n v="0"/>
    <n v="0"/>
    <x v="2"/>
    <n v="0"/>
    <n v="0"/>
    <n v="0"/>
    <s v="MMR001CMP068"/>
    <x v="0"/>
    <x v="1"/>
    <x v="1"/>
    <n v="0"/>
    <m/>
    <m/>
  </r>
  <r>
    <n v="31.066666666666666"/>
    <d v="2014-06-14T00:00:00"/>
    <x v="6"/>
    <s v="MRCS"/>
    <s v="Kachin"/>
    <s v="Myitkyina"/>
    <s v="Jan Mai Kawng Baptist Church"/>
    <m/>
    <m/>
    <m/>
    <m/>
    <m/>
    <m/>
    <m/>
    <m/>
    <m/>
    <m/>
    <m/>
    <m/>
    <m/>
    <n v="406"/>
    <m/>
    <m/>
    <m/>
    <n v="0"/>
    <n v="0"/>
    <n v="0"/>
    <n v="0"/>
    <n v="0"/>
    <n v="0"/>
    <n v="0"/>
    <n v="0"/>
    <n v="0"/>
    <n v="0"/>
    <n v="0"/>
    <n v="0"/>
    <n v="0"/>
    <n v="0"/>
    <x v="2"/>
    <n v="0"/>
    <n v="0"/>
    <n v="0"/>
    <s v="MMR001CMP018"/>
    <x v="0"/>
    <x v="1"/>
    <x v="1"/>
    <n v="0"/>
    <m/>
    <m/>
  </r>
  <r>
    <n v="31.066666666666666"/>
    <d v="2014-06-14T00:00:00"/>
    <x v="6"/>
    <s v="MRCS"/>
    <s v="Kachin"/>
    <s v="Myitkyina"/>
    <s v="Jan Mai Kawng Catholic Church"/>
    <m/>
    <m/>
    <m/>
    <m/>
    <m/>
    <m/>
    <m/>
    <m/>
    <m/>
    <m/>
    <m/>
    <m/>
    <m/>
    <n v="216"/>
    <m/>
    <m/>
    <m/>
    <n v="0"/>
    <n v="0"/>
    <n v="0"/>
    <n v="0"/>
    <n v="0"/>
    <n v="0"/>
    <n v="0"/>
    <n v="0"/>
    <n v="0"/>
    <n v="0"/>
    <n v="0"/>
    <n v="0"/>
    <n v="0"/>
    <n v="0"/>
    <x v="2"/>
    <n v="0"/>
    <n v="0"/>
    <n v="0"/>
    <s v="MMR001CMP019"/>
    <x v="0"/>
    <x v="1"/>
    <x v="1"/>
    <n v="0"/>
    <m/>
    <m/>
  </r>
  <r>
    <n v="31.1"/>
    <d v="2014-06-13T00:00:00"/>
    <x v="0"/>
    <m/>
    <s v="Kachin"/>
    <s v="Mansi"/>
    <s v="Maing Khaung"/>
    <m/>
    <m/>
    <m/>
    <n v="54"/>
    <n v="18"/>
    <n v="45"/>
    <n v="18"/>
    <m/>
    <n v="18"/>
    <n v="50"/>
    <m/>
    <m/>
    <m/>
    <m/>
    <m/>
    <m/>
    <m/>
    <n v="0"/>
    <n v="0"/>
    <n v="0"/>
    <n v="0"/>
    <n v="0"/>
    <n v="0"/>
    <n v="0"/>
    <n v="0"/>
    <n v="0"/>
    <n v="0"/>
    <n v="0"/>
    <n v="0"/>
    <n v="0"/>
    <n v="0"/>
    <x v="0"/>
    <n v="0"/>
    <n v="0"/>
    <n v="0"/>
    <s v="MMR001CMP218"/>
    <x v="0"/>
    <x v="1"/>
    <x v="1"/>
    <n v="4.332338500048137E-4"/>
    <m/>
    <m/>
  </r>
  <r>
    <n v="31.3"/>
    <d v="2014-06-07T00:00:00"/>
    <x v="6"/>
    <s v="MRCS"/>
    <s v="Kachin"/>
    <s v="Mohnyin"/>
    <s v="Nawng Ing (Indawgyi) Baptist Church  "/>
    <m/>
    <m/>
    <m/>
    <m/>
    <m/>
    <m/>
    <m/>
    <m/>
    <m/>
    <m/>
    <m/>
    <m/>
    <m/>
    <n v="40"/>
    <m/>
    <m/>
    <m/>
    <n v="0"/>
    <n v="0"/>
    <n v="0"/>
    <n v="0"/>
    <n v="0"/>
    <n v="0"/>
    <n v="0"/>
    <n v="0"/>
    <n v="0"/>
    <n v="0"/>
    <n v="0"/>
    <n v="0"/>
    <n v="0"/>
    <n v="0"/>
    <x v="2"/>
    <n v="0"/>
    <n v="0"/>
    <n v="0"/>
    <s v="MMR001CMP152"/>
    <x v="0"/>
    <x v="1"/>
    <x v="1"/>
    <n v="0"/>
    <m/>
    <m/>
  </r>
  <r>
    <n v="31.333333333333332"/>
    <d v="2014-06-06T00:00:00"/>
    <x v="6"/>
    <s v="MRCS"/>
    <s v="Kachin"/>
    <s v="Mohnyin"/>
    <s v="St. Patrick Catholic Church "/>
    <m/>
    <m/>
    <m/>
    <m/>
    <m/>
    <m/>
    <m/>
    <m/>
    <m/>
    <m/>
    <m/>
    <m/>
    <m/>
    <n v="24"/>
    <m/>
    <m/>
    <m/>
    <n v="0"/>
    <n v="0"/>
    <n v="0"/>
    <n v="0"/>
    <n v="0"/>
    <n v="0"/>
    <n v="0"/>
    <n v="0"/>
    <n v="0"/>
    <n v="0"/>
    <n v="0"/>
    <n v="0"/>
    <n v="0"/>
    <n v="0"/>
    <x v="2"/>
    <n v="0"/>
    <n v="0"/>
    <n v="0"/>
    <s v="MMR001CMP080"/>
    <x v="0"/>
    <x v="1"/>
    <x v="1"/>
    <n v="0"/>
    <m/>
    <m/>
  </r>
  <r>
    <n v="31.4"/>
    <d v="2014-06-04T00:00:00"/>
    <x v="0"/>
    <s v="KBC"/>
    <s v="Kachin"/>
    <s v="Momauk"/>
    <s v="Momauk Baptist Church"/>
    <m/>
    <m/>
    <m/>
    <m/>
    <n v="80"/>
    <m/>
    <m/>
    <m/>
    <m/>
    <m/>
    <m/>
    <m/>
    <m/>
    <m/>
    <m/>
    <m/>
    <m/>
    <n v="0"/>
    <n v="0"/>
    <n v="0"/>
    <n v="0"/>
    <n v="0"/>
    <n v="0"/>
    <n v="0"/>
    <n v="0"/>
    <n v="0"/>
    <n v="0"/>
    <n v="0"/>
    <n v="0"/>
    <n v="0"/>
    <n v="0"/>
    <x v="0"/>
    <n v="0"/>
    <n v="0"/>
    <n v="0"/>
    <s v="MMR001CMP056"/>
    <x v="0"/>
    <x v="1"/>
    <x v="1"/>
    <n v="0"/>
    <s v="No"/>
    <m/>
  </r>
  <r>
    <n v="31.566666666666666"/>
    <d v="2014-05-30T00:00:00"/>
    <x v="6"/>
    <s v="MRCS"/>
    <s v="Kachin"/>
    <s v="Myitkyina"/>
    <s v="Wun Tho Buddhist Monastery"/>
    <m/>
    <m/>
    <m/>
    <m/>
    <m/>
    <m/>
    <m/>
    <m/>
    <m/>
    <m/>
    <m/>
    <m/>
    <m/>
    <n v="12"/>
    <m/>
    <m/>
    <m/>
    <n v="0"/>
    <n v="0"/>
    <n v="0"/>
    <n v="0"/>
    <n v="0"/>
    <n v="0"/>
    <n v="0"/>
    <n v="0"/>
    <n v="0"/>
    <n v="0"/>
    <n v="0"/>
    <n v="0"/>
    <n v="0"/>
    <n v="0"/>
    <x v="2"/>
    <n v="0"/>
    <n v="0"/>
    <n v="0"/>
    <s v="MMR001CMP022"/>
    <x v="0"/>
    <x v="1"/>
    <x v="1"/>
    <n v="0"/>
    <m/>
    <m/>
  </r>
  <r>
    <n v="31.633333333333333"/>
    <d v="2014-05-28T00:00:00"/>
    <x v="6"/>
    <s v="MRCS"/>
    <s v="Kachin"/>
    <s v="Myitkyina"/>
    <s v="Tat Kone Baptist Church"/>
    <m/>
    <m/>
    <m/>
    <m/>
    <m/>
    <m/>
    <m/>
    <m/>
    <m/>
    <m/>
    <m/>
    <m/>
    <m/>
    <n v="120"/>
    <m/>
    <m/>
    <m/>
    <n v="0"/>
    <n v="0"/>
    <n v="0"/>
    <n v="0"/>
    <n v="0"/>
    <n v="0"/>
    <n v="0"/>
    <n v="0"/>
    <n v="0"/>
    <n v="0"/>
    <n v="0"/>
    <n v="0"/>
    <n v="0"/>
    <n v="0"/>
    <x v="2"/>
    <n v="0"/>
    <n v="0"/>
    <n v="0"/>
    <s v="MMR001CMP001"/>
    <x v="0"/>
    <x v="1"/>
    <x v="1"/>
    <n v="0"/>
    <m/>
    <m/>
  </r>
  <r>
    <n v="31.633333333333333"/>
    <d v="2014-05-28T00:00:00"/>
    <x v="6"/>
    <s v="MRCS"/>
    <s v="Kachin"/>
    <s v="Myitkyina"/>
    <s v="Tat Kone COC Baptist - Tat Kone Htoi San"/>
    <m/>
    <m/>
    <m/>
    <m/>
    <m/>
    <m/>
    <m/>
    <m/>
    <m/>
    <m/>
    <m/>
    <m/>
    <m/>
    <n v="138"/>
    <m/>
    <m/>
    <m/>
    <n v="0"/>
    <n v="0"/>
    <n v="0"/>
    <n v="0"/>
    <n v="0"/>
    <n v="0"/>
    <n v="0"/>
    <n v="0"/>
    <n v="0"/>
    <n v="0"/>
    <n v="0"/>
    <n v="0"/>
    <n v="0"/>
    <n v="0"/>
    <x v="2"/>
    <n v="0"/>
    <n v="0"/>
    <n v="0"/>
    <s v="MMR001CMP023"/>
    <x v="0"/>
    <x v="1"/>
    <x v="1"/>
    <n v="0"/>
    <m/>
    <m/>
  </r>
  <r>
    <n v="31.633333333333333"/>
    <d v="2014-05-28T00:00:00"/>
    <x v="6"/>
    <s v="MRCS"/>
    <s v="Kachin"/>
    <s v="Myitkyina"/>
    <s v="Tat Kone Galile Baptist Church"/>
    <m/>
    <m/>
    <m/>
    <m/>
    <m/>
    <m/>
    <m/>
    <m/>
    <m/>
    <m/>
    <m/>
    <m/>
    <m/>
    <n v="58"/>
    <m/>
    <m/>
    <m/>
    <n v="0"/>
    <n v="0"/>
    <n v="0"/>
    <n v="0"/>
    <n v="0"/>
    <n v="0"/>
    <n v="0"/>
    <n v="0"/>
    <n v="0"/>
    <n v="0"/>
    <n v="0"/>
    <n v="0"/>
    <n v="0"/>
    <n v="0"/>
    <x v="2"/>
    <n v="0"/>
    <n v="0"/>
    <n v="0"/>
    <s v="MMR001CMP003"/>
    <x v="0"/>
    <x v="1"/>
    <x v="1"/>
    <n v="0"/>
    <m/>
    <m/>
  </r>
  <r>
    <n v="31.666666666666668"/>
    <d v="2014-05-27T00:00:00"/>
    <x v="0"/>
    <s v="Shalom"/>
    <s v="Kachin"/>
    <s v="Chipwi"/>
    <s v="Chipwi KBC camp"/>
    <m/>
    <m/>
    <n v="36"/>
    <n v="18"/>
    <n v="36"/>
    <n v="18"/>
    <m/>
    <n v="18"/>
    <n v="90"/>
    <m/>
    <m/>
    <m/>
    <m/>
    <m/>
    <m/>
    <m/>
    <m/>
    <n v="0"/>
    <n v="0"/>
    <n v="0"/>
    <n v="0"/>
    <n v="0"/>
    <n v="0"/>
    <n v="0"/>
    <n v="0"/>
    <n v="0"/>
    <n v="0"/>
    <n v="0"/>
    <n v="0"/>
    <n v="0"/>
    <n v="0"/>
    <x v="0"/>
    <n v="0"/>
    <n v="0"/>
    <n v="0"/>
    <s v="MMR001CMP042"/>
    <x v="0"/>
    <x v="1"/>
    <x v="5"/>
    <n v="0"/>
    <m/>
    <m/>
  </r>
  <r>
    <n v="31.666666666666668"/>
    <d v="2014-05-27T00:00:00"/>
    <x v="0"/>
    <s v="Shalom"/>
    <s v="Kachin"/>
    <s v="Waingmaw"/>
    <s v="Hkat Cho "/>
    <m/>
    <m/>
    <n v="2"/>
    <n v="1"/>
    <n v="2"/>
    <n v="1"/>
    <m/>
    <n v="1"/>
    <n v="5"/>
    <m/>
    <m/>
    <m/>
    <m/>
    <m/>
    <m/>
    <m/>
    <m/>
    <n v="0"/>
    <n v="0"/>
    <n v="0"/>
    <n v="0"/>
    <n v="0"/>
    <n v="0"/>
    <n v="0"/>
    <n v="0"/>
    <n v="0"/>
    <n v="0"/>
    <n v="0"/>
    <n v="0"/>
    <n v="0"/>
    <n v="0"/>
    <x v="0"/>
    <n v="0"/>
    <n v="0"/>
    <n v="0"/>
    <s v="MMR001CMP028"/>
    <x v="0"/>
    <x v="1"/>
    <x v="1"/>
    <n v="0"/>
    <m/>
    <m/>
  </r>
  <r>
    <n v="31.666666666666668"/>
    <d v="2014-05-27T00:00:00"/>
    <x v="0"/>
    <s v="Shalom"/>
    <s v="Kachin"/>
    <s v="Waingmaw"/>
    <s v="Maina AG Church"/>
    <m/>
    <m/>
    <n v="50"/>
    <n v="25"/>
    <n v="50"/>
    <n v="25"/>
    <m/>
    <n v="25"/>
    <n v="125"/>
    <m/>
    <m/>
    <m/>
    <m/>
    <m/>
    <m/>
    <m/>
    <m/>
    <n v="0"/>
    <n v="0"/>
    <n v="0"/>
    <n v="0"/>
    <n v="0"/>
    <n v="0"/>
    <n v="0"/>
    <n v="0"/>
    <n v="0"/>
    <n v="0"/>
    <n v="0"/>
    <n v="0"/>
    <n v="0"/>
    <n v="0"/>
    <x v="0"/>
    <n v="0"/>
    <n v="0"/>
    <n v="0"/>
    <s v="MMR001CMP031"/>
    <x v="0"/>
    <x v="1"/>
    <x v="1"/>
    <n v="0"/>
    <m/>
    <m/>
  </r>
  <r>
    <n v="31.666666666666668"/>
    <d v="2014-05-27T00:00:00"/>
    <x v="0"/>
    <s v="Shalom"/>
    <s v="Kachin"/>
    <s v="Myitkyina"/>
    <s v="Maw Hpawng Hka Nan Baptist Church"/>
    <m/>
    <m/>
    <n v="12"/>
    <n v="6"/>
    <n v="12"/>
    <n v="6"/>
    <m/>
    <n v="6"/>
    <n v="30"/>
    <m/>
    <m/>
    <m/>
    <m/>
    <m/>
    <m/>
    <m/>
    <m/>
    <n v="0"/>
    <n v="0"/>
    <n v="0"/>
    <n v="0"/>
    <n v="0"/>
    <n v="0"/>
    <n v="0"/>
    <n v="0"/>
    <n v="0"/>
    <n v="0"/>
    <n v="0"/>
    <n v="0"/>
    <n v="0"/>
    <n v="0"/>
    <x v="0"/>
    <n v="0"/>
    <n v="0"/>
    <n v="0"/>
    <s v="MMR001CMP020"/>
    <x v="0"/>
    <x v="1"/>
    <x v="1"/>
    <n v="0"/>
    <m/>
    <m/>
  </r>
  <r>
    <n v="31.666666666666668"/>
    <d v="2014-05-27T00:00:00"/>
    <x v="0"/>
    <s v="Shalom"/>
    <s v="Kachin"/>
    <s v="Waingmaw"/>
    <s v="Qtr. 4 Monestry (Thargaya Thayett Taw)"/>
    <m/>
    <m/>
    <n v="3"/>
    <n v="3"/>
    <n v="6"/>
    <n v="3"/>
    <m/>
    <n v="3"/>
    <n v="15"/>
    <m/>
    <m/>
    <m/>
    <m/>
    <m/>
    <m/>
    <m/>
    <m/>
    <n v="0"/>
    <n v="0"/>
    <n v="0"/>
    <n v="0"/>
    <n v="0"/>
    <n v="0"/>
    <n v="0"/>
    <n v="0"/>
    <n v="0"/>
    <n v="0"/>
    <n v="0"/>
    <n v="0"/>
    <n v="0"/>
    <n v="0"/>
    <x v="0"/>
    <n v="0"/>
    <n v="0"/>
    <n v="0"/>
    <s v="MMR001CMP026"/>
    <x v="0"/>
    <x v="1"/>
    <x v="1"/>
    <n v="0"/>
    <m/>
    <m/>
  </r>
  <r>
    <n v="31.666666666666668"/>
    <d v="2014-05-27T00:00:00"/>
    <x v="0"/>
    <s v="Shalom"/>
    <s v="Kachin"/>
    <s v="Waingmaw"/>
    <s v="Thargaya Lisu Baptist Church"/>
    <m/>
    <m/>
    <n v="18"/>
    <n v="9"/>
    <n v="18"/>
    <n v="9"/>
    <m/>
    <n v="9"/>
    <n v="45"/>
    <m/>
    <m/>
    <m/>
    <m/>
    <m/>
    <m/>
    <m/>
    <m/>
    <n v="0"/>
    <n v="0"/>
    <n v="0"/>
    <n v="0"/>
    <n v="0"/>
    <n v="0"/>
    <n v="0"/>
    <n v="0"/>
    <n v="0"/>
    <n v="0"/>
    <n v="0"/>
    <n v="0"/>
    <n v="0"/>
    <n v="0"/>
    <x v="0"/>
    <n v="0"/>
    <n v="0"/>
    <n v="0"/>
    <s v="MMR001CMP037"/>
    <x v="0"/>
    <x v="1"/>
    <x v="1"/>
    <n v="0"/>
    <m/>
    <m/>
  </r>
  <r>
    <n v="31.7"/>
    <d v="2014-05-26T00:00:00"/>
    <x v="6"/>
    <s v="MRCS"/>
    <s v="Kachin"/>
    <s v="Waingmaw"/>
    <s v="Nawng Hee Village"/>
    <m/>
    <m/>
    <m/>
    <m/>
    <m/>
    <m/>
    <m/>
    <m/>
    <m/>
    <m/>
    <m/>
    <m/>
    <m/>
    <n v="36"/>
    <m/>
    <m/>
    <m/>
    <n v="0"/>
    <n v="0"/>
    <n v="0"/>
    <n v="0"/>
    <n v="0"/>
    <n v="0"/>
    <n v="0"/>
    <n v="0"/>
    <n v="0"/>
    <n v="0"/>
    <n v="0"/>
    <n v="0"/>
    <n v="0"/>
    <n v="0"/>
    <x v="2"/>
    <n v="0"/>
    <n v="0"/>
    <n v="0"/>
    <s v="MMR001CMP033"/>
    <x v="0"/>
    <x v="1"/>
    <x v="1"/>
    <n v="0"/>
    <m/>
    <m/>
  </r>
  <r>
    <n v="31.733333333333334"/>
    <d v="2014-05-25T00:00:00"/>
    <x v="6"/>
    <s v="MRCS"/>
    <s v="Kachin"/>
    <s v="Waingmaw"/>
    <s v="Hkat Cho "/>
    <m/>
    <m/>
    <m/>
    <m/>
    <m/>
    <m/>
    <m/>
    <m/>
    <m/>
    <m/>
    <m/>
    <m/>
    <m/>
    <n v="224"/>
    <m/>
    <m/>
    <m/>
    <n v="0"/>
    <n v="0"/>
    <n v="0"/>
    <n v="0"/>
    <n v="0"/>
    <n v="0"/>
    <n v="0"/>
    <n v="0"/>
    <n v="0"/>
    <n v="0"/>
    <n v="0"/>
    <n v="0"/>
    <n v="0"/>
    <n v="0"/>
    <x v="2"/>
    <n v="0"/>
    <n v="0"/>
    <n v="0"/>
    <s v="MMR001CMP028"/>
    <x v="0"/>
    <x v="1"/>
    <x v="1"/>
    <n v="0"/>
    <m/>
    <m/>
  </r>
  <r>
    <n v="31.733333333333334"/>
    <d v="2014-05-25T00:00:00"/>
    <x v="6"/>
    <s v="MRCS"/>
    <s v="Kachin"/>
    <s v="Waingmaw"/>
    <s v="Qtr. 4 Monestry (Thargaya Thayett Taw)"/>
    <m/>
    <m/>
    <m/>
    <m/>
    <m/>
    <m/>
    <m/>
    <m/>
    <m/>
    <m/>
    <m/>
    <m/>
    <m/>
    <n v="182"/>
    <m/>
    <m/>
    <m/>
    <n v="0"/>
    <n v="0"/>
    <n v="0"/>
    <n v="0"/>
    <n v="0"/>
    <n v="0"/>
    <n v="0"/>
    <n v="0"/>
    <n v="0"/>
    <n v="0"/>
    <n v="0"/>
    <n v="0"/>
    <n v="0"/>
    <n v="0"/>
    <x v="2"/>
    <n v="0"/>
    <n v="0"/>
    <n v="0"/>
    <s v="MMR001CMP026"/>
    <x v="0"/>
    <x v="1"/>
    <x v="1"/>
    <n v="0"/>
    <m/>
    <m/>
  </r>
  <r>
    <n v="31.833333333333332"/>
    <d v="2014-05-22T00:00:00"/>
    <x v="6"/>
    <s v="MRCS"/>
    <s v="Kachin"/>
    <s v="Waingmaw"/>
    <s v="Mading Baptist Church"/>
    <m/>
    <m/>
    <m/>
    <m/>
    <m/>
    <m/>
    <m/>
    <m/>
    <m/>
    <m/>
    <m/>
    <m/>
    <m/>
    <n v="46"/>
    <m/>
    <m/>
    <m/>
    <n v="0"/>
    <n v="0"/>
    <n v="0"/>
    <n v="0"/>
    <n v="0"/>
    <n v="0"/>
    <n v="0"/>
    <n v="0"/>
    <n v="0"/>
    <n v="0"/>
    <n v="0"/>
    <n v="0"/>
    <n v="0"/>
    <n v="0"/>
    <x v="2"/>
    <n v="0"/>
    <n v="0"/>
    <n v="0"/>
    <s v="MMR001CMP027"/>
    <x v="0"/>
    <x v="1"/>
    <x v="1"/>
    <n v="0"/>
    <m/>
    <m/>
  </r>
  <r>
    <n v="31.833333333333332"/>
    <d v="2014-05-22T00:00:00"/>
    <x v="6"/>
    <s v="MRCS"/>
    <s v="Kachin"/>
    <s v="Waingmaw"/>
    <s v="Qtr. 2 Lhaovo Baptist Church"/>
    <m/>
    <m/>
    <m/>
    <m/>
    <m/>
    <m/>
    <m/>
    <m/>
    <m/>
    <m/>
    <m/>
    <m/>
    <m/>
    <n v="88"/>
    <m/>
    <m/>
    <m/>
    <n v="0"/>
    <n v="0"/>
    <n v="0"/>
    <n v="0"/>
    <n v="0"/>
    <n v="0"/>
    <n v="0"/>
    <n v="0"/>
    <n v="0"/>
    <n v="0"/>
    <n v="0"/>
    <n v="0"/>
    <n v="0"/>
    <n v="0"/>
    <x v="2"/>
    <n v="0"/>
    <n v="0"/>
    <n v="0"/>
    <s v="MMR001CMP032"/>
    <x v="0"/>
    <x v="1"/>
    <x v="1"/>
    <n v="0"/>
    <m/>
    <m/>
  </r>
  <r>
    <n v="31.833333333333332"/>
    <d v="2014-05-22T00:00:00"/>
    <x v="6"/>
    <s v="MRCS"/>
    <s v="Kachin"/>
    <s v="Waingmaw"/>
    <s v="Qtr. 2 Myoma Baptist Church"/>
    <m/>
    <m/>
    <m/>
    <m/>
    <m/>
    <m/>
    <m/>
    <m/>
    <m/>
    <m/>
    <m/>
    <m/>
    <m/>
    <n v="140"/>
    <m/>
    <m/>
    <m/>
    <n v="0"/>
    <n v="0"/>
    <n v="0"/>
    <n v="0"/>
    <n v="0"/>
    <n v="0"/>
    <n v="0"/>
    <n v="0"/>
    <n v="0"/>
    <n v="0"/>
    <n v="0"/>
    <n v="0"/>
    <n v="0"/>
    <n v="0"/>
    <x v="2"/>
    <n v="0"/>
    <n v="0"/>
    <n v="0"/>
    <s v="MMR001CMP025"/>
    <x v="0"/>
    <x v="1"/>
    <x v="1"/>
    <n v="0"/>
    <m/>
    <m/>
  </r>
  <r>
    <n v="31.866666666666667"/>
    <d v="2014-05-21T00:00:00"/>
    <x v="6"/>
    <s v="MRCS"/>
    <s v="Kachin"/>
    <s v="Myitkyina"/>
    <s v="Myay Myint Baptist Church"/>
    <m/>
    <m/>
    <m/>
    <m/>
    <m/>
    <m/>
    <m/>
    <m/>
    <m/>
    <m/>
    <m/>
    <m/>
    <m/>
    <n v="24"/>
    <m/>
    <m/>
    <m/>
    <n v="0"/>
    <n v="0"/>
    <n v="0"/>
    <n v="0"/>
    <n v="0"/>
    <n v="0"/>
    <n v="0"/>
    <n v="0"/>
    <n v="0"/>
    <n v="0"/>
    <n v="0"/>
    <n v="0"/>
    <n v="0"/>
    <n v="0"/>
    <x v="2"/>
    <n v="0"/>
    <n v="0"/>
    <n v="0"/>
    <s v="MMR001CMP017"/>
    <x v="0"/>
    <x v="0"/>
    <x v="1"/>
    <n v="0"/>
    <m/>
    <m/>
  </r>
  <r>
    <n v="31.866666666666667"/>
    <d v="2014-05-21T00:00:00"/>
    <x v="6"/>
    <s v="MRCS"/>
    <s v="Kachin"/>
    <s v="Myitkyina"/>
    <s v="Shatapru Thida Aye Baptist Church"/>
    <m/>
    <m/>
    <m/>
    <m/>
    <m/>
    <m/>
    <m/>
    <m/>
    <m/>
    <m/>
    <m/>
    <m/>
    <m/>
    <n v="30"/>
    <m/>
    <m/>
    <m/>
    <n v="0"/>
    <n v="0"/>
    <n v="0"/>
    <n v="0"/>
    <n v="0"/>
    <n v="0"/>
    <n v="0"/>
    <n v="0"/>
    <n v="0"/>
    <n v="0"/>
    <n v="0"/>
    <n v="0"/>
    <n v="0"/>
    <n v="0"/>
    <x v="2"/>
    <n v="0"/>
    <n v="0"/>
    <n v="0"/>
    <s v="MMR001CMP007"/>
    <x v="0"/>
    <x v="1"/>
    <x v="1"/>
    <n v="0"/>
    <m/>
    <m/>
  </r>
  <r>
    <n v="31.866666666666667"/>
    <d v="2014-05-21T00:00:00"/>
    <x v="6"/>
    <s v="MRCS"/>
    <s v="Kachin"/>
    <s v="Waingmaw"/>
    <s v="Thargaya Lisu Baptist Church"/>
    <m/>
    <m/>
    <m/>
    <m/>
    <m/>
    <m/>
    <m/>
    <m/>
    <m/>
    <m/>
    <m/>
    <m/>
    <m/>
    <n v="136"/>
    <m/>
    <m/>
    <m/>
    <n v="0"/>
    <n v="0"/>
    <n v="0"/>
    <n v="0"/>
    <n v="0"/>
    <n v="0"/>
    <n v="0"/>
    <n v="0"/>
    <n v="0"/>
    <n v="0"/>
    <n v="0"/>
    <n v="0"/>
    <n v="0"/>
    <n v="0"/>
    <x v="2"/>
    <n v="0"/>
    <n v="0"/>
    <n v="0"/>
    <s v="MMR001CMP037"/>
    <x v="0"/>
    <x v="1"/>
    <x v="1"/>
    <n v="0"/>
    <m/>
    <m/>
  </r>
  <r>
    <n v="31.9"/>
    <d v="2014-05-20T00:00:00"/>
    <x v="6"/>
    <s v="MRCS"/>
    <s v="Kachin"/>
    <s v="Myitkyina"/>
    <s v="Kyun Pin Thar Baptist Church"/>
    <m/>
    <m/>
    <m/>
    <m/>
    <m/>
    <m/>
    <m/>
    <m/>
    <m/>
    <m/>
    <m/>
    <m/>
    <m/>
    <n v="88"/>
    <m/>
    <m/>
    <m/>
    <n v="0"/>
    <n v="0"/>
    <n v="0"/>
    <n v="0"/>
    <n v="0"/>
    <n v="0"/>
    <n v="0"/>
    <n v="0"/>
    <n v="0"/>
    <n v="0"/>
    <n v="0"/>
    <n v="0"/>
    <n v="0"/>
    <n v="0"/>
    <x v="2"/>
    <n v="0"/>
    <n v="0"/>
    <n v="0"/>
    <s v="MMR001CMP013"/>
    <x v="0"/>
    <x v="1"/>
    <x v="1"/>
    <n v="0"/>
    <m/>
    <m/>
  </r>
  <r>
    <n v="31.9"/>
    <d v="2014-05-20T00:00:00"/>
    <x v="6"/>
    <s v="MRCS"/>
    <s v="Kachin"/>
    <s v="Myitkyina"/>
    <s v="Le Kone Bethlehem Church"/>
    <m/>
    <m/>
    <m/>
    <m/>
    <m/>
    <m/>
    <m/>
    <m/>
    <m/>
    <m/>
    <m/>
    <m/>
    <m/>
    <n v="188"/>
    <m/>
    <m/>
    <m/>
    <n v="0"/>
    <n v="0"/>
    <n v="0"/>
    <n v="0"/>
    <n v="0"/>
    <n v="0"/>
    <n v="0"/>
    <n v="0"/>
    <n v="0"/>
    <n v="0"/>
    <n v="0"/>
    <n v="0"/>
    <n v="0"/>
    <n v="0"/>
    <x v="2"/>
    <n v="0"/>
    <n v="0"/>
    <n v="0"/>
    <s v="MMR001CMP015"/>
    <x v="0"/>
    <x v="1"/>
    <x v="1"/>
    <n v="0"/>
    <m/>
    <m/>
  </r>
  <r>
    <n v="31.9"/>
    <d v="2014-05-20T00:00:00"/>
    <x v="6"/>
    <s v="MRCS"/>
    <s v="Kachin"/>
    <s v="Myitkyina"/>
    <s v="Le Kone Ziun Baptist Church "/>
    <m/>
    <m/>
    <m/>
    <m/>
    <m/>
    <m/>
    <m/>
    <m/>
    <m/>
    <m/>
    <m/>
    <m/>
    <m/>
    <n v="278"/>
    <m/>
    <m/>
    <m/>
    <n v="0"/>
    <n v="0"/>
    <n v="0"/>
    <n v="0"/>
    <n v="0"/>
    <n v="0"/>
    <n v="0"/>
    <n v="0"/>
    <n v="0"/>
    <n v="0"/>
    <n v="0"/>
    <n v="0"/>
    <n v="0"/>
    <n v="0"/>
    <x v="2"/>
    <n v="0"/>
    <n v="0"/>
    <n v="0"/>
    <s v="MMR001CMP014"/>
    <x v="0"/>
    <x v="1"/>
    <x v="1"/>
    <n v="0"/>
    <m/>
    <m/>
  </r>
  <r>
    <n v="31.9"/>
    <d v="2014-05-20T00:00:00"/>
    <x v="6"/>
    <s v="MRCS"/>
    <s v="Kachin"/>
    <s v="Waingmaw"/>
    <s v="Maina KBC (Bawng Ring)"/>
    <m/>
    <m/>
    <m/>
    <m/>
    <m/>
    <m/>
    <m/>
    <m/>
    <m/>
    <m/>
    <m/>
    <m/>
    <m/>
    <n v="824"/>
    <m/>
    <m/>
    <m/>
    <n v="0"/>
    <n v="0"/>
    <n v="0"/>
    <n v="0"/>
    <n v="0"/>
    <n v="0"/>
    <n v="0"/>
    <n v="0"/>
    <n v="0"/>
    <n v="0"/>
    <n v="0"/>
    <n v="0"/>
    <n v="0"/>
    <n v="0"/>
    <x v="2"/>
    <n v="0"/>
    <n v="0"/>
    <n v="0"/>
    <s v="MMR001CMP040"/>
    <x v="0"/>
    <x v="1"/>
    <x v="1"/>
    <n v="0"/>
    <m/>
    <m/>
  </r>
  <r>
    <n v="31.9"/>
    <d v="2014-05-20T00:00:00"/>
    <x v="6"/>
    <s v="MRCS"/>
    <s v="Kachin"/>
    <s v="Myitkyina"/>
    <s v="Maliyang Baptist Church"/>
    <m/>
    <m/>
    <m/>
    <m/>
    <m/>
    <m/>
    <m/>
    <m/>
    <m/>
    <m/>
    <m/>
    <m/>
    <m/>
    <n v="142"/>
    <m/>
    <m/>
    <m/>
    <n v="0"/>
    <n v="0"/>
    <n v="0"/>
    <n v="0"/>
    <n v="0"/>
    <n v="0"/>
    <n v="0"/>
    <n v="0"/>
    <n v="0"/>
    <n v="0"/>
    <n v="0"/>
    <n v="0"/>
    <n v="0"/>
    <n v="0"/>
    <x v="2"/>
    <n v="0"/>
    <n v="0"/>
    <n v="0"/>
    <s v="MMR001CMP016"/>
    <x v="0"/>
    <x v="1"/>
    <x v="1"/>
    <n v="0"/>
    <m/>
    <m/>
  </r>
  <r>
    <n v="31.933333333333334"/>
    <d v="2014-05-19T00:00:00"/>
    <x v="6"/>
    <s v="MRCS"/>
    <s v="Kachin"/>
    <s v="Waingmaw"/>
    <s v="Maina AG Church"/>
    <m/>
    <m/>
    <m/>
    <m/>
    <m/>
    <m/>
    <m/>
    <m/>
    <m/>
    <m/>
    <m/>
    <m/>
    <m/>
    <n v="224"/>
    <m/>
    <m/>
    <m/>
    <n v="0"/>
    <n v="0"/>
    <n v="0"/>
    <n v="0"/>
    <n v="0"/>
    <n v="0"/>
    <n v="0"/>
    <n v="0"/>
    <n v="0"/>
    <n v="0"/>
    <n v="0"/>
    <n v="0"/>
    <n v="0"/>
    <n v="0"/>
    <x v="2"/>
    <n v="0"/>
    <n v="0"/>
    <n v="0"/>
    <s v="MMR001CMP031"/>
    <x v="0"/>
    <x v="1"/>
    <x v="1"/>
    <n v="0"/>
    <m/>
    <m/>
  </r>
  <r>
    <n v="31.933333333333334"/>
    <d v="2014-05-19T00:00:00"/>
    <x v="6"/>
    <s v="MRCS"/>
    <s v="Kachin"/>
    <s v="Waingmaw"/>
    <s v="Maina Lawang Baptist Church"/>
    <m/>
    <m/>
    <m/>
    <m/>
    <m/>
    <m/>
    <m/>
    <m/>
    <m/>
    <m/>
    <m/>
    <m/>
    <m/>
    <n v="230"/>
    <m/>
    <m/>
    <m/>
    <n v="0"/>
    <n v="0"/>
    <n v="0"/>
    <n v="0"/>
    <n v="0"/>
    <n v="0"/>
    <n v="0"/>
    <n v="0"/>
    <n v="0"/>
    <n v="0"/>
    <n v="0"/>
    <n v="0"/>
    <n v="0"/>
    <n v="0"/>
    <x v="2"/>
    <n v="0"/>
    <n v="0"/>
    <n v="0"/>
    <s v="MMR001CMP039"/>
    <x v="0"/>
    <x v="1"/>
    <x v="1"/>
    <n v="0"/>
    <m/>
    <m/>
  </r>
  <r>
    <n v="31.933333333333334"/>
    <d v="2014-05-19T00:00:00"/>
    <x v="6"/>
    <s v="MRCS"/>
    <s v="Kachin"/>
    <s v="Waingmaw"/>
    <s v="Qtr. 3 Mu-yin  Baptist Church"/>
    <m/>
    <m/>
    <m/>
    <m/>
    <m/>
    <m/>
    <m/>
    <m/>
    <m/>
    <m/>
    <m/>
    <m/>
    <m/>
    <n v="60"/>
    <m/>
    <m/>
    <m/>
    <n v="0"/>
    <n v="0"/>
    <n v="0"/>
    <n v="0"/>
    <n v="0"/>
    <n v="0"/>
    <n v="0"/>
    <n v="0"/>
    <n v="0"/>
    <n v="0"/>
    <n v="0"/>
    <n v="0"/>
    <n v="0"/>
    <n v="0"/>
    <x v="2"/>
    <n v="0"/>
    <n v="0"/>
    <n v="0"/>
    <s v="MMR001CMP030"/>
    <x v="0"/>
    <x v="1"/>
    <x v="1"/>
    <n v="0"/>
    <m/>
    <m/>
  </r>
  <r>
    <n v="32.033333333333331"/>
    <d v="2014-05-16T00:00:00"/>
    <x v="6"/>
    <s v="MRCS"/>
    <s v="Kachin"/>
    <s v="Waingmaw"/>
    <s v="Maina Catholic Church (St. Joseph)"/>
    <m/>
    <m/>
    <m/>
    <m/>
    <m/>
    <m/>
    <m/>
    <m/>
    <m/>
    <m/>
    <m/>
    <m/>
    <m/>
    <n v="470"/>
    <m/>
    <m/>
    <m/>
    <n v="0"/>
    <n v="0"/>
    <n v="0"/>
    <n v="0"/>
    <n v="0"/>
    <n v="0"/>
    <n v="0"/>
    <n v="0"/>
    <n v="0"/>
    <n v="0"/>
    <n v="0"/>
    <n v="0"/>
    <n v="0"/>
    <n v="0"/>
    <x v="2"/>
    <n v="0"/>
    <n v="0"/>
    <n v="0"/>
    <s v="MMR001CMP029"/>
    <x v="0"/>
    <x v="1"/>
    <x v="1"/>
    <n v="0"/>
    <m/>
    <m/>
  </r>
  <r>
    <n v="32.033333333333331"/>
    <d v="2014-05-16T00:00:00"/>
    <x v="0"/>
    <s v="UNHCR"/>
    <s v="Kachin"/>
    <s v="Bhamo"/>
    <s v="Mu-yin Baptist Church"/>
    <m/>
    <m/>
    <m/>
    <n v="10"/>
    <n v="4"/>
    <n v="10"/>
    <n v="4"/>
    <n v="4"/>
    <n v="4"/>
    <n v="18"/>
    <m/>
    <m/>
    <m/>
    <m/>
    <m/>
    <m/>
    <m/>
    <n v="0"/>
    <n v="0"/>
    <n v="0"/>
    <n v="0"/>
    <n v="0"/>
    <n v="0"/>
    <n v="0"/>
    <n v="0"/>
    <n v="0"/>
    <n v="0"/>
    <n v="0"/>
    <n v="0"/>
    <n v="0"/>
    <n v="0"/>
    <x v="0"/>
    <n v="0"/>
    <n v="0"/>
    <n v="0"/>
    <s v="MMR001CMP051"/>
    <x v="0"/>
    <x v="1"/>
    <x v="1"/>
    <n v="9.7127455503484453E-5"/>
    <s v="No"/>
    <m/>
  </r>
  <r>
    <n v="32.033333333333331"/>
    <d v="2014-05-16T00:00:00"/>
    <x v="6"/>
    <s v="MRCS"/>
    <s v="Kachin"/>
    <s v="Myitkyina"/>
    <s v="Nan Kway St. John Catholic Church"/>
    <m/>
    <m/>
    <m/>
    <m/>
    <m/>
    <m/>
    <m/>
    <m/>
    <m/>
    <m/>
    <m/>
    <m/>
    <m/>
    <n v="142"/>
    <m/>
    <m/>
    <m/>
    <n v="0"/>
    <n v="0"/>
    <n v="0"/>
    <n v="0"/>
    <n v="0"/>
    <n v="0"/>
    <n v="0"/>
    <n v="0"/>
    <n v="0"/>
    <n v="0"/>
    <n v="0"/>
    <n v="0"/>
    <n v="0"/>
    <n v="0"/>
    <x v="2"/>
    <n v="0"/>
    <n v="0"/>
    <n v="0"/>
    <s v="MMR001CMP024"/>
    <x v="0"/>
    <x v="1"/>
    <x v="1"/>
    <n v="0"/>
    <m/>
    <m/>
  </r>
  <r>
    <n v="32.033333333333331"/>
    <d v="2014-05-16T00:00:00"/>
    <x v="0"/>
    <s v="UNHCR"/>
    <s v="Kachin"/>
    <s v="Bhamo"/>
    <s v="Ta Gun Taing Monastery (Shwe Kyi Na)"/>
    <m/>
    <m/>
    <m/>
    <n v="24"/>
    <n v="13"/>
    <n v="24"/>
    <n v="13"/>
    <n v="13"/>
    <n v="13"/>
    <n v="33"/>
    <m/>
    <m/>
    <m/>
    <m/>
    <m/>
    <m/>
    <m/>
    <n v="0"/>
    <n v="0"/>
    <n v="0"/>
    <n v="0"/>
    <n v="0"/>
    <n v="0"/>
    <n v="0"/>
    <n v="0"/>
    <n v="0"/>
    <n v="0"/>
    <n v="0"/>
    <n v="0"/>
    <n v="0"/>
    <n v="0"/>
    <x v="0"/>
    <n v="0"/>
    <n v="0"/>
    <n v="0"/>
    <s v="MMR001CMP055"/>
    <x v="0"/>
    <x v="1"/>
    <x v="1"/>
    <n v="3.1684133560809166E-4"/>
    <s v="No"/>
    <m/>
  </r>
  <r>
    <n v="32.06666666666667"/>
    <d v="2014-05-15T00:00:00"/>
    <x v="0"/>
    <s v="UNHCR"/>
    <s v="Kachin"/>
    <s v="Bhamo"/>
    <s v="AD-2000 Tharthana Compound"/>
    <m/>
    <m/>
    <m/>
    <n v="10"/>
    <n v="4"/>
    <n v="12"/>
    <n v="4"/>
    <n v="4"/>
    <n v="4"/>
    <n v="12"/>
    <m/>
    <m/>
    <m/>
    <m/>
    <m/>
    <m/>
    <m/>
    <n v="0"/>
    <n v="0"/>
    <n v="0"/>
    <n v="0"/>
    <n v="0"/>
    <n v="0"/>
    <n v="0"/>
    <n v="0"/>
    <n v="0"/>
    <n v="0"/>
    <n v="0"/>
    <n v="0"/>
    <n v="0"/>
    <n v="0"/>
    <x v="0"/>
    <n v="0"/>
    <n v="0"/>
    <n v="0"/>
    <s v="MMR001CMP050"/>
    <x v="0"/>
    <x v="1"/>
    <x v="1"/>
    <n v="9.7924010967489225E-5"/>
    <s v="No"/>
    <m/>
  </r>
  <r>
    <n v="32.06666666666667"/>
    <d v="2014-05-15T00:00:00"/>
    <x v="0"/>
    <s v="UNHCR"/>
    <s v="Kachin"/>
    <s v="Mansi"/>
    <s v="Maing Khaung"/>
    <m/>
    <m/>
    <n v="10"/>
    <n v="10"/>
    <n v="5"/>
    <n v="15"/>
    <n v="5"/>
    <n v="5"/>
    <n v="5"/>
    <n v="20"/>
    <m/>
    <m/>
    <m/>
    <m/>
    <m/>
    <m/>
    <m/>
    <n v="0"/>
    <n v="0"/>
    <n v="0"/>
    <n v="0"/>
    <n v="0"/>
    <n v="0"/>
    <n v="0"/>
    <n v="0"/>
    <n v="0"/>
    <n v="0"/>
    <n v="0"/>
    <n v="0"/>
    <n v="0"/>
    <n v="0"/>
    <x v="0"/>
    <n v="0"/>
    <n v="0"/>
    <n v="0"/>
    <s v="MMR001CMP218"/>
    <x v="0"/>
    <x v="1"/>
    <x v="1"/>
    <n v="1.2034273611244825E-4"/>
    <s v="No"/>
    <m/>
  </r>
  <r>
    <n v="32.1"/>
    <d v="2014-05-14T00:00:00"/>
    <x v="0"/>
    <s v="UNHCR"/>
    <s v="Kachin"/>
    <s v="Bhamo"/>
    <s v="AD-2000 Tharthana Compound"/>
    <m/>
    <m/>
    <n v="11"/>
    <n v="12"/>
    <n v="4"/>
    <n v="12"/>
    <n v="4"/>
    <n v="4"/>
    <n v="4"/>
    <n v="15"/>
    <m/>
    <m/>
    <m/>
    <m/>
    <m/>
    <m/>
    <m/>
    <n v="0"/>
    <n v="0"/>
    <n v="0"/>
    <n v="0"/>
    <n v="0"/>
    <n v="0"/>
    <n v="0"/>
    <n v="0"/>
    <n v="0"/>
    <n v="0"/>
    <n v="0"/>
    <n v="0"/>
    <n v="0"/>
    <n v="0"/>
    <x v="0"/>
    <n v="0"/>
    <n v="0"/>
    <n v="0"/>
    <s v="MMR001CMP050"/>
    <x v="0"/>
    <x v="1"/>
    <x v="1"/>
    <n v="9.7924010967489225E-5"/>
    <s v="No"/>
    <m/>
  </r>
  <r>
    <n v="32.1"/>
    <d v="2014-05-14T00:00:00"/>
    <x v="0"/>
    <s v="UNHCR"/>
    <s v="Kachin"/>
    <s v="Momauk"/>
    <s v="Momauk Baptist Church"/>
    <m/>
    <m/>
    <n v="5"/>
    <n v="6"/>
    <n v="32"/>
    <n v="6"/>
    <n v="2"/>
    <n v="2"/>
    <n v="2"/>
    <n v="10"/>
    <m/>
    <m/>
    <m/>
    <m/>
    <m/>
    <m/>
    <m/>
    <n v="0"/>
    <n v="0"/>
    <n v="0"/>
    <n v="0"/>
    <n v="0"/>
    <n v="0"/>
    <n v="0"/>
    <n v="0"/>
    <n v="0"/>
    <n v="0"/>
    <n v="0"/>
    <n v="0"/>
    <n v="0"/>
    <n v="0"/>
    <x v="0"/>
    <n v="0"/>
    <n v="0"/>
    <n v="0"/>
    <s v="MMR001CMP056"/>
    <x v="0"/>
    <x v="1"/>
    <x v="1"/>
    <n v="4.9146086742843099E-5"/>
    <s v="No"/>
    <m/>
  </r>
  <r>
    <n v="32.1"/>
    <d v="2014-05-14T00:00:00"/>
    <x v="0"/>
    <s v="UNHCR"/>
    <s v="Kachin"/>
    <s v="Bhamo"/>
    <s v="Ta Gun Taing Monastery (Shwe Kyi Na)"/>
    <m/>
    <m/>
    <n v="17"/>
    <n v="108"/>
    <n v="36"/>
    <n v="108"/>
    <n v="36"/>
    <n v="36"/>
    <n v="36"/>
    <n v="142"/>
    <m/>
    <m/>
    <m/>
    <m/>
    <m/>
    <m/>
    <m/>
    <n v="0"/>
    <n v="0"/>
    <n v="0"/>
    <n v="0"/>
    <n v="0"/>
    <n v="0"/>
    <n v="0"/>
    <n v="0"/>
    <n v="0"/>
    <n v="0"/>
    <n v="0"/>
    <n v="0"/>
    <n v="0"/>
    <n v="0"/>
    <x v="0"/>
    <n v="0"/>
    <n v="0"/>
    <n v="0"/>
    <s v="MMR001CMP055"/>
    <x v="0"/>
    <x v="1"/>
    <x v="1"/>
    <n v="8.7740677553009995E-4"/>
    <s v="No"/>
    <m/>
  </r>
  <r>
    <n v="32.133333333333333"/>
    <d v="2014-05-13T00:00:00"/>
    <x v="6"/>
    <s v="MRCS"/>
    <s v="Kachin"/>
    <s v="Myitkyina"/>
    <s v="Njang Dung Baptist Church "/>
    <m/>
    <m/>
    <m/>
    <m/>
    <m/>
    <m/>
    <m/>
    <m/>
    <m/>
    <m/>
    <m/>
    <m/>
    <m/>
    <n v="112"/>
    <m/>
    <m/>
    <m/>
    <n v="0"/>
    <n v="0"/>
    <n v="0"/>
    <n v="0"/>
    <n v="0"/>
    <n v="0"/>
    <n v="0"/>
    <n v="0"/>
    <n v="0"/>
    <n v="0"/>
    <n v="0"/>
    <n v="0"/>
    <n v="0"/>
    <n v="0"/>
    <x v="2"/>
    <n v="0"/>
    <n v="0"/>
    <n v="0"/>
    <s v="MMR001CMP002"/>
    <x v="0"/>
    <x v="1"/>
    <x v="1"/>
    <n v="0"/>
    <m/>
    <m/>
  </r>
  <r>
    <n v="32.166666666666664"/>
    <d v="2014-05-12T00:00:00"/>
    <x v="6"/>
    <s v="MRCS"/>
    <s v="Kachin"/>
    <s v="Myitkyina"/>
    <s v="Man Hkring Baptist Church"/>
    <m/>
    <m/>
    <m/>
    <m/>
    <m/>
    <m/>
    <m/>
    <m/>
    <m/>
    <m/>
    <m/>
    <m/>
    <m/>
    <n v="184"/>
    <m/>
    <m/>
    <m/>
    <n v="0"/>
    <n v="0"/>
    <n v="0"/>
    <n v="0"/>
    <n v="0"/>
    <n v="0"/>
    <n v="0"/>
    <n v="0"/>
    <n v="0"/>
    <n v="0"/>
    <n v="0"/>
    <n v="0"/>
    <n v="0"/>
    <n v="0"/>
    <x v="2"/>
    <n v="0"/>
    <n v="0"/>
    <n v="0"/>
    <s v="MMR001CMP008"/>
    <x v="0"/>
    <x v="1"/>
    <x v="1"/>
    <n v="0"/>
    <m/>
    <m/>
  </r>
  <r>
    <n v="32.166666666666664"/>
    <d v="2014-05-12T00:00:00"/>
    <x v="0"/>
    <m/>
    <s v="Shan_North"/>
    <s v="Muse"/>
    <s v="Muse Catholic Church"/>
    <m/>
    <m/>
    <m/>
    <n v="68"/>
    <n v="9"/>
    <n v="118"/>
    <n v="9"/>
    <n v="0"/>
    <n v="9"/>
    <n v="45"/>
    <m/>
    <m/>
    <m/>
    <m/>
    <m/>
    <m/>
    <m/>
    <n v="0"/>
    <n v="0"/>
    <n v="0"/>
    <n v="0"/>
    <n v="0"/>
    <n v="0"/>
    <n v="0"/>
    <n v="0"/>
    <n v="0"/>
    <n v="0"/>
    <n v="0"/>
    <n v="0"/>
    <n v="0"/>
    <n v="0"/>
    <x v="0"/>
    <n v="0"/>
    <n v="0"/>
    <n v="0"/>
    <s v="MMR015CMP216"/>
    <x v="1"/>
    <x v="1"/>
    <x v="1"/>
    <n v="2.156515071644223E-4"/>
    <m/>
    <s v="Items distributed to other affected people"/>
  </r>
  <r>
    <n v="32.166666666666664"/>
    <d v="2014-05-12T00:00:00"/>
    <x v="0"/>
    <m/>
    <s v="Shan_North"/>
    <s v="Muse"/>
    <s v="Muse Catholic Church"/>
    <m/>
    <m/>
    <m/>
    <n v="82"/>
    <n v="41"/>
    <n v="82"/>
    <n v="41"/>
    <m/>
    <n v="41"/>
    <n v="205"/>
    <m/>
    <m/>
    <m/>
    <m/>
    <m/>
    <m/>
    <m/>
    <n v="0"/>
    <n v="0"/>
    <n v="0"/>
    <n v="0"/>
    <n v="0"/>
    <n v="0"/>
    <n v="0"/>
    <n v="0"/>
    <n v="0"/>
    <n v="0"/>
    <n v="0"/>
    <n v="0"/>
    <n v="0"/>
    <n v="0"/>
    <x v="0"/>
    <n v="0"/>
    <n v="0"/>
    <n v="0"/>
    <s v="MMR015CMP216"/>
    <x v="1"/>
    <x v="1"/>
    <x v="1"/>
    <n v="9.8241242152681259E-4"/>
    <m/>
    <m/>
  </r>
  <r>
    <n v="32.166666666666664"/>
    <d v="2014-05-12T00:00:00"/>
    <x v="6"/>
    <s v="MRCS"/>
    <s v="Kachin"/>
    <s v="Myitkyina"/>
    <s v="Shwe Zet Baptist Church"/>
    <m/>
    <m/>
    <m/>
    <m/>
    <m/>
    <m/>
    <m/>
    <m/>
    <m/>
    <m/>
    <m/>
    <m/>
    <m/>
    <n v="168"/>
    <m/>
    <m/>
    <m/>
    <n v="0"/>
    <n v="0"/>
    <n v="0"/>
    <n v="0"/>
    <n v="0"/>
    <n v="0"/>
    <n v="0"/>
    <n v="0"/>
    <n v="0"/>
    <n v="0"/>
    <n v="0"/>
    <n v="0"/>
    <n v="0"/>
    <n v="0"/>
    <x v="2"/>
    <n v="0"/>
    <n v="0"/>
    <n v="0"/>
    <s v="MMR001CMP009"/>
    <x v="0"/>
    <x v="1"/>
    <x v="1"/>
    <n v="0"/>
    <m/>
    <m/>
  </r>
  <r>
    <n v="32.200000000000003"/>
    <d v="2014-05-11T00:00:00"/>
    <x v="0"/>
    <m/>
    <s v="Shan_North"/>
    <s v="Muse"/>
    <s v="Muse Baptist Church"/>
    <m/>
    <m/>
    <m/>
    <n v="138"/>
    <n v="19"/>
    <n v="238"/>
    <n v="19"/>
    <n v="0"/>
    <n v="19"/>
    <n v="95"/>
    <m/>
    <m/>
    <m/>
    <m/>
    <m/>
    <m/>
    <m/>
    <n v="0"/>
    <n v="0"/>
    <n v="0"/>
    <n v="0"/>
    <n v="0"/>
    <n v="0"/>
    <n v="0"/>
    <n v="0"/>
    <n v="0"/>
    <n v="0"/>
    <n v="0"/>
    <n v="0"/>
    <n v="0"/>
    <n v="0"/>
    <x v="0"/>
    <n v="0"/>
    <n v="0"/>
    <n v="0"/>
    <s v="MMR015CMP213"/>
    <x v="1"/>
    <x v="1"/>
    <x v="1"/>
    <n v="4.5560271443301442E-4"/>
    <m/>
    <s v="Items distributed to other affected people"/>
  </r>
  <r>
    <n v="32.200000000000003"/>
    <d v="2014-05-11T00:00:00"/>
    <x v="0"/>
    <m/>
    <s v="Shan_North"/>
    <s v="Muse"/>
    <s v="Muse Baptist Church"/>
    <m/>
    <m/>
    <m/>
    <n v="162"/>
    <n v="81"/>
    <n v="162"/>
    <n v="81"/>
    <m/>
    <n v="81"/>
    <n v="405"/>
    <m/>
    <m/>
    <m/>
    <m/>
    <m/>
    <m/>
    <m/>
    <n v="0"/>
    <n v="0"/>
    <n v="0"/>
    <n v="0"/>
    <n v="0"/>
    <n v="0"/>
    <n v="0"/>
    <n v="0"/>
    <n v="0"/>
    <n v="0"/>
    <n v="0"/>
    <n v="0"/>
    <n v="0"/>
    <n v="0"/>
    <x v="0"/>
    <n v="0"/>
    <n v="0"/>
    <n v="0"/>
    <s v="MMR015CMP213"/>
    <x v="1"/>
    <x v="1"/>
    <x v="1"/>
    <n v="1.9423063088986404E-3"/>
    <m/>
    <m/>
  </r>
  <r>
    <n v="32.266666666666666"/>
    <d v="2014-05-09T00:00:00"/>
    <x v="6"/>
    <s v="MRCS"/>
    <s v="Kachin"/>
    <s v="Myitkyina"/>
    <s v="Pa Dauk Myaing(Pa La Na)"/>
    <m/>
    <m/>
    <m/>
    <m/>
    <m/>
    <m/>
    <m/>
    <m/>
    <m/>
    <m/>
    <m/>
    <m/>
    <m/>
    <n v="58"/>
    <m/>
    <m/>
    <m/>
    <n v="0"/>
    <n v="0"/>
    <n v="0"/>
    <n v="0"/>
    <n v="0"/>
    <n v="0"/>
    <n v="0"/>
    <n v="0"/>
    <n v="0"/>
    <n v="0"/>
    <n v="0"/>
    <n v="0"/>
    <n v="0"/>
    <n v="0"/>
    <x v="2"/>
    <n v="0"/>
    <n v="0"/>
    <n v="0"/>
    <s v="MMR001CMP162"/>
    <x v="0"/>
    <x v="1"/>
    <x v="1"/>
    <n v="0"/>
    <m/>
    <m/>
  </r>
  <r>
    <n v="32.266666666666666"/>
    <d v="2014-05-09T00:00:00"/>
    <x v="6"/>
    <s v="MRCS"/>
    <s v="Kachin"/>
    <s v="Myitkyina"/>
    <s v="Shatapru Sut Ngai Tawng"/>
    <m/>
    <m/>
    <m/>
    <m/>
    <m/>
    <m/>
    <m/>
    <m/>
    <m/>
    <m/>
    <m/>
    <m/>
    <m/>
    <n v="208"/>
    <m/>
    <m/>
    <m/>
    <n v="0"/>
    <n v="0"/>
    <n v="0"/>
    <n v="0"/>
    <n v="0"/>
    <n v="0"/>
    <n v="0"/>
    <n v="0"/>
    <n v="0"/>
    <n v="0"/>
    <n v="0"/>
    <n v="0"/>
    <n v="0"/>
    <n v="0"/>
    <x v="2"/>
    <n v="0"/>
    <n v="0"/>
    <n v="0"/>
    <s v="MMR001CMP006"/>
    <x v="0"/>
    <x v="1"/>
    <x v="1"/>
    <n v="0"/>
    <m/>
    <m/>
  </r>
  <r>
    <n v="32.866666666666667"/>
    <d v="2014-04-21T00:00:00"/>
    <x v="0"/>
    <s v="UNHCR"/>
    <s v="Kachin"/>
    <s v="Bhamo"/>
    <s v="AD-2000 Tharthana Compound"/>
    <m/>
    <m/>
    <n v="5"/>
    <n v="6"/>
    <n v="2"/>
    <n v="6"/>
    <n v="2"/>
    <n v="2"/>
    <n v="2"/>
    <n v="6"/>
    <m/>
    <m/>
    <m/>
    <m/>
    <m/>
    <m/>
    <m/>
    <n v="0"/>
    <n v="0"/>
    <n v="0"/>
    <n v="0"/>
    <n v="0"/>
    <n v="0"/>
    <n v="0"/>
    <n v="0"/>
    <n v="0"/>
    <n v="0"/>
    <n v="0"/>
    <n v="0"/>
    <n v="0"/>
    <n v="0"/>
    <x v="0"/>
    <n v="0"/>
    <n v="0"/>
    <n v="0"/>
    <s v="MMR001CMP050"/>
    <x v="0"/>
    <x v="1"/>
    <x v="1"/>
    <n v="4.8962005483744613E-5"/>
    <s v="No"/>
    <m/>
  </r>
  <r>
    <n v="32.866666666666667"/>
    <d v="2014-04-21T00:00:00"/>
    <x v="0"/>
    <m/>
    <s v="Kachin"/>
    <s v="Mansi"/>
    <s v="Bum Tsit Pa Camp II"/>
    <m/>
    <m/>
    <m/>
    <n v="800"/>
    <n v="400"/>
    <m/>
    <n v="100"/>
    <m/>
    <n v="400"/>
    <n v="2000"/>
    <m/>
    <m/>
    <m/>
    <m/>
    <m/>
    <m/>
    <m/>
    <n v="0"/>
    <n v="0"/>
    <n v="0"/>
    <n v="0"/>
    <n v="0"/>
    <n v="0"/>
    <n v="0"/>
    <n v="0"/>
    <n v="0"/>
    <n v="0"/>
    <n v="0"/>
    <n v="0"/>
    <n v="0"/>
    <n v="0"/>
    <x v="0"/>
    <n v="0"/>
    <n v="0"/>
    <n v="0"/>
    <s v="MMR001CMP226"/>
    <x v="0"/>
    <x v="0"/>
    <x v="6"/>
    <n v="2.4499595756670013E-3"/>
    <m/>
    <m/>
  </r>
  <r>
    <n v="32.866666666666667"/>
    <d v="2014-04-21T00:00:00"/>
    <x v="0"/>
    <s v="UNHCR"/>
    <s v="Kachin"/>
    <s v="Mansi"/>
    <s v="Mansi Baptist Church"/>
    <m/>
    <m/>
    <n v="20"/>
    <n v="30"/>
    <n v="13"/>
    <n v="40"/>
    <n v="13"/>
    <n v="13"/>
    <n v="13"/>
    <n v="25"/>
    <m/>
    <m/>
    <m/>
    <m/>
    <m/>
    <m/>
    <m/>
    <n v="0"/>
    <n v="0"/>
    <n v="0"/>
    <n v="0"/>
    <n v="0"/>
    <n v="0"/>
    <n v="0"/>
    <n v="0"/>
    <n v="0"/>
    <n v="0"/>
    <n v="0"/>
    <n v="0"/>
    <n v="0"/>
    <n v="0"/>
    <x v="0"/>
    <n v="0"/>
    <n v="0"/>
    <n v="0"/>
    <s v="MMR001CMP066"/>
    <x v="0"/>
    <x v="1"/>
    <x v="1"/>
    <n v="3.1265783207869358E-4"/>
    <s v="No"/>
    <m/>
  </r>
  <r>
    <n v="32.866666666666667"/>
    <d v="2014-04-21T00:00:00"/>
    <x v="0"/>
    <s v="UNHCR"/>
    <s v="Kachin"/>
    <s v="Momauk"/>
    <s v="Momauk Baptist Church"/>
    <m/>
    <m/>
    <n v="15"/>
    <n v="16"/>
    <n v="50"/>
    <n v="16"/>
    <n v="7"/>
    <n v="7"/>
    <n v="7"/>
    <n v="13"/>
    <m/>
    <m/>
    <m/>
    <m/>
    <m/>
    <m/>
    <m/>
    <n v="0"/>
    <n v="0"/>
    <n v="0"/>
    <n v="0"/>
    <n v="0"/>
    <n v="0"/>
    <n v="0"/>
    <n v="0"/>
    <n v="0"/>
    <n v="0"/>
    <n v="0"/>
    <n v="0"/>
    <n v="0"/>
    <n v="0"/>
    <x v="0"/>
    <n v="0"/>
    <n v="0"/>
    <n v="0"/>
    <s v="MMR001CMP056"/>
    <x v="0"/>
    <x v="1"/>
    <x v="1"/>
    <n v="1.7201130359995086E-4"/>
    <s v="No"/>
    <m/>
  </r>
  <r>
    <n v="32.866666666666667"/>
    <d v="2014-04-21T00:00:00"/>
    <x v="0"/>
    <m/>
    <s v="Shan_North"/>
    <s v="Namhkan"/>
    <s v="Nam Hkam (KBC Jaw Wang) II"/>
    <m/>
    <m/>
    <m/>
    <n v="0"/>
    <n v="1"/>
    <n v="167"/>
    <n v="1"/>
    <n v="0"/>
    <n v="1"/>
    <n v="0"/>
    <m/>
    <m/>
    <m/>
    <m/>
    <m/>
    <m/>
    <m/>
    <n v="0"/>
    <n v="0"/>
    <n v="0"/>
    <n v="0"/>
    <n v="0"/>
    <n v="0"/>
    <n v="0"/>
    <n v="0"/>
    <n v="0"/>
    <n v="0"/>
    <n v="0"/>
    <n v="0"/>
    <n v="0"/>
    <n v="0"/>
    <x v="0"/>
    <n v="0"/>
    <n v="0"/>
    <n v="0"/>
    <s v="MMR015CMP214"/>
    <x v="1"/>
    <x v="1"/>
    <x v="1"/>
    <n v="2.3839607123274607E-5"/>
    <m/>
    <s v="Items distributed to other affected people"/>
  </r>
  <r>
    <n v="32.866666666666667"/>
    <d v="2014-04-21T00:00:00"/>
    <x v="0"/>
    <m/>
    <s v="Shan_North"/>
    <s v="Namhkan"/>
    <s v="Nam Hkam (KBC Jaw Wang) II"/>
    <m/>
    <m/>
    <m/>
    <n v="90"/>
    <n v="49"/>
    <n v="98"/>
    <n v="49"/>
    <m/>
    <n v="49"/>
    <n v="225"/>
    <m/>
    <m/>
    <m/>
    <m/>
    <m/>
    <m/>
    <m/>
    <n v="0"/>
    <n v="0"/>
    <n v="0"/>
    <n v="0"/>
    <n v="0"/>
    <n v="0"/>
    <n v="0"/>
    <n v="0"/>
    <n v="0"/>
    <n v="0"/>
    <n v="0"/>
    <n v="0"/>
    <n v="0"/>
    <n v="0"/>
    <x v="0"/>
    <n v="0"/>
    <n v="0"/>
    <n v="0"/>
    <s v="MMR015CMP214"/>
    <x v="1"/>
    <x v="1"/>
    <x v="1"/>
    <n v="1.1681407490404558E-3"/>
    <m/>
    <m/>
  </r>
  <r>
    <n v="32.9"/>
    <d v="2014-04-20T00:00:00"/>
    <x v="0"/>
    <m/>
    <s v="Kachin"/>
    <s v="Mansi"/>
    <s v="Man Wing Baptist Church"/>
    <m/>
    <m/>
    <m/>
    <n v="220"/>
    <n v="110"/>
    <n v="1000"/>
    <n v="110"/>
    <m/>
    <n v="110"/>
    <n v="550"/>
    <m/>
    <m/>
    <m/>
    <m/>
    <m/>
    <m/>
    <m/>
    <n v="0"/>
    <n v="0"/>
    <n v="0"/>
    <n v="0"/>
    <n v="0"/>
    <n v="0"/>
    <n v="0"/>
    <n v="0"/>
    <n v="0"/>
    <n v="0"/>
    <n v="0"/>
    <n v="0"/>
    <n v="0"/>
    <n v="0"/>
    <x v="0"/>
    <n v="0"/>
    <n v="0"/>
    <n v="0"/>
    <s v="MMR001CMP133"/>
    <x v="0"/>
    <x v="1"/>
    <x v="1"/>
    <n v="2.6868588177821201E-3"/>
    <m/>
    <m/>
  </r>
  <r>
    <n v="32.93333333333333"/>
    <d v="2014-04-19T00:00:00"/>
    <x v="0"/>
    <m/>
    <s v="Kachin"/>
    <s v="Mansi"/>
    <s v="Man Wing Catholic Church"/>
    <m/>
    <m/>
    <m/>
    <n v="400"/>
    <n v="190"/>
    <n v="870"/>
    <n v="190"/>
    <m/>
    <n v="190"/>
    <n v="1000"/>
    <m/>
    <m/>
    <m/>
    <m/>
    <m/>
    <m/>
    <m/>
    <n v="0"/>
    <n v="0"/>
    <n v="0"/>
    <n v="0"/>
    <n v="0"/>
    <n v="0"/>
    <n v="0"/>
    <n v="0"/>
    <n v="0"/>
    <n v="0"/>
    <n v="0"/>
    <n v="0"/>
    <n v="0"/>
    <n v="0"/>
    <x v="0"/>
    <n v="0"/>
    <n v="0"/>
    <n v="0"/>
    <s v="MMR001CMP132"/>
    <x v="0"/>
    <x v="1"/>
    <x v="1"/>
    <n v="4.6513905209557387E-3"/>
    <m/>
    <m/>
  </r>
  <r>
    <n v="33"/>
    <d v="2014-04-17T00:00:00"/>
    <x v="0"/>
    <s v="UNHCR"/>
    <s v="Kachin"/>
    <s v="Momauk"/>
    <s v="Momauk Baptist Church"/>
    <m/>
    <m/>
    <m/>
    <n v="8"/>
    <n v="4"/>
    <n v="12"/>
    <n v="4"/>
    <n v="4"/>
    <n v="4"/>
    <n v="41"/>
    <m/>
    <m/>
    <m/>
    <m/>
    <m/>
    <m/>
    <m/>
    <n v="0"/>
    <n v="0"/>
    <n v="0"/>
    <n v="0"/>
    <n v="0"/>
    <n v="0"/>
    <n v="0"/>
    <n v="0"/>
    <n v="0"/>
    <n v="0"/>
    <n v="0"/>
    <n v="0"/>
    <n v="0"/>
    <n v="0"/>
    <x v="0"/>
    <n v="0"/>
    <n v="0"/>
    <n v="0"/>
    <s v="MMR001CMP056"/>
    <x v="0"/>
    <x v="1"/>
    <x v="1"/>
    <n v="9.8292173485686198E-5"/>
    <s v="No"/>
    <m/>
  </r>
  <r>
    <n v="33.1"/>
    <d v="2014-04-14T00:00:00"/>
    <x v="0"/>
    <s v="UNHCR"/>
    <s v="Kachin"/>
    <s v="Momauk"/>
    <s v="Momauk Baptist Church"/>
    <m/>
    <m/>
    <m/>
    <n v="10"/>
    <n v="5"/>
    <n v="15"/>
    <n v="5"/>
    <n v="5"/>
    <n v="5"/>
    <m/>
    <m/>
    <m/>
    <m/>
    <m/>
    <m/>
    <m/>
    <m/>
    <n v="0"/>
    <n v="0"/>
    <n v="0"/>
    <n v="0"/>
    <n v="0"/>
    <n v="0"/>
    <n v="0"/>
    <n v="0"/>
    <n v="0"/>
    <n v="0"/>
    <n v="0"/>
    <n v="0"/>
    <n v="0"/>
    <n v="0"/>
    <x v="0"/>
    <n v="0"/>
    <n v="0"/>
    <n v="0"/>
    <s v="MMR001CMP056"/>
    <x v="0"/>
    <x v="1"/>
    <x v="1"/>
    <n v="1.2286521685710776E-4"/>
    <s v="No"/>
    <m/>
  </r>
  <r>
    <n v="33.266666666666666"/>
    <d v="2014-04-09T00:00:00"/>
    <x v="6"/>
    <s v="MRCS"/>
    <s v="Kachin"/>
    <s v="Bhamo"/>
    <s v="Ta Gun Taing Monastery (Shwe Kyi Na)"/>
    <m/>
    <m/>
    <m/>
    <m/>
    <m/>
    <m/>
    <m/>
    <m/>
    <m/>
    <m/>
    <m/>
    <m/>
    <m/>
    <n v="122"/>
    <m/>
    <m/>
    <m/>
    <n v="0"/>
    <n v="0"/>
    <n v="0"/>
    <n v="0"/>
    <n v="0"/>
    <n v="0"/>
    <n v="0"/>
    <n v="0"/>
    <n v="0"/>
    <n v="0"/>
    <n v="0"/>
    <n v="0"/>
    <n v="0"/>
    <n v="0"/>
    <x v="2"/>
    <n v="0"/>
    <n v="0"/>
    <n v="0"/>
    <s v="MMR001CMP055"/>
    <x v="0"/>
    <x v="1"/>
    <x v="1"/>
    <n v="0"/>
    <m/>
    <m/>
  </r>
  <r>
    <n v="33.266666666666666"/>
    <d v="2014-04-09T00:00:00"/>
    <x v="6"/>
    <s v="MRCS"/>
    <s v="Kachin"/>
    <s v="Bhamo"/>
    <s v="Yoe Kyi Monastery"/>
    <m/>
    <m/>
    <m/>
    <m/>
    <m/>
    <m/>
    <m/>
    <m/>
    <m/>
    <m/>
    <m/>
    <m/>
    <m/>
    <n v="42"/>
    <m/>
    <m/>
    <m/>
    <n v="0"/>
    <n v="0"/>
    <n v="0"/>
    <n v="0"/>
    <n v="0"/>
    <n v="0"/>
    <n v="0"/>
    <n v="0"/>
    <n v="0"/>
    <n v="0"/>
    <n v="0"/>
    <n v="0"/>
    <n v="0"/>
    <n v="0"/>
    <x v="2"/>
    <n v="0"/>
    <n v="0"/>
    <n v="0"/>
    <s v="MMR001CMP053"/>
    <x v="0"/>
    <x v="1"/>
    <x v="1"/>
    <n v="0"/>
    <m/>
    <m/>
  </r>
  <r>
    <n v="33.299999999999997"/>
    <d v="2014-04-08T00:00:00"/>
    <x v="6"/>
    <s v="MRCS"/>
    <s v="Kachin"/>
    <s v="Bhamo"/>
    <s v="Htoi San Church"/>
    <m/>
    <m/>
    <m/>
    <m/>
    <m/>
    <m/>
    <m/>
    <m/>
    <m/>
    <m/>
    <m/>
    <m/>
    <m/>
    <n v="90"/>
    <m/>
    <m/>
    <m/>
    <n v="0"/>
    <n v="0"/>
    <n v="0"/>
    <n v="0"/>
    <n v="0"/>
    <n v="0"/>
    <n v="0"/>
    <n v="0"/>
    <n v="0"/>
    <n v="0"/>
    <n v="0"/>
    <n v="0"/>
    <n v="0"/>
    <n v="0"/>
    <x v="2"/>
    <n v="0"/>
    <n v="0"/>
    <n v="0"/>
    <s v="MMR001CMP052"/>
    <x v="0"/>
    <x v="1"/>
    <x v="1"/>
    <n v="0"/>
    <m/>
    <m/>
  </r>
  <r>
    <n v="33.299999999999997"/>
    <d v="2014-04-08T00:00:00"/>
    <x v="6"/>
    <s v="MRCS"/>
    <s v="Kachin"/>
    <s v="Momauk"/>
    <s v="Mandalay Monestry"/>
    <m/>
    <m/>
    <m/>
    <m/>
    <m/>
    <m/>
    <m/>
    <m/>
    <m/>
    <m/>
    <m/>
    <m/>
    <m/>
    <n v="10"/>
    <m/>
    <m/>
    <m/>
    <n v="0"/>
    <n v="0"/>
    <n v="0"/>
    <n v="0"/>
    <n v="0"/>
    <n v="0"/>
    <n v="0"/>
    <n v="0"/>
    <n v="0"/>
    <n v="0"/>
    <n v="0"/>
    <n v="0"/>
    <n v="0"/>
    <n v="0"/>
    <x v="2"/>
    <n v="0"/>
    <n v="0"/>
    <n v="0"/>
    <s v="MMR001CMP058"/>
    <x v="0"/>
    <x v="0"/>
    <x v="1"/>
    <n v="0"/>
    <m/>
    <m/>
  </r>
  <r>
    <n v="33.299999999999997"/>
    <d v="2014-04-08T00:00:00"/>
    <x v="6"/>
    <s v="MRCS"/>
    <s v="Kachin"/>
    <s v="Momauk"/>
    <s v="Ni Thaw Ka Monestry"/>
    <m/>
    <m/>
    <m/>
    <m/>
    <m/>
    <m/>
    <m/>
    <m/>
    <m/>
    <m/>
    <m/>
    <m/>
    <m/>
    <n v="46"/>
    <m/>
    <m/>
    <m/>
    <n v="0"/>
    <n v="0"/>
    <n v="0"/>
    <n v="0"/>
    <n v="0"/>
    <n v="0"/>
    <n v="0"/>
    <n v="0"/>
    <n v="0"/>
    <n v="0"/>
    <n v="0"/>
    <n v="0"/>
    <n v="0"/>
    <n v="0"/>
    <x v="2"/>
    <n v="0"/>
    <n v="0"/>
    <n v="0"/>
    <s v="MMR001CMP059"/>
    <x v="0"/>
    <x v="0"/>
    <x v="1"/>
    <n v="0"/>
    <m/>
    <m/>
  </r>
  <r>
    <n v="33.299999999999997"/>
    <d v="2014-04-08T00:00:00"/>
    <x v="6"/>
    <s v="MRCS"/>
    <s v="Kachin"/>
    <s v="Bhamo"/>
    <s v="Phan Khar Kone"/>
    <m/>
    <m/>
    <m/>
    <m/>
    <m/>
    <m/>
    <m/>
    <m/>
    <m/>
    <m/>
    <m/>
    <m/>
    <m/>
    <n v="372"/>
    <m/>
    <m/>
    <m/>
    <n v="0"/>
    <n v="0"/>
    <n v="0"/>
    <n v="0"/>
    <n v="0"/>
    <n v="0"/>
    <n v="0"/>
    <n v="0"/>
    <n v="0"/>
    <n v="0"/>
    <n v="0"/>
    <n v="0"/>
    <n v="0"/>
    <n v="0"/>
    <x v="2"/>
    <n v="0"/>
    <n v="0"/>
    <n v="0"/>
    <s v="MMR001CMP193"/>
    <x v="0"/>
    <x v="1"/>
    <x v="1"/>
    <n v="0"/>
    <m/>
    <m/>
  </r>
  <r>
    <n v="33.333333333333336"/>
    <d v="2014-04-07T00:00:00"/>
    <x v="6"/>
    <s v="MRCS"/>
    <s v="Kachin"/>
    <s v="Mansi"/>
    <s v="Host Families"/>
    <m/>
    <m/>
    <m/>
    <m/>
    <m/>
    <m/>
    <m/>
    <m/>
    <m/>
    <m/>
    <m/>
    <m/>
    <m/>
    <n v="558"/>
    <m/>
    <m/>
    <m/>
    <n v="0"/>
    <n v="0"/>
    <n v="0"/>
    <n v="0"/>
    <n v="0"/>
    <n v="0"/>
    <n v="0"/>
    <n v="0"/>
    <n v="0"/>
    <n v="0"/>
    <n v="0"/>
    <n v="0"/>
    <n v="0"/>
    <n v="0"/>
    <x v="2"/>
    <n v="0"/>
    <n v="0"/>
    <n v="0"/>
    <s v="MMR001CMP163"/>
    <x v="0"/>
    <x v="1"/>
    <x v="1"/>
    <s v=""/>
    <m/>
    <m/>
  </r>
  <r>
    <n v="33.333333333333336"/>
    <d v="2014-04-07T00:00:00"/>
    <x v="6"/>
    <s v="MRCS"/>
    <s v="Kachin"/>
    <s v="Mansi"/>
    <s v="Maing Khaung"/>
    <m/>
    <m/>
    <m/>
    <m/>
    <m/>
    <m/>
    <m/>
    <m/>
    <m/>
    <m/>
    <m/>
    <m/>
    <m/>
    <n v="478"/>
    <m/>
    <m/>
    <m/>
    <n v="0"/>
    <n v="0"/>
    <n v="0"/>
    <n v="0"/>
    <n v="0"/>
    <n v="0"/>
    <n v="0"/>
    <n v="0"/>
    <n v="0"/>
    <n v="0"/>
    <n v="0"/>
    <n v="0"/>
    <n v="0"/>
    <n v="0"/>
    <x v="2"/>
    <n v="0"/>
    <n v="0"/>
    <n v="0"/>
    <s v="MMR001CMP218"/>
    <x v="0"/>
    <x v="1"/>
    <x v="1"/>
    <n v="0"/>
    <m/>
    <m/>
  </r>
  <r>
    <n v="33.333333333333336"/>
    <d v="2014-04-07T00:00:00"/>
    <x v="6"/>
    <s v="MRCS"/>
    <s v="Kachin"/>
    <s v="Mansi"/>
    <s v="Maing Khaung Catholic Church"/>
    <m/>
    <m/>
    <m/>
    <m/>
    <m/>
    <m/>
    <m/>
    <m/>
    <m/>
    <m/>
    <m/>
    <m/>
    <m/>
    <n v="158"/>
    <m/>
    <m/>
    <m/>
    <n v="0"/>
    <n v="0"/>
    <n v="0"/>
    <n v="0"/>
    <n v="0"/>
    <n v="0"/>
    <n v="0"/>
    <n v="0"/>
    <n v="0"/>
    <n v="0"/>
    <n v="0"/>
    <n v="0"/>
    <n v="0"/>
    <n v="0"/>
    <x v="2"/>
    <n v="0"/>
    <n v="0"/>
    <n v="0"/>
    <s v="MMR001CMP223"/>
    <x v="0"/>
    <x v="1"/>
    <x v="1"/>
    <n v="0"/>
    <m/>
    <m/>
  </r>
  <r>
    <n v="33.333333333333336"/>
    <d v="2014-04-07T00:00:00"/>
    <x v="6"/>
    <s v="MRCS"/>
    <s v="Kachin"/>
    <s v="Mansi"/>
    <s v="Mansi Baptist Church"/>
    <m/>
    <m/>
    <m/>
    <m/>
    <m/>
    <m/>
    <m/>
    <m/>
    <m/>
    <m/>
    <m/>
    <m/>
    <m/>
    <n v="262"/>
    <m/>
    <m/>
    <m/>
    <n v="0"/>
    <n v="0"/>
    <n v="0"/>
    <n v="0"/>
    <n v="0"/>
    <n v="0"/>
    <n v="0"/>
    <n v="0"/>
    <n v="0"/>
    <n v="0"/>
    <n v="0"/>
    <n v="0"/>
    <n v="0"/>
    <n v="0"/>
    <x v="2"/>
    <n v="0"/>
    <n v="0"/>
    <n v="0"/>
    <s v="MMR001CMP066"/>
    <x v="0"/>
    <x v="1"/>
    <x v="1"/>
    <n v="0"/>
    <m/>
    <m/>
  </r>
  <r>
    <n v="33.366666666666667"/>
    <d v="2014-04-06T00:00:00"/>
    <x v="6"/>
    <s v="MRCS"/>
    <s v="Kachin"/>
    <s v="Hpakant"/>
    <s v="Baptist Church, Naung Hmee VT"/>
    <m/>
    <m/>
    <m/>
    <m/>
    <m/>
    <m/>
    <m/>
    <m/>
    <m/>
    <m/>
    <m/>
    <m/>
    <m/>
    <n v="30"/>
    <m/>
    <m/>
    <m/>
    <n v="0"/>
    <n v="0"/>
    <n v="0"/>
    <n v="0"/>
    <n v="0"/>
    <n v="0"/>
    <n v="0"/>
    <n v="0"/>
    <n v="0"/>
    <n v="0"/>
    <n v="0"/>
    <n v="0"/>
    <n v="0"/>
    <n v="0"/>
    <x v="2"/>
    <n v="0"/>
    <n v="0"/>
    <n v="0"/>
    <s v="MMR001CMP188"/>
    <x v="0"/>
    <x v="0"/>
    <x v="1"/>
    <s v=""/>
    <m/>
    <m/>
  </r>
  <r>
    <n v="33.4"/>
    <d v="2014-04-05T00:00:00"/>
    <x v="6"/>
    <s v="MRCS"/>
    <s v="Kachin"/>
    <s v="Hpakant"/>
    <s v="Hlaing Naung Baptist"/>
    <m/>
    <m/>
    <m/>
    <m/>
    <m/>
    <m/>
    <m/>
    <m/>
    <m/>
    <m/>
    <m/>
    <m/>
    <m/>
    <n v="44"/>
    <m/>
    <m/>
    <m/>
    <n v="0"/>
    <n v="0"/>
    <n v="0"/>
    <n v="0"/>
    <n v="0"/>
    <n v="0"/>
    <n v="0"/>
    <n v="0"/>
    <n v="0"/>
    <n v="0"/>
    <n v="0"/>
    <n v="0"/>
    <n v="0"/>
    <n v="0"/>
    <x v="2"/>
    <n v="0"/>
    <n v="0"/>
    <n v="0"/>
    <s v="MMR001CMP148"/>
    <x v="0"/>
    <x v="1"/>
    <x v="1"/>
    <n v="0"/>
    <m/>
    <m/>
  </r>
  <r>
    <n v="33.5"/>
    <d v="2014-04-02T00:00:00"/>
    <x v="0"/>
    <s v="UNHCR"/>
    <s v="Kachin"/>
    <s v="Bhamo"/>
    <s v="Mu-yin Baptist Church"/>
    <m/>
    <m/>
    <m/>
    <m/>
    <n v="1"/>
    <n v="3"/>
    <n v="2"/>
    <m/>
    <n v="3"/>
    <m/>
    <m/>
    <m/>
    <m/>
    <m/>
    <m/>
    <m/>
    <m/>
    <n v="0"/>
    <n v="0"/>
    <n v="0"/>
    <n v="0"/>
    <n v="0"/>
    <n v="0"/>
    <n v="0"/>
    <n v="0"/>
    <n v="0"/>
    <n v="0"/>
    <n v="0"/>
    <n v="0"/>
    <n v="0"/>
    <n v="0"/>
    <x v="0"/>
    <n v="0"/>
    <n v="0"/>
    <n v="0"/>
    <s v="MMR001CMP051"/>
    <x v="0"/>
    <x v="1"/>
    <x v="1"/>
    <n v="4.8563727751742226E-5"/>
    <s v="No"/>
    <m/>
  </r>
  <r>
    <n v="34.700000000000003"/>
    <d v="2014-02-25T00:00:00"/>
    <x v="6"/>
    <s v="MRCS"/>
    <s v="Kachin"/>
    <s v="Mogaung"/>
    <s v="Kyun Taw Baptist Church "/>
    <m/>
    <m/>
    <m/>
    <m/>
    <m/>
    <m/>
    <m/>
    <m/>
    <m/>
    <m/>
    <m/>
    <m/>
    <m/>
    <n v="26"/>
    <m/>
    <m/>
    <m/>
    <n v="0"/>
    <n v="0"/>
    <n v="0"/>
    <n v="0"/>
    <n v="0"/>
    <n v="0"/>
    <n v="0"/>
    <n v="0"/>
    <n v="0"/>
    <n v="0"/>
    <n v="0"/>
    <n v="0"/>
    <n v="0"/>
    <n v="0"/>
    <x v="2"/>
    <n v="0"/>
    <n v="0"/>
    <n v="0"/>
    <s v="MMR001CMP078"/>
    <x v="0"/>
    <x v="1"/>
    <x v="1"/>
    <n v="0"/>
    <m/>
    <m/>
  </r>
  <r>
    <n v="34.700000000000003"/>
    <d v="2014-02-25T00:00:00"/>
    <x v="6"/>
    <s v="MRCS"/>
    <s v="Kachin"/>
    <s v="Mogaung"/>
    <s v="Mang Hawng Baptist Church"/>
    <m/>
    <m/>
    <m/>
    <m/>
    <m/>
    <m/>
    <m/>
    <m/>
    <m/>
    <m/>
    <m/>
    <m/>
    <m/>
    <n v="26"/>
    <m/>
    <m/>
    <m/>
    <n v="0"/>
    <n v="0"/>
    <n v="0"/>
    <n v="0"/>
    <n v="0"/>
    <n v="0"/>
    <n v="0"/>
    <n v="0"/>
    <n v="0"/>
    <n v="0"/>
    <n v="0"/>
    <n v="0"/>
    <n v="0"/>
    <n v="0"/>
    <x v="2"/>
    <n v="0"/>
    <n v="0"/>
    <n v="0"/>
    <s v="MMR001CMP077"/>
    <x v="0"/>
    <x v="1"/>
    <x v="1"/>
    <n v="0"/>
    <m/>
    <m/>
  </r>
  <r>
    <n v="34.700000000000003"/>
    <d v="2014-02-25T00:00:00"/>
    <x v="6"/>
    <s v="MRCS"/>
    <s v="Kachin"/>
    <s v="Mogaung"/>
    <s v="Nat Gyi Kone Baptist Church "/>
    <m/>
    <m/>
    <m/>
    <m/>
    <m/>
    <m/>
    <m/>
    <m/>
    <m/>
    <m/>
    <m/>
    <m/>
    <m/>
    <n v="28"/>
    <m/>
    <m/>
    <m/>
    <n v="0"/>
    <n v="0"/>
    <n v="0"/>
    <n v="0"/>
    <n v="0"/>
    <n v="0"/>
    <n v="0"/>
    <n v="0"/>
    <n v="0"/>
    <n v="0"/>
    <n v="0"/>
    <n v="0"/>
    <n v="0"/>
    <n v="0"/>
    <x v="2"/>
    <n v="0"/>
    <n v="0"/>
    <n v="0"/>
    <s v="MMR001CMP079"/>
    <x v="0"/>
    <x v="1"/>
    <x v="1"/>
    <n v="0"/>
    <m/>
    <m/>
  </r>
  <r>
    <n v="34.766666666666666"/>
    <d v="2014-02-23T00:00:00"/>
    <x v="6"/>
    <s v="MRCS"/>
    <s v="Kachin"/>
    <s v="Chipwi"/>
    <s v="Chipwi KBC camp"/>
    <m/>
    <m/>
    <m/>
    <m/>
    <m/>
    <m/>
    <m/>
    <m/>
    <m/>
    <m/>
    <m/>
    <m/>
    <m/>
    <n v="222"/>
    <m/>
    <m/>
    <m/>
    <n v="0"/>
    <n v="0"/>
    <n v="0"/>
    <n v="0"/>
    <n v="0"/>
    <n v="0"/>
    <n v="0"/>
    <n v="0"/>
    <n v="0"/>
    <n v="0"/>
    <n v="0"/>
    <n v="0"/>
    <n v="0"/>
    <n v="0"/>
    <x v="2"/>
    <n v="0"/>
    <n v="0"/>
    <n v="0"/>
    <s v="MMR001CMP042"/>
    <x v="0"/>
    <x v="1"/>
    <x v="5"/>
    <n v="0"/>
    <m/>
    <m/>
  </r>
  <r>
    <n v="34.766666666666666"/>
    <d v="2014-02-23T00:00:00"/>
    <x v="6"/>
    <s v="MRCS"/>
    <s v="Kachin"/>
    <s v="Chipwi"/>
    <s v="Lhaovao Baptist Church (LBC)"/>
    <m/>
    <m/>
    <m/>
    <m/>
    <m/>
    <m/>
    <m/>
    <m/>
    <m/>
    <m/>
    <m/>
    <m/>
    <m/>
    <n v="278"/>
    <m/>
    <m/>
    <m/>
    <n v="0"/>
    <n v="0"/>
    <n v="0"/>
    <n v="0"/>
    <n v="0"/>
    <n v="0"/>
    <n v="0"/>
    <n v="0"/>
    <n v="0"/>
    <n v="0"/>
    <n v="0"/>
    <n v="0"/>
    <n v="0"/>
    <n v="0"/>
    <x v="2"/>
    <n v="0"/>
    <n v="0"/>
    <n v="0"/>
    <s v="MMR001CMP195"/>
    <x v="0"/>
    <x v="1"/>
    <x v="5"/>
    <n v="0"/>
    <m/>
    <m/>
  </r>
  <r>
    <n v="34.766666666666666"/>
    <d v="2014-02-23T00:00:00"/>
    <x v="6"/>
    <s v="MRCS"/>
    <s v="Kachin"/>
    <s v="Momauk"/>
    <s v="Seng Ja "/>
    <m/>
    <m/>
    <m/>
    <m/>
    <m/>
    <m/>
    <m/>
    <m/>
    <m/>
    <m/>
    <m/>
    <m/>
    <m/>
    <n v="376"/>
    <m/>
    <m/>
    <m/>
    <n v="0"/>
    <n v="0"/>
    <n v="0"/>
    <n v="0"/>
    <n v="0"/>
    <n v="0"/>
    <n v="0"/>
    <n v="0"/>
    <n v="0"/>
    <n v="0"/>
    <n v="0"/>
    <n v="0"/>
    <n v="0"/>
    <n v="0"/>
    <x v="2"/>
    <n v="0"/>
    <n v="0"/>
    <n v="0"/>
    <s v="MMR001CMP073"/>
    <x v="0"/>
    <x v="1"/>
    <x v="2"/>
    <n v="0"/>
    <m/>
    <m/>
  </r>
  <r>
    <n v="34.799999999999997"/>
    <d v="2014-02-22T00:00:00"/>
    <x v="6"/>
    <s v="MRCS"/>
    <s v="Kachin"/>
    <s v="Chipwi"/>
    <s v="Pan Wa"/>
    <m/>
    <m/>
    <m/>
    <m/>
    <m/>
    <m/>
    <m/>
    <m/>
    <m/>
    <m/>
    <m/>
    <m/>
    <m/>
    <n v="126"/>
    <m/>
    <m/>
    <m/>
    <n v="0"/>
    <n v="0"/>
    <n v="0"/>
    <n v="0"/>
    <n v="0"/>
    <n v="0"/>
    <n v="0"/>
    <n v="0"/>
    <n v="0"/>
    <n v="0"/>
    <n v="0"/>
    <n v="0"/>
    <n v="0"/>
    <n v="0"/>
    <x v="2"/>
    <n v="0"/>
    <n v="0"/>
    <n v="0"/>
    <s v="MMR001CMP210"/>
    <x v="0"/>
    <x v="1"/>
    <x v="5"/>
    <n v="0"/>
    <m/>
    <m/>
  </r>
  <r>
    <n v="34.799999999999997"/>
    <d v="2014-02-22T00:00:00"/>
    <x v="6"/>
    <s v="MRCS"/>
    <s v="Kachin"/>
    <s v="Chipwi"/>
    <s v="Saw Zam"/>
    <m/>
    <m/>
    <m/>
    <m/>
    <m/>
    <m/>
    <m/>
    <m/>
    <m/>
    <m/>
    <m/>
    <m/>
    <m/>
    <n v="58"/>
    <m/>
    <m/>
    <m/>
    <n v="0"/>
    <n v="0"/>
    <n v="0"/>
    <n v="0"/>
    <n v="0"/>
    <n v="0"/>
    <n v="0"/>
    <n v="0"/>
    <n v="0"/>
    <n v="0"/>
    <n v="0"/>
    <n v="0"/>
    <n v="0"/>
    <n v="0"/>
    <x v="2"/>
    <n v="0"/>
    <n v="0"/>
    <n v="0"/>
    <s v="MMR001CMP225"/>
    <x v="0"/>
    <x v="1"/>
    <x v="5"/>
    <n v="0"/>
    <m/>
    <m/>
  </r>
  <r>
    <n v="34.799999999999997"/>
    <d v="2014-02-22T00:00:00"/>
    <x v="6"/>
    <s v="MRCS"/>
    <s v="Kachin"/>
    <s v="Sumprabum"/>
    <s v="Sumprabum"/>
    <m/>
    <m/>
    <m/>
    <m/>
    <m/>
    <m/>
    <m/>
    <m/>
    <m/>
    <m/>
    <m/>
    <m/>
    <m/>
    <n v="16"/>
    <m/>
    <m/>
    <m/>
    <n v="0"/>
    <n v="0"/>
    <n v="0"/>
    <n v="0"/>
    <n v="0"/>
    <n v="0"/>
    <n v="0"/>
    <n v="0"/>
    <n v="0"/>
    <n v="0"/>
    <n v="0"/>
    <n v="0"/>
    <n v="0"/>
    <n v="0"/>
    <x v="2"/>
    <n v="0"/>
    <n v="0"/>
    <n v="0"/>
    <s v="MMR001CMP206"/>
    <x v="0"/>
    <x v="1"/>
    <x v="1"/>
    <s v=""/>
    <m/>
    <m/>
  </r>
  <r>
    <n v="35.6"/>
    <d v="2014-01-29T00:00:00"/>
    <x v="0"/>
    <s v="UNHCR"/>
    <s v="Kachin"/>
    <s v="Mansi"/>
    <s v="Maing Khaung"/>
    <m/>
    <m/>
    <m/>
    <n v="100"/>
    <n v="58"/>
    <n v="100"/>
    <n v="58"/>
    <m/>
    <n v="58"/>
    <n v="290"/>
    <m/>
    <m/>
    <m/>
    <m/>
    <m/>
    <m/>
    <m/>
    <n v="0"/>
    <n v="0"/>
    <n v="0"/>
    <n v="0"/>
    <n v="0"/>
    <n v="0"/>
    <n v="0"/>
    <n v="0"/>
    <n v="0"/>
    <n v="0"/>
    <n v="0"/>
    <n v="0"/>
    <n v="0"/>
    <n v="0"/>
    <x v="0"/>
    <n v="0"/>
    <n v="0"/>
    <n v="0"/>
    <s v="MMR001CMP218"/>
    <x v="0"/>
    <x v="1"/>
    <x v="1"/>
    <n v="1.3959757389043997E-3"/>
    <s v="No"/>
    <m/>
  </r>
  <r>
    <n v="35.633333333333333"/>
    <d v="2014-01-28T00:00:00"/>
    <x v="0"/>
    <m/>
    <s v="Kachin"/>
    <s v="Mansi"/>
    <s v="Maing Khaung Catholic Church"/>
    <m/>
    <m/>
    <m/>
    <n v="18"/>
    <n v="10"/>
    <n v="18"/>
    <n v="40"/>
    <m/>
    <n v="10"/>
    <n v="50"/>
    <m/>
    <m/>
    <m/>
    <m/>
    <m/>
    <m/>
    <m/>
    <n v="0"/>
    <n v="0"/>
    <n v="0"/>
    <n v="0"/>
    <n v="0"/>
    <n v="0"/>
    <n v="0"/>
    <n v="0"/>
    <n v="0"/>
    <n v="0"/>
    <n v="0"/>
    <n v="0"/>
    <n v="0"/>
    <n v="0"/>
    <x v="0"/>
    <n v="0"/>
    <n v="0"/>
    <n v="0"/>
    <s v="MMR001CMP223"/>
    <x v="0"/>
    <x v="1"/>
    <x v="1"/>
    <n v="9.6274188889958602E-4"/>
    <m/>
    <m/>
  </r>
  <r>
    <n v="35.666666666666664"/>
    <d v="2014-01-27T00:00:00"/>
    <x v="5"/>
    <s v="KBC"/>
    <s v="Kachin"/>
    <s v="Waingmaw"/>
    <s v="Hkau Shau (BP 12)"/>
    <m/>
    <m/>
    <m/>
    <m/>
    <m/>
    <n v="181"/>
    <n v="181"/>
    <n v="181"/>
    <m/>
    <n v="181"/>
    <m/>
    <m/>
    <m/>
    <m/>
    <m/>
    <m/>
    <m/>
    <n v="0"/>
    <n v="0"/>
    <n v="0"/>
    <n v="0"/>
    <n v="0"/>
    <n v="0"/>
    <n v="0"/>
    <n v="0"/>
    <n v="0"/>
    <n v="0"/>
    <n v="0"/>
    <n v="0"/>
    <n v="0"/>
    <n v="0"/>
    <x v="0"/>
    <n v="0"/>
    <n v="0"/>
    <n v="0"/>
    <s v="MMR001CMP115"/>
    <x v="0"/>
    <x v="1"/>
    <x v="5"/>
    <n v="4.4278095797250358E-3"/>
    <s v="No"/>
    <m/>
  </r>
  <r>
    <n v="35.666666666666664"/>
    <d v="2014-01-27T00:00:00"/>
    <x v="5"/>
    <s v="KBC"/>
    <s v="Kachin"/>
    <s v="Chipwi"/>
    <s v="Hpare Hkyer - BP6"/>
    <m/>
    <m/>
    <m/>
    <m/>
    <m/>
    <n v="155"/>
    <n v="155"/>
    <n v="155"/>
    <m/>
    <n v="155"/>
    <m/>
    <m/>
    <m/>
    <m/>
    <m/>
    <m/>
    <m/>
    <n v="0"/>
    <n v="0"/>
    <n v="0"/>
    <n v="0"/>
    <n v="0"/>
    <n v="0"/>
    <n v="0"/>
    <n v="0"/>
    <n v="0"/>
    <n v="0"/>
    <n v="0"/>
    <n v="0"/>
    <n v="0"/>
    <n v="0"/>
    <x v="0"/>
    <n v="0"/>
    <n v="0"/>
    <n v="0"/>
    <s v="MMR001CMP043"/>
    <x v="0"/>
    <x v="1"/>
    <x v="5"/>
    <n v="3.777723616865708E-3"/>
    <s v="No"/>
    <m/>
  </r>
  <r>
    <n v="35.733333333333334"/>
    <d v="2014-01-25T00:00:00"/>
    <x v="0"/>
    <s v="UNHCR"/>
    <s v="Kachin"/>
    <s v="Momauk"/>
    <s v="Dum Bung "/>
    <m/>
    <m/>
    <m/>
    <n v="62"/>
    <n v="31"/>
    <n v="62"/>
    <n v="31"/>
    <m/>
    <n v="31"/>
    <n v="155"/>
    <m/>
    <m/>
    <m/>
    <m/>
    <m/>
    <m/>
    <m/>
    <n v="0"/>
    <n v="0"/>
    <n v="0"/>
    <n v="0"/>
    <n v="0"/>
    <n v="0"/>
    <n v="0"/>
    <n v="0"/>
    <n v="0"/>
    <n v="0"/>
    <n v="0"/>
    <n v="0"/>
    <n v="0"/>
    <n v="0"/>
    <x v="0"/>
    <n v="0"/>
    <n v="0"/>
    <n v="0"/>
    <s v="MMR001CMP123"/>
    <x v="0"/>
    <x v="1"/>
    <x v="6"/>
    <n v="7.6062420257140052E-4"/>
    <s v="No"/>
    <m/>
  </r>
  <r>
    <n v="35.733333333333334"/>
    <d v="2014-01-25T00:00:00"/>
    <x v="5"/>
    <s v="KBC"/>
    <s v="Kachin"/>
    <s v="Waingmaw"/>
    <s v="Pajau - Jan Mai"/>
    <m/>
    <m/>
    <m/>
    <m/>
    <m/>
    <n v="191"/>
    <n v="191"/>
    <n v="191"/>
    <m/>
    <n v="191"/>
    <m/>
    <m/>
    <m/>
    <m/>
    <m/>
    <m/>
    <m/>
    <n v="0"/>
    <n v="0"/>
    <n v="0"/>
    <n v="0"/>
    <n v="0"/>
    <n v="0"/>
    <n v="0"/>
    <n v="0"/>
    <n v="0"/>
    <n v="0"/>
    <n v="0"/>
    <n v="0"/>
    <n v="0"/>
    <n v="0"/>
    <x v="0"/>
    <n v="0"/>
    <n v="0"/>
    <n v="0"/>
    <s v="MMR001CMP120"/>
    <x v="0"/>
    <x v="1"/>
    <x v="5"/>
    <n v="4.6899938612645796E-3"/>
    <s v="No"/>
    <m/>
  </r>
  <r>
    <n v="35.733333333333334"/>
    <d v="2014-01-25T00:00:00"/>
    <x v="5"/>
    <s v="KBC"/>
    <s v="Kachin"/>
    <s v="Waingmaw"/>
    <s v="Shing Jai"/>
    <m/>
    <m/>
    <m/>
    <m/>
    <m/>
    <n v="198"/>
    <n v="198"/>
    <n v="198"/>
    <m/>
    <n v="198"/>
    <m/>
    <m/>
    <m/>
    <m/>
    <m/>
    <m/>
    <m/>
    <n v="0"/>
    <n v="0"/>
    <n v="0"/>
    <n v="0"/>
    <n v="0"/>
    <n v="0"/>
    <n v="0"/>
    <n v="0"/>
    <n v="0"/>
    <n v="0"/>
    <n v="0"/>
    <n v="0"/>
    <n v="0"/>
    <n v="0"/>
    <x v="0"/>
    <n v="0"/>
    <n v="0"/>
    <n v="0"/>
    <s v="MMR001CMP041"/>
    <x v="0"/>
    <x v="1"/>
    <x v="5"/>
    <n v="4.847238542890717E-3"/>
    <s v="No"/>
    <m/>
  </r>
  <r>
    <n v="35.733333333333334"/>
    <d v="2014-01-25T00:00:00"/>
    <x v="5"/>
    <s v="KBC"/>
    <s v="Kachin"/>
    <s v="Waingmaw"/>
    <s v="Zai Awng - Mung Ga Zup"/>
    <m/>
    <m/>
    <m/>
    <m/>
    <m/>
    <n v="646"/>
    <n v="646"/>
    <n v="646"/>
    <m/>
    <n v="646"/>
    <m/>
    <m/>
    <m/>
    <m/>
    <m/>
    <m/>
    <m/>
    <n v="0"/>
    <n v="0"/>
    <n v="0"/>
    <n v="0"/>
    <n v="0"/>
    <n v="0"/>
    <n v="0"/>
    <n v="0"/>
    <n v="0"/>
    <n v="0"/>
    <n v="0"/>
    <n v="0"/>
    <n v="0"/>
    <n v="0"/>
    <x v="0"/>
    <n v="0"/>
    <n v="0"/>
    <n v="0"/>
    <s v="MMR001CMP111"/>
    <x v="0"/>
    <x v="1"/>
    <x v="6"/>
    <n v="1.5814727771249509E-2"/>
    <s v="No"/>
    <m/>
  </r>
  <r>
    <n v="35.766666666666666"/>
    <d v="2014-01-24T00:00:00"/>
    <x v="7"/>
    <m/>
    <s v="Kachin"/>
    <s v="Mansi"/>
    <s v="Bum Tsit Pa "/>
    <m/>
    <m/>
    <m/>
    <m/>
    <m/>
    <m/>
    <m/>
    <m/>
    <m/>
    <m/>
    <m/>
    <n v="838"/>
    <m/>
    <m/>
    <m/>
    <m/>
    <m/>
    <n v="0"/>
    <n v="0"/>
    <n v="0"/>
    <n v="0"/>
    <n v="0"/>
    <n v="0"/>
    <n v="0"/>
    <n v="0"/>
    <n v="0"/>
    <n v="0"/>
    <n v="0"/>
    <n v="0"/>
    <n v="0"/>
    <n v="0"/>
    <x v="2"/>
    <n v="0"/>
    <n v="0"/>
    <n v="0"/>
    <s v="MMR001CMP129"/>
    <x v="0"/>
    <x v="1"/>
    <x v="6"/>
    <n v="0"/>
    <s v="No"/>
    <m/>
  </r>
  <r>
    <n v="35.766666666666666"/>
    <d v="2014-01-24T00:00:00"/>
    <x v="0"/>
    <s v="UNHCR"/>
    <s v="Kachin"/>
    <s v="Momauk"/>
    <s v="Pa Kahtawng "/>
    <m/>
    <m/>
    <m/>
    <n v="60"/>
    <n v="30"/>
    <n v="60"/>
    <n v="30"/>
    <m/>
    <n v="30"/>
    <n v="150"/>
    <m/>
    <m/>
    <m/>
    <m/>
    <m/>
    <m/>
    <m/>
    <n v="0"/>
    <n v="0"/>
    <n v="0"/>
    <n v="0"/>
    <n v="0"/>
    <n v="0"/>
    <n v="0"/>
    <n v="0"/>
    <n v="0"/>
    <n v="0"/>
    <n v="0"/>
    <n v="0"/>
    <n v="0"/>
    <n v="0"/>
    <x v="0"/>
    <n v="0"/>
    <n v="0"/>
    <n v="0"/>
    <s v="MMR001CMP126"/>
    <x v="0"/>
    <x v="1"/>
    <x v="6"/>
    <n v="7.3170731707317073E-4"/>
    <s v="No"/>
    <m/>
  </r>
  <r>
    <n v="35.9"/>
    <d v="2014-01-20T00:00:00"/>
    <x v="7"/>
    <s v="KMSS"/>
    <s v="Kachin"/>
    <s v="Waingmaw"/>
    <s v="Maga Yang "/>
    <m/>
    <m/>
    <m/>
    <m/>
    <m/>
    <m/>
    <m/>
    <m/>
    <m/>
    <m/>
    <n v="1497"/>
    <n v="925"/>
    <m/>
    <m/>
    <m/>
    <m/>
    <m/>
    <n v="0"/>
    <n v="0"/>
    <n v="0"/>
    <n v="0"/>
    <n v="0"/>
    <n v="0"/>
    <n v="0"/>
    <n v="0"/>
    <n v="0"/>
    <n v="0"/>
    <n v="0"/>
    <n v="0"/>
    <n v="0"/>
    <n v="0"/>
    <x v="2"/>
    <n v="0"/>
    <n v="0"/>
    <n v="0"/>
    <s v="MMR001CMP119"/>
    <x v="0"/>
    <x v="1"/>
    <x v="6"/>
    <n v="0"/>
    <s v="No"/>
    <m/>
  </r>
  <r>
    <n v="35.9"/>
    <d v="2014-01-20T00:00:00"/>
    <x v="4"/>
    <s v="MRCS"/>
    <s v="Kachin"/>
    <s v="Machanbaw"/>
    <s v="Machanbaw - KBC"/>
    <m/>
    <m/>
    <m/>
    <n v="8"/>
    <n v="16"/>
    <n v="16"/>
    <n v="8"/>
    <m/>
    <m/>
    <m/>
    <n v="19"/>
    <n v="9"/>
    <m/>
    <m/>
    <m/>
    <m/>
    <m/>
    <n v="0"/>
    <n v="0"/>
    <n v="0"/>
    <n v="0"/>
    <n v="0"/>
    <n v="0"/>
    <n v="0"/>
    <n v="0"/>
    <n v="0"/>
    <n v="0"/>
    <n v="0"/>
    <n v="0"/>
    <n v="0"/>
    <n v="0"/>
    <x v="2"/>
    <n v="0"/>
    <n v="0"/>
    <n v="0"/>
    <s v="MMR001CMP221"/>
    <x v="0"/>
    <x v="0"/>
    <x v="2"/>
    <n v="1.9268750903222699E-4"/>
    <m/>
    <m/>
  </r>
  <r>
    <n v="35.9"/>
    <d v="2014-01-20T00:00:00"/>
    <x v="4"/>
    <s v="MRCS"/>
    <s v="Kachin"/>
    <s v="Puta-O"/>
    <s v="Naung Khaing"/>
    <m/>
    <m/>
    <m/>
    <n v="17"/>
    <n v="34"/>
    <n v="34"/>
    <n v="17"/>
    <m/>
    <m/>
    <m/>
    <n v="31"/>
    <n v="28"/>
    <m/>
    <m/>
    <m/>
    <m/>
    <m/>
    <n v="0"/>
    <n v="0"/>
    <n v="0"/>
    <n v="0"/>
    <n v="0"/>
    <n v="0"/>
    <n v="0"/>
    <n v="0"/>
    <n v="0"/>
    <n v="0"/>
    <n v="0"/>
    <n v="0"/>
    <n v="0"/>
    <n v="0"/>
    <x v="2"/>
    <n v="0"/>
    <n v="0"/>
    <n v="0"/>
    <s v="MMR001CMP220"/>
    <x v="0"/>
    <x v="0"/>
    <x v="2"/>
    <n v="4.0976691493720927E-4"/>
    <m/>
    <m/>
  </r>
  <r>
    <n v="35.9"/>
    <d v="2014-01-20T00:00:00"/>
    <x v="7"/>
    <s v="KMSS"/>
    <s v="Kachin"/>
    <s v="Waingmaw"/>
    <s v="Post 6 Camp"/>
    <m/>
    <m/>
    <m/>
    <m/>
    <m/>
    <m/>
    <m/>
    <n v="127"/>
    <m/>
    <m/>
    <m/>
    <m/>
    <m/>
    <m/>
    <m/>
    <m/>
    <m/>
    <n v="0"/>
    <n v="0"/>
    <n v="0"/>
    <n v="0"/>
    <n v="0"/>
    <n v="0"/>
    <n v="0"/>
    <n v="0"/>
    <n v="0"/>
    <n v="0"/>
    <n v="0"/>
    <n v="0"/>
    <n v="0"/>
    <n v="0"/>
    <x v="0"/>
    <n v="0"/>
    <n v="0"/>
    <n v="0"/>
    <s v="MMR001CMP160"/>
    <x v="0"/>
    <x v="1"/>
    <x v="5"/>
    <n v="0"/>
    <s v="No"/>
    <m/>
  </r>
  <r>
    <n v="35.9"/>
    <d v="2014-01-20T00:00:00"/>
    <x v="7"/>
    <s v="KMSS"/>
    <s v="Kachin"/>
    <s v="Waingmaw"/>
    <s v="Post 6 Camp"/>
    <m/>
    <m/>
    <m/>
    <m/>
    <m/>
    <m/>
    <m/>
    <m/>
    <m/>
    <m/>
    <n v="443"/>
    <n v="218"/>
    <m/>
    <m/>
    <m/>
    <m/>
    <m/>
    <n v="0"/>
    <n v="0"/>
    <n v="0"/>
    <n v="0"/>
    <n v="0"/>
    <n v="0"/>
    <n v="0"/>
    <n v="0"/>
    <n v="0"/>
    <n v="0"/>
    <n v="0"/>
    <n v="0"/>
    <n v="0"/>
    <n v="0"/>
    <x v="2"/>
    <n v="0"/>
    <n v="0"/>
    <n v="0"/>
    <s v="MMR001CMP160"/>
    <x v="0"/>
    <x v="1"/>
    <x v="5"/>
    <n v="0"/>
    <s v="No"/>
    <m/>
  </r>
  <r>
    <n v="35.9"/>
    <d v="2014-01-20T00:00:00"/>
    <x v="4"/>
    <s v="MRCS"/>
    <s v="Kachin"/>
    <s v="Puta-O"/>
    <s v="Tote Tan Ward"/>
    <m/>
    <m/>
    <m/>
    <n v="18"/>
    <n v="36"/>
    <n v="36"/>
    <n v="18"/>
    <m/>
    <m/>
    <m/>
    <n v="53"/>
    <n v="42"/>
    <m/>
    <m/>
    <m/>
    <m/>
    <m/>
    <n v="0"/>
    <n v="0"/>
    <n v="0"/>
    <n v="0"/>
    <n v="0"/>
    <n v="0"/>
    <n v="0"/>
    <n v="0"/>
    <n v="0"/>
    <n v="0"/>
    <n v="0"/>
    <n v="0"/>
    <n v="0"/>
    <n v="0"/>
    <x v="2"/>
    <n v="0"/>
    <n v="0"/>
    <n v="0"/>
    <s v="MMR001CMP075"/>
    <x v="0"/>
    <x v="1"/>
    <x v="2"/>
    <s v=""/>
    <m/>
    <m/>
  </r>
  <r>
    <n v="36.033333333333331"/>
    <d v="2014-01-16T00:00:00"/>
    <x v="0"/>
    <s v="UNHCR"/>
    <s v="Kachin"/>
    <s v="Mansi"/>
    <s v="Bum Tsit Pa "/>
    <m/>
    <m/>
    <m/>
    <n v="45"/>
    <n v="30"/>
    <n v="45"/>
    <n v="30"/>
    <m/>
    <n v="30"/>
    <n v="150"/>
    <m/>
    <m/>
    <m/>
    <m/>
    <m/>
    <m/>
    <m/>
    <n v="0"/>
    <n v="0"/>
    <n v="0"/>
    <n v="0"/>
    <n v="0"/>
    <n v="0"/>
    <n v="0"/>
    <n v="0"/>
    <n v="0"/>
    <n v="0"/>
    <n v="0"/>
    <n v="0"/>
    <n v="0"/>
    <n v="0"/>
    <x v="0"/>
    <n v="0"/>
    <n v="0"/>
    <n v="0"/>
    <s v="MMR001CMP129"/>
    <x v="0"/>
    <x v="1"/>
    <x v="6"/>
    <n v="7.3498787270010043E-4"/>
    <s v="No"/>
    <m/>
  </r>
  <r>
    <n v="36.033333333333331"/>
    <d v="2014-01-16T00:00:00"/>
    <x v="7"/>
    <s v="KMSS"/>
    <s v="Kachin"/>
    <s v="Waingmaw"/>
    <s v="Maga Yang "/>
    <m/>
    <m/>
    <m/>
    <m/>
    <m/>
    <m/>
    <m/>
    <n v="600"/>
    <m/>
    <m/>
    <m/>
    <m/>
    <m/>
    <m/>
    <m/>
    <m/>
    <m/>
    <n v="0"/>
    <n v="0"/>
    <n v="0"/>
    <n v="0"/>
    <n v="0"/>
    <n v="0"/>
    <n v="0"/>
    <n v="0"/>
    <n v="0"/>
    <n v="0"/>
    <n v="0"/>
    <n v="0"/>
    <n v="0"/>
    <n v="0"/>
    <x v="0"/>
    <n v="0"/>
    <n v="0"/>
    <n v="0"/>
    <s v="MMR001CMP119"/>
    <x v="0"/>
    <x v="1"/>
    <x v="6"/>
    <n v="0"/>
    <s v="No"/>
    <m/>
  </r>
  <r>
    <n v="36.1"/>
    <d v="2014-01-14T00:00:00"/>
    <x v="7"/>
    <s v="KMSS"/>
    <s v="Kachin"/>
    <s v="Waingmaw"/>
    <s v="Border Post 8"/>
    <m/>
    <m/>
    <m/>
    <m/>
    <m/>
    <m/>
    <m/>
    <n v="180"/>
    <m/>
    <m/>
    <m/>
    <m/>
    <m/>
    <m/>
    <m/>
    <m/>
    <m/>
    <n v="0"/>
    <n v="0"/>
    <n v="0"/>
    <n v="0"/>
    <n v="0"/>
    <n v="0"/>
    <n v="0"/>
    <n v="0"/>
    <n v="0"/>
    <n v="0"/>
    <n v="0"/>
    <n v="0"/>
    <n v="0"/>
    <n v="0"/>
    <x v="0"/>
    <n v="0"/>
    <n v="0"/>
    <n v="0"/>
    <s v="MMR001CMP113"/>
    <x v="0"/>
    <x v="1"/>
    <x v="5"/>
    <n v="0"/>
    <s v="No"/>
    <m/>
  </r>
  <r>
    <n v="36.1"/>
    <d v="2014-01-14T00:00:00"/>
    <x v="7"/>
    <s v="KMSS"/>
    <s v="Kachin"/>
    <s v="Waingmaw"/>
    <s v="Border Post 8"/>
    <m/>
    <m/>
    <m/>
    <m/>
    <m/>
    <m/>
    <m/>
    <m/>
    <m/>
    <m/>
    <n v="501"/>
    <n v="335"/>
    <m/>
    <m/>
    <m/>
    <m/>
    <m/>
    <n v="0"/>
    <n v="0"/>
    <n v="0"/>
    <n v="0"/>
    <n v="0"/>
    <n v="0"/>
    <n v="0"/>
    <n v="0"/>
    <n v="0"/>
    <n v="0"/>
    <n v="0"/>
    <n v="0"/>
    <n v="0"/>
    <n v="0"/>
    <x v="2"/>
    <n v="0"/>
    <n v="0"/>
    <n v="0"/>
    <s v="MMR001CMP113"/>
    <x v="0"/>
    <x v="1"/>
    <x v="5"/>
    <n v="0"/>
    <s v="No"/>
    <m/>
  </r>
  <r>
    <n v="36.1"/>
    <d v="2014-01-14T00:00:00"/>
    <x v="0"/>
    <s v="UNHCR"/>
    <s v="Kachin"/>
    <s v="Mansi"/>
    <s v="Lana Zup Ja "/>
    <m/>
    <m/>
    <m/>
    <n v="140"/>
    <n v="70"/>
    <n v="140"/>
    <n v="70"/>
    <m/>
    <n v="70"/>
    <n v="350"/>
    <m/>
    <m/>
    <m/>
    <m/>
    <m/>
    <m/>
    <m/>
    <n v="0"/>
    <n v="0"/>
    <n v="0"/>
    <n v="0"/>
    <n v="0"/>
    <n v="0"/>
    <n v="0"/>
    <n v="0"/>
    <n v="0"/>
    <n v="0"/>
    <n v="0"/>
    <n v="0"/>
    <n v="0"/>
    <n v="0"/>
    <x v="0"/>
    <n v="0"/>
    <n v="0"/>
    <n v="0"/>
    <s v="MMR001CMP128"/>
    <x v="0"/>
    <x v="1"/>
    <x v="6"/>
    <n v="1.7149717029669011E-3"/>
    <s v="No"/>
    <m/>
  </r>
  <r>
    <n v="36.166666666666664"/>
    <d v="2014-01-12T00:00:00"/>
    <x v="7"/>
    <s v="KMSS"/>
    <s v="Kachin"/>
    <s v="Momauk"/>
    <s v="Dum Bung "/>
    <m/>
    <m/>
    <m/>
    <m/>
    <m/>
    <m/>
    <m/>
    <n v="125"/>
    <m/>
    <m/>
    <m/>
    <m/>
    <m/>
    <m/>
    <m/>
    <m/>
    <m/>
    <n v="0"/>
    <n v="0"/>
    <n v="0"/>
    <n v="0"/>
    <n v="0"/>
    <n v="0"/>
    <n v="0"/>
    <n v="0"/>
    <n v="0"/>
    <n v="0"/>
    <n v="0"/>
    <n v="0"/>
    <n v="0"/>
    <n v="0"/>
    <x v="0"/>
    <n v="0"/>
    <n v="0"/>
    <n v="0"/>
    <s v="MMR001CMP123"/>
    <x v="0"/>
    <x v="1"/>
    <x v="6"/>
    <n v="0"/>
    <s v="No"/>
    <m/>
  </r>
  <r>
    <n v="36.166666666666664"/>
    <d v="2014-01-12T00:00:00"/>
    <x v="7"/>
    <s v="KMSS"/>
    <s v="Kachin"/>
    <s v="Momauk"/>
    <s v="Dum Bung "/>
    <m/>
    <m/>
    <m/>
    <m/>
    <m/>
    <m/>
    <m/>
    <m/>
    <m/>
    <m/>
    <n v="393"/>
    <n v="232"/>
    <m/>
    <m/>
    <m/>
    <m/>
    <m/>
    <n v="0"/>
    <n v="0"/>
    <n v="0"/>
    <n v="0"/>
    <n v="0"/>
    <n v="0"/>
    <n v="0"/>
    <n v="0"/>
    <n v="0"/>
    <n v="0"/>
    <n v="0"/>
    <n v="0"/>
    <n v="0"/>
    <n v="0"/>
    <x v="2"/>
    <n v="0"/>
    <n v="0"/>
    <n v="0"/>
    <s v="MMR001CMP123"/>
    <x v="0"/>
    <x v="1"/>
    <x v="6"/>
    <n v="0"/>
    <s v="No"/>
    <m/>
  </r>
  <r>
    <n v="36.200000000000003"/>
    <d v="2014-01-11T00:00:00"/>
    <x v="0"/>
    <m/>
    <s v="Kachin"/>
    <s v="Bhamo"/>
    <s v="Phan Khar Kone"/>
    <m/>
    <m/>
    <m/>
    <m/>
    <n v="10"/>
    <m/>
    <m/>
    <m/>
    <m/>
    <m/>
    <m/>
    <m/>
    <m/>
    <m/>
    <m/>
    <m/>
    <m/>
    <n v="0"/>
    <n v="0"/>
    <n v="0"/>
    <n v="0"/>
    <n v="0"/>
    <n v="0"/>
    <n v="0"/>
    <n v="0"/>
    <n v="0"/>
    <n v="0"/>
    <n v="0"/>
    <n v="0"/>
    <n v="0"/>
    <n v="0"/>
    <x v="0"/>
    <n v="0"/>
    <n v="0"/>
    <n v="0"/>
    <s v="MMR001CMP193"/>
    <x v="0"/>
    <x v="1"/>
    <x v="1"/>
    <n v="0"/>
    <m/>
    <m/>
  </r>
  <r>
    <n v="36.266666666666666"/>
    <d v="2014-01-09T00:00:00"/>
    <x v="1"/>
    <s v="KBC"/>
    <s v="Kachin"/>
    <s v="Mansi"/>
    <s v="IDPs scattered in South Mansi"/>
    <m/>
    <m/>
    <m/>
    <m/>
    <m/>
    <m/>
    <m/>
    <m/>
    <m/>
    <m/>
    <n v="142"/>
    <n v="284"/>
    <n v="852"/>
    <n v="426"/>
    <m/>
    <m/>
    <m/>
    <n v="0"/>
    <n v="0"/>
    <n v="0"/>
    <n v="0"/>
    <n v="0"/>
    <n v="0"/>
    <n v="0"/>
    <n v="0"/>
    <n v="0"/>
    <n v="0"/>
    <n v="0"/>
    <n v="0"/>
    <n v="0"/>
    <n v="0"/>
    <x v="2"/>
    <n v="0"/>
    <n v="0"/>
    <n v="0"/>
    <s v="MMR001CMP217"/>
    <x v="0"/>
    <x v="0"/>
    <x v="0"/>
    <s v=""/>
    <m/>
    <m/>
  </r>
  <r>
    <n v="36.333333333333336"/>
    <d v="2014-01-07T00:00:00"/>
    <x v="0"/>
    <s v="UNHCR"/>
    <s v="Kachin"/>
    <s v="Bhamo"/>
    <s v="Robert Church"/>
    <m/>
    <m/>
    <m/>
    <n v="44"/>
    <n v="30"/>
    <n v="44"/>
    <n v="20"/>
    <n v="20"/>
    <m/>
    <m/>
    <m/>
    <m/>
    <m/>
    <m/>
    <m/>
    <m/>
    <m/>
    <n v="0"/>
    <n v="0"/>
    <n v="0"/>
    <n v="0"/>
    <n v="0"/>
    <n v="0"/>
    <n v="0"/>
    <n v="0"/>
    <n v="0"/>
    <n v="0"/>
    <n v="0"/>
    <n v="0"/>
    <n v="0"/>
    <n v="0"/>
    <x v="0"/>
    <n v="0"/>
    <n v="0"/>
    <n v="0"/>
    <s v="MMR001CMP047"/>
    <x v="0"/>
    <x v="1"/>
    <x v="1"/>
    <n v="4.9109883364027013E-4"/>
    <s v="No"/>
    <m/>
  </r>
  <r>
    <n v="36.533333333333331"/>
    <d v="2014-01-01T00:00:00"/>
    <x v="8"/>
    <s v="MRCS"/>
    <s v="Kachin"/>
    <s v="Mohnyin"/>
    <s v="Nant Mun"/>
    <m/>
    <m/>
    <m/>
    <m/>
    <m/>
    <m/>
    <n v="12"/>
    <m/>
    <m/>
    <m/>
    <m/>
    <m/>
    <m/>
    <m/>
    <m/>
    <m/>
    <m/>
    <n v="0"/>
    <n v="0"/>
    <n v="0"/>
    <n v="0"/>
    <n v="0"/>
    <n v="0"/>
    <n v="0"/>
    <n v="0"/>
    <n v="0"/>
    <n v="0"/>
    <n v="0"/>
    <n v="0"/>
    <n v="0"/>
    <n v="0"/>
    <x v="0"/>
    <n v="0"/>
    <n v="0"/>
    <n v="0"/>
    <s v="MMR001CMP081"/>
    <x v="0"/>
    <x v="0"/>
    <x v="1"/>
    <n v="2.9290439112499695E-4"/>
    <s v="No"/>
    <m/>
  </r>
  <r>
    <n v="36.533333333333331"/>
    <d v="2014-01-01T00:00:00"/>
    <x v="8"/>
    <s v="MRCS"/>
    <s v="Kachin"/>
    <s v="Mogaung"/>
    <s v="Mang Hawng Baptist Church"/>
    <m/>
    <m/>
    <m/>
    <m/>
    <m/>
    <m/>
    <n v="14"/>
    <m/>
    <m/>
    <m/>
    <m/>
    <m/>
    <m/>
    <m/>
    <m/>
    <m/>
    <m/>
    <n v="0"/>
    <n v="0"/>
    <n v="0"/>
    <n v="0"/>
    <n v="0"/>
    <n v="0"/>
    <n v="0"/>
    <n v="0"/>
    <n v="0"/>
    <n v="0"/>
    <n v="0"/>
    <n v="0"/>
    <n v="0"/>
    <n v="0"/>
    <x v="0"/>
    <n v="0"/>
    <n v="0"/>
    <n v="0"/>
    <s v="MMR001CMP077"/>
    <x v="0"/>
    <x v="1"/>
    <x v="1"/>
    <n v="3.4121374603948332E-4"/>
    <s v="No"/>
    <m/>
  </r>
  <r>
    <n v="36.533333333333331"/>
    <d v="2014-01-01T00:00:00"/>
    <x v="8"/>
    <s v="MRCS"/>
    <s v="Kachin"/>
    <s v="Mogaung"/>
    <s v="Nat Gyi Kone Baptist Church "/>
    <m/>
    <m/>
    <m/>
    <m/>
    <m/>
    <m/>
    <n v="13"/>
    <m/>
    <m/>
    <m/>
    <m/>
    <m/>
    <m/>
    <m/>
    <m/>
    <m/>
    <m/>
    <n v="0"/>
    <n v="0"/>
    <n v="0"/>
    <n v="0"/>
    <n v="0"/>
    <n v="0"/>
    <n v="0"/>
    <n v="0"/>
    <n v="0"/>
    <n v="0"/>
    <n v="0"/>
    <n v="0"/>
    <n v="0"/>
    <n v="0"/>
    <x v="0"/>
    <n v="0"/>
    <n v="0"/>
    <n v="0"/>
    <s v="MMR001CMP079"/>
    <x v="0"/>
    <x v="1"/>
    <x v="1"/>
    <n v="3.1731309038541335E-4"/>
    <s v="No"/>
    <m/>
  </r>
  <r>
    <n v="36.533333333333331"/>
    <d v="2014-01-01T00:00:00"/>
    <x v="8"/>
    <s v="MRCS"/>
    <s v="Kachin"/>
    <s v="Chipwi"/>
    <s v="Pan Wa"/>
    <m/>
    <m/>
    <m/>
    <m/>
    <m/>
    <m/>
    <n v="92"/>
    <m/>
    <m/>
    <m/>
    <m/>
    <m/>
    <m/>
    <m/>
    <m/>
    <m/>
    <m/>
    <n v="0"/>
    <n v="0"/>
    <n v="0"/>
    <n v="0"/>
    <n v="0"/>
    <n v="0"/>
    <n v="0"/>
    <n v="0"/>
    <n v="0"/>
    <n v="0"/>
    <n v="0"/>
    <n v="0"/>
    <n v="0"/>
    <n v="0"/>
    <x v="0"/>
    <n v="0"/>
    <n v="0"/>
    <n v="0"/>
    <s v="MMR001CMP210"/>
    <x v="0"/>
    <x v="1"/>
    <x v="5"/>
    <n v="2.2389330997055318E-3"/>
    <s v="No"/>
    <m/>
  </r>
  <r>
    <n v="36.833333333333336"/>
    <d v="2013-12-23T00:00:00"/>
    <x v="0"/>
    <s v="UNHCR"/>
    <s v="Kachin"/>
    <s v="Bhamo"/>
    <s v="AD-2000 Tharthana Compound"/>
    <m/>
    <m/>
    <n v="10"/>
    <n v="10"/>
    <n v="7"/>
    <n v="10"/>
    <n v="7"/>
    <n v="7"/>
    <m/>
    <m/>
    <m/>
    <m/>
    <m/>
    <m/>
    <m/>
    <m/>
    <m/>
    <n v="0"/>
    <n v="0"/>
    <n v="0"/>
    <n v="0"/>
    <n v="0"/>
    <n v="0"/>
    <n v="0"/>
    <n v="0"/>
    <n v="0"/>
    <n v="0"/>
    <n v="0"/>
    <n v="0"/>
    <n v="0"/>
    <n v="0"/>
    <x v="0"/>
    <n v="0"/>
    <n v="0"/>
    <n v="0"/>
    <s v="MMR001CMP050"/>
    <x v="0"/>
    <x v="1"/>
    <x v="1"/>
    <n v="1.7136701919310616E-4"/>
    <s v="No"/>
    <m/>
  </r>
  <r>
    <n v="36.833333333333336"/>
    <d v="2013-12-23T00:00:00"/>
    <x v="1"/>
    <s v="KBC"/>
    <s v="Kachin"/>
    <s v="Waingmaw"/>
    <s v="IDP Boarding School, A Len Bum"/>
    <m/>
    <m/>
    <m/>
    <m/>
    <m/>
    <m/>
    <m/>
    <m/>
    <m/>
    <m/>
    <n v="2"/>
    <n v="111"/>
    <n v="226"/>
    <n v="113"/>
    <m/>
    <m/>
    <m/>
    <n v="0"/>
    <n v="0"/>
    <n v="0"/>
    <n v="0"/>
    <n v="0"/>
    <n v="0"/>
    <n v="0"/>
    <n v="0"/>
    <n v="0"/>
    <n v="0"/>
    <n v="0"/>
    <n v="0"/>
    <n v="0"/>
    <n v="0"/>
    <x v="2"/>
    <n v="0"/>
    <n v="0"/>
    <n v="0"/>
    <s v="MMR001CMP208"/>
    <x v="0"/>
    <x v="1"/>
    <x v="6"/>
    <s v=""/>
    <m/>
    <m/>
  </r>
  <r>
    <n v="36.833333333333336"/>
    <d v="2013-12-23T00:00:00"/>
    <x v="1"/>
    <s v="KBC"/>
    <s v="Kachin"/>
    <s v="Waingmaw"/>
    <s v="Qtr. 2 Lhaovo Baptist Church"/>
    <m/>
    <m/>
    <m/>
    <m/>
    <m/>
    <m/>
    <m/>
    <m/>
    <m/>
    <m/>
    <n v="59"/>
    <n v="196"/>
    <n v="510"/>
    <n v="255"/>
    <m/>
    <m/>
    <m/>
    <n v="0"/>
    <n v="0"/>
    <n v="0"/>
    <n v="0"/>
    <n v="0"/>
    <n v="0"/>
    <n v="0"/>
    <n v="0"/>
    <n v="0"/>
    <n v="0"/>
    <n v="0"/>
    <n v="0"/>
    <n v="0"/>
    <n v="0"/>
    <x v="2"/>
    <n v="0"/>
    <n v="0"/>
    <n v="0"/>
    <s v="MMR001CMP032"/>
    <x v="0"/>
    <x v="1"/>
    <x v="1"/>
    <n v="0"/>
    <m/>
    <m/>
  </r>
  <r>
    <n v="36.9"/>
    <d v="2013-12-21T00:00:00"/>
    <x v="1"/>
    <s v="KBC"/>
    <s v="Kachin"/>
    <s v="Waingmaw"/>
    <s v="Thargaya Lisu Baptist Church"/>
    <m/>
    <m/>
    <m/>
    <m/>
    <m/>
    <m/>
    <m/>
    <m/>
    <m/>
    <m/>
    <n v="75"/>
    <n v="139"/>
    <n v="428"/>
    <n v="214"/>
    <m/>
    <m/>
    <m/>
    <n v="0"/>
    <n v="0"/>
    <n v="0"/>
    <n v="0"/>
    <n v="0"/>
    <n v="0"/>
    <n v="0"/>
    <n v="0"/>
    <n v="0"/>
    <n v="0"/>
    <n v="0"/>
    <n v="0"/>
    <n v="0"/>
    <n v="0"/>
    <x v="2"/>
    <n v="0"/>
    <n v="0"/>
    <n v="0"/>
    <s v="MMR001CMP037"/>
    <x v="0"/>
    <x v="1"/>
    <x v="1"/>
    <n v="0"/>
    <m/>
    <m/>
  </r>
  <r>
    <n v="36.93333333333333"/>
    <d v="2013-12-20T00:00:00"/>
    <x v="1"/>
    <s v="KBC"/>
    <s v="Kachin"/>
    <s v="Waingmaw"/>
    <s v="Maina AG Church"/>
    <m/>
    <m/>
    <m/>
    <m/>
    <m/>
    <m/>
    <m/>
    <m/>
    <m/>
    <m/>
    <n v="141"/>
    <n v="265"/>
    <n v="812"/>
    <n v="406"/>
    <m/>
    <m/>
    <m/>
    <n v="0"/>
    <n v="0"/>
    <n v="0"/>
    <n v="0"/>
    <n v="0"/>
    <n v="0"/>
    <n v="0"/>
    <n v="0"/>
    <n v="0"/>
    <n v="0"/>
    <n v="0"/>
    <n v="0"/>
    <n v="0"/>
    <n v="0"/>
    <x v="2"/>
    <n v="0"/>
    <n v="0"/>
    <n v="0"/>
    <s v="MMR001CMP031"/>
    <x v="0"/>
    <x v="1"/>
    <x v="1"/>
    <n v="0"/>
    <m/>
    <m/>
  </r>
  <r>
    <n v="36.93333333333333"/>
    <d v="2013-12-20T00:00:00"/>
    <x v="1"/>
    <s v="KBC"/>
    <s v="Kachin"/>
    <s v="Waingmaw"/>
    <s v="Maina Lawang Baptist Church"/>
    <m/>
    <m/>
    <m/>
    <m/>
    <m/>
    <m/>
    <m/>
    <m/>
    <m/>
    <m/>
    <n v="47"/>
    <n v="85"/>
    <n v="264"/>
    <n v="132"/>
    <m/>
    <m/>
    <m/>
    <n v="0"/>
    <n v="0"/>
    <n v="0"/>
    <n v="0"/>
    <n v="0"/>
    <n v="0"/>
    <n v="0"/>
    <n v="0"/>
    <n v="0"/>
    <n v="0"/>
    <n v="0"/>
    <n v="0"/>
    <n v="0"/>
    <n v="0"/>
    <x v="2"/>
    <n v="0"/>
    <n v="0"/>
    <n v="0"/>
    <s v="MMR001CMP039"/>
    <x v="0"/>
    <x v="1"/>
    <x v="1"/>
    <n v="0"/>
    <m/>
    <m/>
  </r>
  <r>
    <n v="36.93333333333333"/>
    <d v="2013-12-20T00:00:00"/>
    <x v="1"/>
    <s v="KBC"/>
    <s v="Kachin"/>
    <s v="Waingmaw"/>
    <s v="Qtr. 4 Monestry (Thargaya Thayett Taw)"/>
    <m/>
    <m/>
    <m/>
    <m/>
    <m/>
    <m/>
    <m/>
    <m/>
    <m/>
    <m/>
    <n v="102"/>
    <n v="188"/>
    <n v="580"/>
    <n v="290"/>
    <m/>
    <m/>
    <m/>
    <n v="0"/>
    <n v="0"/>
    <n v="0"/>
    <n v="0"/>
    <n v="0"/>
    <n v="0"/>
    <n v="0"/>
    <n v="0"/>
    <n v="0"/>
    <n v="0"/>
    <n v="0"/>
    <n v="0"/>
    <n v="0"/>
    <n v="0"/>
    <x v="2"/>
    <n v="0"/>
    <n v="0"/>
    <n v="0"/>
    <s v="MMR001CMP026"/>
    <x v="0"/>
    <x v="1"/>
    <x v="1"/>
    <n v="0"/>
    <m/>
    <m/>
  </r>
  <r>
    <n v="36.966666666666669"/>
    <d v="2013-12-19T00:00:00"/>
    <x v="1"/>
    <s v="KBC"/>
    <s v="Kachin"/>
    <s v="Waingmaw"/>
    <s v="Maina KBC (Bawng Ring)"/>
    <m/>
    <m/>
    <m/>
    <m/>
    <m/>
    <m/>
    <m/>
    <m/>
    <m/>
    <m/>
    <n v="414"/>
    <n v="764"/>
    <n v="2356"/>
    <n v="1178"/>
    <m/>
    <m/>
    <m/>
    <n v="0"/>
    <n v="0"/>
    <n v="0"/>
    <n v="0"/>
    <n v="0"/>
    <n v="0"/>
    <n v="0"/>
    <n v="0"/>
    <n v="0"/>
    <n v="0"/>
    <n v="0"/>
    <n v="0"/>
    <n v="0"/>
    <n v="0"/>
    <x v="2"/>
    <n v="0"/>
    <n v="0"/>
    <n v="0"/>
    <s v="MMR001CMP040"/>
    <x v="0"/>
    <x v="1"/>
    <x v="1"/>
    <n v="0"/>
    <m/>
    <m/>
  </r>
  <r>
    <n v="37"/>
    <d v="2013-12-18T00:00:00"/>
    <x v="1"/>
    <s v="KBC"/>
    <s v="Kachin"/>
    <s v="Waingmaw"/>
    <s v="Hkat Cho "/>
    <m/>
    <m/>
    <m/>
    <m/>
    <m/>
    <m/>
    <m/>
    <m/>
    <m/>
    <m/>
    <n v="134"/>
    <n v="238"/>
    <n v="744"/>
    <n v="372"/>
    <m/>
    <m/>
    <m/>
    <n v="0"/>
    <n v="0"/>
    <n v="0"/>
    <n v="0"/>
    <n v="0"/>
    <n v="0"/>
    <n v="0"/>
    <n v="0"/>
    <n v="0"/>
    <n v="0"/>
    <n v="0"/>
    <n v="0"/>
    <n v="0"/>
    <n v="0"/>
    <x v="2"/>
    <n v="0"/>
    <n v="0"/>
    <n v="0"/>
    <s v="MMR001CMP028"/>
    <x v="0"/>
    <x v="1"/>
    <x v="1"/>
    <n v="0"/>
    <m/>
    <m/>
  </r>
  <r>
    <n v="37"/>
    <d v="2013-12-18T00:00:00"/>
    <x v="0"/>
    <s v="UNHCR"/>
    <s v="Kachin"/>
    <s v="Bhamo"/>
    <s v="Host Families"/>
    <m/>
    <m/>
    <m/>
    <m/>
    <n v="4"/>
    <m/>
    <m/>
    <m/>
    <m/>
    <m/>
    <m/>
    <m/>
    <m/>
    <m/>
    <m/>
    <m/>
    <m/>
    <n v="0"/>
    <n v="0"/>
    <n v="0"/>
    <n v="0"/>
    <n v="0"/>
    <n v="0"/>
    <n v="0"/>
    <n v="0"/>
    <n v="0"/>
    <n v="0"/>
    <n v="0"/>
    <n v="0"/>
    <n v="0"/>
    <n v="0"/>
    <x v="0"/>
    <n v="0"/>
    <n v="0"/>
    <n v="0"/>
    <s v="MMR001CMP163"/>
    <x v="0"/>
    <x v="1"/>
    <x v="1"/>
    <s v=""/>
    <s v="No"/>
    <m/>
  </r>
  <r>
    <n v="37"/>
    <d v="2013-12-18T00:00:00"/>
    <x v="1"/>
    <s v="KBC"/>
    <s v="Kachin"/>
    <s v="Waingmaw"/>
    <s v="Mading Baptist Church"/>
    <m/>
    <m/>
    <m/>
    <m/>
    <m/>
    <m/>
    <m/>
    <m/>
    <m/>
    <m/>
    <n v="23"/>
    <n v="45"/>
    <n v="136"/>
    <n v="68"/>
    <m/>
    <m/>
    <m/>
    <n v="0"/>
    <n v="0"/>
    <n v="0"/>
    <n v="0"/>
    <n v="0"/>
    <n v="0"/>
    <n v="0"/>
    <n v="0"/>
    <n v="0"/>
    <n v="0"/>
    <n v="0"/>
    <n v="0"/>
    <n v="0"/>
    <n v="0"/>
    <x v="2"/>
    <n v="0"/>
    <n v="0"/>
    <n v="0"/>
    <s v="MMR001CMP027"/>
    <x v="0"/>
    <x v="1"/>
    <x v="1"/>
    <n v="0"/>
    <m/>
    <m/>
  </r>
  <r>
    <n v="37"/>
    <d v="2013-12-18T00:00:00"/>
    <x v="1"/>
    <s v="KBC"/>
    <s v="Kachin"/>
    <s v="Waingmaw"/>
    <s v="Qtr. 3 Mu-yin  Baptist Church"/>
    <m/>
    <m/>
    <m/>
    <m/>
    <m/>
    <m/>
    <m/>
    <m/>
    <m/>
    <m/>
    <n v="30"/>
    <n v="57"/>
    <n v="174"/>
    <n v="87"/>
    <m/>
    <m/>
    <m/>
    <n v="0"/>
    <n v="0"/>
    <n v="0"/>
    <n v="0"/>
    <n v="0"/>
    <n v="0"/>
    <n v="0"/>
    <n v="0"/>
    <n v="0"/>
    <n v="0"/>
    <n v="0"/>
    <n v="0"/>
    <n v="0"/>
    <n v="0"/>
    <x v="2"/>
    <n v="0"/>
    <n v="0"/>
    <n v="0"/>
    <s v="MMR001CMP030"/>
    <x v="0"/>
    <x v="1"/>
    <x v="1"/>
    <n v="0"/>
    <m/>
    <m/>
  </r>
  <r>
    <n v="37.033333333333331"/>
    <d v="2013-12-17T00:00:00"/>
    <x v="1"/>
    <s v="KBC"/>
    <s v="Kachin"/>
    <s v="Waingmaw"/>
    <s v="Qtr. 2 Myoma Baptist Church"/>
    <m/>
    <m/>
    <m/>
    <m/>
    <m/>
    <m/>
    <m/>
    <m/>
    <m/>
    <m/>
    <n v="73"/>
    <n v="146"/>
    <n v="438"/>
    <n v="219"/>
    <m/>
    <m/>
    <m/>
    <n v="0"/>
    <n v="0"/>
    <n v="0"/>
    <n v="0"/>
    <n v="0"/>
    <n v="0"/>
    <n v="0"/>
    <n v="0"/>
    <n v="0"/>
    <n v="0"/>
    <n v="0"/>
    <n v="0"/>
    <n v="0"/>
    <n v="0"/>
    <x v="2"/>
    <n v="0"/>
    <n v="0"/>
    <n v="0"/>
    <s v="MMR001CMP025"/>
    <x v="0"/>
    <x v="1"/>
    <x v="1"/>
    <n v="0"/>
    <m/>
    <m/>
  </r>
  <r>
    <n v="37.033333333333331"/>
    <d v="2013-12-17T00:00:00"/>
    <x v="1"/>
    <s v="KBC"/>
    <s v="Kachin"/>
    <s v="Waingmaw"/>
    <s v="Shing Jai"/>
    <m/>
    <m/>
    <m/>
    <m/>
    <m/>
    <m/>
    <m/>
    <m/>
    <m/>
    <m/>
    <n v="188"/>
    <n v="343"/>
    <n v="1062"/>
    <n v="531"/>
    <m/>
    <m/>
    <m/>
    <n v="0"/>
    <n v="0"/>
    <n v="0"/>
    <n v="0"/>
    <n v="0"/>
    <n v="0"/>
    <n v="0"/>
    <n v="0"/>
    <n v="0"/>
    <n v="0"/>
    <n v="0"/>
    <n v="0"/>
    <n v="0"/>
    <n v="0"/>
    <x v="2"/>
    <n v="0"/>
    <n v="0"/>
    <n v="0"/>
    <s v="MMR001CMP041"/>
    <x v="0"/>
    <x v="1"/>
    <x v="5"/>
    <n v="0"/>
    <m/>
    <m/>
  </r>
  <r>
    <n v="37.06666666666667"/>
    <d v="2013-12-16T00:00:00"/>
    <x v="1"/>
    <s v="KBC"/>
    <s v="Kachin"/>
    <s v="Waingmaw"/>
    <s v="Waingmaw AG Church"/>
    <m/>
    <m/>
    <m/>
    <m/>
    <m/>
    <m/>
    <m/>
    <m/>
    <m/>
    <m/>
    <n v="77"/>
    <n v="153"/>
    <n v="460"/>
    <n v="230"/>
    <m/>
    <m/>
    <m/>
    <n v="0"/>
    <n v="0"/>
    <n v="0"/>
    <n v="0"/>
    <n v="0"/>
    <n v="0"/>
    <n v="0"/>
    <n v="0"/>
    <n v="0"/>
    <n v="0"/>
    <n v="0"/>
    <n v="0"/>
    <n v="0"/>
    <n v="0"/>
    <x v="2"/>
    <n v="0"/>
    <n v="0"/>
    <n v="0"/>
    <s v="MMR001CMP038"/>
    <x v="0"/>
    <x v="1"/>
    <x v="1"/>
    <n v="0"/>
    <m/>
    <m/>
  </r>
  <r>
    <n v="37.166666666666664"/>
    <d v="2013-12-13T00:00:00"/>
    <x v="1"/>
    <s v="Solidarities"/>
    <s v="Kachin"/>
    <s v="Mansi"/>
    <s v="Mansi Baptist Church"/>
    <m/>
    <m/>
    <m/>
    <m/>
    <m/>
    <m/>
    <m/>
    <m/>
    <m/>
    <m/>
    <n v="13"/>
    <n v="53"/>
    <n v="132"/>
    <n v="66"/>
    <m/>
    <m/>
    <m/>
    <n v="0"/>
    <n v="0"/>
    <n v="0"/>
    <n v="0"/>
    <n v="0"/>
    <n v="0"/>
    <n v="0"/>
    <n v="0"/>
    <n v="0"/>
    <n v="0"/>
    <n v="0"/>
    <n v="0"/>
    <n v="0"/>
    <n v="0"/>
    <x v="2"/>
    <n v="0"/>
    <n v="0"/>
    <n v="0"/>
    <s v="MMR001CMP066"/>
    <x v="0"/>
    <x v="1"/>
    <x v="1"/>
    <n v="0"/>
    <m/>
    <m/>
  </r>
  <r>
    <n v="37.233333333333334"/>
    <d v="2013-12-11T00:00:00"/>
    <x v="9"/>
    <s v="WPN"/>
    <s v="Kachin"/>
    <s v="Mansi"/>
    <s v="Bum Tsit Pa "/>
    <m/>
    <m/>
    <m/>
    <m/>
    <m/>
    <n v="278"/>
    <m/>
    <m/>
    <m/>
    <m/>
    <m/>
    <m/>
    <m/>
    <m/>
    <m/>
    <m/>
    <m/>
    <n v="0"/>
    <n v="0"/>
    <n v="0"/>
    <n v="0"/>
    <n v="0"/>
    <n v="0"/>
    <n v="0"/>
    <n v="0"/>
    <n v="0"/>
    <n v="0"/>
    <n v="0"/>
    <n v="0"/>
    <n v="0"/>
    <n v="0"/>
    <x v="0"/>
    <n v="0"/>
    <n v="0"/>
    <n v="0"/>
    <s v="MMR001CMP129"/>
    <x v="0"/>
    <x v="1"/>
    <x v="6"/>
    <n v="0"/>
    <s v="No"/>
    <m/>
  </r>
  <r>
    <n v="37.233333333333334"/>
    <d v="2013-12-11T00:00:00"/>
    <x v="9"/>
    <s v="WPN"/>
    <s v="Kachin"/>
    <s v="Mansi"/>
    <s v="Bum Tsit Pa "/>
    <m/>
    <m/>
    <m/>
    <m/>
    <m/>
    <n v="174"/>
    <m/>
    <m/>
    <m/>
    <m/>
    <m/>
    <m/>
    <m/>
    <m/>
    <m/>
    <m/>
    <m/>
    <n v="0"/>
    <n v="0"/>
    <n v="0"/>
    <n v="0"/>
    <n v="0"/>
    <n v="0"/>
    <n v="0"/>
    <n v="0"/>
    <n v="0"/>
    <n v="0"/>
    <n v="0"/>
    <n v="0"/>
    <n v="0"/>
    <n v="0"/>
    <x v="0"/>
    <n v="0"/>
    <n v="0"/>
    <n v="0"/>
    <s v="MMR001CMP129"/>
    <x v="0"/>
    <x v="1"/>
    <x v="6"/>
    <n v="0"/>
    <s v="No"/>
    <m/>
  </r>
  <r>
    <n v="37.233333333333334"/>
    <d v="2013-12-11T00:00:00"/>
    <x v="9"/>
    <s v="WPN"/>
    <s v="Kachin"/>
    <s v="Mansi"/>
    <s v="Lana Zup Ja "/>
    <m/>
    <m/>
    <m/>
    <m/>
    <m/>
    <n v="543"/>
    <m/>
    <m/>
    <m/>
    <m/>
    <m/>
    <m/>
    <m/>
    <m/>
    <m/>
    <m/>
    <m/>
    <n v="0"/>
    <n v="0"/>
    <n v="0"/>
    <n v="0"/>
    <n v="0"/>
    <n v="0"/>
    <n v="0"/>
    <n v="0"/>
    <n v="0"/>
    <n v="0"/>
    <n v="0"/>
    <n v="0"/>
    <n v="0"/>
    <n v="0"/>
    <x v="0"/>
    <n v="0"/>
    <n v="0"/>
    <n v="0"/>
    <s v="MMR001CMP128"/>
    <x v="0"/>
    <x v="1"/>
    <x v="6"/>
    <n v="0"/>
    <s v="No"/>
    <m/>
  </r>
  <r>
    <n v="37.233333333333334"/>
    <d v="2013-12-11T00:00:00"/>
    <x v="9"/>
    <s v="WPN"/>
    <s v="Kachin"/>
    <s v="Mansi"/>
    <s v="Lung Kawk  ( Hka Hkye Zup)"/>
    <m/>
    <m/>
    <m/>
    <m/>
    <m/>
    <n v="38"/>
    <m/>
    <m/>
    <m/>
    <m/>
    <m/>
    <m/>
    <m/>
    <m/>
    <m/>
    <m/>
    <m/>
    <n v="0"/>
    <n v="0"/>
    <n v="0"/>
    <n v="0"/>
    <n v="0"/>
    <n v="0"/>
    <n v="0"/>
    <n v="0"/>
    <n v="0"/>
    <n v="0"/>
    <n v="0"/>
    <n v="0"/>
    <n v="0"/>
    <n v="0"/>
    <x v="0"/>
    <n v="0"/>
    <n v="0"/>
    <n v="0"/>
    <s v="MMR001CMP135"/>
    <x v="0"/>
    <x v="0"/>
    <x v="6"/>
    <n v="0"/>
    <s v="No"/>
    <m/>
  </r>
  <r>
    <n v="37.233333333333334"/>
    <d v="2013-12-11T00:00:00"/>
    <x v="9"/>
    <s v="WPN"/>
    <s v="Kachin"/>
    <s v="Momauk"/>
    <s v="Nhkawng Pa "/>
    <m/>
    <m/>
    <m/>
    <m/>
    <m/>
    <n v="350"/>
    <m/>
    <m/>
    <m/>
    <m/>
    <m/>
    <m/>
    <m/>
    <m/>
    <m/>
    <m/>
    <m/>
    <n v="0"/>
    <n v="0"/>
    <n v="0"/>
    <n v="0"/>
    <n v="0"/>
    <n v="0"/>
    <n v="0"/>
    <n v="0"/>
    <n v="0"/>
    <n v="0"/>
    <n v="0"/>
    <n v="0"/>
    <n v="0"/>
    <n v="0"/>
    <x v="0"/>
    <n v="0"/>
    <n v="0"/>
    <n v="0"/>
    <s v="MMR001CMP131"/>
    <x v="0"/>
    <x v="1"/>
    <x v="5"/>
    <n v="0"/>
    <s v="No"/>
    <m/>
  </r>
  <r>
    <n v="37.233333333333334"/>
    <d v="2013-12-11T00:00:00"/>
    <x v="9"/>
    <s v="WPN"/>
    <s v="Kachin"/>
    <s v="Momauk"/>
    <s v="Pa Kahtawng "/>
    <m/>
    <m/>
    <m/>
    <m/>
    <m/>
    <n v="417"/>
    <m/>
    <m/>
    <m/>
    <m/>
    <m/>
    <m/>
    <m/>
    <m/>
    <m/>
    <m/>
    <m/>
    <n v="0"/>
    <n v="0"/>
    <n v="0"/>
    <n v="0"/>
    <n v="0"/>
    <n v="0"/>
    <n v="0"/>
    <n v="0"/>
    <n v="0"/>
    <n v="0"/>
    <n v="0"/>
    <n v="0"/>
    <n v="0"/>
    <n v="0"/>
    <x v="0"/>
    <n v="0"/>
    <n v="0"/>
    <n v="0"/>
    <s v="MMR001CMP126"/>
    <x v="0"/>
    <x v="1"/>
    <x v="6"/>
    <n v="0"/>
    <s v="No"/>
    <m/>
  </r>
  <r>
    <n v="37.266666666666666"/>
    <d v="2013-12-10T00:00:00"/>
    <x v="7"/>
    <m/>
    <s v="Kachin"/>
    <s v="Mansi"/>
    <s v="Man Wing Catholic Church"/>
    <m/>
    <m/>
    <m/>
    <m/>
    <m/>
    <m/>
    <m/>
    <m/>
    <m/>
    <m/>
    <m/>
    <n v="256"/>
    <m/>
    <m/>
    <m/>
    <m/>
    <m/>
    <n v="0"/>
    <n v="0"/>
    <n v="0"/>
    <n v="0"/>
    <n v="0"/>
    <n v="0"/>
    <n v="0"/>
    <n v="0"/>
    <n v="0"/>
    <n v="0"/>
    <n v="0"/>
    <n v="0"/>
    <n v="0"/>
    <n v="0"/>
    <x v="2"/>
    <n v="0"/>
    <n v="0"/>
    <n v="0"/>
    <s v="MMR001CMP132"/>
    <x v="0"/>
    <x v="1"/>
    <x v="1"/>
    <n v="0"/>
    <s v="No"/>
    <m/>
  </r>
  <r>
    <n v="37.43333333333333"/>
    <d v="2013-12-05T00:00:00"/>
    <x v="1"/>
    <s v="KBC"/>
    <s v="Kachin"/>
    <s v="Momauk"/>
    <s v="Dum Bung "/>
    <m/>
    <m/>
    <m/>
    <m/>
    <m/>
    <m/>
    <m/>
    <m/>
    <m/>
    <m/>
    <n v="120"/>
    <n v="240"/>
    <n v="720"/>
    <n v="360"/>
    <m/>
    <m/>
    <m/>
    <n v="0"/>
    <n v="0"/>
    <n v="0"/>
    <n v="0"/>
    <n v="0"/>
    <n v="0"/>
    <n v="0"/>
    <n v="0"/>
    <n v="0"/>
    <n v="0"/>
    <n v="0"/>
    <n v="0"/>
    <n v="0"/>
    <n v="0"/>
    <x v="2"/>
    <n v="0"/>
    <n v="0"/>
    <n v="0"/>
    <s v="MMR001CMP123"/>
    <x v="0"/>
    <x v="1"/>
    <x v="6"/>
    <n v="0"/>
    <m/>
    <m/>
  </r>
  <r>
    <n v="37.466666666666669"/>
    <d v="2013-12-04T00:00:00"/>
    <x v="0"/>
    <s v="UNHCR"/>
    <s v="Kachin"/>
    <s v="Bhamo"/>
    <s v="Aung Thar Church"/>
    <m/>
    <m/>
    <m/>
    <m/>
    <m/>
    <n v="10"/>
    <n v="5"/>
    <n v="5"/>
    <m/>
    <m/>
    <m/>
    <m/>
    <m/>
    <m/>
    <m/>
    <m/>
    <m/>
    <n v="0"/>
    <n v="0"/>
    <n v="0"/>
    <n v="0"/>
    <n v="0"/>
    <n v="0"/>
    <n v="0"/>
    <n v="0"/>
    <n v="0"/>
    <n v="0"/>
    <n v="0"/>
    <n v="0"/>
    <n v="0"/>
    <n v="0"/>
    <x v="0"/>
    <n v="0"/>
    <n v="0"/>
    <n v="0"/>
    <s v="MMR001CMP194"/>
    <x v="0"/>
    <x v="1"/>
    <x v="1"/>
    <n v="1.2258807953514599E-4"/>
    <s v="No"/>
    <m/>
  </r>
  <r>
    <n v="37.466666666666669"/>
    <d v="2013-12-04T00:00:00"/>
    <x v="0"/>
    <s v="UNHCR"/>
    <s v="Kachin"/>
    <s v="Bhamo"/>
    <s v="Robert Church"/>
    <m/>
    <m/>
    <m/>
    <m/>
    <m/>
    <n v="120"/>
    <m/>
    <m/>
    <m/>
    <m/>
    <m/>
    <m/>
    <m/>
    <m/>
    <m/>
    <m/>
    <m/>
    <n v="0"/>
    <n v="0"/>
    <n v="0"/>
    <n v="0"/>
    <n v="0"/>
    <n v="0"/>
    <n v="0"/>
    <n v="0"/>
    <n v="0"/>
    <n v="0"/>
    <n v="0"/>
    <n v="0"/>
    <n v="0"/>
    <n v="0"/>
    <x v="0"/>
    <n v="0"/>
    <n v="0"/>
    <n v="0"/>
    <s v="MMR001CMP047"/>
    <x v="0"/>
    <x v="1"/>
    <x v="1"/>
    <n v="0"/>
    <s v="No"/>
    <m/>
  </r>
  <r>
    <n v="37.466666666666669"/>
    <d v="2013-12-04T00:00:00"/>
    <x v="0"/>
    <s v="UNHCR"/>
    <s v="Kachin"/>
    <s v="Bhamo"/>
    <s v="Robert Church"/>
    <m/>
    <m/>
    <m/>
    <m/>
    <n v="5"/>
    <m/>
    <m/>
    <m/>
    <m/>
    <m/>
    <m/>
    <m/>
    <m/>
    <m/>
    <m/>
    <m/>
    <m/>
    <n v="0"/>
    <n v="0"/>
    <n v="0"/>
    <n v="0"/>
    <n v="0"/>
    <n v="0"/>
    <n v="0"/>
    <n v="0"/>
    <n v="0"/>
    <n v="0"/>
    <n v="0"/>
    <n v="0"/>
    <n v="0"/>
    <n v="0"/>
    <x v="0"/>
    <n v="0"/>
    <n v="0"/>
    <n v="0"/>
    <s v="MMR001CMP047"/>
    <x v="0"/>
    <x v="1"/>
    <x v="1"/>
    <n v="0"/>
    <s v="No"/>
    <m/>
  </r>
  <r>
    <n v="37.5"/>
    <d v="2013-12-03T00:00:00"/>
    <x v="1"/>
    <s v="KBC"/>
    <s v="Kachin"/>
    <s v="Waingmaw"/>
    <s v="Border Post 8"/>
    <m/>
    <m/>
    <m/>
    <m/>
    <m/>
    <m/>
    <m/>
    <m/>
    <m/>
    <m/>
    <n v="181"/>
    <n v="362"/>
    <n v="1086"/>
    <n v="543"/>
    <m/>
    <m/>
    <m/>
    <n v="0"/>
    <n v="0"/>
    <n v="0"/>
    <n v="0"/>
    <n v="0"/>
    <n v="0"/>
    <n v="0"/>
    <n v="0"/>
    <n v="0"/>
    <n v="0"/>
    <n v="0"/>
    <n v="0"/>
    <n v="0"/>
    <n v="0"/>
    <x v="2"/>
    <n v="0"/>
    <n v="0"/>
    <n v="0"/>
    <s v="MMR001CMP113"/>
    <x v="0"/>
    <x v="1"/>
    <x v="5"/>
    <n v="0"/>
    <m/>
    <m/>
  </r>
  <r>
    <n v="37.5"/>
    <d v="2013-12-03T00:00:00"/>
    <x v="0"/>
    <s v="UNHCR"/>
    <s v="Kachin"/>
    <s v="Momauk"/>
    <s v="Momauk Baptist Church"/>
    <m/>
    <m/>
    <m/>
    <n v="25"/>
    <n v="13"/>
    <n v="25"/>
    <n v="13"/>
    <n v="13"/>
    <m/>
    <m/>
    <m/>
    <m/>
    <m/>
    <m/>
    <m/>
    <m/>
    <m/>
    <n v="0"/>
    <n v="0"/>
    <n v="0"/>
    <n v="0"/>
    <n v="0"/>
    <n v="0"/>
    <n v="0"/>
    <n v="0"/>
    <n v="0"/>
    <n v="0"/>
    <n v="0"/>
    <n v="0"/>
    <n v="0"/>
    <n v="0"/>
    <x v="0"/>
    <n v="0"/>
    <n v="0"/>
    <n v="0"/>
    <s v="MMR001CMP056"/>
    <x v="0"/>
    <x v="1"/>
    <x v="1"/>
    <n v="3.1944956382848013E-4"/>
    <s v="No"/>
    <m/>
  </r>
  <r>
    <n v="37.533333333333331"/>
    <d v="2013-12-02T00:00:00"/>
    <x v="1"/>
    <s v="KBC"/>
    <s v="Kachin"/>
    <s v="Waingmaw"/>
    <s v="Post 6 Camp"/>
    <m/>
    <m/>
    <m/>
    <m/>
    <m/>
    <m/>
    <m/>
    <m/>
    <m/>
    <m/>
    <n v="124"/>
    <n v="248"/>
    <n v="744"/>
    <n v="372"/>
    <m/>
    <m/>
    <m/>
    <n v="0"/>
    <n v="0"/>
    <n v="0"/>
    <n v="0"/>
    <n v="0"/>
    <n v="0"/>
    <n v="0"/>
    <n v="0"/>
    <n v="0"/>
    <n v="0"/>
    <n v="0"/>
    <n v="0"/>
    <n v="0"/>
    <n v="0"/>
    <x v="2"/>
    <n v="0"/>
    <n v="0"/>
    <n v="0"/>
    <s v="MMR001CMP160"/>
    <x v="0"/>
    <x v="1"/>
    <x v="5"/>
    <n v="0"/>
    <m/>
    <m/>
  </r>
  <r>
    <n v="37.56666666666667"/>
    <d v="2013-12-01T00:00:00"/>
    <x v="0"/>
    <s v="UNHCR"/>
    <s v="Kachin"/>
    <s v="Bhamo"/>
    <s v="Robert Church"/>
    <m/>
    <m/>
    <m/>
    <m/>
    <m/>
    <n v="30"/>
    <m/>
    <m/>
    <m/>
    <m/>
    <m/>
    <m/>
    <m/>
    <m/>
    <m/>
    <m/>
    <m/>
    <n v="0"/>
    <n v="0"/>
    <n v="0"/>
    <n v="0"/>
    <n v="0"/>
    <n v="0"/>
    <n v="0"/>
    <n v="0"/>
    <n v="0"/>
    <n v="0"/>
    <n v="0"/>
    <n v="0"/>
    <n v="0"/>
    <n v="0"/>
    <x v="0"/>
    <n v="0"/>
    <n v="0"/>
    <n v="0"/>
    <s v="MMR001CMP047"/>
    <x v="0"/>
    <x v="1"/>
    <x v="1"/>
    <n v="0"/>
    <s v="No"/>
    <m/>
  </r>
  <r>
    <n v="37.6"/>
    <d v="2013-11-30T00:00:00"/>
    <x v="10"/>
    <s v="MDCG"/>
    <s v="Kachin"/>
    <s v="Bhamo"/>
    <s v="AD-2000 Tharthana Compound"/>
    <m/>
    <m/>
    <m/>
    <m/>
    <m/>
    <n v="104"/>
    <m/>
    <m/>
    <m/>
    <m/>
    <n v="146"/>
    <n v="39"/>
    <n v="0"/>
    <m/>
    <m/>
    <m/>
    <m/>
    <n v="0"/>
    <n v="0"/>
    <n v="0"/>
    <n v="0"/>
    <n v="0"/>
    <n v="0"/>
    <n v="0"/>
    <n v="0"/>
    <n v="0"/>
    <n v="0"/>
    <n v="0"/>
    <n v="0"/>
    <n v="0"/>
    <n v="0"/>
    <x v="2"/>
    <n v="0"/>
    <n v="0"/>
    <n v="0"/>
    <s v="MMR001CMP050"/>
    <x v="0"/>
    <x v="1"/>
    <x v="1"/>
    <n v="0"/>
    <s v="No"/>
    <m/>
  </r>
  <r>
    <n v="37.6"/>
    <d v="2013-11-30T00:00:00"/>
    <x v="1"/>
    <m/>
    <s v="Kachin"/>
    <s v="Bhamo"/>
    <s v="AD-2000 Tharthana Compound"/>
    <m/>
    <m/>
    <m/>
    <m/>
    <m/>
    <m/>
    <m/>
    <m/>
    <m/>
    <n v="660"/>
    <m/>
    <m/>
    <m/>
    <m/>
    <m/>
    <m/>
    <m/>
    <n v="0"/>
    <n v="0"/>
    <n v="0"/>
    <n v="0"/>
    <n v="0"/>
    <n v="0"/>
    <n v="0"/>
    <n v="0"/>
    <n v="0"/>
    <n v="0"/>
    <n v="0"/>
    <n v="0"/>
    <n v="0"/>
    <n v="0"/>
    <x v="0"/>
    <n v="0"/>
    <n v="0"/>
    <n v="0"/>
    <s v="MMR001CMP050"/>
    <x v="0"/>
    <x v="1"/>
    <x v="1"/>
    <n v="0"/>
    <s v="No"/>
    <m/>
  </r>
  <r>
    <n v="37.6"/>
    <d v="2013-11-30T00:00:00"/>
    <x v="0"/>
    <s v="UNHCR"/>
    <s v="Kachin"/>
    <s v="Bhamo"/>
    <s v="AD-2000 Tharthana Compound"/>
    <m/>
    <m/>
    <m/>
    <n v="6"/>
    <n v="6"/>
    <n v="6"/>
    <n v="6"/>
    <n v="6"/>
    <m/>
    <m/>
    <m/>
    <m/>
    <m/>
    <m/>
    <m/>
    <m/>
    <m/>
    <n v="0"/>
    <n v="0"/>
    <n v="0"/>
    <n v="0"/>
    <n v="0"/>
    <n v="0"/>
    <n v="0"/>
    <n v="0"/>
    <n v="0"/>
    <n v="0"/>
    <n v="0"/>
    <n v="0"/>
    <n v="0"/>
    <n v="0"/>
    <x v="0"/>
    <n v="0"/>
    <n v="0"/>
    <n v="0"/>
    <s v="MMR001CMP050"/>
    <x v="0"/>
    <x v="1"/>
    <x v="1"/>
    <n v="1.4688601645123384E-4"/>
    <s v="No"/>
    <m/>
  </r>
  <r>
    <n v="37.6"/>
    <d v="2013-11-30T00:00:00"/>
    <x v="1"/>
    <s v="KBC"/>
    <s v="Kachin"/>
    <s v="Waingmaw"/>
    <s v="Border Post 8"/>
    <m/>
    <m/>
    <m/>
    <m/>
    <m/>
    <m/>
    <m/>
    <m/>
    <m/>
    <m/>
    <m/>
    <m/>
    <m/>
    <m/>
    <m/>
    <m/>
    <m/>
    <n v="0"/>
    <n v="0"/>
    <n v="0"/>
    <n v="0"/>
    <n v="0"/>
    <n v="0"/>
    <n v="0"/>
    <n v="0"/>
    <n v="0"/>
    <n v="0"/>
    <n v="0"/>
    <n v="0"/>
    <n v="0"/>
    <n v="0"/>
    <x v="0"/>
    <n v="0"/>
    <n v="0"/>
    <n v="0"/>
    <s v="MMR001CMP113"/>
    <x v="0"/>
    <x v="1"/>
    <x v="5"/>
    <n v="0"/>
    <s v="No"/>
    <m/>
  </r>
  <r>
    <n v="37.6"/>
    <d v="2013-11-30T00:00:00"/>
    <x v="10"/>
    <s v="MDCG"/>
    <s v="Kachin"/>
    <s v="Mansi"/>
    <s v="Bum Tsit Pa "/>
    <m/>
    <m/>
    <m/>
    <m/>
    <m/>
    <n v="819"/>
    <m/>
    <m/>
    <m/>
    <m/>
    <n v="966"/>
    <n v="484"/>
    <n v="0"/>
    <m/>
    <m/>
    <m/>
    <m/>
    <n v="0"/>
    <n v="0"/>
    <n v="0"/>
    <n v="0"/>
    <n v="0"/>
    <n v="0"/>
    <n v="0"/>
    <n v="0"/>
    <n v="0"/>
    <n v="0"/>
    <n v="0"/>
    <n v="0"/>
    <n v="0"/>
    <n v="0"/>
    <x v="2"/>
    <n v="0"/>
    <n v="0"/>
    <n v="0"/>
    <s v="MMR001CMP129"/>
    <x v="0"/>
    <x v="1"/>
    <x v="6"/>
    <n v="0"/>
    <s v="No"/>
    <m/>
  </r>
  <r>
    <n v="37.6"/>
    <d v="2013-11-30T00:00:00"/>
    <x v="1"/>
    <s v="KBC"/>
    <s v="Kachin"/>
    <s v="Mansi"/>
    <s v="Bum Tsit Pa "/>
    <m/>
    <m/>
    <m/>
    <m/>
    <m/>
    <m/>
    <m/>
    <m/>
    <m/>
    <n v="321"/>
    <m/>
    <m/>
    <m/>
    <m/>
    <m/>
    <m/>
    <m/>
    <n v="0"/>
    <n v="0"/>
    <n v="0"/>
    <n v="0"/>
    <n v="0"/>
    <n v="0"/>
    <n v="0"/>
    <n v="0"/>
    <n v="0"/>
    <n v="0"/>
    <n v="0"/>
    <n v="0"/>
    <n v="0"/>
    <n v="0"/>
    <x v="0"/>
    <n v="0"/>
    <n v="0"/>
    <n v="0"/>
    <s v="MMR001CMP129"/>
    <x v="0"/>
    <x v="1"/>
    <x v="6"/>
    <n v="0"/>
    <s v="No"/>
    <m/>
  </r>
  <r>
    <n v="37.6"/>
    <d v="2013-11-30T00:00:00"/>
    <x v="0"/>
    <s v="UNHCR"/>
    <s v="Kachin"/>
    <s v="Mansi"/>
    <s v="Bum Tsit Pa "/>
    <m/>
    <m/>
    <m/>
    <m/>
    <m/>
    <m/>
    <m/>
    <m/>
    <m/>
    <m/>
    <m/>
    <m/>
    <m/>
    <m/>
    <m/>
    <m/>
    <m/>
    <n v="0"/>
    <n v="0"/>
    <n v="0"/>
    <n v="0"/>
    <n v="0"/>
    <n v="0"/>
    <n v="0"/>
    <n v="0"/>
    <n v="0"/>
    <n v="0"/>
    <n v="0"/>
    <n v="0"/>
    <n v="0"/>
    <n v="0"/>
    <x v="0"/>
    <n v="0"/>
    <n v="0"/>
    <n v="0"/>
    <s v="MMR001CMP129"/>
    <x v="0"/>
    <x v="1"/>
    <x v="6"/>
    <n v="0"/>
    <s v="No"/>
    <m/>
  </r>
  <r>
    <n v="37.6"/>
    <d v="2013-11-30T00:00:00"/>
    <x v="1"/>
    <s v="KBC"/>
    <s v="Kachin"/>
    <s v="Momauk"/>
    <s v="Dum Bung "/>
    <m/>
    <m/>
    <m/>
    <m/>
    <m/>
    <m/>
    <m/>
    <m/>
    <m/>
    <m/>
    <m/>
    <m/>
    <m/>
    <m/>
    <m/>
    <m/>
    <m/>
    <n v="0"/>
    <n v="0"/>
    <n v="0"/>
    <n v="0"/>
    <n v="0"/>
    <n v="0"/>
    <n v="0"/>
    <n v="0"/>
    <n v="0"/>
    <n v="0"/>
    <n v="0"/>
    <n v="0"/>
    <n v="0"/>
    <n v="0"/>
    <x v="0"/>
    <n v="0"/>
    <n v="0"/>
    <n v="0"/>
    <s v="MMR001CMP123"/>
    <x v="0"/>
    <x v="1"/>
    <x v="6"/>
    <n v="0"/>
    <s v="No"/>
    <m/>
  </r>
  <r>
    <n v="37.6"/>
    <d v="2013-11-30T00:00:00"/>
    <x v="0"/>
    <s v="UNHCR"/>
    <s v="Kachin"/>
    <s v="Momauk"/>
    <s v="Dum Bung "/>
    <m/>
    <m/>
    <m/>
    <m/>
    <m/>
    <m/>
    <m/>
    <m/>
    <m/>
    <m/>
    <m/>
    <m/>
    <m/>
    <m/>
    <m/>
    <m/>
    <m/>
    <n v="0"/>
    <n v="0"/>
    <n v="0"/>
    <n v="0"/>
    <n v="0"/>
    <n v="0"/>
    <n v="0"/>
    <n v="0"/>
    <n v="0"/>
    <n v="0"/>
    <n v="0"/>
    <n v="0"/>
    <n v="0"/>
    <n v="0"/>
    <x v="0"/>
    <n v="0"/>
    <n v="0"/>
    <n v="0"/>
    <s v="MMR001CMP123"/>
    <x v="0"/>
    <x v="1"/>
    <x v="6"/>
    <n v="0"/>
    <s v="No"/>
    <m/>
  </r>
  <r>
    <n v="37.6"/>
    <d v="2013-11-30T00:00:00"/>
    <x v="1"/>
    <s v="KBC"/>
    <s v="Kachin"/>
    <s v="Waingmaw"/>
    <s v="Hkat Cho "/>
    <m/>
    <m/>
    <m/>
    <m/>
    <m/>
    <m/>
    <m/>
    <m/>
    <m/>
    <m/>
    <m/>
    <m/>
    <m/>
    <m/>
    <m/>
    <m/>
    <m/>
    <n v="0"/>
    <n v="0"/>
    <n v="0"/>
    <n v="0"/>
    <n v="0"/>
    <n v="0"/>
    <n v="0"/>
    <n v="0"/>
    <n v="0"/>
    <n v="0"/>
    <n v="0"/>
    <n v="0"/>
    <n v="0"/>
    <n v="0"/>
    <x v="0"/>
    <n v="0"/>
    <n v="0"/>
    <n v="0"/>
    <s v="MMR001CMP028"/>
    <x v="0"/>
    <x v="1"/>
    <x v="1"/>
    <n v="0"/>
    <s v="No"/>
    <m/>
  </r>
  <r>
    <n v="37.6"/>
    <d v="2013-11-30T00:00:00"/>
    <x v="1"/>
    <s v="KBC"/>
    <s v="Kachin"/>
    <s v="Waingmaw"/>
    <s v="Hkau Shau (BP 12)"/>
    <m/>
    <m/>
    <m/>
    <m/>
    <m/>
    <m/>
    <m/>
    <m/>
    <m/>
    <m/>
    <m/>
    <m/>
    <m/>
    <m/>
    <m/>
    <m/>
    <m/>
    <n v="0"/>
    <n v="0"/>
    <n v="0"/>
    <n v="0"/>
    <n v="0"/>
    <n v="0"/>
    <n v="0"/>
    <n v="0"/>
    <n v="0"/>
    <n v="0"/>
    <n v="0"/>
    <n v="0"/>
    <n v="0"/>
    <n v="0"/>
    <x v="0"/>
    <n v="0"/>
    <n v="0"/>
    <n v="0"/>
    <s v="MMR001CMP115"/>
    <x v="0"/>
    <x v="1"/>
    <x v="5"/>
    <n v="0"/>
    <s v="No"/>
    <m/>
  </r>
  <r>
    <n v="37.6"/>
    <d v="2013-11-30T00:00:00"/>
    <x v="1"/>
    <s v="KBC"/>
    <s v="Kachin"/>
    <s v="Momauk"/>
    <s v="Hpun Lum Yang "/>
    <m/>
    <m/>
    <m/>
    <m/>
    <m/>
    <m/>
    <m/>
    <m/>
    <m/>
    <n v="978"/>
    <m/>
    <m/>
    <m/>
    <m/>
    <m/>
    <m/>
    <m/>
    <n v="0"/>
    <n v="0"/>
    <n v="0"/>
    <n v="0"/>
    <n v="0"/>
    <n v="0"/>
    <n v="0"/>
    <n v="0"/>
    <n v="0"/>
    <n v="0"/>
    <n v="0"/>
    <n v="0"/>
    <n v="0"/>
    <n v="0"/>
    <x v="0"/>
    <n v="0"/>
    <n v="0"/>
    <n v="0"/>
    <s v="MMR001CMP122"/>
    <x v="0"/>
    <x v="1"/>
    <x v="6"/>
    <n v="0"/>
    <s v="No"/>
    <m/>
  </r>
  <r>
    <n v="37.6"/>
    <d v="2013-11-30T00:00:00"/>
    <x v="10"/>
    <s v="MDCG"/>
    <s v="Kachin"/>
    <s v="Bhamo"/>
    <s v="Htoi San Church"/>
    <m/>
    <m/>
    <m/>
    <m/>
    <m/>
    <n v="105"/>
    <m/>
    <m/>
    <m/>
    <m/>
    <n v="154"/>
    <n v="26"/>
    <n v="0"/>
    <m/>
    <m/>
    <m/>
    <m/>
    <n v="0"/>
    <n v="0"/>
    <n v="0"/>
    <n v="0"/>
    <n v="0"/>
    <n v="0"/>
    <n v="0"/>
    <n v="0"/>
    <n v="0"/>
    <n v="0"/>
    <n v="0"/>
    <n v="0"/>
    <n v="0"/>
    <n v="0"/>
    <x v="2"/>
    <n v="0"/>
    <n v="0"/>
    <n v="0"/>
    <s v="MMR001CMP052"/>
    <x v="0"/>
    <x v="1"/>
    <x v="1"/>
    <n v="0"/>
    <s v="No"/>
    <m/>
  </r>
  <r>
    <n v="37.6"/>
    <d v="2013-11-30T00:00:00"/>
    <x v="1"/>
    <m/>
    <s v="Kachin"/>
    <s v="Bhamo"/>
    <s v="Htoi San Church"/>
    <m/>
    <m/>
    <m/>
    <m/>
    <m/>
    <m/>
    <m/>
    <m/>
    <m/>
    <n v="138"/>
    <m/>
    <m/>
    <m/>
    <m/>
    <m/>
    <m/>
    <m/>
    <n v="0"/>
    <n v="0"/>
    <n v="0"/>
    <n v="0"/>
    <n v="0"/>
    <n v="0"/>
    <n v="0"/>
    <n v="0"/>
    <n v="0"/>
    <n v="0"/>
    <n v="0"/>
    <n v="0"/>
    <n v="0"/>
    <n v="0"/>
    <x v="0"/>
    <n v="0"/>
    <n v="0"/>
    <n v="0"/>
    <s v="MMR001CMP052"/>
    <x v="0"/>
    <x v="1"/>
    <x v="1"/>
    <n v="0"/>
    <s v="No"/>
    <m/>
  </r>
  <r>
    <n v="37.6"/>
    <d v="2013-11-30T00:00:00"/>
    <x v="1"/>
    <s v="KBC"/>
    <s v="Kachin"/>
    <s v="Momauk"/>
    <s v="Je Yang Hka "/>
    <m/>
    <m/>
    <m/>
    <m/>
    <m/>
    <m/>
    <m/>
    <m/>
    <m/>
    <n v="5268"/>
    <m/>
    <m/>
    <m/>
    <m/>
    <m/>
    <m/>
    <m/>
    <n v="0"/>
    <n v="0"/>
    <n v="0"/>
    <n v="0"/>
    <n v="0"/>
    <n v="0"/>
    <n v="0"/>
    <n v="0"/>
    <n v="0"/>
    <n v="0"/>
    <n v="0"/>
    <n v="0"/>
    <n v="0"/>
    <n v="0"/>
    <x v="0"/>
    <n v="0"/>
    <n v="0"/>
    <n v="0"/>
    <s v="MMR001CMP121"/>
    <x v="0"/>
    <x v="1"/>
    <x v="6"/>
    <n v="0"/>
    <s v="No"/>
    <m/>
  </r>
  <r>
    <n v="37.6"/>
    <d v="2013-11-30T00:00:00"/>
    <x v="1"/>
    <s v="LDO"/>
    <s v="Kachin"/>
    <s v="Mansi"/>
    <s v="Lana Zup Ja "/>
    <m/>
    <m/>
    <m/>
    <m/>
    <m/>
    <m/>
    <m/>
    <m/>
    <m/>
    <m/>
    <m/>
    <m/>
    <m/>
    <m/>
    <m/>
    <m/>
    <m/>
    <n v="0"/>
    <n v="0"/>
    <n v="0"/>
    <n v="0"/>
    <n v="0"/>
    <n v="0"/>
    <n v="0"/>
    <n v="0"/>
    <n v="0"/>
    <n v="0"/>
    <n v="0"/>
    <n v="0"/>
    <n v="0"/>
    <n v="0"/>
    <x v="0"/>
    <n v="0"/>
    <n v="0"/>
    <n v="0"/>
    <s v="MMR001CMP128"/>
    <x v="0"/>
    <x v="1"/>
    <x v="6"/>
    <n v="0"/>
    <s v="No"/>
    <m/>
  </r>
  <r>
    <n v="37.6"/>
    <d v="2013-11-30T00:00:00"/>
    <x v="0"/>
    <s v="UNHCR"/>
    <s v="Kachin"/>
    <s v="Mansi"/>
    <s v="Lana Zup Ja "/>
    <m/>
    <m/>
    <m/>
    <m/>
    <m/>
    <m/>
    <m/>
    <m/>
    <m/>
    <m/>
    <m/>
    <m/>
    <m/>
    <m/>
    <m/>
    <m/>
    <m/>
    <n v="0"/>
    <n v="0"/>
    <n v="0"/>
    <n v="0"/>
    <n v="0"/>
    <n v="0"/>
    <n v="0"/>
    <n v="0"/>
    <n v="0"/>
    <n v="0"/>
    <n v="0"/>
    <n v="0"/>
    <n v="0"/>
    <n v="0"/>
    <x v="0"/>
    <n v="0"/>
    <n v="0"/>
    <n v="0"/>
    <s v="MMR001CMP128"/>
    <x v="0"/>
    <x v="1"/>
    <x v="6"/>
    <n v="0"/>
    <s v="No"/>
    <m/>
  </r>
  <r>
    <n v="37.6"/>
    <d v="2013-11-30T00:00:00"/>
    <x v="1"/>
    <s v="KBC"/>
    <s v="Kachin"/>
    <s v="Chipwi"/>
    <s v="Lhaovao Baptist Church (LBC)"/>
    <m/>
    <m/>
    <m/>
    <m/>
    <m/>
    <m/>
    <m/>
    <m/>
    <m/>
    <m/>
    <m/>
    <m/>
    <m/>
    <m/>
    <m/>
    <m/>
    <m/>
    <n v="0"/>
    <n v="0"/>
    <n v="0"/>
    <n v="0"/>
    <n v="0"/>
    <n v="0"/>
    <n v="0"/>
    <n v="0"/>
    <n v="0"/>
    <n v="0"/>
    <n v="0"/>
    <n v="0"/>
    <n v="0"/>
    <n v="0"/>
    <x v="0"/>
    <n v="0"/>
    <n v="0"/>
    <n v="0"/>
    <s v="MMR001CMP195"/>
    <x v="0"/>
    <x v="1"/>
    <x v="5"/>
    <n v="0"/>
    <s v="No"/>
    <m/>
  </r>
  <r>
    <n v="37.6"/>
    <d v="2013-11-30T00:00:00"/>
    <x v="10"/>
    <s v="MDCG"/>
    <s v="Kachin"/>
    <s v="Bhamo"/>
    <s v="Lisu Boarding-House"/>
    <m/>
    <m/>
    <m/>
    <m/>
    <m/>
    <n v="206"/>
    <m/>
    <m/>
    <m/>
    <m/>
    <n v="242"/>
    <n v="156"/>
    <n v="0"/>
    <m/>
    <m/>
    <m/>
    <m/>
    <n v="0"/>
    <n v="0"/>
    <n v="0"/>
    <n v="0"/>
    <n v="0"/>
    <n v="0"/>
    <n v="0"/>
    <n v="0"/>
    <n v="0"/>
    <n v="0"/>
    <n v="0"/>
    <n v="0"/>
    <n v="0"/>
    <n v="0"/>
    <x v="2"/>
    <n v="0"/>
    <n v="0"/>
    <n v="0"/>
    <s v="MMR001CMP049"/>
    <x v="0"/>
    <x v="1"/>
    <x v="1"/>
    <n v="0"/>
    <s v="No"/>
    <m/>
  </r>
  <r>
    <n v="37.6"/>
    <d v="2013-11-30T00:00:00"/>
    <x v="1"/>
    <m/>
    <s v="Kachin"/>
    <s v="Bhamo"/>
    <s v="Lisu Boarding-House"/>
    <m/>
    <m/>
    <m/>
    <m/>
    <m/>
    <m/>
    <m/>
    <m/>
    <m/>
    <n v="120"/>
    <m/>
    <m/>
    <m/>
    <m/>
    <m/>
    <m/>
    <m/>
    <n v="0"/>
    <n v="0"/>
    <n v="0"/>
    <n v="0"/>
    <n v="0"/>
    <n v="0"/>
    <n v="0"/>
    <n v="0"/>
    <n v="0"/>
    <n v="0"/>
    <n v="0"/>
    <n v="0"/>
    <n v="0"/>
    <n v="0"/>
    <x v="0"/>
    <n v="0"/>
    <n v="0"/>
    <n v="0"/>
    <s v="MMR001CMP049"/>
    <x v="0"/>
    <x v="1"/>
    <x v="1"/>
    <n v="0"/>
    <s v="No"/>
    <m/>
  </r>
  <r>
    <n v="37.6"/>
    <d v="2013-11-30T00:00:00"/>
    <x v="1"/>
    <m/>
    <s v="Kachin"/>
    <s v="Momauk"/>
    <s v="Loi Je Baptist Church"/>
    <m/>
    <m/>
    <m/>
    <m/>
    <m/>
    <m/>
    <m/>
    <m/>
    <m/>
    <n v="105"/>
    <m/>
    <m/>
    <m/>
    <m/>
    <m/>
    <m/>
    <m/>
    <n v="0"/>
    <n v="0"/>
    <n v="0"/>
    <n v="0"/>
    <n v="0"/>
    <n v="0"/>
    <n v="0"/>
    <n v="0"/>
    <n v="0"/>
    <n v="0"/>
    <n v="0"/>
    <n v="0"/>
    <n v="0"/>
    <n v="0"/>
    <x v="0"/>
    <n v="0"/>
    <n v="0"/>
    <n v="0"/>
    <s v="MMR001CMP071"/>
    <x v="0"/>
    <x v="1"/>
    <x v="2"/>
    <n v="0"/>
    <s v="No"/>
    <m/>
  </r>
  <r>
    <n v="37.6"/>
    <d v="2013-11-30T00:00:00"/>
    <x v="1"/>
    <m/>
    <s v="Kachin"/>
    <s v="Momauk"/>
    <s v="Loi Je Catholic Church"/>
    <m/>
    <m/>
    <m/>
    <m/>
    <m/>
    <m/>
    <m/>
    <m/>
    <m/>
    <n v="246"/>
    <m/>
    <m/>
    <m/>
    <m/>
    <m/>
    <m/>
    <m/>
    <n v="0"/>
    <n v="0"/>
    <n v="0"/>
    <n v="0"/>
    <n v="0"/>
    <n v="0"/>
    <n v="0"/>
    <n v="0"/>
    <n v="0"/>
    <n v="0"/>
    <n v="0"/>
    <n v="0"/>
    <n v="0"/>
    <n v="0"/>
    <x v="0"/>
    <n v="0"/>
    <n v="0"/>
    <n v="0"/>
    <s v="MMR001CMP069"/>
    <x v="0"/>
    <x v="1"/>
    <x v="2"/>
    <n v="0"/>
    <s v="No"/>
    <m/>
  </r>
  <r>
    <n v="37.6"/>
    <d v="2013-11-30T00:00:00"/>
    <x v="1"/>
    <m/>
    <s v="Kachin"/>
    <s v="Momauk"/>
    <s v="Loi Je Lisu Camp"/>
    <m/>
    <m/>
    <m/>
    <m/>
    <m/>
    <m/>
    <m/>
    <m/>
    <m/>
    <n v="369"/>
    <m/>
    <m/>
    <m/>
    <m/>
    <m/>
    <m/>
    <m/>
    <n v="0"/>
    <n v="0"/>
    <n v="0"/>
    <n v="0"/>
    <n v="0"/>
    <n v="0"/>
    <n v="0"/>
    <n v="0"/>
    <n v="0"/>
    <n v="0"/>
    <n v="0"/>
    <n v="0"/>
    <n v="0"/>
    <n v="0"/>
    <x v="0"/>
    <n v="0"/>
    <n v="0"/>
    <n v="0"/>
    <s v="MMR001CMP070"/>
    <x v="0"/>
    <x v="1"/>
    <x v="2"/>
    <n v="0"/>
    <s v="No"/>
    <m/>
  </r>
  <r>
    <n v="37.6"/>
    <d v="2013-11-30T00:00:00"/>
    <x v="1"/>
    <s v="KBC"/>
    <s v="Kachin"/>
    <s v="Waingmaw"/>
    <s v="Mading Baptist Church"/>
    <m/>
    <m/>
    <m/>
    <m/>
    <m/>
    <m/>
    <m/>
    <m/>
    <m/>
    <m/>
    <m/>
    <m/>
    <m/>
    <m/>
    <m/>
    <m/>
    <m/>
    <n v="0"/>
    <n v="0"/>
    <n v="0"/>
    <n v="0"/>
    <n v="0"/>
    <n v="0"/>
    <n v="0"/>
    <n v="0"/>
    <n v="0"/>
    <n v="0"/>
    <n v="0"/>
    <n v="0"/>
    <n v="0"/>
    <n v="0"/>
    <x v="0"/>
    <n v="0"/>
    <n v="0"/>
    <n v="0"/>
    <s v="MMR001CMP027"/>
    <x v="0"/>
    <x v="1"/>
    <x v="1"/>
    <n v="0"/>
    <s v="No"/>
    <m/>
  </r>
  <r>
    <n v="37.6"/>
    <d v="2013-11-30T00:00:00"/>
    <x v="1"/>
    <s v="KBC"/>
    <s v="Kachin"/>
    <s v="Waingmaw"/>
    <s v="Maga Yang "/>
    <m/>
    <m/>
    <m/>
    <m/>
    <m/>
    <m/>
    <m/>
    <m/>
    <m/>
    <m/>
    <m/>
    <m/>
    <m/>
    <m/>
    <m/>
    <m/>
    <m/>
    <n v="0"/>
    <n v="0"/>
    <n v="0"/>
    <n v="0"/>
    <n v="0"/>
    <n v="0"/>
    <n v="0"/>
    <n v="0"/>
    <n v="0"/>
    <n v="0"/>
    <n v="0"/>
    <n v="0"/>
    <n v="0"/>
    <n v="0"/>
    <x v="0"/>
    <n v="0"/>
    <n v="0"/>
    <n v="0"/>
    <s v="MMR001CMP119"/>
    <x v="0"/>
    <x v="1"/>
    <x v="6"/>
    <n v="0"/>
    <s v="No"/>
    <m/>
  </r>
  <r>
    <n v="37.6"/>
    <d v="2013-11-30T00:00:00"/>
    <x v="1"/>
    <s v="KBC"/>
    <s v="Kachin"/>
    <s v="Waingmaw"/>
    <s v="Maina AG Church"/>
    <m/>
    <m/>
    <m/>
    <m/>
    <m/>
    <m/>
    <m/>
    <m/>
    <m/>
    <m/>
    <m/>
    <m/>
    <m/>
    <m/>
    <m/>
    <m/>
    <m/>
    <n v="0"/>
    <n v="0"/>
    <n v="0"/>
    <n v="0"/>
    <n v="0"/>
    <n v="0"/>
    <n v="0"/>
    <n v="0"/>
    <n v="0"/>
    <n v="0"/>
    <n v="0"/>
    <n v="0"/>
    <n v="0"/>
    <n v="0"/>
    <x v="0"/>
    <n v="0"/>
    <n v="0"/>
    <n v="0"/>
    <s v="MMR001CMP031"/>
    <x v="0"/>
    <x v="1"/>
    <x v="1"/>
    <n v="0"/>
    <s v="No"/>
    <m/>
  </r>
  <r>
    <n v="37.6"/>
    <d v="2013-11-30T00:00:00"/>
    <x v="1"/>
    <s v="KBC"/>
    <s v="Kachin"/>
    <s v="Waingmaw"/>
    <s v="Maina KBC (Bawng Ring)"/>
    <m/>
    <m/>
    <m/>
    <m/>
    <m/>
    <m/>
    <m/>
    <m/>
    <m/>
    <m/>
    <m/>
    <m/>
    <m/>
    <m/>
    <m/>
    <m/>
    <m/>
    <n v="0"/>
    <n v="0"/>
    <n v="0"/>
    <n v="0"/>
    <n v="0"/>
    <n v="0"/>
    <n v="0"/>
    <n v="0"/>
    <n v="0"/>
    <n v="0"/>
    <n v="0"/>
    <n v="0"/>
    <n v="0"/>
    <n v="0"/>
    <x v="0"/>
    <n v="0"/>
    <n v="0"/>
    <n v="0"/>
    <s v="MMR001CMP040"/>
    <x v="0"/>
    <x v="1"/>
    <x v="1"/>
    <n v="0"/>
    <s v="No"/>
    <m/>
  </r>
  <r>
    <n v="37.6"/>
    <d v="2013-11-30T00:00:00"/>
    <x v="1"/>
    <s v="KBC"/>
    <s v="Kachin"/>
    <s v="Waingmaw"/>
    <s v="Maina Lawang Baptist Church"/>
    <m/>
    <m/>
    <m/>
    <m/>
    <m/>
    <m/>
    <m/>
    <m/>
    <m/>
    <m/>
    <m/>
    <m/>
    <m/>
    <m/>
    <m/>
    <m/>
    <m/>
    <n v="0"/>
    <n v="0"/>
    <n v="0"/>
    <n v="0"/>
    <n v="0"/>
    <n v="0"/>
    <n v="0"/>
    <n v="0"/>
    <n v="0"/>
    <n v="0"/>
    <n v="0"/>
    <n v="0"/>
    <n v="0"/>
    <n v="0"/>
    <x v="0"/>
    <n v="0"/>
    <n v="0"/>
    <n v="0"/>
    <s v="MMR001CMP039"/>
    <x v="0"/>
    <x v="1"/>
    <x v="1"/>
    <n v="0"/>
    <s v="No"/>
    <m/>
  </r>
  <r>
    <n v="37.6"/>
    <d v="2013-11-30T00:00:00"/>
    <x v="1"/>
    <m/>
    <s v="Kachin"/>
    <s v="Momauk"/>
    <s v="Man Bung Catholic compound"/>
    <m/>
    <m/>
    <m/>
    <m/>
    <m/>
    <m/>
    <m/>
    <m/>
    <m/>
    <n v="141"/>
    <m/>
    <m/>
    <m/>
    <m/>
    <m/>
    <m/>
    <m/>
    <n v="0"/>
    <n v="0"/>
    <n v="0"/>
    <n v="0"/>
    <n v="0"/>
    <n v="0"/>
    <n v="0"/>
    <n v="0"/>
    <n v="0"/>
    <n v="0"/>
    <n v="0"/>
    <n v="0"/>
    <n v="0"/>
    <n v="0"/>
    <x v="0"/>
    <n v="0"/>
    <n v="0"/>
    <n v="0"/>
    <s v="MMR001CMP062"/>
    <x v="0"/>
    <x v="1"/>
    <x v="1"/>
    <n v="0"/>
    <s v="No"/>
    <m/>
  </r>
  <r>
    <n v="37.6"/>
    <d v="2013-11-30T00:00:00"/>
    <x v="1"/>
    <m/>
    <s v="Kachin"/>
    <s v="Bhamo"/>
    <s v="Aung Thar Church"/>
    <m/>
    <m/>
    <m/>
    <m/>
    <m/>
    <m/>
    <m/>
    <m/>
    <m/>
    <m/>
    <m/>
    <m/>
    <m/>
    <m/>
    <m/>
    <m/>
    <m/>
    <n v="0"/>
    <n v="0"/>
    <n v="0"/>
    <n v="0"/>
    <n v="0"/>
    <n v="0"/>
    <n v="0"/>
    <n v="0"/>
    <n v="0"/>
    <n v="0"/>
    <n v="0"/>
    <n v="0"/>
    <n v="0"/>
    <n v="0"/>
    <x v="0"/>
    <n v="0"/>
    <n v="0"/>
    <n v="0"/>
    <s v="MMR001CMP194"/>
    <x v="0"/>
    <x v="0"/>
    <x v="1"/>
    <n v="0"/>
    <s v="No"/>
    <m/>
  </r>
  <r>
    <n v="37.6"/>
    <d v="2013-11-30T00:00:00"/>
    <x v="10"/>
    <s v="MDCG"/>
    <s v="Kachin"/>
    <s v="Mansi"/>
    <s v="Man Wing Baptist Church"/>
    <m/>
    <m/>
    <m/>
    <m/>
    <m/>
    <n v="347"/>
    <m/>
    <m/>
    <m/>
    <m/>
    <n v="386"/>
    <n v="234"/>
    <n v="0"/>
    <m/>
    <m/>
    <m/>
    <m/>
    <n v="0"/>
    <n v="0"/>
    <n v="0"/>
    <n v="0"/>
    <n v="0"/>
    <n v="0"/>
    <n v="0"/>
    <n v="0"/>
    <n v="0"/>
    <n v="0"/>
    <n v="0"/>
    <n v="0"/>
    <n v="0"/>
    <n v="0"/>
    <x v="2"/>
    <n v="0"/>
    <n v="0"/>
    <n v="0"/>
    <s v="MMR001CMP133"/>
    <x v="0"/>
    <x v="1"/>
    <x v="1"/>
    <n v="0"/>
    <s v="No"/>
    <m/>
  </r>
  <r>
    <n v="37.6"/>
    <d v="2013-11-30T00:00:00"/>
    <x v="1"/>
    <m/>
    <s v="Kachin"/>
    <s v="Mansi"/>
    <s v="Man Wing Baptist Church"/>
    <m/>
    <m/>
    <m/>
    <m/>
    <m/>
    <m/>
    <m/>
    <m/>
    <m/>
    <n v="444"/>
    <m/>
    <m/>
    <m/>
    <m/>
    <m/>
    <m/>
    <m/>
    <n v="0"/>
    <n v="0"/>
    <n v="0"/>
    <n v="0"/>
    <n v="0"/>
    <n v="0"/>
    <n v="0"/>
    <n v="0"/>
    <n v="0"/>
    <n v="0"/>
    <n v="0"/>
    <n v="0"/>
    <n v="0"/>
    <n v="0"/>
    <x v="0"/>
    <n v="0"/>
    <n v="0"/>
    <n v="0"/>
    <s v="MMR001CMP133"/>
    <x v="0"/>
    <x v="1"/>
    <x v="1"/>
    <n v="0"/>
    <s v="No"/>
    <m/>
  </r>
  <r>
    <n v="37.6"/>
    <d v="2013-11-30T00:00:00"/>
    <x v="10"/>
    <s v="MDCG"/>
    <s v="Kachin"/>
    <s v="Mansi"/>
    <s v="Lagatyan "/>
    <m/>
    <m/>
    <m/>
    <m/>
    <m/>
    <n v="447"/>
    <m/>
    <m/>
    <m/>
    <m/>
    <n v="398"/>
    <n v="390"/>
    <n v="0"/>
    <m/>
    <m/>
    <m/>
    <m/>
    <n v="0"/>
    <n v="0"/>
    <n v="0"/>
    <n v="0"/>
    <n v="0"/>
    <n v="0"/>
    <n v="0"/>
    <n v="0"/>
    <n v="0"/>
    <n v="0"/>
    <n v="0"/>
    <n v="0"/>
    <n v="0"/>
    <n v="0"/>
    <x v="2"/>
    <n v="0"/>
    <n v="0"/>
    <n v="0"/>
    <s v="MMR001CMP202"/>
    <x v="0"/>
    <x v="0"/>
    <x v="1"/>
    <n v="0"/>
    <s v="No"/>
    <m/>
  </r>
  <r>
    <n v="37.6"/>
    <d v="2013-11-30T00:00:00"/>
    <x v="1"/>
    <m/>
    <s v="Kachin"/>
    <s v="Mansi"/>
    <s v="Lagatyan "/>
    <m/>
    <m/>
    <m/>
    <m/>
    <m/>
    <m/>
    <m/>
    <m/>
    <m/>
    <m/>
    <m/>
    <m/>
    <m/>
    <m/>
    <m/>
    <m/>
    <m/>
    <n v="0"/>
    <n v="0"/>
    <n v="0"/>
    <n v="0"/>
    <n v="0"/>
    <n v="0"/>
    <n v="0"/>
    <n v="0"/>
    <n v="0"/>
    <n v="0"/>
    <n v="0"/>
    <n v="0"/>
    <n v="0"/>
    <n v="0"/>
    <x v="0"/>
    <n v="0"/>
    <n v="0"/>
    <n v="0"/>
    <s v="MMR001CMP202"/>
    <x v="0"/>
    <x v="0"/>
    <x v="1"/>
    <n v="0"/>
    <s v="No"/>
    <m/>
  </r>
  <r>
    <n v="37.6"/>
    <d v="2013-11-30T00:00:00"/>
    <x v="1"/>
    <s v="KBC"/>
    <s v="Kachin"/>
    <s v="Waingmaw"/>
    <s v="Laiza Market 3 - Laiza Gat"/>
    <m/>
    <m/>
    <m/>
    <m/>
    <m/>
    <m/>
    <m/>
    <m/>
    <m/>
    <n v="729"/>
    <m/>
    <m/>
    <m/>
    <m/>
    <m/>
    <m/>
    <m/>
    <n v="0"/>
    <n v="0"/>
    <n v="0"/>
    <n v="0"/>
    <n v="0"/>
    <n v="0"/>
    <n v="0"/>
    <n v="0"/>
    <n v="0"/>
    <n v="0"/>
    <n v="0"/>
    <n v="0"/>
    <n v="0"/>
    <n v="0"/>
    <x v="0"/>
    <n v="0"/>
    <n v="0"/>
    <n v="0"/>
    <s v="MMR001CMP117"/>
    <x v="0"/>
    <x v="0"/>
    <x v="6"/>
    <n v="0"/>
    <s v="No"/>
    <m/>
  </r>
  <r>
    <n v="37.6"/>
    <d v="2013-11-30T00:00:00"/>
    <x v="10"/>
    <s v="MDCG"/>
    <s v="Kachin"/>
    <s v="Mansi"/>
    <s v="Man Wing Catholic Church"/>
    <m/>
    <m/>
    <m/>
    <m/>
    <m/>
    <n v="770"/>
    <m/>
    <m/>
    <m/>
    <m/>
    <n v="889"/>
    <n v="492"/>
    <n v="0"/>
    <m/>
    <m/>
    <m/>
    <m/>
    <n v="0"/>
    <n v="0"/>
    <n v="0"/>
    <n v="0"/>
    <n v="0"/>
    <n v="0"/>
    <n v="0"/>
    <n v="0"/>
    <n v="0"/>
    <n v="0"/>
    <n v="0"/>
    <n v="0"/>
    <n v="0"/>
    <n v="0"/>
    <x v="2"/>
    <n v="0"/>
    <n v="0"/>
    <n v="0"/>
    <s v="MMR001CMP132"/>
    <x v="0"/>
    <x v="1"/>
    <x v="1"/>
    <n v="0"/>
    <s v="No"/>
    <m/>
  </r>
  <r>
    <n v="37.6"/>
    <d v="2013-11-30T00:00:00"/>
    <x v="1"/>
    <m/>
    <s v="Kachin"/>
    <s v="Mansi"/>
    <s v="Man Wing Catholic Church"/>
    <m/>
    <m/>
    <m/>
    <m/>
    <m/>
    <m/>
    <m/>
    <m/>
    <m/>
    <n v="1080"/>
    <m/>
    <m/>
    <m/>
    <m/>
    <m/>
    <m/>
    <m/>
    <n v="0"/>
    <n v="0"/>
    <n v="0"/>
    <n v="0"/>
    <n v="0"/>
    <n v="0"/>
    <n v="0"/>
    <n v="0"/>
    <n v="0"/>
    <n v="0"/>
    <n v="0"/>
    <n v="0"/>
    <n v="0"/>
    <n v="0"/>
    <x v="0"/>
    <n v="0"/>
    <n v="0"/>
    <n v="0"/>
    <s v="MMR001CMP132"/>
    <x v="0"/>
    <x v="1"/>
    <x v="1"/>
    <n v="0"/>
    <s v="No"/>
    <m/>
  </r>
  <r>
    <n v="37.6"/>
    <d v="2013-11-30T00:00:00"/>
    <x v="1"/>
    <s v="LDO"/>
    <s v="Kachin"/>
    <s v="Mansi"/>
    <s v="Lung Kawk  ( Hka Hkye Zup)"/>
    <m/>
    <m/>
    <m/>
    <m/>
    <m/>
    <m/>
    <m/>
    <m/>
    <m/>
    <m/>
    <m/>
    <m/>
    <m/>
    <m/>
    <m/>
    <m/>
    <m/>
    <n v="0"/>
    <n v="0"/>
    <n v="0"/>
    <n v="0"/>
    <n v="0"/>
    <n v="0"/>
    <n v="0"/>
    <n v="0"/>
    <n v="0"/>
    <n v="0"/>
    <n v="0"/>
    <n v="0"/>
    <n v="0"/>
    <n v="0"/>
    <x v="0"/>
    <n v="0"/>
    <n v="0"/>
    <n v="0"/>
    <s v="MMR001CMP135"/>
    <x v="0"/>
    <x v="0"/>
    <x v="6"/>
    <n v="0"/>
    <s v="No"/>
    <m/>
  </r>
  <r>
    <n v="37.6"/>
    <d v="2013-11-30T00:00:00"/>
    <x v="1"/>
    <m/>
    <s v="Kachin"/>
    <s v="Mansi"/>
    <s v="Mansi Baptist Church"/>
    <m/>
    <m/>
    <m/>
    <m/>
    <m/>
    <m/>
    <m/>
    <m/>
    <m/>
    <n v="225"/>
    <m/>
    <m/>
    <m/>
    <m/>
    <m/>
    <m/>
    <m/>
    <n v="0"/>
    <n v="0"/>
    <n v="0"/>
    <n v="0"/>
    <n v="0"/>
    <n v="0"/>
    <n v="0"/>
    <n v="0"/>
    <n v="0"/>
    <n v="0"/>
    <n v="0"/>
    <n v="0"/>
    <n v="0"/>
    <n v="0"/>
    <x v="0"/>
    <n v="0"/>
    <n v="0"/>
    <n v="0"/>
    <s v="MMR001CMP066"/>
    <x v="0"/>
    <x v="1"/>
    <x v="1"/>
    <n v="0"/>
    <s v="No"/>
    <m/>
  </r>
  <r>
    <n v="37.6"/>
    <d v="2013-11-30T00:00:00"/>
    <x v="1"/>
    <m/>
    <s v="Kachin"/>
    <s v="Momauk"/>
    <s v="Momauk Catholic Church (St. Patrick)"/>
    <m/>
    <m/>
    <m/>
    <m/>
    <m/>
    <m/>
    <m/>
    <m/>
    <m/>
    <n v="543"/>
    <m/>
    <m/>
    <m/>
    <m/>
    <m/>
    <m/>
    <m/>
    <n v="0"/>
    <n v="0"/>
    <n v="0"/>
    <n v="0"/>
    <n v="0"/>
    <n v="0"/>
    <n v="0"/>
    <n v="0"/>
    <n v="0"/>
    <n v="0"/>
    <n v="0"/>
    <n v="0"/>
    <n v="0"/>
    <n v="0"/>
    <x v="0"/>
    <n v="0"/>
    <n v="0"/>
    <n v="0"/>
    <s v="MMR001CMP057"/>
    <x v="0"/>
    <x v="0"/>
    <x v="1"/>
    <n v="0"/>
    <s v="No"/>
    <m/>
  </r>
  <r>
    <n v="37.6"/>
    <d v="2013-11-30T00:00:00"/>
    <x v="1"/>
    <s v="KBC"/>
    <s v="Kachin"/>
    <s v="Mansi"/>
    <s v="Nam Lim Pa - Scattered IDPs in forest"/>
    <m/>
    <m/>
    <m/>
    <m/>
    <m/>
    <m/>
    <m/>
    <m/>
    <m/>
    <m/>
    <m/>
    <m/>
    <m/>
    <m/>
    <m/>
    <m/>
    <m/>
    <n v="0"/>
    <n v="0"/>
    <n v="0"/>
    <n v="0"/>
    <n v="0"/>
    <n v="0"/>
    <n v="0"/>
    <n v="0"/>
    <n v="0"/>
    <n v="0"/>
    <n v="0"/>
    <n v="0"/>
    <n v="0"/>
    <n v="0"/>
    <x v="0"/>
    <n v="0"/>
    <n v="0"/>
    <n v="0"/>
    <s v="MMR001CMP137"/>
    <x v="0"/>
    <x v="0"/>
    <x v="0"/>
    <s v=""/>
    <s v="No"/>
    <m/>
  </r>
  <r>
    <n v="37.6"/>
    <d v="2013-11-30T00:00:00"/>
    <x v="1"/>
    <m/>
    <s v="Kachin"/>
    <s v="Momauk"/>
    <s v="Ni Thaw Ka Monestry"/>
    <m/>
    <m/>
    <m/>
    <m/>
    <m/>
    <m/>
    <m/>
    <m/>
    <m/>
    <n v="60"/>
    <m/>
    <m/>
    <m/>
    <m/>
    <m/>
    <m/>
    <m/>
    <n v="0"/>
    <n v="0"/>
    <n v="0"/>
    <n v="0"/>
    <n v="0"/>
    <n v="0"/>
    <n v="0"/>
    <n v="0"/>
    <n v="0"/>
    <n v="0"/>
    <n v="0"/>
    <n v="0"/>
    <n v="0"/>
    <n v="0"/>
    <x v="0"/>
    <n v="0"/>
    <n v="0"/>
    <n v="0"/>
    <s v="MMR001CMP059"/>
    <x v="0"/>
    <x v="0"/>
    <x v="1"/>
    <n v="0"/>
    <s v="No"/>
    <m/>
  </r>
  <r>
    <n v="37.6"/>
    <d v="2013-11-30T00:00:00"/>
    <x v="10"/>
    <s v="MDCG"/>
    <s v="Shan_North"/>
    <s v="Kutkai"/>
    <s v="Mine Yu Lay village"/>
    <m/>
    <m/>
    <m/>
    <m/>
    <m/>
    <n v="258"/>
    <m/>
    <m/>
    <m/>
    <m/>
    <n v="349"/>
    <n v="175"/>
    <n v="0"/>
    <m/>
    <m/>
    <m/>
    <m/>
    <n v="0"/>
    <n v="0"/>
    <n v="0"/>
    <n v="0"/>
    <n v="0"/>
    <n v="0"/>
    <n v="0"/>
    <n v="0"/>
    <n v="0"/>
    <n v="0"/>
    <n v="0"/>
    <n v="0"/>
    <n v="0"/>
    <n v="0"/>
    <x v="2"/>
    <n v="0"/>
    <n v="0"/>
    <n v="0"/>
    <s v="MMR015CMP018"/>
    <x v="0"/>
    <x v="1"/>
    <x v="2"/>
    <n v="0"/>
    <s v="No"/>
    <m/>
  </r>
  <r>
    <n v="37.6"/>
    <d v="2013-11-30T00:00:00"/>
    <x v="1"/>
    <m/>
    <s v="Kachin"/>
    <s v="Momauk"/>
    <s v="Momauk Baptist Church"/>
    <m/>
    <m/>
    <m/>
    <m/>
    <m/>
    <m/>
    <m/>
    <m/>
    <m/>
    <n v="906"/>
    <m/>
    <m/>
    <m/>
    <m/>
    <m/>
    <m/>
    <m/>
    <n v="0"/>
    <n v="0"/>
    <n v="0"/>
    <n v="0"/>
    <n v="0"/>
    <n v="0"/>
    <n v="0"/>
    <n v="0"/>
    <n v="0"/>
    <n v="0"/>
    <n v="0"/>
    <n v="0"/>
    <n v="0"/>
    <n v="0"/>
    <x v="0"/>
    <n v="0"/>
    <n v="0"/>
    <n v="0"/>
    <s v="MMR001CMP056"/>
    <x v="0"/>
    <x v="1"/>
    <x v="1"/>
    <n v="0"/>
    <s v="No"/>
    <m/>
  </r>
  <r>
    <n v="37.6"/>
    <d v="2013-11-30T00:00:00"/>
    <x v="1"/>
    <m/>
    <s v="Kachin"/>
    <s v="Bhamo"/>
    <s v="Nant Hlaing Church"/>
    <m/>
    <m/>
    <m/>
    <m/>
    <m/>
    <m/>
    <m/>
    <m/>
    <m/>
    <n v="57"/>
    <m/>
    <m/>
    <m/>
    <m/>
    <m/>
    <m/>
    <m/>
    <n v="0"/>
    <n v="0"/>
    <n v="0"/>
    <n v="0"/>
    <n v="0"/>
    <n v="0"/>
    <n v="0"/>
    <n v="0"/>
    <n v="0"/>
    <n v="0"/>
    <n v="0"/>
    <n v="0"/>
    <n v="0"/>
    <n v="0"/>
    <x v="0"/>
    <n v="0"/>
    <n v="0"/>
    <n v="0"/>
    <s v="MMR001CMP054"/>
    <x v="0"/>
    <x v="1"/>
    <x v="1"/>
    <n v="0"/>
    <s v="No"/>
    <m/>
  </r>
  <r>
    <n v="37.6"/>
    <d v="2013-11-30T00:00:00"/>
    <x v="10"/>
    <s v="MDCG"/>
    <s v="Shan_North"/>
    <s v="Hseni"/>
    <s v="Narte"/>
    <m/>
    <m/>
    <m/>
    <m/>
    <m/>
    <n v="201"/>
    <m/>
    <m/>
    <m/>
    <m/>
    <n v="266"/>
    <n v="126"/>
    <n v="0"/>
    <m/>
    <m/>
    <m/>
    <m/>
    <n v="0"/>
    <n v="0"/>
    <n v="0"/>
    <n v="0"/>
    <n v="0"/>
    <n v="0"/>
    <n v="0"/>
    <n v="0"/>
    <n v="0"/>
    <n v="0"/>
    <n v="0"/>
    <n v="0"/>
    <n v="0"/>
    <n v="0"/>
    <x v="2"/>
    <n v="0"/>
    <n v="0"/>
    <n v="0"/>
    <s v="MMR015CMP207"/>
    <x v="0"/>
    <x v="1"/>
    <x v="1"/>
    <n v="0"/>
    <s v="No"/>
    <m/>
  </r>
  <r>
    <n v="37.6"/>
    <d v="2013-11-30T00:00:00"/>
    <x v="1"/>
    <s v="LDO"/>
    <s v="Kachin"/>
    <s v="Momauk"/>
    <s v="Nhkawng Pa "/>
    <m/>
    <m/>
    <m/>
    <m/>
    <m/>
    <m/>
    <m/>
    <m/>
    <m/>
    <m/>
    <m/>
    <m/>
    <m/>
    <m/>
    <m/>
    <m/>
    <m/>
    <n v="0"/>
    <n v="0"/>
    <n v="0"/>
    <n v="0"/>
    <n v="0"/>
    <n v="0"/>
    <n v="0"/>
    <n v="0"/>
    <n v="0"/>
    <n v="0"/>
    <n v="0"/>
    <n v="0"/>
    <n v="0"/>
    <n v="0"/>
    <x v="0"/>
    <n v="0"/>
    <n v="0"/>
    <n v="0"/>
    <s v="MMR001CMP131"/>
    <x v="0"/>
    <x v="1"/>
    <x v="5"/>
    <n v="0"/>
    <s v="No"/>
    <m/>
  </r>
  <r>
    <n v="37.6"/>
    <d v="2013-11-30T00:00:00"/>
    <x v="1"/>
    <m/>
    <s v="Kachin"/>
    <s v="Momauk"/>
    <s v="Nyaung Na Pin "/>
    <m/>
    <m/>
    <m/>
    <m/>
    <m/>
    <m/>
    <m/>
    <m/>
    <m/>
    <n v="135"/>
    <m/>
    <m/>
    <m/>
    <m/>
    <m/>
    <m/>
    <m/>
    <n v="0"/>
    <n v="0"/>
    <n v="0"/>
    <n v="0"/>
    <n v="0"/>
    <n v="0"/>
    <n v="0"/>
    <n v="0"/>
    <n v="0"/>
    <n v="0"/>
    <n v="0"/>
    <n v="0"/>
    <n v="0"/>
    <n v="0"/>
    <x v="0"/>
    <n v="0"/>
    <n v="0"/>
    <n v="0"/>
    <s v="MMR001CMP072"/>
    <x v="0"/>
    <x v="1"/>
    <x v="2"/>
    <n v="0"/>
    <s v="No"/>
    <m/>
  </r>
  <r>
    <n v="37.6"/>
    <d v="2013-11-30T00:00:00"/>
    <x v="1"/>
    <s v="LDO"/>
    <s v="Kachin"/>
    <s v="Momauk"/>
    <s v="Pa Kahtawng "/>
    <m/>
    <m/>
    <m/>
    <m/>
    <m/>
    <m/>
    <m/>
    <m/>
    <m/>
    <m/>
    <m/>
    <m/>
    <m/>
    <m/>
    <m/>
    <m/>
    <m/>
    <n v="0"/>
    <n v="0"/>
    <n v="0"/>
    <n v="0"/>
    <n v="0"/>
    <n v="0"/>
    <n v="0"/>
    <n v="0"/>
    <n v="0"/>
    <n v="0"/>
    <n v="0"/>
    <n v="0"/>
    <n v="0"/>
    <n v="0"/>
    <x v="0"/>
    <n v="0"/>
    <n v="0"/>
    <n v="0"/>
    <s v="MMR001CMP126"/>
    <x v="0"/>
    <x v="1"/>
    <x v="6"/>
    <n v="0"/>
    <s v="No"/>
    <m/>
  </r>
  <r>
    <n v="37.6"/>
    <d v="2013-11-30T00:00:00"/>
    <x v="0"/>
    <s v="UNHCR"/>
    <s v="Kachin"/>
    <s v="Momauk"/>
    <s v="Pa Kahtawng "/>
    <m/>
    <m/>
    <m/>
    <m/>
    <m/>
    <m/>
    <m/>
    <m/>
    <m/>
    <m/>
    <m/>
    <m/>
    <m/>
    <m/>
    <m/>
    <m/>
    <m/>
    <n v="0"/>
    <n v="0"/>
    <n v="0"/>
    <n v="0"/>
    <n v="0"/>
    <n v="0"/>
    <n v="0"/>
    <n v="0"/>
    <n v="0"/>
    <n v="0"/>
    <n v="0"/>
    <n v="0"/>
    <n v="0"/>
    <n v="0"/>
    <x v="0"/>
    <n v="0"/>
    <n v="0"/>
    <n v="0"/>
    <s v="MMR001CMP126"/>
    <x v="0"/>
    <x v="1"/>
    <x v="6"/>
    <n v="0"/>
    <s v="No"/>
    <m/>
  </r>
  <r>
    <n v="37.6"/>
    <d v="2013-11-30T00:00:00"/>
    <x v="1"/>
    <s v="KBC"/>
    <s v="Kachin"/>
    <s v="Waingmaw"/>
    <s v="Pajau - Jan Mai"/>
    <m/>
    <m/>
    <m/>
    <m/>
    <m/>
    <m/>
    <m/>
    <m/>
    <m/>
    <m/>
    <m/>
    <m/>
    <m/>
    <m/>
    <m/>
    <m/>
    <m/>
    <n v="0"/>
    <n v="0"/>
    <n v="0"/>
    <n v="0"/>
    <n v="0"/>
    <n v="0"/>
    <n v="0"/>
    <n v="0"/>
    <n v="0"/>
    <n v="0"/>
    <n v="0"/>
    <n v="0"/>
    <n v="0"/>
    <n v="0"/>
    <x v="0"/>
    <n v="0"/>
    <n v="0"/>
    <n v="0"/>
    <s v="MMR001CMP120"/>
    <x v="0"/>
    <x v="1"/>
    <x v="5"/>
    <n v="0"/>
    <s v="No"/>
    <m/>
  </r>
  <r>
    <n v="37.6"/>
    <d v="2013-11-30T00:00:00"/>
    <x v="10"/>
    <s v="MDCG"/>
    <s v="Kachin"/>
    <s v="Bhamo"/>
    <s v="Phan Khar Kone"/>
    <m/>
    <m/>
    <m/>
    <m/>
    <m/>
    <n v="320"/>
    <m/>
    <m/>
    <m/>
    <m/>
    <n v="234"/>
    <n v="336"/>
    <n v="0"/>
    <m/>
    <m/>
    <m/>
    <m/>
    <n v="0"/>
    <n v="0"/>
    <n v="0"/>
    <n v="0"/>
    <n v="0"/>
    <n v="0"/>
    <n v="0"/>
    <n v="0"/>
    <n v="0"/>
    <n v="0"/>
    <n v="0"/>
    <n v="0"/>
    <n v="0"/>
    <n v="0"/>
    <x v="2"/>
    <n v="0"/>
    <n v="0"/>
    <n v="0"/>
    <s v="MMR001CMP193"/>
    <x v="0"/>
    <x v="1"/>
    <x v="1"/>
    <n v="0"/>
    <s v="No"/>
    <m/>
  </r>
  <r>
    <n v="37.6"/>
    <d v="2013-11-30T00:00:00"/>
    <x v="1"/>
    <m/>
    <s v="Kachin"/>
    <s v="Bhamo"/>
    <s v="Phan Khar Kone"/>
    <m/>
    <m/>
    <m/>
    <m/>
    <m/>
    <m/>
    <m/>
    <m/>
    <m/>
    <m/>
    <m/>
    <m/>
    <m/>
    <m/>
    <m/>
    <m/>
    <m/>
    <n v="0"/>
    <n v="0"/>
    <n v="0"/>
    <n v="0"/>
    <n v="0"/>
    <n v="0"/>
    <n v="0"/>
    <n v="0"/>
    <n v="0"/>
    <n v="0"/>
    <n v="0"/>
    <n v="0"/>
    <n v="0"/>
    <n v="0"/>
    <x v="0"/>
    <n v="0"/>
    <n v="0"/>
    <n v="0"/>
    <s v="MMR001CMP193"/>
    <x v="0"/>
    <x v="1"/>
    <x v="1"/>
    <n v="0"/>
    <s v="No"/>
    <m/>
  </r>
  <r>
    <n v="37.6"/>
    <d v="2013-11-30T00:00:00"/>
    <x v="1"/>
    <s v="KBC"/>
    <s v="Kachin"/>
    <s v="Waingmaw"/>
    <s v="Post 6 Camp"/>
    <m/>
    <m/>
    <m/>
    <m/>
    <m/>
    <m/>
    <m/>
    <m/>
    <m/>
    <m/>
    <m/>
    <m/>
    <m/>
    <m/>
    <m/>
    <m/>
    <m/>
    <n v="0"/>
    <n v="0"/>
    <n v="0"/>
    <n v="0"/>
    <n v="0"/>
    <n v="0"/>
    <n v="0"/>
    <n v="0"/>
    <n v="0"/>
    <n v="0"/>
    <n v="0"/>
    <n v="0"/>
    <n v="0"/>
    <n v="0"/>
    <x v="0"/>
    <n v="0"/>
    <n v="0"/>
    <n v="0"/>
    <s v="MMR001CMP160"/>
    <x v="0"/>
    <x v="1"/>
    <x v="5"/>
    <n v="0"/>
    <s v="No"/>
    <m/>
  </r>
  <r>
    <n v="37.6"/>
    <d v="2013-11-30T00:00:00"/>
    <x v="1"/>
    <s v="KBC"/>
    <s v="Kachin"/>
    <s v="Waingmaw"/>
    <s v="Qtr. 2 Myoma Baptist Church"/>
    <m/>
    <m/>
    <m/>
    <m/>
    <m/>
    <m/>
    <m/>
    <m/>
    <m/>
    <m/>
    <m/>
    <m/>
    <m/>
    <m/>
    <m/>
    <m/>
    <m/>
    <n v="0"/>
    <n v="0"/>
    <n v="0"/>
    <n v="0"/>
    <n v="0"/>
    <n v="0"/>
    <n v="0"/>
    <n v="0"/>
    <n v="0"/>
    <n v="0"/>
    <n v="0"/>
    <n v="0"/>
    <n v="0"/>
    <n v="0"/>
    <x v="0"/>
    <n v="0"/>
    <n v="0"/>
    <n v="0"/>
    <s v="MMR001CMP025"/>
    <x v="0"/>
    <x v="1"/>
    <x v="1"/>
    <n v="0"/>
    <s v="No"/>
    <m/>
  </r>
  <r>
    <n v="37.6"/>
    <d v="2013-11-30T00:00:00"/>
    <x v="1"/>
    <s v="KBC"/>
    <s v="Kachin"/>
    <s v="Waingmaw"/>
    <s v="Qtr. 3 Mu-yin  Baptist Church"/>
    <m/>
    <m/>
    <m/>
    <m/>
    <m/>
    <m/>
    <m/>
    <m/>
    <m/>
    <m/>
    <m/>
    <m/>
    <m/>
    <m/>
    <m/>
    <m/>
    <m/>
    <n v="0"/>
    <n v="0"/>
    <n v="0"/>
    <n v="0"/>
    <n v="0"/>
    <n v="0"/>
    <n v="0"/>
    <n v="0"/>
    <n v="0"/>
    <n v="0"/>
    <n v="0"/>
    <n v="0"/>
    <n v="0"/>
    <n v="0"/>
    <x v="0"/>
    <n v="0"/>
    <n v="0"/>
    <n v="0"/>
    <s v="MMR001CMP030"/>
    <x v="0"/>
    <x v="1"/>
    <x v="1"/>
    <n v="0"/>
    <s v="No"/>
    <m/>
  </r>
  <r>
    <n v="37.6"/>
    <d v="2013-11-30T00:00:00"/>
    <x v="1"/>
    <s v="KBC"/>
    <s v="Kachin"/>
    <s v="Waingmaw"/>
    <s v="Qtr. 4 Monestry (Thargaya Thayett Taw)"/>
    <m/>
    <m/>
    <m/>
    <m/>
    <m/>
    <m/>
    <m/>
    <m/>
    <m/>
    <m/>
    <m/>
    <m/>
    <m/>
    <m/>
    <m/>
    <m/>
    <m/>
    <n v="0"/>
    <n v="0"/>
    <n v="0"/>
    <n v="0"/>
    <n v="0"/>
    <n v="0"/>
    <n v="0"/>
    <n v="0"/>
    <n v="0"/>
    <n v="0"/>
    <n v="0"/>
    <n v="0"/>
    <n v="0"/>
    <n v="0"/>
    <x v="0"/>
    <n v="0"/>
    <n v="0"/>
    <n v="0"/>
    <s v="MMR001CMP026"/>
    <x v="0"/>
    <x v="1"/>
    <x v="1"/>
    <n v="0"/>
    <s v="No"/>
    <m/>
  </r>
  <r>
    <n v="37.6"/>
    <d v="2013-11-30T00:00:00"/>
    <x v="1"/>
    <m/>
    <s v="Kachin"/>
    <s v="Bhamo"/>
    <s v="Robert Church"/>
    <m/>
    <m/>
    <m/>
    <m/>
    <m/>
    <m/>
    <m/>
    <m/>
    <m/>
    <n v="1164"/>
    <m/>
    <m/>
    <m/>
    <m/>
    <m/>
    <m/>
    <m/>
    <n v="0"/>
    <n v="0"/>
    <n v="0"/>
    <n v="0"/>
    <n v="0"/>
    <n v="0"/>
    <n v="0"/>
    <n v="0"/>
    <n v="0"/>
    <n v="0"/>
    <n v="0"/>
    <n v="0"/>
    <n v="0"/>
    <n v="0"/>
    <x v="0"/>
    <n v="0"/>
    <n v="0"/>
    <n v="0"/>
    <s v="MMR001CMP047"/>
    <x v="0"/>
    <x v="1"/>
    <x v="1"/>
    <n v="0"/>
    <s v="No"/>
    <m/>
  </r>
  <r>
    <n v="37.6"/>
    <d v="2013-11-30T00:00:00"/>
    <x v="0"/>
    <s v="UNHCR"/>
    <s v="Kachin"/>
    <s v="Bhamo"/>
    <s v="Robert Church"/>
    <m/>
    <m/>
    <m/>
    <n v="75"/>
    <n v="36"/>
    <n v="75"/>
    <n v="36"/>
    <n v="36"/>
    <m/>
    <m/>
    <m/>
    <m/>
    <m/>
    <m/>
    <m/>
    <m/>
    <m/>
    <n v="0"/>
    <n v="0"/>
    <n v="0"/>
    <n v="0"/>
    <n v="0"/>
    <n v="0"/>
    <n v="0"/>
    <n v="0"/>
    <n v="0"/>
    <n v="0"/>
    <n v="0"/>
    <n v="0"/>
    <n v="0"/>
    <n v="0"/>
    <x v="0"/>
    <n v="0"/>
    <n v="0"/>
    <n v="0"/>
    <s v="MMR001CMP047"/>
    <x v="0"/>
    <x v="1"/>
    <x v="1"/>
    <n v="8.8397790055248619E-4"/>
    <s v="No"/>
    <m/>
  </r>
  <r>
    <n v="37.6"/>
    <d v="2013-11-30T00:00:00"/>
    <x v="1"/>
    <m/>
    <s v="Kachin"/>
    <s v="Momauk"/>
    <s v="Seng Ja "/>
    <m/>
    <m/>
    <m/>
    <m/>
    <m/>
    <m/>
    <m/>
    <m/>
    <m/>
    <n v="99"/>
    <m/>
    <m/>
    <m/>
    <m/>
    <m/>
    <m/>
    <m/>
    <n v="0"/>
    <n v="0"/>
    <n v="0"/>
    <n v="0"/>
    <n v="0"/>
    <n v="0"/>
    <n v="0"/>
    <n v="0"/>
    <n v="0"/>
    <n v="0"/>
    <n v="0"/>
    <n v="0"/>
    <n v="0"/>
    <n v="0"/>
    <x v="0"/>
    <n v="0"/>
    <n v="0"/>
    <n v="0"/>
    <s v="MMR001CMP073"/>
    <x v="0"/>
    <x v="1"/>
    <x v="2"/>
    <n v="0"/>
    <s v="No"/>
    <m/>
  </r>
  <r>
    <n v="37.6"/>
    <d v="2013-11-30T00:00:00"/>
    <x v="1"/>
    <s v="KBC"/>
    <s v="Kachin"/>
    <s v="Waingmaw"/>
    <s v="Shing Jai"/>
    <m/>
    <m/>
    <m/>
    <m/>
    <m/>
    <m/>
    <m/>
    <m/>
    <m/>
    <m/>
    <m/>
    <m/>
    <m/>
    <m/>
    <m/>
    <m/>
    <m/>
    <n v="0"/>
    <n v="0"/>
    <n v="0"/>
    <n v="0"/>
    <n v="0"/>
    <n v="0"/>
    <n v="0"/>
    <n v="0"/>
    <n v="0"/>
    <n v="0"/>
    <n v="0"/>
    <n v="0"/>
    <n v="0"/>
    <n v="0"/>
    <x v="0"/>
    <n v="0"/>
    <n v="0"/>
    <n v="0"/>
    <s v="MMR001CMP041"/>
    <x v="0"/>
    <x v="1"/>
    <x v="5"/>
    <n v="0"/>
    <s v="No"/>
    <m/>
  </r>
  <r>
    <n v="37.6"/>
    <d v="2013-11-30T00:00:00"/>
    <x v="10"/>
    <s v="MDCG"/>
    <s v="Kachin"/>
    <s v="Shwegu"/>
    <s v="Shwe Gu Baptist Church"/>
    <m/>
    <m/>
    <m/>
    <m/>
    <m/>
    <n v="197"/>
    <m/>
    <m/>
    <m/>
    <m/>
    <n v="226"/>
    <n v="68"/>
    <n v="0"/>
    <m/>
    <m/>
    <m/>
    <m/>
    <n v="0"/>
    <n v="0"/>
    <n v="0"/>
    <n v="0"/>
    <n v="0"/>
    <n v="0"/>
    <n v="0"/>
    <n v="0"/>
    <n v="0"/>
    <n v="0"/>
    <n v="0"/>
    <n v="0"/>
    <n v="0"/>
    <n v="0"/>
    <x v="2"/>
    <n v="0"/>
    <n v="0"/>
    <n v="0"/>
    <s v="MMR001CMP067"/>
    <x v="0"/>
    <x v="1"/>
    <x v="1"/>
    <n v="0"/>
    <s v="No"/>
    <m/>
  </r>
  <r>
    <n v="37.6"/>
    <d v="2013-11-30T00:00:00"/>
    <x v="1"/>
    <m/>
    <s v="Kachin"/>
    <s v="Shwegu"/>
    <s v="Shwe Gu Baptist Church"/>
    <m/>
    <m/>
    <m/>
    <m/>
    <m/>
    <m/>
    <m/>
    <m/>
    <m/>
    <n v="204"/>
    <m/>
    <m/>
    <m/>
    <m/>
    <m/>
    <m/>
    <m/>
    <n v="0"/>
    <n v="0"/>
    <n v="0"/>
    <n v="0"/>
    <n v="0"/>
    <n v="0"/>
    <n v="0"/>
    <n v="0"/>
    <n v="0"/>
    <n v="0"/>
    <n v="0"/>
    <n v="0"/>
    <n v="0"/>
    <n v="0"/>
    <x v="0"/>
    <n v="0"/>
    <n v="0"/>
    <n v="0"/>
    <s v="MMR001CMP067"/>
    <x v="0"/>
    <x v="1"/>
    <x v="1"/>
    <n v="0"/>
    <s v="No"/>
    <m/>
  </r>
  <r>
    <n v="37.6"/>
    <d v="2013-11-30T00:00:00"/>
    <x v="10"/>
    <s v="MDCG"/>
    <s v="Kachin"/>
    <s v="Shwegu"/>
    <s v="Shwe Gu Catholic Church"/>
    <m/>
    <m/>
    <m/>
    <m/>
    <m/>
    <n v="142"/>
    <m/>
    <m/>
    <m/>
    <m/>
    <n v="182"/>
    <n v="60"/>
    <n v="0"/>
    <m/>
    <m/>
    <m/>
    <m/>
    <n v="0"/>
    <n v="0"/>
    <n v="0"/>
    <n v="0"/>
    <n v="0"/>
    <n v="0"/>
    <n v="0"/>
    <n v="0"/>
    <n v="0"/>
    <n v="0"/>
    <n v="0"/>
    <n v="0"/>
    <n v="0"/>
    <n v="0"/>
    <x v="2"/>
    <n v="0"/>
    <n v="0"/>
    <n v="0"/>
    <s v="MMR001CMP068"/>
    <x v="0"/>
    <x v="1"/>
    <x v="1"/>
    <n v="0"/>
    <s v="No"/>
    <m/>
  </r>
  <r>
    <n v="37.6"/>
    <d v="2013-11-30T00:00:00"/>
    <x v="1"/>
    <m/>
    <s v="Kachin"/>
    <s v="Shwegu"/>
    <s v="Shwe Gu Catholic Church"/>
    <m/>
    <m/>
    <m/>
    <m/>
    <m/>
    <m/>
    <m/>
    <m/>
    <m/>
    <n v="126"/>
    <m/>
    <m/>
    <m/>
    <m/>
    <m/>
    <m/>
    <m/>
    <n v="0"/>
    <n v="0"/>
    <n v="0"/>
    <n v="0"/>
    <n v="0"/>
    <n v="0"/>
    <n v="0"/>
    <n v="0"/>
    <n v="0"/>
    <n v="0"/>
    <n v="0"/>
    <n v="0"/>
    <n v="0"/>
    <n v="0"/>
    <x v="0"/>
    <n v="0"/>
    <n v="0"/>
    <n v="0"/>
    <s v="MMR001CMP068"/>
    <x v="0"/>
    <x v="1"/>
    <x v="1"/>
    <n v="0"/>
    <s v="No"/>
    <m/>
  </r>
  <r>
    <n v="37.6"/>
    <d v="2013-11-30T00:00:00"/>
    <x v="10"/>
    <s v="MDCG"/>
    <s v="Kachin"/>
    <s v="Bhamo"/>
    <s v="Ta Gun Taing Monastery (Shwe Kyi Na)"/>
    <m/>
    <m/>
    <m/>
    <m/>
    <m/>
    <n v="135"/>
    <m/>
    <m/>
    <m/>
    <m/>
    <n v="68"/>
    <n v="61"/>
    <n v="0"/>
    <m/>
    <m/>
    <m/>
    <m/>
    <n v="0"/>
    <n v="0"/>
    <n v="0"/>
    <n v="0"/>
    <n v="0"/>
    <n v="0"/>
    <n v="0"/>
    <n v="0"/>
    <n v="0"/>
    <n v="0"/>
    <n v="0"/>
    <n v="0"/>
    <n v="0"/>
    <n v="0"/>
    <x v="2"/>
    <n v="0"/>
    <n v="0"/>
    <n v="0"/>
    <s v="MMR001CMP055"/>
    <x v="0"/>
    <x v="1"/>
    <x v="1"/>
    <n v="0"/>
    <s v="No"/>
    <m/>
  </r>
  <r>
    <n v="37.6"/>
    <d v="2013-11-30T00:00:00"/>
    <x v="1"/>
    <m/>
    <s v="Kachin"/>
    <s v="Bhamo"/>
    <s v="Ta Gun Taing Monastery (Shwe Kyi Na)"/>
    <m/>
    <m/>
    <m/>
    <m/>
    <m/>
    <m/>
    <m/>
    <m/>
    <m/>
    <m/>
    <m/>
    <m/>
    <m/>
    <m/>
    <m/>
    <m/>
    <m/>
    <n v="0"/>
    <n v="0"/>
    <n v="0"/>
    <n v="0"/>
    <n v="0"/>
    <n v="0"/>
    <n v="0"/>
    <n v="0"/>
    <n v="0"/>
    <n v="0"/>
    <n v="0"/>
    <n v="0"/>
    <n v="0"/>
    <n v="0"/>
    <x v="0"/>
    <n v="0"/>
    <n v="0"/>
    <n v="0"/>
    <s v="MMR001CMP055"/>
    <x v="0"/>
    <x v="1"/>
    <x v="1"/>
    <n v="0"/>
    <s v="No"/>
    <m/>
  </r>
  <r>
    <n v="37.6"/>
    <d v="2013-11-30T00:00:00"/>
    <x v="1"/>
    <s v="KBC"/>
    <s v="Kachin"/>
    <s v="Waingmaw"/>
    <s v="Thargaya Lisu Baptist Church"/>
    <m/>
    <m/>
    <m/>
    <m/>
    <m/>
    <m/>
    <m/>
    <m/>
    <m/>
    <m/>
    <m/>
    <m/>
    <m/>
    <m/>
    <m/>
    <m/>
    <m/>
    <n v="0"/>
    <n v="0"/>
    <n v="0"/>
    <n v="0"/>
    <n v="0"/>
    <n v="0"/>
    <n v="0"/>
    <n v="0"/>
    <n v="0"/>
    <n v="0"/>
    <n v="0"/>
    <n v="0"/>
    <n v="0"/>
    <n v="0"/>
    <x v="0"/>
    <n v="0"/>
    <n v="0"/>
    <n v="0"/>
    <s v="MMR001CMP037"/>
    <x v="0"/>
    <x v="1"/>
    <x v="1"/>
    <n v="0"/>
    <s v="No"/>
    <m/>
  </r>
  <r>
    <n v="37.6"/>
    <d v="2013-11-30T00:00:00"/>
    <x v="1"/>
    <s v="KBC"/>
    <s v="Kachin"/>
    <s v="Waingmaw"/>
    <s v="Waingmaw AG Church"/>
    <m/>
    <m/>
    <m/>
    <m/>
    <m/>
    <m/>
    <m/>
    <m/>
    <m/>
    <m/>
    <m/>
    <m/>
    <m/>
    <m/>
    <m/>
    <m/>
    <m/>
    <n v="0"/>
    <n v="0"/>
    <n v="0"/>
    <n v="0"/>
    <n v="0"/>
    <n v="0"/>
    <n v="0"/>
    <n v="0"/>
    <n v="0"/>
    <n v="0"/>
    <n v="0"/>
    <n v="0"/>
    <n v="0"/>
    <n v="0"/>
    <x v="0"/>
    <n v="0"/>
    <n v="0"/>
    <n v="0"/>
    <s v="MMR001CMP038"/>
    <x v="0"/>
    <x v="1"/>
    <x v="1"/>
    <n v="0"/>
    <s v="No"/>
    <m/>
  </r>
  <r>
    <n v="37.6"/>
    <d v="2013-11-30T00:00:00"/>
    <x v="1"/>
    <s v="KBC"/>
    <s v="Kachin"/>
    <s v="Waingmaw"/>
    <s v="Woi Chyai "/>
    <m/>
    <m/>
    <m/>
    <m/>
    <m/>
    <m/>
    <m/>
    <m/>
    <m/>
    <n v="1851"/>
    <m/>
    <m/>
    <m/>
    <m/>
    <m/>
    <m/>
    <m/>
    <n v="0"/>
    <n v="0"/>
    <n v="0"/>
    <n v="0"/>
    <n v="0"/>
    <n v="0"/>
    <n v="0"/>
    <n v="0"/>
    <n v="0"/>
    <n v="0"/>
    <n v="0"/>
    <n v="0"/>
    <n v="0"/>
    <n v="0"/>
    <x v="0"/>
    <n v="0"/>
    <n v="0"/>
    <n v="0"/>
    <s v="MMR001CMP116"/>
    <x v="0"/>
    <x v="1"/>
    <x v="1"/>
    <n v="0"/>
    <s v="No"/>
    <m/>
  </r>
  <r>
    <n v="37.6"/>
    <d v="2013-11-30T00:00:00"/>
    <x v="10"/>
    <s v="MDCG"/>
    <s v="Kachin"/>
    <s v="Bhamo"/>
    <s v="Yoe Kyi Monastery"/>
    <m/>
    <m/>
    <m/>
    <m/>
    <m/>
    <n v="64"/>
    <m/>
    <m/>
    <m/>
    <m/>
    <n v="58"/>
    <n v="52"/>
    <n v="0"/>
    <m/>
    <m/>
    <m/>
    <m/>
    <n v="0"/>
    <n v="0"/>
    <n v="0"/>
    <n v="0"/>
    <n v="0"/>
    <n v="0"/>
    <n v="0"/>
    <n v="0"/>
    <n v="0"/>
    <n v="0"/>
    <n v="0"/>
    <n v="0"/>
    <n v="0"/>
    <n v="0"/>
    <x v="2"/>
    <n v="0"/>
    <n v="0"/>
    <n v="0"/>
    <s v="MMR001CMP053"/>
    <x v="0"/>
    <x v="1"/>
    <x v="1"/>
    <n v="0"/>
    <s v="No"/>
    <m/>
  </r>
  <r>
    <n v="37.6"/>
    <d v="2013-11-30T00:00:00"/>
    <x v="1"/>
    <m/>
    <s v="Kachin"/>
    <s v="Bhamo"/>
    <s v="Yoe Kyi Monastery"/>
    <m/>
    <m/>
    <m/>
    <m/>
    <m/>
    <m/>
    <m/>
    <m/>
    <m/>
    <n v="99"/>
    <m/>
    <m/>
    <m/>
    <m/>
    <m/>
    <m/>
    <m/>
    <n v="0"/>
    <n v="0"/>
    <n v="0"/>
    <n v="0"/>
    <n v="0"/>
    <n v="0"/>
    <n v="0"/>
    <n v="0"/>
    <n v="0"/>
    <n v="0"/>
    <n v="0"/>
    <n v="0"/>
    <n v="0"/>
    <n v="0"/>
    <x v="0"/>
    <n v="0"/>
    <n v="0"/>
    <n v="0"/>
    <s v="MMR001CMP053"/>
    <x v="0"/>
    <x v="1"/>
    <x v="1"/>
    <n v="0"/>
    <s v="No"/>
    <m/>
  </r>
  <r>
    <n v="37.6"/>
    <d v="2013-11-30T00:00:00"/>
    <x v="1"/>
    <s v="KBC"/>
    <s v="Kachin"/>
    <s v="Waingmaw"/>
    <s v="Zai Awng - Mung Ga Zup"/>
    <m/>
    <m/>
    <m/>
    <m/>
    <m/>
    <m/>
    <m/>
    <m/>
    <m/>
    <m/>
    <m/>
    <m/>
    <m/>
    <m/>
    <m/>
    <m/>
    <m/>
    <n v="0"/>
    <n v="0"/>
    <n v="0"/>
    <n v="0"/>
    <n v="0"/>
    <n v="0"/>
    <n v="0"/>
    <n v="0"/>
    <n v="0"/>
    <n v="0"/>
    <n v="0"/>
    <n v="0"/>
    <n v="0"/>
    <n v="0"/>
    <x v="0"/>
    <n v="0"/>
    <n v="0"/>
    <n v="0"/>
    <s v="MMR001CMP111"/>
    <x v="0"/>
    <x v="1"/>
    <x v="6"/>
    <n v="0"/>
    <s v="No"/>
    <m/>
  </r>
  <r>
    <n v="37.633333333333333"/>
    <d v="2013-11-29T00:00:00"/>
    <x v="1"/>
    <s v="KBC"/>
    <s v="Kachin"/>
    <s v="Waingmaw"/>
    <s v="Hkau Shau (BP 12)"/>
    <m/>
    <m/>
    <m/>
    <m/>
    <m/>
    <m/>
    <m/>
    <m/>
    <m/>
    <m/>
    <n v="177"/>
    <n v="354"/>
    <n v="1062"/>
    <n v="531"/>
    <m/>
    <m/>
    <m/>
    <n v="0"/>
    <n v="0"/>
    <n v="0"/>
    <n v="0"/>
    <n v="0"/>
    <n v="0"/>
    <n v="0"/>
    <n v="0"/>
    <n v="0"/>
    <n v="0"/>
    <n v="0"/>
    <n v="0"/>
    <n v="0"/>
    <n v="0"/>
    <x v="2"/>
    <n v="0"/>
    <n v="0"/>
    <n v="0"/>
    <s v="MMR001CMP115"/>
    <x v="0"/>
    <x v="1"/>
    <x v="5"/>
    <n v="0"/>
    <m/>
    <m/>
  </r>
  <r>
    <n v="37.666666666666664"/>
    <d v="2013-11-28T00:00:00"/>
    <x v="0"/>
    <s v="UNHCR"/>
    <s v="Kachin"/>
    <s v="Mansi"/>
    <s v="Mansi Baptist Church"/>
    <m/>
    <m/>
    <m/>
    <n v="20"/>
    <n v="7"/>
    <n v="22"/>
    <n v="7"/>
    <n v="7"/>
    <m/>
    <m/>
    <m/>
    <m/>
    <m/>
    <m/>
    <m/>
    <m/>
    <m/>
    <n v="0"/>
    <n v="0"/>
    <n v="0"/>
    <n v="0"/>
    <n v="0"/>
    <n v="0"/>
    <n v="0"/>
    <n v="0"/>
    <n v="0"/>
    <n v="0"/>
    <n v="0"/>
    <n v="0"/>
    <n v="0"/>
    <n v="0"/>
    <x v="0"/>
    <n v="0"/>
    <n v="0"/>
    <n v="0"/>
    <s v="MMR001CMP066"/>
    <x v="0"/>
    <x v="1"/>
    <x v="1"/>
    <n v="1.6835421727314268E-4"/>
    <s v="No"/>
    <m/>
  </r>
  <r>
    <n v="37.666666666666664"/>
    <d v="2013-11-28T00:00:00"/>
    <x v="1"/>
    <s v="KBC"/>
    <s v="Kachin"/>
    <s v="Waingmaw"/>
    <s v="Zai Awng - Mung Ga Zup"/>
    <m/>
    <m/>
    <m/>
    <m/>
    <m/>
    <m/>
    <m/>
    <m/>
    <m/>
    <m/>
    <n v="636"/>
    <n v="1272"/>
    <n v="3816"/>
    <n v="1908"/>
    <m/>
    <m/>
    <m/>
    <n v="0"/>
    <n v="0"/>
    <n v="0"/>
    <n v="0"/>
    <n v="0"/>
    <n v="0"/>
    <n v="0"/>
    <n v="0"/>
    <n v="0"/>
    <n v="0"/>
    <n v="0"/>
    <n v="0"/>
    <n v="0"/>
    <n v="0"/>
    <x v="2"/>
    <n v="0"/>
    <n v="0"/>
    <n v="0"/>
    <s v="MMR001CMP111"/>
    <x v="0"/>
    <x v="1"/>
    <x v="6"/>
    <n v="0"/>
    <m/>
    <m/>
  </r>
  <r>
    <n v="37.733333333333334"/>
    <d v="2013-11-26T00:00:00"/>
    <x v="0"/>
    <s v="UNHCR"/>
    <s v="Kachin"/>
    <s v="Bhamo"/>
    <s v="Aung Thar Church"/>
    <m/>
    <m/>
    <m/>
    <n v="11"/>
    <n v="5"/>
    <n v="11"/>
    <n v="5"/>
    <n v="5"/>
    <m/>
    <m/>
    <m/>
    <m/>
    <m/>
    <m/>
    <m/>
    <m/>
    <m/>
    <n v="0"/>
    <n v="0"/>
    <n v="0"/>
    <n v="0"/>
    <n v="0"/>
    <n v="0"/>
    <n v="0"/>
    <n v="0"/>
    <n v="0"/>
    <n v="0"/>
    <n v="0"/>
    <n v="0"/>
    <n v="0"/>
    <n v="0"/>
    <x v="0"/>
    <n v="0"/>
    <n v="0"/>
    <n v="0"/>
    <s v="MMR001CMP194"/>
    <x v="0"/>
    <x v="1"/>
    <x v="1"/>
    <n v="1.2258807953514599E-4"/>
    <s v="No"/>
    <m/>
  </r>
  <r>
    <n v="37.733333333333334"/>
    <d v="2013-11-26T00:00:00"/>
    <x v="0"/>
    <s v="UNHCR"/>
    <s v="Kachin"/>
    <s v="Bhamo"/>
    <s v="Host Families"/>
    <m/>
    <m/>
    <m/>
    <n v="25"/>
    <n v="13"/>
    <n v="25"/>
    <n v="13"/>
    <n v="13"/>
    <m/>
    <m/>
    <m/>
    <m/>
    <m/>
    <m/>
    <m/>
    <m/>
    <m/>
    <n v="0"/>
    <n v="0"/>
    <n v="0"/>
    <n v="0"/>
    <n v="0"/>
    <n v="0"/>
    <n v="0"/>
    <n v="0"/>
    <n v="0"/>
    <n v="0"/>
    <n v="0"/>
    <n v="0"/>
    <n v="0"/>
    <n v="0"/>
    <x v="0"/>
    <n v="0"/>
    <n v="0"/>
    <n v="0"/>
    <s v="MMR001CMP163"/>
    <x v="0"/>
    <x v="1"/>
    <x v="1"/>
    <s v=""/>
    <s v="No"/>
    <m/>
  </r>
  <r>
    <n v="37.733333333333334"/>
    <d v="2013-11-26T00:00:00"/>
    <x v="0"/>
    <s v="UNHCR"/>
    <s v="Kachin"/>
    <s v="Bhamo"/>
    <s v="Lisu Boarding-House"/>
    <m/>
    <m/>
    <m/>
    <n v="31"/>
    <n v="13"/>
    <n v="31"/>
    <n v="13"/>
    <n v="13"/>
    <m/>
    <m/>
    <m/>
    <m/>
    <m/>
    <m/>
    <m/>
    <m/>
    <m/>
    <n v="0"/>
    <n v="0"/>
    <n v="0"/>
    <n v="0"/>
    <n v="0"/>
    <n v="0"/>
    <n v="0"/>
    <n v="0"/>
    <n v="0"/>
    <n v="0"/>
    <n v="0"/>
    <n v="0"/>
    <n v="0"/>
    <n v="0"/>
    <x v="0"/>
    <n v="0"/>
    <n v="0"/>
    <n v="0"/>
    <s v="MMR001CMP049"/>
    <x v="0"/>
    <x v="1"/>
    <x v="1"/>
    <n v="3.1944956382848013E-4"/>
    <s v="No"/>
    <m/>
  </r>
  <r>
    <n v="37.733333333333334"/>
    <d v="2013-11-26T00:00:00"/>
    <x v="1"/>
    <s v="Solidarities"/>
    <s v="Kachin"/>
    <s v="Mansi"/>
    <s v="Lagatyan "/>
    <m/>
    <m/>
    <m/>
    <m/>
    <m/>
    <m/>
    <m/>
    <m/>
    <m/>
    <m/>
    <n v="80"/>
    <n v="160"/>
    <n v="480"/>
    <n v="240"/>
    <m/>
    <m/>
    <m/>
    <n v="0"/>
    <n v="0"/>
    <n v="0"/>
    <n v="0"/>
    <n v="0"/>
    <n v="0"/>
    <n v="0"/>
    <n v="0"/>
    <n v="0"/>
    <n v="0"/>
    <n v="0"/>
    <n v="0"/>
    <n v="0"/>
    <n v="0"/>
    <x v="2"/>
    <n v="0"/>
    <n v="0"/>
    <n v="0"/>
    <s v="MMR001CMP202"/>
    <x v="0"/>
    <x v="0"/>
    <x v="1"/>
    <n v="0"/>
    <m/>
    <m/>
  </r>
  <r>
    <n v="37.733333333333334"/>
    <d v="2013-11-26T00:00:00"/>
    <x v="0"/>
    <s v="UNHCR"/>
    <s v="Kachin"/>
    <s v="Bhamo"/>
    <s v="Mu-yin Baptist Church"/>
    <m/>
    <m/>
    <m/>
    <n v="22"/>
    <n v="11"/>
    <n v="22"/>
    <n v="11"/>
    <n v="11"/>
    <m/>
    <m/>
    <m/>
    <m/>
    <m/>
    <m/>
    <m/>
    <m/>
    <m/>
    <n v="0"/>
    <n v="0"/>
    <n v="0"/>
    <n v="0"/>
    <n v="0"/>
    <n v="0"/>
    <n v="0"/>
    <n v="0"/>
    <n v="0"/>
    <n v="0"/>
    <n v="0"/>
    <n v="0"/>
    <n v="0"/>
    <n v="0"/>
    <x v="0"/>
    <n v="0"/>
    <n v="0"/>
    <n v="0"/>
    <s v="MMR001CMP051"/>
    <x v="0"/>
    <x v="1"/>
    <x v="1"/>
    <n v="2.6710050263458222E-4"/>
    <s v="No"/>
    <m/>
  </r>
  <r>
    <n v="37.733333333333334"/>
    <d v="2013-11-26T00:00:00"/>
    <x v="1"/>
    <s v="KBC"/>
    <s v="Kachin"/>
    <s v="Waingmaw"/>
    <s v="Pajau - Jan Mai"/>
    <m/>
    <m/>
    <m/>
    <m/>
    <m/>
    <m/>
    <m/>
    <m/>
    <m/>
    <m/>
    <n v="98"/>
    <n v="196"/>
    <n v="588"/>
    <n v="294"/>
    <m/>
    <m/>
    <m/>
    <n v="0"/>
    <n v="0"/>
    <n v="0"/>
    <n v="0"/>
    <n v="0"/>
    <n v="0"/>
    <n v="0"/>
    <n v="0"/>
    <n v="0"/>
    <n v="0"/>
    <n v="0"/>
    <n v="0"/>
    <n v="0"/>
    <n v="0"/>
    <x v="2"/>
    <n v="0"/>
    <n v="0"/>
    <n v="0"/>
    <s v="MMR001CMP120"/>
    <x v="0"/>
    <x v="1"/>
    <x v="5"/>
    <n v="0"/>
    <m/>
    <m/>
  </r>
  <r>
    <n v="37.766666666666666"/>
    <d v="2013-11-25T00:00:00"/>
    <x v="1"/>
    <s v="Solidarities"/>
    <s v="Kachin"/>
    <s v="Mansi"/>
    <s v="Man Wing Baptist Church"/>
    <m/>
    <m/>
    <m/>
    <m/>
    <m/>
    <m/>
    <m/>
    <m/>
    <m/>
    <m/>
    <m/>
    <m/>
    <m/>
    <m/>
    <m/>
    <m/>
    <m/>
    <n v="0"/>
    <n v="0"/>
    <n v="0"/>
    <n v="0"/>
    <n v="0"/>
    <n v="0"/>
    <n v="0"/>
    <n v="0"/>
    <n v="0"/>
    <n v="0"/>
    <n v="0"/>
    <n v="0"/>
    <n v="0"/>
    <n v="0"/>
    <x v="0"/>
    <n v="0"/>
    <n v="0"/>
    <n v="0"/>
    <s v="MMR001CMP133"/>
    <x v="0"/>
    <x v="1"/>
    <x v="1"/>
    <n v="0"/>
    <m/>
    <m/>
  </r>
  <r>
    <n v="37.766666666666666"/>
    <d v="2013-11-25T00:00:00"/>
    <x v="1"/>
    <s v="Solidarities"/>
    <s v="Kachin"/>
    <s v="Mansi"/>
    <s v="Man Wing Baptist Church"/>
    <m/>
    <m/>
    <m/>
    <m/>
    <m/>
    <m/>
    <m/>
    <m/>
    <m/>
    <m/>
    <n v="19"/>
    <n v="38"/>
    <n v="114"/>
    <n v="57"/>
    <m/>
    <m/>
    <m/>
    <n v="0"/>
    <n v="0"/>
    <n v="0"/>
    <n v="0"/>
    <n v="0"/>
    <n v="0"/>
    <n v="0"/>
    <n v="0"/>
    <n v="0"/>
    <n v="0"/>
    <n v="0"/>
    <n v="0"/>
    <n v="0"/>
    <n v="0"/>
    <x v="2"/>
    <n v="0"/>
    <n v="0"/>
    <n v="0"/>
    <s v="MMR001CMP133"/>
    <x v="0"/>
    <x v="1"/>
    <x v="1"/>
    <n v="0"/>
    <m/>
    <m/>
  </r>
  <r>
    <n v="37.766666666666666"/>
    <d v="2013-11-25T00:00:00"/>
    <x v="1"/>
    <s v="Solidarities"/>
    <s v="Kachin"/>
    <s v="Mansi"/>
    <s v="Man Wing Catholic Church"/>
    <m/>
    <m/>
    <m/>
    <m/>
    <m/>
    <m/>
    <m/>
    <m/>
    <m/>
    <m/>
    <n v="60"/>
    <n v="120"/>
    <n v="360"/>
    <n v="180"/>
    <m/>
    <m/>
    <m/>
    <n v="0"/>
    <n v="0"/>
    <n v="0"/>
    <n v="0"/>
    <n v="0"/>
    <n v="0"/>
    <n v="0"/>
    <n v="0"/>
    <n v="0"/>
    <n v="0"/>
    <n v="0"/>
    <n v="0"/>
    <n v="0"/>
    <n v="0"/>
    <x v="2"/>
    <n v="0"/>
    <n v="0"/>
    <n v="0"/>
    <s v="MMR001CMP132"/>
    <x v="0"/>
    <x v="1"/>
    <x v="1"/>
    <n v="0"/>
    <m/>
    <m/>
  </r>
  <r>
    <n v="37.799999999999997"/>
    <d v="2013-11-24T00:00:00"/>
    <x v="1"/>
    <s v="Solidarities"/>
    <s v="Kachin"/>
    <s v="Shwegu"/>
    <s v="Lawk Awng Mare D. (Sinbo Area)"/>
    <m/>
    <m/>
    <m/>
    <m/>
    <m/>
    <m/>
    <m/>
    <m/>
    <m/>
    <m/>
    <n v="45"/>
    <n v="90"/>
    <n v="270"/>
    <n v="135"/>
    <m/>
    <m/>
    <m/>
    <n v="0"/>
    <n v="0"/>
    <n v="0"/>
    <n v="0"/>
    <n v="0"/>
    <n v="0"/>
    <n v="0"/>
    <n v="0"/>
    <n v="0"/>
    <n v="0"/>
    <n v="0"/>
    <n v="0"/>
    <n v="0"/>
    <n v="0"/>
    <x v="2"/>
    <n v="0"/>
    <n v="0"/>
    <n v="0"/>
    <s v="MMR001CMP147"/>
    <x v="1"/>
    <x v="1"/>
    <x v="1"/>
    <n v="0"/>
    <m/>
    <m/>
  </r>
  <r>
    <n v="37.799999999999997"/>
    <d v="2013-11-24T00:00:00"/>
    <x v="1"/>
    <s v="Solidarities"/>
    <s v="Kachin"/>
    <s v="Mansi"/>
    <s v="Ban Hkung (School)"/>
    <m/>
    <m/>
    <m/>
    <m/>
    <m/>
    <m/>
    <m/>
    <m/>
    <m/>
    <m/>
    <n v="24"/>
    <n v="48"/>
    <n v="144"/>
    <n v="72"/>
    <m/>
    <m/>
    <m/>
    <n v="0"/>
    <n v="0"/>
    <n v="0"/>
    <n v="0"/>
    <n v="0"/>
    <n v="0"/>
    <n v="0"/>
    <n v="0"/>
    <n v="0"/>
    <n v="0"/>
    <n v="0"/>
    <n v="0"/>
    <n v="0"/>
    <n v="0"/>
    <x v="2"/>
    <n v="0"/>
    <n v="0"/>
    <n v="0"/>
    <s v="MMR001CMP215"/>
    <x v="0"/>
    <x v="0"/>
    <x v="0"/>
    <s v=""/>
    <m/>
    <m/>
  </r>
  <r>
    <n v="37.799999999999997"/>
    <d v="2013-11-24T00:00:00"/>
    <x v="1"/>
    <s v="Solidarities"/>
    <s v="Kachin"/>
    <s v="Mansi"/>
    <s v="Ban Hkung Yang (Boarding School)"/>
    <m/>
    <m/>
    <m/>
    <m/>
    <m/>
    <m/>
    <m/>
    <m/>
    <m/>
    <m/>
    <n v="135"/>
    <n v="270"/>
    <n v="810"/>
    <n v="405"/>
    <m/>
    <m/>
    <m/>
    <n v="0"/>
    <n v="0"/>
    <n v="0"/>
    <n v="0"/>
    <n v="0"/>
    <n v="0"/>
    <n v="0"/>
    <n v="0"/>
    <n v="0"/>
    <n v="0"/>
    <n v="0"/>
    <n v="0"/>
    <n v="0"/>
    <n v="0"/>
    <x v="2"/>
    <n v="0"/>
    <n v="0"/>
    <n v="0"/>
    <s v="MMR001CMP214"/>
    <x v="0"/>
    <x v="0"/>
    <x v="0"/>
    <s v=""/>
    <m/>
    <m/>
  </r>
  <r>
    <n v="37.833333333333336"/>
    <d v="2013-11-23T00:00:00"/>
    <x v="7"/>
    <m/>
    <s v="Kachin"/>
    <s v="Waingmaw"/>
    <s v="Border Post 8"/>
    <m/>
    <m/>
    <m/>
    <m/>
    <m/>
    <n v="358"/>
    <m/>
    <m/>
    <m/>
    <m/>
    <m/>
    <m/>
    <m/>
    <m/>
    <m/>
    <m/>
    <m/>
    <n v="0"/>
    <n v="0"/>
    <n v="0"/>
    <n v="0"/>
    <n v="0"/>
    <n v="0"/>
    <n v="0"/>
    <n v="0"/>
    <n v="0"/>
    <n v="0"/>
    <n v="0"/>
    <n v="0"/>
    <n v="0"/>
    <n v="0"/>
    <x v="0"/>
    <n v="0"/>
    <n v="0"/>
    <n v="0"/>
    <s v="MMR001CMP113"/>
    <x v="0"/>
    <x v="1"/>
    <x v="5"/>
    <n v="0"/>
    <s v="No"/>
    <m/>
  </r>
  <r>
    <n v="37.9"/>
    <d v="2013-11-21T00:00:00"/>
    <x v="0"/>
    <s v="UNHCR"/>
    <s v="Kachin"/>
    <s v="Bhamo"/>
    <s v="Aung Thar Church"/>
    <m/>
    <m/>
    <m/>
    <n v="34"/>
    <n v="18"/>
    <n v="34"/>
    <n v="18"/>
    <n v="18"/>
    <m/>
    <m/>
    <m/>
    <m/>
    <m/>
    <m/>
    <m/>
    <m/>
    <m/>
    <n v="0"/>
    <n v="0"/>
    <n v="0"/>
    <n v="0"/>
    <n v="0"/>
    <n v="0"/>
    <n v="0"/>
    <n v="0"/>
    <n v="0"/>
    <n v="0"/>
    <n v="0"/>
    <n v="0"/>
    <n v="0"/>
    <n v="0"/>
    <x v="0"/>
    <n v="0"/>
    <n v="0"/>
    <n v="0"/>
    <s v="MMR001CMP194"/>
    <x v="0"/>
    <x v="1"/>
    <x v="1"/>
    <n v="4.4131708632652562E-4"/>
    <s v="No"/>
    <m/>
  </r>
  <r>
    <n v="37.9"/>
    <d v="2013-11-21T00:00:00"/>
    <x v="0"/>
    <s v="UNHCR "/>
    <s v="Kachin"/>
    <s v="Mansi"/>
    <s v="Man Kawng Baptist Church"/>
    <m/>
    <m/>
    <m/>
    <n v="400"/>
    <n v="210"/>
    <n v="400"/>
    <n v="210"/>
    <m/>
    <m/>
    <n v="210"/>
    <m/>
    <m/>
    <m/>
    <m/>
    <m/>
    <m/>
    <m/>
    <n v="0"/>
    <n v="0"/>
    <n v="0"/>
    <n v="0"/>
    <n v="0"/>
    <n v="0"/>
    <n v="0"/>
    <n v="0"/>
    <n v="0"/>
    <n v="0"/>
    <n v="0"/>
    <n v="0"/>
    <n v="0"/>
    <n v="0"/>
    <x v="0"/>
    <n v="0"/>
    <n v="0"/>
    <n v="0"/>
    <s v="MMR001CMP212"/>
    <x v="0"/>
    <x v="0"/>
    <x v="0"/>
    <s v=""/>
    <s v="No"/>
    <m/>
  </r>
  <r>
    <n v="37.9"/>
    <d v="2013-11-21T00:00:00"/>
    <x v="0"/>
    <s v="UNHCR"/>
    <s v="Kachin"/>
    <s v="Bhamo"/>
    <s v="Phan Khar Kone"/>
    <m/>
    <m/>
    <m/>
    <n v="15"/>
    <n v="9"/>
    <n v="15"/>
    <n v="9"/>
    <n v="9"/>
    <m/>
    <m/>
    <m/>
    <m/>
    <m/>
    <m/>
    <m/>
    <m/>
    <m/>
    <n v="0"/>
    <n v="0"/>
    <n v="0"/>
    <n v="0"/>
    <n v="0"/>
    <n v="0"/>
    <n v="0"/>
    <n v="0"/>
    <n v="0"/>
    <n v="0"/>
    <n v="0"/>
    <n v="0"/>
    <n v="0"/>
    <n v="0"/>
    <x v="0"/>
    <n v="0"/>
    <n v="0"/>
    <n v="0"/>
    <s v="MMR001CMP193"/>
    <x v="0"/>
    <x v="1"/>
    <x v="1"/>
    <n v="2.1804966686856452E-4"/>
    <s v="No"/>
    <m/>
  </r>
  <r>
    <n v="37.93333333333333"/>
    <d v="2013-11-20T00:00:00"/>
    <x v="1"/>
    <s v="Solidarities"/>
    <s v="Kachin"/>
    <s v="Bhamo"/>
    <s v="Robert Church"/>
    <m/>
    <m/>
    <m/>
    <m/>
    <m/>
    <m/>
    <m/>
    <m/>
    <m/>
    <m/>
    <m/>
    <n v="19"/>
    <n v="38"/>
    <n v="19"/>
    <m/>
    <m/>
    <m/>
    <n v="0"/>
    <n v="0"/>
    <n v="0"/>
    <n v="0"/>
    <n v="0"/>
    <n v="0"/>
    <n v="0"/>
    <n v="0"/>
    <n v="0"/>
    <n v="0"/>
    <n v="0"/>
    <n v="0"/>
    <n v="0"/>
    <n v="0"/>
    <x v="2"/>
    <n v="0"/>
    <n v="0"/>
    <n v="0"/>
    <s v="MMR001CMP047"/>
    <x v="0"/>
    <x v="1"/>
    <x v="1"/>
    <n v="0"/>
    <m/>
    <m/>
  </r>
  <r>
    <n v="37.966666666666669"/>
    <d v="2013-11-19T00:00:00"/>
    <x v="0"/>
    <s v="UNHCR"/>
    <s v="Kachin"/>
    <s v="Bhamo"/>
    <s v="Host Families"/>
    <m/>
    <m/>
    <m/>
    <n v="57"/>
    <n v="33"/>
    <n v="57"/>
    <n v="33"/>
    <n v="33"/>
    <m/>
    <m/>
    <m/>
    <m/>
    <m/>
    <m/>
    <m/>
    <m/>
    <m/>
    <n v="0"/>
    <n v="0"/>
    <n v="0"/>
    <n v="0"/>
    <n v="0"/>
    <n v="0"/>
    <n v="0"/>
    <n v="0"/>
    <n v="0"/>
    <n v="0"/>
    <n v="0"/>
    <n v="0"/>
    <n v="0"/>
    <n v="0"/>
    <x v="0"/>
    <n v="0"/>
    <n v="0"/>
    <n v="0"/>
    <s v="MMR001CMP163"/>
    <x v="0"/>
    <x v="1"/>
    <x v="1"/>
    <s v=""/>
    <s v="No"/>
    <m/>
  </r>
  <r>
    <n v="37.966666666666669"/>
    <d v="2013-11-19T00:00:00"/>
    <x v="1"/>
    <s v="KBC"/>
    <s v="Kachin"/>
    <s v="Waingmaw"/>
    <s v="Maga Yang "/>
    <m/>
    <m/>
    <m/>
    <m/>
    <m/>
    <m/>
    <m/>
    <m/>
    <m/>
    <m/>
    <n v="613"/>
    <n v="1226"/>
    <n v="3678"/>
    <n v="1839"/>
    <m/>
    <m/>
    <m/>
    <n v="0"/>
    <n v="0"/>
    <n v="0"/>
    <n v="0"/>
    <n v="0"/>
    <n v="0"/>
    <n v="0"/>
    <n v="0"/>
    <n v="0"/>
    <n v="0"/>
    <n v="0"/>
    <n v="0"/>
    <n v="0"/>
    <n v="0"/>
    <x v="2"/>
    <n v="0"/>
    <n v="0"/>
    <n v="0"/>
    <s v="MMR001CMP119"/>
    <x v="0"/>
    <x v="1"/>
    <x v="6"/>
    <n v="0"/>
    <m/>
    <m/>
  </r>
  <r>
    <n v="37.966666666666669"/>
    <d v="2013-11-19T00:00:00"/>
    <x v="0"/>
    <s v="UNHCR"/>
    <s v="Kachin"/>
    <s v="Bhamo"/>
    <s v="Thu Kha Waddy"/>
    <m/>
    <m/>
    <m/>
    <n v="13"/>
    <n v="9"/>
    <n v="13"/>
    <n v="9"/>
    <n v="9"/>
    <m/>
    <m/>
    <m/>
    <m/>
    <m/>
    <m/>
    <m/>
    <m/>
    <m/>
    <n v="0"/>
    <n v="0"/>
    <n v="0"/>
    <n v="0"/>
    <n v="0"/>
    <n v="0"/>
    <n v="0"/>
    <n v="0"/>
    <n v="0"/>
    <n v="0"/>
    <n v="0"/>
    <n v="0"/>
    <n v="0"/>
    <n v="0"/>
    <x v="0"/>
    <n v="0"/>
    <n v="0"/>
    <n v="0"/>
    <s v="MMR001CMP211"/>
    <x v="0"/>
    <x v="0"/>
    <x v="0"/>
    <s v=""/>
    <s v="No"/>
    <m/>
  </r>
  <r>
    <n v="37.966666666666669"/>
    <d v="2013-11-19T00:00:00"/>
    <x v="0"/>
    <s v="UNHCR"/>
    <s v="Kachin"/>
    <s v="Bhamo"/>
    <s v="Robert Church"/>
    <m/>
    <m/>
    <n v="40"/>
    <n v="38"/>
    <n v="20"/>
    <n v="38"/>
    <n v="20"/>
    <n v="20"/>
    <m/>
    <m/>
    <m/>
    <m/>
    <m/>
    <m/>
    <m/>
    <m/>
    <m/>
    <n v="0"/>
    <n v="0"/>
    <n v="0"/>
    <n v="0"/>
    <n v="0"/>
    <n v="0"/>
    <n v="0"/>
    <n v="0"/>
    <n v="0"/>
    <n v="0"/>
    <n v="0"/>
    <n v="0"/>
    <n v="0"/>
    <n v="0"/>
    <x v="0"/>
    <n v="0"/>
    <n v="0"/>
    <n v="0"/>
    <s v="MMR001CMP047"/>
    <x v="0"/>
    <x v="1"/>
    <x v="1"/>
    <n v="4.9109883364027013E-4"/>
    <s v="No"/>
    <m/>
  </r>
  <r>
    <n v="38"/>
    <d v="2013-11-18T00:00:00"/>
    <x v="7"/>
    <m/>
    <s v="Kachin"/>
    <s v="Momauk"/>
    <s v="Loi Je Lisu Camp"/>
    <m/>
    <m/>
    <m/>
    <m/>
    <m/>
    <n v="395"/>
    <m/>
    <m/>
    <m/>
    <m/>
    <m/>
    <m/>
    <m/>
    <m/>
    <m/>
    <m/>
    <m/>
    <n v="0"/>
    <n v="0"/>
    <n v="0"/>
    <n v="0"/>
    <n v="0"/>
    <n v="0"/>
    <n v="0"/>
    <n v="0"/>
    <n v="0"/>
    <n v="0"/>
    <n v="0"/>
    <n v="0"/>
    <n v="0"/>
    <n v="0"/>
    <x v="0"/>
    <n v="0"/>
    <n v="0"/>
    <n v="0"/>
    <s v="MMR001CMP070"/>
    <x v="0"/>
    <x v="1"/>
    <x v="2"/>
    <n v="0"/>
    <s v="No"/>
    <m/>
  </r>
  <r>
    <n v="38.033333333333331"/>
    <d v="2013-11-17T00:00:00"/>
    <x v="7"/>
    <m/>
    <s v="Kachin"/>
    <s v="Momauk"/>
    <s v="Loi Je Catholic Church"/>
    <m/>
    <m/>
    <m/>
    <m/>
    <m/>
    <n v="141"/>
    <m/>
    <m/>
    <m/>
    <m/>
    <m/>
    <m/>
    <m/>
    <m/>
    <m/>
    <m/>
    <m/>
    <n v="0"/>
    <n v="0"/>
    <n v="0"/>
    <n v="0"/>
    <n v="0"/>
    <n v="0"/>
    <n v="0"/>
    <n v="0"/>
    <n v="0"/>
    <n v="0"/>
    <n v="0"/>
    <n v="0"/>
    <n v="0"/>
    <n v="0"/>
    <x v="0"/>
    <n v="0"/>
    <n v="0"/>
    <n v="0"/>
    <s v="MMR001CMP069"/>
    <x v="0"/>
    <x v="1"/>
    <x v="2"/>
    <n v="0"/>
    <s v="No"/>
    <m/>
  </r>
  <r>
    <n v="38.033333333333331"/>
    <d v="2013-11-17T00:00:00"/>
    <x v="0"/>
    <s v="UNHCR "/>
    <s v="Kachin"/>
    <s v="Mansi"/>
    <s v="Man Wing Catholic Church"/>
    <m/>
    <m/>
    <m/>
    <n v="700"/>
    <n v="350"/>
    <n v="700"/>
    <n v="350"/>
    <n v="350"/>
    <m/>
    <m/>
    <m/>
    <m/>
    <m/>
    <m/>
    <m/>
    <m/>
    <m/>
    <n v="0"/>
    <n v="0"/>
    <n v="0"/>
    <n v="0"/>
    <n v="0"/>
    <n v="0"/>
    <n v="0"/>
    <n v="0"/>
    <n v="0"/>
    <n v="0"/>
    <n v="0"/>
    <n v="0"/>
    <n v="0"/>
    <n v="0"/>
    <x v="0"/>
    <n v="0"/>
    <n v="0"/>
    <n v="0"/>
    <s v="MMR001CMP132"/>
    <x v="0"/>
    <x v="1"/>
    <x v="1"/>
    <n v="8.5683509596553072E-3"/>
    <s v="No"/>
    <m/>
  </r>
  <r>
    <n v="38.033333333333331"/>
    <d v="2013-11-17T00:00:00"/>
    <x v="7"/>
    <m/>
    <s v="Kachin"/>
    <s v="Momauk"/>
    <s v="Nyaung Na Pin "/>
    <m/>
    <m/>
    <m/>
    <m/>
    <m/>
    <n v="145"/>
    <m/>
    <m/>
    <m/>
    <m/>
    <m/>
    <m/>
    <m/>
    <m/>
    <m/>
    <m/>
    <m/>
    <n v="0"/>
    <n v="0"/>
    <n v="0"/>
    <n v="0"/>
    <n v="0"/>
    <n v="0"/>
    <n v="0"/>
    <n v="0"/>
    <n v="0"/>
    <n v="0"/>
    <n v="0"/>
    <n v="0"/>
    <n v="0"/>
    <n v="0"/>
    <x v="0"/>
    <n v="0"/>
    <n v="0"/>
    <n v="0"/>
    <s v="MMR001CMP072"/>
    <x v="0"/>
    <x v="1"/>
    <x v="2"/>
    <n v="0"/>
    <s v="No"/>
    <m/>
  </r>
  <r>
    <n v="38.06666666666667"/>
    <d v="2013-11-16T00:00:00"/>
    <x v="0"/>
    <s v="UNHCR "/>
    <s v="Kachin"/>
    <s v="Bhamo"/>
    <s v="Phan Khar Kone"/>
    <m/>
    <m/>
    <m/>
    <m/>
    <n v="11"/>
    <m/>
    <m/>
    <m/>
    <m/>
    <m/>
    <m/>
    <m/>
    <m/>
    <m/>
    <m/>
    <m/>
    <m/>
    <n v="0"/>
    <n v="0"/>
    <n v="0"/>
    <n v="0"/>
    <n v="0"/>
    <n v="0"/>
    <n v="0"/>
    <n v="0"/>
    <n v="0"/>
    <n v="0"/>
    <n v="0"/>
    <n v="0"/>
    <n v="0"/>
    <n v="0"/>
    <x v="0"/>
    <n v="0"/>
    <n v="0"/>
    <n v="0"/>
    <s v="MMR001CMP193"/>
    <x v="0"/>
    <x v="1"/>
    <x v="1"/>
    <n v="0"/>
    <s v="No"/>
    <m/>
  </r>
  <r>
    <n v="38.06666666666667"/>
    <d v="2013-11-16T00:00:00"/>
    <x v="0"/>
    <s v="UNHCR"/>
    <s v="Kachin"/>
    <s v="Bhamo"/>
    <s v="Robert Church"/>
    <m/>
    <m/>
    <m/>
    <m/>
    <n v="10"/>
    <m/>
    <m/>
    <m/>
    <m/>
    <m/>
    <m/>
    <m/>
    <m/>
    <m/>
    <m/>
    <m/>
    <m/>
    <n v="0"/>
    <n v="0"/>
    <n v="0"/>
    <n v="0"/>
    <n v="0"/>
    <n v="0"/>
    <n v="0"/>
    <n v="0"/>
    <n v="0"/>
    <n v="0"/>
    <n v="0"/>
    <n v="0"/>
    <n v="0"/>
    <n v="0"/>
    <x v="0"/>
    <n v="0"/>
    <n v="0"/>
    <n v="0"/>
    <s v="MMR001CMP047"/>
    <x v="0"/>
    <x v="1"/>
    <x v="1"/>
    <n v="0"/>
    <s v="No"/>
    <m/>
  </r>
  <r>
    <n v="38.1"/>
    <d v="2013-11-15T00:00:00"/>
    <x v="1"/>
    <s v="LDO"/>
    <s v="Kachin"/>
    <s v="Mansi"/>
    <s v="Lung Kawk  ( Hka Hkye Zup)"/>
    <m/>
    <m/>
    <m/>
    <m/>
    <m/>
    <m/>
    <m/>
    <m/>
    <m/>
    <m/>
    <n v="54"/>
    <n v="106"/>
    <n v="320"/>
    <n v="160"/>
    <m/>
    <m/>
    <m/>
    <n v="0"/>
    <n v="0"/>
    <n v="0"/>
    <n v="0"/>
    <n v="0"/>
    <n v="0"/>
    <n v="0"/>
    <n v="0"/>
    <n v="0"/>
    <n v="0"/>
    <n v="0"/>
    <n v="0"/>
    <n v="0"/>
    <n v="0"/>
    <x v="2"/>
    <n v="0"/>
    <n v="0"/>
    <n v="0"/>
    <s v="MMR001CMP135"/>
    <x v="0"/>
    <x v="0"/>
    <x v="6"/>
    <n v="0"/>
    <m/>
    <m/>
  </r>
  <r>
    <n v="38.1"/>
    <d v="2013-11-15T00:00:00"/>
    <x v="0"/>
    <s v="UNHCR "/>
    <s v="Kachin"/>
    <s v="Bhamo"/>
    <m/>
    <m/>
    <m/>
    <m/>
    <m/>
    <n v="12"/>
    <m/>
    <m/>
    <m/>
    <m/>
    <m/>
    <m/>
    <m/>
    <m/>
    <m/>
    <m/>
    <m/>
    <m/>
    <n v="0"/>
    <n v="0"/>
    <n v="0"/>
    <n v="0"/>
    <n v="0"/>
    <n v="0"/>
    <n v="0"/>
    <n v="0"/>
    <n v="0"/>
    <n v="0"/>
    <n v="0"/>
    <n v="0"/>
    <n v="0"/>
    <n v="0"/>
    <x v="0"/>
    <n v="0"/>
    <n v="0"/>
    <n v="0"/>
    <s v=""/>
    <x v="2"/>
    <x v="2"/>
    <x v="0"/>
    <s v=""/>
    <s v="No"/>
    <m/>
  </r>
  <r>
    <n v="38.1"/>
    <d v="2013-11-15T00:00:00"/>
    <x v="1"/>
    <s v="LDO"/>
    <s v="Kachin"/>
    <s v="Momauk"/>
    <s v="Nhkawng Pa "/>
    <m/>
    <m/>
    <m/>
    <m/>
    <m/>
    <m/>
    <m/>
    <m/>
    <m/>
    <m/>
    <n v="387"/>
    <n v="760"/>
    <n v="2294"/>
    <n v="1147"/>
    <m/>
    <m/>
    <m/>
    <n v="0"/>
    <n v="0"/>
    <n v="0"/>
    <n v="0"/>
    <n v="0"/>
    <n v="0"/>
    <n v="0"/>
    <n v="0"/>
    <n v="0"/>
    <n v="0"/>
    <n v="0"/>
    <n v="0"/>
    <n v="0"/>
    <n v="0"/>
    <x v="2"/>
    <n v="0"/>
    <n v="0"/>
    <n v="0"/>
    <s v="MMR001CMP131"/>
    <x v="0"/>
    <x v="1"/>
    <x v="5"/>
    <n v="0"/>
    <m/>
    <m/>
  </r>
  <r>
    <n v="38.133333333333333"/>
    <d v="2013-11-14T00:00:00"/>
    <x v="0"/>
    <s v="UNHCR "/>
    <s v="Kachin"/>
    <s v="Bhamo"/>
    <s v="Aung Thar Church"/>
    <m/>
    <m/>
    <m/>
    <n v="12"/>
    <n v="9"/>
    <n v="12"/>
    <n v="9"/>
    <n v="9"/>
    <m/>
    <m/>
    <m/>
    <m/>
    <m/>
    <m/>
    <m/>
    <m/>
    <m/>
    <n v="0"/>
    <n v="0"/>
    <n v="0"/>
    <n v="0"/>
    <n v="0"/>
    <n v="0"/>
    <n v="0"/>
    <n v="0"/>
    <n v="0"/>
    <n v="0"/>
    <n v="0"/>
    <n v="0"/>
    <n v="0"/>
    <n v="0"/>
    <x v="0"/>
    <n v="0"/>
    <n v="0"/>
    <n v="0"/>
    <s v="MMR001CMP194"/>
    <x v="0"/>
    <x v="1"/>
    <x v="1"/>
    <n v="2.2065854316326281E-4"/>
    <s v="No"/>
    <m/>
  </r>
  <r>
    <n v="38.133333333333333"/>
    <d v="2013-11-14T00:00:00"/>
    <x v="1"/>
    <s v="LDO"/>
    <s v="Kachin"/>
    <s v="Mansi"/>
    <s v="Lana Zup Ja "/>
    <m/>
    <m/>
    <m/>
    <m/>
    <m/>
    <m/>
    <m/>
    <m/>
    <m/>
    <m/>
    <n v="550"/>
    <n v="1101"/>
    <n v="3302"/>
    <n v="1651"/>
    <m/>
    <m/>
    <m/>
    <n v="0"/>
    <n v="0"/>
    <n v="0"/>
    <n v="0"/>
    <n v="0"/>
    <n v="0"/>
    <n v="0"/>
    <n v="0"/>
    <n v="0"/>
    <n v="0"/>
    <n v="0"/>
    <n v="0"/>
    <n v="0"/>
    <n v="0"/>
    <x v="2"/>
    <n v="0"/>
    <n v="0"/>
    <n v="0"/>
    <s v="MMR001CMP128"/>
    <x v="0"/>
    <x v="1"/>
    <x v="6"/>
    <n v="0"/>
    <m/>
    <m/>
  </r>
  <r>
    <n v="38.133333333333333"/>
    <d v="2013-11-14T00:00:00"/>
    <x v="7"/>
    <m/>
    <s v="Kachin"/>
    <s v="Momauk"/>
    <s v="Loi Je Baptist Church"/>
    <m/>
    <m/>
    <m/>
    <m/>
    <m/>
    <n v="75"/>
    <m/>
    <m/>
    <m/>
    <m/>
    <m/>
    <m/>
    <m/>
    <m/>
    <m/>
    <m/>
    <m/>
    <n v="0"/>
    <n v="0"/>
    <n v="0"/>
    <n v="0"/>
    <n v="0"/>
    <n v="0"/>
    <n v="0"/>
    <n v="0"/>
    <n v="0"/>
    <n v="0"/>
    <n v="0"/>
    <n v="0"/>
    <n v="0"/>
    <n v="0"/>
    <x v="0"/>
    <n v="0"/>
    <n v="0"/>
    <n v="0"/>
    <s v="MMR001CMP071"/>
    <x v="0"/>
    <x v="1"/>
    <x v="2"/>
    <n v="0"/>
    <s v="No"/>
    <m/>
  </r>
  <r>
    <n v="38.133333333333333"/>
    <d v="2013-11-14T00:00:00"/>
    <x v="7"/>
    <m/>
    <s v="Kachin"/>
    <s v="Mansi"/>
    <s v="Man Wing Baptist Church"/>
    <m/>
    <m/>
    <m/>
    <m/>
    <m/>
    <m/>
    <m/>
    <m/>
    <m/>
    <m/>
    <m/>
    <n v="32"/>
    <m/>
    <m/>
    <m/>
    <m/>
    <m/>
    <n v="0"/>
    <n v="0"/>
    <n v="0"/>
    <n v="0"/>
    <n v="0"/>
    <n v="0"/>
    <n v="0"/>
    <n v="0"/>
    <n v="0"/>
    <n v="0"/>
    <n v="0"/>
    <n v="0"/>
    <n v="0"/>
    <n v="0"/>
    <x v="2"/>
    <n v="0"/>
    <n v="0"/>
    <n v="0"/>
    <s v="MMR001CMP133"/>
    <x v="0"/>
    <x v="1"/>
    <x v="1"/>
    <n v="0"/>
    <s v="No"/>
    <m/>
  </r>
  <r>
    <n v="38.133333333333333"/>
    <d v="2013-11-14T00:00:00"/>
    <x v="1"/>
    <s v="Solidarities"/>
    <s v="Kachin"/>
    <s v="Mansi"/>
    <s v="Man Wing Catholic Church"/>
    <m/>
    <m/>
    <m/>
    <m/>
    <m/>
    <m/>
    <m/>
    <m/>
    <m/>
    <m/>
    <m/>
    <n v="176"/>
    <n v="352"/>
    <n v="176"/>
    <m/>
    <m/>
    <m/>
    <n v="0"/>
    <n v="0"/>
    <n v="0"/>
    <n v="0"/>
    <n v="0"/>
    <n v="0"/>
    <n v="0"/>
    <n v="0"/>
    <n v="0"/>
    <n v="0"/>
    <n v="0"/>
    <n v="0"/>
    <n v="0"/>
    <n v="0"/>
    <x v="2"/>
    <n v="0"/>
    <n v="0"/>
    <n v="0"/>
    <s v="MMR001CMP132"/>
    <x v="0"/>
    <x v="1"/>
    <x v="1"/>
    <n v="0"/>
    <m/>
    <m/>
  </r>
  <r>
    <n v="38.133333333333333"/>
    <d v="2013-11-14T00:00:00"/>
    <x v="0"/>
    <s v="UNHCR"/>
    <s v="Kachin"/>
    <s v="Mansi"/>
    <s v="Mansi Baptist Church"/>
    <m/>
    <m/>
    <n v="18"/>
    <n v="31"/>
    <n v="18"/>
    <n v="31"/>
    <n v="18"/>
    <n v="18"/>
    <m/>
    <m/>
    <m/>
    <m/>
    <m/>
    <m/>
    <m/>
    <m/>
    <m/>
    <n v="0"/>
    <n v="0"/>
    <n v="0"/>
    <n v="0"/>
    <n v="0"/>
    <n v="0"/>
    <n v="0"/>
    <n v="0"/>
    <n v="0"/>
    <n v="0"/>
    <n v="0"/>
    <n v="0"/>
    <n v="0"/>
    <n v="0"/>
    <x v="0"/>
    <n v="0"/>
    <n v="0"/>
    <n v="0"/>
    <s v="MMR001CMP066"/>
    <x v="0"/>
    <x v="1"/>
    <x v="1"/>
    <n v="4.3291084441665265E-4"/>
    <s v="No"/>
    <m/>
  </r>
  <r>
    <n v="38.133333333333333"/>
    <d v="2013-11-14T00:00:00"/>
    <x v="1"/>
    <s v="Solidarities"/>
    <s v="Kachin"/>
    <s v="Mansi"/>
    <s v="Lagatyan "/>
    <m/>
    <m/>
    <m/>
    <m/>
    <m/>
    <m/>
    <m/>
    <m/>
    <m/>
    <m/>
    <n v="120"/>
    <n v="207"/>
    <n v="654"/>
    <n v="327"/>
    <m/>
    <m/>
    <m/>
    <n v="0"/>
    <n v="0"/>
    <n v="0"/>
    <n v="0"/>
    <n v="0"/>
    <n v="0"/>
    <n v="0"/>
    <n v="0"/>
    <n v="0"/>
    <n v="0"/>
    <n v="0"/>
    <n v="0"/>
    <n v="0"/>
    <n v="0"/>
    <x v="2"/>
    <n v="0"/>
    <n v="0"/>
    <n v="0"/>
    <s v="MMR001CMP202"/>
    <x v="0"/>
    <x v="0"/>
    <x v="1"/>
    <n v="0"/>
    <m/>
    <m/>
  </r>
  <r>
    <n v="38.133333333333333"/>
    <d v="2013-11-14T00:00:00"/>
    <x v="7"/>
    <m/>
    <s v="Kachin"/>
    <s v="Momauk"/>
    <s v="Seng Ja "/>
    <m/>
    <m/>
    <m/>
    <m/>
    <m/>
    <n v="110"/>
    <m/>
    <m/>
    <m/>
    <m/>
    <m/>
    <m/>
    <m/>
    <m/>
    <m/>
    <m/>
    <m/>
    <n v="0"/>
    <n v="0"/>
    <n v="0"/>
    <n v="0"/>
    <n v="0"/>
    <n v="0"/>
    <n v="0"/>
    <n v="0"/>
    <n v="0"/>
    <n v="0"/>
    <n v="0"/>
    <n v="0"/>
    <n v="0"/>
    <n v="0"/>
    <x v="0"/>
    <n v="0"/>
    <n v="0"/>
    <n v="0"/>
    <s v="MMR001CMP073"/>
    <x v="0"/>
    <x v="1"/>
    <x v="2"/>
    <n v="0"/>
    <s v="No"/>
    <m/>
  </r>
  <r>
    <n v="38.166666666666664"/>
    <d v="2013-11-13T00:00:00"/>
    <x v="1"/>
    <s v="Solidarities"/>
    <s v="Kachin"/>
    <s v="Mansi"/>
    <s v="Man Wing Baptist Church"/>
    <m/>
    <m/>
    <m/>
    <m/>
    <m/>
    <m/>
    <m/>
    <m/>
    <m/>
    <m/>
    <m/>
    <n v="160"/>
    <n v="320"/>
    <n v="160"/>
    <m/>
    <m/>
    <m/>
    <n v="0"/>
    <n v="0"/>
    <n v="0"/>
    <n v="0"/>
    <n v="0"/>
    <n v="0"/>
    <n v="0"/>
    <n v="0"/>
    <n v="0"/>
    <n v="0"/>
    <n v="0"/>
    <n v="0"/>
    <n v="0"/>
    <n v="0"/>
    <x v="2"/>
    <n v="0"/>
    <n v="0"/>
    <n v="0"/>
    <s v="MMR001CMP133"/>
    <x v="0"/>
    <x v="1"/>
    <x v="1"/>
    <n v="0"/>
    <m/>
    <m/>
  </r>
  <r>
    <n v="38.166666666666664"/>
    <d v="2013-11-13T00:00:00"/>
    <x v="1"/>
    <s v="LDO"/>
    <s v="Kachin"/>
    <s v="Momauk"/>
    <s v="Pa Kahtawng "/>
    <m/>
    <m/>
    <m/>
    <m/>
    <m/>
    <m/>
    <m/>
    <m/>
    <m/>
    <m/>
    <n v="514"/>
    <n v="1016"/>
    <n v="3060"/>
    <n v="1530"/>
    <m/>
    <m/>
    <m/>
    <n v="0"/>
    <n v="0"/>
    <n v="0"/>
    <n v="0"/>
    <n v="0"/>
    <n v="0"/>
    <n v="0"/>
    <n v="0"/>
    <n v="0"/>
    <n v="0"/>
    <n v="0"/>
    <n v="0"/>
    <n v="0"/>
    <n v="0"/>
    <x v="2"/>
    <n v="0"/>
    <n v="0"/>
    <n v="0"/>
    <s v="MMR001CMP126"/>
    <x v="0"/>
    <x v="1"/>
    <x v="6"/>
    <n v="0"/>
    <m/>
    <m/>
  </r>
  <r>
    <n v="38.233333333333334"/>
    <d v="2013-11-11T00:00:00"/>
    <x v="0"/>
    <s v="UNHCR "/>
    <s v="Kachin"/>
    <s v="Momauk"/>
    <s v="Nhkawng Pa "/>
    <m/>
    <m/>
    <n v="36"/>
    <n v="200"/>
    <n v="100"/>
    <m/>
    <n v="100"/>
    <n v="100"/>
    <m/>
    <m/>
    <m/>
    <m/>
    <m/>
    <m/>
    <m/>
    <m/>
    <m/>
    <n v="0"/>
    <n v="0"/>
    <n v="0"/>
    <n v="0"/>
    <n v="0"/>
    <n v="0"/>
    <n v="0"/>
    <n v="0"/>
    <n v="0"/>
    <n v="0"/>
    <n v="0"/>
    <n v="0"/>
    <n v="0"/>
    <n v="0"/>
    <x v="0"/>
    <n v="0"/>
    <n v="0"/>
    <n v="0"/>
    <s v="MMR001CMP131"/>
    <x v="0"/>
    <x v="1"/>
    <x v="5"/>
    <n v="2.4390243902439024E-3"/>
    <s v="No"/>
    <m/>
  </r>
  <r>
    <n v="38.366666666666667"/>
    <d v="2013-11-07T00:00:00"/>
    <x v="1"/>
    <s v="Solidarities"/>
    <s v="Kachin"/>
    <s v="Bhamo"/>
    <s v="Aung Thar Church"/>
    <m/>
    <m/>
    <m/>
    <m/>
    <m/>
    <m/>
    <m/>
    <m/>
    <m/>
    <m/>
    <n v="25"/>
    <n v="73"/>
    <n v="196"/>
    <n v="98"/>
    <m/>
    <m/>
    <m/>
    <n v="0"/>
    <n v="0"/>
    <n v="0"/>
    <n v="0"/>
    <n v="0"/>
    <n v="0"/>
    <n v="0"/>
    <n v="0"/>
    <n v="0"/>
    <n v="0"/>
    <n v="0"/>
    <n v="0"/>
    <n v="0"/>
    <n v="0"/>
    <x v="2"/>
    <n v="0"/>
    <n v="0"/>
    <n v="0"/>
    <s v="MMR001CMP194"/>
    <x v="0"/>
    <x v="0"/>
    <x v="1"/>
    <n v="0"/>
    <m/>
    <m/>
  </r>
  <r>
    <n v="38.366666666666667"/>
    <d v="2013-11-07T00:00:00"/>
    <x v="0"/>
    <s v="UNHCR"/>
    <s v="Kachin"/>
    <s v="Hpakant"/>
    <s v="Baptist Church, Naung Hmee VT"/>
    <m/>
    <m/>
    <n v="13"/>
    <n v="32"/>
    <n v="15"/>
    <n v="32"/>
    <n v="15"/>
    <m/>
    <n v="15"/>
    <n v="32"/>
    <m/>
    <m/>
    <m/>
    <m/>
    <m/>
    <m/>
    <m/>
    <n v="0"/>
    <n v="0"/>
    <n v="0"/>
    <n v="0"/>
    <n v="0"/>
    <n v="0"/>
    <n v="0"/>
    <n v="0"/>
    <n v="0"/>
    <n v="0"/>
    <n v="0"/>
    <n v="0"/>
    <n v="0"/>
    <n v="0"/>
    <x v="0"/>
    <n v="0"/>
    <n v="0"/>
    <n v="0"/>
    <s v="MMR001CMP188"/>
    <x v="0"/>
    <x v="0"/>
    <x v="1"/>
    <s v=""/>
    <s v="No"/>
    <m/>
  </r>
  <r>
    <n v="38.366666666666667"/>
    <d v="2013-11-07T00:00:00"/>
    <x v="1"/>
    <s v="Solidarities"/>
    <s v="Kachin"/>
    <s v="Bhamo"/>
    <s v="Phan Khar Kone"/>
    <m/>
    <m/>
    <m/>
    <m/>
    <m/>
    <m/>
    <m/>
    <m/>
    <m/>
    <m/>
    <n v="23"/>
    <n v="41"/>
    <n v="128"/>
    <n v="64"/>
    <m/>
    <m/>
    <m/>
    <n v="0"/>
    <n v="0"/>
    <n v="0"/>
    <n v="0"/>
    <n v="0"/>
    <n v="0"/>
    <n v="0"/>
    <n v="0"/>
    <n v="0"/>
    <n v="0"/>
    <n v="0"/>
    <n v="0"/>
    <n v="0"/>
    <n v="0"/>
    <x v="2"/>
    <n v="0"/>
    <n v="0"/>
    <n v="0"/>
    <s v="MMR001CMP193"/>
    <x v="0"/>
    <x v="1"/>
    <x v="1"/>
    <n v="0"/>
    <m/>
    <m/>
  </r>
  <r>
    <n v="38.366666666666667"/>
    <d v="2013-11-07T00:00:00"/>
    <x v="0"/>
    <s v="UNHCR"/>
    <s v="Kachin"/>
    <s v="Bhamo"/>
    <s v="Phan Khar Kone"/>
    <m/>
    <m/>
    <n v="58"/>
    <n v="46"/>
    <n v="29"/>
    <n v="46"/>
    <n v="29"/>
    <n v="29"/>
    <m/>
    <m/>
    <m/>
    <m/>
    <m/>
    <m/>
    <m/>
    <m/>
    <m/>
    <n v="0"/>
    <n v="0"/>
    <n v="0"/>
    <n v="0"/>
    <n v="0"/>
    <n v="0"/>
    <n v="0"/>
    <n v="0"/>
    <n v="0"/>
    <n v="0"/>
    <n v="0"/>
    <n v="0"/>
    <n v="0"/>
    <n v="0"/>
    <x v="0"/>
    <n v="0"/>
    <n v="0"/>
    <n v="0"/>
    <s v="MMR001CMP193"/>
    <x v="0"/>
    <x v="1"/>
    <x v="1"/>
    <n v="7.0260448213204122E-4"/>
    <s v="No"/>
    <m/>
  </r>
  <r>
    <n v="38.366666666666667"/>
    <d v="2013-11-07T00:00:00"/>
    <x v="1"/>
    <s v="Solidarities"/>
    <s v="Kachin"/>
    <s v="Bhamo"/>
    <s v="Ta Gun Taing Monastery (Shwe Kyi Na)"/>
    <m/>
    <m/>
    <m/>
    <m/>
    <m/>
    <m/>
    <m/>
    <m/>
    <m/>
    <m/>
    <n v="64"/>
    <n v="118"/>
    <n v="364"/>
    <n v="182"/>
    <m/>
    <m/>
    <m/>
    <n v="0"/>
    <n v="0"/>
    <n v="0"/>
    <n v="0"/>
    <n v="0"/>
    <n v="0"/>
    <n v="0"/>
    <n v="0"/>
    <n v="0"/>
    <n v="0"/>
    <n v="0"/>
    <n v="0"/>
    <n v="0"/>
    <n v="0"/>
    <x v="2"/>
    <n v="0"/>
    <n v="0"/>
    <n v="0"/>
    <s v="MMR001CMP055"/>
    <x v="0"/>
    <x v="1"/>
    <x v="1"/>
    <n v="0"/>
    <m/>
    <m/>
  </r>
  <r>
    <n v="38.43333333333333"/>
    <d v="2013-11-05T00:00:00"/>
    <x v="0"/>
    <s v="UNHCR"/>
    <s v="Kachin"/>
    <s v="Mansi"/>
    <s v="Mansi Baptist Church"/>
    <m/>
    <m/>
    <n v="60"/>
    <n v="54"/>
    <n v="30"/>
    <n v="54"/>
    <n v="30"/>
    <n v="30"/>
    <m/>
    <m/>
    <m/>
    <m/>
    <m/>
    <m/>
    <m/>
    <m/>
    <m/>
    <n v="0"/>
    <n v="0"/>
    <n v="0"/>
    <n v="0"/>
    <n v="0"/>
    <n v="0"/>
    <n v="0"/>
    <n v="0"/>
    <n v="0"/>
    <n v="0"/>
    <n v="0"/>
    <n v="0"/>
    <n v="0"/>
    <n v="0"/>
    <x v="0"/>
    <n v="0"/>
    <n v="0"/>
    <n v="0"/>
    <s v="MMR001CMP066"/>
    <x v="0"/>
    <x v="1"/>
    <x v="1"/>
    <n v="7.215180740277544E-4"/>
    <s v="No"/>
    <m/>
  </r>
  <r>
    <n v="38.5"/>
    <d v="2013-11-03T00:00:00"/>
    <x v="11"/>
    <s v="MRCS"/>
    <s v="Kachin"/>
    <s v="Bhamo"/>
    <s v="AD-2000 Tharthana Compound"/>
    <m/>
    <m/>
    <n v="21"/>
    <m/>
    <m/>
    <m/>
    <n v="21"/>
    <m/>
    <m/>
    <m/>
    <m/>
    <m/>
    <m/>
    <m/>
    <m/>
    <m/>
    <m/>
    <n v="0"/>
    <n v="0"/>
    <n v="0"/>
    <n v="0"/>
    <n v="0"/>
    <n v="0"/>
    <n v="0"/>
    <n v="0"/>
    <n v="0"/>
    <n v="0"/>
    <n v="0"/>
    <n v="0"/>
    <n v="0"/>
    <n v="0"/>
    <x v="0"/>
    <n v="0"/>
    <n v="0"/>
    <n v="0"/>
    <s v="MMR001CMP050"/>
    <x v="0"/>
    <x v="1"/>
    <x v="1"/>
    <n v="5.1410105757931847E-4"/>
    <s v="No"/>
    <m/>
  </r>
  <r>
    <n v="38.5"/>
    <d v="2013-11-03T00:00:00"/>
    <x v="0"/>
    <s v="UNHCR "/>
    <s v="Kachin"/>
    <s v="Mansi"/>
    <s v="Bum Tsit Pa "/>
    <m/>
    <m/>
    <n v="130"/>
    <n v="130"/>
    <n v="65"/>
    <n v="65"/>
    <n v="65"/>
    <n v="65"/>
    <m/>
    <m/>
    <m/>
    <m/>
    <m/>
    <m/>
    <m/>
    <m/>
    <m/>
    <n v="0"/>
    <n v="0"/>
    <n v="0"/>
    <n v="0"/>
    <n v="0"/>
    <n v="0"/>
    <n v="0"/>
    <n v="0"/>
    <n v="0"/>
    <n v="0"/>
    <n v="0"/>
    <n v="0"/>
    <n v="0"/>
    <n v="0"/>
    <x v="0"/>
    <n v="0"/>
    <n v="0"/>
    <n v="0"/>
    <s v="MMR001CMP129"/>
    <x v="0"/>
    <x v="1"/>
    <x v="6"/>
    <n v="1.5924737241835509E-3"/>
    <s v="No"/>
    <m/>
  </r>
  <r>
    <n v="38.5"/>
    <d v="2013-11-03T00:00:00"/>
    <x v="11"/>
    <s v="MRCS"/>
    <s v="Kachin"/>
    <s v="Bhamo"/>
    <s v="Htoi San Church"/>
    <m/>
    <m/>
    <n v="41"/>
    <m/>
    <m/>
    <m/>
    <n v="41"/>
    <m/>
    <m/>
    <m/>
    <m/>
    <m/>
    <m/>
    <m/>
    <m/>
    <m/>
    <m/>
    <n v="0"/>
    <n v="0"/>
    <n v="0"/>
    <n v="0"/>
    <n v="0"/>
    <n v="0"/>
    <n v="0"/>
    <n v="0"/>
    <n v="0"/>
    <n v="0"/>
    <n v="0"/>
    <n v="0"/>
    <n v="0"/>
    <n v="0"/>
    <x v="0"/>
    <n v="0"/>
    <n v="0"/>
    <n v="0"/>
    <s v="MMR001CMP052"/>
    <x v="0"/>
    <x v="1"/>
    <x v="1"/>
    <n v="1.0029844904349528E-3"/>
    <s v="No"/>
    <m/>
  </r>
  <r>
    <n v="38.5"/>
    <d v="2013-11-03T00:00:00"/>
    <x v="0"/>
    <s v="UNHCR "/>
    <s v="Kachin"/>
    <s v="Mansi"/>
    <s v="Lana Zup Ja "/>
    <m/>
    <m/>
    <n v="592"/>
    <n v="592"/>
    <n v="296"/>
    <n v="296"/>
    <n v="296"/>
    <n v="296"/>
    <m/>
    <m/>
    <m/>
    <m/>
    <m/>
    <m/>
    <m/>
    <m/>
    <m/>
    <n v="0"/>
    <n v="0"/>
    <n v="0"/>
    <n v="0"/>
    <n v="0"/>
    <n v="0"/>
    <n v="0"/>
    <n v="0"/>
    <n v="0"/>
    <n v="0"/>
    <n v="0"/>
    <n v="0"/>
    <n v="0"/>
    <n v="0"/>
    <x v="0"/>
    <n v="0"/>
    <n v="0"/>
    <n v="0"/>
    <s v="MMR001CMP128"/>
    <x v="0"/>
    <x v="1"/>
    <x v="6"/>
    <n v="7.2518803439743243E-3"/>
    <s v="No"/>
    <m/>
  </r>
  <r>
    <n v="38.5"/>
    <d v="2013-11-03T00:00:00"/>
    <x v="0"/>
    <s v="UNHCR "/>
    <s v="Kachin"/>
    <s v="Momauk"/>
    <s v="Loi Je Lisu Camp"/>
    <m/>
    <m/>
    <n v="24"/>
    <n v="24"/>
    <n v="12"/>
    <n v="12"/>
    <n v="12"/>
    <n v="12"/>
    <m/>
    <m/>
    <m/>
    <m/>
    <m/>
    <m/>
    <m/>
    <m/>
    <m/>
    <n v="0"/>
    <n v="0"/>
    <n v="0"/>
    <n v="0"/>
    <n v="0"/>
    <n v="0"/>
    <n v="0"/>
    <n v="0"/>
    <n v="0"/>
    <n v="0"/>
    <n v="0"/>
    <n v="0"/>
    <n v="0"/>
    <n v="0"/>
    <x v="0"/>
    <n v="0"/>
    <n v="0"/>
    <n v="0"/>
    <s v="MMR001CMP070"/>
    <x v="0"/>
    <x v="1"/>
    <x v="2"/>
    <n v="2.9268292682926828E-4"/>
    <s v="No"/>
    <m/>
  </r>
  <r>
    <n v="38.5"/>
    <d v="2013-11-03T00:00:00"/>
    <x v="11"/>
    <s v="MRCS"/>
    <s v="Kachin"/>
    <s v="Mansi"/>
    <s v="Mansi Baptist Church"/>
    <m/>
    <m/>
    <n v="29"/>
    <m/>
    <m/>
    <m/>
    <n v="29"/>
    <m/>
    <m/>
    <m/>
    <m/>
    <m/>
    <m/>
    <m/>
    <m/>
    <m/>
    <m/>
    <n v="0"/>
    <n v="0"/>
    <n v="0"/>
    <n v="0"/>
    <n v="0"/>
    <n v="0"/>
    <n v="0"/>
    <n v="0"/>
    <n v="0"/>
    <n v="0"/>
    <n v="0"/>
    <n v="0"/>
    <n v="0"/>
    <n v="0"/>
    <x v="0"/>
    <n v="0"/>
    <n v="0"/>
    <n v="0"/>
    <s v="MMR001CMP066"/>
    <x v="0"/>
    <x v="1"/>
    <x v="1"/>
    <n v="6.9746747156016256E-4"/>
    <s v="No"/>
    <m/>
  </r>
  <r>
    <n v="38.5"/>
    <d v="2013-11-03T00:00:00"/>
    <x v="11"/>
    <s v="MRCS"/>
    <s v="Kachin"/>
    <s v="Bhamo"/>
    <s v="Phan Khar Kone"/>
    <m/>
    <m/>
    <n v="49"/>
    <m/>
    <m/>
    <m/>
    <n v="49"/>
    <m/>
    <m/>
    <m/>
    <m/>
    <m/>
    <m/>
    <m/>
    <m/>
    <m/>
    <m/>
    <n v="0"/>
    <n v="0"/>
    <n v="0"/>
    <n v="0"/>
    <n v="0"/>
    <n v="0"/>
    <n v="0"/>
    <n v="0"/>
    <n v="0"/>
    <n v="0"/>
    <n v="0"/>
    <n v="0"/>
    <n v="0"/>
    <n v="0"/>
    <x v="0"/>
    <n v="0"/>
    <n v="0"/>
    <n v="0"/>
    <s v="MMR001CMP193"/>
    <x v="0"/>
    <x v="1"/>
    <x v="1"/>
    <n v="1.1871592973955178E-3"/>
    <s v="No"/>
    <m/>
  </r>
  <r>
    <n v="38.56666666666667"/>
    <d v="2013-11-01T00:00:00"/>
    <x v="0"/>
    <s v="UNHCR"/>
    <s v="Kachin"/>
    <s v="Bhamo"/>
    <s v="Aung Thar Church"/>
    <m/>
    <m/>
    <n v="8"/>
    <n v="6"/>
    <n v="4"/>
    <n v="6"/>
    <n v="4"/>
    <n v="4"/>
    <m/>
    <m/>
    <m/>
    <m/>
    <m/>
    <m/>
    <m/>
    <m/>
    <m/>
    <n v="0"/>
    <n v="0"/>
    <n v="0"/>
    <n v="0"/>
    <n v="0"/>
    <n v="0"/>
    <n v="0"/>
    <n v="0"/>
    <n v="0"/>
    <n v="0"/>
    <n v="0"/>
    <n v="0"/>
    <n v="0"/>
    <n v="0"/>
    <x v="0"/>
    <n v="0"/>
    <n v="0"/>
    <n v="0"/>
    <s v="MMR001CMP194"/>
    <x v="0"/>
    <x v="1"/>
    <x v="1"/>
    <n v="9.8070463628116802E-5"/>
    <s v="No"/>
    <m/>
  </r>
  <r>
    <n v="38.56666666666667"/>
    <d v="2013-11-01T00:00:00"/>
    <x v="0"/>
    <s v="UNHCR"/>
    <s v="Kachin"/>
    <s v="Bhamo"/>
    <s v="Htoi San Church"/>
    <m/>
    <m/>
    <n v="12"/>
    <n v="9"/>
    <n v="6"/>
    <n v="9"/>
    <n v="6"/>
    <n v="6"/>
    <n v="6"/>
    <m/>
    <m/>
    <m/>
    <m/>
    <m/>
    <m/>
    <m/>
    <m/>
    <n v="0"/>
    <n v="0"/>
    <n v="0"/>
    <n v="0"/>
    <n v="0"/>
    <n v="0"/>
    <n v="0"/>
    <n v="0"/>
    <n v="0"/>
    <n v="0"/>
    <n v="0"/>
    <n v="0"/>
    <n v="0"/>
    <n v="0"/>
    <x v="0"/>
    <n v="0"/>
    <n v="0"/>
    <n v="0"/>
    <s v="MMR001CMP052"/>
    <x v="0"/>
    <x v="1"/>
    <x v="1"/>
    <n v="1.4677821811243211E-4"/>
    <s v="No"/>
    <m/>
  </r>
  <r>
    <n v="38.56666666666667"/>
    <d v="2013-11-01T00:00:00"/>
    <x v="0"/>
    <s v="UNHCR"/>
    <s v="Kachin"/>
    <s v="Bhamo"/>
    <s v="Robert Church"/>
    <m/>
    <m/>
    <n v="40"/>
    <n v="48"/>
    <n v="20"/>
    <n v="48"/>
    <n v="20"/>
    <n v="20"/>
    <n v="500"/>
    <n v="500"/>
    <m/>
    <m/>
    <m/>
    <m/>
    <m/>
    <m/>
    <m/>
    <n v="0"/>
    <n v="0"/>
    <n v="0"/>
    <n v="0"/>
    <n v="0"/>
    <n v="0"/>
    <n v="0"/>
    <n v="0"/>
    <n v="0"/>
    <n v="0"/>
    <n v="0"/>
    <n v="0"/>
    <n v="0"/>
    <n v="0"/>
    <x v="0"/>
    <n v="0"/>
    <n v="0"/>
    <n v="0"/>
    <s v="MMR001CMP047"/>
    <x v="0"/>
    <x v="1"/>
    <x v="1"/>
    <n v="4.9109883364027013E-4"/>
    <s v="No"/>
    <m/>
  </r>
  <r>
    <n v="38.633333333333333"/>
    <d v="2013-10-30T00:00:00"/>
    <x v="0"/>
    <s v="UNHCR"/>
    <s v="Kachin"/>
    <s v="Bhamo"/>
    <s v="AD-2000 Tharthana Compound"/>
    <m/>
    <m/>
    <n v="22"/>
    <n v="40"/>
    <n v="21"/>
    <n v="40"/>
    <n v="21"/>
    <n v="21"/>
    <n v="21"/>
    <n v="21"/>
    <m/>
    <m/>
    <m/>
    <m/>
    <m/>
    <m/>
    <m/>
    <n v="0"/>
    <n v="0"/>
    <n v="0"/>
    <n v="0"/>
    <n v="0"/>
    <n v="0"/>
    <n v="0"/>
    <n v="0"/>
    <n v="0"/>
    <n v="0"/>
    <n v="0"/>
    <n v="0"/>
    <n v="0"/>
    <n v="0"/>
    <x v="0"/>
    <n v="0"/>
    <n v="0"/>
    <n v="0"/>
    <s v="MMR001CMP050"/>
    <x v="0"/>
    <x v="1"/>
    <x v="1"/>
    <n v="5.1410105757931847E-4"/>
    <s v="No"/>
    <m/>
  </r>
  <r>
    <n v="38.633333333333333"/>
    <d v="2013-10-30T00:00:00"/>
    <x v="0"/>
    <s v="UNHCR"/>
    <s v="Kachin"/>
    <s v="Bhamo"/>
    <s v="Htoi San Church"/>
    <m/>
    <m/>
    <n v="72"/>
    <n v="61"/>
    <n v="36"/>
    <n v="61"/>
    <n v="36"/>
    <n v="36"/>
    <n v="36"/>
    <n v="36"/>
    <m/>
    <m/>
    <m/>
    <m/>
    <m/>
    <m/>
    <m/>
    <n v="0"/>
    <n v="0"/>
    <n v="0"/>
    <n v="0"/>
    <n v="0"/>
    <n v="0"/>
    <n v="0"/>
    <n v="0"/>
    <n v="0"/>
    <n v="0"/>
    <n v="0"/>
    <n v="0"/>
    <n v="0"/>
    <n v="0"/>
    <x v="0"/>
    <n v="0"/>
    <n v="0"/>
    <n v="0"/>
    <s v="MMR001CMP052"/>
    <x v="0"/>
    <x v="1"/>
    <x v="1"/>
    <n v="8.8066930867459266E-4"/>
    <s v="No"/>
    <m/>
  </r>
  <r>
    <n v="38.633333333333333"/>
    <d v="2013-10-30T00:00:00"/>
    <x v="0"/>
    <s v="UNHCR"/>
    <s v="Kachin"/>
    <s v="Bhamo"/>
    <s v="Phan Khar Kone"/>
    <m/>
    <m/>
    <n v="81"/>
    <n v="94"/>
    <n v="50"/>
    <n v="94"/>
    <n v="50"/>
    <n v="50"/>
    <n v="50"/>
    <n v="50"/>
    <m/>
    <m/>
    <m/>
    <m/>
    <m/>
    <m/>
    <m/>
    <n v="0"/>
    <n v="0"/>
    <n v="0"/>
    <n v="0"/>
    <n v="0"/>
    <n v="0"/>
    <n v="0"/>
    <n v="0"/>
    <n v="0"/>
    <n v="0"/>
    <n v="0"/>
    <n v="0"/>
    <n v="0"/>
    <n v="0"/>
    <x v="0"/>
    <n v="0"/>
    <n v="0"/>
    <n v="0"/>
    <s v="MMR001CMP193"/>
    <x v="0"/>
    <x v="1"/>
    <x v="1"/>
    <n v="1.2113870381586917E-3"/>
    <s v="No"/>
    <m/>
  </r>
  <r>
    <n v="39.766666666666666"/>
    <d v="2013-09-26T00:00:00"/>
    <x v="0"/>
    <s v="UNHCR"/>
    <s v="Kachin"/>
    <s v="Momauk"/>
    <s v="Hpun Lum Yang "/>
    <m/>
    <m/>
    <n v="882"/>
    <n v="882"/>
    <n v="441"/>
    <n v="882"/>
    <n v="441"/>
    <m/>
    <n v="441"/>
    <n v="882"/>
    <m/>
    <m/>
    <m/>
    <m/>
    <m/>
    <m/>
    <m/>
    <n v="0"/>
    <n v="0"/>
    <n v="0"/>
    <n v="0"/>
    <n v="0"/>
    <n v="0"/>
    <n v="0"/>
    <n v="0"/>
    <n v="0"/>
    <n v="0"/>
    <n v="0"/>
    <n v="0"/>
    <n v="0"/>
    <n v="0"/>
    <x v="0"/>
    <n v="0"/>
    <n v="0"/>
    <n v="0"/>
    <s v="MMR001CMP122"/>
    <x v="0"/>
    <x v="1"/>
    <x v="6"/>
    <n v="1.0836712126796905E-2"/>
    <s v="No"/>
    <m/>
  </r>
  <r>
    <n v="39.766666666666666"/>
    <d v="2013-09-26T00:00:00"/>
    <x v="0"/>
    <s v="UNHCR"/>
    <s v="Kachin"/>
    <s v="Momauk"/>
    <s v="Je Yang Hka "/>
    <m/>
    <m/>
    <n v="1628"/>
    <n v="3256"/>
    <n v="1628"/>
    <n v="3256"/>
    <n v="1628"/>
    <m/>
    <n v="1628"/>
    <n v="3256"/>
    <m/>
    <m/>
    <m/>
    <m/>
    <m/>
    <m/>
    <m/>
    <n v="0"/>
    <n v="0"/>
    <n v="0"/>
    <n v="0"/>
    <n v="0"/>
    <n v="0"/>
    <n v="0"/>
    <n v="0"/>
    <n v="0"/>
    <n v="0"/>
    <n v="0"/>
    <n v="0"/>
    <n v="0"/>
    <n v="0"/>
    <x v="0"/>
    <n v="0"/>
    <n v="0"/>
    <n v="0"/>
    <s v="MMR001CMP121"/>
    <x v="0"/>
    <x v="1"/>
    <x v="6"/>
    <n v="3.9648328097221207E-2"/>
    <s v="No"/>
    <m/>
  </r>
  <r>
    <n v="39.766666666666666"/>
    <d v="2013-09-26T00:00:00"/>
    <x v="0"/>
    <s v="UNHCR"/>
    <s v="Kachin"/>
    <s v="Waingmaw"/>
    <s v="Laiza Market 3 - Laiza Gat"/>
    <m/>
    <m/>
    <n v="437"/>
    <n v="874"/>
    <n v="437"/>
    <n v="874"/>
    <n v="437"/>
    <n v="54"/>
    <n v="383"/>
    <n v="766"/>
    <m/>
    <m/>
    <m/>
    <m/>
    <m/>
    <m/>
    <m/>
    <n v="0"/>
    <n v="0"/>
    <n v="0"/>
    <n v="0"/>
    <n v="0"/>
    <n v="0"/>
    <n v="0"/>
    <n v="0"/>
    <n v="0"/>
    <n v="0"/>
    <n v="0"/>
    <n v="0"/>
    <n v="0"/>
    <n v="0"/>
    <x v="0"/>
    <n v="0"/>
    <n v="0"/>
    <n v="0"/>
    <s v="MMR001CMP117"/>
    <x v="0"/>
    <x v="0"/>
    <x v="6"/>
    <n v="1.0738419953311217E-2"/>
    <s v="No"/>
    <m/>
  </r>
  <r>
    <n v="40.033333333333331"/>
    <d v="2013-09-18T00:00:00"/>
    <x v="0"/>
    <s v="UNHCR"/>
    <s v="Kachin"/>
    <s v="Waingmaw"/>
    <s v="Woi Chyai "/>
    <m/>
    <m/>
    <n v="1520"/>
    <n v="1520"/>
    <n v="760"/>
    <n v="1520"/>
    <n v="760"/>
    <n v="760"/>
    <m/>
    <m/>
    <m/>
    <m/>
    <m/>
    <m/>
    <m/>
    <m/>
    <m/>
    <n v="0"/>
    <n v="0"/>
    <n v="0"/>
    <n v="0"/>
    <n v="0"/>
    <n v="0"/>
    <n v="0"/>
    <n v="0"/>
    <n v="0"/>
    <n v="0"/>
    <n v="0"/>
    <n v="0"/>
    <n v="0"/>
    <n v="0"/>
    <x v="0"/>
    <n v="0"/>
    <n v="0"/>
    <n v="0"/>
    <s v="MMR001CMP116"/>
    <x v="0"/>
    <x v="1"/>
    <x v="1"/>
    <n v="1.8675512962280379E-2"/>
    <s v="No"/>
    <m/>
  </r>
  <r>
    <n v="40.233333333333334"/>
    <d v="2013-09-12T00:00:00"/>
    <x v="0"/>
    <s v="UNHCR"/>
    <s v="Kachin"/>
    <s v="Momauk"/>
    <s v="Nhkawng Pa "/>
    <m/>
    <m/>
    <n v="640"/>
    <n v="640"/>
    <n v="320"/>
    <n v="320"/>
    <n v="320"/>
    <n v="320"/>
    <n v="640"/>
    <n v="320"/>
    <m/>
    <m/>
    <m/>
    <m/>
    <m/>
    <m/>
    <m/>
    <n v="0"/>
    <n v="0"/>
    <n v="0"/>
    <n v="0"/>
    <n v="0"/>
    <n v="0"/>
    <n v="0"/>
    <n v="0"/>
    <n v="0"/>
    <n v="0"/>
    <n v="0"/>
    <n v="0"/>
    <n v="0"/>
    <n v="0"/>
    <x v="0"/>
    <n v="0"/>
    <n v="0"/>
    <n v="0"/>
    <s v="MMR001CMP131"/>
    <x v="0"/>
    <x v="1"/>
    <x v="5"/>
    <n v="7.8048780487804878E-3"/>
    <s v="No"/>
    <m/>
  </r>
  <r>
    <n v="41.233333333333334"/>
    <d v="2013-08-13T00:00:00"/>
    <x v="0"/>
    <s v="KMSS"/>
    <s v="Shan_North"/>
    <s v="Manton"/>
    <s v="Host Families"/>
    <m/>
    <m/>
    <n v="49"/>
    <n v="90"/>
    <n v="30"/>
    <n v="90"/>
    <n v="30"/>
    <n v="30"/>
    <n v="30"/>
    <n v="30"/>
    <m/>
    <m/>
    <m/>
    <m/>
    <m/>
    <m/>
    <m/>
    <n v="0"/>
    <n v="0"/>
    <n v="0"/>
    <n v="0"/>
    <n v="0"/>
    <n v="0"/>
    <n v="0"/>
    <n v="0"/>
    <n v="0"/>
    <n v="0"/>
    <n v="0"/>
    <n v="0"/>
    <n v="0"/>
    <n v="0"/>
    <x v="0"/>
    <n v="0"/>
    <n v="0"/>
    <n v="0"/>
    <s v="MMR001CMP163"/>
    <x v="0"/>
    <x v="1"/>
    <x v="1"/>
    <s v=""/>
    <s v="No"/>
    <m/>
  </r>
  <r>
    <n v="41.233333333333334"/>
    <d v="2013-08-13T00:00:00"/>
    <x v="0"/>
    <s v="KBC"/>
    <s v="Shan_North"/>
    <s v="Kutkai"/>
    <s v="Kone Khem Camp"/>
    <m/>
    <m/>
    <n v="70"/>
    <n v="120"/>
    <n v="48"/>
    <n v="120"/>
    <n v="48"/>
    <n v="48"/>
    <n v="48"/>
    <n v="48"/>
    <m/>
    <m/>
    <m/>
    <m/>
    <m/>
    <m/>
    <m/>
    <n v="0"/>
    <n v="0"/>
    <n v="0"/>
    <n v="0"/>
    <n v="0"/>
    <n v="0"/>
    <n v="0"/>
    <n v="0"/>
    <n v="0"/>
    <n v="0"/>
    <n v="0"/>
    <n v="0"/>
    <n v="0"/>
    <n v="0"/>
    <x v="0"/>
    <n v="0"/>
    <n v="0"/>
    <n v="0"/>
    <s v="MMR015CMP015"/>
    <x v="0"/>
    <x v="1"/>
    <x v="2"/>
    <n v="1.162931556632344E-3"/>
    <s v="No"/>
    <m/>
  </r>
  <r>
    <n v="41.233333333333334"/>
    <d v="2013-08-13T00:00:00"/>
    <x v="0"/>
    <s v="KMSS"/>
    <s v="Shan_North"/>
    <s v="Kutkai"/>
    <s v="Kutkai downtown (RC Church)"/>
    <m/>
    <m/>
    <n v="47"/>
    <n v="103"/>
    <n v="41"/>
    <n v="103"/>
    <n v="41"/>
    <n v="41"/>
    <n v="41"/>
    <n v="41"/>
    <m/>
    <m/>
    <m/>
    <m/>
    <m/>
    <m/>
    <m/>
    <n v="0"/>
    <n v="0"/>
    <n v="0"/>
    <n v="0"/>
    <n v="0"/>
    <n v="0"/>
    <n v="0"/>
    <n v="0"/>
    <n v="0"/>
    <n v="0"/>
    <n v="0"/>
    <n v="0"/>
    <n v="0"/>
    <n v="0"/>
    <x v="0"/>
    <n v="0"/>
    <n v="0"/>
    <n v="0"/>
    <s v="MMR015CMP017"/>
    <x v="0"/>
    <x v="1"/>
    <x v="2"/>
    <n v="9.9408398797400837E-4"/>
    <s v="No"/>
    <m/>
  </r>
  <r>
    <n v="41.233333333333334"/>
    <d v="2013-08-13T00:00:00"/>
    <x v="0"/>
    <s v="KBC"/>
    <s v="Shan_North"/>
    <s v="Manton"/>
    <s v="Mandung - Jinghpaw"/>
    <m/>
    <m/>
    <n v="36"/>
    <n v="84"/>
    <n v="42"/>
    <n v="84"/>
    <n v="42"/>
    <n v="42"/>
    <n v="42"/>
    <n v="42"/>
    <m/>
    <m/>
    <m/>
    <m/>
    <m/>
    <m/>
    <m/>
    <n v="0"/>
    <n v="0"/>
    <n v="0"/>
    <n v="0"/>
    <n v="0"/>
    <n v="0"/>
    <n v="0"/>
    <n v="0"/>
    <n v="0"/>
    <n v="0"/>
    <n v="0"/>
    <n v="0"/>
    <n v="0"/>
    <n v="0"/>
    <x v="0"/>
    <n v="0"/>
    <n v="0"/>
    <n v="0"/>
    <s v="MMR015CMP009"/>
    <x v="0"/>
    <x v="1"/>
    <x v="6"/>
    <n v="1.0243902439024391E-3"/>
    <s v="No"/>
    <m/>
  </r>
  <r>
    <n v="41.233333333333334"/>
    <d v="2013-08-13T00:00:00"/>
    <x v="0"/>
    <s v="KBC"/>
    <s v="Shan_North"/>
    <s v="Kutkai"/>
    <s v="Mine Yu Lay village"/>
    <m/>
    <m/>
    <n v="113"/>
    <n v="160"/>
    <n v="32"/>
    <n v="160"/>
    <n v="32"/>
    <n v="32"/>
    <n v="32"/>
    <n v="32"/>
    <m/>
    <m/>
    <m/>
    <m/>
    <m/>
    <m/>
    <m/>
    <n v="0"/>
    <n v="0"/>
    <n v="0"/>
    <n v="0"/>
    <n v="0"/>
    <n v="0"/>
    <n v="0"/>
    <n v="0"/>
    <n v="0"/>
    <n v="0"/>
    <n v="0"/>
    <n v="0"/>
    <n v="0"/>
    <n v="0"/>
    <x v="0"/>
    <n v="0"/>
    <n v="0"/>
    <n v="0"/>
    <s v="MMR015CMP018"/>
    <x v="0"/>
    <x v="1"/>
    <x v="2"/>
    <n v="7.7528770442156269E-4"/>
    <s v="No"/>
    <m/>
  </r>
  <r>
    <n v="41.233333333333334"/>
    <d v="2013-08-13T00:00:00"/>
    <x v="0"/>
    <s v="KMSS"/>
    <s v="Shan_North"/>
    <s v="Kutkai"/>
    <s v="Mungji Pa Dabang (Baptist Church)         "/>
    <m/>
    <m/>
    <n v="30"/>
    <n v="56"/>
    <n v="23"/>
    <n v="56"/>
    <n v="23"/>
    <n v="23"/>
    <n v="23"/>
    <n v="23"/>
    <m/>
    <m/>
    <m/>
    <m/>
    <m/>
    <m/>
    <m/>
    <n v="0"/>
    <n v="0"/>
    <n v="0"/>
    <n v="0"/>
    <n v="0"/>
    <n v="0"/>
    <n v="0"/>
    <n v="0"/>
    <n v="0"/>
    <n v="0"/>
    <n v="0"/>
    <n v="0"/>
    <n v="0"/>
    <n v="0"/>
    <x v="0"/>
    <n v="0"/>
    <n v="0"/>
    <n v="0"/>
    <s v="MMR015CMP006"/>
    <x v="0"/>
    <x v="1"/>
    <x v="5"/>
    <n v="5.6390516586167158E-4"/>
    <s v="No"/>
    <m/>
  </r>
  <r>
    <n v="41.233333333333334"/>
    <d v="2013-08-13T00:00:00"/>
    <x v="0"/>
    <s v="KBC"/>
    <s v="Shan_North"/>
    <s v="Namhkan"/>
    <s v="Nam Hkam - Nay Win Ni (Palawng)"/>
    <m/>
    <m/>
    <n v="125"/>
    <n v="233"/>
    <n v="93"/>
    <n v="233"/>
    <n v="93"/>
    <n v="93"/>
    <n v="93"/>
    <n v="93"/>
    <m/>
    <m/>
    <m/>
    <m/>
    <m/>
    <m/>
    <m/>
    <n v="0"/>
    <n v="0"/>
    <n v="0"/>
    <n v="0"/>
    <n v="0"/>
    <n v="0"/>
    <n v="0"/>
    <n v="0"/>
    <n v="0"/>
    <n v="0"/>
    <n v="0"/>
    <n v="0"/>
    <n v="0"/>
    <n v="0"/>
    <x v="0"/>
    <n v="0"/>
    <n v="0"/>
    <n v="0"/>
    <s v="MMR015CMP004"/>
    <x v="0"/>
    <x v="1"/>
    <x v="2"/>
    <n v="2.2350933692230047E-3"/>
    <s v="No"/>
    <m/>
  </r>
  <r>
    <n v="41.233333333333334"/>
    <d v="2013-08-13T00:00:00"/>
    <x v="0"/>
    <s v="KMSS"/>
    <s v="Shan_North"/>
    <s v="Namhkan"/>
    <s v="Nam Hkam (KBC Jaw Wang)"/>
    <m/>
    <m/>
    <n v="100"/>
    <n v="188"/>
    <n v="75"/>
    <n v="188"/>
    <n v="75"/>
    <n v="75"/>
    <n v="75"/>
    <n v="75"/>
    <m/>
    <m/>
    <m/>
    <m/>
    <m/>
    <m/>
    <m/>
    <n v="0"/>
    <n v="0"/>
    <n v="0"/>
    <n v="0"/>
    <n v="0"/>
    <n v="0"/>
    <n v="0"/>
    <n v="0"/>
    <n v="0"/>
    <n v="0"/>
    <n v="0"/>
    <n v="0"/>
    <n v="0"/>
    <n v="0"/>
    <x v="0"/>
    <n v="0"/>
    <n v="0"/>
    <n v="0"/>
    <s v="MMR015CMP001"/>
    <x v="0"/>
    <x v="1"/>
    <x v="2"/>
    <n v="1.8347277264054015E-3"/>
    <s v="No"/>
    <m/>
  </r>
  <r>
    <n v="41.233333333333334"/>
    <d v="2013-08-13T00:00:00"/>
    <x v="0"/>
    <s v="KMSS"/>
    <s v="Shan_North"/>
    <s v="Namhkan"/>
    <s v="Nam Hkam Catholic Church ( St. Thomas I)"/>
    <m/>
    <m/>
    <n v="36"/>
    <n v="72"/>
    <n v="33"/>
    <n v="72"/>
    <n v="33"/>
    <n v="33"/>
    <n v="33"/>
    <n v="33"/>
    <m/>
    <m/>
    <m/>
    <m/>
    <m/>
    <m/>
    <m/>
    <n v="0"/>
    <n v="0"/>
    <n v="0"/>
    <n v="0"/>
    <n v="0"/>
    <n v="0"/>
    <n v="0"/>
    <n v="0"/>
    <n v="0"/>
    <n v="0"/>
    <n v="0"/>
    <n v="0"/>
    <n v="0"/>
    <n v="0"/>
    <x v="0"/>
    <n v="0"/>
    <n v="0"/>
    <n v="0"/>
    <s v="MMR015CMP003"/>
    <x v="0"/>
    <x v="1"/>
    <x v="2"/>
    <n v="8.0728019961837658E-4"/>
    <s v="No"/>
    <m/>
  </r>
  <r>
    <n v="41.233333333333334"/>
    <d v="2013-08-13T00:00:00"/>
    <x v="0"/>
    <s v="KMSS"/>
    <s v="Shan_North"/>
    <s v="Namtu"/>
    <s v="Nam Tu RC"/>
    <m/>
    <m/>
    <n v="130"/>
    <n v="288"/>
    <n v="115"/>
    <n v="288"/>
    <n v="115"/>
    <n v="115"/>
    <n v="115"/>
    <n v="115"/>
    <m/>
    <m/>
    <m/>
    <m/>
    <m/>
    <m/>
    <m/>
    <n v="0"/>
    <n v="0"/>
    <n v="0"/>
    <n v="0"/>
    <n v="0"/>
    <n v="0"/>
    <n v="0"/>
    <n v="0"/>
    <n v="0"/>
    <n v="0"/>
    <n v="0"/>
    <n v="0"/>
    <n v="0"/>
    <n v="0"/>
    <x v="0"/>
    <n v="0"/>
    <n v="0"/>
    <n v="0"/>
    <s v="MMR015CMP210"/>
    <x v="0"/>
    <x v="1"/>
    <x v="2"/>
    <s v=""/>
    <s v="No"/>
    <m/>
  </r>
  <r>
    <n v="41.233333333333334"/>
    <d v="2013-08-13T00:00:00"/>
    <x v="0"/>
    <s v="KMSS"/>
    <s v="Shan_North"/>
    <s v="Kutkai"/>
    <s v="Mungji Pa Dabang (RC Church)         "/>
    <m/>
    <m/>
    <n v="70"/>
    <n v="130"/>
    <n v="52"/>
    <n v="130"/>
    <n v="52"/>
    <n v="52"/>
    <n v="52"/>
    <n v="52"/>
    <m/>
    <m/>
    <m/>
    <m/>
    <m/>
    <m/>
    <m/>
    <n v="0"/>
    <n v="0"/>
    <n v="0"/>
    <n v="0"/>
    <n v="0"/>
    <n v="0"/>
    <n v="0"/>
    <n v="0"/>
    <n v="0"/>
    <n v="0"/>
    <n v="0"/>
    <n v="0"/>
    <n v="0"/>
    <n v="0"/>
    <x v="0"/>
    <n v="0"/>
    <n v="0"/>
    <n v="0"/>
    <s v="MMR015CMP019"/>
    <x v="0"/>
    <x v="0"/>
    <x v="0"/>
    <n v="1.2749160271655184E-3"/>
    <s v="No"/>
    <m/>
  </r>
  <r>
    <n v="41.233333333333334"/>
    <d v="2013-08-13T00:00:00"/>
    <x v="0"/>
    <s v="KBC"/>
    <s v="Shan_North"/>
    <s v="Hseni"/>
    <s v="Na Ti (Koe Kant Traditional school)"/>
    <m/>
    <m/>
    <n v="67"/>
    <n v="90"/>
    <n v="30"/>
    <n v="90"/>
    <n v="30"/>
    <n v="30"/>
    <n v="30"/>
    <n v="30"/>
    <m/>
    <m/>
    <m/>
    <m/>
    <m/>
    <m/>
    <m/>
    <n v="0"/>
    <n v="0"/>
    <n v="0"/>
    <n v="0"/>
    <n v="0"/>
    <n v="0"/>
    <n v="0"/>
    <n v="0"/>
    <n v="0"/>
    <n v="0"/>
    <n v="0"/>
    <n v="0"/>
    <n v="0"/>
    <n v="0"/>
    <x v="0"/>
    <n v="0"/>
    <n v="0"/>
    <n v="0"/>
    <s v=""/>
    <x v="2"/>
    <x v="2"/>
    <x v="0"/>
    <s v=""/>
    <s v="No"/>
    <m/>
  </r>
  <r>
    <n v="41.233333333333334"/>
    <d v="2013-08-13T00:00:00"/>
    <x v="0"/>
    <s v="KMSS"/>
    <s v="Shan_North"/>
    <s v="Namhkan"/>
    <s v="Nam Hkam Catholic Church ( St. Thomas II)"/>
    <m/>
    <m/>
    <n v="40"/>
    <n v="83"/>
    <n v="33"/>
    <n v="83"/>
    <n v="33"/>
    <n v="33"/>
    <n v="33"/>
    <n v="33"/>
    <m/>
    <m/>
    <m/>
    <m/>
    <m/>
    <m/>
    <m/>
    <n v="0"/>
    <n v="0"/>
    <n v="0"/>
    <n v="0"/>
    <n v="0"/>
    <n v="0"/>
    <n v="0"/>
    <n v="0"/>
    <n v="0"/>
    <n v="0"/>
    <n v="0"/>
    <n v="0"/>
    <n v="0"/>
    <n v="0"/>
    <x v="0"/>
    <n v="0"/>
    <n v="0"/>
    <n v="0"/>
    <s v="MMR015CMP024"/>
    <x v="0"/>
    <x v="0"/>
    <x v="0"/>
    <s v=""/>
    <s v="No"/>
    <m/>
  </r>
  <r>
    <n v="41.233333333333334"/>
    <d v="2013-08-13T00:00:00"/>
    <x v="0"/>
    <s v="KBC"/>
    <s v="Shan_North"/>
    <s v="Hseni"/>
    <s v="Narte"/>
    <m/>
    <m/>
    <n v="27"/>
    <n v="43"/>
    <n v="17"/>
    <n v="43"/>
    <n v="17"/>
    <n v="17"/>
    <n v="17"/>
    <n v="17"/>
    <m/>
    <m/>
    <m/>
    <m/>
    <m/>
    <m/>
    <m/>
    <n v="0"/>
    <n v="0"/>
    <n v="0"/>
    <n v="0"/>
    <n v="0"/>
    <n v="0"/>
    <n v="0"/>
    <n v="0"/>
    <n v="0"/>
    <n v="0"/>
    <n v="0"/>
    <n v="0"/>
    <n v="0"/>
    <n v="0"/>
    <x v="0"/>
    <n v="0"/>
    <n v="0"/>
    <n v="0"/>
    <s v="MMR015CMP207"/>
    <x v="0"/>
    <x v="1"/>
    <x v="1"/>
    <n v="4.1097546234739513E-4"/>
    <s v="No"/>
    <m/>
  </r>
  <r>
    <n v="41.43333333333333"/>
    <d v="2013-08-07T00:00:00"/>
    <x v="0"/>
    <s v="UNHCR"/>
    <s v="Kachin"/>
    <s v="Waingmaw"/>
    <s v="Mading Baptist Church"/>
    <m/>
    <m/>
    <n v="15"/>
    <n v="57"/>
    <n v="24"/>
    <n v="57"/>
    <n v="24"/>
    <n v="24"/>
    <n v="24"/>
    <n v="24"/>
    <m/>
    <m/>
    <m/>
    <m/>
    <m/>
    <m/>
    <m/>
    <n v="0"/>
    <n v="0"/>
    <n v="0"/>
    <n v="0"/>
    <n v="0"/>
    <n v="0"/>
    <n v="0"/>
    <n v="0"/>
    <n v="0"/>
    <n v="0"/>
    <n v="0"/>
    <n v="0"/>
    <n v="0"/>
    <n v="0"/>
    <x v="0"/>
    <n v="0"/>
    <n v="0"/>
    <n v="0"/>
    <s v="MMR001CMP027"/>
    <x v="0"/>
    <x v="1"/>
    <x v="1"/>
    <n v="5.849378503534E-4"/>
    <s v="No"/>
    <m/>
  </r>
  <r>
    <n v="41.43333333333333"/>
    <d v="2013-08-07T00:00:00"/>
    <x v="0"/>
    <s v="UNHCR"/>
    <s v="Kachin"/>
    <s v="Waingmaw"/>
    <s v="Maina AG Church"/>
    <m/>
    <m/>
    <n v="20"/>
    <n v="40"/>
    <n v="17"/>
    <n v="40"/>
    <n v="17"/>
    <n v="17"/>
    <n v="17"/>
    <n v="17"/>
    <m/>
    <m/>
    <m/>
    <m/>
    <m/>
    <m/>
    <m/>
    <n v="0"/>
    <n v="0"/>
    <n v="0"/>
    <n v="0"/>
    <n v="0"/>
    <n v="0"/>
    <n v="0"/>
    <n v="0"/>
    <n v="0"/>
    <n v="0"/>
    <n v="0"/>
    <n v="0"/>
    <n v="0"/>
    <n v="0"/>
    <x v="0"/>
    <n v="0"/>
    <n v="0"/>
    <n v="0"/>
    <s v="MMR001CMP031"/>
    <x v="0"/>
    <x v="1"/>
    <x v="1"/>
    <n v="4.1007333076032419E-4"/>
    <s v="No"/>
    <m/>
  </r>
  <r>
    <n v="41.43333333333333"/>
    <d v="2013-08-07T00:00:00"/>
    <x v="0"/>
    <s v="UNHCR"/>
    <s v="Kachin"/>
    <s v="Myitkyina"/>
    <s v="Maliyang Baptist Church"/>
    <m/>
    <m/>
    <n v="15"/>
    <n v="25"/>
    <n v="11"/>
    <n v="25"/>
    <n v="11"/>
    <n v="11"/>
    <n v="11"/>
    <n v="11"/>
    <m/>
    <m/>
    <m/>
    <m/>
    <m/>
    <m/>
    <m/>
    <n v="0"/>
    <n v="0"/>
    <n v="0"/>
    <n v="0"/>
    <n v="0"/>
    <n v="0"/>
    <n v="0"/>
    <n v="0"/>
    <n v="0"/>
    <n v="0"/>
    <n v="0"/>
    <n v="0"/>
    <n v="0"/>
    <n v="0"/>
    <x v="0"/>
    <n v="0"/>
    <n v="0"/>
    <n v="0"/>
    <s v="MMR001CMP016"/>
    <x v="0"/>
    <x v="1"/>
    <x v="1"/>
    <n v="2.6989891058985181E-4"/>
    <s v="No"/>
    <m/>
  </r>
  <r>
    <n v="41.9"/>
    <d v="2013-07-24T00:00:00"/>
    <x v="0"/>
    <s v="KBC"/>
    <s v="Kachin"/>
    <s v="Myitkyina"/>
    <s v="Le Kone Bethlehem Church"/>
    <m/>
    <m/>
    <n v="66"/>
    <n v="98"/>
    <n v="45"/>
    <n v="98"/>
    <n v="45"/>
    <n v="45"/>
    <n v="45"/>
    <n v="45"/>
    <m/>
    <m/>
    <m/>
    <m/>
    <m/>
    <m/>
    <m/>
    <n v="0"/>
    <n v="0"/>
    <n v="0"/>
    <n v="0"/>
    <n v="0"/>
    <n v="0"/>
    <n v="0"/>
    <n v="0"/>
    <n v="0"/>
    <n v="0"/>
    <n v="0"/>
    <n v="0"/>
    <n v="0"/>
    <n v="0"/>
    <x v="0"/>
    <n v="0"/>
    <n v="0"/>
    <n v="0"/>
    <s v="MMR001CMP015"/>
    <x v="0"/>
    <x v="1"/>
    <x v="1"/>
    <n v="1.1082924907026574E-3"/>
    <s v="No"/>
    <m/>
  </r>
  <r>
    <n v="41.9"/>
    <d v="2013-07-24T00:00:00"/>
    <x v="0"/>
    <s v="KBC"/>
    <s v="Kachin"/>
    <s v="Myitkyina"/>
    <s v="Le Kone Ziun Baptist Church "/>
    <m/>
    <m/>
    <n v="100"/>
    <n v="158"/>
    <n v="65"/>
    <n v="158"/>
    <n v="65"/>
    <n v="65"/>
    <n v="65"/>
    <n v="65"/>
    <m/>
    <m/>
    <m/>
    <m/>
    <m/>
    <m/>
    <m/>
    <n v="0"/>
    <n v="0"/>
    <n v="0"/>
    <n v="0"/>
    <n v="0"/>
    <n v="0"/>
    <n v="0"/>
    <n v="0"/>
    <n v="0"/>
    <n v="0"/>
    <n v="0"/>
    <n v="0"/>
    <n v="0"/>
    <n v="0"/>
    <x v="0"/>
    <n v="0"/>
    <n v="0"/>
    <n v="0"/>
    <s v="MMR001CMP014"/>
    <x v="0"/>
    <x v="1"/>
    <x v="1"/>
    <n v="1.5972478191424008E-3"/>
    <s v="No"/>
    <m/>
  </r>
  <r>
    <n v="41.9"/>
    <d v="2013-07-24T00:00:00"/>
    <x v="0"/>
    <s v="Shalom"/>
    <s v="Kachin"/>
    <s v="Waingmaw"/>
    <s v="Maina AG Church"/>
    <m/>
    <m/>
    <n v="10"/>
    <n v="14"/>
    <n v="7"/>
    <n v="14"/>
    <n v="7"/>
    <n v="7"/>
    <n v="7"/>
    <n v="7"/>
    <m/>
    <m/>
    <m/>
    <m/>
    <m/>
    <m/>
    <m/>
    <n v="0"/>
    <n v="0"/>
    <n v="0"/>
    <n v="0"/>
    <n v="0"/>
    <n v="0"/>
    <n v="0"/>
    <n v="0"/>
    <n v="0"/>
    <n v="0"/>
    <n v="0"/>
    <n v="0"/>
    <n v="0"/>
    <n v="0"/>
    <x v="0"/>
    <n v="0"/>
    <n v="0"/>
    <n v="0"/>
    <s v="MMR001CMP031"/>
    <x v="0"/>
    <x v="1"/>
    <x v="1"/>
    <n v="1.6885372443072174E-4"/>
    <s v="No"/>
    <m/>
  </r>
  <r>
    <n v="41.9"/>
    <d v="2013-07-24T00:00:00"/>
    <x v="0"/>
    <s v="KMSS"/>
    <s v="Kachin"/>
    <s v="Waingmaw"/>
    <s v="Maina Catholic Church (St. Joseph)"/>
    <m/>
    <m/>
    <n v="40"/>
    <n v="49"/>
    <n v="23"/>
    <n v="49"/>
    <n v="23"/>
    <n v="23"/>
    <n v="23"/>
    <n v="23"/>
    <m/>
    <m/>
    <m/>
    <m/>
    <m/>
    <m/>
    <m/>
    <n v="0"/>
    <n v="0"/>
    <n v="0"/>
    <n v="0"/>
    <n v="0"/>
    <n v="0"/>
    <n v="0"/>
    <n v="0"/>
    <n v="0"/>
    <n v="0"/>
    <n v="0"/>
    <n v="0"/>
    <n v="0"/>
    <n v="0"/>
    <x v="0"/>
    <n v="0"/>
    <n v="0"/>
    <n v="0"/>
    <s v="MMR001CMP029"/>
    <x v="0"/>
    <x v="1"/>
    <x v="1"/>
    <n v="5.5520687490947715E-4"/>
    <s v="No"/>
    <m/>
  </r>
  <r>
    <n v="41.9"/>
    <d v="2013-07-24T00:00:00"/>
    <x v="0"/>
    <s v="KMSS"/>
    <s v="Kachin"/>
    <s v="Myitkyina"/>
    <s v="Nan Kway St. John Catholic Church"/>
    <m/>
    <m/>
    <n v="21"/>
    <n v="30"/>
    <n v="15"/>
    <n v="30"/>
    <n v="15"/>
    <n v="15"/>
    <n v="15"/>
    <n v="15"/>
    <m/>
    <m/>
    <m/>
    <m/>
    <m/>
    <m/>
    <m/>
    <n v="0"/>
    <n v="0"/>
    <n v="0"/>
    <n v="0"/>
    <n v="0"/>
    <n v="0"/>
    <n v="0"/>
    <n v="0"/>
    <n v="0"/>
    <n v="0"/>
    <n v="0"/>
    <n v="0"/>
    <n v="0"/>
    <n v="0"/>
    <x v="0"/>
    <n v="0"/>
    <n v="0"/>
    <n v="0"/>
    <s v="MMR001CMP024"/>
    <x v="0"/>
    <x v="1"/>
    <x v="1"/>
    <n v="3.6666748148329219E-4"/>
    <s v="No"/>
    <m/>
  </r>
  <r>
    <n v="41.9"/>
    <d v="2013-07-24T00:00:00"/>
    <x v="0"/>
    <s v="KMSS"/>
    <s v="Kachin"/>
    <s v="Hpakant"/>
    <s v="Nant Ma Hpit Catholic Church"/>
    <m/>
    <m/>
    <n v="15"/>
    <n v="25"/>
    <n v="10"/>
    <n v="25"/>
    <n v="10"/>
    <n v="10"/>
    <n v="10"/>
    <n v="10"/>
    <m/>
    <m/>
    <m/>
    <m/>
    <m/>
    <m/>
    <m/>
    <n v="0"/>
    <n v="0"/>
    <n v="0"/>
    <n v="0"/>
    <n v="0"/>
    <n v="0"/>
    <n v="0"/>
    <n v="0"/>
    <n v="0"/>
    <n v="0"/>
    <n v="0"/>
    <n v="0"/>
    <n v="0"/>
    <n v="0"/>
    <x v="0"/>
    <n v="0"/>
    <n v="0"/>
    <n v="0"/>
    <s v="MMR001CMP103"/>
    <x v="0"/>
    <x v="1"/>
    <x v="1"/>
    <n v="2.4103936172777015E-4"/>
    <s v="No"/>
    <m/>
  </r>
  <r>
    <n v="41.9"/>
    <d v="2013-07-24T00:00:00"/>
    <x v="0"/>
    <s v="KMSS"/>
    <s v="Kachin"/>
    <s v="Myitkyina"/>
    <s v="Pa Dauk Myaing(Pa La Na)"/>
    <m/>
    <m/>
    <n v="31"/>
    <n v="41"/>
    <n v="17"/>
    <n v="41"/>
    <n v="17"/>
    <n v="17"/>
    <n v="17"/>
    <n v="17"/>
    <m/>
    <m/>
    <m/>
    <m/>
    <m/>
    <m/>
    <m/>
    <n v="0"/>
    <n v="0"/>
    <n v="0"/>
    <n v="0"/>
    <n v="0"/>
    <n v="0"/>
    <n v="0"/>
    <n v="0"/>
    <n v="0"/>
    <n v="0"/>
    <n v="0"/>
    <n v="0"/>
    <n v="0"/>
    <n v="0"/>
    <x v="0"/>
    <n v="0"/>
    <n v="0"/>
    <n v="0"/>
    <s v="MMR001CMP162"/>
    <x v="0"/>
    <x v="1"/>
    <x v="1"/>
    <n v="4.1218116574532053E-4"/>
    <s v="No"/>
    <m/>
  </r>
  <r>
    <n v="41.9"/>
    <d v="2013-07-24T00:00:00"/>
    <x v="0"/>
    <s v="KBC"/>
    <s v="Kachin"/>
    <s v="Waingmaw"/>
    <s v="Qtr. 2 Myoma Baptist Church"/>
    <m/>
    <m/>
    <n v="31"/>
    <n v="44"/>
    <n v="18"/>
    <n v="44"/>
    <n v="18"/>
    <n v="18"/>
    <n v="18"/>
    <n v="18"/>
    <m/>
    <m/>
    <m/>
    <m/>
    <m/>
    <m/>
    <m/>
    <n v="0"/>
    <n v="0"/>
    <n v="0"/>
    <n v="0"/>
    <n v="0"/>
    <n v="0"/>
    <n v="0"/>
    <n v="0"/>
    <n v="0"/>
    <n v="0"/>
    <n v="0"/>
    <n v="0"/>
    <n v="0"/>
    <n v="0"/>
    <x v="0"/>
    <n v="0"/>
    <n v="0"/>
    <n v="0"/>
    <s v="MMR001CMP025"/>
    <x v="0"/>
    <x v="1"/>
    <x v="1"/>
    <n v="4.4231478068558792E-4"/>
    <s v="No"/>
    <m/>
  </r>
  <r>
    <n v="41.9"/>
    <d v="2013-07-24T00:00:00"/>
    <x v="0"/>
    <s v="Shalom"/>
    <s v="Kachin"/>
    <s v="Waingmaw"/>
    <s v="Qtr. 4 Monestry (Thargaya Thayett Taw)"/>
    <m/>
    <m/>
    <n v="41"/>
    <n v="73"/>
    <n v="31"/>
    <n v="73"/>
    <n v="31"/>
    <n v="31"/>
    <n v="31"/>
    <n v="31"/>
    <m/>
    <m/>
    <m/>
    <m/>
    <m/>
    <m/>
    <m/>
    <n v="0"/>
    <n v="0"/>
    <n v="0"/>
    <n v="0"/>
    <n v="0"/>
    <n v="0"/>
    <n v="0"/>
    <n v="0"/>
    <n v="0"/>
    <n v="0"/>
    <n v="0"/>
    <n v="0"/>
    <n v="0"/>
    <n v="0"/>
    <x v="0"/>
    <n v="0"/>
    <n v="0"/>
    <n v="0"/>
    <s v="MMR001CMP026"/>
    <x v="0"/>
    <x v="1"/>
    <x v="1"/>
    <n v="7.572056668295066E-4"/>
    <s v="No"/>
    <m/>
  </r>
  <r>
    <n v="41.9"/>
    <d v="2013-07-24T00:00:00"/>
    <x v="0"/>
    <s v="KBC"/>
    <s v="Kachin"/>
    <s v="Myitkyina"/>
    <s v="Shatapru Sut Ngai Tawng"/>
    <m/>
    <m/>
    <n v="21"/>
    <n v="36"/>
    <n v="16"/>
    <n v="36"/>
    <n v="16"/>
    <n v="16"/>
    <n v="16"/>
    <n v="16"/>
    <m/>
    <m/>
    <m/>
    <m/>
    <m/>
    <m/>
    <m/>
    <n v="0"/>
    <n v="0"/>
    <n v="0"/>
    <n v="0"/>
    <n v="0"/>
    <n v="0"/>
    <n v="0"/>
    <n v="0"/>
    <n v="0"/>
    <n v="0"/>
    <n v="0"/>
    <n v="0"/>
    <n v="0"/>
    <n v="0"/>
    <x v="0"/>
    <n v="0"/>
    <n v="0"/>
    <n v="0"/>
    <s v="MMR001CMP006"/>
    <x v="0"/>
    <x v="1"/>
    <x v="1"/>
    <n v="3.92580233585239E-4"/>
    <s v="No"/>
    <m/>
  </r>
  <r>
    <n v="41.9"/>
    <d v="2013-07-24T00:00:00"/>
    <x v="0"/>
    <s v="KBC"/>
    <s v="Kachin"/>
    <s v="Myitkyina"/>
    <s v="Tat Kone COC Baptist - Tat Kone Htoi San"/>
    <m/>
    <m/>
    <n v="34"/>
    <n v="46"/>
    <n v="22"/>
    <n v="46"/>
    <n v="22"/>
    <n v="22"/>
    <n v="22"/>
    <n v="22"/>
    <m/>
    <m/>
    <m/>
    <m/>
    <m/>
    <m/>
    <m/>
    <n v="0"/>
    <n v="0"/>
    <n v="0"/>
    <n v="0"/>
    <n v="0"/>
    <n v="0"/>
    <n v="0"/>
    <n v="0"/>
    <n v="0"/>
    <n v="0"/>
    <n v="0"/>
    <n v="0"/>
    <n v="0"/>
    <n v="0"/>
    <x v="0"/>
    <n v="0"/>
    <n v="0"/>
    <n v="0"/>
    <s v="MMR001CMP023"/>
    <x v="0"/>
    <x v="1"/>
    <x v="1"/>
    <n v="5.3658536585365858E-4"/>
    <s v="No"/>
    <m/>
  </r>
  <r>
    <n v="41.9"/>
    <d v="2013-07-24T00:00:00"/>
    <x v="0"/>
    <s v="Shalom"/>
    <s v="Kachin"/>
    <s v="Waingmaw"/>
    <s v="Waingmaw AG Church"/>
    <m/>
    <m/>
    <n v="22"/>
    <n v="32"/>
    <n v="15"/>
    <n v="32"/>
    <n v="15"/>
    <n v="15"/>
    <n v="15"/>
    <n v="15"/>
    <m/>
    <m/>
    <m/>
    <m/>
    <m/>
    <m/>
    <m/>
    <n v="0"/>
    <n v="0"/>
    <n v="0"/>
    <n v="0"/>
    <n v="0"/>
    <n v="0"/>
    <n v="0"/>
    <n v="0"/>
    <n v="0"/>
    <n v="0"/>
    <n v="0"/>
    <n v="0"/>
    <n v="0"/>
    <n v="0"/>
    <x v="0"/>
    <n v="0"/>
    <n v="0"/>
    <n v="0"/>
    <s v="MMR001CMP038"/>
    <x v="0"/>
    <x v="1"/>
    <x v="1"/>
    <n v="3.6721504112808461E-4"/>
    <s v="No"/>
    <m/>
  </r>
  <r>
    <n v="42.166666666666664"/>
    <d v="2013-07-16T00:00:00"/>
    <x v="0"/>
    <s v="Shalom"/>
    <s v="Kachin"/>
    <s v="Myitkyina"/>
    <s v="Tat Kone COC Baptist - Tat Kone Htoi San"/>
    <m/>
    <m/>
    <n v="55"/>
    <n v="74"/>
    <n v="31"/>
    <n v="74"/>
    <n v="31"/>
    <n v="31"/>
    <n v="31"/>
    <n v="31"/>
    <m/>
    <m/>
    <m/>
    <m/>
    <m/>
    <m/>
    <m/>
    <n v="0"/>
    <n v="0"/>
    <n v="0"/>
    <n v="0"/>
    <n v="0"/>
    <n v="0"/>
    <n v="0"/>
    <n v="0"/>
    <n v="0"/>
    <n v="0"/>
    <n v="0"/>
    <n v="0"/>
    <n v="0"/>
    <n v="0"/>
    <x v="0"/>
    <n v="0"/>
    <n v="0"/>
    <n v="0"/>
    <s v="MMR001CMP023"/>
    <x v="0"/>
    <x v="1"/>
    <x v="1"/>
    <n v="7.5609756097560978E-4"/>
    <s v="No"/>
    <m/>
  </r>
  <r>
    <n v="42.7"/>
    <d v="2013-06-30T00:00:00"/>
    <x v="0"/>
    <m/>
    <s v="Kachin"/>
    <s v="Mansi"/>
    <s v="Maing Khaung"/>
    <m/>
    <m/>
    <m/>
    <m/>
    <m/>
    <n v="9"/>
    <m/>
    <m/>
    <n v="19"/>
    <n v="1"/>
    <m/>
    <m/>
    <m/>
    <m/>
    <m/>
    <m/>
    <m/>
    <n v="0"/>
    <n v="0"/>
    <n v="0"/>
    <n v="0"/>
    <n v="0"/>
    <n v="0"/>
    <n v="0"/>
    <n v="0"/>
    <n v="0"/>
    <n v="0"/>
    <n v="0"/>
    <n v="0"/>
    <n v="0"/>
    <n v="0"/>
    <x v="0"/>
    <n v="0"/>
    <n v="0"/>
    <n v="0"/>
    <s v="MMR001CMP218"/>
    <x v="0"/>
    <x v="1"/>
    <x v="1"/>
    <n v="0"/>
    <m/>
    <m/>
  </r>
  <r>
    <n v="42.7"/>
    <d v="2013-06-30T00:00:00"/>
    <x v="0"/>
    <m/>
    <s v="Kachin"/>
    <s v="Mansi"/>
    <s v="Maing Khaung Catholic Church"/>
    <m/>
    <m/>
    <m/>
    <n v="50"/>
    <n v="15"/>
    <m/>
    <n v="15"/>
    <m/>
    <n v="15"/>
    <n v="60"/>
    <m/>
    <m/>
    <m/>
    <m/>
    <m/>
    <m/>
    <m/>
    <n v="0"/>
    <n v="0"/>
    <n v="0"/>
    <n v="0"/>
    <n v="0"/>
    <n v="0"/>
    <n v="0"/>
    <n v="0"/>
    <n v="0"/>
    <n v="0"/>
    <n v="0"/>
    <n v="0"/>
    <n v="0"/>
    <n v="0"/>
    <x v="0"/>
    <n v="0"/>
    <n v="0"/>
    <n v="0"/>
    <s v="MMR001CMP223"/>
    <x v="0"/>
    <x v="1"/>
    <x v="1"/>
    <n v="3.6102820833734477E-4"/>
    <m/>
    <m/>
  </r>
  <r>
    <n v="42.733333333333334"/>
    <d v="2013-06-29T00:00:00"/>
    <x v="0"/>
    <m/>
    <s v="Kachin"/>
    <s v="Mansi"/>
    <s v="Maing Khaung"/>
    <m/>
    <m/>
    <m/>
    <m/>
    <n v="19"/>
    <m/>
    <n v="19"/>
    <m/>
    <m/>
    <n v="100"/>
    <m/>
    <m/>
    <m/>
    <m/>
    <m/>
    <m/>
    <m/>
    <n v="0"/>
    <n v="0"/>
    <n v="0"/>
    <n v="0"/>
    <n v="0"/>
    <n v="0"/>
    <n v="0"/>
    <n v="0"/>
    <n v="0"/>
    <n v="0"/>
    <n v="0"/>
    <n v="0"/>
    <n v="0"/>
    <n v="0"/>
    <x v="0"/>
    <n v="0"/>
    <n v="0"/>
    <n v="0"/>
    <s v="MMR001CMP218"/>
    <x v="0"/>
    <x v="1"/>
    <x v="1"/>
    <n v="4.5730239722730338E-4"/>
    <m/>
    <m/>
  </r>
  <r>
    <n v="42.766666666666666"/>
    <d v="2013-06-28T00:00:00"/>
    <x v="0"/>
    <m/>
    <s v="Kachin"/>
    <s v="Mansi"/>
    <s v="Maing Khaung"/>
    <m/>
    <m/>
    <m/>
    <n v="10"/>
    <n v="3"/>
    <n v="10"/>
    <n v="3"/>
    <m/>
    <n v="3"/>
    <n v="10"/>
    <m/>
    <m/>
    <m/>
    <m/>
    <m/>
    <m/>
    <m/>
    <n v="0"/>
    <n v="0"/>
    <n v="0"/>
    <n v="0"/>
    <n v="0"/>
    <n v="0"/>
    <n v="0"/>
    <n v="0"/>
    <n v="0"/>
    <n v="0"/>
    <n v="0"/>
    <n v="0"/>
    <n v="0"/>
    <n v="0"/>
    <x v="0"/>
    <n v="0"/>
    <n v="0"/>
    <n v="0"/>
    <s v="MMR001CMP218"/>
    <x v="0"/>
    <x v="1"/>
    <x v="1"/>
    <n v="7.2205641667468946E-5"/>
    <m/>
    <m/>
  </r>
  <r>
    <n v="42.8"/>
    <d v="2013-06-27T00:00:00"/>
    <x v="0"/>
    <m/>
    <s v="Kachin"/>
    <s v="Mansi"/>
    <s v="Maing Khaung"/>
    <m/>
    <m/>
    <m/>
    <n v="54"/>
    <n v="18"/>
    <n v="45"/>
    <n v="18"/>
    <m/>
    <n v="18"/>
    <n v="50"/>
    <m/>
    <m/>
    <m/>
    <m/>
    <m/>
    <m/>
    <m/>
    <n v="0"/>
    <n v="0"/>
    <n v="0"/>
    <n v="0"/>
    <n v="0"/>
    <n v="0"/>
    <n v="0"/>
    <n v="0"/>
    <n v="0"/>
    <n v="0"/>
    <n v="0"/>
    <n v="0"/>
    <n v="0"/>
    <n v="0"/>
    <x v="0"/>
    <n v="0"/>
    <n v="0"/>
    <n v="0"/>
    <s v="MMR001CMP218"/>
    <x v="0"/>
    <x v="1"/>
    <x v="1"/>
    <n v="4.332338500048137E-4"/>
    <m/>
    <m/>
  </r>
  <r>
    <n v="43.233333333333334"/>
    <d v="2013-06-14T00:00:00"/>
    <x v="0"/>
    <s v="UNHCR"/>
    <s v="Kachin"/>
    <s v="Momauk"/>
    <s v="Pa Kahtawng "/>
    <m/>
    <m/>
    <n v="42"/>
    <n v="42"/>
    <n v="21"/>
    <n v="42"/>
    <n v="21"/>
    <n v="21"/>
    <n v="21"/>
    <n v="21"/>
    <m/>
    <m/>
    <m/>
    <m/>
    <m/>
    <m/>
    <m/>
    <n v="0"/>
    <n v="0"/>
    <n v="0"/>
    <n v="0"/>
    <n v="0"/>
    <n v="0"/>
    <n v="0"/>
    <n v="0"/>
    <n v="0"/>
    <n v="0"/>
    <n v="0"/>
    <n v="0"/>
    <n v="0"/>
    <n v="0"/>
    <x v="0"/>
    <n v="0"/>
    <n v="0"/>
    <n v="0"/>
    <s v="MMR001CMP126"/>
    <x v="0"/>
    <x v="1"/>
    <x v="6"/>
    <n v="5.1219512195121953E-4"/>
    <s v="No"/>
    <m/>
  </r>
  <r>
    <n v="43.266666666666666"/>
    <d v="2013-06-13T00:00:00"/>
    <x v="0"/>
    <s v="UNHCR"/>
    <s v="Kachin"/>
    <s v="Momauk"/>
    <s v="Loi Je Baptist Church"/>
    <m/>
    <m/>
    <n v="152"/>
    <n v="11"/>
    <n v="4"/>
    <n v="11"/>
    <n v="4"/>
    <n v="4"/>
    <n v="4"/>
    <n v="4"/>
    <m/>
    <m/>
    <m/>
    <m/>
    <m/>
    <m/>
    <m/>
    <n v="0"/>
    <n v="0"/>
    <n v="0"/>
    <n v="0"/>
    <n v="0"/>
    <n v="0"/>
    <n v="0"/>
    <n v="0"/>
    <n v="0"/>
    <n v="0"/>
    <n v="0"/>
    <n v="0"/>
    <n v="0"/>
    <n v="0"/>
    <x v="0"/>
    <n v="0"/>
    <n v="0"/>
    <n v="0"/>
    <s v="MMR001CMP071"/>
    <x v="0"/>
    <x v="1"/>
    <x v="2"/>
    <n v="9.7489641725566662E-5"/>
    <s v="No"/>
    <m/>
  </r>
  <r>
    <n v="43.266666666666666"/>
    <d v="2013-06-13T00:00:00"/>
    <x v="0"/>
    <s v="UNHCR"/>
    <s v="Kachin"/>
    <s v="Momauk"/>
    <s v="Loi Je Catholic Church"/>
    <m/>
    <m/>
    <n v="425"/>
    <n v="30"/>
    <n v="11"/>
    <n v="30"/>
    <n v="11"/>
    <n v="11"/>
    <n v="11"/>
    <n v="11"/>
    <m/>
    <m/>
    <m/>
    <m/>
    <m/>
    <m/>
    <m/>
    <n v="0"/>
    <n v="0"/>
    <n v="0"/>
    <n v="0"/>
    <n v="0"/>
    <n v="0"/>
    <n v="0"/>
    <n v="0"/>
    <n v="0"/>
    <n v="0"/>
    <n v="0"/>
    <n v="0"/>
    <n v="0"/>
    <n v="0"/>
    <x v="0"/>
    <n v="0"/>
    <n v="0"/>
    <n v="0"/>
    <s v="MMR001CMP069"/>
    <x v="0"/>
    <x v="1"/>
    <x v="2"/>
    <n v="2.6929103016059538E-4"/>
    <s v="No"/>
    <m/>
  </r>
  <r>
    <n v="43.266666666666666"/>
    <d v="2013-06-13T00:00:00"/>
    <x v="0"/>
    <s v="UNHCR"/>
    <s v="Kachin"/>
    <s v="Momauk"/>
    <s v="Loi Je Lisu Camp"/>
    <m/>
    <m/>
    <n v="941"/>
    <n v="67"/>
    <n v="24"/>
    <n v="67"/>
    <n v="24"/>
    <n v="24"/>
    <n v="24"/>
    <n v="24"/>
    <m/>
    <m/>
    <m/>
    <m/>
    <m/>
    <m/>
    <m/>
    <n v="0"/>
    <n v="0"/>
    <n v="0"/>
    <n v="0"/>
    <n v="0"/>
    <n v="0"/>
    <n v="0"/>
    <n v="0"/>
    <n v="0"/>
    <n v="0"/>
    <n v="0"/>
    <n v="0"/>
    <n v="0"/>
    <n v="0"/>
    <x v="0"/>
    <n v="0"/>
    <n v="0"/>
    <n v="0"/>
    <s v="MMR001CMP070"/>
    <x v="0"/>
    <x v="1"/>
    <x v="2"/>
    <n v="5.8536585365853656E-4"/>
    <s v="No"/>
    <m/>
  </r>
  <r>
    <n v="44"/>
    <d v="2013-05-22T00:00:00"/>
    <x v="12"/>
    <s v="KMSS"/>
    <s v="Kachin"/>
    <s v="Chipwi"/>
    <s v="Chipwi KBC camp"/>
    <n v="510"/>
    <m/>
    <m/>
    <m/>
    <m/>
    <m/>
    <m/>
    <m/>
    <m/>
    <m/>
    <m/>
    <m/>
    <m/>
    <m/>
    <m/>
    <m/>
    <m/>
    <n v="0"/>
    <n v="0"/>
    <n v="0"/>
    <n v="0"/>
    <n v="0"/>
    <n v="0"/>
    <n v="0"/>
    <n v="0"/>
    <n v="0"/>
    <n v="0"/>
    <n v="0"/>
    <n v="0"/>
    <n v="0"/>
    <n v="0"/>
    <x v="0"/>
    <n v="0"/>
    <n v="0"/>
    <n v="0"/>
    <s v="MMR001CMP042"/>
    <x v="0"/>
    <x v="1"/>
    <x v="5"/>
    <n v="0"/>
    <s v="No"/>
    <m/>
  </r>
  <r>
    <n v="44"/>
    <d v="2013-05-22T00:00:00"/>
    <x v="0"/>
    <s v="UNHCR"/>
    <s v="Kachin"/>
    <s v="Chipwi"/>
    <s v="Chipwi KBC camp"/>
    <m/>
    <m/>
    <n v="80"/>
    <n v="84"/>
    <n v="41"/>
    <n v="84"/>
    <n v="41"/>
    <n v="41"/>
    <n v="41"/>
    <n v="41"/>
    <m/>
    <m/>
    <m/>
    <m/>
    <m/>
    <m/>
    <m/>
    <n v="0"/>
    <n v="0"/>
    <n v="0"/>
    <n v="0"/>
    <n v="0"/>
    <n v="0"/>
    <n v="0"/>
    <n v="0"/>
    <n v="0"/>
    <n v="0"/>
    <n v="0"/>
    <n v="0"/>
    <n v="0"/>
    <n v="0"/>
    <x v="0"/>
    <n v="0"/>
    <n v="0"/>
    <n v="0"/>
    <s v="MMR001CMP042"/>
    <x v="0"/>
    <x v="1"/>
    <x v="5"/>
    <n v="9.9408398797400837E-4"/>
    <s v="No"/>
    <m/>
  </r>
  <r>
    <n v="44"/>
    <d v="2013-05-22T00:00:00"/>
    <x v="12"/>
    <s v="KMSS"/>
    <s v="Kachin"/>
    <s v="Chipwi"/>
    <s v="Lhaovao Baptist Church (LBC)"/>
    <n v="35"/>
    <m/>
    <m/>
    <m/>
    <m/>
    <m/>
    <m/>
    <m/>
    <m/>
    <m/>
    <m/>
    <m/>
    <m/>
    <m/>
    <m/>
    <m/>
    <m/>
    <n v="0"/>
    <n v="0"/>
    <n v="0"/>
    <n v="0"/>
    <n v="0"/>
    <n v="0"/>
    <n v="0"/>
    <n v="0"/>
    <n v="0"/>
    <n v="0"/>
    <n v="0"/>
    <n v="0"/>
    <n v="0"/>
    <n v="0"/>
    <x v="0"/>
    <n v="0"/>
    <n v="0"/>
    <n v="0"/>
    <s v="MMR001CMP195"/>
    <x v="0"/>
    <x v="1"/>
    <x v="5"/>
    <n v="0"/>
    <s v="No"/>
    <m/>
  </r>
  <r>
    <n v="44"/>
    <d v="2013-05-22T00:00:00"/>
    <x v="0"/>
    <s v="UNHCR"/>
    <s v="Kachin"/>
    <s v="Hpakant"/>
    <s v="Nam Ma Phyit, COC"/>
    <m/>
    <m/>
    <n v="34"/>
    <n v="61"/>
    <n v="30"/>
    <n v="61"/>
    <n v="30"/>
    <n v="30"/>
    <n v="30"/>
    <n v="30"/>
    <m/>
    <m/>
    <m/>
    <m/>
    <m/>
    <m/>
    <m/>
    <n v="0"/>
    <n v="0"/>
    <n v="0"/>
    <n v="0"/>
    <n v="0"/>
    <n v="0"/>
    <n v="0"/>
    <n v="0"/>
    <n v="0"/>
    <n v="0"/>
    <n v="0"/>
    <n v="0"/>
    <n v="0"/>
    <n v="0"/>
    <x v="0"/>
    <n v="0"/>
    <n v="0"/>
    <n v="0"/>
    <s v="MMR001CMP192"/>
    <x v="0"/>
    <x v="1"/>
    <x v="1"/>
    <n v="7.2683222289521504E-4"/>
    <s v="No"/>
    <m/>
  </r>
  <r>
    <n v="44"/>
    <d v="2013-05-22T00:00:00"/>
    <x v="0"/>
    <s v="UNHCR"/>
    <s v="Kachin"/>
    <s v="Hpakant"/>
    <s v="Mashi Kahtawng Baptist  Church"/>
    <m/>
    <m/>
    <n v="48"/>
    <n v="74"/>
    <n v="31"/>
    <n v="74"/>
    <n v="31"/>
    <n v="31"/>
    <n v="31"/>
    <n v="31"/>
    <m/>
    <m/>
    <m/>
    <m/>
    <m/>
    <m/>
    <m/>
    <n v="0"/>
    <n v="0"/>
    <n v="0"/>
    <n v="0"/>
    <n v="0"/>
    <n v="0"/>
    <n v="0"/>
    <n v="0"/>
    <n v="0"/>
    <n v="0"/>
    <n v="0"/>
    <n v="0"/>
    <n v="0"/>
    <n v="0"/>
    <x v="0"/>
    <n v="0"/>
    <n v="0"/>
    <n v="0"/>
    <s v="MMR001CMP094"/>
    <x v="0"/>
    <x v="0"/>
    <x v="0"/>
    <s v=""/>
    <s v="No"/>
    <m/>
  </r>
  <r>
    <n v="44"/>
    <d v="2013-05-22T00:00:00"/>
    <x v="0"/>
    <s v="UNHCR"/>
    <s v="Kachin"/>
    <s v="Hpakant"/>
    <s v="Nga Pyaw Taw Baptist Nursery School "/>
    <m/>
    <m/>
    <n v="273"/>
    <n v="339"/>
    <n v="151"/>
    <n v="339"/>
    <n v="151"/>
    <n v="151"/>
    <n v="151"/>
    <n v="151"/>
    <m/>
    <m/>
    <m/>
    <m/>
    <m/>
    <m/>
    <m/>
    <n v="0"/>
    <n v="0"/>
    <n v="0"/>
    <n v="0"/>
    <n v="0"/>
    <n v="0"/>
    <n v="0"/>
    <n v="0"/>
    <n v="0"/>
    <n v="0"/>
    <n v="0"/>
    <n v="0"/>
    <n v="0"/>
    <n v="0"/>
    <x v="0"/>
    <n v="0"/>
    <n v="0"/>
    <n v="0"/>
    <s v="MMR001CMP082"/>
    <x v="0"/>
    <x v="0"/>
    <x v="0"/>
    <n v="3.6720003890861339E-3"/>
    <s v="No"/>
    <m/>
  </r>
  <r>
    <n v="44"/>
    <d v="2013-05-22T00:00:00"/>
    <x v="0"/>
    <s v="UNHCR"/>
    <s v="Kachin"/>
    <s v="Waingmaw"/>
    <s v="Qtr. 2 Lhaovo Baptist Church"/>
    <m/>
    <m/>
    <n v="18"/>
    <n v="20"/>
    <n v="14"/>
    <n v="20"/>
    <n v="10"/>
    <n v="10"/>
    <n v="10"/>
    <n v="10"/>
    <m/>
    <m/>
    <m/>
    <m/>
    <m/>
    <m/>
    <m/>
    <n v="0"/>
    <n v="0"/>
    <n v="0"/>
    <n v="0"/>
    <n v="0"/>
    <n v="0"/>
    <n v="0"/>
    <n v="0"/>
    <n v="0"/>
    <n v="0"/>
    <n v="0"/>
    <n v="0"/>
    <n v="0"/>
    <n v="0"/>
    <x v="0"/>
    <n v="0"/>
    <n v="0"/>
    <n v="0"/>
    <s v="MMR001CMP032"/>
    <x v="0"/>
    <x v="1"/>
    <x v="1"/>
    <n v="2.4554941682013506E-4"/>
    <s v="No"/>
    <m/>
  </r>
  <r>
    <n v="44"/>
    <d v="2013-05-22T00:00:00"/>
    <x v="0"/>
    <s v="UNHCR"/>
    <s v="Kachin"/>
    <s v="Hpakant"/>
    <s v="Yumar Baptist Church"/>
    <m/>
    <m/>
    <n v="42"/>
    <n v="66"/>
    <n v="28"/>
    <n v="66"/>
    <n v="28"/>
    <n v="28"/>
    <n v="28"/>
    <n v="28"/>
    <m/>
    <m/>
    <m/>
    <m/>
    <m/>
    <m/>
    <m/>
    <n v="0"/>
    <n v="0"/>
    <n v="0"/>
    <n v="0"/>
    <n v="0"/>
    <n v="0"/>
    <n v="0"/>
    <n v="0"/>
    <n v="0"/>
    <n v="0"/>
    <n v="0"/>
    <n v="0"/>
    <n v="0"/>
    <n v="0"/>
    <x v="0"/>
    <n v="0"/>
    <n v="0"/>
    <n v="0"/>
    <s v="MMR001CMP105"/>
    <x v="0"/>
    <x v="1"/>
    <x v="1"/>
    <n v="6.8090073440007777E-4"/>
    <s v="No"/>
    <m/>
  </r>
  <r>
    <n v="44.2"/>
    <d v="2013-05-16T00:00:00"/>
    <x v="12"/>
    <s v="KMSS"/>
    <s v="Kachin"/>
    <s v="Hpakant"/>
    <s v="Nant Ma Hpit Catholic Church"/>
    <n v="423"/>
    <m/>
    <m/>
    <m/>
    <m/>
    <m/>
    <m/>
    <m/>
    <m/>
    <m/>
    <m/>
    <m/>
    <m/>
    <m/>
    <m/>
    <m/>
    <m/>
    <n v="0"/>
    <n v="0"/>
    <n v="0"/>
    <n v="0"/>
    <n v="0"/>
    <n v="0"/>
    <n v="0"/>
    <n v="0"/>
    <n v="0"/>
    <n v="0"/>
    <n v="0"/>
    <n v="0"/>
    <n v="0"/>
    <n v="0"/>
    <x v="0"/>
    <n v="0"/>
    <n v="0"/>
    <n v="0"/>
    <s v="MMR001CMP103"/>
    <x v="0"/>
    <x v="1"/>
    <x v="1"/>
    <n v="0"/>
    <s v="No"/>
    <m/>
  </r>
  <r>
    <n v="44.2"/>
    <d v="2013-05-16T00:00:00"/>
    <x v="12"/>
    <s v="KMSS"/>
    <s v="Kachin"/>
    <s v="Hpakant"/>
    <s v="Lawng Hkang"/>
    <n v="394"/>
    <m/>
    <m/>
    <m/>
    <m/>
    <m/>
    <m/>
    <m/>
    <m/>
    <m/>
    <m/>
    <m/>
    <m/>
    <m/>
    <m/>
    <m/>
    <m/>
    <n v="0"/>
    <n v="0"/>
    <n v="0"/>
    <n v="0"/>
    <n v="0"/>
    <n v="0"/>
    <n v="0"/>
    <n v="0"/>
    <n v="0"/>
    <n v="0"/>
    <n v="0"/>
    <n v="0"/>
    <n v="0"/>
    <n v="0"/>
    <x v="0"/>
    <n v="0"/>
    <n v="0"/>
    <n v="0"/>
    <s v=""/>
    <x v="2"/>
    <x v="2"/>
    <x v="0"/>
    <s v=""/>
    <s v="No"/>
    <m/>
  </r>
  <r>
    <n v="44.2"/>
    <d v="2013-05-16T00:00:00"/>
    <x v="12"/>
    <s v="KMSS"/>
    <s v="Kachin"/>
    <s v="Hpakant"/>
    <s v="Ward 2 Cahotlic Church, Seik Mu"/>
    <n v="103"/>
    <m/>
    <m/>
    <m/>
    <m/>
    <m/>
    <m/>
    <m/>
    <m/>
    <m/>
    <m/>
    <m/>
    <m/>
    <m/>
    <m/>
    <m/>
    <m/>
    <n v="0"/>
    <n v="0"/>
    <n v="0"/>
    <n v="0"/>
    <n v="0"/>
    <n v="0"/>
    <n v="0"/>
    <n v="0"/>
    <n v="0"/>
    <n v="0"/>
    <n v="0"/>
    <n v="0"/>
    <n v="0"/>
    <n v="0"/>
    <x v="0"/>
    <n v="0"/>
    <n v="0"/>
    <n v="0"/>
    <s v="MMR001CMP185"/>
    <x v="0"/>
    <x v="0"/>
    <x v="0"/>
    <n v="0"/>
    <s v="No"/>
    <m/>
  </r>
  <r>
    <n v="44.266666666666666"/>
    <d v="2013-05-14T00:00:00"/>
    <x v="12"/>
    <s v="KMSS"/>
    <s v="Kachin"/>
    <s v="Waingmaw"/>
    <s v="Border Post 8"/>
    <n v="604"/>
    <m/>
    <m/>
    <m/>
    <m/>
    <m/>
    <m/>
    <m/>
    <m/>
    <m/>
    <m/>
    <m/>
    <m/>
    <m/>
    <m/>
    <m/>
    <m/>
    <n v="0"/>
    <n v="0"/>
    <n v="0"/>
    <n v="0"/>
    <n v="0"/>
    <n v="0"/>
    <n v="0"/>
    <n v="0"/>
    <n v="0"/>
    <n v="0"/>
    <n v="0"/>
    <n v="0"/>
    <n v="0"/>
    <n v="0"/>
    <x v="0"/>
    <n v="0"/>
    <n v="0"/>
    <n v="0"/>
    <s v="MMR001CMP113"/>
    <x v="0"/>
    <x v="1"/>
    <x v="5"/>
    <n v="0"/>
    <s v="No"/>
    <m/>
  </r>
  <r>
    <n v="44.366666666666667"/>
    <d v="2013-05-11T00:00:00"/>
    <x v="12"/>
    <s v="KMSS"/>
    <s v="Kachin"/>
    <s v="Waingmaw"/>
    <s v="Post 6 Camp"/>
    <n v="490"/>
    <m/>
    <m/>
    <m/>
    <m/>
    <m/>
    <m/>
    <m/>
    <m/>
    <m/>
    <m/>
    <m/>
    <m/>
    <m/>
    <m/>
    <m/>
    <m/>
    <n v="0"/>
    <n v="0"/>
    <n v="0"/>
    <n v="0"/>
    <n v="0"/>
    <n v="0"/>
    <n v="0"/>
    <n v="0"/>
    <n v="0"/>
    <n v="0"/>
    <n v="0"/>
    <n v="0"/>
    <n v="0"/>
    <n v="0"/>
    <x v="0"/>
    <n v="0"/>
    <n v="0"/>
    <n v="0"/>
    <s v="MMR001CMP160"/>
    <x v="0"/>
    <x v="1"/>
    <x v="5"/>
    <n v="0"/>
    <s v="No"/>
    <m/>
  </r>
  <r>
    <n v="44.43333333333333"/>
    <d v="2013-05-09T00:00:00"/>
    <x v="12"/>
    <s v="KMSS"/>
    <s v="Kachin"/>
    <s v="Myitkyina"/>
    <s v="Jan Mai Kawng Catholic Church"/>
    <n v="460"/>
    <m/>
    <m/>
    <m/>
    <m/>
    <m/>
    <m/>
    <m/>
    <m/>
    <m/>
    <m/>
    <m/>
    <m/>
    <m/>
    <m/>
    <m/>
    <m/>
    <n v="0"/>
    <n v="0"/>
    <n v="0"/>
    <n v="0"/>
    <n v="0"/>
    <n v="0"/>
    <n v="0"/>
    <n v="0"/>
    <n v="0"/>
    <n v="0"/>
    <n v="0"/>
    <n v="0"/>
    <n v="0"/>
    <n v="0"/>
    <x v="0"/>
    <n v="0"/>
    <n v="0"/>
    <n v="0"/>
    <s v="MMR001CMP019"/>
    <x v="0"/>
    <x v="1"/>
    <x v="1"/>
    <n v="0"/>
    <s v="No"/>
    <m/>
  </r>
  <r>
    <n v="44.43333333333333"/>
    <d v="2013-05-09T00:00:00"/>
    <x v="12"/>
    <s v="KMSS"/>
    <s v="Kachin"/>
    <s v="Myitkyina"/>
    <s v="Nan Kway St. John Catholic Church"/>
    <n v="324"/>
    <m/>
    <m/>
    <m/>
    <m/>
    <m/>
    <m/>
    <m/>
    <m/>
    <m/>
    <m/>
    <m/>
    <m/>
    <m/>
    <m/>
    <m/>
    <m/>
    <n v="0"/>
    <n v="0"/>
    <n v="0"/>
    <n v="0"/>
    <n v="0"/>
    <n v="0"/>
    <n v="0"/>
    <n v="0"/>
    <n v="0"/>
    <n v="0"/>
    <n v="0"/>
    <n v="0"/>
    <n v="0"/>
    <n v="0"/>
    <x v="0"/>
    <n v="0"/>
    <n v="0"/>
    <n v="0"/>
    <s v="MMR001CMP024"/>
    <x v="0"/>
    <x v="1"/>
    <x v="1"/>
    <n v="0"/>
    <s v="No"/>
    <m/>
  </r>
  <r>
    <n v="44.466666666666669"/>
    <d v="2013-05-08T00:00:00"/>
    <x v="12"/>
    <s v="KMSS"/>
    <s v="Kachin"/>
    <s v="Waingmaw"/>
    <s v="Maina Catholic Church (St. Joseph)"/>
    <n v="1062"/>
    <m/>
    <m/>
    <m/>
    <m/>
    <m/>
    <m/>
    <m/>
    <m/>
    <m/>
    <m/>
    <m/>
    <m/>
    <m/>
    <m/>
    <m/>
    <m/>
    <n v="0"/>
    <n v="0"/>
    <n v="0"/>
    <n v="0"/>
    <n v="0"/>
    <n v="0"/>
    <n v="0"/>
    <n v="0"/>
    <n v="0"/>
    <n v="0"/>
    <n v="0"/>
    <n v="0"/>
    <n v="0"/>
    <n v="0"/>
    <x v="0"/>
    <n v="0"/>
    <n v="0"/>
    <n v="0"/>
    <s v="MMR001CMP029"/>
    <x v="0"/>
    <x v="1"/>
    <x v="1"/>
    <n v="0"/>
    <s v="No"/>
    <m/>
  </r>
  <r>
    <n v="44.5"/>
    <d v="2013-05-07T00:00:00"/>
    <x v="12"/>
    <s v="KMSS"/>
    <s v="Kachin"/>
    <s v="Myitkyina"/>
    <s v="Pa Dauk Myaing(Pa La Na)"/>
    <n v="149"/>
    <m/>
    <m/>
    <m/>
    <m/>
    <m/>
    <m/>
    <m/>
    <m/>
    <m/>
    <m/>
    <m/>
    <m/>
    <m/>
    <m/>
    <m/>
    <m/>
    <n v="0"/>
    <n v="0"/>
    <n v="0"/>
    <n v="0"/>
    <n v="0"/>
    <n v="0"/>
    <n v="0"/>
    <n v="0"/>
    <n v="0"/>
    <n v="0"/>
    <n v="0"/>
    <n v="0"/>
    <n v="0"/>
    <n v="0"/>
    <x v="0"/>
    <n v="0"/>
    <n v="0"/>
    <n v="0"/>
    <s v="MMR001CMP162"/>
    <x v="0"/>
    <x v="1"/>
    <x v="1"/>
    <n v="0"/>
    <s v="No"/>
    <m/>
  </r>
  <r>
    <n v="45.633333333333333"/>
    <d v="2013-04-03T00:00:00"/>
    <x v="0"/>
    <s v="UNHCR"/>
    <s v="Kachin"/>
    <s v="Waingmaw"/>
    <s v="Maina AG Church"/>
    <m/>
    <m/>
    <n v="15"/>
    <n v="22"/>
    <n v="11"/>
    <n v="22"/>
    <n v="11"/>
    <n v="11"/>
    <n v="11"/>
    <n v="11"/>
    <m/>
    <m/>
    <m/>
    <m/>
    <m/>
    <m/>
    <m/>
    <n v="0"/>
    <n v="0"/>
    <n v="0"/>
    <n v="0"/>
    <n v="0"/>
    <n v="0"/>
    <n v="0"/>
    <n v="0"/>
    <n v="0"/>
    <n v="0"/>
    <n v="0"/>
    <n v="0"/>
    <n v="0"/>
    <n v="0"/>
    <x v="0"/>
    <n v="0"/>
    <n v="0"/>
    <n v="0"/>
    <s v="MMR001CMP031"/>
    <x v="0"/>
    <x v="1"/>
    <x v="1"/>
    <n v="2.6534156696256272E-4"/>
    <s v="No"/>
    <m/>
  </r>
  <r>
    <n v="45.633333333333333"/>
    <d v="2013-04-03T00:00:00"/>
    <x v="0"/>
    <s v="UNHCR"/>
    <s v="Kachin"/>
    <s v="Waingmaw"/>
    <s v="Waingmaw AG Church"/>
    <m/>
    <m/>
    <n v="4"/>
    <n v="7"/>
    <n v="3"/>
    <n v="7"/>
    <n v="3"/>
    <n v="3"/>
    <n v="3"/>
    <n v="3"/>
    <m/>
    <m/>
    <m/>
    <m/>
    <m/>
    <m/>
    <m/>
    <n v="0"/>
    <n v="0"/>
    <n v="0"/>
    <n v="0"/>
    <n v="0"/>
    <n v="0"/>
    <n v="0"/>
    <n v="0"/>
    <n v="0"/>
    <n v="0"/>
    <n v="0"/>
    <n v="0"/>
    <n v="0"/>
    <n v="0"/>
    <x v="0"/>
    <n v="0"/>
    <n v="0"/>
    <n v="0"/>
    <s v="MMR001CMP038"/>
    <x v="0"/>
    <x v="1"/>
    <x v="1"/>
    <n v="7.3443008225616919E-5"/>
    <s v="No"/>
    <m/>
  </r>
  <r>
    <n v="45.8"/>
    <d v="2013-03-29T00:00:00"/>
    <x v="11"/>
    <s v="MRCS"/>
    <s v="Kachin"/>
    <s v="Sumprabum"/>
    <s v="Sumprabum"/>
    <m/>
    <m/>
    <n v="6"/>
    <m/>
    <m/>
    <m/>
    <n v="6"/>
    <m/>
    <n v="0"/>
    <n v="0"/>
    <m/>
    <m/>
    <m/>
    <m/>
    <m/>
    <m/>
    <m/>
    <n v="0"/>
    <n v="0"/>
    <n v="0"/>
    <n v="0"/>
    <n v="0"/>
    <n v="0"/>
    <n v="0"/>
    <n v="0"/>
    <n v="0"/>
    <n v="0"/>
    <n v="0"/>
    <n v="0"/>
    <n v="0"/>
    <n v="0"/>
    <x v="0"/>
    <n v="0"/>
    <n v="0"/>
    <n v="0"/>
    <s v="MMR001CMP206"/>
    <x v="0"/>
    <x v="1"/>
    <x v="1"/>
    <s v=""/>
    <s v="No"/>
    <m/>
  </r>
  <r>
    <n v="46.06666666666667"/>
    <d v="2013-03-21T00:00:00"/>
    <x v="0"/>
    <s v="UNHCR"/>
    <s v="Kachin"/>
    <s v="Hpakant"/>
    <s v="Lisu Baptist Church, Maw Shan Vil,. Seik Mu"/>
    <m/>
    <m/>
    <n v="34"/>
    <n v="40"/>
    <n v="40"/>
    <n v="75"/>
    <n v="40"/>
    <n v="75"/>
    <n v="75"/>
    <n v="75"/>
    <m/>
    <m/>
    <m/>
    <m/>
    <m/>
    <m/>
    <m/>
    <n v="0"/>
    <n v="0"/>
    <n v="0"/>
    <n v="0"/>
    <n v="0"/>
    <n v="0"/>
    <n v="0"/>
    <n v="0"/>
    <n v="0"/>
    <n v="0"/>
    <n v="0"/>
    <n v="0"/>
    <n v="0"/>
    <n v="0"/>
    <x v="0"/>
    <n v="0"/>
    <n v="0"/>
    <n v="0"/>
    <s v="MMR001CMP181"/>
    <x v="0"/>
    <x v="1"/>
    <x v="1"/>
    <n v="9.6910963052695336E-4"/>
    <s v="No"/>
    <m/>
  </r>
  <r>
    <n v="46.06666666666667"/>
    <d v="2013-03-21T00:00:00"/>
    <x v="0"/>
    <s v="UNHCR"/>
    <s v="Kachin"/>
    <s v="Hpakant"/>
    <s v="Rawan Baptist Church, Maw Shan Vil., Seik Mu"/>
    <m/>
    <m/>
    <n v="15"/>
    <n v="8"/>
    <n v="8"/>
    <n v="17"/>
    <n v="8"/>
    <n v="17"/>
    <n v="17"/>
    <n v="17"/>
    <m/>
    <m/>
    <m/>
    <m/>
    <m/>
    <m/>
    <m/>
    <n v="0"/>
    <n v="0"/>
    <n v="0"/>
    <n v="0"/>
    <n v="0"/>
    <n v="0"/>
    <n v="0"/>
    <n v="0"/>
    <n v="0"/>
    <n v="0"/>
    <n v="0"/>
    <n v="0"/>
    <n v="0"/>
    <n v="0"/>
    <x v="0"/>
    <n v="0"/>
    <n v="0"/>
    <n v="0"/>
    <s v="MMR001CMP182"/>
    <x v="0"/>
    <x v="1"/>
    <x v="1"/>
    <n v="1.9382192610539067E-4"/>
    <s v="No"/>
    <m/>
  </r>
  <r>
    <n v="46.1"/>
    <d v="2013-03-20T00:00:00"/>
    <x v="0"/>
    <s v="UNHCR"/>
    <s v="Kachin"/>
    <s v="Hpakant"/>
    <s v="AG Church, Maw Wan"/>
    <m/>
    <m/>
    <n v="24"/>
    <n v="17"/>
    <n v="17"/>
    <n v="41"/>
    <n v="17"/>
    <n v="41"/>
    <n v="41"/>
    <n v="41"/>
    <m/>
    <m/>
    <m/>
    <m/>
    <m/>
    <m/>
    <m/>
    <n v="0"/>
    <n v="0"/>
    <n v="0"/>
    <n v="0"/>
    <n v="0"/>
    <n v="0"/>
    <n v="0"/>
    <n v="0"/>
    <n v="0"/>
    <n v="0"/>
    <n v="0"/>
    <n v="0"/>
    <n v="0"/>
    <n v="0"/>
    <x v="0"/>
    <n v="0"/>
    <n v="0"/>
    <n v="0"/>
    <s v="MMR001CMP190"/>
    <x v="0"/>
    <x v="1"/>
    <x v="1"/>
    <n v="4.1187159297395516E-4"/>
    <s v="No"/>
    <m/>
  </r>
  <r>
    <n v="46.1"/>
    <d v="2013-03-20T00:00:00"/>
    <x v="0"/>
    <s v="UNHCR"/>
    <s v="Kachin"/>
    <s v="Hpakant"/>
    <s v="Chin Church, Seik Mu"/>
    <m/>
    <m/>
    <n v="3"/>
    <n v="8"/>
    <n v="8"/>
    <n v="15"/>
    <n v="8"/>
    <n v="15"/>
    <n v="15"/>
    <n v="15"/>
    <m/>
    <m/>
    <m/>
    <m/>
    <m/>
    <m/>
    <m/>
    <n v="0"/>
    <n v="0"/>
    <n v="0"/>
    <n v="0"/>
    <n v="0"/>
    <n v="0"/>
    <n v="0"/>
    <n v="0"/>
    <n v="0"/>
    <n v="0"/>
    <n v="0"/>
    <n v="0"/>
    <n v="0"/>
    <n v="0"/>
    <x v="0"/>
    <n v="0"/>
    <n v="0"/>
    <n v="0"/>
    <s v="MMR001CMP109"/>
    <x v="0"/>
    <x v="1"/>
    <x v="1"/>
    <n v="1.9283148938221612E-4"/>
    <s v="No"/>
    <m/>
  </r>
  <r>
    <n v="46.1"/>
    <d v="2013-03-20T00:00:00"/>
    <x v="0"/>
    <s v="UNHCR"/>
    <s v="Kachin"/>
    <s v="Hpakant"/>
    <s v="Lisu Baptist Church, Maw Wan Ward"/>
    <m/>
    <m/>
    <n v="32"/>
    <n v="27"/>
    <n v="27"/>
    <n v="66"/>
    <n v="27"/>
    <n v="66"/>
    <n v="66"/>
    <n v="66"/>
    <m/>
    <m/>
    <m/>
    <m/>
    <m/>
    <m/>
    <m/>
    <n v="0"/>
    <n v="0"/>
    <n v="0"/>
    <n v="0"/>
    <n v="0"/>
    <n v="0"/>
    <n v="0"/>
    <n v="0"/>
    <n v="0"/>
    <n v="0"/>
    <n v="0"/>
    <n v="0"/>
    <n v="0"/>
    <n v="0"/>
    <x v="0"/>
    <n v="0"/>
    <n v="0"/>
    <n v="0"/>
    <s v="MMR001CMP167"/>
    <x v="0"/>
    <x v="1"/>
    <x v="1"/>
    <n v="6.5414900060569347E-4"/>
    <s v="No"/>
    <m/>
  </r>
  <r>
    <n v="46.1"/>
    <d v="2013-03-20T00:00:00"/>
    <x v="0"/>
    <s v="UNHCR"/>
    <s v="Kachin"/>
    <s v="Hpakant"/>
    <s v="Maw Wan, Mu-yin Baptist Church"/>
    <m/>
    <m/>
    <n v="17"/>
    <n v="17"/>
    <n v="17"/>
    <n v="41"/>
    <n v="17"/>
    <n v="41"/>
    <n v="41"/>
    <n v="41"/>
    <m/>
    <m/>
    <m/>
    <m/>
    <m/>
    <m/>
    <m/>
    <n v="0"/>
    <n v="0"/>
    <n v="0"/>
    <n v="0"/>
    <n v="0"/>
    <n v="0"/>
    <n v="0"/>
    <n v="0"/>
    <n v="0"/>
    <n v="0"/>
    <n v="0"/>
    <n v="0"/>
    <n v="0"/>
    <n v="0"/>
    <x v="0"/>
    <n v="0"/>
    <n v="0"/>
    <n v="0"/>
    <s v="MMR001CMP091"/>
    <x v="0"/>
    <x v="1"/>
    <x v="1"/>
    <n v="4.1340401731433294E-4"/>
    <s v="No"/>
    <m/>
  </r>
  <r>
    <n v="46.1"/>
    <d v="2013-03-20T00:00:00"/>
    <x v="0"/>
    <s v="UNHCR"/>
    <s v="Kachin"/>
    <s v="Hpakant"/>
    <s v="Anglican Church, Hmaw Si Sar"/>
    <m/>
    <m/>
    <n v="38"/>
    <n v="11"/>
    <n v="11"/>
    <n v="87"/>
    <n v="11"/>
    <n v="26"/>
    <n v="26"/>
    <n v="26"/>
    <m/>
    <m/>
    <m/>
    <m/>
    <m/>
    <m/>
    <m/>
    <n v="0"/>
    <n v="0"/>
    <n v="0"/>
    <n v="0"/>
    <n v="0"/>
    <n v="0"/>
    <n v="0"/>
    <n v="0"/>
    <n v="0"/>
    <n v="0"/>
    <n v="0"/>
    <n v="0"/>
    <n v="0"/>
    <n v="0"/>
    <x v="0"/>
    <n v="0"/>
    <n v="0"/>
    <n v="0"/>
    <s v="MMR001CMP173"/>
    <x v="0"/>
    <x v="0"/>
    <x v="0"/>
    <s v=""/>
    <s v="No"/>
    <m/>
  </r>
  <r>
    <n v="46.1"/>
    <d v="2013-03-20T00:00:00"/>
    <x v="0"/>
    <s v="UNHCR"/>
    <s v="Kachin"/>
    <s v="Hpakant"/>
    <s v="Chin(Zomi) Baptist Church"/>
    <m/>
    <m/>
    <n v="9"/>
    <n v="6"/>
    <n v="6"/>
    <n v="15"/>
    <n v="6"/>
    <n v="15"/>
    <n v="15"/>
    <n v="15"/>
    <m/>
    <m/>
    <m/>
    <m/>
    <m/>
    <m/>
    <m/>
    <n v="0"/>
    <n v="0"/>
    <n v="0"/>
    <n v="0"/>
    <n v="0"/>
    <n v="0"/>
    <n v="0"/>
    <n v="0"/>
    <n v="0"/>
    <n v="0"/>
    <n v="0"/>
    <n v="0"/>
    <n v="0"/>
    <n v="0"/>
    <x v="0"/>
    <n v="0"/>
    <n v="0"/>
    <n v="0"/>
    <s v="MMR001CMP086"/>
    <x v="0"/>
    <x v="0"/>
    <x v="0"/>
    <s v=""/>
    <s v="No"/>
    <m/>
  </r>
  <r>
    <n v="46.1"/>
    <d v="2013-03-20T00:00:00"/>
    <x v="0"/>
    <s v="UNHCR"/>
    <s v="Kachin"/>
    <s v="Hpakant"/>
    <s v="Maw Wan, Kachin Baptist Church"/>
    <m/>
    <m/>
    <n v="18"/>
    <n v="17"/>
    <n v="17"/>
    <n v="42"/>
    <n v="17"/>
    <n v="42"/>
    <n v="42"/>
    <n v="42"/>
    <m/>
    <m/>
    <m/>
    <m/>
    <m/>
    <m/>
    <m/>
    <n v="0"/>
    <n v="0"/>
    <n v="0"/>
    <n v="0"/>
    <n v="0"/>
    <n v="0"/>
    <n v="0"/>
    <n v="0"/>
    <n v="0"/>
    <n v="0"/>
    <n v="0"/>
    <n v="0"/>
    <n v="0"/>
    <n v="0"/>
    <x v="0"/>
    <n v="0"/>
    <n v="0"/>
    <n v="0"/>
    <s v="MMR001CMP085"/>
    <x v="0"/>
    <x v="0"/>
    <x v="0"/>
    <s v=""/>
    <s v="No"/>
    <m/>
  </r>
  <r>
    <n v="46.1"/>
    <d v="2013-03-20T00:00:00"/>
    <x v="0"/>
    <s v="UNHCR"/>
    <s v="Kachin"/>
    <s v="Hpakant"/>
    <s v="Muring Baptist Church, Awng Ra, Wa Ra Zut VT"/>
    <m/>
    <m/>
    <n v="48"/>
    <n v="48"/>
    <n v="48"/>
    <n v="98"/>
    <n v="48"/>
    <n v="98"/>
    <n v="98"/>
    <n v="98"/>
    <m/>
    <m/>
    <m/>
    <m/>
    <m/>
    <m/>
    <m/>
    <n v="0"/>
    <n v="0"/>
    <n v="0"/>
    <n v="0"/>
    <n v="0"/>
    <n v="0"/>
    <n v="0"/>
    <n v="0"/>
    <n v="0"/>
    <n v="0"/>
    <n v="0"/>
    <n v="0"/>
    <n v="0"/>
    <n v="0"/>
    <x v="0"/>
    <n v="0"/>
    <n v="0"/>
    <n v="0"/>
    <s v="MMR001CMP177"/>
    <x v="0"/>
    <x v="0"/>
    <x v="0"/>
    <n v="1.162931556632344E-3"/>
    <s v="No"/>
    <m/>
  </r>
  <r>
    <n v="46.1"/>
    <d v="2013-03-20T00:00:00"/>
    <x v="0"/>
    <s v="UNHCR"/>
    <s v="Kachin"/>
    <s v="Hpakant"/>
    <s v="Wrad(5) Christian Association"/>
    <m/>
    <m/>
    <n v="34"/>
    <n v="26"/>
    <n v="26"/>
    <n v="60"/>
    <n v="26"/>
    <n v="60"/>
    <n v="60"/>
    <n v="60"/>
    <m/>
    <m/>
    <m/>
    <m/>
    <m/>
    <m/>
    <m/>
    <n v="0"/>
    <n v="0"/>
    <n v="0"/>
    <n v="0"/>
    <n v="0"/>
    <n v="0"/>
    <n v="0"/>
    <n v="0"/>
    <n v="0"/>
    <n v="0"/>
    <n v="0"/>
    <n v="0"/>
    <n v="0"/>
    <n v="0"/>
    <x v="0"/>
    <n v="0"/>
    <n v="0"/>
    <n v="0"/>
    <s v="MMR001CMP175"/>
    <x v="0"/>
    <x v="0"/>
    <x v="0"/>
    <s v=""/>
    <s v="No"/>
    <m/>
  </r>
  <r>
    <n v="46.1"/>
    <d v="2013-03-20T00:00:00"/>
    <x v="0"/>
    <s v="UNHCR"/>
    <s v="Kachin"/>
    <s v="Hpakant"/>
    <s v="Zomee Baptist Church camp, Hmaw Wan"/>
    <m/>
    <m/>
    <n v="6"/>
    <n v="0"/>
    <n v="0"/>
    <n v="11"/>
    <n v="0"/>
    <n v="0"/>
    <m/>
    <m/>
    <m/>
    <m/>
    <m/>
    <m/>
    <m/>
    <m/>
    <m/>
    <n v="0"/>
    <n v="0"/>
    <n v="0"/>
    <n v="0"/>
    <n v="0"/>
    <n v="0"/>
    <n v="0"/>
    <n v="0"/>
    <n v="0"/>
    <n v="0"/>
    <n v="0"/>
    <n v="0"/>
    <n v="0"/>
    <n v="0"/>
    <x v="0"/>
    <n v="0"/>
    <n v="0"/>
    <n v="0"/>
    <s v="MMR001CMP201"/>
    <x v="0"/>
    <x v="0"/>
    <x v="0"/>
    <s v=""/>
    <s v="No"/>
    <m/>
  </r>
  <r>
    <n v="46.1"/>
    <d v="2013-03-20T00:00:00"/>
    <x v="0"/>
    <s v="UNHCR"/>
    <s v="Kachin"/>
    <s v="Hpakant"/>
    <s v="Ward 2 Sai Taung Baptist Church, Seik Mu "/>
    <m/>
    <m/>
    <n v="124"/>
    <n v="117"/>
    <n v="121"/>
    <n v="227"/>
    <n v="122"/>
    <n v="263"/>
    <n v="263"/>
    <n v="263"/>
    <m/>
    <m/>
    <m/>
    <m/>
    <m/>
    <m/>
    <m/>
    <n v="0"/>
    <n v="0"/>
    <n v="0"/>
    <n v="0"/>
    <n v="0"/>
    <n v="0"/>
    <n v="0"/>
    <n v="0"/>
    <n v="0"/>
    <n v="0"/>
    <n v="0"/>
    <n v="0"/>
    <n v="0"/>
    <n v="0"/>
    <x v="0"/>
    <n v="0"/>
    <n v="0"/>
    <n v="0"/>
    <s v="MMR001CMP184"/>
    <x v="0"/>
    <x v="1"/>
    <x v="1"/>
    <n v="2.9557843731072078E-3"/>
    <s v="No"/>
    <m/>
  </r>
  <r>
    <n v="46.56666666666667"/>
    <d v="2013-03-06T00:00:00"/>
    <x v="0"/>
    <s v="UNHCR"/>
    <s v="Kachin"/>
    <s v="Waingmaw"/>
    <s v="Maina KBC (Bawng Ring)"/>
    <m/>
    <m/>
    <n v="34"/>
    <n v="73"/>
    <n v="38"/>
    <n v="73"/>
    <n v="38"/>
    <n v="33"/>
    <n v="33"/>
    <n v="33"/>
    <m/>
    <m/>
    <m/>
    <m/>
    <m/>
    <m/>
    <m/>
    <n v="0"/>
    <n v="0"/>
    <n v="0"/>
    <n v="0"/>
    <n v="0"/>
    <n v="0"/>
    <n v="0"/>
    <n v="0"/>
    <n v="0"/>
    <n v="0"/>
    <n v="0"/>
    <n v="0"/>
    <n v="0"/>
    <n v="0"/>
    <x v="0"/>
    <n v="0"/>
    <n v="0"/>
    <n v="0"/>
    <s v="MMR001CMP040"/>
    <x v="0"/>
    <x v="1"/>
    <x v="1"/>
    <n v="9.2545237573366456E-4"/>
    <s v="No"/>
    <m/>
  </r>
  <r>
    <n v="46.56666666666667"/>
    <d v="2013-03-06T00:00:00"/>
    <x v="0"/>
    <s v="UNHCR"/>
    <s v="Kachin"/>
    <s v="Waingmaw"/>
    <s v="Qtr. 2 Lhaovo Baptist Church"/>
    <m/>
    <m/>
    <n v="6"/>
    <n v="11"/>
    <n v="5"/>
    <n v="11"/>
    <n v="5"/>
    <n v="5"/>
    <n v="5"/>
    <n v="5"/>
    <m/>
    <m/>
    <m/>
    <m/>
    <m/>
    <m/>
    <m/>
    <n v="0"/>
    <n v="0"/>
    <n v="0"/>
    <n v="0"/>
    <n v="0"/>
    <n v="0"/>
    <n v="0"/>
    <n v="0"/>
    <n v="0"/>
    <n v="0"/>
    <n v="0"/>
    <n v="0"/>
    <n v="0"/>
    <n v="0"/>
    <x v="0"/>
    <n v="0"/>
    <n v="0"/>
    <n v="0"/>
    <s v="MMR001CMP032"/>
    <x v="0"/>
    <x v="1"/>
    <x v="1"/>
    <n v="1.2277470841006753E-4"/>
    <s v="No"/>
    <m/>
  </r>
  <r>
    <n v="46.666666666666664"/>
    <d v="2013-03-03T00:00:00"/>
    <x v="1"/>
    <s v="Solidarities"/>
    <s v="Kachin"/>
    <s v="Momauk"/>
    <s v="Seng Ja "/>
    <n v="33"/>
    <m/>
    <m/>
    <m/>
    <m/>
    <m/>
    <m/>
    <m/>
    <n v="0"/>
    <n v="0"/>
    <m/>
    <m/>
    <m/>
    <m/>
    <m/>
    <m/>
    <m/>
    <n v="0"/>
    <n v="0"/>
    <n v="0"/>
    <n v="0"/>
    <n v="0"/>
    <n v="0"/>
    <n v="0"/>
    <n v="0"/>
    <n v="0"/>
    <n v="0"/>
    <n v="0"/>
    <n v="0"/>
    <n v="0"/>
    <n v="0"/>
    <x v="0"/>
    <n v="0"/>
    <n v="0"/>
    <n v="0"/>
    <s v="MMR001CMP073"/>
    <x v="0"/>
    <x v="1"/>
    <x v="2"/>
    <n v="0"/>
    <s v="No"/>
    <m/>
  </r>
  <r>
    <n v="46.7"/>
    <d v="2013-03-02T00:00:00"/>
    <x v="1"/>
    <s v="Solidarities"/>
    <s v="Kachin"/>
    <s v="Momauk"/>
    <s v="Loi Je Baptist Church"/>
    <n v="3"/>
    <m/>
    <m/>
    <m/>
    <m/>
    <m/>
    <m/>
    <m/>
    <n v="0"/>
    <n v="0"/>
    <m/>
    <m/>
    <m/>
    <m/>
    <m/>
    <m/>
    <m/>
    <n v="0"/>
    <n v="0"/>
    <n v="0"/>
    <n v="0"/>
    <n v="0"/>
    <n v="0"/>
    <n v="0"/>
    <n v="0"/>
    <n v="0"/>
    <n v="0"/>
    <n v="0"/>
    <n v="0"/>
    <n v="0"/>
    <n v="0"/>
    <x v="0"/>
    <n v="0"/>
    <n v="0"/>
    <n v="0"/>
    <s v="MMR001CMP071"/>
    <x v="0"/>
    <x v="1"/>
    <x v="2"/>
    <n v="0"/>
    <s v="No"/>
    <m/>
  </r>
  <r>
    <n v="46.7"/>
    <d v="2013-03-02T00:00:00"/>
    <x v="1"/>
    <s v="Solidarities"/>
    <s v="Kachin"/>
    <s v="Momauk"/>
    <s v="Loi Je Lisu Camp"/>
    <n v="368"/>
    <m/>
    <m/>
    <m/>
    <m/>
    <m/>
    <m/>
    <m/>
    <n v="0"/>
    <n v="0"/>
    <m/>
    <m/>
    <m/>
    <m/>
    <m/>
    <m/>
    <m/>
    <n v="0"/>
    <n v="0"/>
    <n v="0"/>
    <n v="0"/>
    <n v="0"/>
    <n v="0"/>
    <n v="0"/>
    <n v="0"/>
    <n v="0"/>
    <n v="0"/>
    <n v="0"/>
    <n v="0"/>
    <n v="0"/>
    <n v="0"/>
    <x v="0"/>
    <n v="0"/>
    <n v="0"/>
    <n v="0"/>
    <s v="MMR001CMP070"/>
    <x v="0"/>
    <x v="1"/>
    <x v="2"/>
    <n v="0"/>
    <s v="No"/>
    <m/>
  </r>
  <r>
    <n v="46.7"/>
    <d v="2013-03-02T00:00:00"/>
    <x v="1"/>
    <s v="Solidarities"/>
    <s v="Kachin"/>
    <s v="Mansi"/>
    <s v="Man Wing Catholic Church"/>
    <n v="1542"/>
    <m/>
    <m/>
    <m/>
    <m/>
    <m/>
    <m/>
    <m/>
    <n v="0"/>
    <n v="0"/>
    <m/>
    <m/>
    <m/>
    <m/>
    <m/>
    <m/>
    <m/>
    <n v="0"/>
    <n v="0"/>
    <n v="0"/>
    <n v="0"/>
    <n v="0"/>
    <n v="0"/>
    <n v="0"/>
    <n v="0"/>
    <n v="0"/>
    <n v="0"/>
    <n v="0"/>
    <n v="0"/>
    <n v="0"/>
    <n v="0"/>
    <x v="0"/>
    <n v="0"/>
    <n v="0"/>
    <n v="0"/>
    <s v="MMR001CMP132"/>
    <x v="0"/>
    <x v="1"/>
    <x v="1"/>
    <n v="0"/>
    <s v="No"/>
    <m/>
  </r>
  <r>
    <n v="46.8"/>
    <d v="2013-02-27T00:00:00"/>
    <x v="0"/>
    <s v="UNHCR"/>
    <s v="Kachin"/>
    <s v="Waingmaw"/>
    <s v="Maina AG Church"/>
    <m/>
    <m/>
    <n v="23"/>
    <n v="40"/>
    <n v="18"/>
    <n v="40"/>
    <n v="18"/>
    <n v="18"/>
    <n v="18"/>
    <n v="18"/>
    <m/>
    <m/>
    <m/>
    <m/>
    <m/>
    <m/>
    <m/>
    <n v="0"/>
    <n v="0"/>
    <n v="0"/>
    <n v="0"/>
    <n v="0"/>
    <n v="0"/>
    <n v="0"/>
    <n v="0"/>
    <n v="0"/>
    <n v="0"/>
    <n v="0"/>
    <n v="0"/>
    <n v="0"/>
    <n v="0"/>
    <x v="0"/>
    <n v="0"/>
    <n v="0"/>
    <n v="0"/>
    <s v="MMR001CMP031"/>
    <x v="0"/>
    <x v="1"/>
    <x v="1"/>
    <n v="4.3419529139328446E-4"/>
    <s v="No"/>
    <m/>
  </r>
  <r>
    <n v="46.8"/>
    <d v="2013-02-27T00:00:00"/>
    <x v="1"/>
    <s v="Solidarities"/>
    <s v="Kachin"/>
    <s v="Mansi"/>
    <s v="Man Wing Baptist Church"/>
    <n v="595"/>
    <m/>
    <m/>
    <m/>
    <m/>
    <m/>
    <m/>
    <m/>
    <n v="0"/>
    <n v="0"/>
    <m/>
    <m/>
    <m/>
    <m/>
    <m/>
    <m/>
    <m/>
    <n v="0"/>
    <n v="0"/>
    <n v="0"/>
    <n v="0"/>
    <n v="0"/>
    <n v="0"/>
    <n v="0"/>
    <n v="0"/>
    <n v="0"/>
    <n v="0"/>
    <n v="0"/>
    <n v="0"/>
    <n v="0"/>
    <n v="0"/>
    <x v="0"/>
    <n v="0"/>
    <n v="0"/>
    <n v="0"/>
    <s v="MMR001CMP133"/>
    <x v="0"/>
    <x v="1"/>
    <x v="1"/>
    <n v="0"/>
    <s v="No"/>
    <m/>
  </r>
  <r>
    <n v="46.833333333333336"/>
    <d v="2013-02-26T00:00:00"/>
    <x v="11"/>
    <s v="MRCS"/>
    <s v="Kachin"/>
    <s v="Waingmaw"/>
    <s v="Hkat Cho "/>
    <m/>
    <m/>
    <n v="136"/>
    <m/>
    <n v="66"/>
    <m/>
    <n v="70"/>
    <m/>
    <n v="0"/>
    <n v="0"/>
    <m/>
    <m/>
    <m/>
    <m/>
    <m/>
    <m/>
    <m/>
    <n v="0"/>
    <n v="0"/>
    <n v="0"/>
    <n v="0"/>
    <n v="0"/>
    <n v="0"/>
    <n v="0"/>
    <n v="0"/>
    <n v="0"/>
    <n v="0"/>
    <n v="0"/>
    <n v="0"/>
    <n v="0"/>
    <n v="0"/>
    <x v="0"/>
    <n v="0"/>
    <n v="0"/>
    <n v="0"/>
    <s v="MMR001CMP028"/>
    <x v="0"/>
    <x v="1"/>
    <x v="1"/>
    <n v="1.7201130359995086E-3"/>
    <s v="No"/>
    <m/>
  </r>
  <r>
    <n v="46.833333333333336"/>
    <d v="2013-02-26T00:00:00"/>
    <x v="11"/>
    <s v="MRCS"/>
    <s v="Kachin"/>
    <s v="Myitkyina"/>
    <s v="Jan Mai Kawng Catholic Church"/>
    <m/>
    <m/>
    <n v="99"/>
    <m/>
    <n v="99"/>
    <m/>
    <m/>
    <m/>
    <n v="0"/>
    <n v="0"/>
    <m/>
    <m/>
    <m/>
    <m/>
    <m/>
    <m/>
    <m/>
    <n v="0"/>
    <n v="0"/>
    <n v="0"/>
    <n v="0"/>
    <n v="0"/>
    <n v="0"/>
    <n v="0"/>
    <n v="0"/>
    <n v="0"/>
    <n v="0"/>
    <n v="0"/>
    <n v="0"/>
    <n v="0"/>
    <n v="0"/>
    <x v="0"/>
    <n v="0"/>
    <n v="0"/>
    <n v="0"/>
    <s v="MMR001CMP019"/>
    <x v="0"/>
    <x v="1"/>
    <x v="1"/>
    <n v="0"/>
    <s v="No"/>
    <m/>
  </r>
  <r>
    <n v="46.866666666666667"/>
    <d v="2013-02-25T00:00:00"/>
    <x v="0"/>
    <s v="Chipwe CM"/>
    <s v="Kachin"/>
    <s v="Chipwi"/>
    <s v="Chipwi KBC camp"/>
    <m/>
    <m/>
    <n v="11"/>
    <n v="17"/>
    <n v="7"/>
    <n v="17"/>
    <n v="7"/>
    <n v="7"/>
    <n v="7"/>
    <n v="7"/>
    <m/>
    <m/>
    <m/>
    <m/>
    <m/>
    <m/>
    <m/>
    <n v="0"/>
    <n v="0"/>
    <n v="0"/>
    <n v="0"/>
    <n v="0"/>
    <n v="0"/>
    <n v="0"/>
    <n v="0"/>
    <n v="0"/>
    <n v="0"/>
    <n v="0"/>
    <n v="0"/>
    <n v="0"/>
    <n v="0"/>
    <x v="0"/>
    <n v="0"/>
    <n v="0"/>
    <n v="0"/>
    <s v="MMR001CMP042"/>
    <x v="0"/>
    <x v="1"/>
    <x v="5"/>
    <n v="1.6972165648336727E-4"/>
    <s v="No"/>
    <m/>
  </r>
  <r>
    <n v="46.866666666666667"/>
    <d v="2013-02-25T00:00:00"/>
    <x v="11"/>
    <s v="MRCS"/>
    <s v="Kachin"/>
    <s v="Waingmaw"/>
    <s v="Hkat Cho "/>
    <m/>
    <m/>
    <m/>
    <m/>
    <n v="1"/>
    <m/>
    <m/>
    <m/>
    <n v="0"/>
    <n v="0"/>
    <m/>
    <m/>
    <m/>
    <m/>
    <m/>
    <m/>
    <m/>
    <n v="0"/>
    <n v="0"/>
    <n v="0"/>
    <n v="0"/>
    <n v="0"/>
    <n v="0"/>
    <n v="0"/>
    <n v="0"/>
    <n v="0"/>
    <n v="0"/>
    <n v="0"/>
    <n v="0"/>
    <n v="0"/>
    <n v="0"/>
    <x v="0"/>
    <n v="0"/>
    <n v="0"/>
    <n v="0"/>
    <s v="MMR001CMP028"/>
    <x v="0"/>
    <x v="1"/>
    <x v="1"/>
    <n v="0"/>
    <s v="No"/>
    <m/>
  </r>
  <r>
    <n v="46.866666666666667"/>
    <d v="2013-02-25T00:00:00"/>
    <x v="0"/>
    <s v="Chipwe CM"/>
    <s v="Kachin"/>
    <s v="Chipwi"/>
    <s v="Hpare Hkyer - BP6"/>
    <m/>
    <m/>
    <n v="11"/>
    <n v="17"/>
    <n v="7"/>
    <n v="17"/>
    <n v="7"/>
    <n v="7"/>
    <n v="7"/>
    <n v="7"/>
    <m/>
    <m/>
    <m/>
    <m/>
    <m/>
    <m/>
    <m/>
    <n v="0"/>
    <n v="0"/>
    <n v="0"/>
    <n v="0"/>
    <n v="0"/>
    <n v="0"/>
    <n v="0"/>
    <n v="0"/>
    <n v="0"/>
    <n v="0"/>
    <n v="0"/>
    <n v="0"/>
    <n v="0"/>
    <n v="0"/>
    <x v="0"/>
    <n v="0"/>
    <n v="0"/>
    <n v="0"/>
    <s v="MMR001CMP043"/>
    <x v="0"/>
    <x v="1"/>
    <x v="5"/>
    <n v="1.7060687301974166E-4"/>
    <s v="No"/>
    <m/>
  </r>
  <r>
    <n v="46.866666666666667"/>
    <d v="2013-02-25T00:00:00"/>
    <x v="0"/>
    <s v="Chipwe CM"/>
    <s v="Kachin"/>
    <s v="Chipwi"/>
    <s v="Lan Jaw "/>
    <m/>
    <m/>
    <n v="11"/>
    <n v="17"/>
    <n v="7"/>
    <n v="17"/>
    <n v="7"/>
    <n v="7"/>
    <n v="7"/>
    <n v="7"/>
    <m/>
    <m/>
    <m/>
    <m/>
    <m/>
    <m/>
    <m/>
    <n v="0"/>
    <n v="0"/>
    <n v="0"/>
    <n v="0"/>
    <n v="0"/>
    <n v="0"/>
    <n v="0"/>
    <n v="0"/>
    <n v="0"/>
    <n v="0"/>
    <n v="0"/>
    <n v="0"/>
    <n v="0"/>
    <n v="0"/>
    <x v="0"/>
    <n v="0"/>
    <n v="0"/>
    <n v="0"/>
    <s v="MMR001CMP045"/>
    <x v="0"/>
    <x v="1"/>
    <x v="5"/>
    <s v=""/>
    <s v="No"/>
    <m/>
  </r>
  <r>
    <n v="46.866666666666667"/>
    <d v="2013-02-25T00:00:00"/>
    <x v="0"/>
    <s v="Chipwe CM"/>
    <s v="Kachin"/>
    <s v="Chipwi"/>
    <s v="Lhaovao Baptist Church (LBC)"/>
    <m/>
    <m/>
    <n v="12"/>
    <n v="17"/>
    <n v="7"/>
    <n v="17"/>
    <n v="7"/>
    <n v="7"/>
    <n v="7"/>
    <n v="7"/>
    <m/>
    <m/>
    <m/>
    <m/>
    <m/>
    <m/>
    <m/>
    <n v="0"/>
    <n v="0"/>
    <n v="0"/>
    <n v="0"/>
    <n v="0"/>
    <n v="0"/>
    <n v="0"/>
    <n v="0"/>
    <n v="0"/>
    <n v="0"/>
    <n v="0"/>
    <n v="0"/>
    <n v="0"/>
    <n v="0"/>
    <x v="0"/>
    <n v="0"/>
    <n v="0"/>
    <n v="0"/>
    <s v="MMR001CMP195"/>
    <x v="0"/>
    <x v="1"/>
    <x v="5"/>
    <n v="1.7098192476795311E-4"/>
    <s v="No"/>
    <m/>
  </r>
  <r>
    <n v="46.866666666666667"/>
    <d v="2013-02-25T00:00:00"/>
    <x v="11"/>
    <s v="MRCS"/>
    <s v="Kachin"/>
    <s v="Waingmaw"/>
    <s v="Maina KBC (Bawng Ring)"/>
    <m/>
    <m/>
    <n v="235"/>
    <m/>
    <n v="174"/>
    <m/>
    <n v="61"/>
    <m/>
    <n v="0"/>
    <n v="0"/>
    <m/>
    <m/>
    <m/>
    <m/>
    <m/>
    <m/>
    <m/>
    <n v="0"/>
    <n v="0"/>
    <n v="0"/>
    <n v="0"/>
    <n v="0"/>
    <n v="0"/>
    <n v="0"/>
    <n v="0"/>
    <n v="0"/>
    <n v="0"/>
    <n v="0"/>
    <n v="0"/>
    <n v="0"/>
    <n v="0"/>
    <x v="0"/>
    <n v="0"/>
    <n v="0"/>
    <n v="0"/>
    <s v="MMR001CMP040"/>
    <x v="0"/>
    <x v="1"/>
    <x v="1"/>
    <n v="1.4855946031514088E-3"/>
    <s v="No"/>
    <m/>
  </r>
  <r>
    <n v="46.866666666666667"/>
    <d v="2013-02-25T00:00:00"/>
    <x v="0"/>
    <s v="Chipwe CM"/>
    <s v="Kachin"/>
    <s v="Chipwi"/>
    <s v="Gant Gwin"/>
    <m/>
    <m/>
    <n v="11"/>
    <n v="17"/>
    <n v="7"/>
    <n v="17"/>
    <n v="7"/>
    <n v="7"/>
    <n v="7"/>
    <n v="7"/>
    <m/>
    <m/>
    <m/>
    <m/>
    <m/>
    <m/>
    <m/>
    <n v="0"/>
    <n v="0"/>
    <n v="0"/>
    <n v="0"/>
    <n v="0"/>
    <n v="0"/>
    <n v="0"/>
    <n v="0"/>
    <n v="0"/>
    <n v="0"/>
    <n v="0"/>
    <n v="0"/>
    <n v="0"/>
    <n v="0"/>
    <x v="0"/>
    <n v="0"/>
    <n v="0"/>
    <n v="0"/>
    <s v="MMR001CMP046"/>
    <x v="0"/>
    <x v="0"/>
    <x v="5"/>
    <s v=""/>
    <s v="No"/>
    <m/>
  </r>
  <r>
    <n v="46.866666666666667"/>
    <d v="2013-02-25T00:00:00"/>
    <x v="0"/>
    <s v="Chipwe CM"/>
    <s v="Kachin"/>
    <s v="Chipwi"/>
    <s v="Women's Affairs Association Building"/>
    <m/>
    <m/>
    <n v="12"/>
    <n v="18"/>
    <n v="8"/>
    <n v="18"/>
    <n v="8"/>
    <n v="8"/>
    <n v="8"/>
    <n v="8"/>
    <m/>
    <m/>
    <m/>
    <m/>
    <m/>
    <m/>
    <m/>
    <n v="0"/>
    <n v="0"/>
    <n v="0"/>
    <n v="0"/>
    <n v="0"/>
    <n v="0"/>
    <n v="0"/>
    <n v="0"/>
    <n v="0"/>
    <n v="0"/>
    <n v="0"/>
    <n v="0"/>
    <n v="0"/>
    <n v="0"/>
    <x v="0"/>
    <n v="0"/>
    <n v="0"/>
    <n v="0"/>
    <s v="MMR001CMP044"/>
    <x v="0"/>
    <x v="0"/>
    <x v="0"/>
    <s v=""/>
    <s v="No"/>
    <m/>
  </r>
  <r>
    <n v="47.033333333333331"/>
    <d v="2013-02-20T00:00:00"/>
    <x v="0"/>
    <s v="UNHCR"/>
    <s v="Kachin"/>
    <s v="Hpakant"/>
    <s v="AG Church, Maw Wan"/>
    <m/>
    <m/>
    <m/>
    <n v="59"/>
    <n v="28"/>
    <n v="0"/>
    <n v="28"/>
    <n v="28"/>
    <n v="28"/>
    <n v="28"/>
    <m/>
    <m/>
    <m/>
    <m/>
    <m/>
    <m/>
    <m/>
    <n v="0"/>
    <n v="0"/>
    <n v="0"/>
    <n v="0"/>
    <n v="0"/>
    <n v="0"/>
    <n v="0"/>
    <n v="0"/>
    <n v="0"/>
    <n v="0"/>
    <n v="0"/>
    <n v="0"/>
    <n v="0"/>
    <n v="0"/>
    <x v="0"/>
    <n v="0"/>
    <n v="0"/>
    <n v="0"/>
    <s v="MMR001CMP190"/>
    <x v="0"/>
    <x v="1"/>
    <x v="1"/>
    <n v="6.783767413688674E-4"/>
    <s v="No"/>
    <m/>
  </r>
  <r>
    <n v="47.033333333333331"/>
    <d v="2013-02-20T00:00:00"/>
    <x v="0"/>
    <s v="UNHCR"/>
    <s v="Kachin"/>
    <s v="Hpakant"/>
    <s v="Lisu Baptist Church, Maw Wan Ward"/>
    <m/>
    <m/>
    <n v="12"/>
    <n v="20"/>
    <n v="8"/>
    <n v="20"/>
    <n v="8"/>
    <n v="8"/>
    <n v="8"/>
    <n v="8"/>
    <m/>
    <m/>
    <m/>
    <m/>
    <m/>
    <m/>
    <m/>
    <n v="0"/>
    <n v="0"/>
    <n v="0"/>
    <n v="0"/>
    <n v="0"/>
    <n v="0"/>
    <n v="0"/>
    <n v="0"/>
    <n v="0"/>
    <n v="0"/>
    <n v="0"/>
    <n v="0"/>
    <n v="0"/>
    <n v="0"/>
    <x v="0"/>
    <n v="0"/>
    <n v="0"/>
    <n v="0"/>
    <s v="MMR001CMP167"/>
    <x v="0"/>
    <x v="1"/>
    <x v="1"/>
    <n v="1.9382192610539067E-4"/>
    <s v="No"/>
    <m/>
  </r>
  <r>
    <n v="47.033333333333331"/>
    <d v="2013-02-20T00:00:00"/>
    <x v="0"/>
    <s v="UNHCR"/>
    <s v="Kachin"/>
    <s v="Hpakant"/>
    <s v="Nant Ma Hpit Catholic Church"/>
    <m/>
    <m/>
    <n v="35"/>
    <n v="0"/>
    <n v="0"/>
    <n v="0"/>
    <n v="0"/>
    <n v="0"/>
    <m/>
    <m/>
    <m/>
    <m/>
    <m/>
    <m/>
    <m/>
    <m/>
    <m/>
    <n v="0"/>
    <n v="0"/>
    <n v="0"/>
    <n v="0"/>
    <n v="0"/>
    <n v="0"/>
    <n v="0"/>
    <n v="0"/>
    <n v="0"/>
    <n v="0"/>
    <n v="0"/>
    <n v="0"/>
    <n v="0"/>
    <n v="0"/>
    <x v="0"/>
    <n v="0"/>
    <n v="0"/>
    <n v="0"/>
    <s v="MMR001CMP103"/>
    <x v="0"/>
    <x v="1"/>
    <x v="1"/>
    <n v="0"/>
    <s v="No"/>
    <m/>
  </r>
  <r>
    <n v="47.033333333333331"/>
    <d v="2013-02-20T00:00:00"/>
    <x v="0"/>
    <s v="UNHCR"/>
    <s v="Kachin"/>
    <s v="Hpakant"/>
    <s v="Nant Ma Hpit Catholic Church"/>
    <m/>
    <m/>
    <n v="32"/>
    <n v="64"/>
    <n v="33"/>
    <n v="64"/>
    <n v="33"/>
    <n v="33"/>
    <n v="33"/>
    <n v="33"/>
    <m/>
    <m/>
    <m/>
    <m/>
    <m/>
    <m/>
    <m/>
    <n v="0"/>
    <n v="0"/>
    <n v="0"/>
    <n v="0"/>
    <n v="0"/>
    <n v="0"/>
    <n v="0"/>
    <n v="0"/>
    <n v="0"/>
    <n v="0"/>
    <n v="0"/>
    <n v="0"/>
    <n v="0"/>
    <n v="0"/>
    <x v="0"/>
    <n v="0"/>
    <n v="0"/>
    <n v="0"/>
    <s v="MMR001CMP103"/>
    <x v="0"/>
    <x v="1"/>
    <x v="1"/>
    <n v="7.954298937016415E-4"/>
    <s v="No"/>
    <m/>
  </r>
  <r>
    <n v="47.033333333333331"/>
    <d v="2013-02-20T00:00:00"/>
    <x v="0"/>
    <s v="UNHCR"/>
    <s v="Kachin"/>
    <s v="Hpakant"/>
    <s v="Aye Mya Tharyar Church of Christ "/>
    <m/>
    <m/>
    <n v="18"/>
    <n v="0"/>
    <n v="0"/>
    <n v="0"/>
    <n v="0"/>
    <n v="0"/>
    <m/>
    <m/>
    <m/>
    <m/>
    <m/>
    <m/>
    <m/>
    <m/>
    <m/>
    <n v="0"/>
    <n v="0"/>
    <n v="0"/>
    <n v="0"/>
    <n v="0"/>
    <n v="0"/>
    <n v="0"/>
    <n v="0"/>
    <n v="0"/>
    <n v="0"/>
    <n v="0"/>
    <n v="0"/>
    <n v="0"/>
    <n v="0"/>
    <x v="0"/>
    <n v="0"/>
    <n v="0"/>
    <n v="0"/>
    <s v="MMR001CMP092"/>
    <x v="0"/>
    <x v="0"/>
    <x v="0"/>
    <s v=""/>
    <s v="No"/>
    <m/>
  </r>
  <r>
    <n v="47.033333333333331"/>
    <d v="2013-02-20T00:00:00"/>
    <x v="0"/>
    <s v="UNHCR"/>
    <s v="Kachin"/>
    <s v="Hpakant"/>
    <s v="Chin(Zomi) Baptist Church"/>
    <m/>
    <m/>
    <n v="13"/>
    <n v="28"/>
    <n v="15"/>
    <n v="28"/>
    <n v="15"/>
    <n v="15"/>
    <n v="15"/>
    <n v="15"/>
    <m/>
    <m/>
    <m/>
    <m/>
    <m/>
    <m/>
    <m/>
    <n v="0"/>
    <n v="0"/>
    <n v="0"/>
    <n v="0"/>
    <n v="0"/>
    <n v="0"/>
    <n v="0"/>
    <n v="0"/>
    <n v="0"/>
    <n v="0"/>
    <n v="0"/>
    <n v="0"/>
    <n v="0"/>
    <n v="0"/>
    <x v="0"/>
    <n v="0"/>
    <n v="0"/>
    <n v="0"/>
    <s v="MMR001CMP086"/>
    <x v="0"/>
    <x v="0"/>
    <x v="0"/>
    <s v=""/>
    <s v="No"/>
    <m/>
  </r>
  <r>
    <n v="47.033333333333331"/>
    <d v="2013-02-20T00:00:00"/>
    <x v="0"/>
    <s v="UNHCR"/>
    <s v="Kachin"/>
    <s v="Hpakant"/>
    <s v="Mashi Kahtawng Baptist  Church"/>
    <m/>
    <m/>
    <n v="74"/>
    <n v="0"/>
    <n v="0"/>
    <n v="0"/>
    <n v="0"/>
    <n v="0"/>
    <m/>
    <m/>
    <m/>
    <m/>
    <m/>
    <m/>
    <m/>
    <m/>
    <m/>
    <n v="0"/>
    <n v="0"/>
    <n v="0"/>
    <n v="0"/>
    <n v="0"/>
    <n v="0"/>
    <n v="0"/>
    <n v="0"/>
    <n v="0"/>
    <n v="0"/>
    <n v="0"/>
    <n v="0"/>
    <n v="0"/>
    <n v="0"/>
    <x v="0"/>
    <n v="0"/>
    <n v="0"/>
    <n v="0"/>
    <s v="MMR001CMP094"/>
    <x v="0"/>
    <x v="0"/>
    <x v="0"/>
    <s v=""/>
    <s v="No"/>
    <m/>
  </r>
  <r>
    <n v="47.033333333333331"/>
    <d v="2013-02-20T00:00:00"/>
    <x v="0"/>
    <s v="UNHCR"/>
    <s v="Kachin"/>
    <s v="Hpakant"/>
    <s v="Mashi Kahtawng Catholic Church"/>
    <m/>
    <m/>
    <n v="16"/>
    <n v="26"/>
    <n v="13"/>
    <n v="26"/>
    <n v="13"/>
    <n v="13"/>
    <n v="13"/>
    <n v="13"/>
    <m/>
    <m/>
    <m/>
    <m/>
    <m/>
    <m/>
    <m/>
    <n v="0"/>
    <n v="0"/>
    <n v="0"/>
    <n v="0"/>
    <n v="0"/>
    <n v="0"/>
    <n v="0"/>
    <n v="0"/>
    <n v="0"/>
    <n v="0"/>
    <n v="0"/>
    <n v="0"/>
    <n v="0"/>
    <n v="0"/>
    <x v="0"/>
    <n v="0"/>
    <n v="0"/>
    <n v="0"/>
    <s v="MMR001CMP093"/>
    <x v="0"/>
    <x v="0"/>
    <x v="0"/>
    <s v=""/>
    <s v="No"/>
    <m/>
  </r>
  <r>
    <n v="47.033333333333331"/>
    <d v="2013-02-20T00:00:00"/>
    <x v="0"/>
    <s v="UNHCR"/>
    <s v="Kachin"/>
    <s v="Hpakant"/>
    <s v="Maw Wan, Kachin Baptist Church"/>
    <m/>
    <m/>
    <n v="85"/>
    <n v="138"/>
    <n v="65"/>
    <n v="138"/>
    <n v="65"/>
    <n v="65"/>
    <n v="65"/>
    <n v="65"/>
    <m/>
    <m/>
    <m/>
    <m/>
    <m/>
    <m/>
    <m/>
    <n v="0"/>
    <n v="0"/>
    <n v="0"/>
    <n v="0"/>
    <n v="0"/>
    <n v="0"/>
    <n v="0"/>
    <n v="0"/>
    <n v="0"/>
    <n v="0"/>
    <n v="0"/>
    <n v="0"/>
    <n v="0"/>
    <n v="0"/>
    <x v="0"/>
    <n v="0"/>
    <n v="0"/>
    <n v="0"/>
    <s v="MMR001CMP085"/>
    <x v="0"/>
    <x v="0"/>
    <x v="0"/>
    <s v=""/>
    <s v="No"/>
    <m/>
  </r>
  <r>
    <n v="47.033333333333331"/>
    <d v="2013-02-20T00:00:00"/>
    <x v="0"/>
    <s v="UNHCR"/>
    <s v="Kachin"/>
    <s v="Hpakant"/>
    <s v="Nga Pyaw Taw Baptist Nursery School "/>
    <m/>
    <m/>
    <n v="175"/>
    <n v="0"/>
    <n v="0"/>
    <n v="0"/>
    <n v="0"/>
    <n v="0"/>
    <m/>
    <m/>
    <m/>
    <m/>
    <m/>
    <m/>
    <m/>
    <m/>
    <m/>
    <n v="0"/>
    <n v="0"/>
    <n v="0"/>
    <n v="0"/>
    <n v="0"/>
    <n v="0"/>
    <n v="0"/>
    <n v="0"/>
    <n v="0"/>
    <n v="0"/>
    <n v="0"/>
    <n v="0"/>
    <n v="0"/>
    <n v="0"/>
    <x v="0"/>
    <n v="0"/>
    <n v="0"/>
    <n v="0"/>
    <s v="MMR001CMP082"/>
    <x v="0"/>
    <x v="0"/>
    <x v="0"/>
    <n v="0"/>
    <s v="No"/>
    <m/>
  </r>
  <r>
    <n v="47.033333333333331"/>
    <d v="2013-02-20T00:00:00"/>
    <x v="0"/>
    <s v="UNHCR"/>
    <s v="Kachin"/>
    <s v="Hpakant"/>
    <s v="Nga Pyaw Taw Roman Catholic Church"/>
    <m/>
    <m/>
    <n v="38"/>
    <n v="89"/>
    <n v="44"/>
    <n v="89"/>
    <n v="44"/>
    <n v="44"/>
    <n v="44"/>
    <n v="44"/>
    <m/>
    <m/>
    <m/>
    <m/>
    <m/>
    <m/>
    <m/>
    <n v="0"/>
    <n v="0"/>
    <n v="0"/>
    <n v="0"/>
    <n v="0"/>
    <n v="0"/>
    <n v="0"/>
    <n v="0"/>
    <n v="0"/>
    <n v="0"/>
    <n v="0"/>
    <n v="0"/>
    <n v="0"/>
    <n v="0"/>
    <x v="0"/>
    <n v="0"/>
    <n v="0"/>
    <n v="0"/>
    <s v="MMR001CMP083"/>
    <x v="0"/>
    <x v="0"/>
    <x v="0"/>
    <s v=""/>
    <s v="No"/>
    <m/>
  </r>
  <r>
    <n v="47.033333333333331"/>
    <d v="2013-02-20T00:00:00"/>
    <x v="0"/>
    <s v="UNHCR"/>
    <s v="Kachin"/>
    <s v="Hpakant"/>
    <s v="Zomee Baptist Church camp, Hmaw Wan"/>
    <m/>
    <m/>
    <m/>
    <n v="11"/>
    <n v="6"/>
    <n v="0"/>
    <n v="6"/>
    <n v="6"/>
    <n v="6"/>
    <n v="6"/>
    <m/>
    <m/>
    <m/>
    <m/>
    <m/>
    <m/>
    <m/>
    <n v="0"/>
    <n v="0"/>
    <n v="0"/>
    <n v="0"/>
    <n v="0"/>
    <n v="0"/>
    <n v="0"/>
    <n v="0"/>
    <n v="0"/>
    <n v="0"/>
    <n v="0"/>
    <n v="0"/>
    <n v="0"/>
    <n v="0"/>
    <x v="0"/>
    <n v="0"/>
    <n v="0"/>
    <n v="0"/>
    <s v="MMR001CMP201"/>
    <x v="0"/>
    <x v="0"/>
    <x v="0"/>
    <s v=""/>
    <s v="No"/>
    <m/>
  </r>
  <r>
    <n v="47.033333333333331"/>
    <d v="2013-02-20T00:00:00"/>
    <x v="0"/>
    <s v="UNHCR"/>
    <s v="Kachin"/>
    <s v="Hpakant"/>
    <s v="Yumar Baptist Church"/>
    <m/>
    <m/>
    <n v="46"/>
    <n v="0"/>
    <n v="0"/>
    <n v="0"/>
    <n v="0"/>
    <n v="0"/>
    <m/>
    <m/>
    <m/>
    <m/>
    <m/>
    <m/>
    <m/>
    <m/>
    <m/>
    <n v="0"/>
    <n v="0"/>
    <n v="0"/>
    <n v="0"/>
    <n v="0"/>
    <n v="0"/>
    <n v="0"/>
    <n v="0"/>
    <n v="0"/>
    <n v="0"/>
    <n v="0"/>
    <n v="0"/>
    <n v="0"/>
    <n v="0"/>
    <x v="0"/>
    <n v="0"/>
    <n v="0"/>
    <n v="0"/>
    <s v="MMR001CMP105"/>
    <x v="0"/>
    <x v="1"/>
    <x v="1"/>
    <n v="0"/>
    <s v="No"/>
    <m/>
  </r>
  <r>
    <n v="47.06666666666667"/>
    <d v="2013-02-19T00:00:00"/>
    <x v="0"/>
    <s v="UNHCR"/>
    <s v="Kachin"/>
    <s v="Hpakant"/>
    <s v="5 Ward Baptist Church(lon Khin)"/>
    <m/>
    <m/>
    <n v="18"/>
    <n v="30"/>
    <n v="17"/>
    <n v="64"/>
    <n v="17"/>
    <n v="17"/>
    <n v="17"/>
    <n v="17"/>
    <m/>
    <m/>
    <m/>
    <m/>
    <m/>
    <m/>
    <m/>
    <n v="0"/>
    <n v="0"/>
    <n v="0"/>
    <n v="0"/>
    <n v="0"/>
    <n v="0"/>
    <n v="0"/>
    <n v="0"/>
    <n v="0"/>
    <n v="0"/>
    <n v="0"/>
    <n v="0"/>
    <n v="0"/>
    <n v="0"/>
    <x v="0"/>
    <n v="0"/>
    <n v="0"/>
    <n v="0"/>
    <s v="MMR001CMP179"/>
    <x v="0"/>
    <x v="1"/>
    <x v="1"/>
    <n v="4.1187159297395516E-4"/>
    <s v="No"/>
    <m/>
  </r>
  <r>
    <n v="47.06666666666667"/>
    <d v="2013-02-19T00:00:00"/>
    <x v="0"/>
    <s v="UNHCR"/>
    <s v="Kachin"/>
    <s v="Hpakant"/>
    <s v="Dhama Rakhita, Nyein Chan Tar Yar Ward(Lon Khin)"/>
    <m/>
    <m/>
    <n v="74"/>
    <n v="105"/>
    <n v="59"/>
    <n v="105"/>
    <n v="59"/>
    <n v="59"/>
    <n v="59"/>
    <n v="59"/>
    <m/>
    <m/>
    <m/>
    <m/>
    <m/>
    <m/>
    <m/>
    <n v="0"/>
    <n v="0"/>
    <n v="0"/>
    <n v="0"/>
    <n v="0"/>
    <n v="0"/>
    <n v="0"/>
    <n v="0"/>
    <n v="0"/>
    <n v="0"/>
    <n v="0"/>
    <n v="0"/>
    <n v="0"/>
    <n v="0"/>
    <x v="0"/>
    <n v="0"/>
    <n v="0"/>
    <n v="0"/>
    <s v="MMR001CMP174"/>
    <x v="0"/>
    <x v="1"/>
    <x v="1"/>
    <n v="1.4294367050272563E-3"/>
    <s v="No"/>
    <m/>
  </r>
  <r>
    <n v="47.06666666666667"/>
    <d v="2013-02-19T00:00:00"/>
    <x v="0"/>
    <s v="UNHCR"/>
    <s v="Kachin"/>
    <s v="Hpakant"/>
    <s v="Nam Ma Phyit, COC"/>
    <m/>
    <m/>
    <n v="19"/>
    <n v="30"/>
    <n v="18"/>
    <n v="68"/>
    <n v="18"/>
    <n v="18"/>
    <n v="18"/>
    <n v="18"/>
    <m/>
    <m/>
    <m/>
    <m/>
    <m/>
    <m/>
    <m/>
    <n v="0"/>
    <n v="0"/>
    <n v="0"/>
    <n v="0"/>
    <n v="0"/>
    <n v="0"/>
    <n v="0"/>
    <n v="0"/>
    <n v="0"/>
    <n v="0"/>
    <n v="0"/>
    <n v="0"/>
    <n v="0"/>
    <n v="0"/>
    <x v="0"/>
    <n v="0"/>
    <n v="0"/>
    <n v="0"/>
    <s v="MMR001CMP192"/>
    <x v="0"/>
    <x v="1"/>
    <x v="1"/>
    <n v="4.3609933373712904E-4"/>
    <s v="No"/>
    <m/>
  </r>
  <r>
    <n v="47.06666666666667"/>
    <d v="2013-02-19T00:00:00"/>
    <x v="0"/>
    <s v="UNHCR"/>
    <s v="Kachin"/>
    <s v="Hpakant"/>
    <s v="1 Ward, Sein Yadanar Company(Lon Khin)"/>
    <m/>
    <m/>
    <n v="3"/>
    <n v="7"/>
    <n v="4"/>
    <n v="7"/>
    <n v="4"/>
    <n v="4"/>
    <n v="4"/>
    <n v="4"/>
    <m/>
    <m/>
    <m/>
    <m/>
    <m/>
    <m/>
    <m/>
    <n v="0"/>
    <n v="0"/>
    <n v="0"/>
    <n v="0"/>
    <n v="0"/>
    <n v="0"/>
    <n v="0"/>
    <n v="0"/>
    <n v="0"/>
    <n v="0"/>
    <n v="0"/>
    <n v="0"/>
    <n v="0"/>
    <n v="0"/>
    <x v="0"/>
    <n v="0"/>
    <n v="0"/>
    <n v="0"/>
    <s v="MMR001CMP171"/>
    <x v="0"/>
    <x v="0"/>
    <x v="0"/>
    <s v=""/>
    <s v="No"/>
    <m/>
  </r>
  <r>
    <n v="47.06666666666667"/>
    <d v="2013-02-19T00:00:00"/>
    <x v="0"/>
    <s v="UNHCR"/>
    <s v="Kachin"/>
    <s v="Hpakant"/>
    <s v="Anglican Church, Hmaw Si Sar"/>
    <m/>
    <m/>
    <n v="1"/>
    <n v="6"/>
    <n v="3"/>
    <n v="15"/>
    <n v="4"/>
    <n v="4"/>
    <n v="4"/>
    <n v="4"/>
    <m/>
    <m/>
    <m/>
    <m/>
    <m/>
    <m/>
    <m/>
    <n v="0"/>
    <n v="0"/>
    <n v="0"/>
    <n v="0"/>
    <n v="0"/>
    <n v="0"/>
    <n v="0"/>
    <n v="0"/>
    <n v="0"/>
    <n v="0"/>
    <n v="0"/>
    <n v="0"/>
    <n v="0"/>
    <n v="0"/>
    <x v="0"/>
    <n v="0"/>
    <n v="0"/>
    <n v="0"/>
    <s v="MMR001CMP173"/>
    <x v="0"/>
    <x v="0"/>
    <x v="0"/>
    <s v=""/>
    <s v="No"/>
    <m/>
  </r>
  <r>
    <n v="47.06666666666667"/>
    <d v="2013-02-19T00:00:00"/>
    <x v="0"/>
    <s v="UNHCR"/>
    <s v="Kachin"/>
    <s v="Hpakant"/>
    <s v="Anglican Church, Hmaw Si Sar"/>
    <m/>
    <m/>
    <n v="92"/>
    <n v="130"/>
    <n v="67"/>
    <n v="130"/>
    <n v="67"/>
    <n v="67"/>
    <n v="67"/>
    <n v="67"/>
    <m/>
    <m/>
    <m/>
    <m/>
    <m/>
    <m/>
    <m/>
    <n v="0"/>
    <n v="0"/>
    <n v="0"/>
    <n v="0"/>
    <n v="0"/>
    <n v="0"/>
    <n v="0"/>
    <n v="0"/>
    <n v="0"/>
    <n v="0"/>
    <n v="0"/>
    <n v="0"/>
    <n v="0"/>
    <n v="0"/>
    <x v="0"/>
    <n v="0"/>
    <n v="0"/>
    <n v="0"/>
    <s v="MMR001CMP173"/>
    <x v="0"/>
    <x v="0"/>
    <x v="0"/>
    <s v=""/>
    <s v="No"/>
    <m/>
  </r>
  <r>
    <n v="47.06666666666667"/>
    <d v="2013-02-19T00:00:00"/>
    <x v="0"/>
    <s v="UNHCR"/>
    <s v="Kachin"/>
    <s v="Hpakant"/>
    <s v="Away Yar Rama Monastery, Ka Day village"/>
    <m/>
    <m/>
    <n v="8"/>
    <n v="16"/>
    <n v="8"/>
    <n v="16"/>
    <n v="8"/>
    <n v="8"/>
    <n v="8"/>
    <n v="8"/>
    <m/>
    <m/>
    <m/>
    <m/>
    <m/>
    <m/>
    <m/>
    <n v="0"/>
    <n v="0"/>
    <n v="0"/>
    <n v="0"/>
    <n v="0"/>
    <n v="0"/>
    <n v="0"/>
    <n v="0"/>
    <n v="0"/>
    <n v="0"/>
    <n v="0"/>
    <n v="0"/>
    <n v="0"/>
    <n v="0"/>
    <x v="0"/>
    <n v="0"/>
    <n v="0"/>
    <n v="0"/>
    <s v="MMR001CMP170"/>
    <x v="0"/>
    <x v="0"/>
    <x v="0"/>
    <s v=""/>
    <s v="No"/>
    <m/>
  </r>
  <r>
    <n v="47.06666666666667"/>
    <d v="2013-02-19T00:00:00"/>
    <x v="0"/>
    <s v="UNHCR"/>
    <s v="Kachin"/>
    <s v="Hpakant"/>
    <s v="May Di Ka Rama Monastery(Lon Khin)"/>
    <m/>
    <m/>
    <n v="9"/>
    <n v="21"/>
    <n v="9"/>
    <n v="21"/>
    <n v="9"/>
    <n v="9"/>
    <n v="9"/>
    <n v="9"/>
    <m/>
    <m/>
    <m/>
    <m/>
    <m/>
    <m/>
    <m/>
    <n v="0"/>
    <n v="0"/>
    <n v="0"/>
    <n v="0"/>
    <n v="0"/>
    <n v="0"/>
    <n v="0"/>
    <n v="0"/>
    <n v="0"/>
    <n v="0"/>
    <n v="0"/>
    <n v="0"/>
    <n v="0"/>
    <n v="0"/>
    <x v="0"/>
    <n v="0"/>
    <n v="0"/>
    <n v="0"/>
    <s v="MMR001CMP178"/>
    <x v="0"/>
    <x v="0"/>
    <x v="0"/>
    <s v=""/>
    <s v="No"/>
    <m/>
  </r>
  <r>
    <n v="47.06666666666667"/>
    <d v="2013-02-19T00:00:00"/>
    <x v="0"/>
    <s v="UNHCR"/>
    <s v="Kachin"/>
    <s v="Hpakant"/>
    <s v="Wrad(5) Christian Association"/>
    <m/>
    <m/>
    <n v="2"/>
    <n v="3"/>
    <n v="2"/>
    <n v="7"/>
    <n v="2"/>
    <n v="2"/>
    <n v="2"/>
    <n v="2"/>
    <m/>
    <m/>
    <m/>
    <m/>
    <m/>
    <m/>
    <m/>
    <n v="0"/>
    <n v="0"/>
    <n v="0"/>
    <n v="0"/>
    <n v="0"/>
    <n v="0"/>
    <n v="0"/>
    <n v="0"/>
    <n v="0"/>
    <n v="0"/>
    <n v="0"/>
    <n v="0"/>
    <n v="0"/>
    <n v="0"/>
    <x v="0"/>
    <n v="0"/>
    <n v="0"/>
    <n v="0"/>
    <s v="MMR001CMP175"/>
    <x v="0"/>
    <x v="0"/>
    <x v="0"/>
    <s v=""/>
    <s v="No"/>
    <m/>
  </r>
  <r>
    <n v="47.1"/>
    <d v="2013-02-18T00:00:00"/>
    <x v="0"/>
    <s v="UNHCR"/>
    <s v="Kachin"/>
    <s v="Hpakant"/>
    <s v="Hlaing Naung Baptist"/>
    <m/>
    <m/>
    <n v="30"/>
    <n v="0"/>
    <n v="0"/>
    <n v="0"/>
    <n v="0"/>
    <n v="0"/>
    <m/>
    <m/>
    <m/>
    <m/>
    <m/>
    <m/>
    <m/>
    <m/>
    <m/>
    <n v="0"/>
    <n v="0"/>
    <n v="0"/>
    <n v="0"/>
    <n v="0"/>
    <n v="0"/>
    <n v="0"/>
    <n v="0"/>
    <n v="0"/>
    <n v="0"/>
    <n v="0"/>
    <n v="0"/>
    <n v="0"/>
    <n v="0"/>
    <x v="0"/>
    <n v="0"/>
    <n v="0"/>
    <n v="0"/>
    <s v="MMR001CMP148"/>
    <x v="0"/>
    <x v="1"/>
    <x v="1"/>
    <n v="0"/>
    <s v="No"/>
    <m/>
  </r>
  <r>
    <n v="47.1"/>
    <d v="2013-02-18T00:00:00"/>
    <x v="0"/>
    <s v="KBC"/>
    <s v="Shan_North"/>
    <s v="Kutkai"/>
    <s v="Kutkai downtown (KBC Church)"/>
    <m/>
    <m/>
    <n v="120"/>
    <n v="120"/>
    <n v="60"/>
    <n v="120"/>
    <n v="60"/>
    <n v="60"/>
    <n v="60"/>
    <n v="60"/>
    <m/>
    <m/>
    <m/>
    <m/>
    <m/>
    <m/>
    <m/>
    <n v="0"/>
    <n v="0"/>
    <n v="0"/>
    <n v="0"/>
    <n v="0"/>
    <n v="0"/>
    <n v="0"/>
    <n v="0"/>
    <n v="0"/>
    <n v="0"/>
    <n v="0"/>
    <n v="0"/>
    <n v="0"/>
    <n v="0"/>
    <x v="0"/>
    <n v="0"/>
    <n v="0"/>
    <n v="0"/>
    <s v="MMR015CMP016"/>
    <x v="0"/>
    <x v="1"/>
    <x v="2"/>
    <n v="1.4547570555717194E-3"/>
    <s v="No"/>
    <m/>
  </r>
  <r>
    <n v="47.1"/>
    <d v="2013-02-18T00:00:00"/>
    <x v="0"/>
    <s v="KBC"/>
    <s v="Kachin"/>
    <s v="Mansi"/>
    <s v="Man Wing Baptist Church"/>
    <m/>
    <m/>
    <n v="221"/>
    <n v="221"/>
    <n v="110"/>
    <n v="221"/>
    <n v="110"/>
    <n v="110"/>
    <n v="110"/>
    <n v="110"/>
    <m/>
    <m/>
    <m/>
    <m/>
    <m/>
    <m/>
    <m/>
    <n v="0"/>
    <n v="0"/>
    <n v="0"/>
    <n v="0"/>
    <n v="0"/>
    <n v="0"/>
    <n v="0"/>
    <n v="0"/>
    <n v="0"/>
    <n v="0"/>
    <n v="0"/>
    <n v="0"/>
    <n v="0"/>
    <n v="0"/>
    <x v="0"/>
    <n v="0"/>
    <n v="0"/>
    <n v="0"/>
    <s v="MMR001CMP133"/>
    <x v="0"/>
    <x v="1"/>
    <x v="1"/>
    <n v="2.6868588177821201E-3"/>
    <s v="No"/>
    <m/>
  </r>
  <r>
    <n v="47.1"/>
    <d v="2013-02-18T00:00:00"/>
    <x v="0"/>
    <s v="KBC"/>
    <s v="Shan_North"/>
    <s v="Manton"/>
    <s v="Mandung - Jinghpaw"/>
    <m/>
    <m/>
    <n v="57"/>
    <n v="57"/>
    <n v="29"/>
    <n v="57"/>
    <n v="29"/>
    <n v="29"/>
    <n v="29"/>
    <n v="29"/>
    <m/>
    <m/>
    <m/>
    <m/>
    <m/>
    <m/>
    <m/>
    <n v="0"/>
    <n v="0"/>
    <n v="0"/>
    <n v="0"/>
    <n v="0"/>
    <n v="0"/>
    <n v="0"/>
    <n v="0"/>
    <n v="0"/>
    <n v="0"/>
    <n v="0"/>
    <n v="0"/>
    <n v="0"/>
    <n v="0"/>
    <x v="0"/>
    <n v="0"/>
    <n v="0"/>
    <n v="0"/>
    <s v="MMR015CMP009"/>
    <x v="0"/>
    <x v="1"/>
    <x v="6"/>
    <n v="7.0731707317073169E-4"/>
    <s v="No"/>
    <m/>
  </r>
  <r>
    <n v="47.1"/>
    <d v="2013-02-18T00:00:00"/>
    <x v="0"/>
    <s v="KBC"/>
    <s v="Shan_North"/>
    <s v="Kutkai"/>
    <s v="Mungji Pa Dabang (Baptist Church)         "/>
    <m/>
    <m/>
    <n v="93"/>
    <n v="93"/>
    <n v="46"/>
    <n v="93"/>
    <n v="46"/>
    <n v="46"/>
    <n v="46"/>
    <n v="46"/>
    <m/>
    <m/>
    <m/>
    <m/>
    <m/>
    <m/>
    <m/>
    <n v="0"/>
    <n v="0"/>
    <n v="0"/>
    <n v="0"/>
    <n v="0"/>
    <n v="0"/>
    <n v="0"/>
    <n v="0"/>
    <n v="0"/>
    <n v="0"/>
    <n v="0"/>
    <n v="0"/>
    <n v="0"/>
    <n v="0"/>
    <x v="0"/>
    <n v="0"/>
    <n v="0"/>
    <n v="0"/>
    <s v="MMR015CMP006"/>
    <x v="0"/>
    <x v="1"/>
    <x v="5"/>
    <n v="1.1278103317233432E-3"/>
    <s v="No"/>
    <m/>
  </r>
  <r>
    <n v="47.1"/>
    <d v="2013-02-18T00:00:00"/>
    <x v="0"/>
    <s v="KBC"/>
    <s v="Shan_North"/>
    <s v="Namhkan"/>
    <s v="Nam Hkam - Nay Win Ni (Palawng)"/>
    <m/>
    <m/>
    <n v="118"/>
    <n v="118"/>
    <n v="59"/>
    <n v="118"/>
    <n v="59"/>
    <n v="59"/>
    <n v="59"/>
    <n v="59"/>
    <m/>
    <m/>
    <m/>
    <m/>
    <m/>
    <m/>
    <m/>
    <n v="0"/>
    <n v="0"/>
    <n v="0"/>
    <n v="0"/>
    <n v="0"/>
    <n v="0"/>
    <n v="0"/>
    <n v="0"/>
    <n v="0"/>
    <n v="0"/>
    <n v="0"/>
    <n v="0"/>
    <n v="0"/>
    <n v="0"/>
    <x v="0"/>
    <n v="0"/>
    <n v="0"/>
    <n v="0"/>
    <s v="MMR015CMP004"/>
    <x v="0"/>
    <x v="1"/>
    <x v="2"/>
    <n v="1.4179624600447018E-3"/>
    <s v="No"/>
    <m/>
  </r>
  <r>
    <n v="47.1"/>
    <d v="2013-02-18T00:00:00"/>
    <x v="0"/>
    <s v="KBC"/>
    <s v="Shan_North"/>
    <s v="Namhkan"/>
    <s v="Nam Hkam (KBC Jaw Wang)"/>
    <m/>
    <m/>
    <n v="139"/>
    <n v="139"/>
    <n v="70"/>
    <n v="139"/>
    <n v="70"/>
    <n v="70"/>
    <n v="70"/>
    <n v="70"/>
    <m/>
    <m/>
    <m/>
    <m/>
    <m/>
    <m/>
    <m/>
    <n v="0"/>
    <n v="0"/>
    <n v="0"/>
    <n v="0"/>
    <n v="0"/>
    <n v="0"/>
    <n v="0"/>
    <n v="0"/>
    <n v="0"/>
    <n v="0"/>
    <n v="0"/>
    <n v="0"/>
    <n v="0"/>
    <n v="0"/>
    <x v="0"/>
    <n v="0"/>
    <n v="0"/>
    <n v="0"/>
    <s v="MMR015CMP001"/>
    <x v="0"/>
    <x v="1"/>
    <x v="2"/>
    <n v="1.7124125446450413E-3"/>
    <s v="No"/>
    <m/>
  </r>
  <r>
    <n v="47.1"/>
    <d v="2013-02-18T00:00:00"/>
    <x v="0"/>
    <s v="KBC"/>
    <s v="Shan_North"/>
    <s v="Kutkai"/>
    <s v="Nam Hpak Ka Mare "/>
    <m/>
    <m/>
    <n v="86"/>
    <n v="86"/>
    <n v="43"/>
    <n v="86"/>
    <n v="43"/>
    <n v="43"/>
    <n v="43"/>
    <n v="43"/>
    <m/>
    <m/>
    <m/>
    <m/>
    <m/>
    <m/>
    <m/>
    <n v="0"/>
    <n v="0"/>
    <n v="0"/>
    <n v="0"/>
    <n v="0"/>
    <n v="0"/>
    <n v="0"/>
    <n v="0"/>
    <n v="0"/>
    <n v="0"/>
    <n v="0"/>
    <n v="0"/>
    <n v="0"/>
    <n v="0"/>
    <x v="0"/>
    <n v="0"/>
    <n v="0"/>
    <n v="0"/>
    <s v="MMR015CMP007"/>
    <x v="0"/>
    <x v="1"/>
    <x v="2"/>
    <n v="1.0519105631390969E-3"/>
    <s v="No"/>
    <m/>
  </r>
  <r>
    <n v="47.1"/>
    <d v="2013-02-18T00:00:00"/>
    <x v="0"/>
    <s v="KBC"/>
    <s v="Shan_North"/>
    <s v="Namtu"/>
    <s v="Nam Tu RC"/>
    <m/>
    <m/>
    <n v="90"/>
    <n v="90"/>
    <n v="45"/>
    <n v="90"/>
    <n v="45"/>
    <n v="45"/>
    <n v="45"/>
    <n v="45"/>
    <m/>
    <m/>
    <m/>
    <m/>
    <m/>
    <m/>
    <m/>
    <n v="0"/>
    <n v="0"/>
    <n v="0"/>
    <n v="0"/>
    <n v="0"/>
    <n v="0"/>
    <n v="0"/>
    <n v="0"/>
    <n v="0"/>
    <n v="0"/>
    <n v="0"/>
    <n v="0"/>
    <n v="0"/>
    <n v="0"/>
    <x v="0"/>
    <n v="0"/>
    <n v="0"/>
    <n v="0"/>
    <s v="MMR015CMP210"/>
    <x v="0"/>
    <x v="1"/>
    <x v="2"/>
    <s v=""/>
    <s v="No"/>
    <m/>
  </r>
  <r>
    <n v="47.1"/>
    <d v="2013-02-18T00:00:00"/>
    <x v="0"/>
    <s v="KBC"/>
    <s v="Shan_North"/>
    <s v="Muse"/>
    <s v="Munekoe Pa (Giwang) - Hka San (Mung  Go  Pa ) "/>
    <m/>
    <m/>
    <n v="60"/>
    <n v="60"/>
    <n v="30"/>
    <n v="60"/>
    <n v="30"/>
    <n v="30"/>
    <n v="30"/>
    <n v="30"/>
    <m/>
    <m/>
    <m/>
    <m/>
    <m/>
    <m/>
    <m/>
    <n v="0"/>
    <n v="0"/>
    <n v="0"/>
    <n v="0"/>
    <n v="0"/>
    <n v="0"/>
    <n v="0"/>
    <n v="0"/>
    <n v="0"/>
    <n v="0"/>
    <n v="0"/>
    <n v="0"/>
    <n v="0"/>
    <n v="0"/>
    <x v="0"/>
    <n v="0"/>
    <n v="0"/>
    <n v="0"/>
    <s v="MMR015CMP012"/>
    <x v="0"/>
    <x v="0"/>
    <x v="5"/>
    <n v="7.3008688033876035E-4"/>
    <s v="No"/>
    <m/>
  </r>
  <r>
    <n v="47.1"/>
    <d v="2013-02-18T00:00:00"/>
    <x v="0"/>
    <s v="KBC"/>
    <s v="Shan_North"/>
    <s v="Namhkan"/>
    <s v="Nam Hkawng"/>
    <m/>
    <m/>
    <n v="16"/>
    <n v="16"/>
    <n v="8"/>
    <n v="16"/>
    <n v="8"/>
    <n v="8"/>
    <n v="8"/>
    <n v="8"/>
    <m/>
    <m/>
    <m/>
    <m/>
    <m/>
    <m/>
    <m/>
    <n v="0"/>
    <n v="0"/>
    <n v="0"/>
    <n v="0"/>
    <n v="0"/>
    <n v="0"/>
    <n v="0"/>
    <n v="0"/>
    <n v="0"/>
    <n v="0"/>
    <n v="0"/>
    <n v="0"/>
    <n v="0"/>
    <n v="0"/>
    <x v="0"/>
    <n v="0"/>
    <n v="0"/>
    <n v="0"/>
    <s v="MMR015CMP139"/>
    <x v="0"/>
    <x v="0"/>
    <x v="6"/>
    <n v="1.961409272562336E-4"/>
    <s v="No"/>
    <m/>
  </r>
  <r>
    <n v="47.366666666666667"/>
    <d v="2013-02-10T00:00:00"/>
    <x v="11"/>
    <s v="MRCS"/>
    <s v="Kachin"/>
    <s v="Mohnyin"/>
    <s v="Nant Mun"/>
    <m/>
    <m/>
    <m/>
    <m/>
    <n v="36"/>
    <m/>
    <n v="22"/>
    <m/>
    <n v="0"/>
    <n v="0"/>
    <m/>
    <m/>
    <m/>
    <m/>
    <m/>
    <m/>
    <m/>
    <n v="0"/>
    <n v="0"/>
    <n v="0"/>
    <n v="0"/>
    <n v="0"/>
    <n v="0"/>
    <n v="0"/>
    <n v="0"/>
    <n v="0"/>
    <n v="0"/>
    <n v="0"/>
    <n v="0"/>
    <n v="0"/>
    <n v="0"/>
    <x v="0"/>
    <n v="0"/>
    <n v="0"/>
    <n v="0"/>
    <s v="MMR001CMP081"/>
    <x v="0"/>
    <x v="0"/>
    <x v="1"/>
    <n v="5.3699138372916109E-4"/>
    <s v="No"/>
    <m/>
  </r>
  <r>
    <n v="47.366666666666667"/>
    <d v="2013-02-10T00:00:00"/>
    <x v="11"/>
    <s v="MRCS"/>
    <s v="Kachin"/>
    <s v="Mohnyin"/>
    <s v="St. Patrick Catholic Church "/>
    <m/>
    <m/>
    <m/>
    <m/>
    <n v="20"/>
    <m/>
    <n v="12"/>
    <m/>
    <n v="0"/>
    <n v="0"/>
    <m/>
    <m/>
    <m/>
    <m/>
    <m/>
    <m/>
    <m/>
    <n v="0"/>
    <n v="0"/>
    <n v="0"/>
    <n v="0"/>
    <n v="0"/>
    <n v="0"/>
    <n v="0"/>
    <n v="0"/>
    <n v="0"/>
    <n v="0"/>
    <n v="0"/>
    <n v="0"/>
    <n v="0"/>
    <n v="0"/>
    <x v="0"/>
    <n v="0"/>
    <n v="0"/>
    <n v="0"/>
    <s v="MMR001CMP080"/>
    <x v="0"/>
    <x v="1"/>
    <x v="1"/>
    <n v="2.9224811865273618E-4"/>
    <s v="No"/>
    <m/>
  </r>
  <r>
    <n v="47.4"/>
    <d v="2013-02-09T00:00:00"/>
    <x v="11"/>
    <s v="MRCS"/>
    <s v="Kachin"/>
    <s v="Myitkyina"/>
    <s v="Jan Mai Kawng Baptist Church"/>
    <m/>
    <m/>
    <m/>
    <m/>
    <n v="177"/>
    <n v="10"/>
    <n v="10"/>
    <m/>
    <n v="0"/>
    <n v="0"/>
    <m/>
    <m/>
    <m/>
    <m/>
    <m/>
    <m/>
    <m/>
    <n v="0"/>
    <n v="0"/>
    <n v="0"/>
    <n v="0"/>
    <n v="0"/>
    <n v="0"/>
    <n v="0"/>
    <n v="0"/>
    <n v="0"/>
    <n v="0"/>
    <n v="0"/>
    <n v="0"/>
    <n v="0"/>
    <n v="0"/>
    <x v="0"/>
    <n v="0"/>
    <n v="0"/>
    <n v="0"/>
    <s v="MMR001CMP018"/>
    <x v="0"/>
    <x v="1"/>
    <x v="1"/>
    <n v="2.4554941682013506E-4"/>
    <s v="No"/>
    <m/>
  </r>
  <r>
    <n v="47.4"/>
    <d v="2013-02-09T00:00:00"/>
    <x v="11"/>
    <s v="MRCS"/>
    <s v="Kachin"/>
    <s v="Myitkyina"/>
    <s v="Shatapru Sut Ngai Tawng"/>
    <m/>
    <m/>
    <m/>
    <m/>
    <n v="109"/>
    <n v="10"/>
    <n v="10"/>
    <m/>
    <n v="0"/>
    <n v="0"/>
    <m/>
    <m/>
    <m/>
    <m/>
    <m/>
    <m/>
    <m/>
    <n v="0"/>
    <n v="0"/>
    <n v="0"/>
    <n v="0"/>
    <n v="0"/>
    <n v="0"/>
    <n v="0"/>
    <n v="0"/>
    <n v="0"/>
    <n v="0"/>
    <n v="0"/>
    <n v="0"/>
    <n v="0"/>
    <n v="0"/>
    <x v="0"/>
    <n v="0"/>
    <n v="0"/>
    <n v="0"/>
    <s v="MMR001CMP006"/>
    <x v="0"/>
    <x v="1"/>
    <x v="1"/>
    <n v="2.4536264599077438E-4"/>
    <s v="No"/>
    <m/>
  </r>
  <r>
    <n v="47.5"/>
    <d v="2013-02-06T00:00:00"/>
    <x v="0"/>
    <s v="UNHCR"/>
    <s v="Kachin"/>
    <s v="Waingmaw"/>
    <s v="Qtr. 2 Lhaovo Baptist Church"/>
    <m/>
    <m/>
    <n v="17"/>
    <n v="20"/>
    <n v="15"/>
    <n v="20"/>
    <n v="14"/>
    <n v="11"/>
    <n v="11"/>
    <n v="11"/>
    <m/>
    <m/>
    <m/>
    <m/>
    <m/>
    <m/>
    <m/>
    <n v="0"/>
    <n v="0"/>
    <n v="0"/>
    <n v="0"/>
    <n v="0"/>
    <n v="0"/>
    <n v="0"/>
    <n v="0"/>
    <n v="0"/>
    <n v="0"/>
    <n v="0"/>
    <n v="0"/>
    <n v="0"/>
    <n v="0"/>
    <x v="0"/>
    <n v="0"/>
    <n v="0"/>
    <n v="0"/>
    <s v="MMR001CMP032"/>
    <x v="0"/>
    <x v="1"/>
    <x v="1"/>
    <n v="3.4376918354818908E-4"/>
    <s v="No"/>
    <m/>
  </r>
  <r>
    <n v="47.533333333333331"/>
    <d v="2013-02-05T00:00:00"/>
    <x v="11"/>
    <s v="MRCS"/>
    <s v="Kachin"/>
    <s v="Myitkyina"/>
    <s v="Jan Mai Kawng Baptist Church"/>
    <n v="22"/>
    <m/>
    <m/>
    <m/>
    <m/>
    <m/>
    <m/>
    <m/>
    <n v="0"/>
    <n v="0"/>
    <m/>
    <m/>
    <m/>
    <m/>
    <m/>
    <m/>
    <m/>
    <n v="0"/>
    <n v="0"/>
    <n v="0"/>
    <n v="0"/>
    <n v="0"/>
    <n v="0"/>
    <n v="0"/>
    <n v="0"/>
    <n v="0"/>
    <n v="0"/>
    <n v="0"/>
    <n v="0"/>
    <n v="0"/>
    <n v="0"/>
    <x v="0"/>
    <n v="0"/>
    <n v="0"/>
    <n v="0"/>
    <s v="MMR001CMP018"/>
    <x v="0"/>
    <x v="1"/>
    <x v="1"/>
    <n v="0"/>
    <s v="No"/>
    <m/>
  </r>
  <r>
    <n v="47.533333333333331"/>
    <d v="2013-02-05T00:00:00"/>
    <x v="0"/>
    <s v="UNHCR"/>
    <s v="Kachin"/>
    <s v="Waingmaw"/>
    <s v="Maina AG Church"/>
    <m/>
    <m/>
    <n v="37"/>
    <n v="70"/>
    <n v="34"/>
    <n v="70"/>
    <n v="34"/>
    <n v="34"/>
    <n v="34"/>
    <n v="34"/>
    <m/>
    <m/>
    <m/>
    <m/>
    <m/>
    <m/>
    <m/>
    <n v="0"/>
    <n v="0"/>
    <n v="0"/>
    <n v="0"/>
    <n v="0"/>
    <n v="0"/>
    <n v="0"/>
    <n v="0"/>
    <n v="0"/>
    <n v="0"/>
    <n v="0"/>
    <n v="0"/>
    <n v="0"/>
    <n v="0"/>
    <x v="0"/>
    <n v="0"/>
    <n v="0"/>
    <n v="0"/>
    <s v="MMR001CMP031"/>
    <x v="0"/>
    <x v="1"/>
    <x v="1"/>
    <n v="8.2014666152064838E-4"/>
    <s v="No"/>
    <m/>
  </r>
  <r>
    <n v="47.533333333333331"/>
    <d v="2013-02-05T00:00:00"/>
    <x v="11"/>
    <s v="MRCS"/>
    <s v="Kachin"/>
    <s v="Waingmaw"/>
    <s v="Maina Catholic Church (St. Joseph)"/>
    <n v="46"/>
    <m/>
    <m/>
    <m/>
    <m/>
    <m/>
    <m/>
    <m/>
    <n v="0"/>
    <n v="0"/>
    <m/>
    <m/>
    <m/>
    <m/>
    <m/>
    <m/>
    <m/>
    <n v="0"/>
    <n v="0"/>
    <n v="0"/>
    <n v="0"/>
    <n v="0"/>
    <n v="0"/>
    <n v="0"/>
    <n v="0"/>
    <n v="0"/>
    <n v="0"/>
    <n v="0"/>
    <n v="0"/>
    <n v="0"/>
    <n v="0"/>
    <x v="0"/>
    <n v="0"/>
    <n v="0"/>
    <n v="0"/>
    <s v="MMR001CMP029"/>
    <x v="0"/>
    <x v="1"/>
    <x v="1"/>
    <n v="0"/>
    <s v="No"/>
    <m/>
  </r>
  <r>
    <n v="47.533333333333331"/>
    <d v="2013-02-05T00:00:00"/>
    <x v="0"/>
    <s v="UNHCR"/>
    <s v="Kachin"/>
    <s v="Myitkyina"/>
    <s v="Maw Hpawng Lhaovo Baptist Church"/>
    <m/>
    <m/>
    <n v="10"/>
    <n v="16"/>
    <n v="7"/>
    <n v="16"/>
    <n v="7"/>
    <n v="7"/>
    <n v="7"/>
    <n v="7"/>
    <m/>
    <m/>
    <m/>
    <m/>
    <m/>
    <m/>
    <m/>
    <n v="0"/>
    <n v="0"/>
    <n v="0"/>
    <n v="0"/>
    <n v="0"/>
    <n v="0"/>
    <n v="0"/>
    <n v="0"/>
    <n v="0"/>
    <n v="0"/>
    <n v="0"/>
    <n v="0"/>
    <n v="0"/>
    <n v="0"/>
    <x v="0"/>
    <n v="0"/>
    <n v="0"/>
    <n v="0"/>
    <s v="MMR001CMP021"/>
    <x v="0"/>
    <x v="1"/>
    <x v="1"/>
    <n v="1.7149717029669011E-4"/>
    <s v="No"/>
    <m/>
  </r>
  <r>
    <n v="47.533333333333331"/>
    <d v="2013-02-05T00:00:00"/>
    <x v="11"/>
    <s v="MRCS"/>
    <s v="Kachin"/>
    <s v="Waingmaw"/>
    <s v="Qtr. 4 Monestry (Thargaya Thayett Taw)"/>
    <n v="20"/>
    <m/>
    <m/>
    <m/>
    <m/>
    <m/>
    <m/>
    <m/>
    <n v="0"/>
    <n v="0"/>
    <m/>
    <m/>
    <m/>
    <m/>
    <m/>
    <m/>
    <m/>
    <n v="0"/>
    <n v="0"/>
    <n v="0"/>
    <n v="0"/>
    <n v="0"/>
    <n v="0"/>
    <n v="0"/>
    <n v="0"/>
    <n v="0"/>
    <n v="0"/>
    <n v="0"/>
    <n v="0"/>
    <n v="0"/>
    <n v="0"/>
    <x v="0"/>
    <n v="0"/>
    <n v="0"/>
    <n v="0"/>
    <s v="MMR001CMP026"/>
    <x v="0"/>
    <x v="1"/>
    <x v="1"/>
    <n v="0"/>
    <s v="No"/>
    <m/>
  </r>
  <r>
    <n v="47.533333333333331"/>
    <d v="2013-02-05T00:00:00"/>
    <x v="11"/>
    <s v="MRCS"/>
    <s v="Kachin"/>
    <s v="Myitkyina"/>
    <s v="Shatapru Sut Ngai Tawng"/>
    <n v="36"/>
    <m/>
    <m/>
    <m/>
    <m/>
    <m/>
    <m/>
    <m/>
    <n v="0"/>
    <n v="0"/>
    <m/>
    <m/>
    <m/>
    <m/>
    <m/>
    <m/>
    <m/>
    <n v="0"/>
    <n v="0"/>
    <n v="0"/>
    <n v="0"/>
    <n v="0"/>
    <n v="0"/>
    <n v="0"/>
    <n v="0"/>
    <n v="0"/>
    <n v="0"/>
    <n v="0"/>
    <n v="0"/>
    <n v="0"/>
    <n v="0"/>
    <x v="0"/>
    <n v="0"/>
    <n v="0"/>
    <n v="0"/>
    <s v="MMR001CMP006"/>
    <x v="0"/>
    <x v="1"/>
    <x v="1"/>
    <n v="0"/>
    <s v="No"/>
    <m/>
  </r>
  <r>
    <n v="47.56666666666667"/>
    <d v="2013-02-04T00:00:00"/>
    <x v="11"/>
    <s v="MRCS"/>
    <s v="Kachin"/>
    <s v="Hpakant"/>
    <s v="5 Ward Baptist Church(lon Khin)"/>
    <m/>
    <m/>
    <m/>
    <m/>
    <m/>
    <m/>
    <n v="162"/>
    <m/>
    <n v="0"/>
    <n v="0"/>
    <m/>
    <m/>
    <m/>
    <m/>
    <m/>
    <m/>
    <m/>
    <n v="0"/>
    <n v="0"/>
    <n v="0"/>
    <n v="0"/>
    <n v="0"/>
    <n v="0"/>
    <n v="0"/>
    <n v="0"/>
    <n v="0"/>
    <n v="0"/>
    <n v="0"/>
    <n v="0"/>
    <n v="0"/>
    <n v="0"/>
    <x v="0"/>
    <n v="0"/>
    <n v="0"/>
    <n v="0"/>
    <s v="MMR001CMP179"/>
    <x v="0"/>
    <x v="1"/>
    <x v="1"/>
    <n v="3.9248940036341615E-3"/>
    <s v="No"/>
    <m/>
  </r>
  <r>
    <n v="47.56666666666667"/>
    <d v="2013-02-04T00:00:00"/>
    <x v="11"/>
    <s v="MRCS"/>
    <s v="Kachin"/>
    <s v="Hpakant"/>
    <s v="5 Ward RC Church(lon Khin)"/>
    <m/>
    <m/>
    <m/>
    <m/>
    <m/>
    <m/>
    <n v="117"/>
    <m/>
    <n v="0"/>
    <n v="0"/>
    <m/>
    <m/>
    <m/>
    <m/>
    <m/>
    <m/>
    <m/>
    <n v="0"/>
    <n v="0"/>
    <n v="0"/>
    <n v="0"/>
    <n v="0"/>
    <n v="0"/>
    <n v="0"/>
    <n v="0"/>
    <n v="0"/>
    <n v="0"/>
    <n v="0"/>
    <n v="0"/>
    <n v="0"/>
    <n v="0"/>
    <x v="0"/>
    <n v="0"/>
    <n v="0"/>
    <n v="0"/>
    <s v="MMR001CMP168"/>
    <x v="0"/>
    <x v="1"/>
    <x v="1"/>
    <n v="2.8346456692913387E-3"/>
    <s v="No"/>
    <m/>
  </r>
  <r>
    <n v="47.56666666666667"/>
    <d v="2013-02-04T00:00:00"/>
    <x v="11"/>
    <s v="MRCS"/>
    <s v="Kachin"/>
    <s v="Hpakant"/>
    <s v="Baptist Church, Hmaw Si Sar(Lon Khin)"/>
    <m/>
    <m/>
    <m/>
    <m/>
    <m/>
    <m/>
    <n v="106"/>
    <m/>
    <n v="0"/>
    <n v="0"/>
    <m/>
    <m/>
    <m/>
    <m/>
    <m/>
    <m/>
    <m/>
    <n v="0"/>
    <n v="0"/>
    <n v="0"/>
    <n v="0"/>
    <n v="0"/>
    <n v="0"/>
    <n v="0"/>
    <n v="0"/>
    <n v="0"/>
    <n v="0"/>
    <n v="0"/>
    <n v="0"/>
    <n v="0"/>
    <n v="0"/>
    <x v="0"/>
    <n v="0"/>
    <n v="0"/>
    <n v="0"/>
    <s v="MMR001CMP169"/>
    <x v="0"/>
    <x v="1"/>
    <x v="1"/>
    <n v="2.5681405208964263E-3"/>
    <s v="No"/>
    <m/>
  </r>
  <r>
    <n v="47.56666666666667"/>
    <d v="2013-02-04T00:00:00"/>
    <x v="11"/>
    <s v="MRCS"/>
    <s v="Kachin"/>
    <s v="Hpakant"/>
    <s v="Dhama Rakhita, Nyein Chan Tar Yar Ward(Lon Khin)"/>
    <m/>
    <m/>
    <m/>
    <m/>
    <m/>
    <m/>
    <n v="58"/>
    <m/>
    <n v="0"/>
    <n v="0"/>
    <m/>
    <m/>
    <m/>
    <m/>
    <m/>
    <m/>
    <m/>
    <n v="0"/>
    <n v="0"/>
    <n v="0"/>
    <n v="0"/>
    <n v="0"/>
    <n v="0"/>
    <n v="0"/>
    <n v="0"/>
    <n v="0"/>
    <n v="0"/>
    <n v="0"/>
    <n v="0"/>
    <n v="0"/>
    <n v="0"/>
    <x v="0"/>
    <n v="0"/>
    <n v="0"/>
    <n v="0"/>
    <s v="MMR001CMP174"/>
    <x v="0"/>
    <x v="1"/>
    <x v="1"/>
    <n v="1.4052089642640824E-3"/>
    <s v="No"/>
    <m/>
  </r>
  <r>
    <n v="47.56666666666667"/>
    <d v="2013-02-04T00:00:00"/>
    <x v="0"/>
    <s v="UNHCR"/>
    <s v="Kachin"/>
    <s v="Myitkyina"/>
    <s v="Pa Dauk Myaing(Pa La Na)"/>
    <m/>
    <m/>
    <n v="5"/>
    <n v="8"/>
    <n v="5"/>
    <n v="8"/>
    <n v="5"/>
    <n v="5"/>
    <n v="5"/>
    <n v="5"/>
    <m/>
    <m/>
    <m/>
    <m/>
    <m/>
    <m/>
    <m/>
    <n v="0"/>
    <n v="0"/>
    <n v="0"/>
    <n v="0"/>
    <n v="0"/>
    <n v="0"/>
    <n v="0"/>
    <n v="0"/>
    <n v="0"/>
    <n v="0"/>
    <n v="0"/>
    <n v="0"/>
    <n v="0"/>
    <n v="0"/>
    <x v="0"/>
    <n v="0"/>
    <n v="0"/>
    <n v="0"/>
    <s v="MMR001CMP162"/>
    <x v="0"/>
    <x v="1"/>
    <x v="1"/>
    <n v="1.2122975463097663E-4"/>
    <s v="No"/>
    <m/>
  </r>
  <r>
    <n v="47.7"/>
    <d v="2013-01-31T00:00:00"/>
    <x v="13"/>
    <s v="World Vision"/>
    <s v="Kachin"/>
    <s v="Waingmaw"/>
    <s v="Hkat Cho "/>
    <m/>
    <m/>
    <m/>
    <m/>
    <m/>
    <n v="256"/>
    <m/>
    <m/>
    <n v="0"/>
    <n v="0"/>
    <m/>
    <m/>
    <m/>
    <m/>
    <m/>
    <m/>
    <m/>
    <n v="0"/>
    <n v="0"/>
    <n v="0"/>
    <n v="0"/>
    <n v="0"/>
    <n v="0"/>
    <n v="0"/>
    <n v="0"/>
    <n v="0"/>
    <n v="0"/>
    <n v="0"/>
    <n v="0"/>
    <n v="0"/>
    <n v="0"/>
    <x v="0"/>
    <n v="0"/>
    <n v="0"/>
    <n v="0"/>
    <s v="MMR001CMP028"/>
    <x v="0"/>
    <x v="1"/>
    <x v="1"/>
    <n v="0"/>
    <s v="No"/>
    <m/>
  </r>
  <r>
    <n v="47.7"/>
    <d v="2013-01-31T00:00:00"/>
    <x v="13"/>
    <s v="World Vision"/>
    <s v="Kachin"/>
    <s v="Waingmaw"/>
    <s v="Mading Baptist Church"/>
    <m/>
    <m/>
    <m/>
    <m/>
    <m/>
    <n v="42"/>
    <m/>
    <m/>
    <n v="0"/>
    <n v="0"/>
    <m/>
    <m/>
    <m/>
    <m/>
    <m/>
    <m/>
    <m/>
    <n v="0"/>
    <n v="0"/>
    <n v="0"/>
    <n v="0"/>
    <n v="0"/>
    <n v="0"/>
    <n v="0"/>
    <n v="0"/>
    <n v="0"/>
    <n v="0"/>
    <n v="0"/>
    <n v="0"/>
    <n v="0"/>
    <n v="0"/>
    <x v="0"/>
    <n v="0"/>
    <n v="0"/>
    <n v="0"/>
    <s v="MMR001CMP027"/>
    <x v="0"/>
    <x v="1"/>
    <x v="1"/>
    <n v="0"/>
    <s v="No"/>
    <m/>
  </r>
  <r>
    <n v="47.7"/>
    <d v="2013-01-31T00:00:00"/>
    <x v="13"/>
    <s v="World Vision"/>
    <s v="Kachin"/>
    <s v="Waingmaw"/>
    <s v="Maina AG Church"/>
    <m/>
    <m/>
    <m/>
    <m/>
    <m/>
    <n v="128"/>
    <m/>
    <m/>
    <n v="0"/>
    <n v="0"/>
    <m/>
    <m/>
    <m/>
    <m/>
    <m/>
    <m/>
    <m/>
    <n v="0"/>
    <n v="0"/>
    <n v="0"/>
    <n v="0"/>
    <n v="0"/>
    <n v="0"/>
    <n v="0"/>
    <n v="0"/>
    <n v="0"/>
    <n v="0"/>
    <n v="0"/>
    <n v="0"/>
    <n v="0"/>
    <n v="0"/>
    <x v="0"/>
    <n v="0"/>
    <n v="0"/>
    <n v="0"/>
    <s v="MMR001CMP031"/>
    <x v="0"/>
    <x v="1"/>
    <x v="1"/>
    <n v="0"/>
    <s v="No"/>
    <m/>
  </r>
  <r>
    <n v="47.7"/>
    <d v="2013-01-31T00:00:00"/>
    <x v="13"/>
    <s v="World Vision"/>
    <s v="Kachin"/>
    <s v="Waingmaw"/>
    <s v="Maina Catholic Church (St. Joseph)"/>
    <m/>
    <m/>
    <m/>
    <m/>
    <m/>
    <n v="442"/>
    <m/>
    <m/>
    <n v="0"/>
    <n v="0"/>
    <m/>
    <m/>
    <m/>
    <m/>
    <m/>
    <m/>
    <m/>
    <n v="0"/>
    <n v="0"/>
    <n v="0"/>
    <n v="0"/>
    <n v="0"/>
    <n v="0"/>
    <n v="0"/>
    <n v="0"/>
    <n v="0"/>
    <n v="0"/>
    <n v="0"/>
    <n v="0"/>
    <n v="0"/>
    <n v="0"/>
    <x v="0"/>
    <n v="0"/>
    <n v="0"/>
    <n v="0"/>
    <s v="MMR001CMP029"/>
    <x v="0"/>
    <x v="1"/>
    <x v="1"/>
    <n v="0"/>
    <s v="No"/>
    <m/>
  </r>
  <r>
    <n v="47.7"/>
    <d v="2013-01-31T00:00:00"/>
    <x v="13"/>
    <s v="World Vision"/>
    <s v="Kachin"/>
    <s v="Waingmaw"/>
    <s v="Maina KBC (Bawng Ring)"/>
    <m/>
    <m/>
    <m/>
    <m/>
    <m/>
    <n v="324"/>
    <m/>
    <m/>
    <n v="0"/>
    <n v="0"/>
    <m/>
    <m/>
    <m/>
    <m/>
    <m/>
    <m/>
    <m/>
    <n v="0"/>
    <n v="0"/>
    <n v="0"/>
    <n v="0"/>
    <n v="0"/>
    <n v="0"/>
    <n v="0"/>
    <n v="0"/>
    <n v="0"/>
    <n v="0"/>
    <n v="0"/>
    <n v="0"/>
    <n v="0"/>
    <n v="0"/>
    <x v="0"/>
    <n v="0"/>
    <n v="0"/>
    <n v="0"/>
    <s v="MMR001CMP040"/>
    <x v="0"/>
    <x v="1"/>
    <x v="1"/>
    <n v="0"/>
    <s v="No"/>
    <m/>
  </r>
  <r>
    <n v="47.7"/>
    <d v="2013-01-31T00:00:00"/>
    <x v="13"/>
    <s v="World Vision"/>
    <s v="Kachin"/>
    <s v="Waingmaw"/>
    <s v="Maina Lawang Baptist Church"/>
    <m/>
    <m/>
    <m/>
    <m/>
    <m/>
    <n v="94"/>
    <m/>
    <m/>
    <n v="0"/>
    <n v="0"/>
    <m/>
    <m/>
    <m/>
    <m/>
    <m/>
    <m/>
    <m/>
    <n v="0"/>
    <n v="0"/>
    <n v="0"/>
    <n v="0"/>
    <n v="0"/>
    <n v="0"/>
    <n v="0"/>
    <n v="0"/>
    <n v="0"/>
    <n v="0"/>
    <n v="0"/>
    <n v="0"/>
    <n v="0"/>
    <n v="0"/>
    <x v="0"/>
    <n v="0"/>
    <n v="0"/>
    <n v="0"/>
    <s v="MMR001CMP039"/>
    <x v="0"/>
    <x v="1"/>
    <x v="1"/>
    <n v="0"/>
    <s v="No"/>
    <m/>
  </r>
  <r>
    <n v="47.7"/>
    <d v="2013-01-31T00:00:00"/>
    <x v="13"/>
    <s v="World Vision"/>
    <s v="Kachin"/>
    <s v="Hpakant"/>
    <s v="Baptist Church, Naung Hmee VT"/>
    <m/>
    <m/>
    <m/>
    <m/>
    <m/>
    <n v="26"/>
    <m/>
    <m/>
    <n v="0"/>
    <n v="0"/>
    <m/>
    <m/>
    <m/>
    <m/>
    <m/>
    <m/>
    <m/>
    <n v="0"/>
    <n v="0"/>
    <n v="0"/>
    <n v="0"/>
    <n v="0"/>
    <n v="0"/>
    <n v="0"/>
    <n v="0"/>
    <n v="0"/>
    <n v="0"/>
    <n v="0"/>
    <n v="0"/>
    <n v="0"/>
    <n v="0"/>
    <x v="0"/>
    <n v="0"/>
    <n v="0"/>
    <n v="0"/>
    <s v="MMR001CMP188"/>
    <x v="0"/>
    <x v="0"/>
    <x v="1"/>
    <s v=""/>
    <s v="No"/>
    <m/>
  </r>
  <r>
    <n v="47.7"/>
    <d v="2013-01-31T00:00:00"/>
    <x v="13"/>
    <s v="World Vision"/>
    <s v="Kachin"/>
    <s v="Waingmaw"/>
    <s v="Waingmaw Baptist Zonal Office"/>
    <m/>
    <m/>
    <m/>
    <m/>
    <m/>
    <n v="224"/>
    <m/>
    <m/>
    <n v="0"/>
    <n v="0"/>
    <m/>
    <m/>
    <m/>
    <m/>
    <m/>
    <m/>
    <m/>
    <n v="0"/>
    <n v="0"/>
    <n v="0"/>
    <n v="0"/>
    <n v="0"/>
    <n v="0"/>
    <n v="0"/>
    <n v="0"/>
    <n v="0"/>
    <n v="0"/>
    <n v="0"/>
    <n v="0"/>
    <n v="0"/>
    <n v="0"/>
    <x v="0"/>
    <n v="0"/>
    <n v="0"/>
    <n v="0"/>
    <s v="MMR001CMP036"/>
    <x v="0"/>
    <x v="0"/>
    <x v="1"/>
    <n v="0"/>
    <s v="No"/>
    <m/>
  </r>
  <r>
    <n v="47.7"/>
    <d v="2013-01-31T00:00:00"/>
    <x v="13"/>
    <s v="World Vision"/>
    <s v="Kachin"/>
    <s v="Waingmaw"/>
    <s v="Qtr. 2 Lhaovo Baptist Church"/>
    <m/>
    <m/>
    <m/>
    <m/>
    <m/>
    <n v="184"/>
    <m/>
    <m/>
    <n v="0"/>
    <n v="0"/>
    <m/>
    <m/>
    <m/>
    <m/>
    <m/>
    <m/>
    <m/>
    <n v="0"/>
    <n v="0"/>
    <n v="0"/>
    <n v="0"/>
    <n v="0"/>
    <n v="0"/>
    <n v="0"/>
    <n v="0"/>
    <n v="0"/>
    <n v="0"/>
    <n v="0"/>
    <n v="0"/>
    <n v="0"/>
    <n v="0"/>
    <x v="0"/>
    <n v="0"/>
    <n v="0"/>
    <n v="0"/>
    <s v="MMR001CMP032"/>
    <x v="0"/>
    <x v="1"/>
    <x v="1"/>
    <n v="0"/>
    <s v="No"/>
    <m/>
  </r>
  <r>
    <n v="47.7"/>
    <d v="2013-01-31T00:00:00"/>
    <x v="13"/>
    <s v="World Vision"/>
    <s v="Kachin"/>
    <s v="Waingmaw"/>
    <s v="Qtr. 2 Myoma Baptist Church"/>
    <m/>
    <m/>
    <m/>
    <m/>
    <m/>
    <n v="242"/>
    <m/>
    <m/>
    <n v="0"/>
    <n v="0"/>
    <m/>
    <m/>
    <m/>
    <m/>
    <m/>
    <m/>
    <m/>
    <n v="0"/>
    <n v="0"/>
    <n v="0"/>
    <n v="0"/>
    <n v="0"/>
    <n v="0"/>
    <n v="0"/>
    <n v="0"/>
    <n v="0"/>
    <n v="0"/>
    <n v="0"/>
    <n v="0"/>
    <n v="0"/>
    <n v="0"/>
    <x v="0"/>
    <n v="0"/>
    <n v="0"/>
    <n v="0"/>
    <s v="MMR001CMP025"/>
    <x v="0"/>
    <x v="1"/>
    <x v="1"/>
    <n v="0"/>
    <s v="No"/>
    <m/>
  </r>
  <r>
    <n v="47.7"/>
    <d v="2013-01-31T00:00:00"/>
    <x v="13"/>
    <s v="World Vision"/>
    <s v="Kachin"/>
    <s v="Waingmaw"/>
    <s v="Qtr. 3 Mu-yin  Baptist Church"/>
    <m/>
    <m/>
    <m/>
    <m/>
    <m/>
    <n v="54"/>
    <m/>
    <m/>
    <n v="0"/>
    <n v="0"/>
    <m/>
    <m/>
    <m/>
    <m/>
    <m/>
    <m/>
    <m/>
    <n v="0"/>
    <n v="0"/>
    <n v="0"/>
    <n v="0"/>
    <n v="0"/>
    <n v="0"/>
    <n v="0"/>
    <n v="0"/>
    <n v="0"/>
    <n v="0"/>
    <n v="0"/>
    <n v="0"/>
    <n v="0"/>
    <n v="0"/>
    <x v="0"/>
    <n v="0"/>
    <n v="0"/>
    <n v="0"/>
    <s v="MMR001CMP030"/>
    <x v="0"/>
    <x v="1"/>
    <x v="1"/>
    <n v="0"/>
    <s v="No"/>
    <m/>
  </r>
  <r>
    <n v="47.7"/>
    <d v="2013-01-31T00:00:00"/>
    <x v="13"/>
    <s v="World Vision"/>
    <s v="Kachin"/>
    <s v="Waingmaw"/>
    <s v="Qtr. 4 Monestry (Thargaya Thayett Taw)"/>
    <m/>
    <m/>
    <m/>
    <m/>
    <m/>
    <n v="188"/>
    <m/>
    <m/>
    <n v="0"/>
    <n v="0"/>
    <m/>
    <m/>
    <m/>
    <m/>
    <m/>
    <m/>
    <m/>
    <n v="0"/>
    <n v="0"/>
    <n v="0"/>
    <n v="0"/>
    <n v="0"/>
    <n v="0"/>
    <n v="0"/>
    <n v="0"/>
    <n v="0"/>
    <n v="0"/>
    <n v="0"/>
    <n v="0"/>
    <n v="0"/>
    <n v="0"/>
    <x v="0"/>
    <n v="0"/>
    <n v="0"/>
    <n v="0"/>
    <s v="MMR001CMP026"/>
    <x v="0"/>
    <x v="1"/>
    <x v="1"/>
    <n v="0"/>
    <s v="No"/>
    <m/>
  </r>
  <r>
    <n v="47.7"/>
    <d v="2013-01-31T00:00:00"/>
    <x v="13"/>
    <s v="World Vision"/>
    <s v="Kachin"/>
    <s v="Waingmaw"/>
    <s v="Shing Jai"/>
    <m/>
    <m/>
    <m/>
    <m/>
    <m/>
    <n v="358"/>
    <m/>
    <m/>
    <n v="0"/>
    <n v="0"/>
    <m/>
    <m/>
    <m/>
    <m/>
    <m/>
    <m/>
    <m/>
    <n v="0"/>
    <n v="0"/>
    <n v="0"/>
    <n v="0"/>
    <n v="0"/>
    <n v="0"/>
    <n v="0"/>
    <n v="0"/>
    <n v="0"/>
    <n v="0"/>
    <n v="0"/>
    <n v="0"/>
    <n v="0"/>
    <n v="0"/>
    <x v="0"/>
    <n v="0"/>
    <n v="0"/>
    <n v="0"/>
    <s v="MMR001CMP041"/>
    <x v="0"/>
    <x v="1"/>
    <x v="5"/>
    <n v="0"/>
    <s v="No"/>
    <m/>
  </r>
  <r>
    <n v="47.7"/>
    <d v="2013-01-31T00:00:00"/>
    <x v="13"/>
    <s v="World Vision"/>
    <s v="Kachin"/>
    <s v="Waingmaw"/>
    <s v="Thargaya Lisu Baptist Church"/>
    <m/>
    <m/>
    <m/>
    <m/>
    <m/>
    <n v="122"/>
    <m/>
    <m/>
    <n v="0"/>
    <n v="0"/>
    <m/>
    <m/>
    <m/>
    <m/>
    <m/>
    <m/>
    <m/>
    <n v="0"/>
    <n v="0"/>
    <n v="0"/>
    <n v="0"/>
    <n v="0"/>
    <n v="0"/>
    <n v="0"/>
    <n v="0"/>
    <n v="0"/>
    <n v="0"/>
    <n v="0"/>
    <n v="0"/>
    <n v="0"/>
    <n v="0"/>
    <x v="0"/>
    <n v="0"/>
    <n v="0"/>
    <n v="0"/>
    <s v="MMR001CMP037"/>
    <x v="0"/>
    <x v="1"/>
    <x v="1"/>
    <n v="0"/>
    <s v="No"/>
    <m/>
  </r>
  <r>
    <n v="47.7"/>
    <d v="2013-01-31T00:00:00"/>
    <x v="13"/>
    <s v="World Vision"/>
    <s v="Kachin"/>
    <s v="Waingmaw"/>
    <s v="Waingmaw AG Church"/>
    <m/>
    <m/>
    <m/>
    <m/>
    <m/>
    <n v="104"/>
    <m/>
    <m/>
    <n v="0"/>
    <n v="0"/>
    <m/>
    <m/>
    <m/>
    <m/>
    <m/>
    <m/>
    <m/>
    <n v="0"/>
    <n v="0"/>
    <n v="0"/>
    <n v="0"/>
    <n v="0"/>
    <n v="0"/>
    <n v="0"/>
    <n v="0"/>
    <n v="0"/>
    <n v="0"/>
    <n v="0"/>
    <n v="0"/>
    <n v="0"/>
    <n v="0"/>
    <x v="0"/>
    <n v="0"/>
    <n v="0"/>
    <n v="0"/>
    <s v="MMR001CMP038"/>
    <x v="0"/>
    <x v="1"/>
    <x v="1"/>
    <n v="0"/>
    <s v="No"/>
    <m/>
  </r>
  <r>
    <n v="47.733333333333334"/>
    <d v="2013-01-30T00:00:00"/>
    <x v="1"/>
    <s v="LDO"/>
    <s v="Kachin"/>
    <s v="Shwegu"/>
    <s v="Shwe Gu Baptist Church"/>
    <n v="272"/>
    <m/>
    <m/>
    <m/>
    <m/>
    <m/>
    <m/>
    <m/>
    <n v="0"/>
    <n v="0"/>
    <m/>
    <m/>
    <m/>
    <m/>
    <m/>
    <m/>
    <m/>
    <n v="0"/>
    <n v="0"/>
    <n v="0"/>
    <n v="0"/>
    <n v="0"/>
    <n v="0"/>
    <n v="0"/>
    <n v="0"/>
    <n v="0"/>
    <n v="0"/>
    <n v="0"/>
    <n v="0"/>
    <n v="0"/>
    <n v="0"/>
    <x v="0"/>
    <n v="0"/>
    <n v="0"/>
    <n v="0"/>
    <s v="MMR001CMP067"/>
    <x v="0"/>
    <x v="1"/>
    <x v="1"/>
    <n v="0"/>
    <s v="No"/>
    <m/>
  </r>
  <r>
    <n v="47.766666666666666"/>
    <d v="2013-01-29T00:00:00"/>
    <x v="1"/>
    <s v="LDO"/>
    <s v="Kachin"/>
    <s v="Shwegu"/>
    <s v="Shwe Gu Catholic Church"/>
    <n v="177"/>
    <m/>
    <m/>
    <m/>
    <m/>
    <m/>
    <m/>
    <m/>
    <n v="0"/>
    <n v="0"/>
    <m/>
    <m/>
    <m/>
    <m/>
    <m/>
    <m/>
    <m/>
    <n v="0"/>
    <n v="0"/>
    <n v="0"/>
    <n v="0"/>
    <n v="0"/>
    <n v="0"/>
    <n v="0"/>
    <n v="0"/>
    <n v="0"/>
    <n v="0"/>
    <n v="0"/>
    <n v="0"/>
    <n v="0"/>
    <n v="0"/>
    <x v="0"/>
    <n v="0"/>
    <n v="0"/>
    <n v="0"/>
    <s v="MMR001CMP068"/>
    <x v="0"/>
    <x v="1"/>
    <x v="1"/>
    <n v="0"/>
    <s v="No"/>
    <m/>
  </r>
  <r>
    <n v="47.9"/>
    <d v="2013-01-25T00:00:00"/>
    <x v="1"/>
    <s v="Solidarities"/>
    <s v="Kachin"/>
    <s v="Momauk"/>
    <s v="Ni Thaw Ka Monestry"/>
    <n v="75"/>
    <m/>
    <m/>
    <m/>
    <m/>
    <m/>
    <m/>
    <m/>
    <n v="0"/>
    <n v="0"/>
    <m/>
    <m/>
    <m/>
    <m/>
    <m/>
    <m/>
    <m/>
    <n v="0"/>
    <n v="0"/>
    <n v="0"/>
    <n v="0"/>
    <n v="0"/>
    <n v="0"/>
    <n v="0"/>
    <n v="0"/>
    <n v="0"/>
    <n v="0"/>
    <n v="0"/>
    <n v="0"/>
    <n v="0"/>
    <n v="0"/>
    <x v="0"/>
    <n v="0"/>
    <n v="0"/>
    <n v="0"/>
    <s v="MMR001CMP059"/>
    <x v="0"/>
    <x v="0"/>
    <x v="1"/>
    <n v="0"/>
    <s v="No"/>
    <m/>
  </r>
  <r>
    <n v="47.93333333333333"/>
    <d v="2013-01-24T00:00:00"/>
    <x v="1"/>
    <s v="Solidarities"/>
    <s v="Kachin"/>
    <s v="Momauk"/>
    <s v="Man Bung Catholic compound"/>
    <n v="200"/>
    <m/>
    <m/>
    <m/>
    <m/>
    <m/>
    <m/>
    <m/>
    <n v="0"/>
    <n v="0"/>
    <m/>
    <m/>
    <m/>
    <m/>
    <m/>
    <m/>
    <m/>
    <n v="0"/>
    <n v="0"/>
    <n v="0"/>
    <n v="0"/>
    <n v="0"/>
    <n v="0"/>
    <n v="0"/>
    <n v="0"/>
    <n v="0"/>
    <n v="0"/>
    <n v="0"/>
    <n v="0"/>
    <n v="0"/>
    <n v="0"/>
    <x v="0"/>
    <n v="0"/>
    <n v="0"/>
    <n v="0"/>
    <s v="MMR001CMP062"/>
    <x v="0"/>
    <x v="1"/>
    <x v="1"/>
    <n v="0"/>
    <s v="No"/>
    <m/>
  </r>
  <r>
    <n v="47.93333333333333"/>
    <d v="2013-01-24T00:00:00"/>
    <x v="1"/>
    <s v="Solidarities"/>
    <s v="Kachin"/>
    <s v="Momauk"/>
    <s v="Momauk Catholic Church (St. Patrick)"/>
    <n v="793"/>
    <m/>
    <m/>
    <m/>
    <m/>
    <m/>
    <m/>
    <m/>
    <n v="0"/>
    <n v="0"/>
    <m/>
    <m/>
    <m/>
    <m/>
    <m/>
    <m/>
    <m/>
    <n v="0"/>
    <n v="0"/>
    <n v="0"/>
    <n v="0"/>
    <n v="0"/>
    <n v="0"/>
    <n v="0"/>
    <n v="0"/>
    <n v="0"/>
    <n v="0"/>
    <n v="0"/>
    <n v="0"/>
    <n v="0"/>
    <n v="0"/>
    <x v="0"/>
    <n v="0"/>
    <n v="0"/>
    <n v="0"/>
    <s v="MMR001CMP057"/>
    <x v="0"/>
    <x v="0"/>
    <x v="1"/>
    <n v="0"/>
    <s v="No"/>
    <m/>
  </r>
  <r>
    <n v="48"/>
    <d v="2013-01-22T00:00:00"/>
    <x v="1"/>
    <s v="Solidarities"/>
    <s v="Kachin"/>
    <s v="Bhamo"/>
    <s v="Robert Church"/>
    <n v="1824"/>
    <m/>
    <m/>
    <m/>
    <m/>
    <m/>
    <m/>
    <m/>
    <n v="0"/>
    <n v="0"/>
    <m/>
    <m/>
    <m/>
    <m/>
    <m/>
    <m/>
    <m/>
    <n v="0"/>
    <n v="0"/>
    <n v="0"/>
    <n v="0"/>
    <n v="0"/>
    <n v="0"/>
    <n v="0"/>
    <n v="0"/>
    <n v="0"/>
    <n v="0"/>
    <n v="0"/>
    <n v="0"/>
    <n v="0"/>
    <n v="0"/>
    <x v="0"/>
    <n v="0"/>
    <n v="0"/>
    <n v="0"/>
    <s v="MMR001CMP047"/>
    <x v="0"/>
    <x v="1"/>
    <x v="1"/>
    <n v="0"/>
    <s v="No"/>
    <m/>
  </r>
  <r>
    <n v="48.033333333333331"/>
    <d v="2013-01-21T00:00:00"/>
    <x v="1"/>
    <s v="Solidarities"/>
    <s v="Kachin"/>
    <s v="Bhamo"/>
    <s v="Nant Hlaing Church"/>
    <n v="85"/>
    <m/>
    <m/>
    <m/>
    <m/>
    <m/>
    <m/>
    <m/>
    <n v="0"/>
    <n v="0"/>
    <m/>
    <m/>
    <m/>
    <m/>
    <m/>
    <m/>
    <m/>
    <n v="0"/>
    <n v="0"/>
    <n v="0"/>
    <n v="0"/>
    <n v="0"/>
    <n v="0"/>
    <n v="0"/>
    <n v="0"/>
    <n v="0"/>
    <n v="0"/>
    <n v="0"/>
    <n v="0"/>
    <n v="0"/>
    <n v="0"/>
    <x v="0"/>
    <n v="0"/>
    <n v="0"/>
    <n v="0"/>
    <s v="MMR001CMP054"/>
    <x v="0"/>
    <x v="1"/>
    <x v="1"/>
    <n v="0"/>
    <s v="No"/>
    <m/>
  </r>
  <r>
    <n v="48.2"/>
    <d v="2013-01-16T00:00:00"/>
    <x v="1"/>
    <s v="Solidarities"/>
    <s v="Kachin"/>
    <s v="Momauk"/>
    <s v="Momauk Baptist Church"/>
    <n v="1215"/>
    <m/>
    <m/>
    <m/>
    <m/>
    <m/>
    <m/>
    <m/>
    <n v="0"/>
    <n v="0"/>
    <m/>
    <m/>
    <m/>
    <m/>
    <m/>
    <m/>
    <m/>
    <n v="0"/>
    <n v="0"/>
    <n v="0"/>
    <n v="0"/>
    <n v="0"/>
    <n v="0"/>
    <n v="0"/>
    <n v="0"/>
    <n v="0"/>
    <n v="0"/>
    <n v="0"/>
    <n v="0"/>
    <n v="0"/>
    <n v="0"/>
    <x v="0"/>
    <n v="0"/>
    <n v="0"/>
    <n v="0"/>
    <s v="MMR001CMP056"/>
    <x v="0"/>
    <x v="1"/>
    <x v="1"/>
    <n v="0"/>
    <s v="No"/>
    <m/>
  </r>
  <r>
    <n v="48.266666666666666"/>
    <d v="2013-01-14T00:00:00"/>
    <x v="1"/>
    <s v="Solidarities"/>
    <s v="Kachin"/>
    <s v="Bhamo"/>
    <s v="AD-2000 Tharthana Compound"/>
    <n v="940"/>
    <m/>
    <m/>
    <m/>
    <m/>
    <m/>
    <m/>
    <m/>
    <n v="0"/>
    <n v="0"/>
    <m/>
    <m/>
    <m/>
    <m/>
    <m/>
    <m/>
    <m/>
    <n v="0"/>
    <n v="0"/>
    <n v="0"/>
    <n v="0"/>
    <n v="0"/>
    <n v="0"/>
    <n v="0"/>
    <n v="0"/>
    <n v="0"/>
    <n v="0"/>
    <n v="0"/>
    <n v="0"/>
    <n v="0"/>
    <n v="0"/>
    <x v="0"/>
    <n v="0"/>
    <n v="0"/>
    <n v="0"/>
    <s v="MMR001CMP050"/>
    <x v="0"/>
    <x v="1"/>
    <x v="1"/>
    <n v="0"/>
    <s v="No"/>
    <m/>
  </r>
  <r>
    <n v="48.4"/>
    <d v="2013-01-10T00:00:00"/>
    <x v="1"/>
    <s v="Solidarities"/>
    <s v="Kachin"/>
    <s v="Bhamo"/>
    <s v="Htoi San Church"/>
    <n v="212"/>
    <m/>
    <m/>
    <m/>
    <m/>
    <m/>
    <m/>
    <m/>
    <n v="0"/>
    <n v="0"/>
    <m/>
    <m/>
    <m/>
    <m/>
    <m/>
    <m/>
    <m/>
    <n v="0"/>
    <n v="0"/>
    <n v="0"/>
    <n v="0"/>
    <n v="0"/>
    <n v="0"/>
    <n v="0"/>
    <n v="0"/>
    <n v="0"/>
    <n v="0"/>
    <n v="0"/>
    <n v="0"/>
    <n v="0"/>
    <n v="0"/>
    <x v="0"/>
    <n v="0"/>
    <n v="0"/>
    <n v="0"/>
    <s v="MMR001CMP052"/>
    <x v="0"/>
    <x v="1"/>
    <x v="1"/>
    <n v="0"/>
    <s v="No"/>
    <m/>
  </r>
  <r>
    <n v="48.43333333333333"/>
    <d v="2013-01-09T00:00:00"/>
    <x v="1"/>
    <s v="Solidarities"/>
    <s v="Kachin"/>
    <s v="Bhamo"/>
    <s v="Lisu Boarding-House"/>
    <n v="205"/>
    <m/>
    <m/>
    <m/>
    <m/>
    <m/>
    <m/>
    <m/>
    <n v="0"/>
    <n v="0"/>
    <m/>
    <m/>
    <m/>
    <m/>
    <m/>
    <m/>
    <m/>
    <n v="0"/>
    <n v="0"/>
    <n v="0"/>
    <n v="0"/>
    <n v="0"/>
    <n v="0"/>
    <n v="0"/>
    <n v="0"/>
    <n v="0"/>
    <n v="0"/>
    <n v="0"/>
    <n v="0"/>
    <n v="0"/>
    <n v="0"/>
    <x v="0"/>
    <n v="0"/>
    <n v="0"/>
    <n v="0"/>
    <s v="MMR001CMP049"/>
    <x v="0"/>
    <x v="1"/>
    <x v="1"/>
    <n v="0"/>
    <s v="No"/>
    <m/>
  </r>
  <r>
    <n v="48.466666666666669"/>
    <d v="2013-01-08T00:00:00"/>
    <x v="1"/>
    <s v="Solidarities"/>
    <s v="Kachin"/>
    <s v="Momauk"/>
    <s v="Loi Je Catholic Church"/>
    <n v="353"/>
    <m/>
    <m/>
    <m/>
    <m/>
    <m/>
    <m/>
    <m/>
    <n v="0"/>
    <n v="0"/>
    <m/>
    <m/>
    <m/>
    <m/>
    <m/>
    <m/>
    <m/>
    <n v="0"/>
    <n v="0"/>
    <n v="0"/>
    <n v="0"/>
    <n v="0"/>
    <n v="0"/>
    <n v="0"/>
    <n v="0"/>
    <n v="0"/>
    <n v="0"/>
    <n v="0"/>
    <n v="0"/>
    <n v="0"/>
    <n v="0"/>
    <x v="0"/>
    <n v="0"/>
    <n v="0"/>
    <n v="0"/>
    <s v="MMR001CMP069"/>
    <x v="0"/>
    <x v="1"/>
    <x v="2"/>
    <n v="0"/>
    <s v="No"/>
    <m/>
  </r>
  <r>
    <n v="48.466666666666669"/>
    <d v="2013-01-08T00:00:00"/>
    <x v="1"/>
    <s v="Solidarities"/>
    <s v="Kachin"/>
    <s v="Bhamo"/>
    <s v="Yoe Kyi Monastery"/>
    <n v="132"/>
    <m/>
    <m/>
    <m/>
    <m/>
    <m/>
    <m/>
    <m/>
    <n v="0"/>
    <n v="0"/>
    <m/>
    <m/>
    <m/>
    <m/>
    <m/>
    <m/>
    <m/>
    <n v="0"/>
    <n v="0"/>
    <n v="0"/>
    <n v="0"/>
    <n v="0"/>
    <n v="0"/>
    <n v="0"/>
    <n v="0"/>
    <n v="0"/>
    <n v="0"/>
    <n v="0"/>
    <n v="0"/>
    <n v="0"/>
    <n v="0"/>
    <x v="0"/>
    <n v="0"/>
    <n v="0"/>
    <n v="0"/>
    <s v="MMR001CMP053"/>
    <x v="0"/>
    <x v="1"/>
    <x v="1"/>
    <n v="0"/>
    <s v="No"/>
    <m/>
  </r>
  <r>
    <n v="48.533333333333331"/>
    <d v="2013-01-06T00:00:00"/>
    <x v="1"/>
    <s v="Solidarities"/>
    <s v="Kachin"/>
    <s v="Mansi"/>
    <s v="Mansi Baptist Church"/>
    <n v="351"/>
    <m/>
    <m/>
    <m/>
    <m/>
    <m/>
    <m/>
    <m/>
    <n v="0"/>
    <n v="0"/>
    <m/>
    <m/>
    <m/>
    <m/>
    <m/>
    <m/>
    <m/>
    <n v="0"/>
    <n v="0"/>
    <n v="0"/>
    <n v="0"/>
    <n v="0"/>
    <n v="0"/>
    <n v="0"/>
    <n v="0"/>
    <n v="0"/>
    <n v="0"/>
    <n v="0"/>
    <n v="0"/>
    <n v="0"/>
    <n v="0"/>
    <x v="0"/>
    <n v="0"/>
    <n v="0"/>
    <n v="0"/>
    <s v="MMR001CMP066"/>
    <x v="0"/>
    <x v="1"/>
    <x v="1"/>
    <n v="0"/>
    <s v="No"/>
    <m/>
  </r>
  <r>
    <n v="48.733333333333334"/>
    <d v="2012-12-31T00:00:00"/>
    <x v="7"/>
    <s v="DRC"/>
    <s v="Kachin"/>
    <s v="Hpakant"/>
    <s v="5 Ward Baptist Church(lon Khin)"/>
    <n v="12"/>
    <m/>
    <m/>
    <m/>
    <m/>
    <m/>
    <m/>
    <m/>
    <n v="0"/>
    <n v="0"/>
    <m/>
    <m/>
    <m/>
    <m/>
    <m/>
    <m/>
    <m/>
    <n v="0"/>
    <n v="0"/>
    <n v="0"/>
    <n v="0"/>
    <n v="0"/>
    <n v="0"/>
    <n v="0"/>
    <n v="0"/>
    <n v="0"/>
    <n v="0"/>
    <n v="0"/>
    <n v="0"/>
    <n v="0"/>
    <n v="0"/>
    <x v="0"/>
    <n v="0"/>
    <n v="0"/>
    <n v="0"/>
    <s v="MMR001CMP179"/>
    <x v="0"/>
    <x v="1"/>
    <x v="1"/>
    <n v="0"/>
    <s v="No"/>
    <m/>
  </r>
  <r>
    <n v="48.733333333333334"/>
    <d v="2012-12-31T00:00:00"/>
    <x v="7"/>
    <s v="DRC"/>
    <s v="Kachin"/>
    <s v="Hpakant"/>
    <s v="5 Ward RC Church(lon Khin)"/>
    <n v="19"/>
    <m/>
    <m/>
    <m/>
    <m/>
    <m/>
    <m/>
    <m/>
    <n v="0"/>
    <n v="0"/>
    <m/>
    <m/>
    <m/>
    <m/>
    <m/>
    <m/>
    <m/>
    <n v="0"/>
    <n v="0"/>
    <n v="0"/>
    <n v="0"/>
    <n v="0"/>
    <n v="0"/>
    <n v="0"/>
    <n v="0"/>
    <n v="0"/>
    <n v="0"/>
    <n v="0"/>
    <n v="0"/>
    <n v="0"/>
    <n v="0"/>
    <x v="0"/>
    <n v="0"/>
    <n v="0"/>
    <n v="0"/>
    <s v="MMR001CMP168"/>
    <x v="0"/>
    <x v="1"/>
    <x v="1"/>
    <n v="0"/>
    <s v="No"/>
    <m/>
  </r>
  <r>
    <n v="48.733333333333334"/>
    <d v="2012-12-31T00:00:00"/>
    <x v="7"/>
    <s v="DRC"/>
    <s v="Kachin"/>
    <s v="Hpakant"/>
    <s v="AG Church, Hmaw Si Sa"/>
    <n v="7"/>
    <m/>
    <m/>
    <m/>
    <m/>
    <m/>
    <m/>
    <m/>
    <n v="0"/>
    <n v="0"/>
    <m/>
    <m/>
    <m/>
    <m/>
    <m/>
    <m/>
    <m/>
    <n v="0"/>
    <n v="0"/>
    <n v="0"/>
    <n v="0"/>
    <n v="0"/>
    <n v="0"/>
    <n v="0"/>
    <n v="0"/>
    <n v="0"/>
    <n v="0"/>
    <n v="0"/>
    <n v="0"/>
    <n v="0"/>
    <n v="0"/>
    <x v="0"/>
    <n v="0"/>
    <n v="0"/>
    <n v="0"/>
    <s v="MMR001CMP176"/>
    <x v="0"/>
    <x v="1"/>
    <x v="1"/>
    <n v="0"/>
    <s v="No"/>
    <m/>
  </r>
  <r>
    <n v="48.733333333333334"/>
    <d v="2012-12-31T00:00:00"/>
    <x v="7"/>
    <s v="DRC"/>
    <s v="Kachin"/>
    <s v="Hpakant"/>
    <s v="AG Church, Maw Wan"/>
    <n v="4"/>
    <m/>
    <m/>
    <m/>
    <m/>
    <m/>
    <m/>
    <m/>
    <n v="0"/>
    <n v="0"/>
    <m/>
    <m/>
    <m/>
    <m/>
    <m/>
    <m/>
    <m/>
    <n v="0"/>
    <n v="0"/>
    <n v="0"/>
    <n v="0"/>
    <n v="0"/>
    <n v="0"/>
    <n v="0"/>
    <n v="0"/>
    <n v="0"/>
    <n v="0"/>
    <n v="0"/>
    <n v="0"/>
    <n v="0"/>
    <n v="0"/>
    <x v="0"/>
    <n v="0"/>
    <n v="0"/>
    <n v="0"/>
    <s v="MMR001CMP190"/>
    <x v="0"/>
    <x v="1"/>
    <x v="1"/>
    <n v="0"/>
    <s v="No"/>
    <m/>
  </r>
  <r>
    <n v="48.733333333333334"/>
    <d v="2012-12-31T00:00:00"/>
    <x v="7"/>
    <s v="DRC"/>
    <s v="Kachin"/>
    <s v="Hpakant"/>
    <s v="Baptist Church, Hmaw Si Sar(Lon Khin)"/>
    <n v="20"/>
    <m/>
    <m/>
    <m/>
    <m/>
    <m/>
    <m/>
    <m/>
    <n v="0"/>
    <n v="0"/>
    <m/>
    <m/>
    <m/>
    <m/>
    <m/>
    <m/>
    <m/>
    <n v="0"/>
    <n v="0"/>
    <n v="0"/>
    <n v="0"/>
    <n v="0"/>
    <n v="0"/>
    <n v="0"/>
    <n v="0"/>
    <n v="0"/>
    <n v="0"/>
    <n v="0"/>
    <n v="0"/>
    <n v="0"/>
    <n v="0"/>
    <x v="0"/>
    <n v="0"/>
    <n v="0"/>
    <n v="0"/>
    <s v="MMR001CMP169"/>
    <x v="0"/>
    <x v="1"/>
    <x v="1"/>
    <n v="0"/>
    <s v="No"/>
    <m/>
  </r>
  <r>
    <n v="48.733333333333334"/>
    <d v="2012-12-31T00:00:00"/>
    <x v="7"/>
    <s v="DRC"/>
    <s v="Kachin"/>
    <s v="Hpakant"/>
    <s v="Dhama Rakhita, Nyein Chan Tar Yar Ward(Lon Khin)"/>
    <n v="6"/>
    <m/>
    <m/>
    <m/>
    <m/>
    <m/>
    <m/>
    <m/>
    <n v="0"/>
    <n v="0"/>
    <m/>
    <m/>
    <m/>
    <m/>
    <m/>
    <m/>
    <m/>
    <n v="0"/>
    <n v="0"/>
    <n v="0"/>
    <n v="0"/>
    <n v="0"/>
    <n v="0"/>
    <n v="0"/>
    <n v="0"/>
    <n v="0"/>
    <n v="0"/>
    <n v="0"/>
    <n v="0"/>
    <n v="0"/>
    <n v="0"/>
    <x v="0"/>
    <n v="0"/>
    <n v="0"/>
    <n v="0"/>
    <s v="MMR001CMP174"/>
    <x v="0"/>
    <x v="1"/>
    <x v="1"/>
    <n v="0"/>
    <s v="No"/>
    <m/>
  </r>
  <r>
    <n v="48.733333333333334"/>
    <d v="2012-12-31T00:00:00"/>
    <x v="7"/>
    <s v="DRC"/>
    <s v="Kachin"/>
    <s v="Waingmaw"/>
    <s v="Hkat Cho "/>
    <n v="136"/>
    <m/>
    <m/>
    <m/>
    <m/>
    <m/>
    <m/>
    <m/>
    <n v="0"/>
    <n v="0"/>
    <m/>
    <m/>
    <m/>
    <m/>
    <m/>
    <m/>
    <m/>
    <n v="0"/>
    <n v="0"/>
    <n v="0"/>
    <n v="0"/>
    <n v="0"/>
    <n v="0"/>
    <n v="0"/>
    <n v="0"/>
    <n v="0"/>
    <n v="0"/>
    <n v="0"/>
    <n v="0"/>
    <n v="0"/>
    <n v="0"/>
    <x v="0"/>
    <n v="0"/>
    <n v="0"/>
    <n v="0"/>
    <s v="MMR001CMP028"/>
    <x v="0"/>
    <x v="1"/>
    <x v="1"/>
    <n v="0"/>
    <s v="No"/>
    <m/>
  </r>
  <r>
    <n v="48.733333333333334"/>
    <d v="2012-12-31T00:00:00"/>
    <x v="7"/>
    <s v="DRC"/>
    <s v="Kachin"/>
    <s v="Hpakant"/>
    <s v="Hlaing Naung Baptist"/>
    <n v="4"/>
    <m/>
    <m/>
    <m/>
    <m/>
    <m/>
    <m/>
    <m/>
    <n v="0"/>
    <n v="0"/>
    <m/>
    <m/>
    <m/>
    <m/>
    <m/>
    <m/>
    <m/>
    <n v="0"/>
    <n v="0"/>
    <n v="0"/>
    <n v="0"/>
    <n v="0"/>
    <n v="0"/>
    <n v="0"/>
    <n v="0"/>
    <n v="0"/>
    <n v="0"/>
    <n v="0"/>
    <n v="0"/>
    <n v="0"/>
    <n v="0"/>
    <x v="0"/>
    <n v="0"/>
    <n v="0"/>
    <n v="0"/>
    <s v="MMR001CMP148"/>
    <x v="0"/>
    <x v="1"/>
    <x v="1"/>
    <n v="0"/>
    <s v="No"/>
    <m/>
  </r>
  <r>
    <n v="48.733333333333334"/>
    <d v="2012-12-31T00:00:00"/>
    <x v="7"/>
    <s v="DRC"/>
    <s v="Kachin"/>
    <s v="Hpakant"/>
    <s v="Hmaw Wan, Anglican"/>
    <n v="3"/>
    <m/>
    <m/>
    <m/>
    <m/>
    <m/>
    <m/>
    <m/>
    <n v="0"/>
    <n v="0"/>
    <m/>
    <m/>
    <m/>
    <m/>
    <m/>
    <m/>
    <m/>
    <n v="0"/>
    <n v="0"/>
    <n v="0"/>
    <n v="0"/>
    <n v="0"/>
    <n v="0"/>
    <n v="0"/>
    <n v="0"/>
    <n v="0"/>
    <n v="0"/>
    <n v="0"/>
    <n v="0"/>
    <n v="0"/>
    <n v="0"/>
    <x v="0"/>
    <n v="0"/>
    <n v="0"/>
    <n v="0"/>
    <s v="MMR001CMP191"/>
    <x v="0"/>
    <x v="1"/>
    <x v="1"/>
    <n v="0"/>
    <s v="No"/>
    <m/>
  </r>
  <r>
    <n v="48.733333333333334"/>
    <d v="2012-12-31T00:00:00"/>
    <x v="7"/>
    <s v="DRC"/>
    <s v="Kachin"/>
    <s v="Hpakant"/>
    <s v="Lisu Baptist Church, Maw Wan Ward"/>
    <n v="1"/>
    <m/>
    <m/>
    <m/>
    <m/>
    <m/>
    <m/>
    <m/>
    <n v="0"/>
    <n v="0"/>
    <m/>
    <m/>
    <m/>
    <m/>
    <m/>
    <m/>
    <m/>
    <n v="0"/>
    <n v="0"/>
    <n v="0"/>
    <n v="0"/>
    <n v="0"/>
    <n v="0"/>
    <n v="0"/>
    <n v="0"/>
    <n v="0"/>
    <n v="0"/>
    <n v="0"/>
    <n v="0"/>
    <n v="0"/>
    <n v="0"/>
    <x v="0"/>
    <n v="0"/>
    <n v="0"/>
    <n v="0"/>
    <s v="MMR001CMP167"/>
    <x v="0"/>
    <x v="1"/>
    <x v="1"/>
    <n v="0"/>
    <s v="No"/>
    <m/>
  </r>
  <r>
    <n v="48.733333333333334"/>
    <d v="2012-12-31T00:00:00"/>
    <x v="7"/>
    <s v="DRC"/>
    <s v="Kachin"/>
    <s v="Waingmaw"/>
    <s v="Mading Baptist Church"/>
    <n v="23"/>
    <m/>
    <m/>
    <m/>
    <m/>
    <m/>
    <m/>
    <m/>
    <n v="0"/>
    <n v="0"/>
    <m/>
    <m/>
    <m/>
    <m/>
    <m/>
    <m/>
    <m/>
    <n v="0"/>
    <n v="0"/>
    <n v="0"/>
    <n v="0"/>
    <n v="0"/>
    <n v="0"/>
    <n v="0"/>
    <n v="0"/>
    <n v="0"/>
    <n v="0"/>
    <n v="0"/>
    <n v="0"/>
    <n v="0"/>
    <n v="0"/>
    <x v="0"/>
    <n v="0"/>
    <n v="0"/>
    <n v="0"/>
    <s v="MMR001CMP027"/>
    <x v="0"/>
    <x v="1"/>
    <x v="1"/>
    <n v="0"/>
    <s v="No"/>
    <m/>
  </r>
  <r>
    <n v="48.733333333333334"/>
    <d v="2012-12-31T00:00:00"/>
    <x v="7"/>
    <s v="DRC"/>
    <s v="Kachin"/>
    <s v="Waingmaw"/>
    <s v="Maina AG Church"/>
    <n v="79"/>
    <m/>
    <m/>
    <m/>
    <m/>
    <m/>
    <m/>
    <m/>
    <n v="0"/>
    <n v="0"/>
    <m/>
    <m/>
    <m/>
    <m/>
    <m/>
    <m/>
    <m/>
    <n v="0"/>
    <n v="0"/>
    <n v="0"/>
    <n v="0"/>
    <n v="0"/>
    <n v="0"/>
    <n v="0"/>
    <n v="0"/>
    <n v="0"/>
    <n v="0"/>
    <n v="0"/>
    <n v="0"/>
    <n v="0"/>
    <n v="0"/>
    <x v="0"/>
    <n v="0"/>
    <n v="0"/>
    <n v="0"/>
    <s v="MMR001CMP031"/>
    <x v="0"/>
    <x v="1"/>
    <x v="1"/>
    <n v="0"/>
    <s v="No"/>
    <m/>
  </r>
  <r>
    <n v="48.733333333333334"/>
    <d v="2012-12-31T00:00:00"/>
    <x v="7"/>
    <s v="DRC"/>
    <s v="Kachin"/>
    <s v="Myitkyina"/>
    <s v="Maw Hpawng Hka Nan Baptist Church"/>
    <n v="14"/>
    <m/>
    <m/>
    <m/>
    <m/>
    <m/>
    <m/>
    <m/>
    <n v="0"/>
    <n v="0"/>
    <m/>
    <m/>
    <m/>
    <m/>
    <m/>
    <m/>
    <m/>
    <n v="0"/>
    <n v="0"/>
    <n v="0"/>
    <n v="0"/>
    <n v="0"/>
    <n v="0"/>
    <n v="0"/>
    <n v="0"/>
    <n v="0"/>
    <n v="0"/>
    <n v="0"/>
    <n v="0"/>
    <n v="0"/>
    <n v="0"/>
    <x v="0"/>
    <n v="0"/>
    <n v="0"/>
    <n v="0"/>
    <s v="MMR001CMP020"/>
    <x v="0"/>
    <x v="1"/>
    <x v="1"/>
    <n v="0"/>
    <s v="No"/>
    <m/>
  </r>
  <r>
    <n v="48.733333333333334"/>
    <d v="2012-12-31T00:00:00"/>
    <x v="7"/>
    <s v="DRC"/>
    <s v="Kachin"/>
    <s v="Myitkyina"/>
    <s v="Maw Hpawng Lhaovo Baptist Church"/>
    <n v="23"/>
    <m/>
    <m/>
    <m/>
    <m/>
    <m/>
    <m/>
    <m/>
    <n v="0"/>
    <n v="0"/>
    <m/>
    <m/>
    <m/>
    <m/>
    <m/>
    <m/>
    <m/>
    <n v="0"/>
    <n v="0"/>
    <n v="0"/>
    <n v="0"/>
    <n v="0"/>
    <n v="0"/>
    <n v="0"/>
    <n v="0"/>
    <n v="0"/>
    <n v="0"/>
    <n v="0"/>
    <n v="0"/>
    <n v="0"/>
    <n v="0"/>
    <x v="0"/>
    <n v="0"/>
    <n v="0"/>
    <n v="0"/>
    <s v="MMR001CMP021"/>
    <x v="0"/>
    <x v="1"/>
    <x v="1"/>
    <n v="0"/>
    <s v="No"/>
    <m/>
  </r>
  <r>
    <n v="48.733333333333334"/>
    <d v="2012-12-31T00:00:00"/>
    <x v="7"/>
    <s v="DRC"/>
    <s v="Kachin"/>
    <s v="Hpakant"/>
    <s v="Maw Wan, Mu-yin Baptist Church"/>
    <n v="2"/>
    <m/>
    <m/>
    <m/>
    <m/>
    <m/>
    <m/>
    <m/>
    <n v="0"/>
    <n v="0"/>
    <m/>
    <m/>
    <m/>
    <m/>
    <m/>
    <m/>
    <m/>
    <n v="0"/>
    <n v="0"/>
    <n v="0"/>
    <n v="0"/>
    <n v="0"/>
    <n v="0"/>
    <n v="0"/>
    <n v="0"/>
    <n v="0"/>
    <n v="0"/>
    <n v="0"/>
    <n v="0"/>
    <n v="0"/>
    <n v="0"/>
    <x v="0"/>
    <n v="0"/>
    <n v="0"/>
    <n v="0"/>
    <s v="MMR001CMP091"/>
    <x v="0"/>
    <x v="1"/>
    <x v="1"/>
    <n v="0"/>
    <s v="No"/>
    <m/>
  </r>
  <r>
    <n v="48.733333333333334"/>
    <d v="2012-12-31T00:00:00"/>
    <x v="7"/>
    <s v="DRC"/>
    <s v="Kachin"/>
    <s v="Hpakant"/>
    <s v="Nam Ma Phyit, COC"/>
    <n v="32"/>
    <m/>
    <m/>
    <m/>
    <m/>
    <m/>
    <m/>
    <m/>
    <n v="0"/>
    <n v="0"/>
    <m/>
    <m/>
    <m/>
    <m/>
    <m/>
    <m/>
    <m/>
    <n v="0"/>
    <n v="0"/>
    <n v="0"/>
    <n v="0"/>
    <n v="0"/>
    <n v="0"/>
    <n v="0"/>
    <n v="0"/>
    <n v="0"/>
    <n v="0"/>
    <n v="0"/>
    <n v="0"/>
    <n v="0"/>
    <n v="0"/>
    <x v="0"/>
    <n v="0"/>
    <n v="0"/>
    <n v="0"/>
    <s v="MMR001CMP192"/>
    <x v="0"/>
    <x v="1"/>
    <x v="1"/>
    <n v="0"/>
    <s v="No"/>
    <m/>
  </r>
  <r>
    <n v="48.733333333333334"/>
    <d v="2012-12-31T00:00:00"/>
    <x v="7"/>
    <s v="DRC"/>
    <s v="Kachin"/>
    <s v="Hpakant"/>
    <s v="Nant Ma Hpit Catholic Church"/>
    <n v="4"/>
    <m/>
    <m/>
    <m/>
    <m/>
    <m/>
    <m/>
    <m/>
    <n v="0"/>
    <n v="0"/>
    <m/>
    <m/>
    <m/>
    <m/>
    <m/>
    <m/>
    <m/>
    <n v="0"/>
    <n v="0"/>
    <n v="0"/>
    <n v="0"/>
    <n v="0"/>
    <n v="0"/>
    <n v="0"/>
    <n v="0"/>
    <n v="0"/>
    <n v="0"/>
    <n v="0"/>
    <n v="0"/>
    <n v="0"/>
    <n v="0"/>
    <x v="0"/>
    <n v="0"/>
    <n v="0"/>
    <n v="0"/>
    <s v="MMR001CMP103"/>
    <x v="0"/>
    <x v="1"/>
    <x v="1"/>
    <n v="0"/>
    <s v="No"/>
    <m/>
  </r>
  <r>
    <n v="48.733333333333334"/>
    <d v="2012-12-31T00:00:00"/>
    <x v="7"/>
    <s v="DRC"/>
    <s v="Kachin"/>
    <s v="Waingmaw"/>
    <s v="Qtr. 2 Lhaovo Baptist Church"/>
    <n v="92"/>
    <m/>
    <m/>
    <m/>
    <m/>
    <m/>
    <m/>
    <m/>
    <n v="0"/>
    <n v="0"/>
    <m/>
    <m/>
    <m/>
    <m/>
    <m/>
    <m/>
    <m/>
    <n v="0"/>
    <n v="0"/>
    <n v="0"/>
    <n v="0"/>
    <n v="0"/>
    <n v="0"/>
    <n v="0"/>
    <n v="0"/>
    <n v="0"/>
    <n v="0"/>
    <n v="0"/>
    <n v="0"/>
    <n v="0"/>
    <n v="0"/>
    <x v="0"/>
    <n v="0"/>
    <n v="0"/>
    <n v="0"/>
    <s v="MMR001CMP032"/>
    <x v="0"/>
    <x v="1"/>
    <x v="1"/>
    <n v="0"/>
    <s v="No"/>
    <m/>
  </r>
  <r>
    <n v="48.733333333333334"/>
    <d v="2012-12-31T00:00:00"/>
    <x v="7"/>
    <s v="DRC"/>
    <s v="Kachin"/>
    <s v="Hpakant"/>
    <s v="Aye Mya Tharyar Church of Christ "/>
    <n v="16"/>
    <m/>
    <m/>
    <m/>
    <m/>
    <m/>
    <m/>
    <m/>
    <n v="0"/>
    <n v="0"/>
    <m/>
    <m/>
    <m/>
    <m/>
    <m/>
    <m/>
    <m/>
    <n v="0"/>
    <n v="0"/>
    <n v="0"/>
    <n v="0"/>
    <n v="0"/>
    <n v="0"/>
    <n v="0"/>
    <n v="0"/>
    <n v="0"/>
    <n v="0"/>
    <n v="0"/>
    <n v="0"/>
    <n v="0"/>
    <n v="0"/>
    <x v="0"/>
    <n v="0"/>
    <n v="0"/>
    <n v="0"/>
    <s v="MMR001CMP092"/>
    <x v="0"/>
    <x v="0"/>
    <x v="0"/>
    <s v=""/>
    <s v="No"/>
    <m/>
  </r>
  <r>
    <n v="48.733333333333334"/>
    <d v="2012-12-31T00:00:00"/>
    <x v="7"/>
    <s v="DRC"/>
    <s v="Kachin"/>
    <s v="Hpakant"/>
    <s v="Baptist Church, Sai Ra village"/>
    <n v="3"/>
    <m/>
    <m/>
    <m/>
    <m/>
    <m/>
    <m/>
    <m/>
    <n v="0"/>
    <n v="0"/>
    <m/>
    <m/>
    <m/>
    <m/>
    <m/>
    <m/>
    <m/>
    <n v="0"/>
    <n v="0"/>
    <n v="0"/>
    <n v="0"/>
    <n v="0"/>
    <n v="0"/>
    <n v="0"/>
    <n v="0"/>
    <n v="0"/>
    <n v="0"/>
    <n v="0"/>
    <n v="0"/>
    <n v="0"/>
    <n v="0"/>
    <x v="0"/>
    <n v="0"/>
    <n v="0"/>
    <n v="0"/>
    <s v="MMR001CMP172"/>
    <x v="0"/>
    <x v="0"/>
    <x v="0"/>
    <n v="0"/>
    <s v="No"/>
    <m/>
  </r>
  <r>
    <n v="48.733333333333334"/>
    <d v="2012-12-31T00:00:00"/>
    <x v="7"/>
    <s v="DRC"/>
    <s v="Kachin"/>
    <s v="Waingmaw"/>
    <s v="Qtr. 3 Mu-yin  Baptist Church"/>
    <n v="27"/>
    <m/>
    <m/>
    <m/>
    <m/>
    <m/>
    <m/>
    <m/>
    <n v="0"/>
    <n v="0"/>
    <m/>
    <m/>
    <m/>
    <m/>
    <m/>
    <m/>
    <m/>
    <n v="0"/>
    <n v="0"/>
    <n v="0"/>
    <n v="0"/>
    <n v="0"/>
    <n v="0"/>
    <n v="0"/>
    <n v="0"/>
    <n v="0"/>
    <n v="0"/>
    <n v="0"/>
    <n v="0"/>
    <n v="0"/>
    <n v="0"/>
    <x v="0"/>
    <n v="0"/>
    <n v="0"/>
    <n v="0"/>
    <s v="MMR001CMP030"/>
    <x v="0"/>
    <x v="1"/>
    <x v="1"/>
    <n v="0"/>
    <s v="No"/>
    <m/>
  </r>
  <r>
    <n v="48.733333333333334"/>
    <d v="2012-12-31T00:00:00"/>
    <x v="7"/>
    <s v="DRC"/>
    <s v="Kachin"/>
    <s v="Hpakant"/>
    <s v="Mashi Kahtawng Baptist  Church"/>
    <n v="57"/>
    <m/>
    <m/>
    <m/>
    <m/>
    <m/>
    <m/>
    <m/>
    <n v="0"/>
    <n v="0"/>
    <m/>
    <m/>
    <m/>
    <m/>
    <m/>
    <m/>
    <m/>
    <n v="0"/>
    <n v="0"/>
    <n v="0"/>
    <n v="0"/>
    <n v="0"/>
    <n v="0"/>
    <n v="0"/>
    <n v="0"/>
    <n v="0"/>
    <n v="0"/>
    <n v="0"/>
    <n v="0"/>
    <n v="0"/>
    <n v="0"/>
    <x v="0"/>
    <n v="0"/>
    <n v="0"/>
    <n v="0"/>
    <s v="MMR001CMP094"/>
    <x v="0"/>
    <x v="0"/>
    <x v="0"/>
    <s v=""/>
    <s v="No"/>
    <m/>
  </r>
  <r>
    <n v="48.733333333333334"/>
    <d v="2012-12-31T00:00:00"/>
    <x v="7"/>
    <s v="DRC"/>
    <s v="Kachin"/>
    <s v="Hpakant"/>
    <s v="Mashi Kahtawng Catholic Church"/>
    <n v="2"/>
    <m/>
    <m/>
    <m/>
    <m/>
    <m/>
    <m/>
    <m/>
    <n v="0"/>
    <n v="0"/>
    <m/>
    <m/>
    <m/>
    <m/>
    <m/>
    <m/>
    <m/>
    <n v="0"/>
    <n v="0"/>
    <n v="0"/>
    <n v="0"/>
    <n v="0"/>
    <n v="0"/>
    <n v="0"/>
    <n v="0"/>
    <n v="0"/>
    <n v="0"/>
    <n v="0"/>
    <n v="0"/>
    <n v="0"/>
    <n v="0"/>
    <x v="0"/>
    <n v="0"/>
    <n v="0"/>
    <n v="0"/>
    <s v="MMR001CMP093"/>
    <x v="0"/>
    <x v="0"/>
    <x v="0"/>
    <s v=""/>
    <s v="No"/>
    <m/>
  </r>
  <r>
    <n v="48.733333333333334"/>
    <d v="2012-12-31T00:00:00"/>
    <x v="7"/>
    <s v="DRC"/>
    <s v="Kachin"/>
    <s v="Hpakant"/>
    <s v="Maw Si Zar, Thiriyardanar Sein, Damma Compound, Lone Khin"/>
    <n v="3"/>
    <m/>
    <m/>
    <m/>
    <m/>
    <m/>
    <m/>
    <m/>
    <n v="0"/>
    <n v="0"/>
    <m/>
    <m/>
    <m/>
    <m/>
    <m/>
    <m/>
    <m/>
    <n v="0"/>
    <n v="0"/>
    <n v="0"/>
    <n v="0"/>
    <n v="0"/>
    <n v="0"/>
    <n v="0"/>
    <n v="0"/>
    <n v="0"/>
    <n v="0"/>
    <n v="0"/>
    <n v="0"/>
    <n v="0"/>
    <n v="0"/>
    <x v="0"/>
    <n v="0"/>
    <n v="0"/>
    <n v="0"/>
    <s v="MMR001CMP106"/>
    <x v="0"/>
    <x v="0"/>
    <x v="0"/>
    <s v=""/>
    <s v="No"/>
    <m/>
  </r>
  <r>
    <n v="48.733333333333334"/>
    <d v="2012-12-31T00:00:00"/>
    <x v="7"/>
    <s v="DRC"/>
    <s v="Kachin"/>
    <s v="Hpakant"/>
    <s v="Maw Wan, Kachin Baptist Church"/>
    <n v="10"/>
    <m/>
    <m/>
    <m/>
    <m/>
    <m/>
    <m/>
    <m/>
    <n v="0"/>
    <n v="0"/>
    <m/>
    <m/>
    <m/>
    <m/>
    <m/>
    <m/>
    <m/>
    <n v="0"/>
    <n v="0"/>
    <n v="0"/>
    <n v="0"/>
    <n v="0"/>
    <n v="0"/>
    <n v="0"/>
    <n v="0"/>
    <n v="0"/>
    <n v="0"/>
    <n v="0"/>
    <n v="0"/>
    <n v="0"/>
    <n v="0"/>
    <x v="0"/>
    <n v="0"/>
    <n v="0"/>
    <n v="0"/>
    <s v="MMR001CMP085"/>
    <x v="0"/>
    <x v="0"/>
    <x v="0"/>
    <s v=""/>
    <s v="No"/>
    <m/>
  </r>
  <r>
    <n v="48.733333333333334"/>
    <d v="2012-12-31T00:00:00"/>
    <x v="7"/>
    <s v="DRC"/>
    <s v="Kachin"/>
    <s v="Hpakant"/>
    <s v="May Di Ka Rama Monastery(Lon Khin)"/>
    <n v="5"/>
    <m/>
    <m/>
    <m/>
    <m/>
    <m/>
    <m/>
    <m/>
    <n v="0"/>
    <n v="0"/>
    <m/>
    <m/>
    <m/>
    <m/>
    <m/>
    <m/>
    <m/>
    <n v="0"/>
    <n v="0"/>
    <n v="0"/>
    <n v="0"/>
    <n v="0"/>
    <n v="0"/>
    <n v="0"/>
    <n v="0"/>
    <n v="0"/>
    <n v="0"/>
    <n v="0"/>
    <n v="0"/>
    <n v="0"/>
    <n v="0"/>
    <x v="0"/>
    <n v="0"/>
    <n v="0"/>
    <n v="0"/>
    <s v="MMR001CMP178"/>
    <x v="0"/>
    <x v="0"/>
    <x v="0"/>
    <s v=""/>
    <s v="No"/>
    <m/>
  </r>
  <r>
    <n v="48.733333333333334"/>
    <d v="2012-12-31T00:00:00"/>
    <x v="7"/>
    <s v="DRC"/>
    <s v="Kachin"/>
    <s v="Hpakant"/>
    <s v="Muring Baptist Church, Awng Ra, Wa Ra Zut VT"/>
    <n v="1"/>
    <m/>
    <m/>
    <m/>
    <m/>
    <m/>
    <m/>
    <m/>
    <n v="0"/>
    <n v="0"/>
    <m/>
    <m/>
    <m/>
    <m/>
    <m/>
    <m/>
    <m/>
    <n v="0"/>
    <n v="0"/>
    <n v="0"/>
    <n v="0"/>
    <n v="0"/>
    <n v="0"/>
    <n v="0"/>
    <n v="0"/>
    <n v="0"/>
    <n v="0"/>
    <n v="0"/>
    <n v="0"/>
    <n v="0"/>
    <n v="0"/>
    <x v="0"/>
    <n v="0"/>
    <n v="0"/>
    <n v="0"/>
    <s v="MMR001CMP177"/>
    <x v="0"/>
    <x v="0"/>
    <x v="0"/>
    <n v="0"/>
    <s v="No"/>
    <m/>
  </r>
  <r>
    <n v="48.733333333333334"/>
    <d v="2012-12-31T00:00:00"/>
    <x v="7"/>
    <s v="DRC"/>
    <s v="Kachin"/>
    <s v="Myitkyina"/>
    <s v="Myay Myint Baptist Church"/>
    <n v="12"/>
    <m/>
    <m/>
    <m/>
    <m/>
    <m/>
    <m/>
    <m/>
    <n v="0"/>
    <n v="0"/>
    <m/>
    <m/>
    <m/>
    <m/>
    <m/>
    <m/>
    <m/>
    <n v="0"/>
    <n v="0"/>
    <n v="0"/>
    <n v="0"/>
    <n v="0"/>
    <n v="0"/>
    <n v="0"/>
    <n v="0"/>
    <n v="0"/>
    <n v="0"/>
    <n v="0"/>
    <n v="0"/>
    <n v="0"/>
    <n v="0"/>
    <x v="0"/>
    <n v="0"/>
    <n v="0"/>
    <n v="0"/>
    <s v="MMR001CMP017"/>
    <x v="0"/>
    <x v="0"/>
    <x v="1"/>
    <n v="0"/>
    <s v="No"/>
    <m/>
  </r>
  <r>
    <n v="48.733333333333334"/>
    <d v="2012-12-31T00:00:00"/>
    <x v="7"/>
    <s v="DRC"/>
    <s v="Kachin"/>
    <s v="Hpakant"/>
    <s v="Nga Pyaw Taw Roman Catholic Church"/>
    <n v="3"/>
    <m/>
    <m/>
    <m/>
    <m/>
    <m/>
    <m/>
    <m/>
    <n v="0"/>
    <n v="0"/>
    <m/>
    <m/>
    <m/>
    <m/>
    <m/>
    <m/>
    <m/>
    <n v="0"/>
    <n v="0"/>
    <n v="0"/>
    <n v="0"/>
    <n v="0"/>
    <n v="0"/>
    <n v="0"/>
    <n v="0"/>
    <n v="0"/>
    <n v="0"/>
    <n v="0"/>
    <n v="0"/>
    <n v="0"/>
    <n v="0"/>
    <x v="0"/>
    <n v="0"/>
    <n v="0"/>
    <n v="0"/>
    <s v="MMR001CMP083"/>
    <x v="0"/>
    <x v="0"/>
    <x v="0"/>
    <s v=""/>
    <s v="No"/>
    <m/>
  </r>
  <r>
    <n v="48.733333333333334"/>
    <d v="2012-12-31T00:00:00"/>
    <x v="7"/>
    <s v="DRC"/>
    <s v="Kachin"/>
    <s v="Waingmaw"/>
    <s v="Qtr. 4 Monestry (Thargaya Thayett Taw)"/>
    <n v="96"/>
    <m/>
    <m/>
    <m/>
    <m/>
    <m/>
    <m/>
    <m/>
    <n v="0"/>
    <n v="0"/>
    <m/>
    <m/>
    <m/>
    <m/>
    <m/>
    <m/>
    <m/>
    <n v="0"/>
    <n v="0"/>
    <n v="0"/>
    <n v="0"/>
    <n v="0"/>
    <n v="0"/>
    <n v="0"/>
    <n v="0"/>
    <n v="0"/>
    <n v="0"/>
    <n v="0"/>
    <n v="0"/>
    <n v="0"/>
    <n v="0"/>
    <x v="0"/>
    <n v="0"/>
    <n v="0"/>
    <n v="0"/>
    <s v="MMR001CMP026"/>
    <x v="0"/>
    <x v="1"/>
    <x v="1"/>
    <n v="0"/>
    <s v="No"/>
    <m/>
  </r>
  <r>
    <n v="48.733333333333334"/>
    <d v="2012-12-31T00:00:00"/>
    <x v="7"/>
    <s v="DRC"/>
    <s v="Kachin"/>
    <s v="Hpakant"/>
    <s v="Wrad(5) Christian Association"/>
    <n v="3"/>
    <m/>
    <m/>
    <m/>
    <m/>
    <m/>
    <m/>
    <m/>
    <n v="0"/>
    <n v="0"/>
    <m/>
    <m/>
    <m/>
    <m/>
    <m/>
    <m/>
    <m/>
    <n v="0"/>
    <n v="0"/>
    <n v="0"/>
    <n v="0"/>
    <n v="0"/>
    <n v="0"/>
    <n v="0"/>
    <n v="0"/>
    <n v="0"/>
    <n v="0"/>
    <n v="0"/>
    <n v="0"/>
    <n v="0"/>
    <n v="0"/>
    <x v="0"/>
    <n v="0"/>
    <n v="0"/>
    <n v="0"/>
    <s v="MMR001CMP175"/>
    <x v="0"/>
    <x v="0"/>
    <x v="0"/>
    <s v=""/>
    <s v="No"/>
    <m/>
  </r>
  <r>
    <n v="48.733333333333334"/>
    <d v="2012-12-31T00:00:00"/>
    <x v="7"/>
    <s v="DRC"/>
    <s v="Kachin"/>
    <s v="Myitkyina"/>
    <s v="Shatapru Thida Aye Baptist Church"/>
    <n v="17"/>
    <m/>
    <m/>
    <m/>
    <m/>
    <m/>
    <m/>
    <m/>
    <n v="0"/>
    <n v="0"/>
    <m/>
    <m/>
    <m/>
    <m/>
    <m/>
    <m/>
    <m/>
    <n v="0"/>
    <n v="0"/>
    <n v="0"/>
    <n v="0"/>
    <n v="0"/>
    <n v="0"/>
    <n v="0"/>
    <n v="0"/>
    <n v="0"/>
    <n v="0"/>
    <n v="0"/>
    <n v="0"/>
    <n v="0"/>
    <n v="0"/>
    <x v="0"/>
    <n v="0"/>
    <n v="0"/>
    <n v="0"/>
    <s v="MMR001CMP007"/>
    <x v="0"/>
    <x v="1"/>
    <x v="1"/>
    <n v="0"/>
    <s v="No"/>
    <m/>
  </r>
  <r>
    <n v="48.733333333333334"/>
    <d v="2012-12-31T00:00:00"/>
    <x v="7"/>
    <s v="DRC"/>
    <s v="Kachin"/>
    <s v="Myitkyina"/>
    <s v="Tat Kone COC Baptist - Tat Kone Htoi San"/>
    <n v="34"/>
    <m/>
    <m/>
    <m/>
    <m/>
    <m/>
    <m/>
    <m/>
    <n v="0"/>
    <n v="0"/>
    <m/>
    <m/>
    <m/>
    <m/>
    <m/>
    <m/>
    <m/>
    <n v="0"/>
    <n v="0"/>
    <n v="0"/>
    <n v="0"/>
    <n v="0"/>
    <n v="0"/>
    <n v="0"/>
    <n v="0"/>
    <n v="0"/>
    <n v="0"/>
    <n v="0"/>
    <n v="0"/>
    <n v="0"/>
    <n v="0"/>
    <x v="0"/>
    <n v="0"/>
    <n v="0"/>
    <n v="0"/>
    <s v="MMR001CMP023"/>
    <x v="0"/>
    <x v="1"/>
    <x v="1"/>
    <n v="0"/>
    <s v="No"/>
    <m/>
  </r>
  <r>
    <n v="48.733333333333334"/>
    <d v="2012-12-31T00:00:00"/>
    <x v="7"/>
    <s v="DRC"/>
    <s v="Kachin"/>
    <s v="Myitkyina"/>
    <s v="Tat Kone Emanuel Church"/>
    <n v="14"/>
    <m/>
    <m/>
    <m/>
    <m/>
    <m/>
    <m/>
    <m/>
    <n v="0"/>
    <n v="0"/>
    <m/>
    <m/>
    <m/>
    <m/>
    <m/>
    <m/>
    <m/>
    <n v="0"/>
    <n v="0"/>
    <n v="0"/>
    <n v="0"/>
    <n v="0"/>
    <n v="0"/>
    <n v="0"/>
    <n v="0"/>
    <n v="0"/>
    <n v="0"/>
    <n v="0"/>
    <n v="0"/>
    <n v="0"/>
    <n v="0"/>
    <x v="0"/>
    <n v="0"/>
    <n v="0"/>
    <n v="0"/>
    <s v="MMR001CMP004"/>
    <x v="0"/>
    <x v="1"/>
    <x v="1"/>
    <n v="0"/>
    <s v="No"/>
    <m/>
  </r>
  <r>
    <n v="48.733333333333334"/>
    <d v="2012-12-31T00:00:00"/>
    <x v="7"/>
    <s v="DRC"/>
    <s v="Kachin"/>
    <s v="Waingmaw"/>
    <s v="Thargaya Lisu Baptist Church"/>
    <n v="68"/>
    <m/>
    <m/>
    <m/>
    <m/>
    <m/>
    <m/>
    <m/>
    <n v="0"/>
    <n v="0"/>
    <m/>
    <m/>
    <m/>
    <m/>
    <m/>
    <m/>
    <m/>
    <n v="0"/>
    <n v="0"/>
    <n v="0"/>
    <n v="0"/>
    <n v="0"/>
    <n v="0"/>
    <n v="0"/>
    <n v="0"/>
    <n v="0"/>
    <n v="0"/>
    <n v="0"/>
    <n v="0"/>
    <n v="0"/>
    <n v="0"/>
    <x v="0"/>
    <n v="0"/>
    <n v="0"/>
    <n v="0"/>
    <s v="MMR001CMP037"/>
    <x v="0"/>
    <x v="1"/>
    <x v="1"/>
    <n v="0"/>
    <s v="No"/>
    <m/>
  </r>
  <r>
    <n v="48.733333333333334"/>
    <d v="2012-12-31T00:00:00"/>
    <x v="7"/>
    <s v="DRC"/>
    <s v="Kachin"/>
    <s v="Waingmaw"/>
    <s v="Waingmaw AG Church"/>
    <n v="56"/>
    <m/>
    <m/>
    <m/>
    <m/>
    <m/>
    <m/>
    <m/>
    <n v="0"/>
    <n v="0"/>
    <m/>
    <m/>
    <m/>
    <m/>
    <m/>
    <m/>
    <m/>
    <n v="0"/>
    <n v="0"/>
    <n v="0"/>
    <n v="0"/>
    <n v="0"/>
    <n v="0"/>
    <n v="0"/>
    <n v="0"/>
    <n v="0"/>
    <n v="0"/>
    <n v="0"/>
    <n v="0"/>
    <n v="0"/>
    <n v="0"/>
    <x v="0"/>
    <n v="0"/>
    <n v="0"/>
    <n v="0"/>
    <s v="MMR001CMP038"/>
    <x v="0"/>
    <x v="1"/>
    <x v="1"/>
    <n v="0"/>
    <s v="No"/>
    <m/>
  </r>
  <r>
    <n v="48.733333333333334"/>
    <d v="2012-12-31T00:00:00"/>
    <x v="7"/>
    <s v="DRC"/>
    <s v="Kachin"/>
    <s v="Myitkyina"/>
    <s v="Wun Tho Buddhist Monastery"/>
    <n v="24"/>
    <m/>
    <m/>
    <m/>
    <m/>
    <m/>
    <m/>
    <m/>
    <n v="0"/>
    <n v="0"/>
    <m/>
    <m/>
    <m/>
    <m/>
    <m/>
    <m/>
    <m/>
    <n v="0"/>
    <n v="0"/>
    <n v="0"/>
    <n v="0"/>
    <n v="0"/>
    <n v="0"/>
    <n v="0"/>
    <n v="0"/>
    <n v="0"/>
    <n v="0"/>
    <n v="0"/>
    <n v="0"/>
    <n v="0"/>
    <n v="0"/>
    <x v="0"/>
    <n v="0"/>
    <n v="0"/>
    <n v="0"/>
    <s v="MMR001CMP022"/>
    <x v="0"/>
    <x v="1"/>
    <x v="1"/>
    <n v="0"/>
    <s v="No"/>
    <m/>
  </r>
  <r>
    <n v="48.733333333333334"/>
    <d v="2012-12-31T00:00:00"/>
    <x v="7"/>
    <s v="DRC"/>
    <s v="Kachin"/>
    <s v="Hpakant"/>
    <s v="Yumar Baptist Church"/>
    <n v="42"/>
    <m/>
    <m/>
    <m/>
    <m/>
    <m/>
    <m/>
    <m/>
    <n v="0"/>
    <n v="0"/>
    <m/>
    <m/>
    <m/>
    <m/>
    <m/>
    <m/>
    <m/>
    <n v="0"/>
    <n v="0"/>
    <n v="0"/>
    <n v="0"/>
    <n v="0"/>
    <n v="0"/>
    <n v="0"/>
    <n v="0"/>
    <n v="0"/>
    <n v="0"/>
    <n v="0"/>
    <n v="0"/>
    <n v="0"/>
    <n v="0"/>
    <x v="0"/>
    <n v="0"/>
    <n v="0"/>
    <n v="0"/>
    <s v="MMR001CMP105"/>
    <x v="0"/>
    <x v="1"/>
    <x v="1"/>
    <n v="0"/>
    <s v="No"/>
    <m/>
  </r>
  <r>
    <n v="49.06666666666667"/>
    <d v="2012-12-21T00:00:00"/>
    <x v="0"/>
    <s v="UNHCR"/>
    <s v="Kachin"/>
    <s v="Bhamo"/>
    <s v="Lisu Boarding-House"/>
    <m/>
    <m/>
    <m/>
    <n v="0"/>
    <n v="12"/>
    <n v="0"/>
    <n v="12"/>
    <n v="12"/>
    <n v="12"/>
    <n v="12"/>
    <m/>
    <m/>
    <m/>
    <m/>
    <m/>
    <m/>
    <m/>
    <n v="0"/>
    <n v="0"/>
    <n v="0"/>
    <n v="0"/>
    <n v="0"/>
    <n v="0"/>
    <n v="0"/>
    <n v="0"/>
    <n v="0"/>
    <n v="0"/>
    <n v="0"/>
    <n v="0"/>
    <n v="0"/>
    <n v="0"/>
    <x v="0"/>
    <n v="0"/>
    <n v="0"/>
    <n v="0"/>
    <s v="MMR001CMP049"/>
    <x v="0"/>
    <x v="1"/>
    <x v="1"/>
    <n v="2.948765204570586E-4"/>
    <s v="No"/>
    <m/>
  </r>
  <r>
    <n v="49.06666666666667"/>
    <d v="2012-12-21T00:00:00"/>
    <x v="0"/>
    <s v="UNHCR"/>
    <s v="Kachin"/>
    <s v="Bhamo"/>
    <s v="Robert Church"/>
    <m/>
    <m/>
    <m/>
    <n v="0"/>
    <n v="0"/>
    <n v="73"/>
    <n v="0"/>
    <n v="0"/>
    <m/>
    <m/>
    <m/>
    <m/>
    <m/>
    <m/>
    <m/>
    <m/>
    <m/>
    <n v="0"/>
    <n v="0"/>
    <n v="0"/>
    <n v="0"/>
    <n v="0"/>
    <n v="0"/>
    <n v="0"/>
    <n v="0"/>
    <n v="0"/>
    <n v="0"/>
    <n v="0"/>
    <n v="0"/>
    <n v="0"/>
    <n v="0"/>
    <x v="0"/>
    <n v="0"/>
    <n v="0"/>
    <n v="0"/>
    <s v="MMR001CMP047"/>
    <x v="0"/>
    <x v="1"/>
    <x v="1"/>
    <n v="0"/>
    <s v="No"/>
    <m/>
  </r>
  <r>
    <n v="49.06666666666667"/>
    <d v="2012-12-21T00:00:00"/>
    <x v="0"/>
    <s v="UNHCR"/>
    <s v="Kachin"/>
    <s v="Bhamo"/>
    <s v="Robert Church"/>
    <m/>
    <m/>
    <m/>
    <n v="24"/>
    <n v="12"/>
    <n v="24"/>
    <n v="12"/>
    <n v="12"/>
    <n v="12"/>
    <n v="12"/>
    <m/>
    <m/>
    <m/>
    <m/>
    <m/>
    <m/>
    <m/>
    <n v="0"/>
    <n v="0"/>
    <n v="0"/>
    <n v="0"/>
    <n v="0"/>
    <n v="0"/>
    <n v="0"/>
    <n v="0"/>
    <n v="0"/>
    <n v="0"/>
    <n v="0"/>
    <n v="0"/>
    <n v="0"/>
    <n v="0"/>
    <x v="0"/>
    <n v="0"/>
    <n v="0"/>
    <n v="0"/>
    <s v="MMR001CMP047"/>
    <x v="0"/>
    <x v="1"/>
    <x v="1"/>
    <n v="2.9465930018416205E-4"/>
    <s v="No"/>
    <m/>
  </r>
  <r>
    <n v="49.06666666666667"/>
    <d v="2012-12-21T00:00:00"/>
    <x v="0"/>
    <s v="UNHCR"/>
    <s v="Kachin"/>
    <s v="Shwegu"/>
    <s v="Shwe Gu Baptist Church"/>
    <m/>
    <m/>
    <m/>
    <n v="0"/>
    <n v="0"/>
    <n v="83"/>
    <n v="0"/>
    <n v="0"/>
    <m/>
    <m/>
    <m/>
    <m/>
    <m/>
    <m/>
    <m/>
    <m/>
    <m/>
    <n v="0"/>
    <n v="0"/>
    <n v="0"/>
    <n v="0"/>
    <n v="0"/>
    <n v="0"/>
    <n v="0"/>
    <n v="0"/>
    <n v="0"/>
    <n v="0"/>
    <n v="0"/>
    <n v="0"/>
    <n v="0"/>
    <n v="0"/>
    <x v="0"/>
    <n v="0"/>
    <n v="0"/>
    <n v="0"/>
    <s v="MMR001CMP067"/>
    <x v="0"/>
    <x v="1"/>
    <x v="1"/>
    <n v="0"/>
    <s v="No"/>
    <m/>
  </r>
  <r>
    <n v="49.06666666666667"/>
    <d v="2012-12-21T00:00:00"/>
    <x v="1"/>
    <s v="Solidarities"/>
    <s v="Kachin"/>
    <s v="Bhamo"/>
    <s v="Yoe Kyi Monastery"/>
    <n v="178"/>
    <m/>
    <m/>
    <m/>
    <m/>
    <m/>
    <m/>
    <m/>
    <m/>
    <m/>
    <m/>
    <m/>
    <m/>
    <m/>
    <m/>
    <m/>
    <m/>
    <n v="0"/>
    <n v="0"/>
    <n v="0"/>
    <n v="0"/>
    <n v="0"/>
    <n v="0"/>
    <n v="0"/>
    <n v="0"/>
    <n v="0"/>
    <n v="0"/>
    <n v="0"/>
    <n v="0"/>
    <n v="0"/>
    <n v="0"/>
    <x v="0"/>
    <n v="0"/>
    <n v="0"/>
    <n v="0"/>
    <s v="MMR001CMP053"/>
    <x v="0"/>
    <x v="1"/>
    <x v="1"/>
    <n v="0"/>
    <m/>
    <m/>
  </r>
  <r>
    <n v="49.06666666666667"/>
    <d v="2012-12-21T00:00:00"/>
    <x v="0"/>
    <s v="UNHCR"/>
    <s v="Kachin"/>
    <s v="Bhamo"/>
    <s v="Yoe Kyi Monastery"/>
    <m/>
    <m/>
    <m/>
    <n v="0"/>
    <n v="3"/>
    <n v="0"/>
    <n v="3"/>
    <n v="3"/>
    <n v="3"/>
    <n v="3"/>
    <m/>
    <m/>
    <m/>
    <m/>
    <m/>
    <m/>
    <m/>
    <n v="0"/>
    <n v="0"/>
    <n v="0"/>
    <n v="0"/>
    <n v="0"/>
    <n v="0"/>
    <n v="0"/>
    <n v="0"/>
    <n v="0"/>
    <n v="0"/>
    <n v="0"/>
    <n v="0"/>
    <n v="0"/>
    <n v="0"/>
    <x v="0"/>
    <n v="0"/>
    <n v="0"/>
    <n v="0"/>
    <s v="MMR001CMP053"/>
    <x v="0"/>
    <x v="1"/>
    <x v="1"/>
    <n v="7.2953650114294054E-5"/>
    <s v="No"/>
    <m/>
  </r>
  <r>
    <n v="49.1"/>
    <d v="2012-12-20T00:00:00"/>
    <x v="0"/>
    <s v="KBC"/>
    <s v="Kachin"/>
    <s v="Hpakant"/>
    <s v="Hlaing Naung Baptist"/>
    <m/>
    <m/>
    <m/>
    <n v="12"/>
    <n v="0"/>
    <n v="12"/>
    <n v="0"/>
    <n v="0"/>
    <m/>
    <m/>
    <m/>
    <m/>
    <m/>
    <m/>
    <m/>
    <m/>
    <m/>
    <n v="0"/>
    <n v="0"/>
    <n v="0"/>
    <n v="0"/>
    <n v="0"/>
    <n v="0"/>
    <n v="0"/>
    <n v="0"/>
    <n v="0"/>
    <n v="0"/>
    <n v="0"/>
    <n v="0"/>
    <n v="0"/>
    <n v="0"/>
    <x v="0"/>
    <n v="0"/>
    <n v="0"/>
    <n v="0"/>
    <s v="MMR001CMP148"/>
    <x v="0"/>
    <x v="1"/>
    <x v="1"/>
    <n v="0"/>
    <s v="No"/>
    <m/>
  </r>
  <r>
    <n v="49.1"/>
    <d v="2012-12-20T00:00:00"/>
    <x v="0"/>
    <s v="UNHCR"/>
    <s v="Kachin"/>
    <s v="Myitkyina"/>
    <s v="Jan Mai Kawng Baptist Church"/>
    <m/>
    <m/>
    <m/>
    <n v="19"/>
    <n v="10"/>
    <n v="19"/>
    <n v="10"/>
    <n v="10"/>
    <n v="10"/>
    <n v="10"/>
    <m/>
    <m/>
    <m/>
    <m/>
    <m/>
    <m/>
    <m/>
    <n v="0"/>
    <n v="0"/>
    <n v="0"/>
    <n v="0"/>
    <n v="0"/>
    <n v="0"/>
    <n v="0"/>
    <n v="0"/>
    <n v="0"/>
    <n v="0"/>
    <n v="0"/>
    <n v="0"/>
    <n v="0"/>
    <n v="0"/>
    <x v="0"/>
    <n v="0"/>
    <n v="0"/>
    <n v="0"/>
    <s v="MMR001CMP018"/>
    <x v="0"/>
    <x v="1"/>
    <x v="1"/>
    <n v="2.4554941682013506E-4"/>
    <s v="No"/>
    <m/>
  </r>
  <r>
    <n v="49.133333333333333"/>
    <d v="2012-12-19T00:00:00"/>
    <x v="0"/>
    <s v="UNHCR"/>
    <s v="Kachin"/>
    <s v="Myitkyina"/>
    <s v="Pa Dauk Myaing(Pa La Na)"/>
    <m/>
    <m/>
    <m/>
    <n v="37"/>
    <n v="10"/>
    <n v="37"/>
    <n v="10"/>
    <n v="10"/>
    <n v="10"/>
    <n v="10"/>
    <m/>
    <m/>
    <m/>
    <m/>
    <m/>
    <m/>
    <m/>
    <n v="0"/>
    <n v="0"/>
    <n v="0"/>
    <n v="0"/>
    <n v="0"/>
    <n v="0"/>
    <n v="0"/>
    <n v="0"/>
    <n v="0"/>
    <n v="0"/>
    <n v="0"/>
    <n v="0"/>
    <n v="0"/>
    <n v="0"/>
    <x v="0"/>
    <n v="0"/>
    <n v="0"/>
    <n v="0"/>
    <s v="MMR001CMP162"/>
    <x v="0"/>
    <x v="1"/>
    <x v="1"/>
    <n v="2.4245950926195326E-4"/>
    <s v="No"/>
    <m/>
  </r>
  <r>
    <n v="49.166666666666664"/>
    <d v="2012-12-18T00:00:00"/>
    <x v="1"/>
    <s v="Solidarities"/>
    <s v="Kachin"/>
    <s v="Momauk"/>
    <s v="Loi Je Baptist Church"/>
    <m/>
    <m/>
    <n v="54"/>
    <m/>
    <m/>
    <m/>
    <m/>
    <m/>
    <m/>
    <m/>
    <m/>
    <m/>
    <m/>
    <m/>
    <m/>
    <m/>
    <m/>
    <n v="0"/>
    <n v="0"/>
    <n v="0"/>
    <n v="0"/>
    <n v="0"/>
    <n v="0"/>
    <n v="0"/>
    <n v="0"/>
    <n v="0"/>
    <n v="0"/>
    <n v="0"/>
    <n v="0"/>
    <n v="0"/>
    <n v="0"/>
    <x v="0"/>
    <n v="0"/>
    <n v="0"/>
    <n v="0"/>
    <s v="MMR001CMP071"/>
    <x v="0"/>
    <x v="1"/>
    <x v="2"/>
    <n v="0"/>
    <m/>
    <m/>
  </r>
  <r>
    <n v="49.166666666666664"/>
    <d v="2012-12-18T00:00:00"/>
    <x v="0"/>
    <s v="UNHCR"/>
    <s v="Kachin"/>
    <s v="Myitkyina"/>
    <s v="Shwe Zet Baptist Church"/>
    <m/>
    <m/>
    <m/>
    <n v="30"/>
    <n v="20"/>
    <n v="30"/>
    <n v="20"/>
    <n v="20"/>
    <n v="20"/>
    <n v="20"/>
    <m/>
    <m/>
    <m/>
    <m/>
    <m/>
    <m/>
    <m/>
    <n v="0"/>
    <n v="0"/>
    <n v="0"/>
    <n v="0"/>
    <n v="0"/>
    <n v="0"/>
    <n v="0"/>
    <n v="0"/>
    <n v="0"/>
    <n v="0"/>
    <n v="0"/>
    <n v="0"/>
    <n v="0"/>
    <n v="0"/>
    <x v="0"/>
    <n v="0"/>
    <n v="0"/>
    <n v="0"/>
    <s v="MMR001CMP009"/>
    <x v="0"/>
    <x v="1"/>
    <x v="1"/>
    <n v="4.9109883364027013E-4"/>
    <s v="No"/>
    <m/>
  </r>
  <r>
    <n v="49.266666666666666"/>
    <d v="2012-12-15T00:00:00"/>
    <x v="1"/>
    <s v="KBC"/>
    <s v="Kachin"/>
    <s v="Mansi"/>
    <s v="Bum Tsit Pa "/>
    <n v="587"/>
    <m/>
    <m/>
    <m/>
    <m/>
    <m/>
    <m/>
    <m/>
    <n v="0"/>
    <n v="0"/>
    <m/>
    <m/>
    <m/>
    <m/>
    <m/>
    <m/>
    <m/>
    <n v="0"/>
    <n v="0"/>
    <n v="0"/>
    <n v="0"/>
    <n v="0"/>
    <n v="0"/>
    <n v="0"/>
    <n v="0"/>
    <n v="0"/>
    <n v="0"/>
    <n v="0"/>
    <n v="0"/>
    <n v="0"/>
    <n v="0"/>
    <x v="0"/>
    <n v="0"/>
    <n v="0"/>
    <n v="0"/>
    <s v="MMR001CMP129"/>
    <x v="0"/>
    <x v="1"/>
    <x v="6"/>
    <n v="0"/>
    <s v="No"/>
    <m/>
  </r>
  <r>
    <n v="49.333333333333336"/>
    <d v="2012-12-13T00:00:00"/>
    <x v="0"/>
    <s v="UNHCR"/>
    <s v="Kachin"/>
    <s v="Myitkyina"/>
    <s v="Nan Kway St. John Catholic Church"/>
    <m/>
    <m/>
    <m/>
    <n v="16"/>
    <n v="7"/>
    <n v="16"/>
    <n v="7"/>
    <n v="7"/>
    <n v="7"/>
    <n v="7"/>
    <m/>
    <m/>
    <m/>
    <m/>
    <m/>
    <m/>
    <m/>
    <n v="0"/>
    <n v="0"/>
    <n v="0"/>
    <n v="0"/>
    <n v="0"/>
    <n v="0"/>
    <n v="0"/>
    <n v="0"/>
    <n v="0"/>
    <n v="0"/>
    <n v="0"/>
    <n v="0"/>
    <n v="0"/>
    <n v="0"/>
    <x v="0"/>
    <n v="0"/>
    <n v="0"/>
    <n v="0"/>
    <s v="MMR001CMP024"/>
    <x v="0"/>
    <x v="1"/>
    <x v="1"/>
    <n v="1.7111149135886968E-4"/>
    <s v="No"/>
    <m/>
  </r>
  <r>
    <n v="49.366666666666667"/>
    <d v="2012-12-12T00:00:00"/>
    <x v="1"/>
    <s v="Solidarities"/>
    <s v="Kachin"/>
    <s v="Momauk"/>
    <s v="Je Yang Hka "/>
    <n v="5228"/>
    <m/>
    <m/>
    <m/>
    <m/>
    <m/>
    <m/>
    <m/>
    <n v="0"/>
    <n v="0"/>
    <m/>
    <m/>
    <m/>
    <m/>
    <m/>
    <m/>
    <m/>
    <n v="0"/>
    <n v="0"/>
    <n v="0"/>
    <n v="0"/>
    <n v="0"/>
    <n v="0"/>
    <n v="0"/>
    <n v="0"/>
    <n v="0"/>
    <n v="0"/>
    <n v="0"/>
    <n v="0"/>
    <n v="0"/>
    <n v="0"/>
    <x v="0"/>
    <n v="0"/>
    <n v="0"/>
    <n v="0"/>
    <s v="MMR001CMP121"/>
    <x v="0"/>
    <x v="1"/>
    <x v="6"/>
    <n v="0"/>
    <s v="No"/>
    <m/>
  </r>
  <r>
    <n v="49.4"/>
    <d v="2012-12-11T00:00:00"/>
    <x v="1"/>
    <s v="Solidarities"/>
    <s v="Kachin"/>
    <s v="Momauk"/>
    <s v="Hpun Lum Yang "/>
    <n v="1658"/>
    <m/>
    <m/>
    <m/>
    <m/>
    <m/>
    <m/>
    <m/>
    <n v="0"/>
    <n v="0"/>
    <m/>
    <m/>
    <m/>
    <m/>
    <m/>
    <m/>
    <m/>
    <n v="0"/>
    <n v="0"/>
    <n v="0"/>
    <n v="0"/>
    <n v="0"/>
    <n v="0"/>
    <n v="0"/>
    <n v="0"/>
    <n v="0"/>
    <n v="0"/>
    <n v="0"/>
    <n v="0"/>
    <n v="0"/>
    <n v="0"/>
    <x v="0"/>
    <n v="0"/>
    <n v="0"/>
    <n v="0"/>
    <s v="MMR001CMP122"/>
    <x v="0"/>
    <x v="1"/>
    <x v="6"/>
    <n v="0"/>
    <s v="No"/>
    <m/>
  </r>
  <r>
    <n v="49.43333333333333"/>
    <d v="2012-12-10T00:00:00"/>
    <x v="1"/>
    <s v="KBC"/>
    <s v="Kachin"/>
    <s v="Waingmaw"/>
    <s v="Woi Chyai "/>
    <n v="4285"/>
    <m/>
    <m/>
    <m/>
    <m/>
    <m/>
    <m/>
    <m/>
    <n v="0"/>
    <n v="0"/>
    <m/>
    <m/>
    <m/>
    <m/>
    <m/>
    <m/>
    <m/>
    <n v="0"/>
    <n v="0"/>
    <n v="0"/>
    <n v="0"/>
    <n v="0"/>
    <n v="0"/>
    <n v="0"/>
    <n v="0"/>
    <n v="0"/>
    <n v="0"/>
    <n v="0"/>
    <n v="0"/>
    <n v="0"/>
    <n v="0"/>
    <x v="0"/>
    <n v="0"/>
    <n v="0"/>
    <n v="0"/>
    <s v="MMR001CMP116"/>
    <x v="0"/>
    <x v="1"/>
    <x v="1"/>
    <n v="0"/>
    <s v="No"/>
    <m/>
  </r>
  <r>
    <n v="49.5"/>
    <d v="2012-12-08T00:00:00"/>
    <x v="1"/>
    <s v="KBC"/>
    <s v="Kachin"/>
    <s v="Waingmaw"/>
    <s v="Laiza Market 3 - Laiza Gat"/>
    <n v="1690"/>
    <m/>
    <m/>
    <m/>
    <m/>
    <m/>
    <m/>
    <m/>
    <n v="0"/>
    <n v="0"/>
    <m/>
    <m/>
    <m/>
    <m/>
    <m/>
    <m/>
    <m/>
    <n v="0"/>
    <n v="0"/>
    <n v="0"/>
    <n v="0"/>
    <n v="0"/>
    <n v="0"/>
    <n v="0"/>
    <n v="0"/>
    <n v="0"/>
    <n v="0"/>
    <n v="0"/>
    <n v="0"/>
    <n v="0"/>
    <n v="0"/>
    <x v="0"/>
    <n v="0"/>
    <n v="0"/>
    <n v="0"/>
    <s v="MMR001CMP117"/>
    <x v="0"/>
    <x v="0"/>
    <x v="6"/>
    <n v="0"/>
    <s v="No"/>
    <m/>
  </r>
  <r>
    <n v="50.366666666666667"/>
    <d v="2012-11-12T00:00:00"/>
    <x v="0"/>
    <s v="UNHCR"/>
    <s v="Kachin"/>
    <s v="Waingmaw"/>
    <s v="Qtr. 2 Lhaovo Baptist Church"/>
    <m/>
    <m/>
    <m/>
    <n v="12"/>
    <n v="12"/>
    <n v="12"/>
    <n v="5"/>
    <n v="5"/>
    <n v="5"/>
    <n v="5"/>
    <m/>
    <m/>
    <m/>
    <m/>
    <m/>
    <m/>
    <m/>
    <n v="0"/>
    <n v="0"/>
    <n v="0"/>
    <n v="0"/>
    <n v="0"/>
    <n v="0"/>
    <n v="0"/>
    <n v="0"/>
    <n v="0"/>
    <n v="0"/>
    <n v="0"/>
    <n v="0"/>
    <n v="0"/>
    <n v="0"/>
    <x v="0"/>
    <n v="0"/>
    <n v="0"/>
    <n v="0"/>
    <s v="MMR001CMP032"/>
    <x v="0"/>
    <x v="1"/>
    <x v="1"/>
    <n v="1.2277470841006753E-4"/>
    <s v="No"/>
    <m/>
  </r>
  <r>
    <n v="50.43333333333333"/>
    <d v="2012-11-10T00:00:00"/>
    <x v="0"/>
    <s v="UNHCR"/>
    <s v="Kachin"/>
    <s v="Hpakant"/>
    <s v="Hlaing Naung Baptist"/>
    <m/>
    <m/>
    <m/>
    <n v="12"/>
    <n v="0"/>
    <n v="12"/>
    <n v="0"/>
    <n v="0"/>
    <m/>
    <m/>
    <m/>
    <m/>
    <m/>
    <m/>
    <m/>
    <m/>
    <m/>
    <n v="0"/>
    <n v="0"/>
    <n v="0"/>
    <n v="0"/>
    <n v="0"/>
    <n v="0"/>
    <n v="0"/>
    <n v="0"/>
    <n v="0"/>
    <n v="0"/>
    <n v="0"/>
    <n v="0"/>
    <n v="0"/>
    <n v="0"/>
    <x v="0"/>
    <n v="0"/>
    <n v="0"/>
    <n v="0"/>
    <s v="MMR001CMP148"/>
    <x v="0"/>
    <x v="1"/>
    <x v="1"/>
    <n v="0"/>
    <s v="No"/>
    <m/>
  </r>
  <r>
    <n v="50.6"/>
    <d v="2012-11-05T00:00:00"/>
    <x v="0"/>
    <s v="UNHCR"/>
    <s v="Kachin"/>
    <s v="Hpakant"/>
    <s v="Hlaing Naung Baptist"/>
    <m/>
    <m/>
    <m/>
    <n v="70"/>
    <n v="40"/>
    <n v="70"/>
    <n v="40"/>
    <n v="40"/>
    <n v="40"/>
    <n v="40"/>
    <m/>
    <m/>
    <m/>
    <m/>
    <m/>
    <m/>
    <m/>
    <n v="0"/>
    <n v="0"/>
    <n v="0"/>
    <n v="0"/>
    <n v="0"/>
    <n v="0"/>
    <n v="0"/>
    <n v="0"/>
    <n v="0"/>
    <n v="0"/>
    <n v="0"/>
    <n v="0"/>
    <n v="0"/>
    <n v="0"/>
    <x v="0"/>
    <n v="0"/>
    <n v="0"/>
    <n v="0"/>
    <s v="MMR001CMP148"/>
    <x v="0"/>
    <x v="1"/>
    <x v="1"/>
    <n v="9.7127455503484453E-4"/>
    <s v="No"/>
    <m/>
  </r>
  <r>
    <n v="50.966666666666669"/>
    <d v="2012-10-25T00:00:00"/>
    <x v="1"/>
    <s v="Solidarities"/>
    <s v="Kachin"/>
    <s v="Momauk"/>
    <s v="Khun Sint Village"/>
    <n v="23"/>
    <m/>
    <m/>
    <m/>
    <m/>
    <m/>
    <m/>
    <m/>
    <m/>
    <m/>
    <m/>
    <m/>
    <m/>
    <m/>
    <m/>
    <m/>
    <m/>
    <n v="0"/>
    <n v="0"/>
    <n v="0"/>
    <n v="0"/>
    <n v="0"/>
    <n v="0"/>
    <n v="0"/>
    <n v="0"/>
    <n v="0"/>
    <n v="0"/>
    <n v="0"/>
    <n v="0"/>
    <n v="0"/>
    <n v="0"/>
    <x v="0"/>
    <n v="0"/>
    <n v="0"/>
    <n v="0"/>
    <s v="MMR001CMP200"/>
    <x v="0"/>
    <x v="1"/>
    <x v="1"/>
    <s v=""/>
    <m/>
    <m/>
  </r>
  <r>
    <n v="51.166666666666664"/>
    <d v="2012-10-19T00:00:00"/>
    <x v="1"/>
    <s v="Solidarities"/>
    <s v="Kachin"/>
    <s v="Bhamo"/>
    <s v="Ta Gun Taing Monastery (Shwe Kyi Na)"/>
    <n v="47"/>
    <m/>
    <m/>
    <m/>
    <m/>
    <m/>
    <m/>
    <m/>
    <m/>
    <m/>
    <m/>
    <m/>
    <m/>
    <m/>
    <m/>
    <m/>
    <m/>
    <n v="0"/>
    <n v="0"/>
    <n v="0"/>
    <n v="0"/>
    <n v="0"/>
    <n v="0"/>
    <n v="0"/>
    <n v="0"/>
    <n v="0"/>
    <n v="0"/>
    <n v="0"/>
    <n v="0"/>
    <n v="0"/>
    <n v="0"/>
    <x v="0"/>
    <n v="0"/>
    <n v="0"/>
    <n v="0"/>
    <s v="MMR001CMP055"/>
    <x v="0"/>
    <x v="1"/>
    <x v="1"/>
    <n v="0"/>
    <m/>
    <m/>
  </r>
  <r>
    <n v="51.3"/>
    <d v="2012-10-15T00:00:00"/>
    <x v="1"/>
    <s v="LDO"/>
    <s v="Kachin"/>
    <s v="Shwegu"/>
    <s v="Thai Ra Yan"/>
    <n v="38"/>
    <m/>
    <m/>
    <m/>
    <m/>
    <m/>
    <m/>
    <m/>
    <m/>
    <m/>
    <m/>
    <m/>
    <m/>
    <m/>
    <m/>
    <m/>
    <m/>
    <n v="0"/>
    <n v="0"/>
    <n v="0"/>
    <n v="0"/>
    <n v="0"/>
    <n v="0"/>
    <n v="0"/>
    <n v="0"/>
    <n v="0"/>
    <n v="0"/>
    <n v="0"/>
    <n v="0"/>
    <n v="0"/>
    <n v="0"/>
    <x v="0"/>
    <n v="0"/>
    <n v="0"/>
    <n v="0"/>
    <s v=""/>
    <x v="2"/>
    <x v="2"/>
    <x v="0"/>
    <s v=""/>
    <m/>
    <m/>
  </r>
  <r>
    <n v="51.43333333333333"/>
    <d v="2012-10-11T00:00:00"/>
    <x v="0"/>
    <s v="UNHCR"/>
    <s v="Kachin"/>
    <s v="Momauk"/>
    <s v="Seng Ja "/>
    <m/>
    <m/>
    <m/>
    <n v="28"/>
    <n v="17"/>
    <n v="28"/>
    <n v="17"/>
    <n v="17"/>
    <n v="17"/>
    <n v="17"/>
    <m/>
    <m/>
    <m/>
    <m/>
    <m/>
    <m/>
    <m/>
    <n v="0"/>
    <n v="0"/>
    <n v="0"/>
    <n v="0"/>
    <n v="0"/>
    <n v="0"/>
    <n v="0"/>
    <n v="0"/>
    <n v="0"/>
    <n v="0"/>
    <n v="0"/>
    <n v="0"/>
    <n v="0"/>
    <n v="0"/>
    <x v="0"/>
    <n v="0"/>
    <n v="0"/>
    <n v="0"/>
    <s v="MMR001CMP073"/>
    <x v="0"/>
    <x v="1"/>
    <x v="2"/>
    <n v="4.1340401731433294E-4"/>
    <s v="No"/>
    <m/>
  </r>
  <r>
    <n v="51.8"/>
    <d v="2012-09-30T00:00:00"/>
    <x v="0"/>
    <s v="Chipwe CM"/>
    <s v="Kachin"/>
    <s v="Chipwi"/>
    <s v="Women's Affairs Association Building"/>
    <m/>
    <m/>
    <m/>
    <n v="34"/>
    <n v="12"/>
    <n v="34"/>
    <n v="12"/>
    <n v="12"/>
    <n v="12"/>
    <n v="12"/>
    <m/>
    <m/>
    <m/>
    <m/>
    <m/>
    <m/>
    <m/>
    <n v="0"/>
    <n v="0"/>
    <n v="0"/>
    <n v="0"/>
    <n v="0"/>
    <n v="0"/>
    <n v="0"/>
    <n v="0"/>
    <n v="0"/>
    <n v="0"/>
    <n v="0"/>
    <n v="0"/>
    <n v="0"/>
    <n v="0"/>
    <x v="0"/>
    <n v="0"/>
    <n v="0"/>
    <n v="0"/>
    <s v="MMR001CMP044"/>
    <x v="0"/>
    <x v="0"/>
    <x v="0"/>
    <s v=""/>
    <s v="No"/>
    <m/>
  </r>
  <r>
    <n v="51.833333333333336"/>
    <d v="2012-09-29T00:00:00"/>
    <x v="0"/>
    <s v="Chipwe CM"/>
    <s v="Kachin"/>
    <s v="Chipwi"/>
    <s v="Lhaovao Baptist Church (LBC)"/>
    <m/>
    <m/>
    <m/>
    <n v="34"/>
    <n v="12"/>
    <n v="34"/>
    <n v="12"/>
    <n v="12"/>
    <n v="12"/>
    <n v="12"/>
    <m/>
    <m/>
    <m/>
    <m/>
    <m/>
    <m/>
    <m/>
    <n v="0"/>
    <n v="0"/>
    <n v="0"/>
    <n v="0"/>
    <n v="0"/>
    <n v="0"/>
    <n v="0"/>
    <n v="0"/>
    <n v="0"/>
    <n v="0"/>
    <n v="0"/>
    <n v="0"/>
    <n v="0"/>
    <n v="0"/>
    <x v="0"/>
    <n v="0"/>
    <n v="0"/>
    <n v="0"/>
    <s v="MMR001CMP195"/>
    <x v="0"/>
    <x v="1"/>
    <x v="5"/>
    <n v="2.9311187103077673E-4"/>
    <s v="No"/>
    <m/>
  </r>
  <r>
    <n v="51.833333333333336"/>
    <d v="2012-09-29T00:00:00"/>
    <x v="0"/>
    <s v="UNHCR"/>
    <s v="Kachin"/>
    <s v="Momauk"/>
    <s v="Loi Je Lisu Camp"/>
    <m/>
    <m/>
    <m/>
    <n v="151"/>
    <n v="59"/>
    <n v="151"/>
    <n v="59"/>
    <n v="59"/>
    <n v="59"/>
    <n v="59"/>
    <m/>
    <m/>
    <m/>
    <m/>
    <m/>
    <m/>
    <m/>
    <n v="0"/>
    <n v="0"/>
    <n v="0"/>
    <n v="0"/>
    <n v="0"/>
    <n v="0"/>
    <n v="0"/>
    <n v="0"/>
    <n v="0"/>
    <n v="0"/>
    <n v="0"/>
    <n v="0"/>
    <n v="0"/>
    <n v="0"/>
    <x v="0"/>
    <n v="0"/>
    <n v="0"/>
    <n v="0"/>
    <s v="MMR001CMP070"/>
    <x v="0"/>
    <x v="1"/>
    <x v="2"/>
    <n v="1.4390243902439024E-3"/>
    <s v="No"/>
    <m/>
  </r>
  <r>
    <n v="51.866666666666667"/>
    <d v="2012-09-28T00:00:00"/>
    <x v="0"/>
    <s v="Chipwe CM"/>
    <s v="Kachin"/>
    <s v="Chipwi"/>
    <s v="Lan Jaw "/>
    <m/>
    <m/>
    <m/>
    <n v="33"/>
    <n v="11"/>
    <n v="33"/>
    <n v="11"/>
    <n v="11"/>
    <n v="11"/>
    <n v="11"/>
    <m/>
    <m/>
    <m/>
    <m/>
    <m/>
    <m/>
    <m/>
    <n v="0"/>
    <n v="0"/>
    <n v="0"/>
    <n v="0"/>
    <n v="0"/>
    <n v="0"/>
    <n v="0"/>
    <n v="0"/>
    <n v="0"/>
    <n v="0"/>
    <n v="0"/>
    <n v="0"/>
    <n v="0"/>
    <n v="0"/>
    <x v="0"/>
    <n v="0"/>
    <n v="0"/>
    <n v="0"/>
    <s v="MMR001CMP045"/>
    <x v="0"/>
    <x v="1"/>
    <x v="5"/>
    <s v=""/>
    <s v="No"/>
    <m/>
  </r>
  <r>
    <n v="51.9"/>
    <d v="2012-09-27T00:00:00"/>
    <x v="0"/>
    <s v="Chipwe CM"/>
    <s v="Kachin"/>
    <s v="Chipwi"/>
    <s v="Hpare Hkyer - BP6"/>
    <m/>
    <m/>
    <m/>
    <n v="33"/>
    <n v="11"/>
    <n v="33"/>
    <n v="11"/>
    <n v="11"/>
    <n v="11"/>
    <n v="11"/>
    <m/>
    <m/>
    <m/>
    <m/>
    <m/>
    <m/>
    <m/>
    <n v="0"/>
    <n v="0"/>
    <n v="0"/>
    <n v="0"/>
    <n v="0"/>
    <n v="0"/>
    <n v="0"/>
    <n v="0"/>
    <n v="0"/>
    <n v="0"/>
    <n v="0"/>
    <n v="0"/>
    <n v="0"/>
    <n v="0"/>
    <x v="0"/>
    <n v="0"/>
    <n v="0"/>
    <n v="0"/>
    <s v="MMR001CMP043"/>
    <x v="0"/>
    <x v="1"/>
    <x v="5"/>
    <n v="2.6809651474530834E-4"/>
    <s v="No"/>
    <m/>
  </r>
  <r>
    <n v="51.93333333333333"/>
    <d v="2012-09-26T00:00:00"/>
    <x v="0"/>
    <s v="Chipwe CM"/>
    <s v="Kachin"/>
    <s v="Chipwi"/>
    <s v="Gant Gwin"/>
    <m/>
    <m/>
    <m/>
    <n v="33"/>
    <n v="11"/>
    <n v="33"/>
    <n v="11"/>
    <n v="11"/>
    <n v="11"/>
    <n v="11"/>
    <m/>
    <m/>
    <m/>
    <m/>
    <m/>
    <m/>
    <m/>
    <n v="0"/>
    <n v="0"/>
    <n v="0"/>
    <n v="0"/>
    <n v="0"/>
    <n v="0"/>
    <n v="0"/>
    <n v="0"/>
    <n v="0"/>
    <n v="0"/>
    <n v="0"/>
    <n v="0"/>
    <n v="0"/>
    <n v="0"/>
    <x v="0"/>
    <n v="0"/>
    <n v="0"/>
    <n v="0"/>
    <s v="MMR001CMP046"/>
    <x v="0"/>
    <x v="0"/>
    <x v="5"/>
    <s v=""/>
    <s v="No"/>
    <m/>
  </r>
  <r>
    <n v="51.966666666666669"/>
    <d v="2012-09-25T00:00:00"/>
    <x v="0"/>
    <s v="Chipwe CM"/>
    <s v="Kachin"/>
    <s v="Chipwi"/>
    <s v="Chipwi KBC camp"/>
    <m/>
    <m/>
    <m/>
    <n v="33"/>
    <n v="11"/>
    <n v="33"/>
    <n v="11"/>
    <n v="11"/>
    <n v="11"/>
    <n v="11"/>
    <m/>
    <m/>
    <m/>
    <m/>
    <m/>
    <m/>
    <m/>
    <n v="0"/>
    <n v="0"/>
    <n v="0"/>
    <n v="0"/>
    <n v="0"/>
    <n v="0"/>
    <n v="0"/>
    <n v="0"/>
    <n v="0"/>
    <n v="0"/>
    <n v="0"/>
    <n v="0"/>
    <n v="0"/>
    <n v="0"/>
    <x v="0"/>
    <n v="0"/>
    <n v="0"/>
    <n v="0"/>
    <s v="MMR001CMP042"/>
    <x v="0"/>
    <x v="1"/>
    <x v="5"/>
    <n v="2.667054601881486E-4"/>
    <s v="No"/>
    <m/>
  </r>
  <r>
    <n v="52.133333333333333"/>
    <d v="2012-09-20T00:00:00"/>
    <x v="1"/>
    <s v="LDO"/>
    <s v="Kachin"/>
    <s v="Shwegu"/>
    <s v="Kapaung"/>
    <n v="92"/>
    <m/>
    <m/>
    <m/>
    <m/>
    <m/>
    <m/>
    <m/>
    <m/>
    <m/>
    <m/>
    <m/>
    <m/>
    <m/>
    <m/>
    <m/>
    <m/>
    <n v="0"/>
    <n v="0"/>
    <n v="0"/>
    <n v="0"/>
    <n v="0"/>
    <n v="0"/>
    <n v="0"/>
    <n v="0"/>
    <n v="0"/>
    <n v="0"/>
    <n v="0"/>
    <n v="0"/>
    <n v="0"/>
    <n v="0"/>
    <x v="0"/>
    <n v="0"/>
    <n v="0"/>
    <n v="0"/>
    <s v=""/>
    <x v="2"/>
    <x v="2"/>
    <x v="0"/>
    <s v=""/>
    <m/>
    <m/>
  </r>
  <r>
    <n v="52.2"/>
    <d v="2012-09-18T00:00:00"/>
    <x v="1"/>
    <s v="LDO"/>
    <s v="Kachin"/>
    <s v="Shwegu"/>
    <s v="Lot Aung"/>
    <n v="45"/>
    <m/>
    <m/>
    <m/>
    <m/>
    <m/>
    <m/>
    <m/>
    <m/>
    <m/>
    <m/>
    <m/>
    <m/>
    <m/>
    <m/>
    <m/>
    <m/>
    <n v="0"/>
    <n v="0"/>
    <n v="0"/>
    <n v="0"/>
    <n v="0"/>
    <n v="0"/>
    <n v="0"/>
    <n v="0"/>
    <n v="0"/>
    <n v="0"/>
    <n v="0"/>
    <n v="0"/>
    <n v="0"/>
    <n v="0"/>
    <x v="0"/>
    <n v="0"/>
    <n v="0"/>
    <n v="0"/>
    <s v=""/>
    <x v="2"/>
    <x v="2"/>
    <x v="0"/>
    <s v=""/>
    <m/>
    <m/>
  </r>
  <r>
    <n v="52.2"/>
    <d v="2012-09-18T00:00:00"/>
    <x v="1"/>
    <s v="LDO"/>
    <s v="Kachin"/>
    <s v="Shwegu"/>
    <s v="Pan Dang"/>
    <n v="22"/>
    <m/>
    <m/>
    <m/>
    <m/>
    <m/>
    <m/>
    <m/>
    <m/>
    <m/>
    <m/>
    <m/>
    <m/>
    <m/>
    <m/>
    <m/>
    <m/>
    <n v="0"/>
    <n v="0"/>
    <n v="0"/>
    <n v="0"/>
    <n v="0"/>
    <n v="0"/>
    <n v="0"/>
    <n v="0"/>
    <n v="0"/>
    <n v="0"/>
    <n v="0"/>
    <n v="0"/>
    <n v="0"/>
    <n v="0"/>
    <x v="0"/>
    <n v="0"/>
    <n v="0"/>
    <n v="0"/>
    <s v=""/>
    <x v="2"/>
    <x v="2"/>
    <x v="0"/>
    <s v=""/>
    <m/>
    <m/>
  </r>
  <r>
    <n v="52.2"/>
    <d v="2012-09-18T00:00:00"/>
    <x v="1"/>
    <s v="LDO"/>
    <s v="Kachin"/>
    <s v="Shwegu"/>
    <s v="Pan Hkawn"/>
    <n v="130"/>
    <m/>
    <m/>
    <m/>
    <m/>
    <m/>
    <m/>
    <m/>
    <m/>
    <m/>
    <m/>
    <m/>
    <m/>
    <m/>
    <m/>
    <m/>
    <m/>
    <n v="0"/>
    <n v="0"/>
    <n v="0"/>
    <n v="0"/>
    <n v="0"/>
    <n v="0"/>
    <n v="0"/>
    <n v="0"/>
    <n v="0"/>
    <n v="0"/>
    <n v="0"/>
    <n v="0"/>
    <n v="0"/>
    <n v="0"/>
    <x v="0"/>
    <n v="0"/>
    <n v="0"/>
    <n v="0"/>
    <s v=""/>
    <x v="2"/>
    <x v="2"/>
    <x v="0"/>
    <s v=""/>
    <m/>
    <m/>
  </r>
  <r>
    <n v="52.2"/>
    <d v="2012-09-18T00:00:00"/>
    <x v="1"/>
    <s v="LDO"/>
    <s v="Kachin"/>
    <s v="Shwegu"/>
    <s v="Shwe Gu Baptist Church"/>
    <n v="98"/>
    <m/>
    <m/>
    <m/>
    <m/>
    <m/>
    <m/>
    <m/>
    <m/>
    <m/>
    <m/>
    <m/>
    <m/>
    <m/>
    <m/>
    <m/>
    <m/>
    <n v="0"/>
    <n v="0"/>
    <n v="0"/>
    <n v="0"/>
    <n v="0"/>
    <n v="0"/>
    <n v="0"/>
    <n v="0"/>
    <n v="0"/>
    <n v="0"/>
    <n v="0"/>
    <n v="0"/>
    <n v="0"/>
    <n v="0"/>
    <x v="0"/>
    <n v="0"/>
    <n v="0"/>
    <n v="0"/>
    <s v="MMR001CMP067"/>
    <x v="0"/>
    <x v="1"/>
    <x v="1"/>
    <n v="0"/>
    <m/>
    <m/>
  </r>
  <r>
    <n v="52.2"/>
    <d v="2012-09-18T00:00:00"/>
    <x v="1"/>
    <s v="LDO"/>
    <s v="Kachin"/>
    <s v="Shwegu"/>
    <s v="Shwe Gu Catholic Church"/>
    <n v="59"/>
    <m/>
    <m/>
    <m/>
    <m/>
    <m/>
    <m/>
    <m/>
    <m/>
    <m/>
    <m/>
    <m/>
    <m/>
    <m/>
    <m/>
    <m/>
    <m/>
    <n v="0"/>
    <n v="0"/>
    <n v="0"/>
    <n v="0"/>
    <n v="0"/>
    <n v="0"/>
    <n v="0"/>
    <n v="0"/>
    <n v="0"/>
    <n v="0"/>
    <n v="0"/>
    <n v="0"/>
    <n v="0"/>
    <n v="0"/>
    <x v="0"/>
    <n v="0"/>
    <n v="0"/>
    <n v="0"/>
    <s v="MMR001CMP068"/>
    <x v="0"/>
    <x v="1"/>
    <x v="1"/>
    <n v="0"/>
    <m/>
    <m/>
  </r>
  <r>
    <n v="52.233333333333334"/>
    <d v="2012-09-17T00:00:00"/>
    <x v="0"/>
    <s v="UNHCR"/>
    <s v="Kachin"/>
    <s v="Momauk"/>
    <s v="Man Bung Catholic compound"/>
    <m/>
    <m/>
    <m/>
    <n v="86"/>
    <n v="43"/>
    <n v="86"/>
    <n v="43"/>
    <n v="43"/>
    <n v="43"/>
    <n v="43"/>
    <m/>
    <m/>
    <m/>
    <m/>
    <m/>
    <m/>
    <m/>
    <n v="0"/>
    <n v="0"/>
    <n v="0"/>
    <n v="0"/>
    <n v="0"/>
    <n v="0"/>
    <n v="0"/>
    <n v="0"/>
    <n v="0"/>
    <n v="0"/>
    <n v="0"/>
    <n v="0"/>
    <n v="0"/>
    <n v="0"/>
    <x v="0"/>
    <n v="0"/>
    <n v="0"/>
    <n v="0"/>
    <s v="MMR001CMP062"/>
    <x v="0"/>
    <x v="1"/>
    <x v="1"/>
    <n v="1.0480136485498416E-3"/>
    <s v="No"/>
    <m/>
  </r>
  <r>
    <n v="52.233333333333334"/>
    <d v="2012-09-17T00:00:00"/>
    <x v="0"/>
    <s v="UNHCR"/>
    <s v="Kachin"/>
    <s v="Momauk"/>
    <s v="Momauk Catholic Church (St. Patrick)"/>
    <m/>
    <m/>
    <m/>
    <n v="86"/>
    <n v="43"/>
    <n v="86"/>
    <n v="43"/>
    <n v="43"/>
    <n v="43"/>
    <n v="43"/>
    <m/>
    <m/>
    <m/>
    <m/>
    <m/>
    <m/>
    <m/>
    <n v="0"/>
    <n v="0"/>
    <n v="0"/>
    <n v="0"/>
    <n v="0"/>
    <n v="0"/>
    <n v="0"/>
    <n v="0"/>
    <n v="0"/>
    <n v="0"/>
    <n v="0"/>
    <n v="0"/>
    <n v="0"/>
    <n v="0"/>
    <x v="0"/>
    <n v="0"/>
    <n v="0"/>
    <n v="0"/>
    <s v="MMR001CMP057"/>
    <x v="0"/>
    <x v="0"/>
    <x v="1"/>
    <n v="1.0550593777603299E-3"/>
    <s v="No"/>
    <m/>
  </r>
  <r>
    <n v="52.333333333333336"/>
    <d v="2012-09-14T00:00:00"/>
    <x v="0"/>
    <s v="UNHCR"/>
    <s v="Kachin"/>
    <s v="Waingmaw"/>
    <s v="Maina Catholic Church (St. Joseph)"/>
    <m/>
    <m/>
    <m/>
    <n v="94"/>
    <n v="48"/>
    <n v="94"/>
    <n v="48"/>
    <n v="48"/>
    <n v="48"/>
    <n v="48"/>
    <m/>
    <m/>
    <m/>
    <m/>
    <m/>
    <m/>
    <m/>
    <n v="0"/>
    <n v="0"/>
    <n v="0"/>
    <n v="0"/>
    <n v="0"/>
    <n v="0"/>
    <n v="0"/>
    <n v="0"/>
    <n v="0"/>
    <n v="0"/>
    <n v="0"/>
    <n v="0"/>
    <n v="0"/>
    <n v="0"/>
    <x v="0"/>
    <n v="0"/>
    <n v="0"/>
    <n v="0"/>
    <s v="MMR001CMP029"/>
    <x v="0"/>
    <x v="1"/>
    <x v="1"/>
    <n v="1.1586926085067348E-3"/>
    <s v="No"/>
    <m/>
  </r>
  <r>
    <n v="52.333333333333336"/>
    <d v="2012-09-14T00:00:00"/>
    <x v="0"/>
    <s v="UNHCR"/>
    <s v="Kachin"/>
    <s v="Waingmaw"/>
    <s v="Waingmaw AG Church"/>
    <m/>
    <m/>
    <m/>
    <n v="14"/>
    <n v="8"/>
    <n v="14"/>
    <n v="8"/>
    <n v="8"/>
    <n v="8"/>
    <n v="8"/>
    <m/>
    <m/>
    <m/>
    <m/>
    <m/>
    <m/>
    <m/>
    <n v="0"/>
    <n v="0"/>
    <n v="0"/>
    <n v="0"/>
    <n v="0"/>
    <n v="0"/>
    <n v="0"/>
    <n v="0"/>
    <n v="0"/>
    <n v="0"/>
    <n v="0"/>
    <n v="0"/>
    <n v="0"/>
    <n v="0"/>
    <x v="0"/>
    <n v="0"/>
    <n v="0"/>
    <n v="0"/>
    <s v="MMR001CMP038"/>
    <x v="0"/>
    <x v="1"/>
    <x v="1"/>
    <n v="1.9584802193497845E-4"/>
    <s v="No"/>
    <m/>
  </r>
  <r>
    <n v="52.466666666666669"/>
    <d v="2012-09-10T00:00:00"/>
    <x v="0"/>
    <s v="UNHCR"/>
    <s v="Kachin"/>
    <s v="Myitkyina"/>
    <s v="Myay Myint Baptist Church"/>
    <m/>
    <m/>
    <m/>
    <n v="10"/>
    <n v="6"/>
    <n v="10"/>
    <n v="6"/>
    <n v="6"/>
    <n v="6"/>
    <n v="6"/>
    <m/>
    <m/>
    <m/>
    <m/>
    <m/>
    <m/>
    <m/>
    <n v="0"/>
    <n v="0"/>
    <n v="0"/>
    <n v="0"/>
    <n v="0"/>
    <n v="0"/>
    <n v="0"/>
    <n v="0"/>
    <n v="0"/>
    <n v="0"/>
    <n v="0"/>
    <n v="0"/>
    <n v="0"/>
    <n v="0"/>
    <x v="0"/>
    <n v="0"/>
    <n v="0"/>
    <n v="0"/>
    <s v="MMR001CMP017"/>
    <x v="0"/>
    <x v="0"/>
    <x v="1"/>
    <n v="1.4699757454002008E-4"/>
    <s v="No"/>
    <m/>
  </r>
  <r>
    <n v="52.633333333333333"/>
    <d v="2012-09-05T00:00:00"/>
    <x v="0"/>
    <s v="UNHCR"/>
    <s v="Kachin"/>
    <s v="Momauk"/>
    <s v="Loi Je Baptist Church"/>
    <m/>
    <m/>
    <m/>
    <n v="40"/>
    <n v="17"/>
    <n v="40"/>
    <n v="17"/>
    <n v="17"/>
    <n v="17"/>
    <n v="17"/>
    <m/>
    <m/>
    <m/>
    <m/>
    <m/>
    <m/>
    <m/>
    <n v="0"/>
    <n v="0"/>
    <n v="0"/>
    <n v="0"/>
    <n v="0"/>
    <n v="0"/>
    <n v="0"/>
    <n v="0"/>
    <n v="0"/>
    <n v="0"/>
    <n v="0"/>
    <n v="0"/>
    <n v="0"/>
    <n v="0"/>
    <x v="0"/>
    <n v="0"/>
    <n v="0"/>
    <n v="0"/>
    <s v="MMR001CMP071"/>
    <x v="0"/>
    <x v="1"/>
    <x v="2"/>
    <n v="4.1433097733365831E-4"/>
    <s v="No"/>
    <m/>
  </r>
  <r>
    <n v="52.633333333333333"/>
    <d v="2012-09-05T00:00:00"/>
    <x v="0"/>
    <s v="UNHCR"/>
    <s v="Kachin"/>
    <s v="Momauk"/>
    <s v="Loi Je Catholic Church"/>
    <m/>
    <m/>
    <m/>
    <n v="21"/>
    <n v="10"/>
    <n v="21"/>
    <n v="10"/>
    <n v="10"/>
    <n v="10"/>
    <n v="10"/>
    <m/>
    <m/>
    <m/>
    <m/>
    <m/>
    <m/>
    <m/>
    <n v="0"/>
    <n v="0"/>
    <n v="0"/>
    <n v="0"/>
    <n v="0"/>
    <n v="0"/>
    <n v="0"/>
    <n v="0"/>
    <n v="0"/>
    <n v="0"/>
    <n v="0"/>
    <n v="0"/>
    <n v="0"/>
    <n v="0"/>
    <x v="0"/>
    <n v="0"/>
    <n v="0"/>
    <n v="0"/>
    <s v="MMR001CMP069"/>
    <x v="0"/>
    <x v="1"/>
    <x v="2"/>
    <n v="2.4481002741872309E-4"/>
    <s v="No"/>
    <m/>
  </r>
  <r>
    <n v="52.633333333333333"/>
    <d v="2012-09-05T00:00:00"/>
    <x v="0"/>
    <s v="UNHCR"/>
    <s v="Kachin"/>
    <s v="Momauk"/>
    <s v="Loi Je Lisu Camp"/>
    <m/>
    <m/>
    <m/>
    <n v="133"/>
    <n v="62"/>
    <n v="133"/>
    <n v="62"/>
    <n v="62"/>
    <n v="62"/>
    <n v="62"/>
    <m/>
    <m/>
    <m/>
    <m/>
    <m/>
    <m/>
    <m/>
    <n v="0"/>
    <n v="0"/>
    <n v="0"/>
    <n v="0"/>
    <n v="0"/>
    <n v="0"/>
    <n v="0"/>
    <n v="0"/>
    <n v="0"/>
    <n v="0"/>
    <n v="0"/>
    <n v="0"/>
    <n v="0"/>
    <n v="0"/>
    <x v="0"/>
    <n v="0"/>
    <n v="0"/>
    <n v="0"/>
    <s v="MMR001CMP070"/>
    <x v="0"/>
    <x v="1"/>
    <x v="2"/>
    <n v="1.5121951219512196E-3"/>
    <s v="No"/>
    <m/>
  </r>
  <r>
    <n v="52.633333333333333"/>
    <d v="2012-09-05T00:00:00"/>
    <x v="0"/>
    <s v="UNHCR"/>
    <s v="Kachin"/>
    <s v="Momauk"/>
    <s v="Seng Ja "/>
    <m/>
    <m/>
    <m/>
    <n v="26"/>
    <n v="11"/>
    <n v="26"/>
    <n v="11"/>
    <n v="11"/>
    <n v="11"/>
    <n v="11"/>
    <m/>
    <m/>
    <m/>
    <m/>
    <m/>
    <m/>
    <m/>
    <n v="0"/>
    <n v="0"/>
    <n v="0"/>
    <n v="0"/>
    <n v="0"/>
    <n v="0"/>
    <n v="0"/>
    <n v="0"/>
    <n v="0"/>
    <n v="0"/>
    <n v="0"/>
    <n v="0"/>
    <n v="0"/>
    <n v="0"/>
    <x v="0"/>
    <n v="0"/>
    <n v="0"/>
    <n v="0"/>
    <s v="MMR001CMP073"/>
    <x v="0"/>
    <x v="1"/>
    <x v="2"/>
    <n v="2.6749671708574483E-4"/>
    <s v="No"/>
    <m/>
  </r>
  <r>
    <n v="52.866666666666667"/>
    <d v="2012-08-29T00:00:00"/>
    <x v="0"/>
    <s v="UNHCR"/>
    <s v="Kachin"/>
    <s v="Momauk"/>
    <s v="Nyaung Na Pin "/>
    <m/>
    <m/>
    <m/>
    <n v="112"/>
    <n v="41"/>
    <n v="112"/>
    <n v="41"/>
    <n v="41"/>
    <n v="41"/>
    <n v="41"/>
    <m/>
    <m/>
    <m/>
    <m/>
    <m/>
    <m/>
    <m/>
    <n v="0"/>
    <n v="0"/>
    <n v="0"/>
    <n v="0"/>
    <n v="0"/>
    <n v="0"/>
    <n v="0"/>
    <n v="0"/>
    <n v="0"/>
    <n v="0"/>
    <n v="0"/>
    <n v="0"/>
    <n v="0"/>
    <n v="0"/>
    <x v="0"/>
    <n v="0"/>
    <n v="0"/>
    <n v="0"/>
    <s v="MMR001CMP072"/>
    <x v="0"/>
    <x v="1"/>
    <x v="2"/>
    <n v="9.9703321822868537E-4"/>
    <s v="No"/>
    <m/>
  </r>
  <r>
    <n v="52.93333333333333"/>
    <d v="2012-08-27T00:00:00"/>
    <x v="0"/>
    <s v="UNHCR"/>
    <s v="Kachin"/>
    <s v="Myitkyina"/>
    <s v="Jan Mai Kawng Baptist Church"/>
    <m/>
    <m/>
    <m/>
    <n v="7"/>
    <n v="4"/>
    <n v="7"/>
    <n v="3"/>
    <n v="3"/>
    <n v="3"/>
    <n v="3"/>
    <m/>
    <m/>
    <m/>
    <m/>
    <m/>
    <m/>
    <m/>
    <n v="0"/>
    <n v="0"/>
    <n v="0"/>
    <n v="0"/>
    <n v="0"/>
    <n v="0"/>
    <n v="0"/>
    <n v="0"/>
    <n v="0"/>
    <n v="0"/>
    <n v="0"/>
    <n v="0"/>
    <n v="0"/>
    <n v="0"/>
    <x v="0"/>
    <n v="0"/>
    <n v="0"/>
    <n v="0"/>
    <s v="MMR001CMP018"/>
    <x v="0"/>
    <x v="1"/>
    <x v="1"/>
    <n v="7.3664825046040511E-5"/>
    <s v="No"/>
    <m/>
  </r>
  <r>
    <n v="52.93333333333333"/>
    <d v="2012-08-27T00:00:00"/>
    <x v="0"/>
    <s v="UNHCR"/>
    <s v="Kachin"/>
    <s v="Myitkyina"/>
    <s v="Maliyang Baptist Church"/>
    <m/>
    <m/>
    <m/>
    <n v="2"/>
    <n v="1"/>
    <n v="2"/>
    <n v="1"/>
    <n v="1"/>
    <n v="1"/>
    <n v="1"/>
    <m/>
    <m/>
    <m/>
    <m/>
    <m/>
    <m/>
    <m/>
    <n v="0"/>
    <n v="0"/>
    <n v="0"/>
    <n v="0"/>
    <n v="0"/>
    <n v="0"/>
    <n v="0"/>
    <n v="0"/>
    <n v="0"/>
    <n v="0"/>
    <n v="0"/>
    <n v="0"/>
    <n v="0"/>
    <n v="0"/>
    <x v="0"/>
    <n v="0"/>
    <n v="0"/>
    <n v="0"/>
    <s v="MMR001CMP016"/>
    <x v="0"/>
    <x v="1"/>
    <x v="1"/>
    <n v="2.4536264599077437E-5"/>
    <s v="No"/>
    <m/>
  </r>
  <r>
    <n v="52.93333333333333"/>
    <d v="2012-08-27T00:00:00"/>
    <x v="0"/>
    <s v="UNHCR"/>
    <s v="Kachin"/>
    <s v="Myitkyina"/>
    <s v="Maw Hpawng Hka Nan Baptist Church"/>
    <m/>
    <m/>
    <m/>
    <n v="2"/>
    <n v="1"/>
    <n v="2"/>
    <n v="1"/>
    <n v="1"/>
    <n v="1"/>
    <n v="1"/>
    <m/>
    <m/>
    <m/>
    <m/>
    <m/>
    <m/>
    <m/>
    <n v="0"/>
    <n v="0"/>
    <n v="0"/>
    <n v="0"/>
    <n v="0"/>
    <n v="0"/>
    <n v="0"/>
    <n v="0"/>
    <n v="0"/>
    <n v="0"/>
    <n v="0"/>
    <n v="0"/>
    <n v="0"/>
    <n v="0"/>
    <x v="0"/>
    <n v="0"/>
    <n v="0"/>
    <n v="0"/>
    <s v="MMR001CMP020"/>
    <x v="0"/>
    <x v="1"/>
    <x v="1"/>
    <n v="2.4499595756670014E-5"/>
    <s v="No"/>
    <m/>
  </r>
  <r>
    <n v="52.93333333333333"/>
    <d v="2012-08-27T00:00:00"/>
    <x v="0"/>
    <s v="UNHCR"/>
    <s v="Kachin"/>
    <s v="Myitkyina"/>
    <s v="Maw Hpawng Lhaovo Baptist Church"/>
    <m/>
    <m/>
    <m/>
    <n v="10"/>
    <n v="5"/>
    <n v="10"/>
    <n v="5"/>
    <n v="5"/>
    <n v="5"/>
    <n v="5"/>
    <m/>
    <m/>
    <m/>
    <m/>
    <m/>
    <m/>
    <m/>
    <n v="0"/>
    <n v="0"/>
    <n v="0"/>
    <n v="0"/>
    <n v="0"/>
    <n v="0"/>
    <n v="0"/>
    <n v="0"/>
    <n v="0"/>
    <n v="0"/>
    <n v="0"/>
    <n v="0"/>
    <n v="0"/>
    <n v="0"/>
    <x v="0"/>
    <n v="0"/>
    <n v="0"/>
    <n v="0"/>
    <s v="MMR001CMP021"/>
    <x v="0"/>
    <x v="1"/>
    <x v="1"/>
    <n v="1.2249797878335008E-4"/>
    <s v="No"/>
    <m/>
  </r>
  <r>
    <n v="52.93333333333333"/>
    <d v="2012-08-27T00:00:00"/>
    <x v="0"/>
    <s v="UNHCR"/>
    <s v="Kachin"/>
    <s v="Myitkyina"/>
    <s v="Wun Tho Buddhist Monastery"/>
    <m/>
    <m/>
    <m/>
    <n v="10"/>
    <n v="5"/>
    <n v="10"/>
    <n v="5"/>
    <n v="5"/>
    <n v="5"/>
    <n v="5"/>
    <m/>
    <m/>
    <m/>
    <m/>
    <m/>
    <m/>
    <m/>
    <n v="0"/>
    <n v="0"/>
    <n v="0"/>
    <n v="0"/>
    <n v="0"/>
    <n v="0"/>
    <n v="0"/>
    <n v="0"/>
    <n v="0"/>
    <n v="0"/>
    <n v="0"/>
    <n v="0"/>
    <n v="0"/>
    <n v="0"/>
    <x v="0"/>
    <n v="0"/>
    <n v="0"/>
    <n v="0"/>
    <s v="MMR001CMP022"/>
    <x v="0"/>
    <x v="1"/>
    <x v="1"/>
    <n v="1.2195121951219512E-4"/>
    <s v="No"/>
    <m/>
  </r>
  <r>
    <n v="53.333333333333336"/>
    <d v="2012-08-15T00:00:00"/>
    <x v="1"/>
    <s v="Solidarities"/>
    <s v="Kachin"/>
    <s v="Momauk"/>
    <s v="Loi Je Catholic Church"/>
    <n v="73"/>
    <m/>
    <m/>
    <m/>
    <m/>
    <m/>
    <m/>
    <m/>
    <m/>
    <m/>
    <m/>
    <m/>
    <m/>
    <m/>
    <m/>
    <m/>
    <m/>
    <n v="0"/>
    <n v="0"/>
    <n v="0"/>
    <n v="0"/>
    <n v="0"/>
    <n v="0"/>
    <n v="0"/>
    <n v="0"/>
    <n v="0"/>
    <n v="0"/>
    <n v="0"/>
    <n v="0"/>
    <n v="0"/>
    <n v="0"/>
    <x v="0"/>
    <n v="0"/>
    <n v="0"/>
    <n v="0"/>
    <s v="MMR001CMP069"/>
    <x v="0"/>
    <x v="1"/>
    <x v="2"/>
    <n v="0"/>
    <m/>
    <m/>
  </r>
  <r>
    <n v="53.4"/>
    <d v="2012-08-13T00:00:00"/>
    <x v="0"/>
    <s v="UNHCR "/>
    <s v="Kachin"/>
    <s v="Bhamo"/>
    <s v="Robert Church"/>
    <m/>
    <m/>
    <m/>
    <n v="310"/>
    <n v="151"/>
    <n v="310"/>
    <n v="151"/>
    <n v="151"/>
    <n v="151"/>
    <n v="151"/>
    <m/>
    <m/>
    <m/>
    <m/>
    <m/>
    <m/>
    <m/>
    <n v="0"/>
    <n v="0"/>
    <n v="0"/>
    <n v="0"/>
    <n v="0"/>
    <n v="0"/>
    <n v="0"/>
    <n v="0"/>
    <n v="0"/>
    <n v="0"/>
    <n v="0"/>
    <n v="0"/>
    <n v="0"/>
    <n v="0"/>
    <x v="0"/>
    <n v="0"/>
    <n v="0"/>
    <n v="0"/>
    <s v="MMR001CMP047"/>
    <x v="0"/>
    <x v="1"/>
    <x v="1"/>
    <n v="3.7077961939840391E-3"/>
    <s v="No"/>
    <m/>
  </r>
  <r>
    <n v="53.533333333333331"/>
    <d v="2012-08-09T00:00:00"/>
    <x v="0"/>
    <s v="UNHCR"/>
    <s v="Kachin"/>
    <s v="Myitkyina"/>
    <s v="Jan Mai Kawng Baptist Church"/>
    <m/>
    <m/>
    <m/>
    <n v="7"/>
    <n v="3"/>
    <n v="7"/>
    <n v="3"/>
    <n v="3"/>
    <n v="3"/>
    <n v="3"/>
    <m/>
    <m/>
    <m/>
    <m/>
    <m/>
    <m/>
    <m/>
    <n v="0"/>
    <n v="0"/>
    <n v="0"/>
    <n v="0"/>
    <n v="0"/>
    <n v="0"/>
    <n v="0"/>
    <n v="0"/>
    <n v="0"/>
    <n v="0"/>
    <n v="0"/>
    <n v="0"/>
    <n v="0"/>
    <n v="0"/>
    <x v="0"/>
    <n v="0"/>
    <n v="0"/>
    <n v="0"/>
    <s v="MMR001CMP018"/>
    <x v="0"/>
    <x v="1"/>
    <x v="1"/>
    <n v="7.3664825046040511E-5"/>
    <s v="No"/>
    <m/>
  </r>
  <r>
    <n v="53.533333333333331"/>
    <d v="2012-08-09T00:00:00"/>
    <x v="0"/>
    <s v="UNHCR"/>
    <s v="Kachin"/>
    <s v="Myitkyina"/>
    <s v="Maliyang Baptist Church"/>
    <m/>
    <m/>
    <m/>
    <n v="2"/>
    <n v="1"/>
    <n v="2"/>
    <n v="1"/>
    <n v="1"/>
    <n v="1"/>
    <n v="1"/>
    <m/>
    <m/>
    <m/>
    <m/>
    <m/>
    <m/>
    <m/>
    <n v="0"/>
    <n v="0"/>
    <n v="0"/>
    <n v="0"/>
    <n v="0"/>
    <n v="0"/>
    <n v="0"/>
    <n v="0"/>
    <n v="0"/>
    <n v="0"/>
    <n v="0"/>
    <n v="0"/>
    <n v="0"/>
    <n v="0"/>
    <x v="0"/>
    <n v="0"/>
    <n v="0"/>
    <n v="0"/>
    <s v="MMR001CMP016"/>
    <x v="0"/>
    <x v="1"/>
    <x v="1"/>
    <n v="2.4536264599077437E-5"/>
    <s v="No"/>
    <m/>
  </r>
  <r>
    <n v="53.533333333333331"/>
    <d v="2012-08-09T00:00:00"/>
    <x v="0"/>
    <s v="UNHCR"/>
    <s v="Kachin"/>
    <s v="Myitkyina"/>
    <s v="Maw Hpawng Hka Nan Baptist Church"/>
    <m/>
    <m/>
    <m/>
    <n v="2"/>
    <n v="1"/>
    <n v="2"/>
    <n v="1"/>
    <n v="1"/>
    <n v="1"/>
    <n v="1"/>
    <m/>
    <m/>
    <m/>
    <m/>
    <m/>
    <m/>
    <m/>
    <n v="0"/>
    <n v="0"/>
    <n v="0"/>
    <n v="0"/>
    <n v="0"/>
    <n v="0"/>
    <n v="0"/>
    <n v="0"/>
    <n v="0"/>
    <n v="0"/>
    <n v="0"/>
    <n v="0"/>
    <n v="0"/>
    <n v="0"/>
    <x v="0"/>
    <n v="0"/>
    <n v="0"/>
    <n v="0"/>
    <s v="MMR001CMP020"/>
    <x v="0"/>
    <x v="1"/>
    <x v="1"/>
    <n v="2.4499595756670014E-5"/>
    <s v="No"/>
    <m/>
  </r>
  <r>
    <n v="53.533333333333331"/>
    <d v="2012-08-09T00:00:00"/>
    <x v="0"/>
    <s v="UNHCR"/>
    <s v="Kachin"/>
    <s v="Myitkyina"/>
    <s v="Maw Hpawng Lhaovo Baptist Church"/>
    <m/>
    <m/>
    <m/>
    <n v="10"/>
    <n v="5"/>
    <n v="10"/>
    <n v="5"/>
    <n v="5"/>
    <n v="5"/>
    <n v="5"/>
    <m/>
    <m/>
    <m/>
    <m/>
    <m/>
    <m/>
    <m/>
    <n v="0"/>
    <n v="0"/>
    <n v="0"/>
    <n v="0"/>
    <n v="0"/>
    <n v="0"/>
    <n v="0"/>
    <n v="0"/>
    <n v="0"/>
    <n v="0"/>
    <n v="0"/>
    <n v="0"/>
    <n v="0"/>
    <n v="0"/>
    <x v="0"/>
    <n v="0"/>
    <n v="0"/>
    <n v="0"/>
    <s v="MMR001CMP021"/>
    <x v="0"/>
    <x v="1"/>
    <x v="1"/>
    <n v="1.2249797878335008E-4"/>
    <s v="No"/>
    <m/>
  </r>
  <r>
    <n v="53.533333333333331"/>
    <d v="2012-08-09T00:00:00"/>
    <x v="0"/>
    <s v="UNHCR"/>
    <s v="Kachin"/>
    <s v="Myitkyina"/>
    <s v="Nan Kway St. John Catholic Church"/>
    <m/>
    <m/>
    <m/>
    <n v="42"/>
    <n v="20"/>
    <n v="42"/>
    <n v="20"/>
    <n v="20"/>
    <n v="20"/>
    <n v="20"/>
    <m/>
    <m/>
    <m/>
    <m/>
    <m/>
    <m/>
    <m/>
    <n v="0"/>
    <n v="0"/>
    <n v="0"/>
    <n v="0"/>
    <n v="0"/>
    <n v="0"/>
    <n v="0"/>
    <n v="0"/>
    <n v="0"/>
    <n v="0"/>
    <n v="0"/>
    <n v="0"/>
    <n v="0"/>
    <n v="0"/>
    <x v="0"/>
    <n v="0"/>
    <n v="0"/>
    <n v="0"/>
    <s v="MMR001CMP024"/>
    <x v="0"/>
    <x v="1"/>
    <x v="1"/>
    <n v="4.8888997531105626E-4"/>
    <s v="No"/>
    <m/>
  </r>
  <r>
    <n v="53.533333333333331"/>
    <d v="2012-08-09T00:00:00"/>
    <x v="0"/>
    <s v="UNHCR"/>
    <s v="Kachin"/>
    <s v="Myitkyina"/>
    <s v="Wun Tho Buddhist Monastery"/>
    <m/>
    <m/>
    <m/>
    <n v="10"/>
    <n v="5"/>
    <n v="10"/>
    <n v="5"/>
    <n v="5"/>
    <n v="5"/>
    <n v="5"/>
    <m/>
    <m/>
    <m/>
    <m/>
    <m/>
    <m/>
    <m/>
    <n v="0"/>
    <n v="0"/>
    <n v="0"/>
    <n v="0"/>
    <n v="0"/>
    <n v="0"/>
    <n v="0"/>
    <n v="0"/>
    <n v="0"/>
    <n v="0"/>
    <n v="0"/>
    <n v="0"/>
    <n v="0"/>
    <n v="0"/>
    <x v="0"/>
    <n v="0"/>
    <n v="0"/>
    <n v="0"/>
    <s v="MMR001CMP022"/>
    <x v="0"/>
    <x v="1"/>
    <x v="1"/>
    <n v="1.2195121951219512E-4"/>
    <s v="No"/>
    <m/>
  </r>
  <r>
    <n v="53.6"/>
    <d v="2012-08-07T00:00:00"/>
    <x v="0"/>
    <s v="UNHCR "/>
    <s v="Kachin"/>
    <s v="Mansi"/>
    <s v="Mansi Baptist Church"/>
    <m/>
    <m/>
    <m/>
    <n v="0"/>
    <n v="73"/>
    <n v="0"/>
    <n v="73"/>
    <n v="73"/>
    <n v="73"/>
    <n v="73"/>
    <m/>
    <m/>
    <m/>
    <m/>
    <m/>
    <m/>
    <m/>
    <n v="0"/>
    <n v="0"/>
    <n v="0"/>
    <n v="0"/>
    <n v="0"/>
    <n v="0"/>
    <n v="0"/>
    <n v="0"/>
    <n v="0"/>
    <n v="0"/>
    <n v="0"/>
    <n v="0"/>
    <n v="0"/>
    <n v="0"/>
    <x v="0"/>
    <n v="0"/>
    <n v="0"/>
    <n v="0"/>
    <s v="MMR001CMP066"/>
    <x v="0"/>
    <x v="1"/>
    <x v="1"/>
    <n v="1.7556939801342023E-3"/>
    <s v="No"/>
    <m/>
  </r>
  <r>
    <n v="53.966666666666669"/>
    <d v="2012-07-27T00:00:00"/>
    <x v="0"/>
    <s v="UNHCR"/>
    <s v="Kachin"/>
    <s v="Mogaung"/>
    <s v="Kyun Taw Baptist Church "/>
    <m/>
    <m/>
    <m/>
    <n v="35"/>
    <n v="14"/>
    <n v="35"/>
    <n v="14"/>
    <n v="14"/>
    <n v="14"/>
    <n v="14"/>
    <m/>
    <m/>
    <m/>
    <m/>
    <m/>
    <m/>
    <m/>
    <n v="0"/>
    <n v="0"/>
    <n v="0"/>
    <n v="0"/>
    <n v="0"/>
    <n v="0"/>
    <n v="0"/>
    <n v="0"/>
    <n v="0"/>
    <n v="0"/>
    <n v="0"/>
    <n v="0"/>
    <n v="0"/>
    <n v="0"/>
    <x v="0"/>
    <n v="0"/>
    <n v="0"/>
    <n v="0"/>
    <s v="MMR001CMP078"/>
    <x v="0"/>
    <x v="1"/>
    <x v="1"/>
    <n v="3.4121374603948332E-4"/>
    <s v="No"/>
    <m/>
  </r>
  <r>
    <n v="53.966666666666669"/>
    <d v="2012-07-27T00:00:00"/>
    <x v="0"/>
    <s v="UNHCR"/>
    <s v="Kachin"/>
    <s v="Mohnyin"/>
    <s v="St. Patrick Catholic Church "/>
    <m/>
    <m/>
    <m/>
    <n v="0"/>
    <n v="8"/>
    <n v="0"/>
    <n v="8"/>
    <n v="8"/>
    <n v="8"/>
    <n v="8"/>
    <m/>
    <m/>
    <m/>
    <m/>
    <m/>
    <m/>
    <m/>
    <n v="0"/>
    <n v="0"/>
    <n v="0"/>
    <n v="0"/>
    <n v="0"/>
    <n v="0"/>
    <n v="0"/>
    <n v="0"/>
    <n v="0"/>
    <n v="0"/>
    <n v="0"/>
    <n v="0"/>
    <n v="0"/>
    <n v="0"/>
    <x v="0"/>
    <n v="0"/>
    <n v="0"/>
    <n v="0"/>
    <s v="MMR001CMP080"/>
    <x v="0"/>
    <x v="1"/>
    <x v="1"/>
    <n v="1.9483207910182411E-4"/>
    <s v="No"/>
    <m/>
  </r>
  <r>
    <n v="54"/>
    <d v="2012-07-26T00:00:00"/>
    <x v="0"/>
    <s v="UNHCR"/>
    <s v="Kachin"/>
    <s v="Mogaung"/>
    <s v="Mang Hawng Baptist Church"/>
    <m/>
    <m/>
    <m/>
    <n v="31"/>
    <n v="15"/>
    <n v="31"/>
    <n v="15"/>
    <n v="16"/>
    <n v="16"/>
    <n v="16"/>
    <m/>
    <m/>
    <m/>
    <m/>
    <m/>
    <m/>
    <m/>
    <n v="0"/>
    <n v="0"/>
    <n v="0"/>
    <n v="0"/>
    <n v="0"/>
    <n v="0"/>
    <n v="0"/>
    <n v="0"/>
    <n v="0"/>
    <n v="0"/>
    <n v="0"/>
    <n v="0"/>
    <n v="0"/>
    <n v="0"/>
    <x v="0"/>
    <n v="0"/>
    <n v="0"/>
    <n v="0"/>
    <s v="MMR001CMP077"/>
    <x v="0"/>
    <x v="1"/>
    <x v="1"/>
    <n v="3.6558615647087499E-4"/>
    <s v="No"/>
    <m/>
  </r>
  <r>
    <n v="54"/>
    <d v="2012-07-26T00:00:00"/>
    <x v="0"/>
    <s v="UNHCR"/>
    <s v="Kachin"/>
    <s v="Mogaung"/>
    <s v="Nat Gyi Kone Baptist Church "/>
    <m/>
    <m/>
    <m/>
    <n v="21"/>
    <n v="17"/>
    <n v="21"/>
    <n v="17"/>
    <n v="17"/>
    <n v="17"/>
    <n v="17"/>
    <m/>
    <m/>
    <m/>
    <m/>
    <m/>
    <m/>
    <m/>
    <n v="0"/>
    <n v="0"/>
    <n v="0"/>
    <n v="0"/>
    <n v="0"/>
    <n v="0"/>
    <n v="0"/>
    <n v="0"/>
    <n v="0"/>
    <n v="0"/>
    <n v="0"/>
    <n v="0"/>
    <n v="0"/>
    <n v="0"/>
    <x v="0"/>
    <n v="0"/>
    <n v="0"/>
    <n v="0"/>
    <s v="MMR001CMP079"/>
    <x v="0"/>
    <x v="1"/>
    <x v="1"/>
    <n v="4.1494788742707902E-4"/>
    <s v="No"/>
    <m/>
  </r>
  <r>
    <n v="54.1"/>
    <d v="2012-07-23T00:00:00"/>
    <x v="0"/>
    <s v="UNHCR"/>
    <s v="Kachin"/>
    <s v="Myitkyina"/>
    <s v="Jan Mai Kawng Catholic Church"/>
    <m/>
    <m/>
    <m/>
    <n v="19"/>
    <n v="10"/>
    <n v="19"/>
    <n v="10"/>
    <n v="11"/>
    <n v="11"/>
    <n v="11"/>
    <m/>
    <m/>
    <m/>
    <m/>
    <m/>
    <m/>
    <m/>
    <n v="0"/>
    <n v="0"/>
    <n v="0"/>
    <n v="0"/>
    <n v="0"/>
    <n v="0"/>
    <n v="0"/>
    <n v="0"/>
    <n v="0"/>
    <n v="0"/>
    <n v="0"/>
    <n v="0"/>
    <n v="0"/>
    <n v="0"/>
    <x v="0"/>
    <n v="0"/>
    <n v="0"/>
    <n v="0"/>
    <s v="MMR001CMP019"/>
    <x v="0"/>
    <x v="1"/>
    <x v="1"/>
    <n v="2.4554941682013506E-4"/>
    <s v="No"/>
    <m/>
  </r>
  <r>
    <n v="54.1"/>
    <d v="2012-07-23T00:00:00"/>
    <x v="0"/>
    <s v="UNHCR"/>
    <s v="Kachin"/>
    <s v="Myitkyina"/>
    <s v="Maliyang Baptist Church"/>
    <m/>
    <m/>
    <m/>
    <n v="72"/>
    <n v="39"/>
    <n v="72"/>
    <n v="39"/>
    <n v="39"/>
    <n v="39"/>
    <n v="39"/>
    <m/>
    <m/>
    <m/>
    <m/>
    <m/>
    <m/>
    <m/>
    <n v="0"/>
    <n v="0"/>
    <n v="0"/>
    <n v="0"/>
    <n v="0"/>
    <n v="0"/>
    <n v="0"/>
    <n v="0"/>
    <n v="0"/>
    <n v="0"/>
    <n v="0"/>
    <n v="0"/>
    <n v="0"/>
    <n v="0"/>
    <x v="0"/>
    <n v="0"/>
    <n v="0"/>
    <n v="0"/>
    <s v="MMR001CMP016"/>
    <x v="0"/>
    <x v="1"/>
    <x v="1"/>
    <n v="9.5691431936402005E-4"/>
    <s v="No"/>
    <m/>
  </r>
  <r>
    <n v="54.1"/>
    <d v="2012-07-23T00:00:00"/>
    <x v="0"/>
    <s v="UNHCR"/>
    <s v="Kachin"/>
    <s v="Myitkyina"/>
    <s v="Shatapru Thida Aye Baptist Church"/>
    <m/>
    <m/>
    <m/>
    <n v="30"/>
    <n v="12"/>
    <n v="30"/>
    <n v="12"/>
    <n v="14"/>
    <n v="14"/>
    <n v="14"/>
    <m/>
    <m/>
    <m/>
    <m/>
    <m/>
    <m/>
    <m/>
    <n v="0"/>
    <n v="0"/>
    <n v="0"/>
    <n v="0"/>
    <n v="0"/>
    <n v="0"/>
    <n v="0"/>
    <n v="0"/>
    <n v="0"/>
    <n v="0"/>
    <n v="0"/>
    <n v="0"/>
    <n v="0"/>
    <n v="0"/>
    <x v="0"/>
    <n v="0"/>
    <n v="0"/>
    <n v="0"/>
    <s v="MMR001CMP007"/>
    <x v="0"/>
    <x v="1"/>
    <x v="1"/>
    <n v="2.9333398518663372E-4"/>
    <s v="No"/>
    <m/>
  </r>
  <r>
    <n v="54.1"/>
    <d v="2012-07-23T00:00:00"/>
    <x v="0"/>
    <s v="UNHCR"/>
    <s v="Kachin"/>
    <s v="Myitkyina"/>
    <s v="Tat Kone San Pya Baptist Church"/>
    <m/>
    <m/>
    <m/>
    <n v="24"/>
    <n v="8"/>
    <n v="24"/>
    <n v="8"/>
    <n v="13"/>
    <n v="13"/>
    <n v="13"/>
    <m/>
    <m/>
    <m/>
    <m/>
    <m/>
    <m/>
    <m/>
    <n v="0"/>
    <n v="0"/>
    <n v="0"/>
    <n v="0"/>
    <n v="0"/>
    <n v="0"/>
    <n v="0"/>
    <n v="0"/>
    <n v="0"/>
    <n v="0"/>
    <n v="0"/>
    <n v="0"/>
    <n v="0"/>
    <n v="0"/>
    <x v="0"/>
    <n v="0"/>
    <n v="0"/>
    <n v="0"/>
    <s v="MMR001CMP005"/>
    <x v="0"/>
    <x v="1"/>
    <x v="1"/>
    <n v="1.9599676605336011E-4"/>
    <s v="No"/>
    <m/>
  </r>
  <r>
    <n v="54.233333333333334"/>
    <d v="2012-07-19T00:00:00"/>
    <x v="0"/>
    <s v="UNHCR"/>
    <s v="Kachin"/>
    <s v="Myitkyina"/>
    <s v="Kyun Pin Thar Baptist Church"/>
    <m/>
    <m/>
    <m/>
    <n v="6"/>
    <n v="4"/>
    <n v="6"/>
    <n v="4"/>
    <n v="4"/>
    <n v="4"/>
    <n v="4"/>
    <m/>
    <m/>
    <m/>
    <m/>
    <m/>
    <m/>
    <m/>
    <n v="0"/>
    <n v="0"/>
    <n v="0"/>
    <n v="0"/>
    <n v="0"/>
    <n v="0"/>
    <n v="0"/>
    <n v="0"/>
    <n v="0"/>
    <n v="0"/>
    <n v="0"/>
    <n v="0"/>
    <n v="0"/>
    <n v="0"/>
    <x v="0"/>
    <n v="0"/>
    <n v="0"/>
    <n v="0"/>
    <s v="MMR001CMP013"/>
    <x v="0"/>
    <x v="1"/>
    <x v="1"/>
    <n v="9.7777995062211254E-5"/>
    <s v="No"/>
    <m/>
  </r>
  <r>
    <n v="54.233333333333334"/>
    <d v="2012-07-19T00:00:00"/>
    <x v="0"/>
    <s v="UNHCR"/>
    <s v="Kachin"/>
    <s v="Myitkyina"/>
    <s v="Tat Kone COC Baptist - Tat Kone Htoi San"/>
    <m/>
    <m/>
    <m/>
    <n v="3"/>
    <n v="2"/>
    <n v="3"/>
    <n v="2"/>
    <n v="2"/>
    <n v="2"/>
    <n v="2"/>
    <m/>
    <m/>
    <m/>
    <m/>
    <m/>
    <m/>
    <m/>
    <n v="0"/>
    <n v="0"/>
    <n v="0"/>
    <n v="0"/>
    <n v="0"/>
    <n v="0"/>
    <n v="0"/>
    <n v="0"/>
    <n v="0"/>
    <n v="0"/>
    <n v="0"/>
    <n v="0"/>
    <n v="0"/>
    <n v="0"/>
    <x v="0"/>
    <n v="0"/>
    <n v="0"/>
    <n v="0"/>
    <s v="MMR001CMP023"/>
    <x v="0"/>
    <x v="1"/>
    <x v="1"/>
    <n v="4.8780487804878051E-5"/>
    <s v="No"/>
    <m/>
  </r>
  <r>
    <n v="54.233333333333334"/>
    <d v="2012-07-19T00:00:00"/>
    <x v="0"/>
    <s v="UNHCR"/>
    <s v="Kachin"/>
    <s v="Myitkyina"/>
    <s v="Wun Tho Buddhist Monastery"/>
    <m/>
    <m/>
    <m/>
    <n v="9"/>
    <n v="5"/>
    <n v="9"/>
    <n v="5"/>
    <n v="5"/>
    <n v="5"/>
    <n v="5"/>
    <m/>
    <m/>
    <m/>
    <m/>
    <m/>
    <m/>
    <m/>
    <n v="0"/>
    <n v="0"/>
    <n v="0"/>
    <n v="0"/>
    <n v="0"/>
    <n v="0"/>
    <n v="0"/>
    <n v="0"/>
    <n v="0"/>
    <n v="0"/>
    <n v="0"/>
    <n v="0"/>
    <n v="0"/>
    <n v="0"/>
    <x v="0"/>
    <n v="0"/>
    <n v="0"/>
    <n v="0"/>
    <s v="MMR001CMP022"/>
    <x v="0"/>
    <x v="1"/>
    <x v="1"/>
    <n v="1.2195121951219512E-4"/>
    <s v="No"/>
    <m/>
  </r>
  <r>
    <n v="54.266666666666666"/>
    <d v="2012-07-18T00:00:00"/>
    <x v="1"/>
    <s v="LDO"/>
    <s v="Kachin"/>
    <s v="Momauk"/>
    <s v="Dum Bung "/>
    <n v="33"/>
    <m/>
    <m/>
    <m/>
    <m/>
    <m/>
    <m/>
    <m/>
    <m/>
    <m/>
    <m/>
    <m/>
    <m/>
    <m/>
    <m/>
    <m/>
    <m/>
    <n v="0"/>
    <n v="0"/>
    <n v="0"/>
    <n v="0"/>
    <n v="0"/>
    <n v="0"/>
    <n v="0"/>
    <n v="0"/>
    <n v="0"/>
    <n v="0"/>
    <n v="0"/>
    <n v="0"/>
    <n v="0"/>
    <n v="0"/>
    <x v="0"/>
    <n v="0"/>
    <n v="0"/>
    <n v="0"/>
    <s v="MMR001CMP123"/>
    <x v="0"/>
    <x v="1"/>
    <x v="6"/>
    <n v="0"/>
    <m/>
    <m/>
  </r>
  <r>
    <n v="54.266666666666666"/>
    <d v="2012-07-18T00:00:00"/>
    <x v="0"/>
    <s v="UNHCR"/>
    <s v="Kachin"/>
    <s v="Mansi"/>
    <s v="Mung Ding Pa  (Boarder)"/>
    <m/>
    <m/>
    <m/>
    <n v="170"/>
    <n v="16"/>
    <n v="170"/>
    <n v="85"/>
    <n v="85"/>
    <n v="85"/>
    <n v="85"/>
    <m/>
    <m/>
    <m/>
    <m/>
    <m/>
    <m/>
    <m/>
    <n v="0"/>
    <n v="0"/>
    <n v="0"/>
    <n v="0"/>
    <n v="0"/>
    <n v="0"/>
    <n v="0"/>
    <n v="0"/>
    <n v="0"/>
    <n v="0"/>
    <n v="0"/>
    <n v="0"/>
    <n v="0"/>
    <n v="0"/>
    <x v="0"/>
    <n v="0"/>
    <n v="0"/>
    <n v="0"/>
    <s v="MMR001CMP203"/>
    <x v="0"/>
    <x v="0"/>
    <x v="0"/>
    <n v="2.0685794942931542E-3"/>
    <s v="No"/>
    <m/>
  </r>
  <r>
    <n v="54.266666666666666"/>
    <d v="2012-07-18T00:00:00"/>
    <x v="0"/>
    <s v="UNHCR"/>
    <s v="Kachin"/>
    <s v="Mansi"/>
    <s v="Nam Lim Pa - Scattered IDPs in forest"/>
    <m/>
    <m/>
    <m/>
    <n v="206"/>
    <n v="78"/>
    <n v="206"/>
    <n v="103"/>
    <n v="103"/>
    <n v="103"/>
    <n v="103"/>
    <m/>
    <m/>
    <m/>
    <m/>
    <m/>
    <m/>
    <m/>
    <n v="0"/>
    <n v="0"/>
    <n v="0"/>
    <n v="0"/>
    <n v="0"/>
    <n v="0"/>
    <n v="0"/>
    <n v="0"/>
    <n v="0"/>
    <n v="0"/>
    <n v="0"/>
    <n v="0"/>
    <n v="0"/>
    <n v="0"/>
    <x v="0"/>
    <n v="0"/>
    <n v="0"/>
    <n v="0"/>
    <s v="MMR001CMP137"/>
    <x v="0"/>
    <x v="0"/>
    <x v="0"/>
    <s v=""/>
    <s v="No"/>
    <m/>
  </r>
  <r>
    <n v="54.3"/>
    <d v="2012-07-17T00:00:00"/>
    <x v="0"/>
    <s v="UNHCR"/>
    <s v="Kachin"/>
    <s v="Waingmaw"/>
    <s v="Border Post 8"/>
    <m/>
    <m/>
    <m/>
    <n v="19"/>
    <n v="19"/>
    <n v="19"/>
    <n v="19"/>
    <n v="19"/>
    <n v="19"/>
    <n v="19"/>
    <m/>
    <m/>
    <m/>
    <m/>
    <m/>
    <m/>
    <m/>
    <n v="0"/>
    <n v="0"/>
    <n v="0"/>
    <n v="0"/>
    <n v="0"/>
    <n v="0"/>
    <n v="0"/>
    <n v="0"/>
    <n v="0"/>
    <n v="0"/>
    <n v="0"/>
    <n v="0"/>
    <n v="0"/>
    <n v="0"/>
    <x v="0"/>
    <n v="0"/>
    <n v="0"/>
    <n v="0"/>
    <s v="MMR001CMP113"/>
    <x v="0"/>
    <x v="1"/>
    <x v="5"/>
    <n v="4.6513905209557383E-4"/>
    <s v="No"/>
    <m/>
  </r>
  <r>
    <n v="54.3"/>
    <d v="2012-07-17T00:00:00"/>
    <x v="0"/>
    <s v="UNHCR"/>
    <s v="Kachin"/>
    <s v="Myitkyina"/>
    <s v="Du Kahtawng Qtr. 14"/>
    <m/>
    <m/>
    <m/>
    <n v="5"/>
    <n v="5"/>
    <n v="5"/>
    <n v="5"/>
    <n v="5"/>
    <n v="5"/>
    <n v="5"/>
    <m/>
    <m/>
    <m/>
    <m/>
    <m/>
    <m/>
    <m/>
    <n v="0"/>
    <n v="0"/>
    <n v="0"/>
    <n v="0"/>
    <n v="0"/>
    <n v="0"/>
    <n v="0"/>
    <n v="0"/>
    <n v="0"/>
    <n v="0"/>
    <n v="0"/>
    <n v="0"/>
    <n v="0"/>
    <n v="0"/>
    <x v="0"/>
    <n v="0"/>
    <n v="0"/>
    <n v="0"/>
    <s v="MMR001CMP012"/>
    <x v="0"/>
    <x v="1"/>
    <x v="1"/>
    <n v="1.2286521685710776E-4"/>
    <s v="No"/>
    <m/>
  </r>
  <r>
    <n v="54.3"/>
    <d v="2012-07-17T00:00:00"/>
    <x v="0"/>
    <s v="UNHCR"/>
    <s v="Kachin"/>
    <s v="Myitkyina"/>
    <s v="Du Kahtawng Qtr. 4"/>
    <m/>
    <m/>
    <m/>
    <n v="6"/>
    <n v="6"/>
    <n v="6"/>
    <n v="6"/>
    <n v="6"/>
    <n v="6"/>
    <n v="6"/>
    <m/>
    <m/>
    <m/>
    <m/>
    <m/>
    <m/>
    <m/>
    <n v="0"/>
    <n v="0"/>
    <n v="0"/>
    <n v="0"/>
    <n v="0"/>
    <n v="0"/>
    <n v="0"/>
    <n v="0"/>
    <n v="0"/>
    <n v="0"/>
    <n v="0"/>
    <n v="0"/>
    <n v="0"/>
    <n v="0"/>
    <x v="0"/>
    <n v="0"/>
    <n v="0"/>
    <n v="0"/>
    <s v="MMR001CMP010"/>
    <x v="0"/>
    <x v="1"/>
    <x v="1"/>
    <n v="1.474382602285293E-4"/>
    <s v="No"/>
    <m/>
  </r>
  <r>
    <n v="54.3"/>
    <d v="2012-07-17T00:00:00"/>
    <x v="0"/>
    <s v="UNHCR"/>
    <s v="Kachin"/>
    <s v="Myitkyina"/>
    <s v="Du Kahtawng Qtr. 5"/>
    <m/>
    <m/>
    <m/>
    <n v="6"/>
    <n v="6"/>
    <n v="6"/>
    <n v="6"/>
    <n v="6"/>
    <n v="6"/>
    <n v="6"/>
    <m/>
    <m/>
    <m/>
    <m/>
    <m/>
    <m/>
    <m/>
    <n v="0"/>
    <n v="0"/>
    <n v="0"/>
    <n v="0"/>
    <n v="0"/>
    <n v="0"/>
    <n v="0"/>
    <n v="0"/>
    <n v="0"/>
    <n v="0"/>
    <n v="0"/>
    <n v="0"/>
    <n v="0"/>
    <n v="0"/>
    <x v="0"/>
    <n v="0"/>
    <n v="0"/>
    <n v="0"/>
    <s v="MMR001CMP011"/>
    <x v="0"/>
    <x v="1"/>
    <x v="1"/>
    <n v="1.474382602285293E-4"/>
    <s v="No"/>
    <m/>
  </r>
  <r>
    <n v="54.3"/>
    <d v="2012-07-17T00:00:00"/>
    <x v="0"/>
    <s v="UNHCR"/>
    <s v="Kachin"/>
    <s v="Momauk"/>
    <s v="Dum Bung "/>
    <m/>
    <m/>
    <m/>
    <n v="380"/>
    <n v="156"/>
    <n v="380"/>
    <n v="156"/>
    <n v="156"/>
    <n v="156"/>
    <n v="156"/>
    <m/>
    <m/>
    <m/>
    <m/>
    <m/>
    <m/>
    <m/>
    <n v="0"/>
    <n v="0"/>
    <n v="0"/>
    <n v="0"/>
    <n v="0"/>
    <n v="0"/>
    <n v="0"/>
    <n v="0"/>
    <n v="0"/>
    <n v="0"/>
    <n v="0"/>
    <n v="0"/>
    <n v="0"/>
    <n v="0"/>
    <x v="0"/>
    <n v="0"/>
    <n v="0"/>
    <n v="0"/>
    <s v="MMR001CMP123"/>
    <x v="0"/>
    <x v="1"/>
    <x v="6"/>
    <n v="3.8276572774560802E-3"/>
    <s v="No"/>
    <m/>
  </r>
  <r>
    <n v="54.3"/>
    <d v="2012-07-17T00:00:00"/>
    <x v="0"/>
    <s v="UNHCR"/>
    <s v="Kachin"/>
    <s v="Momauk"/>
    <s v="Hpun Lum Yang "/>
    <m/>
    <m/>
    <m/>
    <n v="0"/>
    <n v="0"/>
    <n v="0"/>
    <n v="0"/>
    <n v="0"/>
    <m/>
    <m/>
    <m/>
    <m/>
    <m/>
    <m/>
    <m/>
    <m/>
    <m/>
    <n v="0"/>
    <n v="0"/>
    <n v="0"/>
    <n v="0"/>
    <n v="0"/>
    <n v="0"/>
    <n v="0"/>
    <n v="0"/>
    <n v="0"/>
    <n v="0"/>
    <n v="0"/>
    <n v="0"/>
    <n v="0"/>
    <n v="0"/>
    <x v="0"/>
    <n v="0"/>
    <n v="0"/>
    <n v="0"/>
    <s v="MMR001CMP122"/>
    <x v="0"/>
    <x v="1"/>
    <x v="6"/>
    <n v="0"/>
    <s v="No"/>
    <m/>
  </r>
  <r>
    <n v="54.3"/>
    <d v="2012-07-17T00:00:00"/>
    <x v="0"/>
    <s v="UNHCR"/>
    <s v="Kachin"/>
    <s v="Myitkyina"/>
    <s v="Jan Mai Kawng Baptist Church"/>
    <m/>
    <m/>
    <m/>
    <n v="21"/>
    <n v="21"/>
    <n v="21"/>
    <n v="21"/>
    <n v="21"/>
    <n v="21"/>
    <n v="21"/>
    <m/>
    <m/>
    <m/>
    <m/>
    <m/>
    <m/>
    <m/>
    <n v="0"/>
    <n v="0"/>
    <n v="0"/>
    <n v="0"/>
    <n v="0"/>
    <n v="0"/>
    <n v="0"/>
    <n v="0"/>
    <n v="0"/>
    <n v="0"/>
    <n v="0"/>
    <n v="0"/>
    <n v="0"/>
    <n v="0"/>
    <x v="0"/>
    <n v="0"/>
    <n v="0"/>
    <n v="0"/>
    <s v="MMR001CMP018"/>
    <x v="0"/>
    <x v="1"/>
    <x v="1"/>
    <n v="5.1565377532228362E-4"/>
    <s v="No"/>
    <m/>
  </r>
  <r>
    <n v="54.3"/>
    <d v="2012-07-17T00:00:00"/>
    <x v="0"/>
    <s v="UNHCR"/>
    <s v="Kachin"/>
    <s v="Momauk"/>
    <s v="Loi Je Lisu Camp"/>
    <m/>
    <m/>
    <m/>
    <n v="0"/>
    <n v="0"/>
    <n v="0"/>
    <n v="0"/>
    <n v="0"/>
    <m/>
    <m/>
    <m/>
    <m/>
    <m/>
    <m/>
    <m/>
    <m/>
    <m/>
    <n v="0"/>
    <n v="0"/>
    <n v="0"/>
    <n v="0"/>
    <n v="0"/>
    <n v="0"/>
    <n v="0"/>
    <n v="0"/>
    <n v="0"/>
    <n v="0"/>
    <n v="0"/>
    <n v="0"/>
    <n v="0"/>
    <n v="0"/>
    <x v="0"/>
    <n v="0"/>
    <n v="0"/>
    <n v="0"/>
    <s v="MMR001CMP070"/>
    <x v="0"/>
    <x v="1"/>
    <x v="2"/>
    <n v="0"/>
    <s v="No"/>
    <m/>
  </r>
  <r>
    <n v="54.3"/>
    <d v="2012-07-17T00:00:00"/>
    <x v="0"/>
    <s v="UNHCR"/>
    <s v="Kachin"/>
    <s v="Momauk"/>
    <s v="Mai Khat "/>
    <m/>
    <m/>
    <m/>
    <n v="0"/>
    <n v="0"/>
    <n v="0"/>
    <n v="0"/>
    <n v="0"/>
    <m/>
    <m/>
    <m/>
    <m/>
    <m/>
    <m/>
    <m/>
    <m/>
    <m/>
    <n v="0"/>
    <n v="0"/>
    <n v="0"/>
    <n v="0"/>
    <n v="0"/>
    <n v="0"/>
    <n v="0"/>
    <n v="0"/>
    <n v="0"/>
    <n v="0"/>
    <n v="0"/>
    <n v="0"/>
    <n v="0"/>
    <n v="0"/>
    <x v="0"/>
    <n v="0"/>
    <n v="0"/>
    <n v="0"/>
    <s v="MMR001CMP064"/>
    <x v="0"/>
    <x v="1"/>
    <x v="1"/>
    <s v=""/>
    <s v="No"/>
    <m/>
  </r>
  <r>
    <n v="54.3"/>
    <d v="2012-07-17T00:00:00"/>
    <x v="0"/>
    <s v="UNHCR"/>
    <s v="Kachin"/>
    <s v="Momauk"/>
    <s v="Mai Khat "/>
    <m/>
    <m/>
    <m/>
    <n v="0"/>
    <n v="0"/>
    <n v="0"/>
    <n v="0"/>
    <n v="0"/>
    <m/>
    <m/>
    <m/>
    <m/>
    <m/>
    <m/>
    <m/>
    <m/>
    <m/>
    <n v="0"/>
    <n v="0"/>
    <n v="0"/>
    <n v="0"/>
    <n v="0"/>
    <n v="0"/>
    <n v="0"/>
    <n v="0"/>
    <n v="0"/>
    <n v="0"/>
    <n v="0"/>
    <n v="0"/>
    <n v="0"/>
    <n v="0"/>
    <x v="0"/>
    <n v="0"/>
    <n v="0"/>
    <n v="0"/>
    <s v="MMR001CMP064"/>
    <x v="0"/>
    <x v="1"/>
    <x v="1"/>
    <s v=""/>
    <s v="No"/>
    <m/>
  </r>
  <r>
    <n v="54.3"/>
    <d v="2012-07-17T00:00:00"/>
    <x v="0"/>
    <s v="UNHCR"/>
    <s v="Kachin"/>
    <s v="Mansi"/>
    <s v="Man Wing Baptist Church"/>
    <m/>
    <m/>
    <m/>
    <n v="0"/>
    <n v="0"/>
    <n v="0"/>
    <n v="0"/>
    <n v="0"/>
    <m/>
    <m/>
    <m/>
    <m/>
    <m/>
    <m/>
    <m/>
    <m/>
    <m/>
    <n v="0"/>
    <n v="0"/>
    <n v="0"/>
    <n v="0"/>
    <n v="0"/>
    <n v="0"/>
    <n v="0"/>
    <n v="0"/>
    <n v="0"/>
    <n v="0"/>
    <n v="0"/>
    <n v="0"/>
    <n v="0"/>
    <n v="0"/>
    <x v="0"/>
    <n v="0"/>
    <n v="0"/>
    <n v="0"/>
    <s v="MMR001CMP133"/>
    <x v="0"/>
    <x v="1"/>
    <x v="1"/>
    <n v="0"/>
    <s v="No"/>
    <m/>
  </r>
  <r>
    <n v="54.3"/>
    <d v="2012-07-17T00:00:00"/>
    <x v="0"/>
    <s v="UNHCR"/>
    <s v="Kachin"/>
    <s v="Myitkyina"/>
    <s v="Maw Hpawng Hka Nan Baptist Church"/>
    <m/>
    <m/>
    <m/>
    <n v="0"/>
    <n v="0"/>
    <n v="0"/>
    <n v="0"/>
    <n v="0"/>
    <m/>
    <m/>
    <m/>
    <m/>
    <m/>
    <m/>
    <m/>
    <m/>
    <m/>
    <n v="0"/>
    <n v="0"/>
    <n v="0"/>
    <n v="0"/>
    <n v="0"/>
    <n v="0"/>
    <n v="0"/>
    <n v="0"/>
    <n v="0"/>
    <n v="0"/>
    <n v="0"/>
    <n v="0"/>
    <n v="0"/>
    <n v="0"/>
    <x v="0"/>
    <n v="0"/>
    <n v="0"/>
    <n v="0"/>
    <s v="MMR001CMP020"/>
    <x v="0"/>
    <x v="1"/>
    <x v="1"/>
    <n v="0"/>
    <s v="No"/>
    <m/>
  </r>
  <r>
    <n v="54.3"/>
    <d v="2012-07-17T00:00:00"/>
    <x v="0"/>
    <s v="UNHCR"/>
    <s v="Kachin"/>
    <s v="Myitkyina"/>
    <s v="Maw Hpawng Hka Nan Baptist Church"/>
    <m/>
    <m/>
    <m/>
    <n v="19"/>
    <n v="19"/>
    <n v="19"/>
    <n v="19"/>
    <n v="19"/>
    <n v="19"/>
    <n v="19"/>
    <m/>
    <m/>
    <m/>
    <m/>
    <m/>
    <m/>
    <m/>
    <n v="0"/>
    <n v="0"/>
    <n v="0"/>
    <n v="0"/>
    <n v="0"/>
    <n v="0"/>
    <n v="0"/>
    <n v="0"/>
    <n v="0"/>
    <n v="0"/>
    <n v="0"/>
    <n v="0"/>
    <n v="0"/>
    <n v="0"/>
    <x v="0"/>
    <n v="0"/>
    <n v="0"/>
    <n v="0"/>
    <s v="MMR001CMP020"/>
    <x v="0"/>
    <x v="1"/>
    <x v="1"/>
    <n v="4.6549231937673027E-4"/>
    <s v="No"/>
    <m/>
  </r>
  <r>
    <n v="54.3"/>
    <d v="2012-07-17T00:00:00"/>
    <x v="0"/>
    <s v="UNHCR"/>
    <s v="Kachin"/>
    <s v="Myitkyina"/>
    <s v="Nan Kway St. John Catholic Church"/>
    <m/>
    <m/>
    <m/>
    <n v="6"/>
    <n v="6"/>
    <n v="6"/>
    <n v="6"/>
    <n v="6"/>
    <n v="6"/>
    <n v="6"/>
    <m/>
    <m/>
    <m/>
    <m/>
    <m/>
    <m/>
    <m/>
    <n v="0"/>
    <n v="0"/>
    <n v="0"/>
    <n v="0"/>
    <n v="0"/>
    <n v="0"/>
    <n v="0"/>
    <n v="0"/>
    <n v="0"/>
    <n v="0"/>
    <n v="0"/>
    <n v="0"/>
    <n v="0"/>
    <n v="0"/>
    <x v="0"/>
    <n v="0"/>
    <n v="0"/>
    <n v="0"/>
    <s v="MMR001CMP024"/>
    <x v="0"/>
    <x v="1"/>
    <x v="1"/>
    <n v="1.4666699259331686E-4"/>
    <s v="No"/>
    <m/>
  </r>
  <r>
    <n v="54.3"/>
    <d v="2012-07-17T00:00:00"/>
    <x v="0"/>
    <s v="UNHCR"/>
    <s v="Kachin"/>
    <s v="Momauk"/>
    <s v="Pa Kahtawng "/>
    <m/>
    <m/>
    <m/>
    <n v="0"/>
    <n v="0"/>
    <n v="0"/>
    <n v="0"/>
    <n v="0"/>
    <m/>
    <m/>
    <m/>
    <m/>
    <m/>
    <m/>
    <m/>
    <m/>
    <m/>
    <n v="0"/>
    <n v="0"/>
    <n v="0"/>
    <n v="0"/>
    <n v="0"/>
    <n v="0"/>
    <n v="0"/>
    <n v="0"/>
    <n v="0"/>
    <n v="0"/>
    <n v="0"/>
    <n v="0"/>
    <n v="0"/>
    <n v="0"/>
    <x v="0"/>
    <n v="0"/>
    <n v="0"/>
    <n v="0"/>
    <s v="MMR001CMP126"/>
    <x v="0"/>
    <x v="1"/>
    <x v="6"/>
    <n v="0"/>
    <s v="No"/>
    <m/>
  </r>
  <r>
    <n v="54.3"/>
    <d v="2012-07-17T00:00:00"/>
    <x v="0"/>
    <s v="UNHCR"/>
    <s v="Kachin"/>
    <s v="Momauk"/>
    <s v="Pa Kahtawng "/>
    <m/>
    <m/>
    <m/>
    <n v="0"/>
    <n v="0"/>
    <n v="0"/>
    <n v="0"/>
    <n v="0"/>
    <m/>
    <m/>
    <m/>
    <m/>
    <m/>
    <m/>
    <m/>
    <m/>
    <m/>
    <n v="0"/>
    <n v="0"/>
    <n v="0"/>
    <n v="0"/>
    <n v="0"/>
    <n v="0"/>
    <n v="0"/>
    <n v="0"/>
    <n v="0"/>
    <n v="0"/>
    <n v="0"/>
    <n v="0"/>
    <n v="0"/>
    <n v="0"/>
    <x v="0"/>
    <n v="0"/>
    <n v="0"/>
    <n v="0"/>
    <s v="MMR001CMP126"/>
    <x v="0"/>
    <x v="1"/>
    <x v="6"/>
    <n v="0"/>
    <s v="No"/>
    <m/>
  </r>
  <r>
    <n v="54.3"/>
    <d v="2012-07-17T00:00:00"/>
    <x v="0"/>
    <s v="UNHCR"/>
    <s v="Kachin"/>
    <s v="Myitkyina"/>
    <s v="Shatapru Thida Aye Baptist Church"/>
    <m/>
    <m/>
    <m/>
    <n v="3"/>
    <n v="3"/>
    <n v="3"/>
    <n v="3"/>
    <n v="3"/>
    <n v="3"/>
    <n v="3"/>
    <m/>
    <m/>
    <m/>
    <m/>
    <m/>
    <m/>
    <m/>
    <n v="0"/>
    <n v="0"/>
    <n v="0"/>
    <n v="0"/>
    <n v="0"/>
    <n v="0"/>
    <n v="0"/>
    <n v="0"/>
    <n v="0"/>
    <n v="0"/>
    <n v="0"/>
    <n v="0"/>
    <n v="0"/>
    <n v="0"/>
    <x v="0"/>
    <n v="0"/>
    <n v="0"/>
    <n v="0"/>
    <s v="MMR001CMP007"/>
    <x v="0"/>
    <x v="1"/>
    <x v="1"/>
    <n v="7.333349629665843E-5"/>
    <s v="No"/>
    <m/>
  </r>
  <r>
    <n v="54.3"/>
    <d v="2012-07-17T00:00:00"/>
    <x v="0"/>
    <s v="UNHCR"/>
    <s v="Kachin"/>
    <s v="Mansi"/>
    <s v="Lung Kawk  ( Hka Hkye Zup)"/>
    <m/>
    <m/>
    <m/>
    <n v="0"/>
    <n v="0"/>
    <n v="0"/>
    <n v="0"/>
    <n v="0"/>
    <m/>
    <m/>
    <m/>
    <m/>
    <m/>
    <m/>
    <m/>
    <m/>
    <m/>
    <n v="0"/>
    <n v="0"/>
    <n v="0"/>
    <n v="0"/>
    <n v="0"/>
    <n v="0"/>
    <n v="0"/>
    <n v="0"/>
    <n v="0"/>
    <n v="0"/>
    <n v="0"/>
    <n v="0"/>
    <n v="0"/>
    <n v="0"/>
    <x v="0"/>
    <n v="0"/>
    <n v="0"/>
    <n v="0"/>
    <s v="MMR001CMP135"/>
    <x v="0"/>
    <x v="0"/>
    <x v="6"/>
    <n v="0"/>
    <s v="No"/>
    <m/>
  </r>
  <r>
    <n v="54.3"/>
    <d v="2012-07-17T00:00:00"/>
    <x v="0"/>
    <s v="UNHCR"/>
    <s v="Kachin"/>
    <s v="Waingmaw"/>
    <s v="Moke Lwe Village - Hkar Shi"/>
    <m/>
    <m/>
    <m/>
    <n v="0"/>
    <n v="0"/>
    <n v="0"/>
    <n v="0"/>
    <n v="0"/>
    <m/>
    <m/>
    <m/>
    <m/>
    <m/>
    <m/>
    <m/>
    <m/>
    <m/>
    <n v="0"/>
    <n v="0"/>
    <n v="0"/>
    <n v="0"/>
    <n v="0"/>
    <n v="0"/>
    <n v="0"/>
    <n v="0"/>
    <n v="0"/>
    <n v="0"/>
    <n v="0"/>
    <n v="0"/>
    <n v="0"/>
    <n v="0"/>
    <x v="0"/>
    <n v="0"/>
    <n v="0"/>
    <n v="0"/>
    <s v="MMR001CMP035"/>
    <x v="0"/>
    <x v="0"/>
    <x v="0"/>
    <s v=""/>
    <s v="No"/>
    <m/>
  </r>
  <r>
    <n v="54.3"/>
    <d v="2012-07-17T00:00:00"/>
    <x v="0"/>
    <s v="UNHCR"/>
    <s v="Kachin"/>
    <s v="Myitkyina"/>
    <s v="Tat Kone Galile Baptist Church"/>
    <m/>
    <m/>
    <m/>
    <n v="7"/>
    <n v="7"/>
    <n v="7"/>
    <n v="7"/>
    <n v="7"/>
    <n v="7"/>
    <n v="7"/>
    <m/>
    <m/>
    <m/>
    <m/>
    <m/>
    <m/>
    <m/>
    <n v="0"/>
    <n v="0"/>
    <n v="0"/>
    <n v="0"/>
    <n v="0"/>
    <n v="0"/>
    <n v="0"/>
    <n v="0"/>
    <n v="0"/>
    <n v="0"/>
    <n v="0"/>
    <n v="0"/>
    <n v="0"/>
    <n v="0"/>
    <x v="0"/>
    <n v="0"/>
    <n v="0"/>
    <n v="0"/>
    <s v="MMR001CMP003"/>
    <x v="0"/>
    <x v="1"/>
    <x v="1"/>
    <n v="1.7188459177409454E-4"/>
    <s v="No"/>
    <m/>
  </r>
  <r>
    <n v="54.333333333333336"/>
    <d v="2012-07-16T00:00:00"/>
    <x v="0"/>
    <s v="UNHCR"/>
    <s v="Kachin"/>
    <s v="Myitkyina"/>
    <s v="Kyun Pin Thar Baptist Church"/>
    <m/>
    <m/>
    <m/>
    <n v="33"/>
    <n v="33"/>
    <n v="33"/>
    <n v="33"/>
    <n v="33"/>
    <n v="33"/>
    <n v="33"/>
    <m/>
    <m/>
    <m/>
    <m/>
    <m/>
    <m/>
    <m/>
    <n v="0"/>
    <n v="0"/>
    <n v="0"/>
    <n v="0"/>
    <n v="0"/>
    <n v="0"/>
    <n v="0"/>
    <n v="0"/>
    <n v="0"/>
    <n v="0"/>
    <n v="0"/>
    <n v="0"/>
    <n v="0"/>
    <n v="0"/>
    <x v="0"/>
    <n v="0"/>
    <n v="0"/>
    <n v="0"/>
    <s v="MMR001CMP013"/>
    <x v="0"/>
    <x v="1"/>
    <x v="1"/>
    <n v="8.0666845926324286E-4"/>
    <s v="No"/>
    <m/>
  </r>
  <r>
    <n v="54.333333333333336"/>
    <d v="2012-07-16T00:00:00"/>
    <x v="0"/>
    <s v="UNHCR"/>
    <s v="Kachin"/>
    <s v="Myitkyina"/>
    <s v="Le Kone Bethlehem Church"/>
    <m/>
    <m/>
    <m/>
    <n v="6"/>
    <n v="6"/>
    <n v="6"/>
    <n v="6"/>
    <n v="6"/>
    <n v="6"/>
    <n v="6"/>
    <m/>
    <m/>
    <m/>
    <m/>
    <m/>
    <m/>
    <m/>
    <n v="0"/>
    <n v="0"/>
    <n v="0"/>
    <n v="0"/>
    <n v="0"/>
    <n v="0"/>
    <n v="0"/>
    <n v="0"/>
    <n v="0"/>
    <n v="0"/>
    <n v="0"/>
    <n v="0"/>
    <n v="0"/>
    <n v="0"/>
    <x v="0"/>
    <n v="0"/>
    <n v="0"/>
    <n v="0"/>
    <s v="MMR001CMP015"/>
    <x v="0"/>
    <x v="1"/>
    <x v="1"/>
    <n v="1.4777233209368765E-4"/>
    <s v="No"/>
    <m/>
  </r>
  <r>
    <n v="54.333333333333336"/>
    <d v="2012-07-16T00:00:00"/>
    <x v="0"/>
    <s v="UNHCR"/>
    <s v="Kachin"/>
    <s v="Myitkyina"/>
    <s v="Le Kone Bethlehem Church"/>
    <m/>
    <m/>
    <m/>
    <n v="13"/>
    <n v="13"/>
    <n v="13"/>
    <n v="13"/>
    <n v="13"/>
    <n v="13"/>
    <n v="13"/>
    <m/>
    <m/>
    <m/>
    <m/>
    <m/>
    <m/>
    <m/>
    <n v="0"/>
    <n v="0"/>
    <n v="0"/>
    <n v="0"/>
    <n v="0"/>
    <n v="0"/>
    <n v="0"/>
    <n v="0"/>
    <n v="0"/>
    <n v="0"/>
    <n v="0"/>
    <n v="0"/>
    <n v="0"/>
    <n v="0"/>
    <x v="0"/>
    <n v="0"/>
    <n v="0"/>
    <n v="0"/>
    <s v="MMR001CMP015"/>
    <x v="0"/>
    <x v="1"/>
    <x v="1"/>
    <n v="3.2017338620298993E-4"/>
    <s v="No"/>
    <m/>
  </r>
  <r>
    <n v="54.333333333333336"/>
    <d v="2012-07-16T00:00:00"/>
    <x v="0"/>
    <s v="UNHCR"/>
    <s v="Kachin"/>
    <s v="Myitkyina"/>
    <s v="Le Kone Ziun Baptist Church "/>
    <m/>
    <m/>
    <m/>
    <n v="50"/>
    <n v="50"/>
    <n v="50"/>
    <n v="50"/>
    <n v="50"/>
    <n v="50"/>
    <n v="50"/>
    <m/>
    <m/>
    <m/>
    <m/>
    <m/>
    <m/>
    <m/>
    <n v="0"/>
    <n v="0"/>
    <n v="0"/>
    <n v="0"/>
    <n v="0"/>
    <n v="0"/>
    <n v="0"/>
    <n v="0"/>
    <n v="0"/>
    <n v="0"/>
    <n v="0"/>
    <n v="0"/>
    <n v="0"/>
    <n v="0"/>
    <x v="0"/>
    <n v="0"/>
    <n v="0"/>
    <n v="0"/>
    <s v="MMR001CMP014"/>
    <x v="0"/>
    <x v="1"/>
    <x v="1"/>
    <n v="1.2286521685710775E-3"/>
    <s v="No"/>
    <m/>
  </r>
  <r>
    <n v="54.333333333333336"/>
    <d v="2012-07-16T00:00:00"/>
    <x v="0"/>
    <s v="UNHCR"/>
    <s v="Kachin"/>
    <s v="Myitkyina"/>
    <s v="Maliyang Baptist Church"/>
    <m/>
    <m/>
    <m/>
    <n v="3"/>
    <n v="3"/>
    <n v="3"/>
    <n v="3"/>
    <n v="3"/>
    <n v="3"/>
    <n v="3"/>
    <m/>
    <m/>
    <m/>
    <m/>
    <m/>
    <m/>
    <m/>
    <n v="0"/>
    <n v="0"/>
    <n v="0"/>
    <n v="0"/>
    <n v="0"/>
    <n v="0"/>
    <n v="0"/>
    <n v="0"/>
    <n v="0"/>
    <n v="0"/>
    <n v="0"/>
    <n v="0"/>
    <n v="0"/>
    <n v="0"/>
    <x v="0"/>
    <n v="0"/>
    <n v="0"/>
    <n v="0"/>
    <s v="MMR001CMP016"/>
    <x v="0"/>
    <x v="1"/>
    <x v="1"/>
    <n v="7.3608793797232309E-5"/>
    <s v="No"/>
    <m/>
  </r>
  <r>
    <n v="54.333333333333336"/>
    <d v="2012-07-16T00:00:00"/>
    <x v="0"/>
    <s v="UNHCR"/>
    <s v="Kachin"/>
    <s v="Myitkyina"/>
    <s v="Njang Dung Baptist Church "/>
    <m/>
    <m/>
    <m/>
    <n v="25"/>
    <n v="25"/>
    <n v="25"/>
    <n v="25"/>
    <n v="25"/>
    <n v="25"/>
    <n v="25"/>
    <m/>
    <m/>
    <m/>
    <m/>
    <m/>
    <m/>
    <m/>
    <n v="0"/>
    <n v="0"/>
    <n v="0"/>
    <n v="0"/>
    <n v="0"/>
    <n v="0"/>
    <n v="0"/>
    <n v="0"/>
    <n v="0"/>
    <n v="0"/>
    <n v="0"/>
    <n v="0"/>
    <n v="0"/>
    <n v="0"/>
    <x v="0"/>
    <n v="0"/>
    <n v="0"/>
    <n v="0"/>
    <s v="MMR001CMP002"/>
    <x v="0"/>
    <x v="1"/>
    <x v="1"/>
    <n v="6.1432608428553873E-4"/>
    <s v="No"/>
    <m/>
  </r>
  <r>
    <n v="54.43333333333333"/>
    <d v="2012-07-13T00:00:00"/>
    <x v="0"/>
    <s v="UNHCR"/>
    <s v="Kachin"/>
    <s v="Waingmaw"/>
    <s v="Hkat Cho "/>
    <m/>
    <m/>
    <m/>
    <n v="9"/>
    <n v="9"/>
    <n v="9"/>
    <n v="9"/>
    <n v="9"/>
    <n v="9"/>
    <n v="9"/>
    <m/>
    <m/>
    <m/>
    <m/>
    <m/>
    <m/>
    <m/>
    <n v="0"/>
    <n v="0"/>
    <n v="0"/>
    <n v="0"/>
    <n v="0"/>
    <n v="0"/>
    <n v="0"/>
    <n v="0"/>
    <n v="0"/>
    <n v="0"/>
    <n v="0"/>
    <n v="0"/>
    <n v="0"/>
    <n v="0"/>
    <x v="0"/>
    <n v="0"/>
    <n v="0"/>
    <n v="0"/>
    <s v="MMR001CMP028"/>
    <x v="0"/>
    <x v="1"/>
    <x v="1"/>
    <n v="2.2115739034279396E-4"/>
    <s v="No"/>
    <m/>
  </r>
  <r>
    <n v="54.43333333333333"/>
    <d v="2012-07-13T00:00:00"/>
    <x v="0"/>
    <s v="UNHCR"/>
    <s v="Kachin"/>
    <s v="Waingmaw"/>
    <s v="Maina Lawang Baptist Church"/>
    <m/>
    <m/>
    <m/>
    <n v="6"/>
    <n v="6"/>
    <n v="6"/>
    <n v="6"/>
    <n v="6"/>
    <n v="6"/>
    <n v="6"/>
    <m/>
    <m/>
    <m/>
    <m/>
    <m/>
    <m/>
    <m/>
    <n v="0"/>
    <n v="0"/>
    <n v="0"/>
    <n v="0"/>
    <n v="0"/>
    <n v="0"/>
    <n v="0"/>
    <n v="0"/>
    <n v="0"/>
    <n v="0"/>
    <n v="0"/>
    <n v="0"/>
    <n v="0"/>
    <n v="0"/>
    <x v="0"/>
    <n v="0"/>
    <n v="0"/>
    <n v="0"/>
    <s v="MMR001CMP039"/>
    <x v="0"/>
    <x v="1"/>
    <x v="1"/>
    <n v="1.4677821811243211E-4"/>
    <s v="No"/>
    <m/>
  </r>
  <r>
    <n v="54.43333333333333"/>
    <d v="2012-07-13T00:00:00"/>
    <x v="0"/>
    <s v="UNHCR"/>
    <s v="Kachin"/>
    <s v="Waingmaw"/>
    <s v="Qtr. 2 Lhaovo Baptist Church"/>
    <m/>
    <m/>
    <m/>
    <n v="13"/>
    <n v="13"/>
    <n v="13"/>
    <n v="13"/>
    <n v="13"/>
    <n v="13"/>
    <n v="13"/>
    <m/>
    <m/>
    <m/>
    <m/>
    <m/>
    <m/>
    <m/>
    <n v="0"/>
    <n v="0"/>
    <n v="0"/>
    <n v="0"/>
    <n v="0"/>
    <n v="0"/>
    <n v="0"/>
    <n v="0"/>
    <n v="0"/>
    <n v="0"/>
    <n v="0"/>
    <n v="0"/>
    <n v="0"/>
    <n v="0"/>
    <x v="0"/>
    <n v="0"/>
    <n v="0"/>
    <n v="0"/>
    <s v="MMR001CMP032"/>
    <x v="0"/>
    <x v="1"/>
    <x v="1"/>
    <n v="3.1921424186617559E-4"/>
    <s v="No"/>
    <m/>
  </r>
  <r>
    <n v="54.43333333333333"/>
    <d v="2012-07-13T00:00:00"/>
    <x v="0"/>
    <s v="UNHCR"/>
    <s v="Kachin"/>
    <s v="Waingmaw"/>
    <s v="Qtr. 4 Monestry (Thargaya Thayett Taw)"/>
    <m/>
    <m/>
    <m/>
    <n v="3"/>
    <n v="3"/>
    <n v="3"/>
    <n v="3"/>
    <n v="3"/>
    <n v="3"/>
    <n v="3"/>
    <m/>
    <m/>
    <m/>
    <m/>
    <m/>
    <m/>
    <m/>
    <n v="0"/>
    <n v="0"/>
    <n v="0"/>
    <n v="0"/>
    <n v="0"/>
    <n v="0"/>
    <n v="0"/>
    <n v="0"/>
    <n v="0"/>
    <n v="0"/>
    <n v="0"/>
    <n v="0"/>
    <n v="0"/>
    <n v="0"/>
    <x v="0"/>
    <n v="0"/>
    <n v="0"/>
    <n v="0"/>
    <s v="MMR001CMP026"/>
    <x v="0"/>
    <x v="1"/>
    <x v="1"/>
    <n v="7.3277967757694182E-5"/>
    <s v="No"/>
    <m/>
  </r>
  <r>
    <n v="54.43333333333333"/>
    <d v="2012-07-13T00:00:00"/>
    <x v="0"/>
    <s v="UNHCR"/>
    <s v="Kachin"/>
    <s v="Waingmaw"/>
    <s v="Waingmaw Baptist Zonal Office"/>
    <m/>
    <m/>
    <m/>
    <n v="2"/>
    <n v="2"/>
    <n v="2"/>
    <n v="2"/>
    <n v="2"/>
    <n v="2"/>
    <n v="2"/>
    <m/>
    <m/>
    <m/>
    <m/>
    <m/>
    <m/>
    <m/>
    <n v="0"/>
    <n v="0"/>
    <n v="0"/>
    <n v="0"/>
    <n v="0"/>
    <n v="0"/>
    <n v="0"/>
    <n v="0"/>
    <n v="0"/>
    <n v="0"/>
    <n v="0"/>
    <n v="0"/>
    <n v="0"/>
    <n v="0"/>
    <x v="0"/>
    <n v="0"/>
    <n v="0"/>
    <n v="0"/>
    <s v="MMR001CMP036"/>
    <x v="0"/>
    <x v="0"/>
    <x v="1"/>
    <n v="4.8962005483744613E-5"/>
    <s v="No"/>
    <m/>
  </r>
  <r>
    <n v="54.43333333333333"/>
    <d v="2012-07-13T00:00:00"/>
    <x v="0"/>
    <s v="UNHCR"/>
    <s v="Kachin"/>
    <s v="Waingmaw"/>
    <s v="Thargaya Lisu Baptist Church"/>
    <m/>
    <m/>
    <m/>
    <n v="8"/>
    <n v="8"/>
    <n v="8"/>
    <n v="8"/>
    <n v="8"/>
    <n v="8"/>
    <n v="8"/>
    <m/>
    <m/>
    <m/>
    <m/>
    <m/>
    <m/>
    <m/>
    <n v="0"/>
    <n v="0"/>
    <n v="0"/>
    <n v="0"/>
    <n v="0"/>
    <n v="0"/>
    <n v="0"/>
    <n v="0"/>
    <n v="0"/>
    <n v="0"/>
    <n v="0"/>
    <n v="0"/>
    <n v="0"/>
    <n v="0"/>
    <x v="0"/>
    <n v="0"/>
    <n v="0"/>
    <n v="0"/>
    <s v="MMR001CMP037"/>
    <x v="0"/>
    <x v="1"/>
    <x v="1"/>
    <n v="1.9584802193497845E-4"/>
    <s v="No"/>
    <m/>
  </r>
  <r>
    <n v="54.533333333333331"/>
    <d v="2012-07-10T00:00:00"/>
    <x v="0"/>
    <s v="KMSS"/>
    <s v="Kachin"/>
    <s v="Waingmaw"/>
    <s v="Maga Yang "/>
    <m/>
    <m/>
    <m/>
    <n v="0"/>
    <n v="599"/>
    <n v="675"/>
    <n v="599"/>
    <n v="0"/>
    <m/>
    <m/>
    <m/>
    <m/>
    <m/>
    <m/>
    <m/>
    <m/>
    <m/>
    <n v="0"/>
    <n v="0"/>
    <n v="0"/>
    <n v="0"/>
    <n v="0"/>
    <n v="0"/>
    <n v="0"/>
    <n v="0"/>
    <n v="0"/>
    <n v="0"/>
    <n v="0"/>
    <n v="0"/>
    <n v="0"/>
    <n v="0"/>
    <x v="0"/>
    <n v="0"/>
    <n v="0"/>
    <n v="0"/>
    <s v="MMR001CMP119"/>
    <x v="0"/>
    <x v="1"/>
    <x v="6"/>
    <n v="1.4719252979481508E-2"/>
    <s v="No"/>
    <m/>
  </r>
  <r>
    <n v="54.56666666666667"/>
    <d v="2012-07-09T00:00:00"/>
    <x v="0"/>
    <s v="UNHCR"/>
    <s v="Kachin"/>
    <s v="Waingmaw"/>
    <s v="Qtr. 2 Lhaovo Baptist Church"/>
    <m/>
    <m/>
    <m/>
    <n v="77"/>
    <n v="34"/>
    <n v="77"/>
    <n v="35"/>
    <n v="52"/>
    <n v="52"/>
    <n v="52"/>
    <m/>
    <m/>
    <m/>
    <m/>
    <m/>
    <m/>
    <m/>
    <n v="0"/>
    <n v="0"/>
    <n v="0"/>
    <n v="0"/>
    <n v="0"/>
    <n v="0"/>
    <n v="0"/>
    <n v="0"/>
    <n v="0"/>
    <n v="0"/>
    <n v="0"/>
    <n v="0"/>
    <n v="0"/>
    <n v="0"/>
    <x v="0"/>
    <n v="0"/>
    <n v="0"/>
    <n v="0"/>
    <s v="MMR001CMP032"/>
    <x v="0"/>
    <x v="1"/>
    <x v="1"/>
    <n v="8.594229588704727E-4"/>
    <s v="No"/>
    <m/>
  </r>
  <r>
    <n v="54.6"/>
    <d v="2012-07-08T00:00:00"/>
    <x v="1"/>
    <s v="Solidarities"/>
    <s v="Kachin"/>
    <s v="Momauk"/>
    <s v="Momauk Baptist Church"/>
    <n v="64"/>
    <m/>
    <m/>
    <m/>
    <m/>
    <m/>
    <m/>
    <m/>
    <m/>
    <m/>
    <m/>
    <m/>
    <m/>
    <m/>
    <m/>
    <m/>
    <m/>
    <n v="0"/>
    <n v="0"/>
    <n v="0"/>
    <n v="0"/>
    <n v="0"/>
    <n v="0"/>
    <n v="0"/>
    <n v="0"/>
    <n v="0"/>
    <n v="0"/>
    <n v="0"/>
    <n v="0"/>
    <n v="0"/>
    <n v="0"/>
    <x v="0"/>
    <n v="0"/>
    <n v="0"/>
    <n v="0"/>
    <s v="MMR001CMP056"/>
    <x v="0"/>
    <x v="1"/>
    <x v="1"/>
    <n v="0"/>
    <m/>
    <m/>
  </r>
  <r>
    <n v="54.6"/>
    <d v="2012-07-08T00:00:00"/>
    <x v="1"/>
    <s v="Solidarities"/>
    <s v="Kachin"/>
    <s v="Bhamo"/>
    <s v="Chan Myae monastery"/>
    <n v="3"/>
    <m/>
    <m/>
    <m/>
    <m/>
    <m/>
    <m/>
    <m/>
    <m/>
    <m/>
    <m/>
    <m/>
    <m/>
    <m/>
    <m/>
    <m/>
    <m/>
    <n v="0"/>
    <n v="0"/>
    <n v="0"/>
    <n v="0"/>
    <n v="0"/>
    <n v="0"/>
    <n v="0"/>
    <n v="0"/>
    <n v="0"/>
    <n v="0"/>
    <n v="0"/>
    <n v="0"/>
    <n v="0"/>
    <n v="0"/>
    <x v="0"/>
    <n v="0"/>
    <n v="0"/>
    <n v="0"/>
    <s v=""/>
    <x v="2"/>
    <x v="2"/>
    <x v="0"/>
    <s v=""/>
    <m/>
    <m/>
  </r>
  <r>
    <n v="54.6"/>
    <d v="2012-07-08T00:00:00"/>
    <x v="0"/>
    <s v="Shalom"/>
    <s v="Kachin"/>
    <s v="Momauk"/>
    <s v="Ni Thaw Ka Monestry"/>
    <n v="16"/>
    <m/>
    <m/>
    <m/>
    <m/>
    <m/>
    <m/>
    <m/>
    <m/>
    <m/>
    <m/>
    <m/>
    <m/>
    <m/>
    <m/>
    <m/>
    <m/>
    <n v="0"/>
    <n v="0"/>
    <n v="0"/>
    <n v="0"/>
    <n v="0"/>
    <n v="0"/>
    <n v="0"/>
    <n v="0"/>
    <n v="0"/>
    <n v="0"/>
    <n v="0"/>
    <n v="0"/>
    <n v="0"/>
    <n v="0"/>
    <x v="0"/>
    <n v="0"/>
    <n v="0"/>
    <n v="0"/>
    <s v="MMR001CMP059"/>
    <x v="0"/>
    <x v="0"/>
    <x v="1"/>
    <n v="0"/>
    <m/>
    <m/>
  </r>
  <r>
    <n v="54.6"/>
    <d v="2012-07-08T00:00:00"/>
    <x v="1"/>
    <s v="Solidarities"/>
    <s v="Kachin"/>
    <s v="Momauk"/>
    <s v="Ni Thaw Ka Monestry"/>
    <n v="16"/>
    <m/>
    <m/>
    <m/>
    <m/>
    <m/>
    <m/>
    <m/>
    <m/>
    <m/>
    <m/>
    <m/>
    <m/>
    <m/>
    <m/>
    <m/>
    <m/>
    <n v="0"/>
    <n v="0"/>
    <n v="0"/>
    <n v="0"/>
    <n v="0"/>
    <n v="0"/>
    <n v="0"/>
    <n v="0"/>
    <n v="0"/>
    <n v="0"/>
    <n v="0"/>
    <n v="0"/>
    <n v="0"/>
    <n v="0"/>
    <x v="0"/>
    <n v="0"/>
    <n v="0"/>
    <n v="0"/>
    <s v="MMR001CMP059"/>
    <x v="0"/>
    <x v="0"/>
    <x v="1"/>
    <n v="0"/>
    <m/>
    <m/>
  </r>
  <r>
    <n v="54.666666666666664"/>
    <d v="2012-07-06T00:00:00"/>
    <x v="0"/>
    <s v="UNHCR"/>
    <s v="Kachin"/>
    <s v="Waingmaw"/>
    <s v="Waingmaw AG Church"/>
    <m/>
    <m/>
    <m/>
    <n v="17"/>
    <n v="17"/>
    <n v="17"/>
    <n v="17"/>
    <n v="17"/>
    <n v="17"/>
    <n v="17"/>
    <m/>
    <m/>
    <m/>
    <m/>
    <m/>
    <m/>
    <m/>
    <n v="0"/>
    <n v="0"/>
    <n v="0"/>
    <n v="0"/>
    <n v="0"/>
    <n v="0"/>
    <n v="0"/>
    <n v="0"/>
    <n v="0"/>
    <n v="0"/>
    <n v="0"/>
    <n v="0"/>
    <n v="0"/>
    <n v="0"/>
    <x v="0"/>
    <n v="0"/>
    <n v="0"/>
    <n v="0"/>
    <s v="MMR001CMP038"/>
    <x v="0"/>
    <x v="1"/>
    <x v="1"/>
    <n v="4.1617704661182925E-4"/>
    <s v="No"/>
    <m/>
  </r>
  <r>
    <n v="54.7"/>
    <d v="2012-07-05T00:00:00"/>
    <x v="0"/>
    <s v="UNHCR"/>
    <s v="Kachin"/>
    <s v="Bhamo"/>
    <s v="Ta Gun Taing Monastery (Shwe Kyi Na)"/>
    <m/>
    <m/>
    <m/>
    <n v="36"/>
    <n v="14"/>
    <n v="36"/>
    <n v="14"/>
    <n v="14"/>
    <n v="14"/>
    <n v="14"/>
    <m/>
    <m/>
    <m/>
    <m/>
    <m/>
    <m/>
    <m/>
    <n v="0"/>
    <n v="0"/>
    <n v="0"/>
    <n v="0"/>
    <n v="0"/>
    <n v="0"/>
    <n v="0"/>
    <n v="0"/>
    <n v="0"/>
    <n v="0"/>
    <n v="0"/>
    <n v="0"/>
    <n v="0"/>
    <n v="0"/>
    <x v="0"/>
    <n v="0"/>
    <n v="0"/>
    <n v="0"/>
    <s v="MMR001CMP055"/>
    <x v="0"/>
    <x v="1"/>
    <x v="1"/>
    <n v="3.4121374603948332E-4"/>
    <s v="No"/>
    <m/>
  </r>
  <r>
    <n v="55.033333333333331"/>
    <d v="2012-06-25T00:00:00"/>
    <x v="0"/>
    <s v="UNHCR"/>
    <s v="Kachin"/>
    <s v="Momauk"/>
    <s v="Momauk Baptist Church"/>
    <m/>
    <m/>
    <m/>
    <n v="290"/>
    <n v="145"/>
    <n v="290"/>
    <n v="145"/>
    <n v="145"/>
    <n v="145"/>
    <n v="145"/>
    <m/>
    <m/>
    <m/>
    <m/>
    <m/>
    <m/>
    <m/>
    <n v="0"/>
    <n v="0"/>
    <n v="0"/>
    <n v="0"/>
    <n v="0"/>
    <n v="0"/>
    <n v="0"/>
    <n v="0"/>
    <n v="0"/>
    <n v="0"/>
    <n v="0"/>
    <n v="0"/>
    <n v="0"/>
    <n v="0"/>
    <x v="0"/>
    <n v="0"/>
    <n v="0"/>
    <n v="0"/>
    <s v="MMR001CMP056"/>
    <x v="0"/>
    <x v="1"/>
    <x v="1"/>
    <n v="3.5630912888561248E-3"/>
    <s v="No"/>
    <m/>
  </r>
  <r>
    <n v="55.1"/>
    <d v="2012-06-23T00:00:00"/>
    <x v="0"/>
    <s v="UNHCR"/>
    <s v="Kachin"/>
    <s v="Momauk"/>
    <s v="Dum Bung "/>
    <m/>
    <m/>
    <m/>
    <n v="24"/>
    <n v="13"/>
    <n v="24"/>
    <n v="13"/>
    <n v="13"/>
    <n v="13"/>
    <n v="13"/>
    <m/>
    <m/>
    <m/>
    <m/>
    <m/>
    <m/>
    <m/>
    <n v="0"/>
    <n v="0"/>
    <n v="0"/>
    <n v="0"/>
    <n v="0"/>
    <n v="0"/>
    <n v="0"/>
    <n v="0"/>
    <n v="0"/>
    <n v="0"/>
    <n v="0"/>
    <n v="0"/>
    <n v="0"/>
    <n v="0"/>
    <x v="0"/>
    <n v="0"/>
    <n v="0"/>
    <n v="0"/>
    <s v="MMR001CMP123"/>
    <x v="0"/>
    <x v="1"/>
    <x v="6"/>
    <n v="3.1897143978800666E-4"/>
    <s v="No"/>
    <m/>
  </r>
  <r>
    <n v="55.133333333333333"/>
    <d v="2012-06-22T00:00:00"/>
    <x v="0"/>
    <s v="UNHCR"/>
    <s v="Kachin"/>
    <s v="Momauk"/>
    <s v="Nhkawng Pa "/>
    <m/>
    <m/>
    <m/>
    <n v="140"/>
    <n v="70"/>
    <n v="140"/>
    <n v="70"/>
    <n v="70"/>
    <n v="70"/>
    <n v="70"/>
    <m/>
    <m/>
    <m/>
    <m/>
    <m/>
    <m/>
    <m/>
    <n v="0"/>
    <n v="0"/>
    <n v="0"/>
    <n v="0"/>
    <n v="0"/>
    <n v="0"/>
    <n v="0"/>
    <n v="0"/>
    <n v="0"/>
    <n v="0"/>
    <n v="0"/>
    <n v="0"/>
    <n v="0"/>
    <n v="0"/>
    <x v="0"/>
    <n v="0"/>
    <n v="0"/>
    <n v="0"/>
    <s v="MMR001CMP131"/>
    <x v="0"/>
    <x v="1"/>
    <x v="5"/>
    <n v="1.7073170731707317E-3"/>
    <s v="No"/>
    <m/>
  </r>
  <r>
    <n v="55.2"/>
    <d v="2012-06-20T00:00:00"/>
    <x v="0"/>
    <s v="UNHCR"/>
    <s v="Kachin"/>
    <s v="Waingmaw"/>
    <s v="Waingmaw Baptist Zonal Office"/>
    <m/>
    <m/>
    <m/>
    <n v="141"/>
    <n v="81"/>
    <n v="148"/>
    <n v="84"/>
    <n v="78"/>
    <n v="78"/>
    <n v="78"/>
    <m/>
    <m/>
    <m/>
    <m/>
    <m/>
    <m/>
    <m/>
    <n v="0"/>
    <n v="0"/>
    <n v="0"/>
    <n v="0"/>
    <n v="0"/>
    <n v="0"/>
    <n v="0"/>
    <n v="0"/>
    <n v="0"/>
    <n v="0"/>
    <n v="0"/>
    <n v="0"/>
    <n v="0"/>
    <n v="0"/>
    <x v="0"/>
    <n v="0"/>
    <n v="0"/>
    <n v="0"/>
    <s v="MMR001CMP036"/>
    <x v="0"/>
    <x v="0"/>
    <x v="1"/>
    <n v="2.0564042303172739E-3"/>
    <s v="No"/>
    <m/>
  </r>
  <r>
    <n v="55.233333333333334"/>
    <d v="2012-06-19T00:00:00"/>
    <x v="0"/>
    <s v="UNHCR"/>
    <s v="Kachin"/>
    <s v="Waingmaw"/>
    <s v="Maina KBC (Bawng Ring)"/>
    <m/>
    <m/>
    <m/>
    <n v="32"/>
    <n v="17"/>
    <n v="32"/>
    <n v="17"/>
    <n v="17"/>
    <n v="17"/>
    <n v="17"/>
    <m/>
    <m/>
    <m/>
    <m/>
    <m/>
    <m/>
    <m/>
    <n v="0"/>
    <n v="0"/>
    <n v="0"/>
    <n v="0"/>
    <n v="0"/>
    <n v="0"/>
    <n v="0"/>
    <n v="0"/>
    <n v="0"/>
    <n v="0"/>
    <n v="0"/>
    <n v="0"/>
    <n v="0"/>
    <n v="0"/>
    <x v="0"/>
    <n v="0"/>
    <n v="0"/>
    <n v="0"/>
    <s v="MMR001CMP040"/>
    <x v="0"/>
    <x v="1"/>
    <x v="1"/>
    <n v="4.1401816809137626E-4"/>
    <s v="No"/>
    <m/>
  </r>
  <r>
    <n v="55.233333333333334"/>
    <d v="2012-06-19T00:00:00"/>
    <x v="0"/>
    <s v="UNHCR"/>
    <s v="Kachin"/>
    <s v="Waingmaw"/>
    <s v="Thargaya Lisu Baptist Church"/>
    <m/>
    <m/>
    <m/>
    <n v="31"/>
    <n v="15"/>
    <n v="31"/>
    <n v="15"/>
    <n v="15"/>
    <n v="15"/>
    <n v="15"/>
    <m/>
    <m/>
    <m/>
    <m/>
    <m/>
    <m/>
    <m/>
    <n v="0"/>
    <n v="0"/>
    <n v="0"/>
    <n v="0"/>
    <n v="0"/>
    <n v="0"/>
    <n v="0"/>
    <n v="0"/>
    <n v="0"/>
    <n v="0"/>
    <n v="0"/>
    <n v="0"/>
    <n v="0"/>
    <n v="0"/>
    <x v="0"/>
    <n v="0"/>
    <n v="0"/>
    <n v="0"/>
    <s v="MMR001CMP037"/>
    <x v="0"/>
    <x v="1"/>
    <x v="1"/>
    <n v="3.6721504112808461E-4"/>
    <s v="No"/>
    <m/>
  </r>
  <r>
    <n v="55.233333333333334"/>
    <d v="2012-06-19T00:00:00"/>
    <x v="0"/>
    <s v="UNHCR"/>
    <s v="Kachin"/>
    <s v="Waingmaw"/>
    <s v="Waingmaw AG Church"/>
    <m/>
    <m/>
    <m/>
    <n v="28"/>
    <n v="15"/>
    <n v="28"/>
    <n v="15"/>
    <n v="15"/>
    <n v="15"/>
    <n v="15"/>
    <m/>
    <m/>
    <m/>
    <m/>
    <m/>
    <m/>
    <m/>
    <n v="0"/>
    <n v="0"/>
    <n v="0"/>
    <n v="0"/>
    <n v="0"/>
    <n v="0"/>
    <n v="0"/>
    <n v="0"/>
    <n v="0"/>
    <n v="0"/>
    <n v="0"/>
    <n v="0"/>
    <n v="0"/>
    <n v="0"/>
    <x v="0"/>
    <n v="0"/>
    <n v="0"/>
    <n v="0"/>
    <s v="MMR001CMP038"/>
    <x v="0"/>
    <x v="1"/>
    <x v="1"/>
    <n v="3.6721504112808461E-4"/>
    <s v="No"/>
    <m/>
  </r>
  <r>
    <n v="55.533333333333331"/>
    <d v="2012-06-10T00:00:00"/>
    <x v="0"/>
    <s v="UNHCR"/>
    <s v="Kachin"/>
    <s v="Chipwi"/>
    <s v="Lhaovao Baptist Church (LBC)"/>
    <m/>
    <m/>
    <m/>
    <n v="200"/>
    <n v="100"/>
    <n v="150"/>
    <n v="100"/>
    <n v="100"/>
    <n v="100"/>
    <n v="100"/>
    <m/>
    <m/>
    <m/>
    <m/>
    <m/>
    <m/>
    <m/>
    <n v="0"/>
    <n v="0"/>
    <n v="0"/>
    <n v="0"/>
    <n v="0"/>
    <n v="0"/>
    <n v="0"/>
    <n v="0"/>
    <n v="0"/>
    <n v="0"/>
    <n v="0"/>
    <n v="0"/>
    <n v="0"/>
    <n v="0"/>
    <x v="0"/>
    <n v="0"/>
    <n v="0"/>
    <n v="0"/>
    <s v="MMR001CMP195"/>
    <x v="0"/>
    <x v="1"/>
    <x v="5"/>
    <n v="2.4425989252564728E-3"/>
    <s v="No"/>
    <m/>
  </r>
  <r>
    <n v="55.6"/>
    <d v="2012-06-08T00:00:00"/>
    <x v="1"/>
    <s v="Solidarities"/>
    <s v="Kachin"/>
    <s v="Bhamo"/>
    <s v="Htoi San Church"/>
    <n v="22"/>
    <m/>
    <m/>
    <m/>
    <m/>
    <m/>
    <m/>
    <m/>
    <m/>
    <m/>
    <m/>
    <m/>
    <m/>
    <m/>
    <m/>
    <m/>
    <m/>
    <n v="0"/>
    <n v="0"/>
    <n v="0"/>
    <n v="0"/>
    <n v="0"/>
    <n v="0"/>
    <n v="0"/>
    <n v="0"/>
    <n v="0"/>
    <n v="0"/>
    <n v="0"/>
    <n v="0"/>
    <n v="0"/>
    <n v="0"/>
    <x v="0"/>
    <n v="0"/>
    <n v="0"/>
    <n v="0"/>
    <s v="MMR001CMP052"/>
    <x v="0"/>
    <x v="1"/>
    <x v="1"/>
    <n v="0"/>
    <m/>
    <m/>
  </r>
  <r>
    <n v="55.6"/>
    <d v="2012-06-08T00:00:00"/>
    <x v="1"/>
    <s v="Solidarities"/>
    <s v="Kachin"/>
    <s v="Bhamo"/>
    <s v="Nant Hlaing Church"/>
    <n v="21"/>
    <m/>
    <m/>
    <m/>
    <m/>
    <m/>
    <m/>
    <m/>
    <m/>
    <m/>
    <m/>
    <m/>
    <m/>
    <m/>
    <m/>
    <m/>
    <m/>
    <n v="0"/>
    <n v="0"/>
    <n v="0"/>
    <n v="0"/>
    <n v="0"/>
    <n v="0"/>
    <n v="0"/>
    <n v="0"/>
    <n v="0"/>
    <n v="0"/>
    <n v="0"/>
    <n v="0"/>
    <n v="0"/>
    <n v="0"/>
    <x v="0"/>
    <n v="0"/>
    <n v="0"/>
    <n v="0"/>
    <s v="MMR001CMP054"/>
    <x v="0"/>
    <x v="1"/>
    <x v="1"/>
    <n v="0"/>
    <m/>
    <m/>
  </r>
  <r>
    <n v="55.6"/>
    <d v="2012-06-08T00:00:00"/>
    <x v="0"/>
    <s v="UNHCR"/>
    <s v="Kachin"/>
    <s v="Bhamo"/>
    <s v="Nant Hlaing Church"/>
    <m/>
    <m/>
    <m/>
    <n v="12"/>
    <n v="6"/>
    <n v="12"/>
    <n v="6"/>
    <n v="6"/>
    <n v="6"/>
    <n v="6"/>
    <m/>
    <m/>
    <m/>
    <m/>
    <m/>
    <m/>
    <m/>
    <n v="0"/>
    <n v="0"/>
    <n v="0"/>
    <n v="0"/>
    <n v="0"/>
    <n v="0"/>
    <n v="0"/>
    <n v="0"/>
    <n v="0"/>
    <n v="0"/>
    <n v="0"/>
    <n v="0"/>
    <n v="0"/>
    <n v="0"/>
    <x v="0"/>
    <n v="0"/>
    <n v="0"/>
    <n v="0"/>
    <s v="MMR001CMP054"/>
    <x v="0"/>
    <x v="1"/>
    <x v="1"/>
    <n v="1.4688601645123384E-4"/>
    <s v="No"/>
    <m/>
  </r>
  <r>
    <n v="55.666666666666664"/>
    <d v="2012-06-06T00:00:00"/>
    <x v="0"/>
    <s v="UNHCR "/>
    <s v="Kachin"/>
    <s v="Momauk"/>
    <s v="Hpun Lum Yang "/>
    <m/>
    <m/>
    <m/>
    <n v="0"/>
    <n v="200"/>
    <n v="0"/>
    <n v="0"/>
    <n v="0"/>
    <m/>
    <m/>
    <m/>
    <m/>
    <m/>
    <m/>
    <m/>
    <m/>
    <m/>
    <n v="0"/>
    <n v="0"/>
    <n v="0"/>
    <n v="0"/>
    <n v="0"/>
    <n v="0"/>
    <n v="0"/>
    <n v="0"/>
    <n v="0"/>
    <n v="0"/>
    <n v="0"/>
    <n v="0"/>
    <n v="0"/>
    <n v="0"/>
    <x v="0"/>
    <n v="0"/>
    <n v="0"/>
    <n v="0"/>
    <s v="MMR001CMP122"/>
    <x v="0"/>
    <x v="1"/>
    <x v="6"/>
    <n v="0"/>
    <s v="No"/>
    <m/>
  </r>
  <r>
    <n v="55.666666666666664"/>
    <d v="2012-06-06T00:00:00"/>
    <x v="0"/>
    <s v="UNHCR"/>
    <s v="Kachin"/>
    <s v="Momauk"/>
    <s v="Pa Kahtawng "/>
    <m/>
    <m/>
    <m/>
    <n v="144"/>
    <n v="76"/>
    <n v="143"/>
    <n v="76"/>
    <n v="78"/>
    <n v="78"/>
    <n v="78"/>
    <m/>
    <m/>
    <m/>
    <m/>
    <m/>
    <m/>
    <m/>
    <n v="0"/>
    <n v="0"/>
    <n v="0"/>
    <n v="0"/>
    <n v="0"/>
    <n v="0"/>
    <n v="0"/>
    <n v="0"/>
    <n v="0"/>
    <n v="0"/>
    <n v="0"/>
    <n v="0"/>
    <n v="0"/>
    <n v="0"/>
    <x v="0"/>
    <n v="0"/>
    <n v="0"/>
    <n v="0"/>
    <s v="MMR001CMP126"/>
    <x v="0"/>
    <x v="1"/>
    <x v="6"/>
    <n v="1.8536585365853658E-3"/>
    <s v="No"/>
    <m/>
  </r>
  <r>
    <n v="55.7"/>
    <d v="2012-06-05T00:00:00"/>
    <x v="0"/>
    <s v="UNHCR"/>
    <s v="Kachin"/>
    <s v="Momauk"/>
    <s v="Momauk Catholic Church (St. Patrick)"/>
    <m/>
    <m/>
    <m/>
    <n v="10"/>
    <n v="5"/>
    <n v="10"/>
    <n v="5"/>
    <n v="5"/>
    <n v="5"/>
    <n v="5"/>
    <m/>
    <m/>
    <m/>
    <m/>
    <m/>
    <m/>
    <m/>
    <n v="0"/>
    <n v="0"/>
    <n v="0"/>
    <n v="0"/>
    <n v="0"/>
    <n v="0"/>
    <n v="0"/>
    <n v="0"/>
    <n v="0"/>
    <n v="0"/>
    <n v="0"/>
    <n v="0"/>
    <n v="0"/>
    <n v="0"/>
    <x v="0"/>
    <n v="0"/>
    <n v="0"/>
    <n v="0"/>
    <s v="MMR001CMP057"/>
    <x v="0"/>
    <x v="0"/>
    <x v="1"/>
    <n v="1.2268132299538719E-4"/>
    <s v="No"/>
    <m/>
  </r>
  <r>
    <n v="55.833333333333336"/>
    <d v="2012-06-01T00:00:00"/>
    <x v="0"/>
    <s v="UNHCR"/>
    <s v="Kachin"/>
    <s v="Myitkyina"/>
    <s v="Maw Hpawng Hka Nan Baptist Church"/>
    <m/>
    <m/>
    <m/>
    <n v="22"/>
    <n v="11"/>
    <n v="22"/>
    <n v="11"/>
    <n v="11"/>
    <n v="11"/>
    <n v="11"/>
    <m/>
    <m/>
    <m/>
    <m/>
    <m/>
    <m/>
    <m/>
    <n v="0"/>
    <n v="0"/>
    <n v="0"/>
    <n v="0"/>
    <n v="0"/>
    <n v="0"/>
    <n v="0"/>
    <n v="0"/>
    <n v="0"/>
    <n v="0"/>
    <n v="0"/>
    <n v="0"/>
    <n v="0"/>
    <n v="0"/>
    <x v="0"/>
    <n v="0"/>
    <n v="0"/>
    <n v="0"/>
    <s v="MMR001CMP020"/>
    <x v="0"/>
    <x v="1"/>
    <x v="1"/>
    <n v="2.6949555332337016E-4"/>
    <s v="No"/>
    <m/>
  </r>
  <r>
    <n v="55.833333333333336"/>
    <d v="2012-06-01T00:00:00"/>
    <x v="0"/>
    <s v="UNHCR"/>
    <s v="Kachin"/>
    <s v="Myitkyina"/>
    <s v="Maw Hpawng Lhaovo Baptist Church"/>
    <m/>
    <m/>
    <m/>
    <n v="35"/>
    <n v="17"/>
    <n v="35"/>
    <n v="17"/>
    <n v="17"/>
    <n v="17"/>
    <n v="17"/>
    <m/>
    <m/>
    <m/>
    <m/>
    <m/>
    <m/>
    <m/>
    <n v="0"/>
    <n v="0"/>
    <n v="0"/>
    <n v="0"/>
    <n v="0"/>
    <n v="0"/>
    <n v="0"/>
    <n v="0"/>
    <n v="0"/>
    <n v="0"/>
    <n v="0"/>
    <n v="0"/>
    <n v="0"/>
    <n v="0"/>
    <x v="0"/>
    <n v="0"/>
    <n v="0"/>
    <n v="0"/>
    <s v="MMR001CMP021"/>
    <x v="0"/>
    <x v="1"/>
    <x v="1"/>
    <n v="4.1649312786339027E-4"/>
    <s v="No"/>
    <m/>
  </r>
  <r>
    <n v="55.866666666666667"/>
    <d v="2012-05-31T00:00:00"/>
    <x v="0"/>
    <s v="KBC"/>
    <s v="Kachin"/>
    <s v="Bhamo"/>
    <s v="Robert Church"/>
    <m/>
    <m/>
    <m/>
    <n v="0"/>
    <n v="20"/>
    <n v="0"/>
    <n v="0"/>
    <n v="0"/>
    <m/>
    <m/>
    <m/>
    <m/>
    <m/>
    <m/>
    <m/>
    <m/>
    <m/>
    <n v="0"/>
    <n v="0"/>
    <n v="0"/>
    <n v="0"/>
    <n v="0"/>
    <n v="0"/>
    <n v="0"/>
    <n v="0"/>
    <n v="0"/>
    <n v="0"/>
    <n v="0"/>
    <n v="0"/>
    <n v="0"/>
    <n v="0"/>
    <x v="0"/>
    <n v="0"/>
    <n v="0"/>
    <n v="0"/>
    <s v="MMR001CMP047"/>
    <x v="0"/>
    <x v="1"/>
    <x v="1"/>
    <n v="0"/>
    <s v="No"/>
    <m/>
  </r>
  <r>
    <n v="55.966666666666669"/>
    <d v="2012-05-28T00:00:00"/>
    <x v="0"/>
    <s v="UNHCR"/>
    <s v="Kachin"/>
    <s v="Waingmaw"/>
    <s v="Qtr. 3 Mu-yin  Baptist Church"/>
    <m/>
    <m/>
    <m/>
    <n v="0"/>
    <n v="11"/>
    <n v="0"/>
    <n v="0"/>
    <n v="0"/>
    <m/>
    <m/>
    <m/>
    <m/>
    <m/>
    <m/>
    <m/>
    <m/>
    <m/>
    <n v="0"/>
    <n v="0"/>
    <n v="0"/>
    <n v="0"/>
    <n v="0"/>
    <n v="0"/>
    <n v="0"/>
    <n v="0"/>
    <n v="0"/>
    <n v="0"/>
    <n v="0"/>
    <n v="0"/>
    <n v="0"/>
    <n v="0"/>
    <x v="0"/>
    <n v="0"/>
    <n v="0"/>
    <n v="0"/>
    <s v="MMR001CMP030"/>
    <x v="0"/>
    <x v="1"/>
    <x v="1"/>
    <n v="0"/>
    <s v="No"/>
    <m/>
  </r>
  <r>
    <n v="56.033333333333331"/>
    <d v="2012-05-26T00:00:00"/>
    <x v="0"/>
    <s v="KBC"/>
    <s v="Kachin"/>
    <s v="Shwegu"/>
    <s v="Lawk Awng Mare D. (Sinbo Area)"/>
    <m/>
    <m/>
    <m/>
    <n v="200"/>
    <n v="200"/>
    <n v="0"/>
    <n v="0"/>
    <n v="0"/>
    <m/>
    <m/>
    <m/>
    <m/>
    <m/>
    <m/>
    <m/>
    <m/>
    <m/>
    <n v="0"/>
    <n v="0"/>
    <n v="0"/>
    <n v="0"/>
    <n v="0"/>
    <n v="0"/>
    <n v="0"/>
    <n v="0"/>
    <n v="0"/>
    <n v="0"/>
    <n v="0"/>
    <n v="0"/>
    <n v="0"/>
    <n v="0"/>
    <x v="0"/>
    <n v="0"/>
    <n v="0"/>
    <n v="0"/>
    <s v="MMR001CMP147"/>
    <x v="1"/>
    <x v="1"/>
    <x v="1"/>
    <n v="0"/>
    <s v="No"/>
    <m/>
  </r>
  <r>
    <n v="56.06666666666667"/>
    <d v="2012-05-25T00:00:00"/>
    <x v="0"/>
    <s v="UNHCR"/>
    <s v="Kachin"/>
    <s v="Myitkyina"/>
    <s v="Shwe Zet Baptist Church"/>
    <m/>
    <m/>
    <m/>
    <n v="0"/>
    <n v="25"/>
    <n v="0"/>
    <n v="0"/>
    <n v="0"/>
    <m/>
    <m/>
    <m/>
    <m/>
    <m/>
    <m/>
    <m/>
    <m/>
    <m/>
    <n v="0"/>
    <n v="0"/>
    <n v="0"/>
    <n v="0"/>
    <n v="0"/>
    <n v="0"/>
    <n v="0"/>
    <n v="0"/>
    <n v="0"/>
    <n v="0"/>
    <n v="0"/>
    <n v="0"/>
    <n v="0"/>
    <n v="0"/>
    <x v="0"/>
    <n v="0"/>
    <n v="0"/>
    <n v="0"/>
    <s v="MMR001CMP009"/>
    <x v="0"/>
    <x v="1"/>
    <x v="1"/>
    <n v="0"/>
    <s v="No"/>
    <m/>
  </r>
  <r>
    <n v="56.133333333333333"/>
    <d v="2012-05-23T00:00:00"/>
    <x v="0"/>
    <s v="UNHCR"/>
    <s v="Kachin"/>
    <s v="Myitkyina"/>
    <s v="Jan Mai Kawng Baptist Church"/>
    <m/>
    <m/>
    <m/>
    <n v="22"/>
    <n v="15"/>
    <n v="22"/>
    <n v="15"/>
    <n v="15"/>
    <n v="15"/>
    <n v="15"/>
    <m/>
    <m/>
    <m/>
    <m/>
    <m/>
    <m/>
    <m/>
    <n v="0"/>
    <n v="0"/>
    <n v="0"/>
    <n v="0"/>
    <n v="0"/>
    <n v="0"/>
    <n v="0"/>
    <n v="0"/>
    <n v="0"/>
    <n v="0"/>
    <n v="0"/>
    <n v="0"/>
    <n v="0"/>
    <n v="0"/>
    <x v="0"/>
    <n v="0"/>
    <n v="0"/>
    <n v="0"/>
    <s v="MMR001CMP018"/>
    <x v="0"/>
    <x v="1"/>
    <x v="1"/>
    <n v="3.6832412523020257E-4"/>
    <s v="No"/>
    <m/>
  </r>
  <r>
    <n v="56.133333333333333"/>
    <d v="2012-05-23T00:00:00"/>
    <x v="0"/>
    <s v="UNHCR"/>
    <s v="Kachin"/>
    <s v="Myitkyina"/>
    <s v="Nan Kway St. John Catholic Church"/>
    <m/>
    <m/>
    <m/>
    <n v="58"/>
    <n v="29"/>
    <n v="58"/>
    <n v="29"/>
    <n v="29"/>
    <n v="29"/>
    <n v="29"/>
    <m/>
    <m/>
    <m/>
    <m/>
    <m/>
    <m/>
    <m/>
    <n v="0"/>
    <n v="0"/>
    <n v="0"/>
    <n v="0"/>
    <n v="0"/>
    <n v="0"/>
    <n v="0"/>
    <n v="0"/>
    <n v="0"/>
    <n v="0"/>
    <n v="0"/>
    <n v="0"/>
    <n v="0"/>
    <n v="0"/>
    <x v="0"/>
    <n v="0"/>
    <n v="0"/>
    <n v="0"/>
    <s v="MMR001CMP024"/>
    <x v="0"/>
    <x v="1"/>
    <x v="1"/>
    <n v="7.0889046420103156E-4"/>
    <s v="No"/>
    <m/>
  </r>
  <r>
    <n v="56.133333333333333"/>
    <d v="2012-05-23T00:00:00"/>
    <x v="0"/>
    <s v="UNHCR"/>
    <s v="Kachin"/>
    <s v="Myitkyina"/>
    <s v="Tat Kone Baptist Church"/>
    <m/>
    <m/>
    <m/>
    <n v="54"/>
    <n v="29"/>
    <n v="54"/>
    <n v="29"/>
    <n v="29"/>
    <n v="29"/>
    <n v="29"/>
    <m/>
    <m/>
    <m/>
    <m/>
    <m/>
    <m/>
    <m/>
    <n v="0"/>
    <n v="0"/>
    <n v="0"/>
    <n v="0"/>
    <n v="0"/>
    <n v="0"/>
    <n v="0"/>
    <n v="0"/>
    <n v="0"/>
    <n v="0"/>
    <n v="0"/>
    <n v="0"/>
    <n v="0"/>
    <n v="0"/>
    <x v="0"/>
    <n v="0"/>
    <n v="0"/>
    <n v="0"/>
    <s v="MMR001CMP001"/>
    <x v="0"/>
    <x v="1"/>
    <x v="1"/>
    <n v="7.1261825777122498E-4"/>
    <s v="No"/>
    <m/>
  </r>
  <r>
    <n v="56.2"/>
    <d v="2012-05-21T00:00:00"/>
    <x v="0"/>
    <s v="UNHCR"/>
    <s v="Kachin"/>
    <s v="Bhamo"/>
    <s v="AD-2000 Tharthana Compound"/>
    <m/>
    <m/>
    <m/>
    <n v="0"/>
    <n v="15"/>
    <n v="0"/>
    <n v="0"/>
    <n v="0"/>
    <m/>
    <m/>
    <m/>
    <m/>
    <m/>
    <m/>
    <m/>
    <m/>
    <m/>
    <n v="0"/>
    <n v="0"/>
    <n v="0"/>
    <n v="0"/>
    <n v="0"/>
    <n v="0"/>
    <n v="0"/>
    <n v="0"/>
    <n v="0"/>
    <n v="0"/>
    <n v="0"/>
    <n v="0"/>
    <n v="0"/>
    <n v="0"/>
    <x v="0"/>
    <n v="0"/>
    <n v="0"/>
    <n v="0"/>
    <s v="MMR001CMP050"/>
    <x v="0"/>
    <x v="1"/>
    <x v="1"/>
    <n v="0"/>
    <s v="No"/>
    <m/>
  </r>
  <r>
    <n v="56.4"/>
    <d v="2012-05-15T00:00:00"/>
    <x v="0"/>
    <s v="KBSS"/>
    <s v="Kachin"/>
    <s v="Bhamo"/>
    <s v="AD-2000 Tharthana Compound"/>
    <m/>
    <m/>
    <m/>
    <n v="90"/>
    <n v="0"/>
    <n v="0"/>
    <n v="0"/>
    <n v="0"/>
    <m/>
    <m/>
    <m/>
    <m/>
    <m/>
    <m/>
    <m/>
    <m/>
    <m/>
    <n v="0"/>
    <n v="0"/>
    <n v="0"/>
    <n v="0"/>
    <n v="0"/>
    <n v="0"/>
    <n v="0"/>
    <n v="0"/>
    <n v="0"/>
    <n v="0"/>
    <n v="0"/>
    <n v="0"/>
    <n v="0"/>
    <n v="0"/>
    <x v="0"/>
    <n v="0"/>
    <n v="0"/>
    <n v="0"/>
    <s v="MMR001CMP050"/>
    <x v="0"/>
    <x v="1"/>
    <x v="1"/>
    <n v="0"/>
    <s v="No"/>
    <m/>
  </r>
  <r>
    <n v="56.533333333333331"/>
    <d v="2012-05-11T00:00:00"/>
    <x v="0"/>
    <s v="UNHCR"/>
    <s v="Kachin"/>
    <s v="Waingmaw"/>
    <s v="Maina Catholic Church (St. Joseph)"/>
    <m/>
    <m/>
    <m/>
    <n v="57"/>
    <n v="29"/>
    <n v="57"/>
    <n v="29"/>
    <n v="29"/>
    <n v="29"/>
    <n v="29"/>
    <m/>
    <m/>
    <m/>
    <m/>
    <m/>
    <m/>
    <m/>
    <n v="0"/>
    <n v="0"/>
    <n v="0"/>
    <n v="0"/>
    <n v="0"/>
    <n v="0"/>
    <n v="0"/>
    <n v="0"/>
    <n v="0"/>
    <n v="0"/>
    <n v="0"/>
    <n v="0"/>
    <n v="0"/>
    <n v="0"/>
    <x v="0"/>
    <n v="0"/>
    <n v="0"/>
    <n v="0"/>
    <s v="MMR001CMP029"/>
    <x v="0"/>
    <x v="1"/>
    <x v="1"/>
    <n v="7.00043450972819E-4"/>
    <s v="No"/>
    <m/>
  </r>
  <r>
    <n v="56.533333333333331"/>
    <d v="2012-05-11T00:00:00"/>
    <x v="0"/>
    <s v="UNHCR"/>
    <s v="Kachin"/>
    <s v="Waingmaw"/>
    <s v="Maina KBC (Bawng Ring)"/>
    <m/>
    <m/>
    <m/>
    <n v="50"/>
    <n v="25"/>
    <n v="50"/>
    <n v="24"/>
    <n v="13"/>
    <n v="13"/>
    <n v="13"/>
    <m/>
    <m/>
    <m/>
    <m/>
    <m/>
    <m/>
    <m/>
    <n v="0"/>
    <n v="0"/>
    <n v="0"/>
    <n v="0"/>
    <n v="0"/>
    <n v="0"/>
    <n v="0"/>
    <n v="0"/>
    <n v="0"/>
    <n v="0"/>
    <n v="0"/>
    <n v="0"/>
    <n v="0"/>
    <n v="0"/>
    <x v="0"/>
    <n v="0"/>
    <n v="0"/>
    <n v="0"/>
    <s v="MMR001CMP040"/>
    <x v="0"/>
    <x v="1"/>
    <x v="1"/>
    <n v="5.8449623730547236E-4"/>
    <s v="No"/>
    <m/>
  </r>
  <r>
    <n v="56.533333333333331"/>
    <d v="2012-05-11T00:00:00"/>
    <x v="0"/>
    <s v="KBSS"/>
    <s v="Kachin"/>
    <s v="Shwegu"/>
    <s v="Shwe Gu Baptist Church"/>
    <m/>
    <m/>
    <m/>
    <n v="38"/>
    <n v="23"/>
    <n v="38"/>
    <n v="23"/>
    <n v="23"/>
    <n v="23"/>
    <n v="23"/>
    <m/>
    <m/>
    <m/>
    <m/>
    <m/>
    <m/>
    <m/>
    <n v="0"/>
    <n v="0"/>
    <n v="0"/>
    <n v="0"/>
    <n v="0"/>
    <n v="0"/>
    <n v="0"/>
    <n v="0"/>
    <n v="0"/>
    <n v="0"/>
    <n v="0"/>
    <n v="0"/>
    <n v="0"/>
    <n v="0"/>
    <x v="0"/>
    <n v="0"/>
    <n v="0"/>
    <n v="0"/>
    <s v="MMR001CMP067"/>
    <x v="0"/>
    <x v="1"/>
    <x v="1"/>
    <n v="5.647636586863106E-4"/>
    <s v="No"/>
    <m/>
  </r>
  <r>
    <n v="56.533333333333331"/>
    <d v="2012-05-11T00:00:00"/>
    <x v="0"/>
    <s v="KBSS"/>
    <s v="Kachin"/>
    <s v="Shwegu"/>
    <s v="Shwe Gu Catholic Church"/>
    <m/>
    <m/>
    <m/>
    <n v="37"/>
    <n v="22"/>
    <n v="37"/>
    <n v="22"/>
    <n v="22"/>
    <n v="22"/>
    <n v="22"/>
    <m/>
    <m/>
    <m/>
    <m/>
    <m/>
    <m/>
    <m/>
    <n v="0"/>
    <n v="0"/>
    <n v="0"/>
    <n v="0"/>
    <n v="0"/>
    <n v="0"/>
    <n v="0"/>
    <n v="0"/>
    <n v="0"/>
    <n v="0"/>
    <n v="0"/>
    <n v="0"/>
    <n v="0"/>
    <n v="0"/>
    <x v="0"/>
    <n v="0"/>
    <n v="0"/>
    <n v="0"/>
    <s v="MMR001CMP068"/>
    <x v="0"/>
    <x v="1"/>
    <x v="1"/>
    <n v="5.4020871700429711E-4"/>
    <s v="No"/>
    <m/>
  </r>
  <r>
    <n v="56.6"/>
    <d v="2012-05-09T00:00:00"/>
    <x v="0"/>
    <s v="UNHCR"/>
    <s v="Kachin"/>
    <s v="Waingmaw"/>
    <s v="Waingmaw Baptist Zonal Office"/>
    <m/>
    <m/>
    <m/>
    <n v="161"/>
    <n v="83"/>
    <n v="161"/>
    <n v="83"/>
    <n v="83"/>
    <n v="83"/>
    <n v="83"/>
    <m/>
    <m/>
    <m/>
    <m/>
    <m/>
    <m/>
    <m/>
    <n v="0"/>
    <n v="0"/>
    <n v="0"/>
    <n v="0"/>
    <n v="0"/>
    <n v="0"/>
    <n v="0"/>
    <n v="0"/>
    <n v="0"/>
    <n v="0"/>
    <n v="0"/>
    <n v="0"/>
    <n v="0"/>
    <n v="0"/>
    <x v="0"/>
    <n v="0"/>
    <n v="0"/>
    <n v="0"/>
    <s v="MMR001CMP036"/>
    <x v="0"/>
    <x v="0"/>
    <x v="1"/>
    <n v="2.0319232275754014E-3"/>
    <s v="No"/>
    <m/>
  </r>
  <r>
    <n v="56.8"/>
    <d v="2012-05-03T00:00:00"/>
    <x v="0"/>
    <s v="UNHCR"/>
    <s v="Kachin"/>
    <s v="Waingmaw"/>
    <s v="Maina AG Church"/>
    <m/>
    <m/>
    <m/>
    <n v="42"/>
    <n v="0"/>
    <n v="42"/>
    <n v="0"/>
    <n v="20"/>
    <n v="20"/>
    <n v="20"/>
    <m/>
    <m/>
    <m/>
    <m/>
    <m/>
    <m/>
    <m/>
    <n v="0"/>
    <n v="0"/>
    <n v="0"/>
    <n v="0"/>
    <n v="0"/>
    <n v="0"/>
    <n v="0"/>
    <n v="0"/>
    <n v="0"/>
    <n v="0"/>
    <n v="0"/>
    <n v="0"/>
    <n v="0"/>
    <n v="0"/>
    <x v="0"/>
    <n v="0"/>
    <n v="0"/>
    <n v="0"/>
    <s v="MMR001CMP031"/>
    <x v="0"/>
    <x v="1"/>
    <x v="1"/>
    <n v="0"/>
    <s v="No"/>
    <m/>
  </r>
  <r>
    <n v="56.8"/>
    <d v="2012-05-03T00:00:00"/>
    <x v="0"/>
    <s v="UNHCR"/>
    <s v="Kachin"/>
    <s v="Waingmaw"/>
    <s v="Qtr. 3 Mu-yin  Baptist Church"/>
    <m/>
    <m/>
    <m/>
    <n v="12"/>
    <n v="0"/>
    <n v="12"/>
    <n v="6"/>
    <n v="6"/>
    <n v="6"/>
    <n v="6"/>
    <m/>
    <m/>
    <m/>
    <m/>
    <m/>
    <m/>
    <m/>
    <n v="0"/>
    <n v="0"/>
    <n v="0"/>
    <n v="0"/>
    <n v="0"/>
    <n v="0"/>
    <n v="0"/>
    <n v="0"/>
    <n v="0"/>
    <n v="0"/>
    <n v="0"/>
    <n v="0"/>
    <n v="0"/>
    <n v="0"/>
    <x v="0"/>
    <n v="0"/>
    <n v="0"/>
    <n v="0"/>
    <s v="MMR001CMP030"/>
    <x v="0"/>
    <x v="1"/>
    <x v="1"/>
    <n v="1.474382602285293E-4"/>
    <s v="No"/>
    <m/>
  </r>
  <r>
    <n v="56.8"/>
    <d v="2012-05-03T00:00:00"/>
    <x v="0"/>
    <s v="UNHCR"/>
    <s v="Kachin"/>
    <s v="Waingmaw"/>
    <s v="Qtr. 4 Monestry (Thargaya Thayett Taw)"/>
    <m/>
    <m/>
    <m/>
    <n v="34"/>
    <n v="0"/>
    <n v="34"/>
    <n v="0"/>
    <n v="18"/>
    <n v="18"/>
    <n v="18"/>
    <m/>
    <m/>
    <m/>
    <m/>
    <m/>
    <m/>
    <m/>
    <n v="0"/>
    <n v="0"/>
    <n v="0"/>
    <n v="0"/>
    <n v="0"/>
    <n v="0"/>
    <n v="0"/>
    <n v="0"/>
    <n v="0"/>
    <n v="0"/>
    <n v="0"/>
    <n v="0"/>
    <n v="0"/>
    <n v="0"/>
    <x v="0"/>
    <n v="0"/>
    <n v="0"/>
    <n v="0"/>
    <s v="MMR001CMP026"/>
    <x v="0"/>
    <x v="1"/>
    <x v="1"/>
    <n v="0"/>
    <s v="No"/>
    <m/>
  </r>
  <r>
    <n v="56.8"/>
    <d v="2012-05-03T00:00:00"/>
    <x v="0"/>
    <s v="UNHCR"/>
    <s v="Kachin"/>
    <s v="Myitkyina"/>
    <s v="Myay Myint Baptist Church"/>
    <m/>
    <m/>
    <m/>
    <n v="0"/>
    <n v="0"/>
    <n v="0"/>
    <n v="0"/>
    <n v="5"/>
    <n v="5"/>
    <n v="5"/>
    <m/>
    <m/>
    <m/>
    <m/>
    <m/>
    <m/>
    <m/>
    <n v="0"/>
    <n v="0"/>
    <n v="0"/>
    <n v="0"/>
    <n v="0"/>
    <n v="0"/>
    <n v="0"/>
    <n v="0"/>
    <n v="0"/>
    <n v="0"/>
    <n v="0"/>
    <n v="0"/>
    <n v="0"/>
    <n v="0"/>
    <x v="0"/>
    <n v="0"/>
    <n v="0"/>
    <n v="0"/>
    <s v="MMR001CMP017"/>
    <x v="0"/>
    <x v="0"/>
    <x v="1"/>
    <n v="0"/>
    <s v="No"/>
    <m/>
  </r>
  <r>
    <n v="56.866666666666667"/>
    <d v="2012-05-01T00:00:00"/>
    <x v="0"/>
    <s v="UNHCR"/>
    <s v="Kachin"/>
    <s v="Waingmaw"/>
    <s v="Qtr. 4 Monestry (Thargaya Thayett Taw)"/>
    <m/>
    <m/>
    <m/>
    <n v="52"/>
    <n v="0"/>
    <n v="52"/>
    <n v="0"/>
    <n v="24"/>
    <n v="24"/>
    <n v="24"/>
    <m/>
    <m/>
    <m/>
    <m/>
    <m/>
    <m/>
    <m/>
    <n v="0"/>
    <n v="0"/>
    <n v="0"/>
    <n v="0"/>
    <n v="0"/>
    <n v="0"/>
    <n v="0"/>
    <n v="0"/>
    <n v="0"/>
    <n v="0"/>
    <n v="0"/>
    <n v="0"/>
    <n v="0"/>
    <n v="0"/>
    <x v="0"/>
    <n v="0"/>
    <n v="0"/>
    <n v="0"/>
    <s v="MMR001CMP026"/>
    <x v="0"/>
    <x v="1"/>
    <x v="1"/>
    <n v="0"/>
    <s v="No"/>
    <m/>
  </r>
  <r>
    <n v="57.06666666666667"/>
    <d v="2012-04-25T00:00:00"/>
    <x v="1"/>
    <m/>
    <s v="Kachin"/>
    <s v="Bhamo"/>
    <s v="AD-2000 Tharthana Compound"/>
    <n v="1173"/>
    <m/>
    <m/>
    <m/>
    <m/>
    <m/>
    <m/>
    <m/>
    <m/>
    <m/>
    <m/>
    <m/>
    <m/>
    <m/>
    <m/>
    <m/>
    <m/>
    <n v="0"/>
    <n v="0"/>
    <n v="0"/>
    <n v="0"/>
    <n v="0"/>
    <n v="0"/>
    <n v="0"/>
    <n v="0"/>
    <n v="0"/>
    <n v="0"/>
    <n v="0"/>
    <n v="0"/>
    <n v="0"/>
    <n v="0"/>
    <x v="0"/>
    <n v="0"/>
    <n v="0"/>
    <n v="0"/>
    <s v="MMR001CMP050"/>
    <x v="0"/>
    <x v="1"/>
    <x v="1"/>
    <n v="0"/>
    <m/>
    <m/>
  </r>
  <r>
    <n v="57.06666666666667"/>
    <d v="2012-04-25T00:00:00"/>
    <x v="0"/>
    <s v="UNHCR"/>
    <s v="Kachin"/>
    <s v="Momauk"/>
    <s v="Dum Bung "/>
    <m/>
    <m/>
    <m/>
    <n v="198"/>
    <n v="99"/>
    <n v="198"/>
    <n v="99"/>
    <n v="99"/>
    <n v="99"/>
    <n v="99"/>
    <m/>
    <m/>
    <m/>
    <m/>
    <m/>
    <m/>
    <m/>
    <n v="0"/>
    <n v="0"/>
    <n v="0"/>
    <n v="0"/>
    <n v="0"/>
    <n v="0"/>
    <n v="0"/>
    <n v="0"/>
    <n v="0"/>
    <n v="0"/>
    <n v="0"/>
    <n v="0"/>
    <n v="0"/>
    <n v="0"/>
    <x v="0"/>
    <n v="0"/>
    <n v="0"/>
    <n v="0"/>
    <s v="MMR001CMP123"/>
    <x v="0"/>
    <x v="1"/>
    <x v="6"/>
    <n v="2.429090195308666E-3"/>
    <s v="No"/>
    <m/>
  </r>
  <r>
    <n v="57.06666666666667"/>
    <d v="2012-04-25T00:00:00"/>
    <x v="0"/>
    <s v="UNHCR"/>
    <s v="Kachin"/>
    <s v="Myitkyina"/>
    <s v="Wun Tho Buddhist Monastery"/>
    <m/>
    <m/>
    <m/>
    <n v="39"/>
    <n v="19"/>
    <n v="78"/>
    <n v="19"/>
    <n v="0"/>
    <m/>
    <m/>
    <m/>
    <m/>
    <m/>
    <m/>
    <m/>
    <m/>
    <m/>
    <n v="0"/>
    <n v="0"/>
    <n v="0"/>
    <n v="0"/>
    <n v="0"/>
    <n v="0"/>
    <n v="0"/>
    <n v="0"/>
    <n v="0"/>
    <n v="0"/>
    <n v="0"/>
    <n v="0"/>
    <n v="0"/>
    <n v="0"/>
    <x v="0"/>
    <n v="0"/>
    <n v="0"/>
    <n v="0"/>
    <s v="MMR001CMP022"/>
    <x v="0"/>
    <x v="1"/>
    <x v="1"/>
    <n v="4.6341463414634144E-4"/>
    <s v="No"/>
    <m/>
  </r>
  <r>
    <n v="57.166666666666664"/>
    <d v="2012-04-22T00:00:00"/>
    <x v="0"/>
    <s v="UNHCR"/>
    <s v="Kachin"/>
    <s v="Momauk"/>
    <s v="Je Gau  (+ WaRaPa )"/>
    <m/>
    <m/>
    <m/>
    <n v="846"/>
    <n v="423"/>
    <n v="846"/>
    <n v="423"/>
    <n v="423"/>
    <n v="423"/>
    <n v="423"/>
    <m/>
    <m/>
    <m/>
    <m/>
    <m/>
    <m/>
    <m/>
    <n v="0"/>
    <n v="0"/>
    <n v="0"/>
    <n v="0"/>
    <n v="0"/>
    <n v="0"/>
    <n v="0"/>
    <n v="0"/>
    <n v="0"/>
    <n v="0"/>
    <n v="0"/>
    <n v="0"/>
    <n v="0"/>
    <n v="0"/>
    <x v="0"/>
    <n v="0"/>
    <n v="0"/>
    <n v="0"/>
    <s v=""/>
    <x v="2"/>
    <x v="2"/>
    <x v="0"/>
    <s v=""/>
    <s v="No"/>
    <m/>
  </r>
  <r>
    <n v="57.5"/>
    <d v="2012-04-12T00:00:00"/>
    <x v="0"/>
    <s v="UNHCR"/>
    <s v="Kachin"/>
    <s v="Waingmaw"/>
    <s v="Post 6 Camp"/>
    <m/>
    <m/>
    <m/>
    <n v="123"/>
    <n v="95"/>
    <n v="123"/>
    <n v="95"/>
    <n v="95"/>
    <n v="95"/>
    <n v="95"/>
    <m/>
    <m/>
    <m/>
    <m/>
    <m/>
    <m/>
    <m/>
    <n v="0"/>
    <n v="0"/>
    <n v="0"/>
    <n v="0"/>
    <n v="0"/>
    <n v="0"/>
    <n v="0"/>
    <n v="0"/>
    <n v="0"/>
    <n v="0"/>
    <n v="0"/>
    <n v="0"/>
    <n v="0"/>
    <n v="0"/>
    <x v="0"/>
    <n v="0"/>
    <n v="0"/>
    <n v="0"/>
    <s v="MMR001CMP160"/>
    <x v="0"/>
    <x v="1"/>
    <x v="5"/>
    <n v="2.3256952604778693E-3"/>
    <s v="No"/>
    <m/>
  </r>
  <r>
    <n v="57.56666666666667"/>
    <d v="2012-04-10T00:00:00"/>
    <x v="0"/>
    <s v="KBSS"/>
    <s v="Kachin"/>
    <s v="Shwegu"/>
    <s v="Shwe Gu Baptist Church"/>
    <m/>
    <m/>
    <m/>
    <n v="46"/>
    <n v="27"/>
    <n v="46"/>
    <n v="27"/>
    <n v="27"/>
    <n v="27"/>
    <n v="27"/>
    <m/>
    <m/>
    <m/>
    <m/>
    <m/>
    <m/>
    <m/>
    <n v="0"/>
    <n v="0"/>
    <n v="0"/>
    <n v="0"/>
    <n v="0"/>
    <n v="0"/>
    <n v="0"/>
    <n v="0"/>
    <n v="0"/>
    <n v="0"/>
    <n v="0"/>
    <n v="0"/>
    <n v="0"/>
    <n v="0"/>
    <x v="0"/>
    <n v="0"/>
    <n v="0"/>
    <n v="0"/>
    <s v="MMR001CMP067"/>
    <x v="0"/>
    <x v="1"/>
    <x v="1"/>
    <n v="6.6298342541436467E-4"/>
    <s v="No"/>
    <m/>
  </r>
  <r>
    <n v="57.56666666666667"/>
    <d v="2012-04-10T00:00:00"/>
    <x v="0"/>
    <s v="KBSS"/>
    <s v="Kachin"/>
    <s v="Shwegu"/>
    <s v="Shwe Gu Catholic Church"/>
    <m/>
    <m/>
    <m/>
    <n v="43"/>
    <n v="25"/>
    <n v="43"/>
    <n v="25"/>
    <n v="25"/>
    <n v="25"/>
    <n v="25"/>
    <m/>
    <m/>
    <m/>
    <m/>
    <m/>
    <m/>
    <m/>
    <n v="0"/>
    <n v="0"/>
    <n v="0"/>
    <n v="0"/>
    <n v="0"/>
    <n v="0"/>
    <n v="0"/>
    <n v="0"/>
    <n v="0"/>
    <n v="0"/>
    <n v="0"/>
    <n v="0"/>
    <n v="0"/>
    <n v="0"/>
    <x v="0"/>
    <n v="0"/>
    <n v="0"/>
    <n v="0"/>
    <s v="MMR001CMP068"/>
    <x v="0"/>
    <x v="1"/>
    <x v="1"/>
    <n v="6.1387354205033758E-4"/>
    <s v="No"/>
    <m/>
  </r>
  <r>
    <n v="57.633333333333333"/>
    <d v="2012-04-08T00:00:00"/>
    <x v="1"/>
    <m/>
    <s v="Kachin"/>
    <s v="Bhamo"/>
    <s v="AD-2000 Tharthana Compound"/>
    <n v="302"/>
    <m/>
    <m/>
    <m/>
    <m/>
    <m/>
    <m/>
    <m/>
    <m/>
    <m/>
    <m/>
    <m/>
    <m/>
    <m/>
    <m/>
    <m/>
    <m/>
    <n v="0"/>
    <n v="0"/>
    <n v="0"/>
    <n v="0"/>
    <n v="0"/>
    <n v="0"/>
    <n v="0"/>
    <n v="0"/>
    <n v="0"/>
    <n v="0"/>
    <n v="0"/>
    <n v="0"/>
    <n v="0"/>
    <n v="0"/>
    <x v="0"/>
    <n v="0"/>
    <n v="0"/>
    <n v="0"/>
    <s v="MMR001CMP050"/>
    <x v="0"/>
    <x v="1"/>
    <x v="1"/>
    <n v="0"/>
    <m/>
    <m/>
  </r>
  <r>
    <n v="57.733333333333334"/>
    <d v="2012-04-05T00:00:00"/>
    <x v="0"/>
    <s v="UNHCR"/>
    <s v="Kachin"/>
    <s v="Momauk"/>
    <s v="Momauk Catholic Church (St. Patrick)"/>
    <m/>
    <m/>
    <m/>
    <n v="0"/>
    <n v="50"/>
    <n v="0"/>
    <n v="0"/>
    <n v="0"/>
    <m/>
    <m/>
    <m/>
    <m/>
    <m/>
    <m/>
    <m/>
    <m/>
    <m/>
    <n v="0"/>
    <n v="0"/>
    <n v="0"/>
    <n v="0"/>
    <n v="0"/>
    <n v="0"/>
    <n v="0"/>
    <n v="0"/>
    <n v="0"/>
    <n v="0"/>
    <n v="0"/>
    <n v="0"/>
    <n v="0"/>
    <n v="0"/>
    <x v="0"/>
    <n v="0"/>
    <n v="0"/>
    <n v="0"/>
    <s v="MMR001CMP057"/>
    <x v="0"/>
    <x v="0"/>
    <x v="1"/>
    <n v="0"/>
    <s v="No"/>
    <m/>
  </r>
  <r>
    <n v="57.766666666666666"/>
    <d v="2012-04-04T00:00:00"/>
    <x v="0"/>
    <s v="UNHCR"/>
    <s v="Kachin"/>
    <s v="Mansi"/>
    <s v="Bum Tsit Pa "/>
    <m/>
    <m/>
    <m/>
    <n v="216"/>
    <n v="108"/>
    <n v="216"/>
    <n v="108"/>
    <n v="108"/>
    <n v="108"/>
    <n v="108"/>
    <m/>
    <m/>
    <m/>
    <m/>
    <m/>
    <m/>
    <m/>
    <n v="0"/>
    <n v="0"/>
    <n v="0"/>
    <n v="0"/>
    <n v="0"/>
    <n v="0"/>
    <n v="0"/>
    <n v="0"/>
    <n v="0"/>
    <n v="0"/>
    <n v="0"/>
    <n v="0"/>
    <n v="0"/>
    <n v="0"/>
    <x v="0"/>
    <n v="0"/>
    <n v="0"/>
    <n v="0"/>
    <s v="MMR001CMP129"/>
    <x v="0"/>
    <x v="1"/>
    <x v="6"/>
    <n v="2.6459563417203617E-3"/>
    <s v="No"/>
    <m/>
  </r>
  <r>
    <n v="57.8"/>
    <d v="2012-04-03T00:00:00"/>
    <x v="0"/>
    <s v="UNHCR"/>
    <s v="Kachin"/>
    <s v="Mansi"/>
    <s v="Lana Zup Ja "/>
    <m/>
    <m/>
    <m/>
    <n v="510"/>
    <n v="0"/>
    <n v="510"/>
    <n v="255"/>
    <n v="255"/>
    <n v="255"/>
    <n v="255"/>
    <m/>
    <m/>
    <m/>
    <m/>
    <m/>
    <m/>
    <m/>
    <n v="0"/>
    <n v="0"/>
    <n v="0"/>
    <n v="0"/>
    <n v="0"/>
    <n v="0"/>
    <n v="0"/>
    <n v="0"/>
    <n v="0"/>
    <n v="0"/>
    <n v="0"/>
    <n v="0"/>
    <n v="0"/>
    <n v="0"/>
    <x v="0"/>
    <n v="0"/>
    <n v="0"/>
    <n v="0"/>
    <s v="MMR001CMP128"/>
    <x v="0"/>
    <x v="1"/>
    <x v="6"/>
    <n v="6.2473969179508539E-3"/>
    <s v="No"/>
    <m/>
  </r>
  <r>
    <n v="57.966666666666669"/>
    <d v="2012-03-29T00:00:00"/>
    <x v="0"/>
    <s v="UNHCR"/>
    <s v="Kachin"/>
    <s v="Mansi"/>
    <s v="Bum Tsit Pa "/>
    <m/>
    <m/>
    <m/>
    <n v="66"/>
    <n v="66"/>
    <n v="0"/>
    <n v="0"/>
    <n v="0"/>
    <m/>
    <m/>
    <m/>
    <m/>
    <m/>
    <m/>
    <m/>
    <m/>
    <m/>
    <n v="0"/>
    <n v="0"/>
    <n v="0"/>
    <n v="0"/>
    <n v="0"/>
    <n v="0"/>
    <n v="0"/>
    <n v="0"/>
    <n v="0"/>
    <n v="0"/>
    <n v="0"/>
    <n v="0"/>
    <n v="0"/>
    <n v="0"/>
    <x v="0"/>
    <n v="0"/>
    <n v="0"/>
    <n v="0"/>
    <s v="MMR001CMP129"/>
    <x v="0"/>
    <x v="1"/>
    <x v="6"/>
    <n v="0"/>
    <s v="No"/>
    <m/>
  </r>
  <r>
    <n v="57.966666666666669"/>
    <d v="2012-03-29T00:00:00"/>
    <x v="0"/>
    <s v="UNHCR"/>
    <s v="Kachin"/>
    <s v="Momauk"/>
    <s v="Pa Kahtawng "/>
    <m/>
    <m/>
    <m/>
    <n v="0"/>
    <n v="50"/>
    <n v="0"/>
    <n v="0"/>
    <n v="0"/>
    <m/>
    <m/>
    <m/>
    <m/>
    <m/>
    <m/>
    <m/>
    <m/>
    <m/>
    <n v="0"/>
    <n v="0"/>
    <n v="0"/>
    <n v="0"/>
    <n v="0"/>
    <n v="0"/>
    <n v="0"/>
    <n v="0"/>
    <n v="0"/>
    <n v="0"/>
    <n v="0"/>
    <n v="0"/>
    <n v="0"/>
    <n v="0"/>
    <x v="0"/>
    <n v="0"/>
    <n v="0"/>
    <n v="0"/>
    <s v="MMR001CMP126"/>
    <x v="0"/>
    <x v="1"/>
    <x v="6"/>
    <n v="0"/>
    <s v="No"/>
    <m/>
  </r>
  <r>
    <n v="57.966666666666669"/>
    <d v="2012-03-29T00:00:00"/>
    <x v="0"/>
    <s v="UNHCR"/>
    <s v="Kachin"/>
    <s v="Momauk"/>
    <s v="Seng Ja "/>
    <m/>
    <m/>
    <m/>
    <n v="66"/>
    <n v="66"/>
    <n v="0"/>
    <n v="0"/>
    <n v="0"/>
    <m/>
    <m/>
    <m/>
    <m/>
    <m/>
    <m/>
    <m/>
    <m/>
    <m/>
    <n v="0"/>
    <n v="0"/>
    <n v="0"/>
    <n v="0"/>
    <n v="0"/>
    <n v="0"/>
    <n v="0"/>
    <n v="0"/>
    <n v="0"/>
    <n v="0"/>
    <n v="0"/>
    <n v="0"/>
    <n v="0"/>
    <n v="0"/>
    <x v="0"/>
    <n v="0"/>
    <n v="0"/>
    <n v="0"/>
    <s v="MMR001CMP073"/>
    <x v="0"/>
    <x v="1"/>
    <x v="2"/>
    <n v="0"/>
    <s v="No"/>
    <m/>
  </r>
  <r>
    <n v="58"/>
    <d v="2012-03-28T00:00:00"/>
    <x v="0"/>
    <s v="UNHCR"/>
    <s v="Kachin"/>
    <s v="Momauk"/>
    <s v="Mai Ja Yang Ung Lung "/>
    <m/>
    <m/>
    <m/>
    <n v="217"/>
    <n v="217"/>
    <n v="0"/>
    <n v="0"/>
    <n v="0"/>
    <m/>
    <m/>
    <m/>
    <m/>
    <m/>
    <m/>
    <m/>
    <m/>
    <m/>
    <n v="0"/>
    <n v="0"/>
    <n v="0"/>
    <n v="0"/>
    <n v="0"/>
    <n v="0"/>
    <n v="0"/>
    <n v="0"/>
    <n v="0"/>
    <n v="0"/>
    <n v="0"/>
    <n v="0"/>
    <n v="0"/>
    <n v="0"/>
    <x v="0"/>
    <n v="0"/>
    <n v="0"/>
    <n v="0"/>
    <s v=""/>
    <x v="2"/>
    <x v="2"/>
    <x v="0"/>
    <s v=""/>
    <s v="No"/>
    <m/>
  </r>
  <r>
    <n v="58.033333333333331"/>
    <d v="2012-03-27T00:00:00"/>
    <x v="0"/>
    <s v="UNHCR"/>
    <s v="Kachin"/>
    <s v="Bhamo"/>
    <s v="AD-2000 Tharthana Compound"/>
    <m/>
    <m/>
    <m/>
    <n v="560"/>
    <n v="280"/>
    <n v="560"/>
    <n v="280"/>
    <n v="280"/>
    <n v="280"/>
    <n v="280"/>
    <m/>
    <m/>
    <m/>
    <m/>
    <m/>
    <m/>
    <m/>
    <n v="0"/>
    <n v="0"/>
    <n v="0"/>
    <n v="0"/>
    <n v="0"/>
    <n v="0"/>
    <n v="0"/>
    <n v="0"/>
    <n v="0"/>
    <n v="0"/>
    <n v="0"/>
    <n v="0"/>
    <n v="0"/>
    <n v="0"/>
    <x v="0"/>
    <n v="0"/>
    <n v="0"/>
    <n v="0"/>
    <s v="MMR001CMP050"/>
    <x v="0"/>
    <x v="1"/>
    <x v="1"/>
    <n v="6.8546807677242463E-3"/>
    <s v="No"/>
    <m/>
  </r>
  <r>
    <n v="58.033333333333331"/>
    <d v="2012-03-27T00:00:00"/>
    <x v="0"/>
    <s v="UNHCR"/>
    <s v="Kachin"/>
    <s v="Waingmaw"/>
    <s v="Border Post 8"/>
    <m/>
    <m/>
    <m/>
    <n v="460"/>
    <n v="228"/>
    <n v="460"/>
    <n v="228"/>
    <n v="228"/>
    <n v="228"/>
    <n v="228"/>
    <m/>
    <m/>
    <m/>
    <m/>
    <m/>
    <m/>
    <m/>
    <n v="0"/>
    <n v="0"/>
    <n v="0"/>
    <n v="0"/>
    <n v="0"/>
    <n v="0"/>
    <n v="0"/>
    <n v="0"/>
    <n v="0"/>
    <n v="0"/>
    <n v="0"/>
    <n v="0"/>
    <n v="0"/>
    <n v="0"/>
    <x v="0"/>
    <n v="0"/>
    <n v="0"/>
    <n v="0"/>
    <s v="MMR001CMP113"/>
    <x v="0"/>
    <x v="1"/>
    <x v="5"/>
    <n v="5.5816686251468862E-3"/>
    <s v="No"/>
    <m/>
  </r>
  <r>
    <n v="58.033333333333331"/>
    <d v="2012-03-27T00:00:00"/>
    <x v="0"/>
    <s v="UNHCR"/>
    <s v="Kachin"/>
    <s v="Waingmaw"/>
    <s v="Post 6 Camp"/>
    <m/>
    <m/>
    <m/>
    <n v="0"/>
    <n v="40"/>
    <n v="0"/>
    <n v="0"/>
    <n v="0"/>
    <m/>
    <m/>
    <m/>
    <m/>
    <m/>
    <m/>
    <m/>
    <m/>
    <m/>
    <n v="0"/>
    <n v="0"/>
    <n v="0"/>
    <n v="0"/>
    <n v="0"/>
    <n v="0"/>
    <n v="0"/>
    <n v="0"/>
    <n v="0"/>
    <n v="0"/>
    <n v="0"/>
    <n v="0"/>
    <n v="0"/>
    <n v="0"/>
    <x v="0"/>
    <n v="0"/>
    <n v="0"/>
    <n v="0"/>
    <s v="MMR001CMP160"/>
    <x v="0"/>
    <x v="1"/>
    <x v="5"/>
    <n v="0"/>
    <s v="No"/>
    <m/>
  </r>
  <r>
    <n v="58.033333333333331"/>
    <d v="2012-03-27T00:00:00"/>
    <x v="0"/>
    <s v="UNHCR"/>
    <s v="Kachin"/>
    <s v="Bhamo"/>
    <s v="Robert Church"/>
    <m/>
    <m/>
    <m/>
    <n v="1000"/>
    <n v="500"/>
    <n v="1000"/>
    <n v="500"/>
    <n v="500"/>
    <n v="500"/>
    <n v="500"/>
    <m/>
    <m/>
    <m/>
    <m/>
    <m/>
    <m/>
    <m/>
    <n v="0"/>
    <n v="0"/>
    <n v="0"/>
    <n v="0"/>
    <n v="0"/>
    <n v="0"/>
    <n v="0"/>
    <n v="0"/>
    <n v="0"/>
    <n v="0"/>
    <n v="0"/>
    <n v="0"/>
    <n v="0"/>
    <n v="0"/>
    <x v="0"/>
    <n v="0"/>
    <n v="0"/>
    <n v="0"/>
    <s v="MMR001CMP047"/>
    <x v="0"/>
    <x v="1"/>
    <x v="1"/>
    <n v="1.2277470841006752E-2"/>
    <s v="No"/>
    <m/>
  </r>
  <r>
    <n v="58.033333333333331"/>
    <d v="2012-03-27T00:00:00"/>
    <x v="0"/>
    <s v="UNHCR"/>
    <s v="Kachin"/>
    <s v="Momauk"/>
    <s v="Mai Ja Yang Gat Pa "/>
    <m/>
    <m/>
    <m/>
    <n v="52"/>
    <n v="52"/>
    <n v="0"/>
    <n v="0"/>
    <n v="0"/>
    <m/>
    <m/>
    <m/>
    <m/>
    <m/>
    <m/>
    <m/>
    <m/>
    <m/>
    <n v="0"/>
    <n v="0"/>
    <n v="0"/>
    <n v="0"/>
    <n v="0"/>
    <n v="0"/>
    <n v="0"/>
    <n v="0"/>
    <n v="0"/>
    <n v="0"/>
    <n v="0"/>
    <n v="0"/>
    <n v="0"/>
    <n v="0"/>
    <x v="0"/>
    <n v="0"/>
    <n v="0"/>
    <n v="0"/>
    <s v=""/>
    <x v="2"/>
    <x v="2"/>
    <x v="0"/>
    <s v=""/>
    <s v="No"/>
    <m/>
  </r>
  <r>
    <n v="58.06666666666667"/>
    <d v="2012-03-26T00:00:00"/>
    <x v="0"/>
    <s v="UNHCR"/>
    <s v="Kachin"/>
    <s v="Waingmaw"/>
    <s v="Border Post 8"/>
    <m/>
    <m/>
    <m/>
    <n v="460"/>
    <n v="250"/>
    <n v="460"/>
    <n v="230"/>
    <n v="0"/>
    <m/>
    <m/>
    <m/>
    <m/>
    <m/>
    <m/>
    <m/>
    <m/>
    <m/>
    <n v="0"/>
    <n v="0"/>
    <n v="0"/>
    <n v="0"/>
    <n v="0"/>
    <n v="0"/>
    <n v="0"/>
    <n v="0"/>
    <n v="0"/>
    <n v="0"/>
    <n v="0"/>
    <n v="0"/>
    <n v="0"/>
    <n v="0"/>
    <x v="0"/>
    <n v="0"/>
    <n v="0"/>
    <n v="0"/>
    <s v="MMR001CMP113"/>
    <x v="0"/>
    <x v="1"/>
    <x v="5"/>
    <n v="5.6306306306306304E-3"/>
    <s v="No"/>
    <m/>
  </r>
  <r>
    <n v="58.06666666666667"/>
    <d v="2012-03-26T00:00:00"/>
    <x v="0"/>
    <s v="UNHCR"/>
    <s v="Kachin"/>
    <s v="Momauk"/>
    <s v="Momauk Catholic Church (St. Patrick)"/>
    <m/>
    <m/>
    <m/>
    <n v="49"/>
    <n v="49"/>
    <n v="0"/>
    <n v="0"/>
    <n v="49"/>
    <n v="49"/>
    <n v="49"/>
    <m/>
    <m/>
    <m/>
    <m/>
    <m/>
    <m/>
    <m/>
    <n v="0"/>
    <n v="0"/>
    <n v="0"/>
    <n v="0"/>
    <n v="0"/>
    <n v="0"/>
    <n v="0"/>
    <n v="0"/>
    <n v="0"/>
    <n v="0"/>
    <n v="0"/>
    <n v="0"/>
    <n v="0"/>
    <n v="0"/>
    <x v="0"/>
    <n v="0"/>
    <n v="0"/>
    <n v="0"/>
    <s v="MMR001CMP057"/>
    <x v="0"/>
    <x v="0"/>
    <x v="1"/>
    <n v="0"/>
    <s v="No"/>
    <m/>
  </r>
  <r>
    <n v="58.333333333333336"/>
    <d v="2012-03-18T00:00:00"/>
    <x v="1"/>
    <s v="Solidarities"/>
    <s v="Kachin"/>
    <s v="Momauk"/>
    <s v="Khun Sint Village"/>
    <n v="850"/>
    <m/>
    <m/>
    <m/>
    <m/>
    <m/>
    <m/>
    <m/>
    <m/>
    <m/>
    <m/>
    <m/>
    <m/>
    <m/>
    <m/>
    <m/>
    <m/>
    <n v="0"/>
    <n v="0"/>
    <n v="0"/>
    <n v="0"/>
    <n v="0"/>
    <n v="0"/>
    <n v="0"/>
    <n v="0"/>
    <n v="0"/>
    <n v="0"/>
    <n v="0"/>
    <n v="0"/>
    <n v="0"/>
    <n v="0"/>
    <x v="0"/>
    <n v="0"/>
    <n v="0"/>
    <n v="0"/>
    <s v="MMR001CMP200"/>
    <x v="0"/>
    <x v="1"/>
    <x v="1"/>
    <s v=""/>
    <m/>
    <m/>
  </r>
  <r>
    <n v="58.4"/>
    <d v="2012-03-16T00:00:00"/>
    <x v="1"/>
    <s v="LDO"/>
    <s v="Kachin"/>
    <s v="Shwegu"/>
    <s v="Shwe Gu Baptist Church"/>
    <n v="94"/>
    <m/>
    <m/>
    <m/>
    <m/>
    <m/>
    <m/>
    <m/>
    <m/>
    <m/>
    <m/>
    <m/>
    <m/>
    <m/>
    <m/>
    <m/>
    <m/>
    <n v="0"/>
    <n v="0"/>
    <n v="0"/>
    <n v="0"/>
    <n v="0"/>
    <n v="0"/>
    <n v="0"/>
    <n v="0"/>
    <n v="0"/>
    <n v="0"/>
    <n v="0"/>
    <n v="0"/>
    <n v="0"/>
    <n v="0"/>
    <x v="0"/>
    <n v="0"/>
    <n v="0"/>
    <n v="0"/>
    <s v="MMR001CMP067"/>
    <x v="0"/>
    <x v="1"/>
    <x v="1"/>
    <n v="0"/>
    <m/>
    <m/>
  </r>
  <r>
    <n v="58.4"/>
    <d v="2012-03-16T00:00:00"/>
    <x v="1"/>
    <s v="LDO"/>
    <s v="Kachin"/>
    <s v="Shwegu"/>
    <s v="Shwe Gu Catholic Church"/>
    <n v="49"/>
    <m/>
    <m/>
    <m/>
    <m/>
    <m/>
    <m/>
    <m/>
    <m/>
    <m/>
    <m/>
    <m/>
    <m/>
    <m/>
    <m/>
    <m/>
    <m/>
    <n v="0"/>
    <n v="0"/>
    <n v="0"/>
    <n v="0"/>
    <n v="0"/>
    <n v="0"/>
    <n v="0"/>
    <n v="0"/>
    <n v="0"/>
    <n v="0"/>
    <n v="0"/>
    <n v="0"/>
    <n v="0"/>
    <n v="0"/>
    <x v="0"/>
    <n v="0"/>
    <n v="0"/>
    <n v="0"/>
    <s v="MMR001CMP068"/>
    <x v="0"/>
    <x v="1"/>
    <x v="1"/>
    <n v="0"/>
    <m/>
    <m/>
  </r>
  <r>
    <n v="58.466666666666669"/>
    <d v="2012-03-14T00:00:00"/>
    <x v="1"/>
    <s v="Solidarities"/>
    <s v="Kachin"/>
    <s v="Bhamo"/>
    <s v="Robert Church"/>
    <n v="2188"/>
    <m/>
    <m/>
    <m/>
    <m/>
    <m/>
    <m/>
    <m/>
    <m/>
    <m/>
    <m/>
    <m/>
    <m/>
    <m/>
    <m/>
    <m/>
    <m/>
    <n v="0"/>
    <n v="0"/>
    <n v="0"/>
    <n v="0"/>
    <n v="0"/>
    <n v="0"/>
    <n v="0"/>
    <n v="0"/>
    <n v="0"/>
    <n v="0"/>
    <n v="0"/>
    <n v="0"/>
    <n v="0"/>
    <n v="0"/>
    <x v="0"/>
    <n v="0"/>
    <n v="0"/>
    <n v="0"/>
    <s v="MMR001CMP047"/>
    <x v="0"/>
    <x v="1"/>
    <x v="1"/>
    <n v="0"/>
    <m/>
    <m/>
  </r>
  <r>
    <n v="58.6"/>
    <d v="2012-03-10T00:00:00"/>
    <x v="1"/>
    <m/>
    <s v="Kachin"/>
    <s v="Momauk"/>
    <s v="Tarli "/>
    <n v="36"/>
    <m/>
    <m/>
    <m/>
    <m/>
    <m/>
    <m/>
    <m/>
    <m/>
    <m/>
    <m/>
    <m/>
    <m/>
    <m/>
    <m/>
    <m/>
    <m/>
    <n v="0"/>
    <n v="0"/>
    <n v="0"/>
    <n v="0"/>
    <n v="0"/>
    <n v="0"/>
    <n v="0"/>
    <n v="0"/>
    <n v="0"/>
    <n v="0"/>
    <n v="0"/>
    <n v="0"/>
    <n v="0"/>
    <n v="0"/>
    <x v="0"/>
    <n v="0"/>
    <n v="0"/>
    <n v="0"/>
    <s v="MMR001CMP060"/>
    <x v="0"/>
    <x v="1"/>
    <x v="1"/>
    <s v=""/>
    <m/>
    <m/>
  </r>
  <r>
    <n v="58.7"/>
    <d v="2012-03-07T00:00:00"/>
    <x v="0"/>
    <s v="UNHCR"/>
    <s v="Kachin"/>
    <s v="Waingmaw"/>
    <s v="Qtr. 2 Lhaovo Baptist Church"/>
    <m/>
    <m/>
    <m/>
    <n v="12"/>
    <n v="8"/>
    <n v="12"/>
    <n v="8"/>
    <n v="8"/>
    <n v="8"/>
    <n v="8"/>
    <m/>
    <m/>
    <m/>
    <m/>
    <m/>
    <m/>
    <m/>
    <n v="0"/>
    <n v="0"/>
    <n v="0"/>
    <n v="0"/>
    <n v="0"/>
    <n v="0"/>
    <n v="0"/>
    <n v="0"/>
    <n v="0"/>
    <n v="0"/>
    <n v="0"/>
    <n v="0"/>
    <n v="0"/>
    <n v="0"/>
    <x v="0"/>
    <n v="0"/>
    <n v="0"/>
    <n v="0"/>
    <s v="MMR001CMP032"/>
    <x v="0"/>
    <x v="1"/>
    <x v="1"/>
    <n v="1.9643953345610803E-4"/>
    <s v="No"/>
    <m/>
  </r>
  <r>
    <n v="58.7"/>
    <d v="2012-03-07T00:00:00"/>
    <x v="0"/>
    <s v="UNHCR"/>
    <s v="Kachin"/>
    <s v="Waingmaw"/>
    <s v="Thargaya Lisu Baptist Church"/>
    <m/>
    <m/>
    <m/>
    <n v="38"/>
    <n v="18"/>
    <n v="38"/>
    <n v="17"/>
    <n v="18"/>
    <n v="18"/>
    <n v="18"/>
    <m/>
    <m/>
    <m/>
    <m/>
    <m/>
    <m/>
    <m/>
    <n v="0"/>
    <n v="0"/>
    <n v="0"/>
    <n v="0"/>
    <n v="0"/>
    <n v="0"/>
    <n v="0"/>
    <n v="0"/>
    <n v="0"/>
    <n v="0"/>
    <n v="0"/>
    <n v="0"/>
    <n v="0"/>
    <n v="0"/>
    <x v="0"/>
    <n v="0"/>
    <n v="0"/>
    <n v="0"/>
    <s v="MMR001CMP037"/>
    <x v="0"/>
    <x v="1"/>
    <x v="1"/>
    <n v="4.1617704661182925E-4"/>
    <s v="No"/>
    <m/>
  </r>
  <r>
    <n v="59"/>
    <d v="2012-02-27T00:00:00"/>
    <x v="0"/>
    <s v="SC&amp;L Group"/>
    <s v="Kachin"/>
    <s v="Myitkyina"/>
    <s v="Wun Tho Buddhist Monastery"/>
    <m/>
    <m/>
    <m/>
    <n v="34"/>
    <n v="0"/>
    <n v="34"/>
    <n v="0"/>
    <n v="34"/>
    <n v="34"/>
    <n v="34"/>
    <m/>
    <m/>
    <m/>
    <m/>
    <m/>
    <m/>
    <m/>
    <n v="0"/>
    <n v="0"/>
    <n v="0"/>
    <n v="0"/>
    <n v="0"/>
    <n v="0"/>
    <n v="0"/>
    <n v="0"/>
    <n v="0"/>
    <n v="0"/>
    <n v="0"/>
    <n v="0"/>
    <n v="0"/>
    <n v="0"/>
    <x v="0"/>
    <n v="0"/>
    <n v="0"/>
    <n v="0"/>
    <s v="MMR001CMP022"/>
    <x v="0"/>
    <x v="1"/>
    <x v="1"/>
    <n v="0"/>
    <s v="No"/>
    <m/>
  </r>
  <r>
    <n v="59.033333333333331"/>
    <d v="2012-02-26T00:00:00"/>
    <x v="0"/>
    <s v="UNHCR"/>
    <s v="Kachin"/>
    <s v="Myitkyina"/>
    <s v="Pamati Kayan"/>
    <m/>
    <m/>
    <m/>
    <n v="25"/>
    <n v="18"/>
    <n v="25"/>
    <n v="18"/>
    <n v="18"/>
    <n v="18"/>
    <n v="18"/>
    <m/>
    <m/>
    <m/>
    <m/>
    <m/>
    <m/>
    <m/>
    <n v="0"/>
    <n v="0"/>
    <n v="0"/>
    <n v="0"/>
    <n v="0"/>
    <n v="0"/>
    <n v="0"/>
    <n v="0"/>
    <n v="0"/>
    <n v="0"/>
    <n v="0"/>
    <n v="0"/>
    <n v="0"/>
    <n v="0"/>
    <x v="0"/>
    <n v="0"/>
    <n v="0"/>
    <n v="0"/>
    <s v=""/>
    <x v="2"/>
    <x v="2"/>
    <x v="0"/>
    <s v=""/>
    <s v="No"/>
    <s v="Lone Zut"/>
  </r>
  <r>
    <n v="59.033333333333331"/>
    <d v="2012-02-26T00:00:00"/>
    <x v="0"/>
    <s v="SC&amp;L Group"/>
    <s v="Kachin"/>
    <s v="Myitkyina"/>
    <s v="Pan Ma Tee"/>
    <m/>
    <m/>
    <m/>
    <n v="25"/>
    <n v="0"/>
    <n v="25"/>
    <n v="0"/>
    <n v="10"/>
    <n v="10"/>
    <n v="10"/>
    <m/>
    <m/>
    <m/>
    <m/>
    <m/>
    <m/>
    <m/>
    <n v="0"/>
    <n v="0"/>
    <n v="0"/>
    <n v="0"/>
    <n v="0"/>
    <n v="0"/>
    <n v="0"/>
    <n v="0"/>
    <n v="0"/>
    <n v="0"/>
    <n v="0"/>
    <n v="0"/>
    <n v="0"/>
    <n v="0"/>
    <x v="0"/>
    <n v="0"/>
    <n v="0"/>
    <n v="0"/>
    <s v=""/>
    <x v="2"/>
    <x v="2"/>
    <x v="0"/>
    <s v=""/>
    <s v="No"/>
    <m/>
  </r>
  <r>
    <n v="59.133333333333333"/>
    <d v="2012-02-23T00:00:00"/>
    <x v="1"/>
    <s v="Solidarities"/>
    <s v="Kachin"/>
    <s v="Momauk"/>
    <s v="Loi Je Baptist Church"/>
    <n v="172"/>
    <m/>
    <m/>
    <m/>
    <m/>
    <m/>
    <m/>
    <m/>
    <m/>
    <m/>
    <m/>
    <m/>
    <m/>
    <m/>
    <m/>
    <m/>
    <m/>
    <n v="0"/>
    <n v="0"/>
    <n v="0"/>
    <n v="0"/>
    <n v="0"/>
    <n v="0"/>
    <n v="0"/>
    <n v="0"/>
    <n v="0"/>
    <n v="0"/>
    <n v="0"/>
    <n v="0"/>
    <n v="0"/>
    <n v="0"/>
    <x v="0"/>
    <n v="0"/>
    <n v="0"/>
    <n v="0"/>
    <s v="MMR001CMP071"/>
    <x v="0"/>
    <x v="1"/>
    <x v="2"/>
    <n v="0"/>
    <m/>
    <m/>
  </r>
  <r>
    <n v="59.133333333333333"/>
    <d v="2012-02-23T00:00:00"/>
    <x v="1"/>
    <s v="Solidarities"/>
    <s v="Kachin"/>
    <s v="Momauk"/>
    <s v="Loi Je Catholic Church"/>
    <n v="227"/>
    <m/>
    <m/>
    <m/>
    <m/>
    <m/>
    <m/>
    <m/>
    <m/>
    <m/>
    <m/>
    <m/>
    <m/>
    <m/>
    <m/>
    <m/>
    <m/>
    <n v="0"/>
    <n v="0"/>
    <n v="0"/>
    <n v="0"/>
    <n v="0"/>
    <n v="0"/>
    <n v="0"/>
    <n v="0"/>
    <n v="0"/>
    <n v="0"/>
    <n v="0"/>
    <n v="0"/>
    <n v="0"/>
    <n v="0"/>
    <x v="0"/>
    <n v="0"/>
    <n v="0"/>
    <n v="0"/>
    <s v="MMR001CMP069"/>
    <x v="0"/>
    <x v="1"/>
    <x v="2"/>
    <n v="0"/>
    <m/>
    <m/>
  </r>
  <r>
    <n v="59.166666666666664"/>
    <d v="2012-02-22T00:00:00"/>
    <x v="1"/>
    <s v="Solidarities"/>
    <s v="Kachin"/>
    <s v="Bhamo"/>
    <s v="Chan Myae monastery"/>
    <n v="23"/>
    <m/>
    <m/>
    <m/>
    <m/>
    <m/>
    <m/>
    <m/>
    <m/>
    <m/>
    <m/>
    <m/>
    <m/>
    <m/>
    <m/>
    <m/>
    <m/>
    <n v="0"/>
    <n v="0"/>
    <n v="0"/>
    <n v="0"/>
    <n v="0"/>
    <n v="0"/>
    <n v="0"/>
    <n v="0"/>
    <n v="0"/>
    <n v="0"/>
    <n v="0"/>
    <n v="0"/>
    <n v="0"/>
    <n v="0"/>
    <x v="0"/>
    <n v="0"/>
    <n v="0"/>
    <n v="0"/>
    <s v=""/>
    <x v="2"/>
    <x v="2"/>
    <x v="0"/>
    <s v=""/>
    <m/>
    <m/>
  </r>
  <r>
    <n v="59.166666666666664"/>
    <d v="2012-02-22T00:00:00"/>
    <x v="0"/>
    <s v="Shalom"/>
    <s v="Kachin"/>
    <s v="Momauk"/>
    <s v="Ni Thaw Ka Monestry"/>
    <n v="149"/>
    <m/>
    <m/>
    <m/>
    <m/>
    <m/>
    <m/>
    <m/>
    <m/>
    <m/>
    <m/>
    <m/>
    <m/>
    <m/>
    <m/>
    <m/>
    <m/>
    <n v="0"/>
    <n v="0"/>
    <n v="0"/>
    <n v="0"/>
    <n v="0"/>
    <n v="0"/>
    <n v="0"/>
    <n v="0"/>
    <n v="0"/>
    <n v="0"/>
    <n v="0"/>
    <n v="0"/>
    <n v="0"/>
    <n v="0"/>
    <x v="0"/>
    <n v="0"/>
    <n v="0"/>
    <n v="0"/>
    <s v="MMR001CMP059"/>
    <x v="0"/>
    <x v="0"/>
    <x v="1"/>
    <n v="0"/>
    <m/>
    <m/>
  </r>
  <r>
    <n v="59.166666666666664"/>
    <d v="2012-02-22T00:00:00"/>
    <x v="1"/>
    <s v="Solidarities"/>
    <s v="Kachin"/>
    <s v="Momauk"/>
    <s v="Ni Thaw Ka Monestry"/>
    <n v="149"/>
    <m/>
    <m/>
    <m/>
    <m/>
    <m/>
    <m/>
    <m/>
    <m/>
    <m/>
    <m/>
    <m/>
    <m/>
    <m/>
    <m/>
    <m/>
    <m/>
    <n v="0"/>
    <n v="0"/>
    <n v="0"/>
    <n v="0"/>
    <n v="0"/>
    <n v="0"/>
    <n v="0"/>
    <n v="0"/>
    <n v="0"/>
    <n v="0"/>
    <n v="0"/>
    <n v="0"/>
    <n v="0"/>
    <n v="0"/>
    <x v="0"/>
    <n v="0"/>
    <n v="0"/>
    <n v="0"/>
    <s v="MMR001CMP059"/>
    <x v="0"/>
    <x v="0"/>
    <x v="1"/>
    <n v="0"/>
    <m/>
    <m/>
  </r>
  <r>
    <n v="59.333333333333336"/>
    <d v="2012-02-17T00:00:00"/>
    <x v="1"/>
    <s v="Solidarities"/>
    <s v="Kachin"/>
    <s v="Bhamo"/>
    <s v="Htoi San Church"/>
    <n v="240"/>
    <m/>
    <m/>
    <m/>
    <m/>
    <m/>
    <m/>
    <m/>
    <m/>
    <m/>
    <m/>
    <m/>
    <m/>
    <m/>
    <m/>
    <m/>
    <m/>
    <n v="0"/>
    <n v="0"/>
    <n v="0"/>
    <n v="0"/>
    <n v="0"/>
    <n v="0"/>
    <n v="0"/>
    <n v="0"/>
    <n v="0"/>
    <n v="0"/>
    <n v="0"/>
    <n v="0"/>
    <n v="0"/>
    <n v="0"/>
    <x v="0"/>
    <n v="0"/>
    <n v="0"/>
    <n v="0"/>
    <s v="MMR001CMP052"/>
    <x v="0"/>
    <x v="1"/>
    <x v="1"/>
    <n v="0"/>
    <m/>
    <m/>
  </r>
  <r>
    <n v="59.4"/>
    <d v="2012-02-15T00:00:00"/>
    <x v="1"/>
    <s v="Solidarities"/>
    <s v="Kachin"/>
    <s v="Shwegu"/>
    <s v="Host Families"/>
    <n v="1070"/>
    <m/>
    <m/>
    <m/>
    <m/>
    <m/>
    <m/>
    <m/>
    <m/>
    <m/>
    <m/>
    <m/>
    <m/>
    <m/>
    <m/>
    <m/>
    <m/>
    <n v="0"/>
    <n v="0"/>
    <n v="0"/>
    <n v="0"/>
    <n v="0"/>
    <n v="0"/>
    <n v="0"/>
    <n v="0"/>
    <n v="0"/>
    <n v="0"/>
    <n v="0"/>
    <n v="0"/>
    <n v="0"/>
    <n v="0"/>
    <x v="0"/>
    <n v="0"/>
    <n v="0"/>
    <n v="0"/>
    <s v="MMR001CMP163"/>
    <x v="0"/>
    <x v="1"/>
    <x v="1"/>
    <s v=""/>
    <m/>
    <m/>
  </r>
  <r>
    <n v="59.4"/>
    <d v="2012-02-15T00:00:00"/>
    <x v="1"/>
    <s v="Solidarities"/>
    <s v="Kachin"/>
    <s v="Momauk"/>
    <s v="Man Bung Catholic compound"/>
    <n v="8"/>
    <m/>
    <m/>
    <m/>
    <m/>
    <m/>
    <m/>
    <m/>
    <m/>
    <m/>
    <m/>
    <m/>
    <m/>
    <m/>
    <m/>
    <m/>
    <m/>
    <n v="0"/>
    <n v="0"/>
    <n v="0"/>
    <n v="0"/>
    <n v="0"/>
    <n v="0"/>
    <n v="0"/>
    <n v="0"/>
    <n v="0"/>
    <n v="0"/>
    <n v="0"/>
    <n v="0"/>
    <n v="0"/>
    <n v="0"/>
    <x v="0"/>
    <n v="0"/>
    <n v="0"/>
    <n v="0"/>
    <s v="MMR001CMP062"/>
    <x v="0"/>
    <x v="1"/>
    <x v="1"/>
    <n v="0"/>
    <m/>
    <m/>
  </r>
  <r>
    <n v="59.43333333333333"/>
    <d v="2012-02-14T00:00:00"/>
    <x v="1"/>
    <s v="Solidarities"/>
    <s v="Kachin"/>
    <s v="Shwegu"/>
    <s v="Host Families"/>
    <n v="429"/>
    <m/>
    <m/>
    <m/>
    <m/>
    <m/>
    <m/>
    <m/>
    <m/>
    <m/>
    <m/>
    <m/>
    <m/>
    <m/>
    <m/>
    <m/>
    <m/>
    <n v="0"/>
    <n v="0"/>
    <n v="0"/>
    <n v="0"/>
    <n v="0"/>
    <n v="0"/>
    <n v="0"/>
    <n v="0"/>
    <n v="0"/>
    <n v="0"/>
    <n v="0"/>
    <n v="0"/>
    <n v="0"/>
    <n v="0"/>
    <x v="0"/>
    <n v="0"/>
    <n v="0"/>
    <n v="0"/>
    <s v="MMR001CMP163"/>
    <x v="0"/>
    <x v="1"/>
    <x v="1"/>
    <s v=""/>
    <m/>
    <m/>
  </r>
  <r>
    <n v="59.56666666666667"/>
    <d v="2012-02-10T00:00:00"/>
    <x v="1"/>
    <s v="Solidarities"/>
    <s v="Kachin"/>
    <s v="Momauk"/>
    <s v="Momauk Catholic Church (St. Patrick)"/>
    <n v="192"/>
    <m/>
    <m/>
    <m/>
    <m/>
    <m/>
    <m/>
    <m/>
    <m/>
    <m/>
    <m/>
    <m/>
    <m/>
    <m/>
    <m/>
    <m/>
    <m/>
    <n v="0"/>
    <n v="0"/>
    <n v="0"/>
    <n v="0"/>
    <n v="0"/>
    <n v="0"/>
    <n v="0"/>
    <n v="0"/>
    <n v="0"/>
    <n v="0"/>
    <n v="0"/>
    <n v="0"/>
    <n v="0"/>
    <n v="0"/>
    <x v="0"/>
    <n v="0"/>
    <n v="0"/>
    <n v="0"/>
    <s v="MMR001CMP057"/>
    <x v="0"/>
    <x v="0"/>
    <x v="1"/>
    <n v="0"/>
    <m/>
    <m/>
  </r>
  <r>
    <n v="59.6"/>
    <d v="2012-02-09T00:00:00"/>
    <x v="1"/>
    <s v="Solidarities"/>
    <s v="Kachin"/>
    <s v="Momauk"/>
    <s v="Momauk Baptist Church"/>
    <n v="138"/>
    <m/>
    <m/>
    <m/>
    <m/>
    <m/>
    <m/>
    <m/>
    <m/>
    <m/>
    <m/>
    <m/>
    <m/>
    <m/>
    <m/>
    <m/>
    <m/>
    <n v="0"/>
    <n v="0"/>
    <n v="0"/>
    <n v="0"/>
    <n v="0"/>
    <n v="0"/>
    <n v="0"/>
    <n v="0"/>
    <n v="0"/>
    <n v="0"/>
    <n v="0"/>
    <n v="0"/>
    <n v="0"/>
    <n v="0"/>
    <x v="0"/>
    <n v="0"/>
    <n v="0"/>
    <n v="0"/>
    <s v="MMR001CMP056"/>
    <x v="0"/>
    <x v="1"/>
    <x v="1"/>
    <n v="0"/>
    <m/>
    <m/>
  </r>
  <r>
    <n v="59.666666666666664"/>
    <d v="2012-02-07T00:00:00"/>
    <x v="0"/>
    <s v="SC&amp;L Group"/>
    <s v="Kachin"/>
    <s v="Myitkyina"/>
    <s v="Maw Hpawng Hka Nan Baptist Church"/>
    <m/>
    <m/>
    <m/>
    <n v="38"/>
    <n v="18"/>
    <n v="38"/>
    <n v="18"/>
    <n v="18"/>
    <n v="18"/>
    <n v="18"/>
    <m/>
    <m/>
    <m/>
    <m/>
    <m/>
    <m/>
    <m/>
    <n v="0"/>
    <n v="0"/>
    <n v="0"/>
    <n v="0"/>
    <n v="0"/>
    <n v="0"/>
    <n v="0"/>
    <n v="0"/>
    <n v="0"/>
    <n v="0"/>
    <n v="0"/>
    <n v="0"/>
    <n v="0"/>
    <n v="0"/>
    <x v="0"/>
    <n v="0"/>
    <n v="0"/>
    <n v="0"/>
    <s v="MMR001CMP020"/>
    <x v="0"/>
    <x v="1"/>
    <x v="1"/>
    <n v="4.4099272362006027E-4"/>
    <s v="No"/>
    <m/>
  </r>
  <r>
    <n v="59.666666666666664"/>
    <d v="2012-02-07T00:00:00"/>
    <x v="1"/>
    <s v="Solidarities"/>
    <s v="Kachin"/>
    <s v="Bhamo"/>
    <s v="Nant Hlaing Church"/>
    <n v="90"/>
    <m/>
    <m/>
    <m/>
    <m/>
    <m/>
    <m/>
    <m/>
    <m/>
    <m/>
    <m/>
    <m/>
    <m/>
    <m/>
    <m/>
    <m/>
    <m/>
    <n v="0"/>
    <n v="0"/>
    <n v="0"/>
    <n v="0"/>
    <n v="0"/>
    <n v="0"/>
    <n v="0"/>
    <n v="0"/>
    <n v="0"/>
    <n v="0"/>
    <n v="0"/>
    <n v="0"/>
    <n v="0"/>
    <n v="0"/>
    <x v="0"/>
    <n v="0"/>
    <n v="0"/>
    <n v="0"/>
    <s v="MMR001CMP054"/>
    <x v="0"/>
    <x v="1"/>
    <x v="1"/>
    <n v="0"/>
    <m/>
    <m/>
  </r>
  <r>
    <n v="59.7"/>
    <d v="2012-02-06T00:00:00"/>
    <x v="0"/>
    <s v="UNHCR"/>
    <s v="Kachin"/>
    <s v="Waingmaw"/>
    <s v="Qtr. 4 Monestry (Thargaya Thayett Taw)"/>
    <m/>
    <m/>
    <m/>
    <n v="0"/>
    <n v="0"/>
    <n v="0"/>
    <n v="0"/>
    <n v="13"/>
    <n v="13"/>
    <n v="13"/>
    <m/>
    <m/>
    <m/>
    <m/>
    <m/>
    <m/>
    <m/>
    <n v="0"/>
    <n v="0"/>
    <n v="0"/>
    <n v="0"/>
    <n v="0"/>
    <n v="0"/>
    <n v="0"/>
    <n v="0"/>
    <n v="0"/>
    <n v="0"/>
    <n v="0"/>
    <n v="0"/>
    <n v="0"/>
    <n v="0"/>
    <x v="0"/>
    <n v="0"/>
    <n v="0"/>
    <n v="0"/>
    <s v="MMR001CMP026"/>
    <x v="0"/>
    <x v="1"/>
    <x v="1"/>
    <n v="0"/>
    <s v="No"/>
    <m/>
  </r>
  <r>
    <n v="59.833333333333336"/>
    <d v="2012-02-02T00:00:00"/>
    <x v="0"/>
    <s v="UNHCR"/>
    <s v="Kachin"/>
    <s v="Mansi"/>
    <s v="Mansi Baptist Church"/>
    <n v="718"/>
    <m/>
    <m/>
    <m/>
    <m/>
    <m/>
    <m/>
    <m/>
    <m/>
    <m/>
    <m/>
    <m/>
    <m/>
    <m/>
    <m/>
    <m/>
    <m/>
    <n v="0"/>
    <n v="0"/>
    <n v="0"/>
    <n v="0"/>
    <n v="0"/>
    <n v="0"/>
    <n v="0"/>
    <n v="0"/>
    <n v="0"/>
    <n v="0"/>
    <n v="0"/>
    <n v="0"/>
    <n v="0"/>
    <n v="0"/>
    <x v="0"/>
    <n v="0"/>
    <n v="0"/>
    <n v="0"/>
    <s v="MMR001CMP066"/>
    <x v="0"/>
    <x v="1"/>
    <x v="1"/>
    <n v="0"/>
    <m/>
    <m/>
  </r>
  <r>
    <n v="59.833333333333336"/>
    <d v="2012-02-02T00:00:00"/>
    <x v="1"/>
    <s v="Solidarities"/>
    <s v="Kachin"/>
    <s v="Mansi"/>
    <s v="Mansi Baptist Church"/>
    <n v="718"/>
    <m/>
    <m/>
    <m/>
    <m/>
    <m/>
    <m/>
    <m/>
    <m/>
    <m/>
    <m/>
    <m/>
    <m/>
    <m/>
    <m/>
    <m/>
    <m/>
    <n v="0"/>
    <n v="0"/>
    <n v="0"/>
    <n v="0"/>
    <n v="0"/>
    <n v="0"/>
    <n v="0"/>
    <n v="0"/>
    <n v="0"/>
    <n v="0"/>
    <n v="0"/>
    <n v="0"/>
    <n v="0"/>
    <n v="0"/>
    <x v="0"/>
    <n v="0"/>
    <n v="0"/>
    <n v="0"/>
    <s v="MMR001CMP066"/>
    <x v="0"/>
    <x v="1"/>
    <x v="1"/>
    <n v="0"/>
    <m/>
    <m/>
  </r>
  <r>
    <n v="59.9"/>
    <d v="2012-01-31T00:00:00"/>
    <x v="0"/>
    <s v="UNHCR"/>
    <s v="Kachin"/>
    <s v="Waingmaw"/>
    <s v="Qtr. 4 Monestry (Thargaya Thayett Taw)"/>
    <m/>
    <m/>
    <m/>
    <n v="0"/>
    <n v="0"/>
    <n v="0"/>
    <n v="0"/>
    <n v="61"/>
    <n v="61"/>
    <n v="61"/>
    <m/>
    <m/>
    <m/>
    <m/>
    <m/>
    <m/>
    <m/>
    <n v="0"/>
    <n v="0"/>
    <n v="0"/>
    <n v="0"/>
    <n v="0"/>
    <n v="0"/>
    <n v="0"/>
    <n v="0"/>
    <n v="0"/>
    <n v="0"/>
    <n v="0"/>
    <n v="0"/>
    <n v="0"/>
    <n v="0"/>
    <x v="0"/>
    <n v="0"/>
    <n v="0"/>
    <n v="0"/>
    <s v="MMR001CMP026"/>
    <x v="0"/>
    <x v="1"/>
    <x v="1"/>
    <n v="0"/>
    <s v="No"/>
    <m/>
  </r>
  <r>
    <n v="60.1"/>
    <d v="2012-01-25T00:00:00"/>
    <x v="1"/>
    <m/>
    <s v="Kachin"/>
    <s v="Bhamo"/>
    <s v="Lisu Boarding-House"/>
    <n v="94"/>
    <m/>
    <m/>
    <m/>
    <m/>
    <m/>
    <m/>
    <m/>
    <m/>
    <m/>
    <m/>
    <m/>
    <m/>
    <m/>
    <m/>
    <m/>
    <m/>
    <n v="0"/>
    <n v="0"/>
    <n v="0"/>
    <n v="0"/>
    <n v="0"/>
    <n v="0"/>
    <n v="0"/>
    <n v="0"/>
    <n v="0"/>
    <n v="0"/>
    <n v="0"/>
    <n v="0"/>
    <n v="0"/>
    <n v="0"/>
    <x v="0"/>
    <n v="0"/>
    <n v="0"/>
    <n v="0"/>
    <s v="MMR001CMP049"/>
    <x v="0"/>
    <x v="1"/>
    <x v="1"/>
    <n v="0"/>
    <m/>
    <m/>
  </r>
  <r>
    <n v="60.3"/>
    <d v="2012-01-19T00:00:00"/>
    <x v="0"/>
    <s v="KBC"/>
    <s v="Kachin"/>
    <s v="Myitkyina"/>
    <s v="Jan Mai Kawng Baptist Church"/>
    <m/>
    <m/>
    <m/>
    <n v="0"/>
    <n v="0"/>
    <n v="0"/>
    <n v="0"/>
    <n v="118"/>
    <n v="118"/>
    <n v="118"/>
    <m/>
    <m/>
    <m/>
    <m/>
    <m/>
    <m/>
    <m/>
    <n v="0"/>
    <n v="0"/>
    <n v="0"/>
    <n v="0"/>
    <n v="0"/>
    <n v="0"/>
    <n v="0"/>
    <n v="0"/>
    <n v="0"/>
    <n v="0"/>
    <n v="0"/>
    <n v="0"/>
    <n v="0"/>
    <n v="0"/>
    <x v="0"/>
    <n v="0"/>
    <n v="0"/>
    <n v="0"/>
    <s v="MMR001CMP018"/>
    <x v="0"/>
    <x v="1"/>
    <x v="1"/>
    <n v="0"/>
    <s v="No"/>
    <m/>
  </r>
  <r>
    <n v="60.5"/>
    <d v="2012-01-13T00:00:00"/>
    <x v="0"/>
    <s v="KBC"/>
    <s v="Kachin"/>
    <s v="Hpakant"/>
    <s v="5 Ward Baptist Church(lon Khin)"/>
    <m/>
    <m/>
    <m/>
    <n v="52"/>
    <n v="26"/>
    <n v="36"/>
    <n v="0"/>
    <n v="26"/>
    <n v="26"/>
    <n v="26"/>
    <m/>
    <m/>
    <m/>
    <m/>
    <m/>
    <m/>
    <m/>
    <n v="0"/>
    <n v="0"/>
    <n v="0"/>
    <n v="0"/>
    <n v="0"/>
    <n v="0"/>
    <n v="0"/>
    <n v="0"/>
    <n v="0"/>
    <n v="0"/>
    <n v="0"/>
    <n v="0"/>
    <n v="0"/>
    <n v="0"/>
    <x v="0"/>
    <n v="0"/>
    <n v="0"/>
    <n v="0"/>
    <s v="MMR001CMP179"/>
    <x v="0"/>
    <x v="1"/>
    <x v="1"/>
    <n v="0"/>
    <s v="No"/>
    <m/>
  </r>
  <r>
    <n v="60.5"/>
    <d v="2012-01-13T00:00:00"/>
    <x v="0"/>
    <s v="KBC"/>
    <s v="Kachin"/>
    <s v="Hpakant"/>
    <s v="5 Ward Baptist Church(lon Khin)"/>
    <m/>
    <m/>
    <m/>
    <n v="120"/>
    <n v="60"/>
    <n v="60"/>
    <n v="0"/>
    <n v="60"/>
    <n v="60"/>
    <n v="60"/>
    <m/>
    <m/>
    <m/>
    <m/>
    <m/>
    <m/>
    <m/>
    <n v="0"/>
    <n v="0"/>
    <n v="0"/>
    <n v="0"/>
    <n v="0"/>
    <n v="0"/>
    <n v="0"/>
    <n v="0"/>
    <n v="0"/>
    <n v="0"/>
    <n v="0"/>
    <n v="0"/>
    <n v="0"/>
    <n v="0"/>
    <x v="0"/>
    <n v="0"/>
    <n v="0"/>
    <n v="0"/>
    <s v="MMR001CMP179"/>
    <x v="0"/>
    <x v="1"/>
    <x v="1"/>
    <n v="0"/>
    <s v="No"/>
    <m/>
  </r>
  <r>
    <n v="60.5"/>
    <d v="2012-01-13T00:00:00"/>
    <x v="0"/>
    <s v="KBC"/>
    <s v="Kachin"/>
    <s v="Hpakant"/>
    <s v="5 Ward Baptist Church(lon Khin)"/>
    <m/>
    <m/>
    <m/>
    <n v="148"/>
    <n v="74"/>
    <n v="74"/>
    <n v="0"/>
    <n v="74"/>
    <n v="74"/>
    <n v="74"/>
    <m/>
    <m/>
    <m/>
    <m/>
    <m/>
    <m/>
    <m/>
    <n v="0"/>
    <n v="0"/>
    <n v="0"/>
    <n v="0"/>
    <n v="0"/>
    <n v="0"/>
    <n v="0"/>
    <n v="0"/>
    <n v="0"/>
    <n v="0"/>
    <n v="0"/>
    <n v="0"/>
    <n v="0"/>
    <n v="0"/>
    <x v="0"/>
    <n v="0"/>
    <n v="0"/>
    <n v="0"/>
    <s v="MMR001CMP179"/>
    <x v="0"/>
    <x v="1"/>
    <x v="1"/>
    <n v="0"/>
    <s v="No"/>
    <m/>
  </r>
  <r>
    <n v="60.5"/>
    <d v="2012-01-13T00:00:00"/>
    <x v="0"/>
    <s v="KBC"/>
    <s v="Kachin"/>
    <s v="Hpakant"/>
    <s v="Baptist Church, Hmaw Si Sar(Lon Khin)"/>
    <m/>
    <m/>
    <m/>
    <n v="70"/>
    <n v="35"/>
    <n v="35"/>
    <n v="0"/>
    <n v="35"/>
    <n v="35"/>
    <n v="35"/>
    <m/>
    <m/>
    <m/>
    <m/>
    <m/>
    <m/>
    <m/>
    <n v="0"/>
    <n v="0"/>
    <n v="0"/>
    <n v="0"/>
    <n v="0"/>
    <n v="0"/>
    <n v="0"/>
    <n v="0"/>
    <n v="0"/>
    <n v="0"/>
    <n v="0"/>
    <n v="0"/>
    <n v="0"/>
    <n v="0"/>
    <x v="0"/>
    <n v="0"/>
    <n v="0"/>
    <n v="0"/>
    <s v="MMR001CMP169"/>
    <x v="0"/>
    <x v="1"/>
    <x v="1"/>
    <n v="0"/>
    <s v="No"/>
    <m/>
  </r>
  <r>
    <n v="60.5"/>
    <d v="2012-01-13T00:00:00"/>
    <x v="0"/>
    <s v="KBC"/>
    <s v="Kachin"/>
    <s v="Hpakant"/>
    <s v="Hlaing Naung Baptist"/>
    <m/>
    <m/>
    <m/>
    <n v="10"/>
    <n v="5"/>
    <n v="5"/>
    <n v="0"/>
    <n v="5"/>
    <n v="5"/>
    <n v="5"/>
    <m/>
    <m/>
    <m/>
    <m/>
    <m/>
    <m/>
    <m/>
    <n v="0"/>
    <n v="0"/>
    <n v="0"/>
    <n v="0"/>
    <n v="0"/>
    <n v="0"/>
    <n v="0"/>
    <n v="0"/>
    <n v="0"/>
    <n v="0"/>
    <n v="0"/>
    <n v="0"/>
    <n v="0"/>
    <n v="0"/>
    <x v="0"/>
    <n v="0"/>
    <n v="0"/>
    <n v="0"/>
    <s v="MMR001CMP148"/>
    <x v="0"/>
    <x v="1"/>
    <x v="1"/>
    <n v="0"/>
    <s v="No"/>
    <m/>
  </r>
  <r>
    <n v="60.5"/>
    <d v="2012-01-13T00:00:00"/>
    <x v="0"/>
    <s v="UNHCR"/>
    <s v="Kachin"/>
    <s v="Waingmaw"/>
    <s v="Maina Lawang Baptist Church"/>
    <m/>
    <m/>
    <m/>
    <n v="35"/>
    <n v="17"/>
    <n v="35"/>
    <n v="17"/>
    <n v="17"/>
    <n v="17"/>
    <n v="17"/>
    <m/>
    <m/>
    <m/>
    <m/>
    <m/>
    <m/>
    <m/>
    <n v="0"/>
    <n v="0"/>
    <n v="0"/>
    <n v="0"/>
    <n v="0"/>
    <n v="0"/>
    <n v="0"/>
    <n v="0"/>
    <n v="0"/>
    <n v="0"/>
    <n v="0"/>
    <n v="0"/>
    <n v="0"/>
    <n v="0"/>
    <x v="0"/>
    <n v="0"/>
    <n v="0"/>
    <n v="0"/>
    <s v="MMR001CMP039"/>
    <x v="0"/>
    <x v="1"/>
    <x v="1"/>
    <n v="4.158716179852243E-4"/>
    <s v="No"/>
    <m/>
  </r>
  <r>
    <n v="60.5"/>
    <d v="2012-01-13T00:00:00"/>
    <x v="0"/>
    <s v="KBC"/>
    <s v="Kachin"/>
    <m/>
    <s v="Kat Hmaw Zut Baptist Church"/>
    <m/>
    <m/>
    <m/>
    <n v="76"/>
    <n v="38"/>
    <n v="38"/>
    <n v="0"/>
    <n v="38"/>
    <n v="38"/>
    <n v="38"/>
    <m/>
    <m/>
    <m/>
    <m/>
    <m/>
    <m/>
    <m/>
    <n v="0"/>
    <n v="0"/>
    <n v="0"/>
    <n v="0"/>
    <n v="0"/>
    <n v="0"/>
    <n v="0"/>
    <n v="0"/>
    <n v="0"/>
    <n v="0"/>
    <n v="0"/>
    <n v="0"/>
    <n v="0"/>
    <n v="0"/>
    <x v="0"/>
    <n v="0"/>
    <n v="0"/>
    <n v="0"/>
    <s v=""/>
    <x v="2"/>
    <x v="2"/>
    <x v="0"/>
    <s v=""/>
    <s v="No"/>
    <m/>
  </r>
  <r>
    <n v="60.5"/>
    <d v="2012-01-13T00:00:00"/>
    <x v="0"/>
    <s v="KBC"/>
    <s v="Kachin"/>
    <m/>
    <s v="Le Pyin - Kar Gyi Winn"/>
    <m/>
    <m/>
    <m/>
    <n v="18"/>
    <n v="9"/>
    <n v="9"/>
    <n v="0"/>
    <n v="9"/>
    <n v="9"/>
    <n v="9"/>
    <m/>
    <m/>
    <m/>
    <m/>
    <m/>
    <m/>
    <m/>
    <n v="0"/>
    <n v="0"/>
    <n v="0"/>
    <n v="0"/>
    <n v="0"/>
    <n v="0"/>
    <n v="0"/>
    <n v="0"/>
    <n v="0"/>
    <n v="0"/>
    <n v="0"/>
    <n v="0"/>
    <n v="0"/>
    <n v="0"/>
    <x v="0"/>
    <n v="0"/>
    <n v="0"/>
    <n v="0"/>
    <s v=""/>
    <x v="2"/>
    <x v="2"/>
    <x v="0"/>
    <s v=""/>
    <s v="No"/>
    <s v="Lone Zut"/>
  </r>
  <r>
    <n v="60.5"/>
    <d v="2012-01-13T00:00:00"/>
    <x v="0"/>
    <s v="KBC"/>
    <s v="Kachin"/>
    <m/>
    <s v="Le Pyin Christian Church"/>
    <m/>
    <m/>
    <m/>
    <n v="10"/>
    <n v="5"/>
    <n v="5"/>
    <n v="0"/>
    <n v="5"/>
    <n v="5"/>
    <n v="5"/>
    <m/>
    <m/>
    <m/>
    <m/>
    <m/>
    <m/>
    <m/>
    <n v="0"/>
    <n v="0"/>
    <n v="0"/>
    <n v="0"/>
    <n v="0"/>
    <n v="0"/>
    <n v="0"/>
    <n v="0"/>
    <n v="0"/>
    <n v="0"/>
    <n v="0"/>
    <n v="0"/>
    <n v="0"/>
    <n v="0"/>
    <x v="0"/>
    <n v="0"/>
    <n v="0"/>
    <n v="0"/>
    <s v=""/>
    <x v="2"/>
    <x v="2"/>
    <x v="0"/>
    <s v=""/>
    <s v="No"/>
    <s v="CBP"/>
  </r>
  <r>
    <n v="60.5"/>
    <d v="2012-01-13T00:00:00"/>
    <x v="0"/>
    <s v="KBC"/>
    <s v="Kachin"/>
    <s v="Hpakant"/>
    <s v="Maw Si Zar, Thiriyardanar Sein, Damma Compound, Lone Khin"/>
    <m/>
    <m/>
    <m/>
    <n v="224"/>
    <n v="112"/>
    <n v="112"/>
    <n v="0"/>
    <n v="112"/>
    <n v="112"/>
    <n v="112"/>
    <m/>
    <m/>
    <m/>
    <m/>
    <m/>
    <m/>
    <m/>
    <n v="0"/>
    <n v="0"/>
    <n v="0"/>
    <n v="0"/>
    <n v="0"/>
    <n v="0"/>
    <n v="0"/>
    <n v="0"/>
    <n v="0"/>
    <n v="0"/>
    <n v="0"/>
    <n v="0"/>
    <n v="0"/>
    <n v="0"/>
    <x v="0"/>
    <n v="0"/>
    <n v="0"/>
    <n v="0"/>
    <s v="MMR001CMP106"/>
    <x v="0"/>
    <x v="0"/>
    <x v="0"/>
    <s v=""/>
    <s v="No"/>
    <m/>
  </r>
  <r>
    <n v="60.5"/>
    <d v="2012-01-13T00:00:00"/>
    <x v="0"/>
    <s v="KBC"/>
    <s v="Kachin"/>
    <s v="Hpakant"/>
    <s v="Maw Wan, Kachin Baptist Church"/>
    <m/>
    <m/>
    <m/>
    <n v="34"/>
    <n v="17"/>
    <n v="17"/>
    <n v="0"/>
    <n v="17"/>
    <n v="17"/>
    <n v="17"/>
    <m/>
    <m/>
    <m/>
    <m/>
    <m/>
    <m/>
    <m/>
    <n v="0"/>
    <n v="0"/>
    <n v="0"/>
    <n v="0"/>
    <n v="0"/>
    <n v="0"/>
    <n v="0"/>
    <n v="0"/>
    <n v="0"/>
    <n v="0"/>
    <n v="0"/>
    <n v="0"/>
    <n v="0"/>
    <n v="0"/>
    <x v="0"/>
    <n v="0"/>
    <n v="0"/>
    <n v="0"/>
    <s v="MMR001CMP085"/>
    <x v="0"/>
    <x v="0"/>
    <x v="0"/>
    <s v=""/>
    <s v="No"/>
    <m/>
  </r>
  <r>
    <n v="60.5"/>
    <d v="2012-01-13T00:00:00"/>
    <x v="0"/>
    <s v="KBC"/>
    <s v="Kachin"/>
    <m/>
    <s v="Nant Yar Baptist Church"/>
    <m/>
    <m/>
    <m/>
    <n v="126"/>
    <n v="63"/>
    <n v="63"/>
    <n v="0"/>
    <n v="63"/>
    <n v="63"/>
    <n v="63"/>
    <m/>
    <m/>
    <m/>
    <m/>
    <m/>
    <m/>
    <m/>
    <n v="0"/>
    <n v="0"/>
    <n v="0"/>
    <n v="0"/>
    <n v="0"/>
    <n v="0"/>
    <n v="0"/>
    <n v="0"/>
    <n v="0"/>
    <n v="0"/>
    <n v="0"/>
    <n v="0"/>
    <n v="0"/>
    <n v="0"/>
    <x v="0"/>
    <n v="0"/>
    <n v="0"/>
    <n v="0"/>
    <s v=""/>
    <x v="2"/>
    <x v="2"/>
    <x v="0"/>
    <s v=""/>
    <s v="No"/>
    <s v="Emergency Aung Bar Li"/>
  </r>
  <r>
    <n v="60.5"/>
    <d v="2012-01-13T00:00:00"/>
    <x v="0"/>
    <s v="KBC"/>
    <s v="Kachin"/>
    <s v="Hpakant"/>
    <s v="Nga Pyaw Taw Baptist Nursery School "/>
    <m/>
    <m/>
    <m/>
    <n v="112"/>
    <n v="56"/>
    <n v="56"/>
    <n v="0"/>
    <n v="56"/>
    <n v="56"/>
    <n v="56"/>
    <m/>
    <m/>
    <m/>
    <m/>
    <m/>
    <m/>
    <m/>
    <n v="0"/>
    <n v="0"/>
    <n v="0"/>
    <n v="0"/>
    <n v="0"/>
    <n v="0"/>
    <n v="0"/>
    <n v="0"/>
    <n v="0"/>
    <n v="0"/>
    <n v="0"/>
    <n v="0"/>
    <n v="0"/>
    <n v="0"/>
    <x v="0"/>
    <n v="0"/>
    <n v="0"/>
    <n v="0"/>
    <s v="MMR001CMP082"/>
    <x v="0"/>
    <x v="0"/>
    <x v="0"/>
    <n v="0"/>
    <s v="No"/>
    <m/>
  </r>
  <r>
    <n v="60.56666666666667"/>
    <d v="2012-01-11T00:00:00"/>
    <x v="0"/>
    <s v="KBC"/>
    <s v="Kachin"/>
    <s v="Waingmaw"/>
    <s v="Shing Jai"/>
    <m/>
    <m/>
    <m/>
    <n v="536"/>
    <n v="268"/>
    <n v="536"/>
    <n v="268"/>
    <n v="268"/>
    <n v="268"/>
    <n v="268"/>
    <m/>
    <m/>
    <m/>
    <m/>
    <m/>
    <m/>
    <m/>
    <n v="0"/>
    <n v="0"/>
    <n v="0"/>
    <n v="0"/>
    <n v="0"/>
    <n v="0"/>
    <n v="0"/>
    <n v="0"/>
    <n v="0"/>
    <n v="0"/>
    <n v="0"/>
    <n v="0"/>
    <n v="0"/>
    <n v="0"/>
    <x v="0"/>
    <n v="0"/>
    <n v="0"/>
    <n v="0"/>
    <s v="MMR001CMP041"/>
    <x v="0"/>
    <x v="1"/>
    <x v="5"/>
    <n v="6.5609087348217779E-3"/>
    <s v="No"/>
    <m/>
  </r>
  <r>
    <n v="60.7"/>
    <d v="2012-01-07T00:00:00"/>
    <x v="0"/>
    <s v="KMSS"/>
    <s v="Kachin"/>
    <s v="Myitkyina"/>
    <s v="Jan Mai Kawng Baptist Church"/>
    <m/>
    <m/>
    <m/>
    <n v="32"/>
    <n v="16"/>
    <n v="32"/>
    <n v="16"/>
    <n v="16"/>
    <n v="16"/>
    <n v="16"/>
    <m/>
    <m/>
    <m/>
    <m/>
    <m/>
    <m/>
    <m/>
    <n v="0"/>
    <n v="0"/>
    <n v="0"/>
    <n v="0"/>
    <n v="0"/>
    <n v="0"/>
    <n v="0"/>
    <n v="0"/>
    <n v="0"/>
    <n v="0"/>
    <n v="0"/>
    <n v="0"/>
    <n v="0"/>
    <n v="0"/>
    <x v="0"/>
    <n v="0"/>
    <n v="0"/>
    <n v="0"/>
    <s v="MMR001CMP018"/>
    <x v="0"/>
    <x v="1"/>
    <x v="1"/>
    <n v="3.9287906691221606E-4"/>
    <s v="No"/>
    <m/>
  </r>
  <r>
    <n v="60.7"/>
    <d v="2012-01-07T00:00:00"/>
    <x v="0"/>
    <s v="KMSS"/>
    <s v="Kachin"/>
    <s v="Waingmaw"/>
    <s v="Maina Catholic Church (St. Joseph)"/>
    <m/>
    <m/>
    <m/>
    <n v="50"/>
    <n v="25"/>
    <n v="50"/>
    <n v="25"/>
    <n v="27"/>
    <n v="27"/>
    <n v="27"/>
    <m/>
    <m/>
    <m/>
    <m/>
    <m/>
    <m/>
    <m/>
    <n v="0"/>
    <n v="0"/>
    <n v="0"/>
    <n v="0"/>
    <n v="0"/>
    <n v="0"/>
    <n v="0"/>
    <n v="0"/>
    <n v="0"/>
    <n v="0"/>
    <n v="0"/>
    <n v="0"/>
    <n v="0"/>
    <n v="0"/>
    <x v="0"/>
    <n v="0"/>
    <n v="0"/>
    <n v="0"/>
    <s v="MMR001CMP029"/>
    <x v="0"/>
    <x v="1"/>
    <x v="1"/>
    <n v="6.0348573359725777E-4"/>
    <s v="No"/>
    <m/>
  </r>
  <r>
    <n v="60.733333333333334"/>
    <d v="2012-01-06T00:00:00"/>
    <x v="0"/>
    <s v="KMSS"/>
    <s v="Kachin"/>
    <s v="Myitkyina"/>
    <s v="Jan Mai Kawng Catholic Church"/>
    <m/>
    <m/>
    <m/>
    <n v="0"/>
    <n v="0"/>
    <n v="0"/>
    <n v="0"/>
    <n v="9"/>
    <n v="9"/>
    <n v="9"/>
    <m/>
    <m/>
    <m/>
    <m/>
    <m/>
    <m/>
    <m/>
    <n v="0"/>
    <n v="0"/>
    <n v="0"/>
    <n v="0"/>
    <n v="0"/>
    <n v="0"/>
    <n v="0"/>
    <n v="0"/>
    <n v="0"/>
    <n v="0"/>
    <n v="0"/>
    <n v="0"/>
    <n v="0"/>
    <n v="0"/>
    <x v="0"/>
    <n v="0"/>
    <n v="0"/>
    <n v="0"/>
    <s v="MMR001CMP019"/>
    <x v="0"/>
    <x v="1"/>
    <x v="1"/>
    <n v="0"/>
    <s v="No"/>
    <m/>
  </r>
  <r>
    <n v="60.733333333333334"/>
    <d v="2012-01-06T00:00:00"/>
    <x v="0"/>
    <s v="UNHCR"/>
    <s v="Kachin"/>
    <s v="Waingmaw"/>
    <s v="Thargaya Lisu Baptist Church"/>
    <m/>
    <m/>
    <m/>
    <n v="29"/>
    <n v="0"/>
    <n v="29"/>
    <n v="15"/>
    <n v="15"/>
    <n v="15"/>
    <n v="15"/>
    <m/>
    <m/>
    <m/>
    <m/>
    <m/>
    <m/>
    <m/>
    <n v="0"/>
    <n v="0"/>
    <n v="0"/>
    <n v="0"/>
    <n v="0"/>
    <n v="0"/>
    <n v="0"/>
    <n v="0"/>
    <n v="0"/>
    <n v="0"/>
    <n v="0"/>
    <n v="0"/>
    <n v="0"/>
    <n v="0"/>
    <x v="0"/>
    <n v="0"/>
    <n v="0"/>
    <n v="0"/>
    <s v="MMR001CMP037"/>
    <x v="0"/>
    <x v="1"/>
    <x v="1"/>
    <n v="3.6721504112808461E-4"/>
    <s v="No"/>
    <m/>
  </r>
  <r>
    <n v="60.733333333333334"/>
    <d v="2012-01-06T00:00:00"/>
    <x v="0"/>
    <s v="UNHCR"/>
    <s v="Kachin"/>
    <s v="Waingmaw"/>
    <s v="Thargaya Lisu Baptist Church"/>
    <m/>
    <m/>
    <m/>
    <n v="59"/>
    <n v="30"/>
    <n v="59"/>
    <n v="30"/>
    <n v="30"/>
    <n v="30"/>
    <n v="30"/>
    <m/>
    <m/>
    <m/>
    <m/>
    <m/>
    <m/>
    <m/>
    <n v="0"/>
    <n v="0"/>
    <n v="0"/>
    <n v="0"/>
    <n v="0"/>
    <n v="0"/>
    <n v="0"/>
    <n v="0"/>
    <n v="0"/>
    <n v="0"/>
    <n v="0"/>
    <n v="0"/>
    <n v="0"/>
    <n v="0"/>
    <x v="0"/>
    <n v="0"/>
    <n v="0"/>
    <n v="0"/>
    <s v="MMR001CMP037"/>
    <x v="0"/>
    <x v="1"/>
    <x v="1"/>
    <n v="7.3443008225616922E-4"/>
    <s v="No"/>
    <m/>
  </r>
  <r>
    <n v="60.733333333333334"/>
    <d v="2012-01-06T00:00:00"/>
    <x v="0"/>
    <s v="UNHCR"/>
    <s v="Kachin"/>
    <s v="Waingmaw"/>
    <s v="Waingmaw AG Church"/>
    <m/>
    <m/>
    <m/>
    <n v="29"/>
    <n v="14"/>
    <n v="29"/>
    <n v="14"/>
    <n v="14"/>
    <n v="14"/>
    <n v="14"/>
    <m/>
    <m/>
    <m/>
    <m/>
    <m/>
    <m/>
    <m/>
    <n v="0"/>
    <n v="0"/>
    <n v="0"/>
    <n v="0"/>
    <n v="0"/>
    <n v="0"/>
    <n v="0"/>
    <n v="0"/>
    <n v="0"/>
    <n v="0"/>
    <n v="0"/>
    <n v="0"/>
    <n v="0"/>
    <n v="0"/>
    <x v="0"/>
    <n v="0"/>
    <n v="0"/>
    <n v="0"/>
    <s v="MMR001CMP038"/>
    <x v="0"/>
    <x v="1"/>
    <x v="1"/>
    <n v="3.4273403838621232E-4"/>
    <s v="No"/>
    <m/>
  </r>
  <r>
    <n v="60.766666666666666"/>
    <d v="2012-01-05T00:00:00"/>
    <x v="0"/>
    <s v="KBC"/>
    <s v="Kachin"/>
    <s v="Waingmaw"/>
    <s v="Maina Lawang Baptist Church"/>
    <m/>
    <m/>
    <m/>
    <n v="52"/>
    <n v="29"/>
    <n v="52"/>
    <n v="29"/>
    <n v="29"/>
    <n v="29"/>
    <n v="29"/>
    <m/>
    <m/>
    <m/>
    <m/>
    <m/>
    <m/>
    <m/>
    <n v="0"/>
    <n v="0"/>
    <n v="0"/>
    <n v="0"/>
    <n v="0"/>
    <n v="0"/>
    <n v="0"/>
    <n v="0"/>
    <n v="0"/>
    <n v="0"/>
    <n v="0"/>
    <n v="0"/>
    <n v="0"/>
    <n v="0"/>
    <x v="0"/>
    <n v="0"/>
    <n v="0"/>
    <n v="0"/>
    <s v="MMR001CMP039"/>
    <x v="0"/>
    <x v="1"/>
    <x v="1"/>
    <n v="7.0942805421008858E-4"/>
    <s v="No"/>
    <m/>
  </r>
  <r>
    <n v="60.833333333333336"/>
    <d v="2012-01-03T00:00:00"/>
    <x v="0"/>
    <s v="KMSS"/>
    <s v="Kachin"/>
    <s v="Myitkyina"/>
    <s v="Tat Kone Emanuel Church"/>
    <m/>
    <m/>
    <m/>
    <n v="0"/>
    <n v="0"/>
    <n v="0"/>
    <n v="0"/>
    <n v="8"/>
    <n v="8"/>
    <n v="8"/>
    <m/>
    <m/>
    <m/>
    <m/>
    <m/>
    <m/>
    <m/>
    <n v="0"/>
    <n v="0"/>
    <n v="0"/>
    <n v="0"/>
    <n v="0"/>
    <n v="0"/>
    <n v="0"/>
    <n v="0"/>
    <n v="0"/>
    <n v="0"/>
    <n v="0"/>
    <n v="0"/>
    <n v="0"/>
    <n v="0"/>
    <x v="0"/>
    <n v="0"/>
    <n v="0"/>
    <n v="0"/>
    <s v="MMR001CMP004"/>
    <x v="0"/>
    <x v="1"/>
    <x v="1"/>
    <n v="0"/>
    <s v="No"/>
    <m/>
  </r>
  <r>
    <n v="60.93333333333333"/>
    <d v="2011-12-31T00:00:00"/>
    <x v="0"/>
    <s v="KMSS"/>
    <s v="Kachin"/>
    <s v="Waingmaw"/>
    <s v="Maina Catholic Church (St. Joseph)"/>
    <m/>
    <m/>
    <m/>
    <n v="46"/>
    <n v="27"/>
    <n v="47"/>
    <n v="27"/>
    <n v="27"/>
    <n v="27"/>
    <n v="27"/>
    <m/>
    <m/>
    <m/>
    <m/>
    <m/>
    <m/>
    <m/>
    <n v="0"/>
    <n v="0"/>
    <n v="0"/>
    <n v="0"/>
    <n v="0"/>
    <n v="0"/>
    <n v="0"/>
    <n v="0"/>
    <n v="0"/>
    <n v="0"/>
    <n v="0"/>
    <n v="0"/>
    <n v="0"/>
    <n v="0"/>
    <x v="0"/>
    <n v="0"/>
    <n v="0"/>
    <n v="0"/>
    <s v="MMR001CMP029"/>
    <x v="0"/>
    <x v="1"/>
    <x v="1"/>
    <n v="6.5176459228503839E-4"/>
    <s v="No"/>
    <m/>
  </r>
  <r>
    <n v="60.966666666666669"/>
    <d v="2011-12-30T00:00:00"/>
    <x v="0"/>
    <s v="KBC"/>
    <s v="Kachin"/>
    <s v="Myitkyina"/>
    <s v="Jan Mai Kawng Baptist Church"/>
    <m/>
    <m/>
    <m/>
    <n v="56"/>
    <n v="29"/>
    <n v="56"/>
    <n v="29"/>
    <n v="29"/>
    <n v="29"/>
    <n v="29"/>
    <m/>
    <m/>
    <m/>
    <m/>
    <m/>
    <m/>
    <m/>
    <n v="0"/>
    <n v="0"/>
    <n v="0"/>
    <n v="0"/>
    <n v="0"/>
    <n v="0"/>
    <n v="0"/>
    <n v="0"/>
    <n v="0"/>
    <n v="0"/>
    <n v="0"/>
    <n v="0"/>
    <n v="0"/>
    <n v="0"/>
    <x v="0"/>
    <n v="0"/>
    <n v="0"/>
    <n v="0"/>
    <s v="MMR001CMP018"/>
    <x v="0"/>
    <x v="1"/>
    <x v="1"/>
    <n v="7.1209330877839165E-4"/>
    <s v="No"/>
    <m/>
  </r>
  <r>
    <n v="61.033333333333331"/>
    <d v="2011-12-28T00:00:00"/>
    <x v="0"/>
    <s v="Shan Community"/>
    <s v="Kachin"/>
    <s v="Waingmaw"/>
    <s v="Hkat Cho "/>
    <m/>
    <m/>
    <m/>
    <n v="31"/>
    <n v="19"/>
    <n v="31"/>
    <n v="19"/>
    <n v="19"/>
    <n v="19"/>
    <n v="19"/>
    <m/>
    <m/>
    <m/>
    <m/>
    <m/>
    <m/>
    <m/>
    <n v="0"/>
    <n v="0"/>
    <n v="0"/>
    <n v="0"/>
    <n v="0"/>
    <n v="0"/>
    <n v="0"/>
    <n v="0"/>
    <n v="0"/>
    <n v="0"/>
    <n v="0"/>
    <n v="0"/>
    <n v="0"/>
    <n v="0"/>
    <x v="0"/>
    <n v="0"/>
    <n v="0"/>
    <n v="0"/>
    <s v="MMR001CMP028"/>
    <x v="0"/>
    <x v="1"/>
    <x v="1"/>
    <n v="4.6688782405700946E-4"/>
    <s v="No"/>
    <m/>
  </r>
  <r>
    <n v="61.1"/>
    <d v="2011-12-26T00:00:00"/>
    <x v="0"/>
    <s v="KBC"/>
    <s v="Kachin"/>
    <s v="Waingmaw"/>
    <s v="Qtr. 2 Myoma Baptist Church"/>
    <m/>
    <m/>
    <m/>
    <n v="54"/>
    <n v="33"/>
    <n v="54"/>
    <n v="33"/>
    <n v="33"/>
    <n v="33"/>
    <n v="33"/>
    <m/>
    <m/>
    <m/>
    <m/>
    <m/>
    <m/>
    <m/>
    <n v="0"/>
    <n v="0"/>
    <n v="0"/>
    <n v="0"/>
    <n v="0"/>
    <n v="0"/>
    <n v="0"/>
    <n v="0"/>
    <n v="0"/>
    <n v="0"/>
    <n v="0"/>
    <n v="0"/>
    <n v="0"/>
    <n v="0"/>
    <x v="0"/>
    <n v="0"/>
    <n v="0"/>
    <n v="0"/>
    <s v="MMR001CMP025"/>
    <x v="0"/>
    <x v="1"/>
    <x v="1"/>
    <n v="8.1091043125691112E-4"/>
    <s v="No"/>
    <m/>
  </r>
  <r>
    <n v="61.233333333333334"/>
    <d v="2011-12-22T00:00:00"/>
    <x v="0"/>
    <s v="UNHCR"/>
    <s v="Kachin"/>
    <s v="Waingmaw"/>
    <s v="Qtr. 2 Lhaovo Baptist Church"/>
    <m/>
    <m/>
    <m/>
    <n v="0"/>
    <n v="0"/>
    <n v="0"/>
    <n v="0"/>
    <n v="4"/>
    <n v="4"/>
    <n v="4"/>
    <m/>
    <m/>
    <m/>
    <m/>
    <m/>
    <m/>
    <m/>
    <n v="0"/>
    <n v="0"/>
    <n v="0"/>
    <n v="0"/>
    <n v="0"/>
    <n v="0"/>
    <n v="0"/>
    <n v="0"/>
    <n v="0"/>
    <n v="0"/>
    <n v="0"/>
    <n v="0"/>
    <n v="0"/>
    <n v="0"/>
    <x v="0"/>
    <n v="0"/>
    <n v="0"/>
    <n v="0"/>
    <s v="MMR001CMP032"/>
    <x v="0"/>
    <x v="1"/>
    <x v="1"/>
    <n v="0"/>
    <s v="No"/>
    <m/>
  </r>
  <r>
    <n v="61.533333333333331"/>
    <d v="2011-12-13T00:00:00"/>
    <x v="0"/>
    <s v="IRRC"/>
    <s v="Kachin"/>
    <s v="Momauk"/>
    <s v="Hpun Lum Yang "/>
    <m/>
    <m/>
    <m/>
    <n v="250"/>
    <n v="125"/>
    <n v="250"/>
    <n v="125"/>
    <n v="125"/>
    <n v="125"/>
    <n v="125"/>
    <m/>
    <m/>
    <m/>
    <m/>
    <m/>
    <m/>
    <m/>
    <n v="0"/>
    <n v="0"/>
    <n v="0"/>
    <n v="0"/>
    <n v="0"/>
    <n v="0"/>
    <n v="0"/>
    <n v="0"/>
    <n v="0"/>
    <n v="0"/>
    <n v="0"/>
    <n v="0"/>
    <n v="0"/>
    <n v="0"/>
    <x v="0"/>
    <n v="0"/>
    <n v="0"/>
    <n v="0"/>
    <s v="MMR001CMP122"/>
    <x v="0"/>
    <x v="1"/>
    <x v="6"/>
    <n v="3.0716304214276936E-3"/>
    <s v="No"/>
    <m/>
  </r>
  <r>
    <n v="61.533333333333331"/>
    <d v="2011-12-13T00:00:00"/>
    <x v="0"/>
    <s v="IRRC"/>
    <s v="Kachin"/>
    <s v="Momauk"/>
    <s v="Je Yang Hka "/>
    <m/>
    <m/>
    <m/>
    <n v="250"/>
    <n v="125"/>
    <n v="250"/>
    <n v="125"/>
    <n v="125"/>
    <n v="125"/>
    <n v="125"/>
    <m/>
    <m/>
    <m/>
    <m/>
    <m/>
    <m/>
    <m/>
    <n v="0"/>
    <n v="0"/>
    <n v="0"/>
    <n v="0"/>
    <n v="0"/>
    <n v="0"/>
    <n v="0"/>
    <n v="0"/>
    <n v="0"/>
    <n v="0"/>
    <n v="0"/>
    <n v="0"/>
    <n v="0"/>
    <n v="0"/>
    <x v="0"/>
    <n v="0"/>
    <n v="0"/>
    <n v="0"/>
    <s v="MMR001CMP121"/>
    <x v="0"/>
    <x v="1"/>
    <x v="6"/>
    <n v="3.0442512359660019E-3"/>
    <s v="No"/>
    <m/>
  </r>
  <r>
    <n v="61.533333333333331"/>
    <d v="2011-12-13T00:00:00"/>
    <x v="0"/>
    <s v="IRRC"/>
    <s v="Kachin"/>
    <s v="Waingmaw"/>
    <s v="Maga Yang "/>
    <m/>
    <m/>
    <m/>
    <n v="250"/>
    <n v="125"/>
    <n v="250"/>
    <n v="125"/>
    <n v="125"/>
    <n v="125"/>
    <n v="125"/>
    <m/>
    <m/>
    <m/>
    <m/>
    <m/>
    <m/>
    <m/>
    <n v="0"/>
    <n v="0"/>
    <n v="0"/>
    <n v="0"/>
    <n v="0"/>
    <n v="0"/>
    <n v="0"/>
    <n v="0"/>
    <n v="0"/>
    <n v="0"/>
    <n v="0"/>
    <n v="0"/>
    <n v="0"/>
    <n v="0"/>
    <x v="0"/>
    <n v="0"/>
    <n v="0"/>
    <n v="0"/>
    <s v="MMR001CMP119"/>
    <x v="0"/>
    <x v="1"/>
    <x v="6"/>
    <n v="3.0716304214276936E-3"/>
    <s v="No"/>
    <m/>
  </r>
  <r>
    <n v="61.533333333333331"/>
    <d v="2011-12-13T00:00:00"/>
    <x v="0"/>
    <s v="IRRC"/>
    <s v="Kachin"/>
    <s v="Waingmaw"/>
    <s v="Zai Awng - Mung Ga Zup"/>
    <m/>
    <m/>
    <m/>
    <n v="250"/>
    <n v="125"/>
    <n v="250"/>
    <n v="125"/>
    <n v="125"/>
    <n v="125"/>
    <n v="125"/>
    <m/>
    <m/>
    <m/>
    <m/>
    <m/>
    <m/>
    <m/>
    <n v="0"/>
    <n v="0"/>
    <n v="0"/>
    <n v="0"/>
    <n v="0"/>
    <n v="0"/>
    <n v="0"/>
    <n v="0"/>
    <n v="0"/>
    <n v="0"/>
    <n v="0"/>
    <n v="0"/>
    <n v="0"/>
    <n v="0"/>
    <x v="0"/>
    <n v="0"/>
    <n v="0"/>
    <n v="0"/>
    <s v="MMR001CMP111"/>
    <x v="0"/>
    <x v="1"/>
    <x v="6"/>
    <n v="3.0601253427340385E-3"/>
    <s v="No"/>
    <m/>
  </r>
  <r>
    <n v="61.6"/>
    <d v="2011-12-11T00:00:00"/>
    <x v="0"/>
    <s v="KBC"/>
    <s v="Kachin"/>
    <s v="Myitkyina"/>
    <s v="Man Hkring Baptist Church"/>
    <m/>
    <m/>
    <m/>
    <n v="6"/>
    <n v="4"/>
    <n v="6"/>
    <n v="4"/>
    <n v="4"/>
    <n v="4"/>
    <n v="4"/>
    <m/>
    <m/>
    <m/>
    <m/>
    <m/>
    <m/>
    <m/>
    <n v="0"/>
    <n v="0"/>
    <n v="0"/>
    <n v="0"/>
    <n v="0"/>
    <n v="0"/>
    <n v="0"/>
    <n v="0"/>
    <n v="0"/>
    <n v="0"/>
    <n v="0"/>
    <n v="0"/>
    <n v="0"/>
    <n v="0"/>
    <x v="0"/>
    <n v="0"/>
    <n v="0"/>
    <n v="0"/>
    <s v="MMR001CMP008"/>
    <x v="0"/>
    <x v="1"/>
    <x v="1"/>
    <n v="9.8219766728054015E-5"/>
    <s v="No"/>
    <m/>
  </r>
  <r>
    <n v="61.6"/>
    <d v="2011-12-11T00:00:00"/>
    <x v="0"/>
    <s v="KBC"/>
    <s v="Kachin"/>
    <s v="Myitkyina"/>
    <s v="Shatapru Sut Ngai Tawng"/>
    <m/>
    <m/>
    <m/>
    <n v="2"/>
    <n v="2"/>
    <n v="2"/>
    <n v="2"/>
    <n v="2"/>
    <n v="2"/>
    <n v="2"/>
    <m/>
    <m/>
    <m/>
    <m/>
    <m/>
    <m/>
    <m/>
    <n v="0"/>
    <n v="0"/>
    <n v="0"/>
    <n v="0"/>
    <n v="0"/>
    <n v="0"/>
    <n v="0"/>
    <n v="0"/>
    <n v="0"/>
    <n v="0"/>
    <n v="0"/>
    <n v="0"/>
    <n v="0"/>
    <n v="0"/>
    <x v="0"/>
    <n v="0"/>
    <n v="0"/>
    <n v="0"/>
    <s v="MMR001CMP006"/>
    <x v="0"/>
    <x v="1"/>
    <x v="1"/>
    <n v="4.9072529198154875E-5"/>
    <s v="No"/>
    <m/>
  </r>
  <r>
    <n v="61.6"/>
    <d v="2011-12-11T00:00:00"/>
    <x v="0"/>
    <s v="KBC"/>
    <s v="Kachin"/>
    <s v="Myitkyina"/>
    <s v="Tat Kone San Pya Baptist Church"/>
    <m/>
    <m/>
    <m/>
    <n v="3"/>
    <n v="2"/>
    <n v="3"/>
    <n v="2"/>
    <n v="2"/>
    <n v="2"/>
    <n v="2"/>
    <m/>
    <m/>
    <m/>
    <m/>
    <m/>
    <m/>
    <m/>
    <n v="0"/>
    <n v="0"/>
    <n v="0"/>
    <n v="0"/>
    <n v="0"/>
    <n v="0"/>
    <n v="0"/>
    <n v="0"/>
    <n v="0"/>
    <n v="0"/>
    <n v="0"/>
    <n v="0"/>
    <n v="0"/>
    <n v="0"/>
    <x v="0"/>
    <n v="0"/>
    <n v="0"/>
    <n v="0"/>
    <s v="MMR001CMP005"/>
    <x v="0"/>
    <x v="1"/>
    <x v="1"/>
    <n v="4.8999191513340027E-5"/>
    <s v="No"/>
    <m/>
  </r>
  <r>
    <n v="61.6"/>
    <d v="2011-12-11T00:00:00"/>
    <x v="0"/>
    <s v="Shan Community"/>
    <s v="Kachin"/>
    <s v="Myitkyina"/>
    <s v="Shan Ywar Monestary Camp"/>
    <m/>
    <m/>
    <m/>
    <n v="88"/>
    <n v="49"/>
    <n v="88"/>
    <n v="49"/>
    <n v="49"/>
    <n v="49"/>
    <n v="49"/>
    <m/>
    <m/>
    <m/>
    <m/>
    <m/>
    <m/>
    <m/>
    <n v="0"/>
    <n v="0"/>
    <n v="0"/>
    <n v="0"/>
    <n v="0"/>
    <n v="0"/>
    <n v="0"/>
    <n v="0"/>
    <n v="0"/>
    <n v="0"/>
    <n v="0"/>
    <n v="0"/>
    <n v="0"/>
    <n v="0"/>
    <x v="0"/>
    <n v="0"/>
    <n v="0"/>
    <n v="0"/>
    <s v=""/>
    <x v="2"/>
    <x v="2"/>
    <x v="0"/>
    <s v=""/>
    <s v="No"/>
    <m/>
  </r>
  <r>
    <n v="61.666666666666664"/>
    <d v="2011-12-09T00:00:00"/>
    <x v="0"/>
    <s v="KBC"/>
    <s v="Kachin"/>
    <s v="Myitkyina"/>
    <s v="Le Kone Bethlehem Church"/>
    <m/>
    <m/>
    <m/>
    <n v="13"/>
    <n v="6"/>
    <n v="13"/>
    <n v="6"/>
    <n v="6"/>
    <n v="6"/>
    <n v="6"/>
    <m/>
    <m/>
    <m/>
    <m/>
    <m/>
    <m/>
    <m/>
    <n v="0"/>
    <n v="0"/>
    <n v="0"/>
    <n v="0"/>
    <n v="0"/>
    <n v="0"/>
    <n v="0"/>
    <n v="0"/>
    <n v="0"/>
    <n v="0"/>
    <n v="0"/>
    <n v="0"/>
    <n v="0"/>
    <n v="0"/>
    <x v="0"/>
    <n v="0"/>
    <n v="0"/>
    <n v="0"/>
    <s v="MMR001CMP015"/>
    <x v="0"/>
    <x v="1"/>
    <x v="1"/>
    <n v="1.4777233209368765E-4"/>
    <s v="No"/>
    <m/>
  </r>
  <r>
    <n v="61.8"/>
    <d v="2011-12-05T00:00:00"/>
    <x v="0"/>
    <s v="KMSS"/>
    <s v="Kachin"/>
    <s v="Myitkyina"/>
    <s v="Jan Mai Kawng Baptist Church"/>
    <m/>
    <m/>
    <m/>
    <n v="80"/>
    <n v="45"/>
    <n v="80"/>
    <n v="45"/>
    <n v="45"/>
    <n v="45"/>
    <n v="45"/>
    <m/>
    <m/>
    <m/>
    <m/>
    <m/>
    <m/>
    <m/>
    <n v="0"/>
    <n v="0"/>
    <n v="0"/>
    <n v="0"/>
    <n v="0"/>
    <n v="0"/>
    <n v="0"/>
    <n v="0"/>
    <n v="0"/>
    <n v="0"/>
    <n v="0"/>
    <n v="0"/>
    <n v="0"/>
    <n v="0"/>
    <x v="0"/>
    <n v="0"/>
    <n v="0"/>
    <n v="0"/>
    <s v="MMR001CMP018"/>
    <x v="0"/>
    <x v="1"/>
    <x v="1"/>
    <n v="1.1049723756906078E-3"/>
    <s v="No"/>
    <m/>
  </r>
  <r>
    <n v="61.833333333333336"/>
    <d v="2011-12-04T00:00:00"/>
    <x v="0"/>
    <s v="KBC"/>
    <s v="Kachin"/>
    <s v="Myitkyina"/>
    <s v="Shwe Zet Baptist Church"/>
    <m/>
    <m/>
    <m/>
    <n v="52"/>
    <n v="27"/>
    <n v="52"/>
    <n v="27"/>
    <n v="27"/>
    <n v="27"/>
    <n v="27"/>
    <m/>
    <m/>
    <m/>
    <m/>
    <m/>
    <m/>
    <m/>
    <n v="0"/>
    <n v="0"/>
    <n v="0"/>
    <n v="0"/>
    <n v="0"/>
    <n v="0"/>
    <n v="0"/>
    <n v="0"/>
    <n v="0"/>
    <n v="0"/>
    <n v="0"/>
    <n v="0"/>
    <n v="0"/>
    <n v="0"/>
    <x v="0"/>
    <n v="0"/>
    <n v="0"/>
    <n v="0"/>
    <s v="MMR001CMP009"/>
    <x v="0"/>
    <x v="1"/>
    <x v="1"/>
    <n v="6.6298342541436467E-4"/>
    <s v="No"/>
    <m/>
  </r>
  <r>
    <n v="62.366666666666667"/>
    <d v="2011-11-18T00:00:00"/>
    <x v="0"/>
    <s v="UNHCR"/>
    <s v="Kachin"/>
    <s v="Myitkyina"/>
    <s v="Bomb Blast Victims"/>
    <m/>
    <m/>
    <m/>
    <n v="24"/>
    <n v="3"/>
    <n v="24"/>
    <n v="3"/>
    <n v="3"/>
    <n v="3"/>
    <n v="3"/>
    <m/>
    <m/>
    <m/>
    <m/>
    <m/>
    <m/>
    <m/>
    <n v="0"/>
    <n v="0"/>
    <n v="0"/>
    <n v="0"/>
    <n v="0"/>
    <n v="0"/>
    <n v="0"/>
    <n v="0"/>
    <n v="0"/>
    <n v="0"/>
    <n v="0"/>
    <n v="0"/>
    <n v="0"/>
    <n v="0"/>
    <x v="0"/>
    <n v="0"/>
    <n v="0"/>
    <n v="0"/>
    <s v=""/>
    <x v="2"/>
    <x v="2"/>
    <x v="0"/>
    <s v=""/>
    <s v="No"/>
    <m/>
  </r>
  <r>
    <n v="62.366666666666667"/>
    <d v="2011-11-18T00:00:00"/>
    <x v="0"/>
    <s v="UNHCR"/>
    <s v="Kachin"/>
    <s v="Myitkyina"/>
    <s v="Wun Tho Buddhist Monastery"/>
    <m/>
    <m/>
    <m/>
    <n v="175"/>
    <n v="0"/>
    <n v="175"/>
    <n v="0"/>
    <n v="0"/>
    <m/>
    <m/>
    <m/>
    <m/>
    <m/>
    <m/>
    <m/>
    <m/>
    <m/>
    <n v="0"/>
    <n v="0"/>
    <n v="0"/>
    <n v="0"/>
    <n v="0"/>
    <n v="0"/>
    <n v="0"/>
    <n v="0"/>
    <n v="0"/>
    <n v="0"/>
    <n v="0"/>
    <n v="0"/>
    <n v="0"/>
    <n v="0"/>
    <x v="0"/>
    <n v="0"/>
    <n v="0"/>
    <n v="0"/>
    <s v="MMR001CMP022"/>
    <x v="0"/>
    <x v="1"/>
    <x v="1"/>
    <n v="0"/>
    <s v="No"/>
    <m/>
  </r>
  <r>
    <n v="62.43333333333333"/>
    <d v="2011-11-16T00:00:00"/>
    <x v="0"/>
    <s v="KBC"/>
    <s v="Kachin"/>
    <s v="Myitkyina"/>
    <s v="Njang Dung Baptist Church "/>
    <m/>
    <m/>
    <m/>
    <n v="92"/>
    <n v="53"/>
    <n v="92"/>
    <n v="53"/>
    <n v="53"/>
    <n v="53"/>
    <n v="53"/>
    <m/>
    <m/>
    <m/>
    <m/>
    <m/>
    <m/>
    <m/>
    <n v="0"/>
    <n v="0"/>
    <n v="0"/>
    <n v="0"/>
    <n v="0"/>
    <n v="0"/>
    <n v="0"/>
    <n v="0"/>
    <n v="0"/>
    <n v="0"/>
    <n v="0"/>
    <n v="0"/>
    <n v="0"/>
    <n v="0"/>
    <x v="0"/>
    <n v="0"/>
    <n v="0"/>
    <n v="0"/>
    <s v="MMR001CMP002"/>
    <x v="0"/>
    <x v="1"/>
    <x v="1"/>
    <n v="1.3023712986853422E-3"/>
    <s v="No"/>
    <m/>
  </r>
  <r>
    <n v="62.43333333333333"/>
    <d v="2011-11-16T00:00:00"/>
    <x v="0"/>
    <s v="KBC"/>
    <s v="Kachin"/>
    <s v="Myitkyina"/>
    <s v="Shwe Zet Baptist Church"/>
    <m/>
    <m/>
    <m/>
    <n v="63"/>
    <n v="30"/>
    <n v="63"/>
    <n v="30"/>
    <n v="30"/>
    <n v="30"/>
    <n v="30"/>
    <m/>
    <m/>
    <m/>
    <m/>
    <m/>
    <m/>
    <m/>
    <n v="0"/>
    <n v="0"/>
    <n v="0"/>
    <n v="0"/>
    <n v="0"/>
    <n v="0"/>
    <n v="0"/>
    <n v="0"/>
    <n v="0"/>
    <n v="0"/>
    <n v="0"/>
    <n v="0"/>
    <n v="0"/>
    <n v="0"/>
    <x v="0"/>
    <n v="0"/>
    <n v="0"/>
    <n v="0"/>
    <s v="MMR001CMP009"/>
    <x v="0"/>
    <x v="1"/>
    <x v="1"/>
    <n v="7.3664825046040514E-4"/>
    <s v="No"/>
    <m/>
  </r>
  <r>
    <n v="62.43333333333333"/>
    <d v="2011-11-16T00:00:00"/>
    <x v="0"/>
    <s v="KBC"/>
    <s v="Kachin"/>
    <s v="Myitkyina"/>
    <s v="Tat Kone Galile Baptist Church"/>
    <m/>
    <m/>
    <m/>
    <n v="53"/>
    <n v="31"/>
    <n v="53"/>
    <n v="31"/>
    <n v="31"/>
    <n v="31"/>
    <n v="31"/>
    <m/>
    <m/>
    <m/>
    <m/>
    <m/>
    <m/>
    <m/>
    <n v="0"/>
    <n v="0"/>
    <n v="0"/>
    <n v="0"/>
    <n v="0"/>
    <n v="0"/>
    <n v="0"/>
    <n v="0"/>
    <n v="0"/>
    <n v="0"/>
    <n v="0"/>
    <n v="0"/>
    <n v="0"/>
    <n v="0"/>
    <x v="0"/>
    <n v="0"/>
    <n v="0"/>
    <n v="0"/>
    <s v="MMR001CMP003"/>
    <x v="0"/>
    <x v="1"/>
    <x v="1"/>
    <n v="7.6120319214241863E-4"/>
    <s v="No"/>
    <m/>
  </r>
  <r>
    <n v="62.466666666666669"/>
    <d v="2011-11-15T00:00:00"/>
    <x v="0"/>
    <s v="KBC"/>
    <s v="Kachin"/>
    <s v="Myitkyina"/>
    <s v="Tat Kone San Pya Baptist Church"/>
    <m/>
    <m/>
    <m/>
    <n v="30"/>
    <n v="17"/>
    <n v="30"/>
    <n v="17"/>
    <n v="17"/>
    <n v="17"/>
    <n v="17"/>
    <m/>
    <m/>
    <m/>
    <m/>
    <m/>
    <m/>
    <m/>
    <n v="0"/>
    <n v="0"/>
    <n v="0"/>
    <n v="0"/>
    <n v="0"/>
    <n v="0"/>
    <n v="0"/>
    <n v="0"/>
    <n v="0"/>
    <n v="0"/>
    <n v="0"/>
    <n v="0"/>
    <n v="0"/>
    <n v="0"/>
    <x v="0"/>
    <n v="0"/>
    <n v="0"/>
    <n v="0"/>
    <s v="MMR001CMP005"/>
    <x v="0"/>
    <x v="1"/>
    <x v="1"/>
    <n v="4.1649312786339027E-4"/>
    <s v="No"/>
    <m/>
  </r>
  <r>
    <n v="62.5"/>
    <d v="2011-11-14T00:00:00"/>
    <x v="0"/>
    <s v="KBC"/>
    <s v="Kachin"/>
    <s v="Myitkyina"/>
    <s v="Kyun Pin Thar Baptist Church"/>
    <m/>
    <m/>
    <m/>
    <n v="47"/>
    <n v="28"/>
    <n v="47"/>
    <n v="28"/>
    <n v="28"/>
    <n v="28"/>
    <n v="28"/>
    <m/>
    <m/>
    <m/>
    <m/>
    <m/>
    <m/>
    <m/>
    <n v="0"/>
    <n v="0"/>
    <n v="0"/>
    <n v="0"/>
    <n v="0"/>
    <n v="0"/>
    <n v="0"/>
    <n v="0"/>
    <n v="0"/>
    <n v="0"/>
    <n v="0"/>
    <n v="0"/>
    <n v="0"/>
    <n v="0"/>
    <x v="0"/>
    <n v="0"/>
    <n v="0"/>
    <n v="0"/>
    <s v="MMR001CMP013"/>
    <x v="0"/>
    <x v="1"/>
    <x v="1"/>
    <n v="6.8444596543547874E-4"/>
    <s v="No"/>
    <m/>
  </r>
  <r>
    <n v="62.5"/>
    <d v="2011-11-14T00:00:00"/>
    <x v="0"/>
    <s v="KBC"/>
    <s v="Kachin"/>
    <s v="Myitkyina"/>
    <s v="Le Kone Bethlehem Church"/>
    <m/>
    <m/>
    <m/>
    <n v="52"/>
    <n v="25"/>
    <n v="52"/>
    <n v="25"/>
    <n v="25"/>
    <n v="25"/>
    <n v="25"/>
    <m/>
    <m/>
    <m/>
    <m/>
    <m/>
    <m/>
    <m/>
    <n v="0"/>
    <n v="0"/>
    <n v="0"/>
    <n v="0"/>
    <n v="0"/>
    <n v="0"/>
    <n v="0"/>
    <n v="0"/>
    <n v="0"/>
    <n v="0"/>
    <n v="0"/>
    <n v="0"/>
    <n v="0"/>
    <n v="0"/>
    <x v="0"/>
    <n v="0"/>
    <n v="0"/>
    <n v="0"/>
    <s v="MMR001CMP015"/>
    <x v="0"/>
    <x v="1"/>
    <x v="1"/>
    <n v="6.1571805039036529E-4"/>
    <s v="No"/>
    <m/>
  </r>
  <r>
    <n v="62.5"/>
    <d v="2011-11-14T00:00:00"/>
    <x v="0"/>
    <s v="KBC"/>
    <s v="Kachin"/>
    <s v="Myitkyina"/>
    <s v="Maliyang Baptist Church"/>
    <m/>
    <m/>
    <m/>
    <n v="57"/>
    <n v="30"/>
    <n v="57"/>
    <n v="30"/>
    <n v="30"/>
    <n v="30"/>
    <n v="30"/>
    <m/>
    <m/>
    <m/>
    <m/>
    <m/>
    <m/>
    <m/>
    <n v="0"/>
    <n v="0"/>
    <n v="0"/>
    <n v="0"/>
    <n v="0"/>
    <n v="0"/>
    <n v="0"/>
    <n v="0"/>
    <n v="0"/>
    <n v="0"/>
    <n v="0"/>
    <n v="0"/>
    <n v="0"/>
    <n v="0"/>
    <x v="0"/>
    <n v="0"/>
    <n v="0"/>
    <n v="0"/>
    <s v="MMR001CMP016"/>
    <x v="0"/>
    <x v="1"/>
    <x v="1"/>
    <n v="7.3608793797232315E-4"/>
    <s v="No"/>
    <m/>
  </r>
  <r>
    <n v="62.833333333333336"/>
    <d v="2011-11-04T00:00:00"/>
    <x v="0"/>
    <s v="KBC"/>
    <s v="Kachin"/>
    <s v="Myitkyina"/>
    <s v="Jan Mai Kawng Baptist Church"/>
    <m/>
    <m/>
    <m/>
    <n v="208"/>
    <n v="102"/>
    <n v="208"/>
    <n v="102"/>
    <n v="102"/>
    <n v="102"/>
    <n v="102"/>
    <m/>
    <m/>
    <m/>
    <m/>
    <m/>
    <m/>
    <m/>
    <n v="0"/>
    <n v="0"/>
    <n v="0"/>
    <n v="0"/>
    <n v="0"/>
    <n v="0"/>
    <n v="0"/>
    <n v="0"/>
    <n v="0"/>
    <n v="0"/>
    <n v="0"/>
    <n v="0"/>
    <n v="0"/>
    <n v="0"/>
    <x v="0"/>
    <n v="0"/>
    <n v="0"/>
    <n v="0"/>
    <s v="MMR001CMP018"/>
    <x v="0"/>
    <x v="1"/>
    <x v="1"/>
    <n v="2.5046040515653775E-3"/>
    <s v="No"/>
    <m/>
  </r>
  <r>
    <n v="62.833333333333336"/>
    <d v="2011-11-04T00:00:00"/>
    <x v="0"/>
    <s v="KBC"/>
    <s v="Kachin"/>
    <s v="Myitkyina"/>
    <s v="Myay Myint Baptist Church"/>
    <m/>
    <m/>
    <m/>
    <n v="10"/>
    <n v="6"/>
    <n v="10"/>
    <n v="6"/>
    <n v="6"/>
    <n v="6"/>
    <n v="6"/>
    <m/>
    <m/>
    <m/>
    <m/>
    <m/>
    <m/>
    <m/>
    <n v="0"/>
    <n v="0"/>
    <n v="0"/>
    <n v="0"/>
    <n v="0"/>
    <n v="0"/>
    <n v="0"/>
    <n v="0"/>
    <n v="0"/>
    <n v="0"/>
    <n v="0"/>
    <n v="0"/>
    <n v="0"/>
    <n v="0"/>
    <x v="0"/>
    <n v="0"/>
    <n v="0"/>
    <n v="0"/>
    <s v="MMR001CMP017"/>
    <x v="0"/>
    <x v="0"/>
    <x v="1"/>
    <n v="1.4699757454002008E-4"/>
    <s v="No"/>
    <m/>
  </r>
  <r>
    <n v="62.866666666666667"/>
    <d v="2011-11-03T00:00:00"/>
    <x v="0"/>
    <s v="KMSS"/>
    <s v="Kachin"/>
    <s v="Myitkyina"/>
    <s v="Jan Mai Kawng Baptist Church"/>
    <m/>
    <m/>
    <m/>
    <n v="106"/>
    <n v="52"/>
    <n v="106"/>
    <n v="52"/>
    <n v="52"/>
    <n v="52"/>
    <n v="52"/>
    <m/>
    <m/>
    <m/>
    <m/>
    <m/>
    <m/>
    <m/>
    <n v="0"/>
    <n v="0"/>
    <n v="0"/>
    <n v="0"/>
    <n v="0"/>
    <n v="0"/>
    <n v="0"/>
    <n v="0"/>
    <n v="0"/>
    <n v="0"/>
    <n v="0"/>
    <n v="0"/>
    <n v="0"/>
    <n v="0"/>
    <x v="0"/>
    <n v="0"/>
    <n v="0"/>
    <n v="0"/>
    <s v="MMR001CMP018"/>
    <x v="0"/>
    <x v="1"/>
    <x v="1"/>
    <n v="1.2768569674647024E-3"/>
    <s v="No"/>
    <m/>
  </r>
  <r>
    <n v="62.866666666666667"/>
    <d v="2011-11-03T00:00:00"/>
    <x v="0"/>
    <s v="KBC"/>
    <s v="Kachin"/>
    <s v="Myitkyina"/>
    <s v="Le Kone Ziun Baptist Church "/>
    <m/>
    <m/>
    <m/>
    <n v="116"/>
    <n v="49"/>
    <n v="116"/>
    <n v="49"/>
    <n v="49"/>
    <n v="49"/>
    <n v="49"/>
    <m/>
    <m/>
    <m/>
    <m/>
    <m/>
    <m/>
    <m/>
    <n v="0"/>
    <n v="0"/>
    <n v="0"/>
    <n v="0"/>
    <n v="0"/>
    <n v="0"/>
    <n v="0"/>
    <n v="0"/>
    <n v="0"/>
    <n v="0"/>
    <n v="0"/>
    <n v="0"/>
    <n v="0"/>
    <n v="0"/>
    <x v="0"/>
    <n v="0"/>
    <n v="0"/>
    <n v="0"/>
    <s v="MMR001CMP014"/>
    <x v="0"/>
    <x v="1"/>
    <x v="1"/>
    <n v="1.204079125199656E-3"/>
    <s v="No"/>
    <m/>
  </r>
  <r>
    <n v="62.866666666666667"/>
    <d v="2011-11-03T00:00:00"/>
    <x v="0"/>
    <s v="KMSS"/>
    <s v="Kachin"/>
    <s v="Myitkyina"/>
    <s v="Shwe Zet Baptist Church"/>
    <m/>
    <m/>
    <m/>
    <n v="18"/>
    <n v="8"/>
    <n v="18"/>
    <n v="8"/>
    <n v="8"/>
    <n v="8"/>
    <n v="8"/>
    <m/>
    <m/>
    <m/>
    <m/>
    <m/>
    <m/>
    <m/>
    <n v="0"/>
    <n v="0"/>
    <n v="0"/>
    <n v="0"/>
    <n v="0"/>
    <n v="0"/>
    <n v="0"/>
    <n v="0"/>
    <n v="0"/>
    <n v="0"/>
    <n v="0"/>
    <n v="0"/>
    <n v="0"/>
    <n v="0"/>
    <x v="0"/>
    <n v="0"/>
    <n v="0"/>
    <n v="0"/>
    <s v="MMR001CMP009"/>
    <x v="0"/>
    <x v="1"/>
    <x v="1"/>
    <n v="1.9643953345610803E-4"/>
    <s v="No"/>
    <m/>
  </r>
  <r>
    <n v="62.866666666666667"/>
    <d v="2011-11-03T00:00:00"/>
    <x v="0"/>
    <s v="KBC"/>
    <s v="Kachin"/>
    <s v="Myitkyina"/>
    <s v="Tat Kone Baptist Church"/>
    <m/>
    <m/>
    <m/>
    <n v="73"/>
    <n v="34"/>
    <n v="73"/>
    <n v="34"/>
    <n v="34"/>
    <n v="34"/>
    <n v="34"/>
    <m/>
    <m/>
    <m/>
    <m/>
    <m/>
    <m/>
    <m/>
    <n v="0"/>
    <n v="0"/>
    <n v="0"/>
    <n v="0"/>
    <n v="0"/>
    <n v="0"/>
    <n v="0"/>
    <n v="0"/>
    <n v="0"/>
    <n v="0"/>
    <n v="0"/>
    <n v="0"/>
    <n v="0"/>
    <n v="0"/>
    <x v="0"/>
    <n v="0"/>
    <n v="0"/>
    <n v="0"/>
    <s v="MMR001CMP001"/>
    <x v="0"/>
    <x v="1"/>
    <x v="1"/>
    <n v="8.3548347462833277E-4"/>
    <s v="No"/>
    <m/>
  </r>
  <r>
    <n v="62.866666666666667"/>
    <d v="2011-11-03T00:00:00"/>
    <x v="0"/>
    <s v="KMSS"/>
    <s v="Kachin"/>
    <s v="Myitkyina"/>
    <s v="Tat Kone Emanuel Church"/>
    <m/>
    <m/>
    <m/>
    <n v="18"/>
    <n v="8"/>
    <n v="18"/>
    <n v="8"/>
    <n v="8"/>
    <n v="8"/>
    <n v="8"/>
    <m/>
    <m/>
    <m/>
    <m/>
    <m/>
    <m/>
    <m/>
    <n v="0"/>
    <n v="0"/>
    <n v="0"/>
    <n v="0"/>
    <n v="0"/>
    <n v="0"/>
    <n v="0"/>
    <n v="0"/>
    <n v="0"/>
    <n v="0"/>
    <n v="0"/>
    <n v="0"/>
    <n v="0"/>
    <n v="0"/>
    <x v="0"/>
    <n v="0"/>
    <n v="0"/>
    <n v="0"/>
    <s v="MMR001CMP004"/>
    <x v="0"/>
    <x v="1"/>
    <x v="1"/>
    <n v="1.962901167926195E-4"/>
    <s v="No"/>
    <m/>
  </r>
  <r>
    <n v="62.9"/>
    <d v="2011-11-02T00:00:00"/>
    <x v="0"/>
    <s v="KBC"/>
    <s v="Kachin"/>
    <s v="Myitkyina"/>
    <s v="Du Kahtawng Qtr. 14"/>
    <m/>
    <m/>
    <m/>
    <n v="0"/>
    <n v="5"/>
    <n v="0"/>
    <n v="5"/>
    <n v="5"/>
    <n v="5"/>
    <n v="5"/>
    <m/>
    <m/>
    <m/>
    <m/>
    <m/>
    <m/>
    <m/>
    <n v="0"/>
    <n v="0"/>
    <n v="0"/>
    <n v="0"/>
    <n v="0"/>
    <n v="0"/>
    <n v="0"/>
    <n v="0"/>
    <n v="0"/>
    <n v="0"/>
    <n v="0"/>
    <n v="0"/>
    <n v="0"/>
    <n v="0"/>
    <x v="0"/>
    <n v="0"/>
    <n v="0"/>
    <n v="0"/>
    <s v="MMR001CMP012"/>
    <x v="0"/>
    <x v="1"/>
    <x v="1"/>
    <n v="1.2286521685710776E-4"/>
    <s v="No"/>
    <m/>
  </r>
  <r>
    <n v="62.9"/>
    <d v="2011-11-02T00:00:00"/>
    <x v="0"/>
    <s v="KBC"/>
    <s v="Kachin"/>
    <s v="Myitkyina"/>
    <s v="Du Kahtawng Qtr. 4"/>
    <m/>
    <m/>
    <m/>
    <n v="0"/>
    <n v="6"/>
    <n v="0"/>
    <n v="6"/>
    <n v="6"/>
    <n v="6"/>
    <n v="6"/>
    <m/>
    <m/>
    <m/>
    <m/>
    <m/>
    <m/>
    <m/>
    <n v="0"/>
    <n v="0"/>
    <n v="0"/>
    <n v="0"/>
    <n v="0"/>
    <n v="0"/>
    <n v="0"/>
    <n v="0"/>
    <n v="0"/>
    <n v="0"/>
    <n v="0"/>
    <n v="0"/>
    <n v="0"/>
    <n v="0"/>
    <x v="0"/>
    <n v="0"/>
    <n v="0"/>
    <n v="0"/>
    <s v="MMR001CMP010"/>
    <x v="0"/>
    <x v="1"/>
    <x v="1"/>
    <n v="1.474382602285293E-4"/>
    <s v="No"/>
    <m/>
  </r>
  <r>
    <n v="62.9"/>
    <d v="2011-11-02T00:00:00"/>
    <x v="0"/>
    <s v="KBC"/>
    <s v="Kachin"/>
    <s v="Myitkyina"/>
    <s v="Du Kahtawng Qtr. 5"/>
    <m/>
    <m/>
    <m/>
    <n v="39"/>
    <n v="8"/>
    <n v="39"/>
    <n v="8"/>
    <n v="8"/>
    <n v="8"/>
    <n v="8"/>
    <m/>
    <m/>
    <m/>
    <m/>
    <m/>
    <m/>
    <m/>
    <n v="0"/>
    <n v="0"/>
    <n v="0"/>
    <n v="0"/>
    <n v="0"/>
    <n v="0"/>
    <n v="0"/>
    <n v="0"/>
    <n v="0"/>
    <n v="0"/>
    <n v="0"/>
    <n v="0"/>
    <n v="0"/>
    <n v="0"/>
    <x v="0"/>
    <n v="0"/>
    <n v="0"/>
    <n v="0"/>
    <s v="MMR001CMP011"/>
    <x v="0"/>
    <x v="1"/>
    <x v="1"/>
    <n v="1.965843469713724E-4"/>
    <s v="No"/>
    <m/>
  </r>
  <r>
    <n v="62.9"/>
    <d v="2011-11-02T00:00:00"/>
    <x v="0"/>
    <s v="KBC"/>
    <s v="Kachin"/>
    <s v="Myitkyina"/>
    <s v="Man Hkring Baptist Church"/>
    <m/>
    <m/>
    <m/>
    <n v="112"/>
    <n v="68"/>
    <n v="112"/>
    <n v="68"/>
    <n v="68"/>
    <n v="68"/>
    <n v="68"/>
    <m/>
    <m/>
    <m/>
    <m/>
    <m/>
    <m/>
    <m/>
    <n v="0"/>
    <n v="0"/>
    <n v="0"/>
    <n v="0"/>
    <n v="0"/>
    <n v="0"/>
    <n v="0"/>
    <n v="0"/>
    <n v="0"/>
    <n v="0"/>
    <n v="0"/>
    <n v="0"/>
    <n v="0"/>
    <n v="0"/>
    <x v="0"/>
    <n v="0"/>
    <n v="0"/>
    <n v="0"/>
    <s v="MMR001CMP008"/>
    <x v="0"/>
    <x v="1"/>
    <x v="1"/>
    <n v="1.6697360343769184E-3"/>
    <s v="No"/>
    <m/>
  </r>
  <r>
    <n v="62.9"/>
    <d v="2011-11-02T00:00:00"/>
    <x v="0"/>
    <s v="KBC"/>
    <s v="Kachin"/>
    <s v="Myitkyina"/>
    <s v="Shatapru Sut Ngai Tawng"/>
    <m/>
    <m/>
    <m/>
    <n v="219"/>
    <n v="117"/>
    <n v="219"/>
    <n v="117"/>
    <n v="117"/>
    <n v="117"/>
    <n v="117"/>
    <m/>
    <m/>
    <m/>
    <m/>
    <m/>
    <m/>
    <m/>
    <n v="0"/>
    <n v="0"/>
    <n v="0"/>
    <n v="0"/>
    <n v="0"/>
    <n v="0"/>
    <n v="0"/>
    <n v="0"/>
    <n v="0"/>
    <n v="0"/>
    <n v="0"/>
    <n v="0"/>
    <n v="0"/>
    <n v="0"/>
    <x v="0"/>
    <n v="0"/>
    <n v="0"/>
    <n v="0"/>
    <s v="MMR001CMP006"/>
    <x v="0"/>
    <x v="1"/>
    <x v="1"/>
    <n v="2.87074295809206E-3"/>
    <s v="No"/>
    <m/>
  </r>
  <r>
    <n v="62.9"/>
    <d v="2011-11-02T00:00:00"/>
    <x v="0"/>
    <s v="KBC"/>
    <s v="Kachin"/>
    <s v="Myitkyina"/>
    <s v="Shatapru Thida Aye Baptist Church"/>
    <m/>
    <m/>
    <m/>
    <n v="2"/>
    <n v="1"/>
    <n v="2"/>
    <n v="1"/>
    <n v="1"/>
    <n v="1"/>
    <n v="1"/>
    <m/>
    <m/>
    <m/>
    <m/>
    <m/>
    <m/>
    <m/>
    <n v="0"/>
    <n v="0"/>
    <n v="0"/>
    <n v="0"/>
    <n v="0"/>
    <n v="0"/>
    <n v="0"/>
    <n v="0"/>
    <n v="0"/>
    <n v="0"/>
    <n v="0"/>
    <n v="0"/>
    <n v="0"/>
    <n v="0"/>
    <x v="0"/>
    <n v="0"/>
    <n v="0"/>
    <n v="0"/>
    <s v="MMR001CMP007"/>
    <x v="0"/>
    <x v="1"/>
    <x v="1"/>
    <n v="2.4444498765552813E-5"/>
    <s v="No"/>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pivotCacheRecords>
</file>

<file path=xl/pivotCache/pivotCacheRecords5.xml><?xml version="1.0" encoding="utf-8"?>
<pivotCacheRecords xmlns="http://schemas.openxmlformats.org/spreadsheetml/2006/main" xmlns:r="http://schemas.openxmlformats.org/officeDocument/2006/relationships" count="275">
  <r>
    <x v="0"/>
    <x v="0"/>
    <s v="MMR001"/>
    <s v="Bhamo"/>
    <s v="MMR001D003"/>
    <x v="0"/>
    <s v="MMR001010"/>
    <s v="Moe Hping"/>
    <s v="MMR001010009"/>
    <s v="Moe Hping"/>
    <n v="166836"/>
    <x v="0"/>
    <x v="0"/>
    <x v="0"/>
    <n v="24.260719999999999"/>
    <m/>
    <n v="257"/>
    <n v="1266"/>
    <n v="4.9260700389105061"/>
    <x v="0"/>
    <x v="0"/>
    <x v="0"/>
    <x v="0"/>
    <x v="0"/>
    <n v="2"/>
    <x v="0"/>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P4"/>
    <n v="87"/>
    <n v="20"/>
    <n v="20"/>
    <s v="Bhamo Town"/>
    <n v="0.78440046838596356"/>
    <n v="1"/>
  </r>
  <r>
    <x v="0"/>
    <x v="0"/>
    <s v="MMR001"/>
    <s v="Bhamo"/>
    <s v="MMR001D003"/>
    <x v="0"/>
    <s v="MMR001010"/>
    <s v="Aung Thar"/>
    <s v="MMR001010048"/>
    <s v="Aung Thar"/>
    <n v="166904"/>
    <x v="1"/>
    <x v="1"/>
    <x v="1"/>
    <n v="24.260466999999998"/>
    <n v="0"/>
    <n v="12"/>
    <n v="56"/>
    <n v="4.666666666666667"/>
    <x v="0"/>
    <x v="0"/>
    <x v="0"/>
    <x v="0"/>
    <x v="1"/>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1"/>
    <s v="MMR015"/>
    <s v="Muse"/>
    <s v="MMR015D002"/>
    <x v="1"/>
    <s v="MMR015010"/>
    <s v="Nawng Hkam"/>
    <s v="MMR015010010"/>
    <s v="Nawng Hkam"/>
    <n v="208353"/>
    <x v="2"/>
    <x v="2"/>
    <x v="2"/>
    <n v="23.828520000000001"/>
    <n v="740"/>
    <n v="69"/>
    <n v="344"/>
    <n v="4.9855072463768115"/>
    <x v="0"/>
    <x v="0"/>
    <x v="0"/>
    <x v="0"/>
    <x v="2"/>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39"/>
    <m/>
    <n v="39"/>
    <s v="Namhkan Town"/>
    <n v="1.5619149693996526"/>
    <n v="1"/>
  </r>
  <r>
    <x v="0"/>
    <x v="0"/>
    <s v="MMR001"/>
    <s v="Bhamo"/>
    <s v="MMR001D003"/>
    <x v="0"/>
    <s v="MMR001010"/>
    <s v="Bhamo Town"/>
    <s v="MMR001010701"/>
    <m/>
    <m/>
    <x v="3"/>
    <x v="3"/>
    <x v="3"/>
    <n v="24.263786"/>
    <m/>
    <n v="197"/>
    <n v="957"/>
    <n v="4.8578680203045685"/>
    <x v="0"/>
    <x v="0"/>
    <x v="1"/>
    <x v="0"/>
    <x v="3"/>
    <m/>
    <x v="2"/>
    <s v="IP"/>
    <m/>
    <d v="2017-04-07T00:00:00"/>
    <s v="7/April/2017: Population update. Data source: WFP_x000a_9/Nov/15. Population update. Data source: mail from Pancy (WFP)._x000a_Update IDP increased in Oct and Nov 2013 from Angela (UNHCR - Bhamo)"/>
    <s v="P4"/>
    <n v="0"/>
    <m/>
    <n v="0"/>
    <s v="Bhamo Town"/>
    <n v="1.1354007641426449"/>
    <n v="1"/>
  </r>
  <r>
    <x v="0"/>
    <x v="0"/>
    <s v="MMR001"/>
    <s v="Bhamo"/>
    <s v="MMR001D003"/>
    <x v="0"/>
    <s v="MMR001010"/>
    <s v="Bhamo Town"/>
    <s v="MMR001010701"/>
    <s v="Pauk Kone Ward"/>
    <s v="MMR001010701506"/>
    <x v="4"/>
    <x v="4"/>
    <x v="4"/>
    <n v="24.24766"/>
    <n v="0"/>
    <n v="38"/>
    <n v="221"/>
    <n v="5.8157894736842106"/>
    <x v="0"/>
    <x v="0"/>
    <x v="0"/>
    <x v="0"/>
    <x v="2"/>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Bhamo Town"/>
    <n v="0.84749304721635399"/>
    <n v="1"/>
  </r>
  <r>
    <x v="1"/>
    <x v="1"/>
    <s v="MMR015"/>
    <s v="Muse"/>
    <s v="MMR015D002"/>
    <x v="1"/>
    <s v="MMR015010"/>
    <s v="Nawng Hkam"/>
    <s v="MMR015010010"/>
    <s v="Nawng Hkam"/>
    <n v="208353"/>
    <x v="5"/>
    <x v="5"/>
    <x v="5"/>
    <m/>
    <m/>
    <n v="0"/>
    <n v="0"/>
    <s v="NA"/>
    <x v="1"/>
    <x v="0"/>
    <x v="0"/>
    <x v="1"/>
    <x v="3"/>
    <m/>
    <x v="2"/>
    <s v="IP"/>
    <m/>
    <d v="2014-03-03T00:00:00"/>
    <s v="Closed. Same with (Nam Hkam Catholic Church  St. Thomas II)"/>
    <s v=""/>
    <n v="0"/>
    <m/>
    <n v="0"/>
    <s v=""/>
    <s v=""/>
    <s v=""/>
  </r>
  <r>
    <x v="0"/>
    <x v="0"/>
    <s v="MMR001"/>
    <s v="Bhamo"/>
    <s v="MMR001D003"/>
    <x v="0"/>
    <s v="MMR001010"/>
    <s v="Moe Hping"/>
    <s v="MMR001010009"/>
    <s v="Moe Hping"/>
    <n v="166836"/>
    <x v="6"/>
    <x v="6"/>
    <x v="6"/>
    <n v="24.2631743589744"/>
    <n v="0"/>
    <n v="116"/>
    <n v="659"/>
    <n v="5.681034482758621"/>
    <x v="0"/>
    <x v="0"/>
    <x v="0"/>
    <x v="0"/>
    <x v="4"/>
    <n v="2"/>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P4"/>
    <n v="14"/>
    <m/>
    <n v="14"/>
    <s v="Bhamo Town"/>
    <n v="1.0876401420946245"/>
    <n v="1"/>
  </r>
  <r>
    <x v="0"/>
    <x v="1"/>
    <s v="MMR015"/>
    <s v="Muse"/>
    <s v="MMR015D002"/>
    <x v="1"/>
    <s v="MMR015010"/>
    <s v="Nawng Hkam"/>
    <s v="MMR015010010"/>
    <s v="Nawng Hkam"/>
    <n v="208353"/>
    <x v="7"/>
    <x v="7"/>
    <x v="7"/>
    <n v="23.828150000000001"/>
    <n v="751.8"/>
    <n v="33"/>
    <n v="211"/>
    <n v="6.3939393939393936"/>
    <x v="0"/>
    <x v="0"/>
    <x v="0"/>
    <x v="0"/>
    <x v="2"/>
    <m/>
    <x v="4"/>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P3"/>
    <n v="33"/>
    <m/>
    <n v="33"/>
    <s v="Namhkan Town"/>
    <n v="1.5239325151406049"/>
    <n v="1"/>
  </r>
  <r>
    <x v="0"/>
    <x v="0"/>
    <s v="MMR001"/>
    <s v="Bhamo"/>
    <s v="MMR001D003"/>
    <x v="0"/>
    <s v="MMR001010"/>
    <s v="Bhamo Town"/>
    <s v="MMR001010701"/>
    <s v="Pauk Kone Ward"/>
    <s v="MMR001010701506"/>
    <x v="8"/>
    <x v="8"/>
    <x v="8"/>
    <n v="24.253067000000001"/>
    <n v="0"/>
    <n v="14"/>
    <n v="61"/>
    <n v="4.3571428571428568"/>
    <x v="0"/>
    <x v="0"/>
    <x v="0"/>
    <x v="0"/>
    <x v="5"/>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0"/>
    <x v="0"/>
    <s v="MMR001"/>
    <s v="Bhamo"/>
    <s v="MMR001D003"/>
    <x v="0"/>
    <s v="MMR001010"/>
    <s v="Nam Hlaing"/>
    <s v="MMR001010015"/>
    <s v="Nam Hlaing"/>
    <n v="166844"/>
    <x v="9"/>
    <x v="9"/>
    <x v="9"/>
    <n v="24.32638"/>
    <m/>
    <n v="21"/>
    <n v="111"/>
    <n v="5.2857142857142856"/>
    <x v="0"/>
    <x v="0"/>
    <x v="0"/>
    <x v="0"/>
    <x v="0"/>
    <n v="2"/>
    <x v="0"/>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P4"/>
    <n v="11"/>
    <m/>
    <n v="11"/>
    <s v="Momauk Town"/>
    <n v="8.3788619521763046"/>
    <n v="2"/>
  </r>
  <r>
    <x v="0"/>
    <x v="0"/>
    <s v="MMR001"/>
    <s v="Bhamo"/>
    <s v="MMR001D003"/>
    <x v="0"/>
    <s v="MMR001010"/>
    <s v="Han Te"/>
    <s v="MMR001010024"/>
    <s v="Hpan Hkar Kone"/>
    <n v="166854"/>
    <x v="10"/>
    <x v="10"/>
    <x v="1"/>
    <n v="24.222349999999999"/>
    <n v="0"/>
    <n v="153"/>
    <n v="773"/>
    <n v="5.0522875816993462"/>
    <x v="0"/>
    <x v="0"/>
    <x v="0"/>
    <x v="0"/>
    <x v="6"/>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P4"/>
    <n v="27"/>
    <m/>
    <n v="27"/>
    <s v="Bhamo Town"/>
    <n v="4.067486452659054"/>
    <n v="1"/>
  </r>
  <r>
    <x v="0"/>
    <x v="0"/>
    <s v="MMR001"/>
    <s v="Bhamo"/>
    <s v="MMR001D003"/>
    <x v="0"/>
    <s v="MMR001010"/>
    <s v="Bhamo Town"/>
    <s v="MMR001010701"/>
    <s v="Nyaung Pin Ward"/>
    <s v="MMR001010701508"/>
    <x v="11"/>
    <x v="11"/>
    <x v="10"/>
    <n v="24.268292826086999"/>
    <m/>
    <n v="626"/>
    <n v="3822"/>
    <n v="6.1054313099041533"/>
    <x v="0"/>
    <x v="0"/>
    <x v="0"/>
    <x v="0"/>
    <x v="7"/>
    <n v="3"/>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P4"/>
    <n v="201"/>
    <m/>
    <n v="201"/>
    <s v="Bhamo Town"/>
    <n v="1.5797992800898704"/>
    <n v="1"/>
  </r>
  <r>
    <x v="0"/>
    <x v="0"/>
    <s v="MMR001"/>
    <s v="Bhamo"/>
    <s v="MMR001D003"/>
    <x v="0"/>
    <s v="MMR001010"/>
    <s v="Bhamo Town"/>
    <s v="MMR001010701"/>
    <s v="Shwe Kyee Nar Ward"/>
    <s v="MMR001010701513"/>
    <x v="12"/>
    <x v="12"/>
    <x v="11"/>
    <n v="24.29138"/>
    <n v="0"/>
    <n v="21"/>
    <n v="95"/>
    <n v="4.5238095238095237"/>
    <x v="0"/>
    <x v="0"/>
    <x v="0"/>
    <x v="0"/>
    <x v="8"/>
    <n v="2"/>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Bhamo"/>
    <s v="MMR001D003"/>
    <x v="0"/>
    <s v="MMR001010"/>
    <s v="Han Te"/>
    <s v="MMR001010024"/>
    <s v="Han Te"/>
    <n v="166851"/>
    <x v="13"/>
    <x v="13"/>
    <x v="12"/>
    <n v="24.24953"/>
    <n v="0"/>
    <n v="15"/>
    <n v="75"/>
    <n v="5"/>
    <x v="0"/>
    <x v="0"/>
    <x v="0"/>
    <x v="0"/>
    <x v="9"/>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0"/>
    <s v="MMR001"/>
    <s v="Myitkyina"/>
    <s v="MMR001D001"/>
    <x v="2"/>
    <s v="MMR001005"/>
    <s v="Chipwi Town"/>
    <s v="MMR001005701"/>
    <s v="Ba Leit Dan Ward"/>
    <s v="MMR001005701503"/>
    <x v="14"/>
    <x v="14"/>
    <x v="13"/>
    <n v="25.889410000000002"/>
    <n v="304"/>
    <n v="110"/>
    <n v="516"/>
    <n v="4.6909090909090905"/>
    <x v="0"/>
    <x v="0"/>
    <x v="0"/>
    <x v="0"/>
    <x v="10"/>
    <n v="1"/>
    <x v="3"/>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3"/>
    <m/>
    <n v="3"/>
    <s v="Chipwi Town"/>
    <n v="0.15809623370782155"/>
    <n v="1"/>
  </r>
  <r>
    <x v="0"/>
    <x v="0"/>
    <s v="MMR001"/>
    <s v="Myitkyina"/>
    <s v="MMR001D001"/>
    <x v="2"/>
    <s v="MMR001005"/>
    <s v="Hpa Re (Pang War Sub-township)"/>
    <s v="MMR001005026"/>
    <s v="Hpa Re Waw Jang"/>
    <n v="166355"/>
    <x v="15"/>
    <x v="15"/>
    <x v="14"/>
    <n v="25.754110000000001"/>
    <n v="2785"/>
    <n v="155"/>
    <n v="768"/>
    <n v="4.9548387096774196"/>
    <x v="1"/>
    <x v="0"/>
    <x v="0"/>
    <x v="2"/>
    <x v="8"/>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1"/>
    <n v="155"/>
    <m/>
    <n v="155"/>
    <s v="Pang War Town"/>
    <n v="19.834999342466848"/>
    <n v="4"/>
  </r>
  <r>
    <x v="1"/>
    <x v="0"/>
    <s v="MMR001"/>
    <s v="Myitkyina"/>
    <s v="MMR001D001"/>
    <x v="3"/>
    <s v="MMR001001"/>
    <s v="Myitkyina Town"/>
    <s v="MMR001001701"/>
    <s v="Myay Myint Ward"/>
    <s v="MMR001001701517"/>
    <x v="16"/>
    <x v="16"/>
    <x v="15"/>
    <n v="25.387862999999999"/>
    <n v="0"/>
    <n v="0"/>
    <n v="0"/>
    <s v="NA"/>
    <x v="0"/>
    <x v="0"/>
    <x v="0"/>
    <x v="0"/>
    <x v="11"/>
    <n v="1"/>
    <x v="3"/>
    <s v="IP"/>
    <m/>
    <d v="2015-06-25T00:00:00"/>
    <s v="25-Jun-15 Relocate to Shatapru Thida Aye Baptist Church_x000a_Population update: Source: Camp Profile Round 2."/>
    <s v="P4"/>
    <n v="0"/>
    <m/>
    <n v="0"/>
    <s v="Myitkyina Town"/>
    <n v="1.3751794210741128"/>
    <n v="1"/>
  </r>
  <r>
    <x v="0"/>
    <x v="0"/>
    <s v="MMR001"/>
    <s v="Bhamo"/>
    <s v="MMR001D003"/>
    <x v="4"/>
    <s v="MMR001013"/>
    <s v="Mansi Town"/>
    <s v="MMR001013701"/>
    <m/>
    <m/>
    <x v="3"/>
    <x v="17"/>
    <x v="16"/>
    <n v="24.118618999999999"/>
    <m/>
    <n v="73"/>
    <n v="274"/>
    <n v="3.7534246575342465"/>
    <x v="0"/>
    <x v="0"/>
    <x v="1"/>
    <x v="0"/>
    <x v="3"/>
    <m/>
    <x v="2"/>
    <s v="IP"/>
    <m/>
    <d v="2017-04-07T00:00:00"/>
    <s v="7/April/2017: Population update. Data source: WFP_x000a_9/Nov/15. Population update. Data source: mail from Pancy (WFP)._x000a_Update IDP increased in Oct and Nov 2013 from (UNHCR - Bhamo)"/>
    <s v="P4"/>
    <n v="0"/>
    <m/>
    <n v="0"/>
    <s v="Mansi Town"/>
    <n v="0.51447052329458698"/>
    <n v="1"/>
  </r>
  <r>
    <x v="0"/>
    <x v="0"/>
    <s v="MMR001"/>
    <s v="Myitkyina"/>
    <s v="MMR001D001"/>
    <x v="2"/>
    <s v="MMR001005"/>
    <s v="Urban"/>
    <s v="MMR001005701"/>
    <s v="Rit Law"/>
    <m/>
    <x v="17"/>
    <x v="18"/>
    <x v="17"/>
    <n v="25.887339999999998"/>
    <n v="259.10000000000002"/>
    <n v="143"/>
    <n v="637"/>
    <n v="4.4545454545454541"/>
    <x v="0"/>
    <x v="0"/>
    <x v="0"/>
    <x v="3"/>
    <x v="12"/>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0"/>
    <m/>
    <n v="70"/>
    <s v="Chipwi Town"/>
    <n v="0"/>
    <n v="1"/>
  </r>
  <r>
    <x v="0"/>
    <x v="0"/>
    <s v="MMR001"/>
    <s v="Myitkyina"/>
    <s v="MMR001D001"/>
    <x v="2"/>
    <s v="MMR001005"/>
    <s v="Pang War Town"/>
    <s v="MMR001005702"/>
    <s v="No (2) Ward"/>
    <s v="MMR001005702502"/>
    <x v="18"/>
    <x v="19"/>
    <x v="18"/>
    <n v="25.60867"/>
    <n v="2345"/>
    <n v="61"/>
    <n v="273"/>
    <n v="4.4754098360655741"/>
    <x v="0"/>
    <x v="0"/>
    <x v="0"/>
    <x v="3"/>
    <x v="13"/>
    <n v="1"/>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1"/>
    <m/>
    <n v="61"/>
    <s v="Pang War Town"/>
    <n v="0.18710270881855062"/>
    <n v="1"/>
  </r>
  <r>
    <x v="0"/>
    <x v="0"/>
    <s v="MMR001"/>
    <s v="Myitkyina"/>
    <s v="MMR001D001"/>
    <x v="2"/>
    <s v="MMR001005"/>
    <s v="Lang Jaw"/>
    <s v="MMR001005022"/>
    <s v="Saw Zam"/>
    <m/>
    <x v="19"/>
    <x v="20"/>
    <x v="19"/>
    <n v="25.645959999999999"/>
    <n v="1945"/>
    <n v="31"/>
    <n v="180"/>
    <n v="5.806451612903226"/>
    <x v="0"/>
    <x v="0"/>
    <x v="0"/>
    <x v="0"/>
    <x v="13"/>
    <m/>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P1"/>
    <n v="31"/>
    <m/>
    <n v="31"/>
    <s v="Naypyitaw Town"/>
    <n v="0"/>
    <n v="1"/>
  </r>
  <r>
    <x v="0"/>
    <x v="0"/>
    <s v="MMR001"/>
    <s v="Mohnyin"/>
    <s v="MMR001D002"/>
    <x v="5"/>
    <s v="MMR001009"/>
    <s v="Lone Khin"/>
    <s v="MMR001009001"/>
    <s v="Lone Khin"/>
    <n v="166773"/>
    <x v="20"/>
    <x v="21"/>
    <x v="20"/>
    <n v="25.656130000000001"/>
    <n v="0"/>
    <n v="67"/>
    <n v="351"/>
    <n v="5.2388059701492535"/>
    <x v="0"/>
    <x v="0"/>
    <x v="0"/>
    <x v="3"/>
    <x v="6"/>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P4"/>
    <n v="47"/>
    <m/>
    <n v="47"/>
    <s v="Hpakant Town"/>
    <n v="6.4753396248436657"/>
    <n v="2"/>
  </r>
  <r>
    <x v="0"/>
    <x v="0"/>
    <s v="MMR001"/>
    <s v="Mohnyin"/>
    <s v="MMR001D002"/>
    <x v="5"/>
    <s v="MMR001009"/>
    <s v="Lone Khin"/>
    <s v="MMR001009001"/>
    <s v="Lone Khin"/>
    <n v="166773"/>
    <x v="21"/>
    <x v="22"/>
    <x v="21"/>
    <n v="25.656009999999998"/>
    <n v="317"/>
    <n v="72"/>
    <n v="363"/>
    <n v="5.041666666666667"/>
    <x v="0"/>
    <x v="0"/>
    <x v="0"/>
    <x v="3"/>
    <x v="6"/>
    <m/>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60"/>
    <m/>
    <n v="60"/>
    <s v="Hpakant Town"/>
    <n v="6.3039408411778268"/>
    <n v="2"/>
  </r>
  <r>
    <x v="0"/>
    <x v="0"/>
    <s v="MMR001"/>
    <s v="Mohnyin"/>
    <s v="MMR001D002"/>
    <x v="5"/>
    <s v="MMR001009"/>
    <s v="Wa Ra Zut"/>
    <s v="MMR001009009"/>
    <s v="Shar Du Zut"/>
    <n v="166819"/>
    <x v="22"/>
    <x v="23"/>
    <x v="22"/>
    <n v="25.920006000000001"/>
    <m/>
    <n v="32"/>
    <n v="83"/>
    <n v="2.59375"/>
    <x v="0"/>
    <x v="0"/>
    <x v="0"/>
    <x v="3"/>
    <x v="14"/>
    <m/>
    <x v="2"/>
    <s v="IP"/>
    <m/>
    <d v="2016-09-16T00:00:00"/>
    <s v="16/Sep/2016: New added camp. There no responsible organization."/>
    <m/>
    <n v="32"/>
    <m/>
    <n v="32"/>
    <s v="Hpakant Town"/>
    <n v="0"/>
    <n v="1"/>
  </r>
  <r>
    <x v="0"/>
    <x v="0"/>
    <s v="MMR001"/>
    <s v="Mohnyin"/>
    <s v="MMR001D002"/>
    <x v="5"/>
    <s v="MMR001009"/>
    <s v="Lone Khin"/>
    <s v="MMR001009001"/>
    <s v="Lone Khin"/>
    <n v="166773"/>
    <x v="23"/>
    <x v="24"/>
    <x v="23"/>
    <n v="25.635300000000001"/>
    <n v="0"/>
    <n v="67"/>
    <n v="353"/>
    <n v="5.2686567164179108"/>
    <x v="0"/>
    <x v="0"/>
    <x v="0"/>
    <x v="0"/>
    <x v="6"/>
    <n v="1"/>
    <x v="3"/>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0"/>
    <x v="0"/>
    <s v="MMR001"/>
    <s v="Mohnyin"/>
    <s v="MMR001D002"/>
    <x v="5"/>
    <s v="MMR001009"/>
    <s v="Hpakan Town"/>
    <s v="MMR001009701"/>
    <s v="Maw Wam Ward"/>
    <s v="MMR001009701501"/>
    <x v="24"/>
    <x v="25"/>
    <x v="24"/>
    <n v="25.616509000000001"/>
    <n v="264"/>
    <n v="14"/>
    <n v="83"/>
    <n v="5.9285714285714288"/>
    <x v="0"/>
    <x v="0"/>
    <x v="0"/>
    <x v="0"/>
    <x v="6"/>
    <n v="1"/>
    <x v="3"/>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5"/>
    <s v="MMR001009"/>
    <s v="Lone Khin"/>
    <s v="MMR001009001"/>
    <s v="Hmaw Si Zar"/>
    <n v="166775"/>
    <x v="25"/>
    <x v="26"/>
    <x v="25"/>
    <n v="25.647649999999999"/>
    <n v="0"/>
    <n v="38"/>
    <n v="233"/>
    <n v="6.1315789473684212"/>
    <x v="0"/>
    <x v="0"/>
    <x v="0"/>
    <x v="3"/>
    <x v="6"/>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P4"/>
    <n v="18"/>
    <m/>
    <n v="18"/>
    <s v="Hpakant Town"/>
    <n v="5.184483270539272"/>
    <n v="2"/>
  </r>
  <r>
    <x v="0"/>
    <x v="0"/>
    <s v="MMR001"/>
    <s v="Mohnyin"/>
    <s v="MMR001D002"/>
    <x v="5"/>
    <s v="MMR001009"/>
    <s v="Seik Mu"/>
    <s v="MMR001009003"/>
    <s v="Seik Mu"/>
    <n v="166783"/>
    <x v="26"/>
    <x v="27"/>
    <x v="26"/>
    <n v="25.582065"/>
    <n v="0"/>
    <n v="6"/>
    <n v="30"/>
    <n v="5"/>
    <x v="0"/>
    <x v="0"/>
    <x v="0"/>
    <x v="0"/>
    <x v="15"/>
    <n v="1"/>
    <x v="3"/>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0"/>
    <x v="0"/>
    <s v="MMR001"/>
    <s v="Mohnyin"/>
    <s v="MMR001D002"/>
    <x v="5"/>
    <s v="MMR001009"/>
    <s v="Lone Khin"/>
    <s v="MMR001009001"/>
    <s v="Nyein Chan Thar Yar"/>
    <n v="216876"/>
    <x v="27"/>
    <x v="28"/>
    <x v="27"/>
    <n v="25.637309999999999"/>
    <n v="277.60000000000002"/>
    <n v="66"/>
    <n v="362"/>
    <n v="5.4848484848484844"/>
    <x v="0"/>
    <x v="0"/>
    <x v="0"/>
    <x v="0"/>
    <x v="6"/>
    <n v="1"/>
    <x v="3"/>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0"/>
    <x v="0"/>
    <s v="MMR001"/>
    <s v="Mohnyin"/>
    <s v="MMR001D002"/>
    <x v="5"/>
    <s v="MMR001009"/>
    <s v="Nam Si In (Karmaing Sub-township)"/>
    <s v="MMR001009012"/>
    <s v="Htwe San Yang"/>
    <n v="220512"/>
    <x v="28"/>
    <x v="29"/>
    <x v="28"/>
    <n v="25.51352"/>
    <n v="0"/>
    <n v="13"/>
    <n v="46"/>
    <n v="3.5384615384615383"/>
    <x v="0"/>
    <x v="0"/>
    <x v="0"/>
    <x v="0"/>
    <x v="5"/>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P4"/>
    <n v="13"/>
    <m/>
    <n v="13"/>
    <s v="Kamaing Town"/>
    <n v="1.1537462444167914"/>
    <n v="1"/>
  </r>
  <r>
    <x v="0"/>
    <x v="0"/>
    <s v="MMR001"/>
    <s v="Mohnyin"/>
    <s v="MMR001D002"/>
    <x v="5"/>
    <s v="MMR001009"/>
    <s v="Hpakan Town"/>
    <s v="MMR001009701"/>
    <s v="Maw Wam Ward"/>
    <s v="MMR001009701501"/>
    <x v="29"/>
    <x v="30"/>
    <x v="29"/>
    <n v="25.615960999999999"/>
    <n v="281"/>
    <n v="5"/>
    <n v="34"/>
    <n v="6.8"/>
    <x v="0"/>
    <x v="0"/>
    <x v="0"/>
    <x v="0"/>
    <x v="9"/>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0"/>
    <s v="MMR001"/>
    <s v="Mohnyin"/>
    <s v="MMR001D002"/>
    <x v="5"/>
    <s v="MMR001009"/>
    <s v="Nam Ma Hpyit"/>
    <s v="MMR001009002"/>
    <s v="Nam Ma Hpyit"/>
    <n v="166776"/>
    <x v="30"/>
    <x v="31"/>
    <x v="30"/>
    <n v="25.611160000000002"/>
    <m/>
    <n v="103"/>
    <n v="490"/>
    <n v="4.7572815533980579"/>
    <x v="0"/>
    <x v="0"/>
    <x v="0"/>
    <x v="0"/>
    <x v="9"/>
    <m/>
    <x v="1"/>
    <s v="IP"/>
    <m/>
    <d v="2017-03-15T00:00:00"/>
    <s v="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P4"/>
    <n v="103"/>
    <m/>
    <n v="103"/>
    <s v="Hpakant Town"/>
    <n v="0.19374952337076978"/>
    <n v="1"/>
  </r>
  <r>
    <x v="0"/>
    <x v="0"/>
    <s v="MMR001"/>
    <s v="Mohnyin"/>
    <s v="MMR001D002"/>
    <x v="5"/>
    <s v="MMR001009"/>
    <s v="Lone Khin"/>
    <s v="MMR001009001"/>
    <s v="Ku Day"/>
    <n v="216877"/>
    <x v="31"/>
    <x v="32"/>
    <x v="31"/>
    <n v="25.806999999999999"/>
    <m/>
    <n v="52"/>
    <n v="242"/>
    <n v="4.6538461538461542"/>
    <x v="0"/>
    <x v="0"/>
    <x v="0"/>
    <x v="3"/>
    <x v="16"/>
    <m/>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m/>
    <n v="2"/>
    <m/>
    <n v="2"/>
    <s v="Hpakant Town"/>
    <n v="10"/>
    <n v="3"/>
  </r>
  <r>
    <x v="1"/>
    <x v="0"/>
    <s v="MMR001"/>
    <s v="Myitkyina"/>
    <s v="MMR001D001"/>
    <x v="6"/>
    <s v="MMR001002"/>
    <s v="Nawng Si Paw"/>
    <s v="MMR001002013"/>
    <s v="Nawng Si Paw"/>
    <n v="165750"/>
    <x v="32"/>
    <x v="33"/>
    <x v="5"/>
    <m/>
    <m/>
    <n v="0"/>
    <n v="0"/>
    <s v="NA"/>
    <x v="0"/>
    <x v="0"/>
    <x v="0"/>
    <x v="1"/>
    <x v="3"/>
    <m/>
    <x v="2"/>
    <m/>
    <m/>
    <m/>
    <s v=" "/>
    <s v=""/>
    <n v="0"/>
    <m/>
    <n v="0"/>
    <s v=""/>
    <s v=""/>
    <s v=""/>
  </r>
  <r>
    <x v="1"/>
    <x v="0"/>
    <s v="MMR001"/>
    <s v="Myitkyina"/>
    <s v="MMR001D001"/>
    <x v="6"/>
    <s v="MMR001002"/>
    <s v="Hkat Shu"/>
    <s v="MMR001002003"/>
    <s v="Hkat Shu"/>
    <n v="165735"/>
    <x v="33"/>
    <x v="34"/>
    <x v="32"/>
    <n v="25.328987000000001"/>
    <m/>
    <n v="0"/>
    <n v="0"/>
    <s v="NA"/>
    <x v="0"/>
    <x v="0"/>
    <x v="0"/>
    <x v="1"/>
    <x v="3"/>
    <m/>
    <x v="2"/>
    <m/>
    <m/>
    <m/>
    <s v=" "/>
    <s v=""/>
    <n v="0"/>
    <m/>
    <n v="0"/>
    <s v=""/>
    <s v=""/>
    <s v=""/>
  </r>
  <r>
    <x v="1"/>
    <x v="0"/>
    <s v="MMR001"/>
    <s v="Myitkyina"/>
    <s v="MMR001D001"/>
    <x v="6"/>
    <s v="MMR001002"/>
    <s v="Waingmaw Town"/>
    <s v="MMR001002701"/>
    <s v="No (2) Ward"/>
    <s v="MMR001002701502"/>
    <x v="34"/>
    <x v="35"/>
    <x v="33"/>
    <n v="25.355841999999999"/>
    <n v="0"/>
    <m/>
    <m/>
    <s v="NA"/>
    <x v="0"/>
    <x v="0"/>
    <x v="2"/>
    <x v="0"/>
    <x v="0"/>
    <n v="1"/>
    <x v="1"/>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ohnyin"/>
    <s v="MMR001D002"/>
    <x v="5"/>
    <s v="MMR001009"/>
    <s v="Seik Mu"/>
    <s v="MMR001009003"/>
    <s v="Maw Shan"/>
    <n v="166785"/>
    <x v="35"/>
    <x v="36"/>
    <x v="34"/>
    <n v="25.566510000000001"/>
    <n v="278"/>
    <n v="25"/>
    <n v="118"/>
    <n v="4.72"/>
    <x v="0"/>
    <x v="0"/>
    <x v="0"/>
    <x v="3"/>
    <x v="6"/>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0"/>
    <x v="0"/>
    <s v="MMR001"/>
    <s v="Mohnyin"/>
    <s v="MMR001D002"/>
    <x v="5"/>
    <s v="MMR001009"/>
    <s v="Hpakan Town"/>
    <s v="MMR001009701"/>
    <s v="Maw Wam Ward"/>
    <s v="MMR001009701501"/>
    <x v="36"/>
    <x v="37"/>
    <x v="35"/>
    <n v="25.61842"/>
    <n v="250"/>
    <n v="15"/>
    <n v="73"/>
    <n v="4.8666666666666663"/>
    <x v="0"/>
    <x v="0"/>
    <x v="0"/>
    <x v="0"/>
    <x v="6"/>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0"/>
    <x v="1"/>
    <s v="MMR015"/>
    <s v="Muse"/>
    <s v="MMR015D002"/>
    <x v="1"/>
    <s v="MMR015010"/>
    <s v="Nawng Hkam"/>
    <s v="MMR015010010"/>
    <s v="Nawng Hkam"/>
    <n v="208353"/>
    <x v="37"/>
    <x v="38"/>
    <x v="36"/>
    <n v="23.821380000000001"/>
    <n v="811.6"/>
    <n v="75"/>
    <n v="383"/>
    <n v="5.1066666666666665"/>
    <x v="0"/>
    <x v="0"/>
    <x v="0"/>
    <x v="0"/>
    <x v="17"/>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0"/>
    <m/>
    <n v="0"/>
    <s v="Namhkan Town"/>
    <n v="1.7369508287203668"/>
    <n v="1"/>
  </r>
  <r>
    <x v="0"/>
    <x v="0"/>
    <s v="MMR001"/>
    <s v="Mohnyin"/>
    <s v="MMR001D002"/>
    <x v="5"/>
    <s v="MMR001009"/>
    <s v="Hpakan Town"/>
    <s v="MMR001009701"/>
    <s v="Maw Wam Ward"/>
    <s v="MMR001009701501"/>
    <x v="38"/>
    <x v="39"/>
    <x v="37"/>
    <n v="25.6145"/>
    <n v="65"/>
    <n v="4"/>
    <n v="22"/>
    <n v="5.5"/>
    <x v="0"/>
    <x v="0"/>
    <x v="0"/>
    <x v="0"/>
    <x v="9"/>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P4"/>
    <n v="0"/>
    <m/>
    <n v="0"/>
    <s v="Hpakant Town"/>
    <n v="0.79577754007276646"/>
    <n v="1"/>
  </r>
  <r>
    <x v="0"/>
    <x v="0"/>
    <s v="MMR001"/>
    <s v="Mohnyin"/>
    <s v="MMR001D002"/>
    <x v="5"/>
    <s v="MMR001009"/>
    <s v="Wa Ra Zut"/>
    <s v="MMR001009009"/>
    <s v="Shar Du Zut"/>
    <n v="166819"/>
    <x v="39"/>
    <x v="40"/>
    <x v="22"/>
    <n v="25.920006000000001"/>
    <m/>
    <n v="22"/>
    <n v="52"/>
    <n v="2.3636363636363638"/>
    <x v="0"/>
    <x v="0"/>
    <x v="0"/>
    <x v="3"/>
    <x v="14"/>
    <m/>
    <x v="2"/>
    <s v="IP"/>
    <m/>
    <d v="2016-09-16T00:00:00"/>
    <s v="16/Sep/2016: New added camp. There no responsible organization."/>
    <m/>
    <n v="22"/>
    <m/>
    <n v="22"/>
    <s v="Hpakant Town"/>
    <n v="0"/>
    <n v="1"/>
  </r>
  <r>
    <x v="0"/>
    <x v="0"/>
    <s v="MMR001"/>
    <s v="Mohnyin"/>
    <s v="MMR001D002"/>
    <x v="5"/>
    <s v="MMR001009"/>
    <s v="Nam Ma Hpyit"/>
    <s v="MMR001009002"/>
    <s v="Nam Ma Hpyit"/>
    <n v="166776"/>
    <x v="40"/>
    <x v="41"/>
    <x v="38"/>
    <n v="25.617998"/>
    <m/>
    <n v="12"/>
    <n v="50"/>
    <n v="4.166666666666667"/>
    <x v="0"/>
    <x v="0"/>
    <x v="0"/>
    <x v="0"/>
    <x v="6"/>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0"/>
    <m/>
    <n v="0"/>
    <s v="Hpakant Town"/>
    <n v="2.814225084976667"/>
    <n v="1"/>
  </r>
  <r>
    <x v="0"/>
    <x v="0"/>
    <s v="MMR001"/>
    <s v="Mohnyin"/>
    <s v="MMR001D002"/>
    <x v="5"/>
    <s v="MMR001009"/>
    <s v="Nam Ma Hpyit"/>
    <s v="MMR001009002"/>
    <s v="Nam Ma Hpyit"/>
    <n v="166776"/>
    <x v="41"/>
    <x v="42"/>
    <x v="39"/>
    <n v="25.613894999999999"/>
    <n v="251"/>
    <n v="51"/>
    <n v="225"/>
    <n v="4.4117647058823533"/>
    <x v="0"/>
    <x v="0"/>
    <x v="0"/>
    <x v="0"/>
    <x v="15"/>
    <n v="3"/>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1"/>
    <x v="0"/>
    <s v="MMR001"/>
    <s v="Myitkyina"/>
    <s v="MMR001D001"/>
    <x v="2"/>
    <s v="MMR001005"/>
    <m/>
    <m/>
    <m/>
    <m/>
    <x v="42"/>
    <x v="43"/>
    <x v="5"/>
    <m/>
    <m/>
    <n v="0"/>
    <n v="0"/>
    <s v="NA"/>
    <x v="0"/>
    <x v="0"/>
    <x v="0"/>
    <x v="1"/>
    <x v="3"/>
    <m/>
    <x v="2"/>
    <m/>
    <m/>
    <m/>
    <s v=" "/>
    <s v=""/>
    <n v="0"/>
    <m/>
    <n v="0"/>
    <s v=""/>
    <s v=""/>
    <s v=""/>
  </r>
  <r>
    <x v="0"/>
    <x v="0"/>
    <s v="MMR001"/>
    <s v="Mohnyin"/>
    <s v="MMR001D002"/>
    <x v="5"/>
    <s v="MMR001009"/>
    <s v="Seik Mu"/>
    <s v="MMR001009003"/>
    <s v="Maw Shan"/>
    <n v="166785"/>
    <x v="43"/>
    <x v="44"/>
    <x v="40"/>
    <n v="25.56551"/>
    <n v="259"/>
    <n v="10"/>
    <n v="39"/>
    <n v="3.9"/>
    <x v="0"/>
    <x v="0"/>
    <x v="0"/>
    <x v="3"/>
    <x v="6"/>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1"/>
    <x v="0"/>
    <s v="MMR001"/>
    <s v="Myitkyina"/>
    <s v="MMR001D001"/>
    <x v="2"/>
    <s v="MMR001005"/>
    <m/>
    <m/>
    <m/>
    <m/>
    <x v="44"/>
    <x v="45"/>
    <x v="5"/>
    <m/>
    <m/>
    <m/>
    <m/>
    <s v="NA"/>
    <x v="0"/>
    <x v="0"/>
    <x v="0"/>
    <x v="3"/>
    <x v="3"/>
    <m/>
    <x v="5"/>
    <s v="IP"/>
    <m/>
    <d v="2015-04-02T00:00:00"/>
    <s v="2-Apr-15 (Closed. Source: GAD)_x000a_Responsible Agency update. KMSS-BMO to KMSS-MYT."/>
    <s v="P1"/>
    <n v="0"/>
    <m/>
    <n v="0"/>
    <s v=""/>
    <s v=""/>
    <s v=""/>
  </r>
  <r>
    <x v="0"/>
    <x v="0"/>
    <s v="MMR001"/>
    <s v="Mohnyin"/>
    <s v="MMR001D002"/>
    <x v="5"/>
    <s v="MMR001009"/>
    <s v="Seik Mu"/>
    <s v="MMR001009003"/>
    <s v="Maw Shan"/>
    <n v="166785"/>
    <x v="45"/>
    <x v="46"/>
    <x v="41"/>
    <n v="25.668399999999998"/>
    <n v="0"/>
    <n v="8"/>
    <n v="36"/>
    <n v="4.5"/>
    <x v="0"/>
    <x v="0"/>
    <x v="0"/>
    <x v="3"/>
    <x v="6"/>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P4"/>
    <n v="3"/>
    <m/>
    <n v="3"/>
    <s v="Hpakant Town"/>
    <n v="7.419312682373878"/>
    <n v="2"/>
  </r>
  <r>
    <x v="1"/>
    <x v="0"/>
    <s v="MMR001"/>
    <s v="Bhamo"/>
    <s v="MMR001D003"/>
    <x v="0"/>
    <s v="MMR001010"/>
    <m/>
    <m/>
    <m/>
    <m/>
    <x v="46"/>
    <x v="47"/>
    <x v="42"/>
    <n v="24.262418020999998"/>
    <m/>
    <n v="0"/>
    <n v="0"/>
    <s v="NA"/>
    <x v="0"/>
    <x v="0"/>
    <x v="0"/>
    <x v="1"/>
    <x v="3"/>
    <m/>
    <x v="2"/>
    <s v="IP"/>
    <m/>
    <d v="2014-01-22T00:00:00"/>
    <s v="Closed: Source UNHCR-Bhamo"/>
    <s v=""/>
    <n v="0"/>
    <m/>
    <n v="0"/>
    <s v=""/>
    <s v=""/>
    <s v=""/>
  </r>
  <r>
    <x v="0"/>
    <x v="0"/>
    <s v="MMR001"/>
    <s v="Mohnyin"/>
    <s v="MMR001D002"/>
    <x v="5"/>
    <s v="MMR001009"/>
    <s v="Wa Ra Zut"/>
    <s v="MMR001009009"/>
    <s v="Shar Du Zut"/>
    <n v="166819"/>
    <x v="47"/>
    <x v="48"/>
    <x v="22"/>
    <n v="25.920006000000001"/>
    <m/>
    <n v="32"/>
    <n v="92"/>
    <n v="2.875"/>
    <x v="0"/>
    <x v="0"/>
    <x v="0"/>
    <x v="3"/>
    <x v="14"/>
    <m/>
    <x v="1"/>
    <s v="IP"/>
    <m/>
    <d v="2017-03-15T00:00:00"/>
    <s v="15/Mar/2017: Population update. Data Source: KBC_x000a_24/Feb/2017: Population update. Data source: KBC_x000a_16/Sep/2016: New added camp. There no responsible organization."/>
    <m/>
    <n v="32"/>
    <m/>
    <n v="32"/>
    <s v="Hpakant Town"/>
    <n v="0"/>
    <n v="1"/>
  </r>
  <r>
    <x v="0"/>
    <x v="0"/>
    <s v="MMR001"/>
    <s v="Mohnyin"/>
    <s v="MMR001D002"/>
    <x v="5"/>
    <s v="MMR001009"/>
    <s v="Wa Ra Zut"/>
    <s v="MMR001009009"/>
    <s v="Shar Du Zut"/>
    <n v="166819"/>
    <x v="48"/>
    <x v="49"/>
    <x v="22"/>
    <n v="25.920006000000001"/>
    <m/>
    <n v="7"/>
    <n v="19"/>
    <n v="2.7142857142857144"/>
    <x v="0"/>
    <x v="0"/>
    <x v="0"/>
    <x v="3"/>
    <x v="14"/>
    <m/>
    <x v="2"/>
    <s v="IP"/>
    <m/>
    <d v="2016-09-16T00:00:00"/>
    <s v="16/Sep/2016: New added camp. There no responsible organization."/>
    <m/>
    <n v="7"/>
    <m/>
    <n v="7"/>
    <s v="Hpakant Town"/>
    <n v="0"/>
    <n v="1"/>
  </r>
  <r>
    <x v="0"/>
    <x v="0"/>
    <s v="MMR001"/>
    <s v="Mohnyin"/>
    <s v="MMR001D002"/>
    <x v="5"/>
    <s v="MMR001009"/>
    <s v="Wa Ra Zut"/>
    <s v="MMR001009009"/>
    <s v="Shar Du Zut"/>
    <n v="166819"/>
    <x v="49"/>
    <x v="50"/>
    <x v="22"/>
    <n v="25.920006000000001"/>
    <m/>
    <n v="13"/>
    <n v="47"/>
    <n v="3.6153846153846154"/>
    <x v="0"/>
    <x v="0"/>
    <x v="0"/>
    <x v="3"/>
    <x v="14"/>
    <m/>
    <x v="2"/>
    <s v="IP"/>
    <m/>
    <d v="2016-09-16T00:00:00"/>
    <s v="16/Sep/2016: New added camp. There no responsible organization."/>
    <m/>
    <n v="13"/>
    <m/>
    <n v="13"/>
    <s v="Hpakant Town"/>
    <n v="0"/>
    <n v="1"/>
  </r>
  <r>
    <x v="0"/>
    <x v="0"/>
    <s v="MMR001"/>
    <s v="Myitkyina"/>
    <s v="MMR001D001"/>
    <x v="5"/>
    <s v="MMR001004"/>
    <s v="Wa Ra Zut"/>
    <s v="MMR001009009"/>
    <s v="Wa Ra Zut"/>
    <n v="166818"/>
    <x v="50"/>
    <x v="51"/>
    <x v="31"/>
    <n v="25.806999999999999"/>
    <m/>
    <n v="6"/>
    <n v="9"/>
    <n v="1.5"/>
    <x v="0"/>
    <x v="0"/>
    <x v="0"/>
    <x v="3"/>
    <x v="18"/>
    <m/>
    <x v="2"/>
    <s v="IP"/>
    <m/>
    <d v="2016-07-25T00:00:00"/>
    <s v="25/Jul/2016: Added as new camp according to KBC data. Data was given by Jade"/>
    <m/>
    <n v="6"/>
    <m/>
    <n v="6"/>
    <s v="Hpakant Town"/>
    <n v="0"/>
    <n v="1"/>
  </r>
  <r>
    <x v="0"/>
    <x v="0"/>
    <s v="MMR001"/>
    <s v="Mohnyin"/>
    <s v="MMR001D002"/>
    <x v="5"/>
    <s v="MMR001009"/>
    <s v="Seik Mu"/>
    <s v="MMR001009003"/>
    <s v="Sai Taung (Ywar Haung)"/>
    <n v="166788"/>
    <x v="51"/>
    <x v="52"/>
    <x v="43"/>
    <n v="25.577559999999998"/>
    <n v="0"/>
    <n v="35"/>
    <n v="173"/>
    <n v="4.9428571428571431"/>
    <x v="0"/>
    <x v="0"/>
    <x v="0"/>
    <x v="0"/>
    <x v="6"/>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0"/>
    <m/>
    <n v="20"/>
    <s v="Hpakant Town"/>
    <n v="4.6754712546149264"/>
    <n v="1"/>
  </r>
  <r>
    <x v="0"/>
    <x v="0"/>
    <s v="MMR001"/>
    <s v="Mohnyin"/>
    <s v="MMR001D002"/>
    <x v="5"/>
    <s v="MMR001009"/>
    <s v="Nam Ma Hpyit"/>
    <s v="MMR001009002"/>
    <s v="Nam Ma Hpyit"/>
    <n v="166776"/>
    <x v="52"/>
    <x v="53"/>
    <x v="44"/>
    <n v="25.599250000000001"/>
    <n v="0"/>
    <n v="12"/>
    <n v="43"/>
    <n v="3.5833333333333335"/>
    <x v="0"/>
    <x v="0"/>
    <x v="0"/>
    <x v="0"/>
    <x v="9"/>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P4"/>
    <n v="2"/>
    <m/>
    <n v="2"/>
    <s v="Hpakant Town"/>
    <n v="1.5942018764815451"/>
    <n v="1"/>
  </r>
  <r>
    <x v="0"/>
    <x v="0"/>
    <s v="MMR001"/>
    <s v="Bhamo"/>
    <s v="MMR001D003"/>
    <x v="7"/>
    <s v="MMR001012"/>
    <s v="Momauk Town"/>
    <s v="MMR001012701"/>
    <m/>
    <m/>
    <x v="3"/>
    <x v="54"/>
    <x v="45"/>
    <n v="24.251232000000002"/>
    <m/>
    <n v="226"/>
    <n v="1048"/>
    <n v="4.6371681415929205"/>
    <x v="0"/>
    <x v="0"/>
    <x v="1"/>
    <x v="0"/>
    <x v="3"/>
    <m/>
    <x v="2"/>
    <s v="RRD"/>
    <m/>
    <d v="2017-04-07T00:00:00"/>
    <s v="7/April/2017: Population update. Data source: WFP_x000a_9/Nov/15. Population update. Data source: mail from Pancy (WFP)."/>
    <s v="P4"/>
    <n v="0"/>
    <m/>
    <n v="0"/>
    <s v="Momauk Town"/>
    <n v="0.60629049139006752"/>
    <n v="1"/>
  </r>
  <r>
    <x v="0"/>
    <x v="1"/>
    <s v="MMR015"/>
    <s v="Muse"/>
    <s v="MMR015D002"/>
    <x v="8"/>
    <s v="MMR015011"/>
    <s v="Long Waun Nam Rein (Tarmoenye Sub-township)"/>
    <s v="MMR015011050"/>
    <s v="Mai Pong (Shu See)"/>
    <n v="219842"/>
    <x v="53"/>
    <x v="55"/>
    <x v="46"/>
    <n v="23.400155999999999"/>
    <n v="3109"/>
    <n v="46"/>
    <n v="255"/>
    <n v="5.5434782608695654"/>
    <x v="0"/>
    <x v="0"/>
    <x v="0"/>
    <x v="3"/>
    <x v="1"/>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P1"/>
    <n v="41"/>
    <m/>
    <n v="41"/>
    <s v="Tarmoenye Town"/>
    <n v="23.172399462804503"/>
    <n v="5"/>
  </r>
  <r>
    <x v="1"/>
    <x v="0"/>
    <s v="MMR001"/>
    <s v="Bhamo"/>
    <s v="MMR001D003"/>
    <x v="7"/>
    <s v="MMR001012"/>
    <s v="Momauk Town"/>
    <s v="MMR001012701"/>
    <s v="Kyay Nan Waing Ward"/>
    <s v="MMR001012701503"/>
    <x v="54"/>
    <x v="56"/>
    <x v="47"/>
    <n v="24.25177"/>
    <n v="0"/>
    <m/>
    <m/>
    <s v="NA"/>
    <x v="0"/>
    <x v="0"/>
    <x v="0"/>
    <x v="0"/>
    <x v="19"/>
    <n v="2"/>
    <x v="0"/>
    <s v="IP"/>
    <m/>
    <d v="2014-11-28T00:00:00"/>
    <s v="Closed. Population relocated to Man Bung Catholic Compound (MMR001CMP062)"/>
    <s v="P4"/>
    <n v="0"/>
    <m/>
    <n v="0"/>
    <s v=""/>
    <s v=""/>
    <s v=""/>
  </r>
  <r>
    <x v="1"/>
    <x v="0"/>
    <s v="MMR001"/>
    <s v="Bhamo"/>
    <s v="MMR001D003"/>
    <x v="7"/>
    <s v="MMR001012"/>
    <s v="Momauk Town"/>
    <s v="MMR001012701"/>
    <s v="Ah Lin Kawng Ward"/>
    <s v="MMR001012701502"/>
    <x v="55"/>
    <x v="57"/>
    <x v="48"/>
    <n v="24.251860000000001"/>
    <n v="0"/>
    <m/>
    <m/>
    <s v="NA"/>
    <x v="0"/>
    <x v="0"/>
    <x v="0"/>
    <x v="0"/>
    <x v="11"/>
    <m/>
    <x v="2"/>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7"/>
    <s v="MMR001012"/>
    <s v="Momauk Town"/>
    <s v="MMR001012701"/>
    <s v="Ah Lin Kawng Ward"/>
    <s v="MMR001012701502"/>
    <x v="56"/>
    <x v="58"/>
    <x v="49"/>
    <n v="24.253769999999999"/>
    <n v="0"/>
    <m/>
    <m/>
    <s v="NA"/>
    <x v="0"/>
    <x v="0"/>
    <x v="0"/>
    <x v="0"/>
    <x v="11"/>
    <n v="1"/>
    <x v="3"/>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1"/>
    <s v="MMR015"/>
    <s v="Muse"/>
    <s v="MMR015D002"/>
    <x v="8"/>
    <s v="MMR015011"/>
    <s v="Nam Hpat Kar"/>
    <s v="MMR015011020"/>
    <s v="Nam Hpat Kar (Ho Pon + Pang Sa Lorp)"/>
    <n v="208696"/>
    <x v="57"/>
    <x v="59"/>
    <x v="50"/>
    <n v="23.694130000000001"/>
    <n v="1135.7"/>
    <n v="64"/>
    <n v="284"/>
    <n v="4.4375"/>
    <x v="0"/>
    <x v="0"/>
    <x v="0"/>
    <x v="3"/>
    <x v="2"/>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38"/>
    <m/>
    <n v="38"/>
    <s v="Namhkan Town"/>
    <n v="21.148671772283631"/>
    <n v="5"/>
  </r>
  <r>
    <x v="0"/>
    <x v="1"/>
    <s v="MMR015"/>
    <s v="Kyaukme"/>
    <s v="MMR015D003"/>
    <x v="9"/>
    <s v="MMR015019"/>
    <s v="Urban"/>
    <s v="MMR015019701"/>
    <s v="No (2) Ward"/>
    <s v="MMR015019701503"/>
    <x v="58"/>
    <x v="60"/>
    <x v="51"/>
    <n v="23.250678000000001"/>
    <n v="1250"/>
    <n v="36"/>
    <n v="179"/>
    <n v="4.9722222222222223"/>
    <x v="0"/>
    <x v="0"/>
    <x v="0"/>
    <x v="0"/>
    <x v="20"/>
    <n v="1"/>
    <x v="1"/>
    <s v="IP"/>
    <m/>
    <d v="2017-03-15T00:00:00"/>
    <s v="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P2"/>
    <n v="0"/>
    <m/>
    <n v="0"/>
    <s v="Manton Town"/>
    <n v="0.43878855438285824"/>
    <n v="1"/>
  </r>
  <r>
    <x v="0"/>
    <x v="0"/>
    <s v="MMR001"/>
    <s v="Bhamo"/>
    <s v="MMR001D003"/>
    <x v="7"/>
    <s v="MMR001012"/>
    <s v="Myo Thit"/>
    <s v="MMR001012010"/>
    <s v="Myo Thit"/>
    <n v="167048"/>
    <x v="59"/>
    <x v="61"/>
    <x v="52"/>
    <n v="24.404876999999999"/>
    <m/>
    <n v="44"/>
    <n v="143"/>
    <n v="3.25"/>
    <x v="0"/>
    <x v="0"/>
    <x v="1"/>
    <x v="3"/>
    <x v="3"/>
    <m/>
    <x v="2"/>
    <s v="RRD"/>
    <m/>
    <d v="2017-04-07T00:00:00"/>
    <s v="7/April/2017: Population update. Data source: WFP_x000a_Geo-Info, HH/Pop data was updated from Google Earth."/>
    <s v="P4"/>
    <n v="0"/>
    <m/>
    <n v="0"/>
    <s v="Momauk Town"/>
    <n v="17.689123339899055"/>
    <n v="4"/>
  </r>
  <r>
    <x v="1"/>
    <x v="0"/>
    <s v="MMR001"/>
    <s v="Bhamo"/>
    <s v="MMR001D003"/>
    <x v="4"/>
    <s v="MMR001013"/>
    <m/>
    <m/>
    <m/>
    <m/>
    <x v="60"/>
    <x v="62"/>
    <x v="5"/>
    <m/>
    <m/>
    <n v="0"/>
    <n v="0"/>
    <s v="NA"/>
    <x v="0"/>
    <x v="0"/>
    <x v="1"/>
    <x v="3"/>
    <x v="3"/>
    <m/>
    <x v="2"/>
    <s v="IP"/>
    <m/>
    <d v="2015-03-27T00:00:00"/>
    <s v="27-Mar-15 (Closed. Source: UNHCR-Bhamo)_x000a_New Camp"/>
    <s v="P4"/>
    <n v="0"/>
    <m/>
    <n v="0"/>
    <s v=""/>
    <s v=""/>
    <s v=""/>
  </r>
  <r>
    <x v="1"/>
    <x v="1"/>
    <s v="MMR015"/>
    <s v="Muse"/>
    <s v="MMR015D002"/>
    <x v="10"/>
    <s v="MMR015009"/>
    <s v="Man Gyat (Monekoe Sub-township)"/>
    <s v="MMR015009048"/>
    <s v="Gwum Hsan"/>
    <m/>
    <x v="61"/>
    <x v="63"/>
    <x v="53"/>
    <n v="24.101320999999999"/>
    <n v="2979"/>
    <m/>
    <m/>
    <s v="NA"/>
    <x v="1"/>
    <x v="0"/>
    <x v="0"/>
    <x v="0"/>
    <x v="13"/>
    <n v="1"/>
    <x v="1"/>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0"/>
    <x v="1"/>
    <s v="MMR015"/>
    <s v="Kyaukme"/>
    <s v="MMR015D003"/>
    <x v="11"/>
    <s v="MMR015015"/>
    <s v="Namtu Town"/>
    <s v="MMR015015701"/>
    <s v="Namtu Ward"/>
    <s v="MMR015015701501"/>
    <x v="62"/>
    <x v="64"/>
    <x v="54"/>
    <n v="23.094290000000001"/>
    <n v="534.29999999999995"/>
    <n v="8"/>
    <n v="39"/>
    <n v="4.875"/>
    <x v="0"/>
    <x v="0"/>
    <x v="0"/>
    <x v="0"/>
    <x v="20"/>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0"/>
    <m/>
    <n v="0"/>
    <s v="Namtu Town"/>
    <n v="0.37588352961435612"/>
    <n v="1"/>
  </r>
  <r>
    <x v="0"/>
    <x v="1"/>
    <s v="MMR015"/>
    <s v="Muse"/>
    <s v="MMR015D002"/>
    <x v="8"/>
    <s v="MMR015011"/>
    <s v="Kar Lai Kone Hsar"/>
    <s v="MMR015011005"/>
    <s v="Kar Lai"/>
    <n v="208557"/>
    <x v="63"/>
    <x v="65"/>
    <x v="55"/>
    <n v="23.4008"/>
    <n v="0"/>
    <n v="88"/>
    <n v="505"/>
    <n v="5.7386363636363633"/>
    <x v="0"/>
    <x v="0"/>
    <x v="0"/>
    <x v="3"/>
    <x v="6"/>
    <m/>
    <x v="1"/>
    <s v="IP"/>
    <m/>
    <d v="2017-03-15T00:00:00"/>
    <s v="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P3"/>
    <n v="0"/>
    <m/>
    <n v="0"/>
    <s v="Kutkai Town"/>
    <n v="11.65743881259678"/>
    <n v="3"/>
  </r>
  <r>
    <x v="0"/>
    <x v="1"/>
    <s v="MMR015"/>
    <s v="Muse"/>
    <s v="MMR015D002"/>
    <x v="8"/>
    <s v="MMR015011"/>
    <s v="Kutkai Town"/>
    <s v="MMR015011701"/>
    <s v="No (5) Ward"/>
    <s v="MMR015011701505"/>
    <x v="64"/>
    <x v="66"/>
    <x v="56"/>
    <n v="23.450914000000001"/>
    <n v="4336"/>
    <n v="60"/>
    <n v="288"/>
    <n v="4.8"/>
    <x v="0"/>
    <x v="0"/>
    <x v="0"/>
    <x v="0"/>
    <x v="10"/>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P3"/>
    <n v="0"/>
    <m/>
    <n v="0"/>
    <s v="Kutkai Town"/>
    <n v="1.9281430163271129"/>
    <n v="1"/>
  </r>
  <r>
    <x v="0"/>
    <x v="1"/>
    <s v="MMR015"/>
    <s v="Muse"/>
    <s v="MMR015D002"/>
    <x v="8"/>
    <s v="MMR015011"/>
    <s v="Kutkai Town"/>
    <s v="MMR015011701"/>
    <s v="No (3) Ward"/>
    <s v="MMR015011701503"/>
    <x v="65"/>
    <x v="67"/>
    <x v="57"/>
    <n v="23.460349999999998"/>
    <n v="4430"/>
    <n v="30"/>
    <n v="138"/>
    <n v="4.5999999999999996"/>
    <x v="0"/>
    <x v="0"/>
    <x v="0"/>
    <x v="0"/>
    <x v="10"/>
    <m/>
    <x v="4"/>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P3"/>
    <n v="0"/>
    <m/>
    <n v="0"/>
    <s v="Kutkai Town"/>
    <n v="0.42212558305526549"/>
    <n v="1"/>
  </r>
  <r>
    <x v="0"/>
    <x v="1"/>
    <s v="MMR015"/>
    <s v="Muse"/>
    <s v="MMR015D002"/>
    <x v="8"/>
    <s v="MMR015011"/>
    <s v="Mong Yu"/>
    <s v="MMR015011030"/>
    <s v="Mong Yu"/>
    <n v="208747"/>
    <x v="66"/>
    <x v="68"/>
    <x v="58"/>
    <n v="23.588920000000002"/>
    <n v="1012.5"/>
    <n v="69"/>
    <n v="306"/>
    <n v="4.4347826086956523"/>
    <x v="0"/>
    <x v="0"/>
    <x v="0"/>
    <x v="3"/>
    <x v="6"/>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6"/>
    <m/>
    <n v="6"/>
    <s v="Kutkai Town"/>
    <n v="21.050742639251741"/>
    <n v="5"/>
  </r>
  <r>
    <x v="1"/>
    <x v="1"/>
    <s v="MMR015"/>
    <s v="Muse"/>
    <s v="MMR015D002"/>
    <x v="8"/>
    <s v="MMR015011"/>
    <s v="Long Waun Nam Rein (Tarmoenye Sub-township)"/>
    <s v="MMR015011050"/>
    <s v="Mai Pong (Shu See)"/>
    <m/>
    <x v="67"/>
    <x v="69"/>
    <x v="59"/>
    <n v="23.391741"/>
    <n v="0"/>
    <n v="0"/>
    <n v="0"/>
    <s v="NA"/>
    <x v="0"/>
    <x v="0"/>
    <x v="0"/>
    <x v="3"/>
    <x v="1"/>
    <m/>
    <x v="2"/>
    <s v="IP"/>
    <m/>
    <d v="2014-03-03T00:00:00"/>
    <s v="Close. Same with Kutkai Down Town RC. Source UNHCR Bhamo"/>
    <s v=""/>
    <n v="0"/>
    <m/>
    <n v="0"/>
    <s v=""/>
    <s v=""/>
    <s v=""/>
  </r>
  <r>
    <x v="0"/>
    <x v="1"/>
    <s v="MMR015"/>
    <s v="Muse"/>
    <s v="MMR015D002"/>
    <x v="8"/>
    <s v="MMR015011"/>
    <s v="Kar Lai Kone Hsar"/>
    <s v="MMR015011005"/>
    <s v="Kar Lai"/>
    <n v="208557"/>
    <x v="68"/>
    <x v="70"/>
    <x v="60"/>
    <n v="23.38503"/>
    <n v="0"/>
    <n v="189"/>
    <n v="917"/>
    <n v="4.8518518518518521"/>
    <x v="0"/>
    <x v="0"/>
    <x v="0"/>
    <x v="3"/>
    <x v="10"/>
    <m/>
    <x v="1"/>
    <s v="IP"/>
    <m/>
    <d v="2017-03-15T00:00:00"/>
    <s v="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P3"/>
    <n v="88"/>
    <m/>
    <n v="88"/>
    <s v="Kutkai Town"/>
    <n v="13.632081902964599"/>
    <n v="3"/>
  </r>
  <r>
    <x v="1"/>
    <x v="0"/>
    <s v="MMR001"/>
    <s v="Bhamo"/>
    <s v="MMR001D003"/>
    <x v="0"/>
    <s v="MMR001010"/>
    <m/>
    <m/>
    <m/>
    <m/>
    <x v="69"/>
    <x v="71"/>
    <x v="5"/>
    <m/>
    <m/>
    <n v="0"/>
    <n v="0"/>
    <s v="NA"/>
    <x v="0"/>
    <x v="0"/>
    <x v="1"/>
    <x v="1"/>
    <x v="3"/>
    <m/>
    <x v="2"/>
    <m/>
    <s v="Estimation"/>
    <d v="2014-01-27T00:00:00"/>
    <s v="Closed : Source, OCHA"/>
    <s v=""/>
    <n v="0"/>
    <m/>
    <n v="0"/>
    <s v=""/>
    <s v=""/>
    <s v=""/>
  </r>
  <r>
    <x v="1"/>
    <x v="1"/>
    <s v="MMR015"/>
    <s v="Muse"/>
    <s v="MMR015D002"/>
    <x v="1"/>
    <s v="MMR015010"/>
    <s v="Nawng Hkam"/>
    <s v="MMR015010010"/>
    <s v="Nawng Hkam"/>
    <n v="208353"/>
    <x v="70"/>
    <x v="72"/>
    <x v="61"/>
    <n v="23.82152"/>
    <n v="813.4"/>
    <n v="0"/>
    <n v="0"/>
    <s v="NA"/>
    <x v="1"/>
    <x v="0"/>
    <x v="0"/>
    <x v="1"/>
    <x v="3"/>
    <m/>
    <x v="0"/>
    <s v="IP"/>
    <m/>
    <d v="2014-03-14T00:00:00"/>
    <s v="Closed. Source Cluster Coordinator"/>
    <s v=""/>
    <n v="0"/>
    <m/>
    <n v="0"/>
    <s v=""/>
    <s v=""/>
    <s v=""/>
  </r>
  <r>
    <x v="1"/>
    <x v="0"/>
    <s v="MMR001"/>
    <s v="Puta-O"/>
    <s v="MMR001D004"/>
    <x v="12"/>
    <s v="MMR001018"/>
    <s v="La Ja Ga"/>
    <s v="MMR001018021"/>
    <s v="La Ja"/>
    <n v="168236"/>
    <x v="71"/>
    <x v="73"/>
    <x v="62"/>
    <n v="26.890058"/>
    <n v="1393"/>
    <m/>
    <m/>
    <s v="NA"/>
    <x v="0"/>
    <x v="0"/>
    <x v="0"/>
    <x v="3"/>
    <x v="3"/>
    <m/>
    <x v="2"/>
    <s v="RRD"/>
    <m/>
    <d v="2017-02-02T00:00:00"/>
    <s v="Closed Camp_x000a_Update data from OCHA IDPs List"/>
    <s v="P4"/>
    <n v="0"/>
    <m/>
    <n v="0"/>
    <s v="Khaunglanhpu Town"/>
    <n v="28.422357500443528"/>
    <n v="6"/>
  </r>
  <r>
    <x v="1"/>
    <x v="1"/>
    <s v="MMR015"/>
    <s v="Muse"/>
    <s v="MMR015D002"/>
    <x v="10"/>
    <s v="MMR015009"/>
    <s v="Man Nway (Pang Hseng (Kyu Koke)) Sub-township"/>
    <s v="MMR015009036"/>
    <s v="Nam Hkawng Khu"/>
    <n v="208182"/>
    <x v="72"/>
    <x v="74"/>
    <x v="5"/>
    <m/>
    <n v="0"/>
    <m/>
    <m/>
    <s v="NA"/>
    <x v="1"/>
    <x v="0"/>
    <x v="0"/>
    <x v="3"/>
    <x v="1"/>
    <n v="1"/>
    <x v="1"/>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0"/>
    <x v="0"/>
    <s v="MMR001"/>
    <s v="Mohnyin"/>
    <s v="MMR001D002"/>
    <x v="13"/>
    <s v="MMR001007"/>
    <s v="Hopin Town"/>
    <s v="MMR001007702"/>
    <s v="Myo Ma (South) Ward"/>
    <s v="MMR001007702503"/>
    <x v="73"/>
    <x v="75"/>
    <x v="63"/>
    <n v="24.996279999999999"/>
    <m/>
    <n v="36"/>
    <n v="153"/>
    <n v="4.25"/>
    <x v="0"/>
    <x v="0"/>
    <x v="1"/>
    <x v="0"/>
    <x v="6"/>
    <m/>
    <x v="2"/>
    <s v="IP"/>
    <m/>
    <d v="2015-03-19T00:00:00"/>
    <s v="19-Mar-2015 (WFP has been providing this host families since 2013.)"/>
    <m/>
    <n v="0"/>
    <m/>
    <n v="0"/>
    <s v="Hopin Town"/>
    <n v="0"/>
    <n v="1"/>
  </r>
  <r>
    <x v="0"/>
    <x v="0"/>
    <s v="MMR001"/>
    <s v="Bhamo"/>
    <s v="MMR001D003"/>
    <x v="4"/>
    <s v="MMR001013"/>
    <s v="Dum Buk"/>
    <s v="MMR001013014"/>
    <s v="Dum Buk"/>
    <s v="Dum Buk"/>
    <x v="74"/>
    <x v="76"/>
    <x v="64"/>
    <n v="24.002433"/>
    <n v="854"/>
    <n v="418"/>
    <n v="2109"/>
    <n v="5.0454545454545459"/>
    <x v="1"/>
    <x v="0"/>
    <x v="0"/>
    <x v="3"/>
    <x v="11"/>
    <n v="2"/>
    <x v="0"/>
    <s v="IP"/>
    <m/>
    <d v="2017-02-14T00:00:00"/>
    <s v="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P2"/>
    <n v="228"/>
    <m/>
    <n v="228"/>
    <s v="Namhkan Town"/>
    <n v="19.796407430638478"/>
    <n v="4"/>
  </r>
  <r>
    <x v="0"/>
    <x v="0"/>
    <s v="MMR001"/>
    <s v="Bhamo"/>
    <s v="MMR001D003"/>
    <x v="14"/>
    <s v="MMR001011"/>
    <s v="Shwegu Town"/>
    <s v="MMR001011701"/>
    <m/>
    <m/>
    <x v="3"/>
    <x v="77"/>
    <x v="65"/>
    <n v="24.224830999999998"/>
    <m/>
    <n v="9"/>
    <n v="30"/>
    <n v="3.3333333333333335"/>
    <x v="0"/>
    <x v="0"/>
    <x v="1"/>
    <x v="0"/>
    <x v="3"/>
    <m/>
    <x v="2"/>
    <s v="RRD"/>
    <m/>
    <m/>
    <m/>
    <s v="P4"/>
    <n v="0"/>
    <m/>
    <n v="0"/>
    <s v="Shwegu Town"/>
    <n v="2.3794331620169178"/>
    <n v="1"/>
  </r>
  <r>
    <x v="0"/>
    <x v="0"/>
    <s v="MMR001"/>
    <s v="Bhamo"/>
    <s v="MMR001D003"/>
    <x v="4"/>
    <s v="MMR001013"/>
    <s v="In Ba Pa"/>
    <s v="MMR001013012"/>
    <s v="La Na"/>
    <n v="216948"/>
    <x v="75"/>
    <x v="78"/>
    <x v="66"/>
    <n v="24.056132999999999"/>
    <n v="866"/>
    <n v="547"/>
    <n v="2576"/>
    <n v="4.7093235831809874"/>
    <x v="1"/>
    <x v="0"/>
    <x v="0"/>
    <x v="3"/>
    <x v="11"/>
    <n v="2"/>
    <x v="0"/>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P2"/>
    <n v="13"/>
    <m/>
    <n v="13"/>
    <s v="Lwegel Town"/>
    <n v="18.620903555062636"/>
    <n v="4"/>
  </r>
  <r>
    <x v="1"/>
    <x v="0"/>
    <s v="MMR001"/>
    <s v="Mohnyin"/>
    <s v="MMR001D002"/>
    <x v="13"/>
    <s v="MMR001007"/>
    <s v="Nam Mun"/>
    <s v="MMR001007016"/>
    <s v="Nam Mun"/>
    <n v="166591"/>
    <x v="76"/>
    <x v="79"/>
    <x v="67"/>
    <n v="24.998349999999999"/>
    <n v="0"/>
    <n v="0"/>
    <n v="0"/>
    <s v="NA"/>
    <x v="0"/>
    <x v="0"/>
    <x v="0"/>
    <x v="3"/>
    <x v="21"/>
    <m/>
    <x v="1"/>
    <s v="RRD"/>
    <m/>
    <d v="2014-07-17T00:00:00"/>
    <s v="Closed. Duplicate with (Nawng Ing (Indawgyi) Baptist Church)"/>
    <s v="P4"/>
    <n v="0"/>
    <m/>
    <n v="0"/>
    <s v=""/>
    <s v=""/>
    <s v=""/>
  </r>
  <r>
    <x v="1"/>
    <x v="0"/>
    <s v="MMR001"/>
    <s v="Mohnyin"/>
    <s v="MMR001D002"/>
    <x v="5"/>
    <s v="MMR001009"/>
    <s v="Hpakan Town"/>
    <s v="MMR001009701"/>
    <s v="Hnget Pyaw Taw Ward"/>
    <s v="MMR001009701502"/>
    <x v="77"/>
    <x v="80"/>
    <x v="30"/>
    <n v="25.611160000000002"/>
    <n v="0"/>
    <n v="0"/>
    <n v="0"/>
    <s v="NA"/>
    <x v="0"/>
    <x v="0"/>
    <x v="0"/>
    <x v="0"/>
    <x v="9"/>
    <n v="2"/>
    <x v="1"/>
    <s v="IP"/>
    <m/>
    <d v="2014-05-15T00:00:00"/>
    <s v="Closed.Moved to Na Ma Pyit KBC."/>
    <s v=""/>
    <n v="0"/>
    <m/>
    <n v="0"/>
    <s v=""/>
    <s v=""/>
    <s v=""/>
  </r>
  <r>
    <x v="1"/>
    <x v="0"/>
    <s v="MMR001"/>
    <s v="Mohnyin"/>
    <s v="MMR001D002"/>
    <x v="5"/>
    <s v="MMR001009"/>
    <s v="Hpakan Town"/>
    <s v="MMR001009701"/>
    <s v="Hnget Pyaw Taw Ward"/>
    <s v="MMR001009701502"/>
    <x v="78"/>
    <x v="81"/>
    <x v="68"/>
    <n v="25.611899999999999"/>
    <m/>
    <n v="0"/>
    <n v="0"/>
    <s v="NA"/>
    <x v="0"/>
    <x v="0"/>
    <x v="0"/>
    <x v="1"/>
    <x v="3"/>
    <m/>
    <x v="2"/>
    <m/>
    <m/>
    <m/>
    <s v=" "/>
    <s v=""/>
    <n v="0"/>
    <m/>
    <n v="0"/>
    <s v=""/>
    <s v=""/>
    <s v=""/>
  </r>
  <r>
    <x v="1"/>
    <x v="0"/>
    <s v="MMR001"/>
    <s v="Mohnyin"/>
    <s v="MMR001D002"/>
    <x v="5"/>
    <s v="MMR001009"/>
    <s v="Hpakan Town"/>
    <s v="MMR001009701"/>
    <s v="Maw Wam Ward"/>
    <s v="MMR001009701501"/>
    <x v="79"/>
    <x v="82"/>
    <x v="5"/>
    <m/>
    <m/>
    <n v="0"/>
    <n v="0"/>
    <s v="NA"/>
    <x v="0"/>
    <x v="0"/>
    <x v="0"/>
    <x v="1"/>
    <x v="3"/>
    <m/>
    <x v="2"/>
    <m/>
    <m/>
    <m/>
    <s v=" "/>
    <s v=""/>
    <n v="0"/>
    <m/>
    <n v="0"/>
    <s v=""/>
    <s v=""/>
    <s v=""/>
  </r>
  <r>
    <x v="1"/>
    <x v="0"/>
    <s v="MMR001"/>
    <s v="Mohnyin"/>
    <s v="MMR001D002"/>
    <x v="5"/>
    <s v="MMR001009"/>
    <s v="Hpakan Town"/>
    <s v="MMR001009701"/>
    <s v="Maw Wam Ward"/>
    <s v="MMR001009701501"/>
    <x v="80"/>
    <x v="83"/>
    <x v="69"/>
    <n v="25.619221"/>
    <m/>
    <n v="0"/>
    <n v="0"/>
    <s v="NA"/>
    <x v="0"/>
    <x v="0"/>
    <x v="0"/>
    <x v="1"/>
    <x v="3"/>
    <m/>
    <x v="2"/>
    <m/>
    <m/>
    <m/>
    <s v=" "/>
    <s v=""/>
    <n v="0"/>
    <m/>
    <n v="0"/>
    <s v=""/>
    <s v=""/>
    <s v=""/>
  </r>
  <r>
    <x v="1"/>
    <x v="0"/>
    <s v="MMR001"/>
    <s v="Mohnyin"/>
    <s v="MMR001D002"/>
    <x v="5"/>
    <s v="MMR001009"/>
    <m/>
    <m/>
    <m/>
    <m/>
    <x v="81"/>
    <x v="84"/>
    <x v="5"/>
    <m/>
    <m/>
    <n v="0"/>
    <n v="0"/>
    <s v="NA"/>
    <x v="0"/>
    <x v="0"/>
    <x v="0"/>
    <x v="1"/>
    <x v="3"/>
    <m/>
    <x v="2"/>
    <m/>
    <m/>
    <m/>
    <s v=" "/>
    <s v=""/>
    <n v="0"/>
    <m/>
    <n v="0"/>
    <s v=""/>
    <s v=""/>
    <s v=""/>
  </r>
  <r>
    <x v="1"/>
    <x v="0"/>
    <s v="MMR001"/>
    <s v="Mohnyin"/>
    <s v="MMR001D002"/>
    <x v="5"/>
    <s v="MMR001009"/>
    <s v="Hpakan Town"/>
    <s v="MMR001009701"/>
    <s v="Maw Wam Ward"/>
    <s v="MMR001009701501"/>
    <x v="82"/>
    <x v="85"/>
    <x v="5"/>
    <m/>
    <m/>
    <n v="0"/>
    <n v="0"/>
    <s v="NA"/>
    <x v="0"/>
    <x v="0"/>
    <x v="0"/>
    <x v="1"/>
    <x v="3"/>
    <m/>
    <x v="2"/>
    <m/>
    <m/>
    <m/>
    <s v=" "/>
    <s v=""/>
    <n v="0"/>
    <m/>
    <n v="0"/>
    <s v=""/>
    <s v=""/>
    <s v=""/>
  </r>
  <r>
    <x v="1"/>
    <x v="0"/>
    <s v="MMR001"/>
    <s v="Mohnyin"/>
    <s v="MMR001D002"/>
    <x v="5"/>
    <s v="MMR001009"/>
    <s v="Hpakan Town"/>
    <s v="MMR001009701"/>
    <s v="Maw Wam Ward"/>
    <s v="MMR001009701501"/>
    <x v="83"/>
    <x v="86"/>
    <x v="5"/>
    <m/>
    <m/>
    <n v="0"/>
    <n v="0"/>
    <s v="NA"/>
    <x v="0"/>
    <x v="0"/>
    <x v="0"/>
    <x v="1"/>
    <x v="3"/>
    <m/>
    <x v="2"/>
    <m/>
    <m/>
    <m/>
    <s v=" "/>
    <s v=""/>
    <n v="0"/>
    <m/>
    <n v="0"/>
    <s v=""/>
    <s v=""/>
    <s v=""/>
  </r>
  <r>
    <x v="0"/>
    <x v="0"/>
    <s v="MMR001"/>
    <s v="Bhamo"/>
    <s v="MMR001D003"/>
    <x v="4"/>
    <s v="MMR001013"/>
    <s v="Maing Khaung"/>
    <s v="MMR001013007"/>
    <s v="Maing Khaung"/>
    <n v="167301"/>
    <x v="84"/>
    <x v="87"/>
    <x v="70"/>
    <n v="23.972453000000002"/>
    <n v="466"/>
    <n v="389"/>
    <n v="1799"/>
    <n v="4.6246786632390746"/>
    <x v="0"/>
    <x v="0"/>
    <x v="0"/>
    <x v="3"/>
    <x v="22"/>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80"/>
    <m/>
    <n v="80"/>
    <s v="Mansi Town"/>
    <n v="17.731070777343263"/>
    <n v="4"/>
  </r>
  <r>
    <x v="1"/>
    <x v="0"/>
    <s v="MMR001"/>
    <s v="Mohnyin"/>
    <s v="MMR001D002"/>
    <x v="5"/>
    <s v="MMR001009"/>
    <s v="Hpakan Town"/>
    <s v="MMR001009701"/>
    <s v="Aye Mya Thar Yar Ward"/>
    <s v="MMR001009701504"/>
    <x v="85"/>
    <x v="88"/>
    <x v="5"/>
    <m/>
    <m/>
    <n v="0"/>
    <n v="0"/>
    <s v="NA"/>
    <x v="0"/>
    <x v="0"/>
    <x v="0"/>
    <x v="1"/>
    <x v="3"/>
    <m/>
    <x v="2"/>
    <m/>
    <m/>
    <m/>
    <s v=" "/>
    <s v=""/>
    <n v="0"/>
    <m/>
    <n v="0"/>
    <s v=""/>
    <s v=""/>
    <s v=""/>
  </r>
  <r>
    <x v="1"/>
    <x v="0"/>
    <s v="MMR001"/>
    <s v="Mohnyin"/>
    <s v="MMR001D002"/>
    <x v="5"/>
    <s v="MMR001009"/>
    <s v="Hpakan Town"/>
    <s v="MMR001009701"/>
    <s v="Ma Shi Ka Htaung Ward"/>
    <s v="MMR001009701505"/>
    <x v="86"/>
    <x v="89"/>
    <x v="5"/>
    <m/>
    <m/>
    <n v="0"/>
    <n v="0"/>
    <s v="NA"/>
    <x v="0"/>
    <x v="0"/>
    <x v="0"/>
    <x v="1"/>
    <x v="3"/>
    <m/>
    <x v="2"/>
    <m/>
    <m/>
    <m/>
    <s v=" "/>
    <s v=""/>
    <n v="0"/>
    <m/>
    <n v="0"/>
    <s v=""/>
    <s v=""/>
    <s v=""/>
  </r>
  <r>
    <x v="1"/>
    <x v="0"/>
    <s v="MMR001"/>
    <s v="Mohnyin"/>
    <s v="MMR001D002"/>
    <x v="5"/>
    <s v="MMR001009"/>
    <s v="Hpakan Town"/>
    <s v="MMR001009701"/>
    <s v="Ma Shi Ka Htaung Ward"/>
    <s v="MMR001009701505"/>
    <x v="87"/>
    <x v="90"/>
    <x v="71"/>
    <n v="25.609179999999999"/>
    <m/>
    <n v="0"/>
    <n v="0"/>
    <s v="NA"/>
    <x v="0"/>
    <x v="0"/>
    <x v="0"/>
    <x v="1"/>
    <x v="3"/>
    <m/>
    <x v="2"/>
    <m/>
    <m/>
    <m/>
    <s v=" "/>
    <s v=""/>
    <n v="0"/>
    <m/>
    <n v="0"/>
    <s v=""/>
    <s v=""/>
    <s v=""/>
  </r>
  <r>
    <x v="1"/>
    <x v="0"/>
    <s v="MMR001"/>
    <s v="Mohnyin"/>
    <s v="MMR001D002"/>
    <x v="5"/>
    <s v="MMR001009"/>
    <s v="Hpakan Town"/>
    <s v="MMR001009701"/>
    <s v="Ma Shi Ka Htaung Ward"/>
    <s v="MMR001009701505"/>
    <x v="88"/>
    <x v="91"/>
    <x v="5"/>
    <m/>
    <m/>
    <n v="0"/>
    <n v="0"/>
    <s v="NA"/>
    <x v="0"/>
    <x v="0"/>
    <x v="0"/>
    <x v="1"/>
    <x v="3"/>
    <m/>
    <x v="2"/>
    <m/>
    <m/>
    <m/>
    <s v=" "/>
    <s v=""/>
    <n v="0"/>
    <m/>
    <n v="0"/>
    <s v=""/>
    <s v=""/>
    <s v=""/>
  </r>
  <r>
    <x v="1"/>
    <x v="0"/>
    <s v="MMR001"/>
    <s v="Mohnyin"/>
    <s v="MMR001D002"/>
    <x v="5"/>
    <s v="MMR001009"/>
    <s v="Hpakan Town"/>
    <s v="MMR001009701"/>
    <s v="Ma Shi Ka Htaung Ward"/>
    <s v="MMR001009701505"/>
    <x v="89"/>
    <x v="92"/>
    <x v="5"/>
    <m/>
    <m/>
    <n v="0"/>
    <n v="0"/>
    <s v="NA"/>
    <x v="0"/>
    <x v="0"/>
    <x v="0"/>
    <x v="1"/>
    <x v="3"/>
    <m/>
    <x v="2"/>
    <m/>
    <m/>
    <m/>
    <s v=" "/>
    <s v=""/>
    <n v="0"/>
    <m/>
    <n v="0"/>
    <s v=""/>
    <s v=""/>
    <s v=""/>
  </r>
  <r>
    <x v="1"/>
    <x v="0"/>
    <s v="MMR001"/>
    <s v="Mohnyin"/>
    <s v="MMR001D002"/>
    <x v="5"/>
    <s v="MMR001009"/>
    <s v="Hpakan Town"/>
    <s v="MMR001009701"/>
    <s v="Ma Shi Ka Htaung Ward"/>
    <s v="MMR001009701505"/>
    <x v="90"/>
    <x v="93"/>
    <x v="5"/>
    <m/>
    <m/>
    <n v="0"/>
    <n v="0"/>
    <s v="NA"/>
    <x v="0"/>
    <x v="0"/>
    <x v="0"/>
    <x v="1"/>
    <x v="3"/>
    <m/>
    <x v="2"/>
    <m/>
    <m/>
    <m/>
    <s v=" "/>
    <s v=""/>
    <n v="0"/>
    <m/>
    <n v="0"/>
    <s v=""/>
    <s v=""/>
    <s v=""/>
  </r>
  <r>
    <x v="1"/>
    <x v="0"/>
    <s v="MMR001"/>
    <s v="Mohnyin"/>
    <s v="MMR001D002"/>
    <x v="5"/>
    <s v="MMR001009"/>
    <s v="Hpakan Town"/>
    <s v="MMR001009701"/>
    <s v="Ma Shi Ka Htaung Ward"/>
    <s v="MMR001009701505"/>
    <x v="91"/>
    <x v="94"/>
    <x v="5"/>
    <m/>
    <m/>
    <n v="0"/>
    <n v="0"/>
    <s v="NA"/>
    <x v="0"/>
    <x v="0"/>
    <x v="0"/>
    <x v="1"/>
    <x v="3"/>
    <m/>
    <x v="2"/>
    <m/>
    <m/>
    <m/>
    <s v=" "/>
    <s v=""/>
    <n v="0"/>
    <m/>
    <n v="0"/>
    <s v=""/>
    <s v=""/>
    <s v=""/>
  </r>
  <r>
    <x v="1"/>
    <x v="0"/>
    <s v="MMR001"/>
    <s v="Mohnyin"/>
    <s v="MMR001D002"/>
    <x v="5"/>
    <s v="MMR001009"/>
    <s v="Hpakan Town"/>
    <s v="MMR001009701"/>
    <s v="Ma Shi Ka Htaung Ward"/>
    <s v="MMR001009701505"/>
    <x v="92"/>
    <x v="95"/>
    <x v="5"/>
    <m/>
    <m/>
    <n v="0"/>
    <n v="0"/>
    <s v="NA"/>
    <x v="0"/>
    <x v="0"/>
    <x v="0"/>
    <x v="1"/>
    <x v="3"/>
    <m/>
    <x v="2"/>
    <m/>
    <m/>
    <m/>
    <s v=" "/>
    <s v=""/>
    <n v="0"/>
    <m/>
    <n v="0"/>
    <s v=""/>
    <s v=""/>
    <s v=""/>
  </r>
  <r>
    <x v="1"/>
    <x v="0"/>
    <s v="MMR001"/>
    <s v="Mohnyin"/>
    <s v="MMR001D002"/>
    <x v="5"/>
    <s v="MMR001009"/>
    <s v="Hpakan Town"/>
    <s v="MMR001009701"/>
    <s v="Ma Shi Ka Htaung Ward"/>
    <s v="MMR001009701505"/>
    <x v="93"/>
    <x v="96"/>
    <x v="5"/>
    <m/>
    <m/>
    <n v="0"/>
    <n v="0"/>
    <s v="NA"/>
    <x v="0"/>
    <x v="0"/>
    <x v="0"/>
    <x v="1"/>
    <x v="3"/>
    <m/>
    <x v="2"/>
    <m/>
    <m/>
    <m/>
    <s v=" "/>
    <s v=""/>
    <n v="0"/>
    <m/>
    <n v="0"/>
    <s v=""/>
    <s v=""/>
    <s v=""/>
  </r>
  <r>
    <x v="1"/>
    <x v="0"/>
    <s v="MMR001"/>
    <s v="Mohnyin"/>
    <s v="MMR001D002"/>
    <x v="5"/>
    <s v="MMR001009"/>
    <s v="Hpakan Town"/>
    <s v="MMR001009701"/>
    <s v="Myo Ma Ward"/>
    <s v="MMR001009701503"/>
    <x v="94"/>
    <x v="97"/>
    <x v="5"/>
    <m/>
    <m/>
    <n v="0"/>
    <n v="0"/>
    <s v="NA"/>
    <x v="0"/>
    <x v="0"/>
    <x v="0"/>
    <x v="1"/>
    <x v="3"/>
    <m/>
    <x v="2"/>
    <m/>
    <m/>
    <m/>
    <s v=" "/>
    <s v=""/>
    <n v="0"/>
    <m/>
    <n v="0"/>
    <s v=""/>
    <s v=""/>
    <s v=""/>
  </r>
  <r>
    <x v="1"/>
    <x v="0"/>
    <s v="MMR001"/>
    <s v="Mohnyin"/>
    <s v="MMR001D002"/>
    <x v="5"/>
    <s v="MMR001009"/>
    <s v="Hpakan Town"/>
    <s v="MMR001009701"/>
    <s v="Myo Ma Ward"/>
    <s v="MMR001009701503"/>
    <x v="95"/>
    <x v="98"/>
    <x v="5"/>
    <m/>
    <m/>
    <n v="0"/>
    <n v="0"/>
    <s v="NA"/>
    <x v="0"/>
    <x v="0"/>
    <x v="0"/>
    <x v="1"/>
    <x v="3"/>
    <m/>
    <x v="2"/>
    <m/>
    <m/>
    <m/>
    <s v=" "/>
    <s v=""/>
    <n v="0"/>
    <m/>
    <n v="0"/>
    <s v=""/>
    <s v=""/>
    <s v=""/>
  </r>
  <r>
    <x v="0"/>
    <x v="0"/>
    <s v="MMR001"/>
    <s v="Bhamo"/>
    <s v="MMR001D003"/>
    <x v="4"/>
    <s v="MMR001013"/>
    <s v="Maing Khaung"/>
    <s v="MMR001013007"/>
    <s v="Maing Khaung"/>
    <n v="167301"/>
    <x v="96"/>
    <x v="99"/>
    <x v="72"/>
    <n v="23.976571"/>
    <n v="478"/>
    <n v="167"/>
    <n v="730"/>
    <n v="4.3712574850299397"/>
    <x v="0"/>
    <x v="0"/>
    <x v="0"/>
    <x v="3"/>
    <x v="22"/>
    <n v="2"/>
    <x v="0"/>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P4"/>
    <n v="117"/>
    <m/>
    <n v="117"/>
    <s v="Kamaing Town"/>
    <n v="12.257552920582597"/>
    <n v="3"/>
  </r>
  <r>
    <x v="1"/>
    <x v="0"/>
    <s v="MMR001"/>
    <s v="Mohnyin"/>
    <s v="MMR001D002"/>
    <x v="5"/>
    <s v="MMR001009"/>
    <m/>
    <m/>
    <m/>
    <m/>
    <x v="97"/>
    <x v="100"/>
    <x v="5"/>
    <m/>
    <m/>
    <n v="0"/>
    <n v="0"/>
    <s v="NA"/>
    <x v="0"/>
    <x v="0"/>
    <x v="0"/>
    <x v="1"/>
    <x v="3"/>
    <m/>
    <x v="2"/>
    <m/>
    <m/>
    <m/>
    <s v=" "/>
    <s v=""/>
    <n v="0"/>
    <m/>
    <n v="0"/>
    <s v=""/>
    <s v=""/>
    <s v=""/>
  </r>
  <r>
    <x v="0"/>
    <x v="0"/>
    <s v="MMR001"/>
    <s v="Bhamo"/>
    <s v="MMR001D003"/>
    <x v="4"/>
    <s v="MMR001013"/>
    <s v="Man Wein"/>
    <s v="MMR001013021"/>
    <s v="Man Wein"/>
    <n v="167405"/>
    <x v="98"/>
    <x v="101"/>
    <x v="73"/>
    <n v="23.83013"/>
    <n v="741"/>
    <n v="107"/>
    <n v="539"/>
    <n v="5.037383177570093"/>
    <x v="0"/>
    <x v="0"/>
    <x v="0"/>
    <x v="3"/>
    <x v="12"/>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33"/>
    <m/>
    <n v="33"/>
    <s v="Namhkan Town"/>
    <n v="9.3704379947870464"/>
    <n v="2"/>
  </r>
  <r>
    <x v="1"/>
    <x v="0"/>
    <s v="MMR001"/>
    <s v="Mohnyin"/>
    <s v="MMR001D002"/>
    <x v="5"/>
    <s v="MMR001009"/>
    <m/>
    <m/>
    <m/>
    <m/>
    <x v="99"/>
    <x v="102"/>
    <x v="74"/>
    <n v="25.6447"/>
    <m/>
    <n v="0"/>
    <n v="0"/>
    <s v="NA"/>
    <x v="0"/>
    <x v="0"/>
    <x v="0"/>
    <x v="1"/>
    <x v="3"/>
    <m/>
    <x v="2"/>
    <m/>
    <m/>
    <m/>
    <s v=" "/>
    <s v=""/>
    <n v="0"/>
    <m/>
    <n v="0"/>
    <s v=""/>
    <s v=""/>
    <s v=""/>
  </r>
  <r>
    <x v="1"/>
    <x v="0"/>
    <s v="MMR001"/>
    <s v="Mohnyin"/>
    <s v="MMR001D002"/>
    <x v="5"/>
    <s v="MMR001009"/>
    <s v="Seik Mu"/>
    <s v="MMR001009003"/>
    <s v="Ma Mon"/>
    <n v="166790"/>
    <x v="100"/>
    <x v="103"/>
    <x v="5"/>
    <m/>
    <m/>
    <n v="0"/>
    <n v="0"/>
    <s v="NA"/>
    <x v="0"/>
    <x v="0"/>
    <x v="0"/>
    <x v="1"/>
    <x v="3"/>
    <m/>
    <x v="2"/>
    <m/>
    <m/>
    <m/>
    <s v=" "/>
    <s v=""/>
    <n v="0"/>
    <m/>
    <n v="0"/>
    <s v=""/>
    <s v=""/>
    <s v=""/>
  </r>
  <r>
    <x v="1"/>
    <x v="0"/>
    <s v="MMR001"/>
    <s v="Mohnyin"/>
    <s v="MMR001D002"/>
    <x v="5"/>
    <s v="MMR001009"/>
    <m/>
    <m/>
    <m/>
    <m/>
    <x v="101"/>
    <x v="104"/>
    <x v="5"/>
    <m/>
    <m/>
    <n v="0"/>
    <n v="0"/>
    <s v="NA"/>
    <x v="0"/>
    <x v="0"/>
    <x v="0"/>
    <x v="1"/>
    <x v="3"/>
    <m/>
    <x v="2"/>
    <m/>
    <m/>
    <m/>
    <m/>
    <s v=""/>
    <n v="0"/>
    <m/>
    <n v="0"/>
    <s v=""/>
    <s v=""/>
    <s v=""/>
  </r>
  <r>
    <x v="0"/>
    <x v="0"/>
    <s v="MMR001"/>
    <s v="Bhamo"/>
    <s v="MMR001D003"/>
    <x v="4"/>
    <s v="MMR001013"/>
    <s v="Man Wein"/>
    <s v="MMR001013021"/>
    <s v="Man Wein"/>
    <n v="167405"/>
    <x v="102"/>
    <x v="105"/>
    <x v="75"/>
    <n v="23.829599000000002"/>
    <m/>
    <n v="112"/>
    <n v="515"/>
    <n v="4.5982142857142856"/>
    <x v="0"/>
    <x v="0"/>
    <x v="0"/>
    <x v="3"/>
    <x v="23"/>
    <m/>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
    <n v="112"/>
    <m/>
    <n v="112"/>
    <s v="Namhkan Town"/>
    <n v="9.2957189123335944"/>
    <n v="2"/>
  </r>
  <r>
    <x v="1"/>
    <x v="0"/>
    <s v="MMR001"/>
    <s v="Mohnyin"/>
    <s v="MMR001D002"/>
    <x v="5"/>
    <s v="MMR001009"/>
    <s v="Haung Par"/>
    <s v="MMR001009004"/>
    <s v="Haung Par"/>
    <n v="166794"/>
    <x v="103"/>
    <x v="106"/>
    <x v="5"/>
    <m/>
    <m/>
    <n v="0"/>
    <n v="0"/>
    <s v="NA"/>
    <x v="0"/>
    <x v="0"/>
    <x v="0"/>
    <x v="1"/>
    <x v="3"/>
    <m/>
    <x v="2"/>
    <m/>
    <m/>
    <m/>
    <m/>
    <s v=""/>
    <n v="0"/>
    <m/>
    <n v="0"/>
    <s v=""/>
    <s v=""/>
    <s v=""/>
  </r>
  <r>
    <x v="0"/>
    <x v="0"/>
    <s v="MMR001"/>
    <s v="Bhamo"/>
    <s v="MMR001D003"/>
    <x v="4"/>
    <s v="MMR001013"/>
    <s v="Man Wein"/>
    <s v="MMR001013021"/>
    <s v="Man Wein"/>
    <n v="167405"/>
    <x v="104"/>
    <x v="107"/>
    <x v="76"/>
    <n v="23.835319999999999"/>
    <n v="795"/>
    <n v="480"/>
    <n v="2437"/>
    <n v="5.0770833333333334"/>
    <x v="0"/>
    <x v="0"/>
    <x v="0"/>
    <x v="3"/>
    <x v="0"/>
    <n v="2"/>
    <x v="0"/>
    <s v="IP"/>
    <m/>
    <d v="2017-02-14T00:00:00"/>
    <s v="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P4"/>
    <n v="280"/>
    <m/>
    <n v="280"/>
    <s v="Namhkan Town"/>
    <n v="10.509375400480517"/>
    <n v="3"/>
  </r>
  <r>
    <x v="0"/>
    <x v="0"/>
    <s v="MMR001"/>
    <s v="Bhamo"/>
    <s v="MMR001D003"/>
    <x v="4"/>
    <s v="MMR001013"/>
    <s v="Man Wein"/>
    <s v="MMR001013021"/>
    <s v="Man Wein"/>
    <n v="167405"/>
    <x v="105"/>
    <x v="108"/>
    <x v="77"/>
    <n v="23.833477999999999"/>
    <n v="925"/>
    <n v="147"/>
    <n v="631"/>
    <n v="4.2925170068027212"/>
    <x v="0"/>
    <x v="0"/>
    <x v="0"/>
    <x v="3"/>
    <x v="24"/>
    <m/>
    <x v="0"/>
    <s v="IP"/>
    <m/>
    <d v="2017-02-14T00:00:00"/>
    <s v="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P4"/>
    <n v="147"/>
    <m/>
    <n v="147"/>
    <s v="Namhkan Town"/>
    <n v="10.527586947557506"/>
    <n v="3"/>
  </r>
  <r>
    <x v="1"/>
    <x v="0"/>
    <s v="MMR001"/>
    <s v="Myitkyina"/>
    <s v="MMR001D001"/>
    <x v="6"/>
    <s v="MMR001002"/>
    <s v="Saga Pa (Sadung Sub-township)"/>
    <m/>
    <m/>
    <m/>
    <x v="106"/>
    <x v="109"/>
    <x v="78"/>
    <n v="25.273333000000001"/>
    <m/>
    <n v="0"/>
    <n v="0"/>
    <s v="NA"/>
    <x v="1"/>
    <x v="0"/>
    <x v="0"/>
    <x v="1"/>
    <x v="3"/>
    <m/>
    <x v="2"/>
    <m/>
    <m/>
    <m/>
    <m/>
    <s v=""/>
    <n v="0"/>
    <m/>
    <n v="0"/>
    <s v=""/>
    <s v=""/>
    <s v=""/>
  </r>
  <r>
    <x v="1"/>
    <x v="1"/>
    <s v="MMR015"/>
    <s v="Muse"/>
    <s v="MMR015D003"/>
    <x v="10"/>
    <s v="MMR015019"/>
    <s v="Man Pying (Pang Hseng (Kyu Koke)) Sub-township"/>
    <s v="MMR015009038"/>
    <s v="Hawwa"/>
    <m/>
    <x v="107"/>
    <x v="110"/>
    <x v="79"/>
    <n v="23.917631"/>
    <m/>
    <m/>
    <m/>
    <s v="NA"/>
    <x v="0"/>
    <x v="0"/>
    <x v="1"/>
    <x v="3"/>
    <x v="3"/>
    <m/>
    <x v="2"/>
    <s v="IP"/>
    <m/>
    <d v="2017-04-06T00:00:00"/>
    <s v="6/Apr/2017: Changed the camp status as &quot;Closed&quot;. Data source: CCCM and comfirmed by partner (KBC). And it was updated since 3/Mar/2014._x000a_Change to Host Families."/>
    <s v="P3"/>
    <n v="0"/>
    <m/>
    <n v="0"/>
    <s v="Pang Hseng (Kyu Koke) Town"/>
    <n v="18.405283544772924"/>
    <n v="4"/>
  </r>
  <r>
    <x v="0"/>
    <x v="0"/>
    <s v="MMR001"/>
    <s v="Bhamo"/>
    <s v="MMR001D003"/>
    <x v="4"/>
    <s v="MMR001013"/>
    <s v="Mansi Town"/>
    <s v="MMR001013701"/>
    <s v="Kawng Yar Ward"/>
    <s v="MMR001013701504"/>
    <x v="108"/>
    <x v="111"/>
    <x v="80"/>
    <n v="24.129059999999999"/>
    <n v="0"/>
    <n v="195"/>
    <n v="881"/>
    <n v="4.5179487179487179"/>
    <x v="0"/>
    <x v="0"/>
    <x v="0"/>
    <x v="0"/>
    <x v="25"/>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P4"/>
    <n v="90"/>
    <m/>
    <n v="90"/>
    <s v="Mansi Town"/>
    <n v="1.0576516850656514"/>
    <n v="1"/>
  </r>
  <r>
    <x v="1"/>
    <x v="0"/>
    <s v="MMR001"/>
    <s v="Myitkyina"/>
    <s v="MMR001D001"/>
    <x v="6"/>
    <s v="MMR001002"/>
    <s v="Nam Sang Yang"/>
    <s v="MMR001002024"/>
    <s v="Nam Sang Yang"/>
    <n v="165772"/>
    <x v="109"/>
    <x v="112"/>
    <x v="81"/>
    <n v="24.747212999999999"/>
    <n v="221"/>
    <n v="0"/>
    <n v="0"/>
    <s v="NA"/>
    <x v="1"/>
    <x v="0"/>
    <x v="0"/>
    <x v="3"/>
    <x v="4"/>
    <n v="3"/>
    <x v="5"/>
    <s v="IP"/>
    <m/>
    <d v="2015-06-25T00:00:00"/>
    <s v="25-Jun-15 (Relocated to Hpum Lone Yan and Wai Choi)_x000a_Population Update. Source: UNHCR Cross-Line Mission Report. (July 2014)"/>
    <s v="P2"/>
    <n v="0"/>
    <n v="0"/>
    <n v="0"/>
    <s v="Laiza town"/>
    <n v="1.857513522619473"/>
    <n v="1"/>
  </r>
  <r>
    <x v="1"/>
    <x v="0"/>
    <s v="MMR001"/>
    <s v="Myitkyina"/>
    <s v="MMR001D001"/>
    <x v="6"/>
    <s v="MMR001002"/>
    <s v="Nam Sang Yang"/>
    <s v="MMR001002024"/>
    <s v="Nam Sang Yang"/>
    <n v="165772"/>
    <x v="110"/>
    <x v="113"/>
    <x v="82"/>
    <n v="24.747966999999999"/>
    <m/>
    <n v="0"/>
    <n v="0"/>
    <s v="NA"/>
    <x v="0"/>
    <x v="0"/>
    <x v="0"/>
    <x v="1"/>
    <x v="3"/>
    <m/>
    <x v="2"/>
    <m/>
    <m/>
    <m/>
    <s v="Changed to closed"/>
    <s v=""/>
    <n v="0"/>
    <m/>
    <n v="0"/>
    <s v=""/>
    <s v=""/>
    <s v=""/>
  </r>
  <r>
    <x v="0"/>
    <x v="1"/>
    <s v="MMR015"/>
    <s v="Kyaukme"/>
    <s v="MMR015D003"/>
    <x v="9"/>
    <s v="MMR015019"/>
    <s v="Urban"/>
    <s v="MMR015019701"/>
    <s v="No (2) Ward"/>
    <s v="MMR015019701503"/>
    <x v="111"/>
    <x v="114"/>
    <x v="83"/>
    <n v="23.24661"/>
    <n v="87.3"/>
    <n v="29"/>
    <n v="178"/>
    <n v="6.1379310344827589"/>
    <x v="0"/>
    <x v="0"/>
    <x v="0"/>
    <x v="0"/>
    <x v="8"/>
    <m/>
    <x v="4"/>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P3"/>
    <n v="0"/>
    <m/>
    <n v="0"/>
    <s v="Manton Town"/>
    <n v="0.71762888500316424"/>
    <n v="1"/>
  </r>
  <r>
    <x v="0"/>
    <x v="1"/>
    <s v="MMR015"/>
    <s v="Muse"/>
    <s v="MMR015D002"/>
    <x v="10"/>
    <s v="MMR015009"/>
    <s v="Hpai Kawng (Pang Hseng-Kyu Koke Sub-township"/>
    <s v="MMR015009031"/>
    <s v="Hpai Kawng"/>
    <n v="208156"/>
    <x v="112"/>
    <x v="115"/>
    <x v="84"/>
    <n v="24.08738"/>
    <m/>
    <n v="32"/>
    <n v="187"/>
    <n v="5.84375"/>
    <x v="1"/>
    <x v="0"/>
    <x v="1"/>
    <x v="3"/>
    <x v="3"/>
    <m/>
    <x v="2"/>
    <s v="IRRC"/>
    <m/>
    <d v="2014-03-03T00:00:00"/>
    <s v="Change to Host Families."/>
    <s v="P4"/>
    <n v="0"/>
    <m/>
    <n v="0"/>
    <s v="Pang Hseng (Kyu Koke) Town"/>
    <n v="5.5919136174199959"/>
    <n v="2"/>
  </r>
  <r>
    <x v="1"/>
    <x v="1"/>
    <s v="MMR015"/>
    <s v="Muse"/>
    <s v="MMR015D002"/>
    <x v="8"/>
    <s v="MMR015011"/>
    <s v="Galeng"/>
    <m/>
    <s v="Galeng"/>
    <m/>
    <x v="113"/>
    <x v="116"/>
    <x v="5"/>
    <m/>
    <m/>
    <n v="0"/>
    <n v="0"/>
    <s v="NA"/>
    <x v="1"/>
    <x v="0"/>
    <x v="0"/>
    <x v="3"/>
    <x v="3"/>
    <m/>
    <x v="2"/>
    <s v="IP"/>
    <m/>
    <d v="2013-01-15T00:00:00"/>
    <s v="Close: Duplicate Camp (MMR015CMP020 - Zup Aung Camp) 21-Jan-14"/>
    <s v=""/>
    <n v="0"/>
    <m/>
    <n v="0"/>
    <s v=""/>
    <s v=""/>
    <s v=""/>
  </r>
  <r>
    <x v="0"/>
    <x v="0"/>
    <s v="MMR001"/>
    <s v="Mohnyin"/>
    <s v="MMR001D002"/>
    <x v="15"/>
    <s v="MMR001008"/>
    <s v="Mogaung Town"/>
    <s v="MMR001008701"/>
    <s v="Kyun Taw Ward"/>
    <s v="MMR001008701510"/>
    <x v="114"/>
    <x v="117"/>
    <x v="85"/>
    <n v="25.305669999999999"/>
    <n v="470"/>
    <n v="13"/>
    <n v="66"/>
    <n v="5.0769230769230766"/>
    <x v="0"/>
    <x v="0"/>
    <x v="0"/>
    <x v="0"/>
    <x v="8"/>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0"/>
    <m/>
    <n v="0"/>
    <s v="Mogaung Town"/>
    <n v="1.815139598767344"/>
    <n v="1"/>
  </r>
  <r>
    <x v="0"/>
    <x v="0"/>
    <s v="MMR001"/>
    <s v="Mohnyin"/>
    <s v="MMR001D002"/>
    <x v="15"/>
    <s v="MMR001008"/>
    <s v="Nawng Kaing Htaw"/>
    <s v="MMR001008002"/>
    <s v="Ma Haung"/>
    <n v="166676"/>
    <x v="115"/>
    <x v="118"/>
    <x v="86"/>
    <n v="25.299679999999999"/>
    <m/>
    <n v="7"/>
    <n v="31"/>
    <n v="4.4285714285714288"/>
    <x v="0"/>
    <x v="0"/>
    <x v="0"/>
    <x v="0"/>
    <x v="26"/>
    <m/>
    <x v="5"/>
    <s v="IP"/>
    <m/>
    <d v="2017-04-06T00:00:00"/>
    <s v="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m/>
    <n v="7"/>
    <m/>
    <n v="7"/>
    <s v="Mogaung Town"/>
    <n v="0.75"/>
    <n v="1"/>
  </r>
  <r>
    <x v="0"/>
    <x v="0"/>
    <s v="MMR001"/>
    <s v="Mohnyin"/>
    <s v="MMR001D002"/>
    <x v="15"/>
    <s v="MMR001008"/>
    <s v="Nawng Kaing Htaw"/>
    <s v="MMR001008002"/>
    <s v="Ma Haung"/>
    <n v="166676"/>
    <x v="116"/>
    <x v="119"/>
    <x v="86"/>
    <n v="25.296579999999999"/>
    <n v="0"/>
    <n v="15"/>
    <n v="71"/>
    <n v="4.7333333333333334"/>
    <x v="0"/>
    <x v="0"/>
    <x v="0"/>
    <x v="0"/>
    <x v="8"/>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5"/>
    <m/>
    <n v="5"/>
    <s v="Mogaung Town"/>
    <n v="0.71141459237180937"/>
    <n v="1"/>
  </r>
  <r>
    <x v="0"/>
    <x v="0"/>
    <s v="MMR001"/>
    <s v="Mohnyin"/>
    <s v="MMR001D002"/>
    <x v="15"/>
    <s v="MMR001008"/>
    <s v="Mogaung Town"/>
    <s v="MMR001008701"/>
    <s v="Nat Gyi Kone Ward"/>
    <s v="MMR001008701506"/>
    <x v="117"/>
    <x v="120"/>
    <x v="87"/>
    <n v="25.30442"/>
    <n v="100"/>
    <n v="12"/>
    <n v="46"/>
    <n v="3.8333333333333335"/>
    <x v="0"/>
    <x v="0"/>
    <x v="0"/>
    <x v="0"/>
    <x v="21"/>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P4"/>
    <n v="0"/>
    <m/>
    <n v="0"/>
    <s v="Mogaung Town"/>
    <n v="0.86042374061342075"/>
    <n v="1"/>
  </r>
  <r>
    <x v="0"/>
    <x v="0"/>
    <s v="MMR001"/>
    <s v="Puta-O"/>
    <s v="MMR001D004"/>
    <x v="16"/>
    <s v="MMR001014"/>
    <s v="Lang Taung"/>
    <s v="MMR001014009"/>
    <s v="Inn Lel Yan"/>
    <n v="217032"/>
    <x v="118"/>
    <x v="121"/>
    <x v="88"/>
    <n v="27.248964999999998"/>
    <n v="398"/>
    <n v="10"/>
    <n v="56"/>
    <n v="5.6"/>
    <x v="0"/>
    <x v="0"/>
    <x v="1"/>
    <x v="3"/>
    <x v="15"/>
    <m/>
    <x v="2"/>
    <s v="IP"/>
    <m/>
    <d v="2014-04-07T00:00:00"/>
    <s v="New host families."/>
    <s v="P3"/>
    <n v="0"/>
    <m/>
    <n v="0"/>
    <s v="Machanbaw Town"/>
    <n v="4.789460146835963"/>
    <n v="1"/>
  </r>
  <r>
    <x v="0"/>
    <x v="0"/>
    <s v="MMR001"/>
    <s v="Mohnyin"/>
    <s v="MMR001D002"/>
    <x v="15"/>
    <s v="MMR001008"/>
    <s v="Sar Hmaw"/>
    <s v="MMR001008018"/>
    <s v="Sar Hmaw"/>
    <n v="166724"/>
    <x v="119"/>
    <x v="122"/>
    <x v="89"/>
    <n v="25.225000000000001"/>
    <m/>
    <n v="28"/>
    <n v="136"/>
    <n v="4.8571428571428568"/>
    <x v="0"/>
    <x v="0"/>
    <x v="0"/>
    <x v="3"/>
    <x v="26"/>
    <m/>
    <x v="1"/>
    <s v="RRD"/>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Mogaung Town"/>
    <n v="5"/>
    <n v="2"/>
  </r>
  <r>
    <x v="0"/>
    <x v="0"/>
    <s v="MMR001"/>
    <s v="Bhamo"/>
    <s v="MMR001D003"/>
    <x v="7"/>
    <s v="MMR001012"/>
    <s v="Khon Sint"/>
    <s v="MMR001012013"/>
    <s v="Khon Sint"/>
    <n v="167060"/>
    <x v="120"/>
    <x v="123"/>
    <x v="90"/>
    <n v="24.377054000000001"/>
    <m/>
    <n v="4"/>
    <n v="26"/>
    <n v="6.5"/>
    <x v="0"/>
    <x v="0"/>
    <x v="1"/>
    <x v="3"/>
    <x v="3"/>
    <m/>
    <x v="2"/>
    <s v="RRD"/>
    <m/>
    <d v="2014-03-03T00:00:00"/>
    <s v="Change to Host Families."/>
    <s v="P4"/>
    <n v="0"/>
    <m/>
    <n v="0"/>
    <s v="Momauk Town"/>
    <n v="13.446032768350749"/>
    <n v="3"/>
  </r>
  <r>
    <x v="0"/>
    <x v="0"/>
    <s v="MMR001"/>
    <s v="Myitkyina"/>
    <s v="MMR001D001"/>
    <x v="2"/>
    <s v="MMR001005"/>
    <s v="Lang Jaw (Pang War Sub-township)"/>
    <s v="MMR001005022"/>
    <s v="Lang Jaw"/>
    <n v="166337"/>
    <x v="121"/>
    <x v="124"/>
    <x v="91"/>
    <n v="25.708763000000001"/>
    <m/>
    <m/>
    <m/>
    <s v="NA"/>
    <x v="0"/>
    <x v="0"/>
    <x v="1"/>
    <x v="3"/>
    <x v="3"/>
    <m/>
    <x v="2"/>
    <s v="IP"/>
    <m/>
    <m/>
    <m/>
    <s v="P1"/>
    <n v="0"/>
    <m/>
    <n v="0"/>
    <s v="Pang War Town"/>
    <n v="12.486065224161463"/>
    <n v="3"/>
  </r>
  <r>
    <x v="0"/>
    <x v="0"/>
    <s v="MMR001"/>
    <s v="Mohnyin"/>
    <s v="MMR001D002"/>
    <x v="13"/>
    <s v="MMR001007"/>
    <s v="Nam Mun"/>
    <s v="MMR001007016"/>
    <s v="Indawgyi"/>
    <m/>
    <x v="122"/>
    <x v="125"/>
    <x v="67"/>
    <n v="24.998349999999999"/>
    <m/>
    <n v="19"/>
    <n v="102"/>
    <n v="5.3684210526315788"/>
    <x v="0"/>
    <x v="0"/>
    <x v="0"/>
    <x v="3"/>
    <x v="12"/>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P4"/>
    <n v="0"/>
    <m/>
    <n v="0"/>
    <s v="Hopin Town"/>
    <n v="16.668825701583572"/>
    <n v="4"/>
  </r>
  <r>
    <x v="1"/>
    <x v="0"/>
    <s v="MMR001"/>
    <s v="Bhamo"/>
    <s v="MMR001D003"/>
    <x v="4"/>
    <s v="MMR001013"/>
    <s v="La Gat Dawt"/>
    <s v="MMR001013027"/>
    <m/>
    <m/>
    <x v="123"/>
    <x v="126"/>
    <x v="92"/>
    <n v="23.9055"/>
    <n v="745"/>
    <n v="0"/>
    <n v="0"/>
    <s v="NA"/>
    <x v="1"/>
    <x v="0"/>
    <x v="0"/>
    <x v="2"/>
    <x v="9"/>
    <n v="2"/>
    <x v="0"/>
    <s v="IP"/>
    <m/>
    <d v="2015-08-19T00:00:00"/>
    <s v="19-Aug-15 Close. Source: CCCM Unit._x000a_Population source: KMSS-BMO"/>
    <s v="P2"/>
    <n v="0"/>
    <m/>
    <n v="0"/>
    <s v="Namhkan Town"/>
    <n v="12.392289083396149"/>
    <n v="3"/>
  </r>
  <r>
    <x v="1"/>
    <x v="0"/>
    <s v="MMR001"/>
    <s v="Bhamo"/>
    <s v="MMR001D003"/>
    <x v="4"/>
    <s v="MMR001013"/>
    <s v="Man Wein"/>
    <s v="MMR001013021"/>
    <m/>
    <m/>
    <x v="124"/>
    <x v="127"/>
    <x v="5"/>
    <m/>
    <m/>
    <n v="0"/>
    <n v="0"/>
    <s v="NA"/>
    <x v="1"/>
    <x v="0"/>
    <x v="0"/>
    <x v="1"/>
    <x v="3"/>
    <m/>
    <x v="2"/>
    <s v="IP"/>
    <m/>
    <d v="2014-04-08T00:00:00"/>
    <s v="Closed. Move to Bum Tist Pa II and Man Wing. HH113/Pop837"/>
    <s v=""/>
    <n v="0"/>
    <m/>
    <n v="0"/>
    <s v=""/>
    <s v=""/>
    <s v=""/>
  </r>
  <r>
    <x v="1"/>
    <x v="0"/>
    <s v="MMR001"/>
    <s v="Bhamo"/>
    <s v="MMR001D003"/>
    <x v="4"/>
    <s v="MMR001013"/>
    <s v="Nam Lin Pa"/>
    <s v="MMR001013037"/>
    <m/>
    <m/>
    <x v="125"/>
    <x v="128"/>
    <x v="93"/>
    <n v="23.75817"/>
    <m/>
    <n v="0"/>
    <n v="0"/>
    <s v="NA"/>
    <x v="1"/>
    <x v="0"/>
    <x v="0"/>
    <x v="1"/>
    <x v="3"/>
    <m/>
    <x v="2"/>
    <s v="IRRC"/>
    <m/>
    <m/>
    <s v="This IDP are registered in Nam Lim pa (Boarder) (MMR001CMP204). We should not calculate this number in total. "/>
    <s v=""/>
    <n v="0"/>
    <m/>
    <n v="0"/>
    <s v=""/>
    <s v=""/>
    <s v=""/>
  </r>
  <r>
    <x v="1"/>
    <x v="0"/>
    <s v="MMR001"/>
    <s v="Myitkyina"/>
    <s v="MMR001D001"/>
    <x v="17"/>
    <s v="MMR001003"/>
    <m/>
    <m/>
    <m/>
    <m/>
    <x v="126"/>
    <x v="129"/>
    <x v="5"/>
    <m/>
    <m/>
    <n v="0"/>
    <n v="0"/>
    <s v="NA"/>
    <x v="0"/>
    <x v="0"/>
    <x v="0"/>
    <x v="1"/>
    <x v="3"/>
    <m/>
    <x v="2"/>
    <m/>
    <m/>
    <d v="2014-03-14T00:00:00"/>
    <s v="Close. According to RRC's info, this camp does not include in reported list."/>
    <s v=""/>
    <n v="0"/>
    <m/>
    <n v="0"/>
    <s v=""/>
    <s v=""/>
    <s v=""/>
  </r>
  <r>
    <x v="0"/>
    <x v="0"/>
    <s v="MMR001"/>
    <s v="Mohnyin"/>
    <s v="MMR001D002"/>
    <x v="13"/>
    <s v="MMR001007"/>
    <s v="Mohnyin Town"/>
    <s v="MMR001007701"/>
    <s v="Aung Tha Pyay Ward"/>
    <s v="MMR001007701505"/>
    <x v="127"/>
    <x v="130"/>
    <x v="94"/>
    <n v="24.764800000000001"/>
    <m/>
    <n v="12"/>
    <n v="62"/>
    <n v="5.166666666666667"/>
    <x v="0"/>
    <x v="0"/>
    <x v="0"/>
    <x v="0"/>
    <x v="27"/>
    <m/>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0"/>
    <x v="0"/>
    <s v="MMR001"/>
    <s v="Bhamo"/>
    <s v="MMR001D003"/>
    <x v="7"/>
    <s v="MMR001012"/>
    <s v="Dawthponeyan  Town"/>
    <s v="MMR001012703"/>
    <s v="No (2) Ward"/>
    <s v="MMR001012703502"/>
    <x v="128"/>
    <x v="131"/>
    <x v="95"/>
    <n v="24.613976000000001"/>
    <m/>
    <m/>
    <n v="49"/>
    <s v="NA"/>
    <x v="0"/>
    <x v="0"/>
    <x v="2"/>
    <x v="3"/>
    <x v="3"/>
    <m/>
    <x v="2"/>
    <s v="WFP"/>
    <m/>
    <d v="2015-11-09T00:00:00"/>
    <s v="9/Nov/2015. Population update. Data source: mail from WFP._x000a_New added Boarding School"/>
    <m/>
    <n v="0"/>
    <m/>
    <n v="0"/>
    <s v="Dawthponeyan  Town"/>
    <n v="0"/>
    <n v="1"/>
  </r>
  <r>
    <x v="0"/>
    <x v="0"/>
    <s v="MMR001"/>
    <s v="Bhamo"/>
    <s v="MMR001D003"/>
    <x v="7"/>
    <s v="MMR001012"/>
    <s v="Zee Wone Gawt"/>
    <s v="MMR001012023"/>
    <s v="Dum Bung"/>
    <n v="167343"/>
    <x v="129"/>
    <x v="132"/>
    <x v="96"/>
    <n v="24.461033"/>
    <n v="360"/>
    <n v="109"/>
    <n v="408"/>
    <n v="3.7431192660550461"/>
    <x v="1"/>
    <x v="0"/>
    <x v="0"/>
    <x v="2"/>
    <x v="19"/>
    <n v="4"/>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Bhamo"/>
    <s v="MMR001D003"/>
    <x v="14"/>
    <s v="MMR001011"/>
    <m/>
    <m/>
    <m/>
    <m/>
    <x v="130"/>
    <x v="133"/>
    <x v="5"/>
    <m/>
    <m/>
    <n v="375"/>
    <n v="1691"/>
    <n v="4.5093333333333332"/>
    <x v="1"/>
    <x v="0"/>
    <x v="1"/>
    <x v="3"/>
    <x v="28"/>
    <m/>
    <x v="2"/>
    <s v="IRRC"/>
    <m/>
    <d v="2014-03-03T00:00:00"/>
    <s v="Change to Host Families."/>
    <s v="P4"/>
    <n v="0"/>
    <m/>
    <n v="0"/>
    <s v=""/>
    <s v=""/>
    <s v=""/>
  </r>
  <r>
    <x v="0"/>
    <x v="0"/>
    <s v="MMR001"/>
    <s v="Bhamo"/>
    <s v="MMR001D003"/>
    <x v="7"/>
    <s v="MMR001012"/>
    <s v="Maing Khat"/>
    <s v="MMR001012020"/>
    <s v="Maing Khat"/>
    <n v="167078"/>
    <x v="131"/>
    <x v="134"/>
    <x v="97"/>
    <n v="24.441697000000001"/>
    <m/>
    <n v="2"/>
    <n v="9"/>
    <n v="4.5"/>
    <x v="0"/>
    <x v="0"/>
    <x v="1"/>
    <x v="3"/>
    <x v="3"/>
    <m/>
    <x v="2"/>
    <s v="RRD"/>
    <m/>
    <d v="2014-06-13T00:00:00"/>
    <s v="Geo-Info, HH/Pop data was updated from Google Earth."/>
    <s v="P4"/>
    <n v="0"/>
    <m/>
    <n v="0"/>
    <s v="Dawthponeyan  Town"/>
    <n v="19.860265975801305"/>
    <n v="4"/>
  </r>
  <r>
    <x v="0"/>
    <x v="0"/>
    <s v="MMR001"/>
    <s v="Bhamo"/>
    <s v="MMR001D003"/>
    <x v="7"/>
    <s v="MMR001012"/>
    <s v="In Baw Mai Kyin (Dawthponeyan Sub-township)"/>
    <s v="MMR001012042"/>
    <s v="Hpun Lum Yang"/>
    <n v="167223"/>
    <x v="132"/>
    <x v="135"/>
    <x v="98"/>
    <n v="24.661905999999998"/>
    <n v="415"/>
    <n v="641"/>
    <n v="2862"/>
    <n v="4.4648985959438381"/>
    <x v="1"/>
    <x v="0"/>
    <x v="0"/>
    <x v="3"/>
    <x v="4"/>
    <n v="5"/>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23"/>
    <m/>
    <n v="23"/>
    <s v="Laiza town"/>
    <n v="10.953347686331073"/>
    <n v="3"/>
  </r>
  <r>
    <x v="0"/>
    <x v="0"/>
    <s v="MMR001"/>
    <s v="Bhamo"/>
    <s v="MMR001D003"/>
    <x v="7"/>
    <s v="MMR001012"/>
    <s v="Man Nawng"/>
    <s v="MMR001012014"/>
    <s v="Man Nawng"/>
    <n v="167063"/>
    <x v="133"/>
    <x v="136"/>
    <x v="99"/>
    <n v="24.410008999999999"/>
    <m/>
    <n v="28"/>
    <n v="136"/>
    <n v="4.8571428571428568"/>
    <x v="0"/>
    <x v="0"/>
    <x v="1"/>
    <x v="3"/>
    <x v="3"/>
    <m/>
    <x v="2"/>
    <s v="RRD"/>
    <m/>
    <m/>
    <m/>
    <s v="P4"/>
    <n v="0"/>
    <m/>
    <n v="0"/>
    <s v="Momauk Town"/>
    <n v="17.282528446236295"/>
    <n v="4"/>
  </r>
  <r>
    <x v="0"/>
    <x v="0"/>
    <s v="MMR001"/>
    <s v="Bhamo"/>
    <s v="MMR001D003"/>
    <x v="7"/>
    <s v="MMR001012"/>
    <s v="Lwegel Town"/>
    <s v="MMR001012702"/>
    <s v="Aung Chan Thar Ward"/>
    <s v="MMR001012702503"/>
    <x v="134"/>
    <x v="137"/>
    <x v="100"/>
    <n v="24.200972"/>
    <m/>
    <n v="40"/>
    <n v="240"/>
    <n v="6"/>
    <x v="0"/>
    <x v="0"/>
    <x v="0"/>
    <x v="0"/>
    <x v="8"/>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0.28829825866869707"/>
    <n v="1"/>
  </r>
  <r>
    <x v="0"/>
    <x v="0"/>
    <s v="MMR001"/>
    <s v="Bhamo"/>
    <s v="MMR001D003"/>
    <x v="7"/>
    <s v="MMR001012"/>
    <s v="Lwegel Town"/>
    <s v="MMR001012702"/>
    <s v="Aung Chan Thar Ward"/>
    <s v="MMR001012702503"/>
    <x v="135"/>
    <x v="138"/>
    <x v="101"/>
    <n v="24.205417000000001"/>
    <m/>
    <n v="148"/>
    <n v="751"/>
    <n v="5.0743243243243246"/>
    <x v="0"/>
    <x v="0"/>
    <x v="0"/>
    <x v="0"/>
    <x v="0"/>
    <n v="2"/>
    <x v="0"/>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P3"/>
    <n v="81"/>
    <m/>
    <n v="81"/>
    <s v="Lwegel Town"/>
    <n v="0.77978735578277303"/>
    <n v="1"/>
  </r>
  <r>
    <x v="0"/>
    <x v="0"/>
    <s v="MMR001"/>
    <s v="Bhamo"/>
    <s v="MMR001D003"/>
    <x v="7"/>
    <s v="MMR001012"/>
    <s v="Lwegel Town"/>
    <s v="MMR001012702"/>
    <s v="Aung Zay Yar Ward"/>
    <s v="MMR001012702505"/>
    <x v="136"/>
    <x v="139"/>
    <x v="102"/>
    <n v="24.200433"/>
    <n v="0"/>
    <n v="194"/>
    <n v="1071"/>
    <n v="5.5206185567010309"/>
    <x v="0"/>
    <x v="0"/>
    <x v="0"/>
    <x v="0"/>
    <x v="20"/>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P3"/>
    <n v="112"/>
    <m/>
    <n v="112"/>
    <s v="Lwegel Town"/>
    <n v="0.38934692601696641"/>
    <n v="1"/>
  </r>
  <r>
    <x v="0"/>
    <x v="0"/>
    <s v="MMR001"/>
    <s v="Bhamo"/>
    <s v="MMR001D003"/>
    <x v="7"/>
    <s v="MMR001012"/>
    <s v="Man Ping (Ping) (Dawthponeyan Sub-township)"/>
    <s v="MMR001012052"/>
    <s v="Man Ping"/>
    <n v="167270"/>
    <x v="137"/>
    <x v="140"/>
    <x v="103"/>
    <n v="24.759551999999999"/>
    <m/>
    <m/>
    <m/>
    <s v="NA"/>
    <x v="0"/>
    <x v="0"/>
    <x v="1"/>
    <x v="3"/>
    <x v="3"/>
    <m/>
    <x v="2"/>
    <s v="RRD"/>
    <m/>
    <d v="2014-06-13T00:00:00"/>
    <s v="Geo-Info, HH/Pop data was updated from Google Earth."/>
    <s v="P4"/>
    <n v="0"/>
    <m/>
    <n v="0"/>
    <s v="Dawthponeyan  Town"/>
    <n v="24.701686141136339"/>
    <n v="5"/>
  </r>
  <r>
    <x v="1"/>
    <x v="0"/>
    <s v="MMR001"/>
    <s v="Mohnyin"/>
    <s v="MMR001D002"/>
    <x v="5"/>
    <s v="MMR001009"/>
    <s v="Lone Khin"/>
    <s v="MMR001009001"/>
    <s v="Ku Day"/>
    <n v="216877"/>
    <x v="138"/>
    <x v="141"/>
    <x v="104"/>
    <n v="25.655989999999999"/>
    <m/>
    <n v="0"/>
    <n v="0"/>
    <s v="NA"/>
    <x v="0"/>
    <x v="0"/>
    <x v="0"/>
    <x v="1"/>
    <x v="3"/>
    <m/>
    <x v="2"/>
    <m/>
    <m/>
    <m/>
    <s v=" "/>
    <s v=""/>
    <n v="0"/>
    <m/>
    <n v="0"/>
    <s v=""/>
    <s v=""/>
    <s v=""/>
  </r>
  <r>
    <x v="1"/>
    <x v="0"/>
    <s v="MMR001"/>
    <s v="Mohnyin"/>
    <s v="MMR001D002"/>
    <x v="5"/>
    <s v="MMR001009"/>
    <s v="Lone Khin"/>
    <s v="MMR001009001"/>
    <s v="Lone Khin"/>
    <n v="166773"/>
    <x v="139"/>
    <x v="142"/>
    <x v="105"/>
    <n v="25.658650000000002"/>
    <m/>
    <n v="0"/>
    <n v="0"/>
    <s v="NA"/>
    <x v="0"/>
    <x v="0"/>
    <x v="0"/>
    <x v="1"/>
    <x v="3"/>
    <m/>
    <x v="2"/>
    <m/>
    <m/>
    <m/>
    <s v=" "/>
    <s v=""/>
    <n v="0"/>
    <m/>
    <n v="0"/>
    <s v=""/>
    <s v=""/>
    <s v=""/>
  </r>
  <r>
    <x v="1"/>
    <x v="0"/>
    <s v="MMR001"/>
    <s v="Mohnyin"/>
    <s v="MMR001D002"/>
    <x v="5"/>
    <s v="MMR001009"/>
    <s v="Lone Khin"/>
    <s v="MMR001009001"/>
    <s v="Ma Sut Yang"/>
    <n v="216880"/>
    <x v="140"/>
    <x v="143"/>
    <x v="106"/>
    <n v="25.668469999999999"/>
    <n v="256"/>
    <n v="0"/>
    <n v="0"/>
    <s v="NA"/>
    <x v="0"/>
    <x v="0"/>
    <x v="0"/>
    <x v="3"/>
    <x v="6"/>
    <m/>
    <x v="2"/>
    <s v="RRD"/>
    <m/>
    <d v="2014-05-15T00:00:00"/>
    <s v="Only one HH left, included in Lon Khin Baptist distribution list."/>
    <s v=""/>
    <n v="0"/>
    <m/>
    <n v="0"/>
    <s v=""/>
    <s v=""/>
    <s v=""/>
  </r>
  <r>
    <x v="1"/>
    <x v="0"/>
    <s v="MMR001"/>
    <s v="Mohnyin"/>
    <s v="MMR001D002"/>
    <x v="5"/>
    <s v="MMR001009"/>
    <s v="Lone Khin"/>
    <s v="MMR001009001"/>
    <s v="Hmaw Si Zar"/>
    <n v="166775"/>
    <x v="141"/>
    <x v="144"/>
    <x v="5"/>
    <m/>
    <m/>
    <n v="0"/>
    <n v="0"/>
    <s v="NA"/>
    <x v="0"/>
    <x v="0"/>
    <x v="0"/>
    <x v="1"/>
    <x v="3"/>
    <m/>
    <x v="2"/>
    <m/>
    <m/>
    <m/>
    <s v=" "/>
    <s v=""/>
    <n v="0"/>
    <m/>
    <n v="0"/>
    <s v=""/>
    <s v=""/>
    <s v=""/>
  </r>
  <r>
    <x v="0"/>
    <x v="0"/>
    <s v="MMR001"/>
    <s v="Bhamo"/>
    <s v="MMR001D003"/>
    <x v="7"/>
    <s v="MMR001012"/>
    <s v="Man Pon"/>
    <s v="MMR001012001"/>
    <s v="Man Pon"/>
    <n v="167009"/>
    <x v="142"/>
    <x v="145"/>
    <x v="107"/>
    <n v="24.245100000000001"/>
    <m/>
    <n v="265"/>
    <n v="1183"/>
    <n v="4.4641509433962261"/>
    <x v="0"/>
    <x v="0"/>
    <x v="0"/>
    <x v="0"/>
    <x v="8"/>
    <n v="2"/>
    <x v="0"/>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P4"/>
    <n v="112"/>
    <m/>
    <n v="112"/>
    <s v="Momauk Town"/>
    <n v="2.4411071835305544"/>
    <n v="1"/>
  </r>
  <r>
    <x v="1"/>
    <x v="0"/>
    <s v="MMR001"/>
    <s v="Mohnyin"/>
    <s v="MMR001D002"/>
    <x v="5"/>
    <s v="MMR001009"/>
    <s v="Hpakan Town"/>
    <s v="MMR001009701"/>
    <s v="Ma Shi Ka Htaung Ward"/>
    <s v="MMR001009701505"/>
    <x v="143"/>
    <x v="146"/>
    <x v="5"/>
    <m/>
    <m/>
    <n v="0"/>
    <n v="0"/>
    <s v="NA"/>
    <x v="0"/>
    <x v="0"/>
    <x v="0"/>
    <x v="1"/>
    <x v="3"/>
    <m/>
    <x v="2"/>
    <m/>
    <m/>
    <m/>
    <s v=" "/>
    <s v=""/>
    <n v="0"/>
    <m/>
    <n v="0"/>
    <s v=""/>
    <s v=""/>
    <s v=""/>
  </r>
  <r>
    <x v="0"/>
    <x v="0"/>
    <s v="MMR001"/>
    <s v="Bhamo"/>
    <s v="MMR001D003"/>
    <x v="4"/>
    <s v="MMR001013"/>
    <s v="Man Wein"/>
    <s v="MMR001013021"/>
    <s v="Man Wein"/>
    <n v="167405"/>
    <x v="144"/>
    <x v="147"/>
    <x v="108"/>
    <n v="23.827870999999998"/>
    <m/>
    <n v="175"/>
    <n v="834"/>
    <n v="4.765714285714286"/>
    <x v="0"/>
    <x v="0"/>
    <x v="1"/>
    <x v="3"/>
    <x v="3"/>
    <m/>
    <x v="2"/>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1"/>
    <x v="0"/>
    <s v="MMR001"/>
    <s v="Mohnyin"/>
    <s v="MMR001D002"/>
    <x v="5"/>
    <s v="MMR001009"/>
    <s v="Lone Khin"/>
    <s v="MMR001009001"/>
    <s v="Lone Khin"/>
    <n v="166773"/>
    <x v="145"/>
    <x v="148"/>
    <x v="109"/>
    <n v="25.658670000000001"/>
    <n v="0"/>
    <n v="0"/>
    <n v="0"/>
    <s v="NA"/>
    <x v="0"/>
    <x v="0"/>
    <x v="0"/>
    <x v="3"/>
    <x v="6"/>
    <m/>
    <x v="2"/>
    <s v="RRD"/>
    <m/>
    <d v="2014-05-15T00:00:00"/>
    <s v="Closed."/>
    <s v=""/>
    <n v="0"/>
    <m/>
    <n v="0"/>
    <s v=""/>
    <s v=""/>
    <s v=""/>
  </r>
  <r>
    <x v="1"/>
    <x v="0"/>
    <s v="MMR001"/>
    <s v="Mohnyin"/>
    <s v="MMR001D002"/>
    <x v="5"/>
    <s v="MMR001009"/>
    <s v="Lone Khin"/>
    <s v="MMR001009001"/>
    <s v="Lone Khin"/>
    <n v="166773"/>
    <x v="146"/>
    <x v="149"/>
    <x v="110"/>
    <n v="25.651440000000001"/>
    <m/>
    <n v="0"/>
    <n v="0"/>
    <s v="NA"/>
    <x v="0"/>
    <x v="0"/>
    <x v="0"/>
    <x v="1"/>
    <x v="3"/>
    <m/>
    <x v="2"/>
    <m/>
    <m/>
    <m/>
    <s v=" "/>
    <s v=""/>
    <n v="0"/>
    <m/>
    <n v="0"/>
    <s v=""/>
    <s v=""/>
    <s v=""/>
  </r>
  <r>
    <x v="0"/>
    <x v="0"/>
    <s v="MMR001"/>
    <s v="Mohnyin"/>
    <s v="MMR001D002"/>
    <x v="13"/>
    <s v="MMR001007"/>
    <s v="Mohnyin Town"/>
    <s v="MMR001007701"/>
    <m/>
    <m/>
    <x v="147"/>
    <x v="150"/>
    <x v="111"/>
    <n v="24.764959999999999"/>
    <m/>
    <n v="14"/>
    <n v="63"/>
    <n v="4.5"/>
    <x v="0"/>
    <x v="0"/>
    <x v="1"/>
    <x v="0"/>
    <x v="6"/>
    <m/>
    <x v="2"/>
    <s v="IP"/>
    <m/>
    <d v="2017-01-10T00:00:00"/>
    <s v="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Mohnyin Town"/>
    <n v="0"/>
    <n v="1"/>
  </r>
  <r>
    <x v="1"/>
    <x v="0"/>
    <s v="MMR001"/>
    <s v="Mohnyin"/>
    <s v="MMR001D002"/>
    <x v="5"/>
    <s v="MMR001009"/>
    <s v="Seik Mu"/>
    <s v="MMR001009003"/>
    <s v="Seik Mu"/>
    <n v="166783"/>
    <x v="148"/>
    <x v="151"/>
    <x v="5"/>
    <m/>
    <m/>
    <n v="0"/>
    <n v="0"/>
    <s v="NA"/>
    <x v="0"/>
    <x v="0"/>
    <x v="0"/>
    <x v="3"/>
    <x v="3"/>
    <m/>
    <x v="2"/>
    <s v="IP"/>
    <m/>
    <d v="2014-05-15T00:00:00"/>
    <s v="Closed."/>
    <s v=""/>
    <n v="0"/>
    <m/>
    <n v="0"/>
    <s v=""/>
    <s v=""/>
    <s v=""/>
  </r>
  <r>
    <x v="0"/>
    <x v="0"/>
    <s v="MMR001"/>
    <s v="Bhamo"/>
    <s v="MMR001D003"/>
    <x v="7"/>
    <s v="MMR001012"/>
    <s v="Momauk Town"/>
    <s v="MMR001012701"/>
    <s v="Ah Lin Kawng Ward"/>
    <s v="MMR001012701502"/>
    <x v="149"/>
    <x v="152"/>
    <x v="112"/>
    <n v="24.250689999999999"/>
    <n v="0"/>
    <n v="387"/>
    <n v="1844"/>
    <n v="4.7648578811369511"/>
    <x v="0"/>
    <x v="0"/>
    <x v="0"/>
    <x v="0"/>
    <x v="4"/>
    <n v="3"/>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111"/>
    <m/>
    <n v="111"/>
    <s v="Momauk Town"/>
    <n v="0.62513510418653162"/>
    <n v="1"/>
  </r>
  <r>
    <x v="1"/>
    <x v="1"/>
    <s v="MMR015"/>
    <s v="Muse"/>
    <s v="MMR015D002"/>
    <x v="10"/>
    <s v="MMR015009"/>
    <s v="Mung Baw "/>
    <s v="MMR015009013"/>
    <s v="Mung Baw "/>
    <m/>
    <x v="150"/>
    <x v="153"/>
    <x v="113"/>
    <n v="24.008452999999999"/>
    <n v="3396"/>
    <m/>
    <m/>
    <s v="NA"/>
    <x v="1"/>
    <x v="0"/>
    <x v="1"/>
    <x v="3"/>
    <x v="3"/>
    <m/>
    <x v="2"/>
    <s v="IRRC"/>
    <m/>
    <d v="2017-04-06T00:00:00"/>
    <s v="6/April/2017: Changed the camp stutas as &quot;Closed&quot;. Data source CCCM and comfirmed by partner (KBC). And it was updated since 3/March/2017_x000a_Change to Host Families."/>
    <s v="P1"/>
    <n v="0"/>
    <m/>
    <n v="0"/>
    <s v="Pang Hseng (Kyu Koke) Town"/>
    <n v="7.490291417449443"/>
    <n v="2"/>
  </r>
  <r>
    <x v="0"/>
    <x v="0"/>
    <s v="MMR001"/>
    <s v="Bhamo"/>
    <s v="MMR001D003"/>
    <x v="7"/>
    <s v="MMR001012"/>
    <s v="Ba Lawng Kawng (Lwegel Sub-township)"/>
    <s v="MMR001012030"/>
    <s v="Hpa Lum"/>
    <n v="167138"/>
    <x v="151"/>
    <x v="154"/>
    <x v="114"/>
    <n v="24.378167000000001"/>
    <n v="1149"/>
    <n v="355"/>
    <n v="1684"/>
    <n v="4.7436619718309858"/>
    <x v="1"/>
    <x v="0"/>
    <x v="0"/>
    <x v="3"/>
    <x v="20"/>
    <n v="2"/>
    <x v="0"/>
    <s v="IP"/>
    <m/>
    <d v="2017-02-14T00:00:00"/>
    <s v="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0"/>
    <x v="0"/>
    <s v="MMR001"/>
    <s v="Bhamo"/>
    <s v="MMR001D003"/>
    <x v="7"/>
    <s v="MMR001012"/>
    <s v="Lwegel Town"/>
    <s v="MMR001012039"/>
    <s v="Aung Zay Yar Ward"/>
    <s v="MMR001012702505"/>
    <x v="152"/>
    <x v="155"/>
    <x v="115"/>
    <n v="24.205417000000001"/>
    <n v="0"/>
    <n v="49"/>
    <n v="300"/>
    <n v="6.1224489795918364"/>
    <x v="0"/>
    <x v="0"/>
    <x v="0"/>
    <x v="0"/>
    <x v="9"/>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4"/>
    <m/>
    <n v="4"/>
    <s v="Lwegel Town"/>
    <n v="0.77561767807574999"/>
    <n v="1"/>
  </r>
  <r>
    <x v="1"/>
    <x v="0"/>
    <s v="MMR001"/>
    <s v="Mohnyin"/>
    <s v="MMR001D002"/>
    <x v="5"/>
    <s v="MMR001009"/>
    <s v="Seik Mu"/>
    <s v="MMR001009003"/>
    <s v="Seik Mu"/>
    <n v="166783"/>
    <x v="153"/>
    <x v="156"/>
    <x v="116"/>
    <n v="25.57921"/>
    <n v="0"/>
    <n v="0"/>
    <n v="0"/>
    <s v="NA"/>
    <x v="0"/>
    <x v="0"/>
    <x v="0"/>
    <x v="3"/>
    <x v="6"/>
    <m/>
    <x v="5"/>
    <s v="RRD"/>
    <m/>
    <d v="2014-04-07T00:00:00"/>
    <s v="Move to Nant Ma Hpit Catholic Church."/>
    <s v=""/>
    <n v="0"/>
    <m/>
    <n v="0"/>
    <s v=""/>
    <s v=""/>
    <s v=""/>
  </r>
  <r>
    <x v="1"/>
    <x v="0"/>
    <s v="MMR001"/>
    <s v="Mohnyin"/>
    <s v="MMR001D002"/>
    <x v="5"/>
    <s v="MMR001009"/>
    <s v="Seik Mu"/>
    <s v="MMR001009003"/>
    <s v="Seik Mu"/>
    <n v="166783"/>
    <x v="154"/>
    <x v="157"/>
    <x v="5"/>
    <m/>
    <m/>
    <n v="0"/>
    <n v="0"/>
    <s v="NA"/>
    <x v="0"/>
    <x v="0"/>
    <x v="0"/>
    <x v="1"/>
    <x v="3"/>
    <m/>
    <x v="2"/>
    <s v="RRD"/>
    <m/>
    <d v="2014-01-24T00:00:00"/>
    <s v="UNOCHA"/>
    <s v=""/>
    <n v="0"/>
    <m/>
    <n v="0"/>
    <s v=""/>
    <s v=""/>
    <s v=""/>
  </r>
  <r>
    <x v="1"/>
    <x v="0"/>
    <s v="MMR001"/>
    <s v="Mohnyin"/>
    <s v="MMR001D002"/>
    <x v="5"/>
    <s v="MMR001009"/>
    <s v="Nawng Mi"/>
    <s v="MMR001009008"/>
    <s v="Nawng Myi"/>
    <n v="166817"/>
    <x v="155"/>
    <x v="158"/>
    <x v="117"/>
    <n v="25.728653000000001"/>
    <m/>
    <n v="0"/>
    <n v="0"/>
    <s v="NA"/>
    <x v="0"/>
    <x v="0"/>
    <x v="0"/>
    <x v="3"/>
    <x v="3"/>
    <n v="1"/>
    <x v="3"/>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1"/>
    <x v="0"/>
    <s v="MMR001"/>
    <s v="Mohnyin"/>
    <s v="MMR001D002"/>
    <x v="5"/>
    <s v="MMR001009"/>
    <s v="Hpakan Town"/>
    <s v="MMR001009701"/>
    <s v="Maw Wam Ward"/>
    <s v="MMR001009701501"/>
    <x v="156"/>
    <x v="159"/>
    <x v="5"/>
    <m/>
    <m/>
    <n v="0"/>
    <n v="0"/>
    <s v="NA"/>
    <x v="0"/>
    <x v="0"/>
    <x v="0"/>
    <x v="1"/>
    <x v="3"/>
    <m/>
    <x v="2"/>
    <m/>
    <m/>
    <m/>
    <m/>
    <s v=""/>
    <n v="0"/>
    <m/>
    <n v="0"/>
    <s v=""/>
    <s v=""/>
    <s v=""/>
  </r>
  <r>
    <x v="0"/>
    <x v="0"/>
    <s v="MMR001"/>
    <s v="Bhamo"/>
    <s v="MMR001D003"/>
    <x v="7"/>
    <s v="MMR001012"/>
    <s v="Kawng Hsa (Lwegel Sub-township)"/>
    <s v="MMR001012033"/>
    <s v="Mai Gyar Yang"/>
    <n v="216913"/>
    <x v="157"/>
    <x v="160"/>
    <x v="118"/>
    <n v="24.2744"/>
    <n v="978"/>
    <n v="599"/>
    <n v="3633"/>
    <n v="6.0651085141903174"/>
    <x v="1"/>
    <x v="0"/>
    <x v="0"/>
    <x v="3"/>
    <x v="20"/>
    <n v="2"/>
    <x v="0"/>
    <s v="IP"/>
    <m/>
    <d v="2017-02-14T00:00:00"/>
    <s v="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1"/>
    <x v="1"/>
    <s v="MMR015"/>
    <s v="Muse"/>
    <s v="MMR015D003"/>
    <x v="10"/>
    <s v="MMR015019"/>
    <s v="Mone Paw Nam Chet (Zay) (Pang Hseng (Kyu Koke)) Sub-township"/>
    <s v="MMR015009033"/>
    <s v="Mone Paw Nam Chet"/>
    <n v="208167"/>
    <x v="158"/>
    <x v="161"/>
    <x v="119"/>
    <n v="23.978088"/>
    <m/>
    <m/>
    <m/>
    <s v="NA"/>
    <x v="0"/>
    <x v="0"/>
    <x v="1"/>
    <x v="3"/>
    <x v="3"/>
    <m/>
    <x v="2"/>
    <s v="IP"/>
    <m/>
    <d v="2017-04-06T00:00:00"/>
    <s v="6/Apr/2017: Changed the camp status as &quot;Closed&quot;. Data source: CCCM and comfirmed by partner (KBC). And it was updated since 3/Mar/2014._x000a_Change to Host Families."/>
    <s v="P3"/>
    <n v="0"/>
    <m/>
    <n v="0"/>
    <s v="Pang Hseng (Kyu Koke) Town"/>
    <n v="12.794700705104317"/>
    <n v="3"/>
  </r>
  <r>
    <x v="0"/>
    <x v="0"/>
    <s v="MMR001"/>
    <s v="Bhamo"/>
    <s v="MMR001D003"/>
    <x v="7"/>
    <s v="MMR001012"/>
    <s v="Lwegel Town"/>
    <s v="MMR001012702"/>
    <s v="Saing Gyar Ward"/>
    <s v="MMR001012702506"/>
    <x v="159"/>
    <x v="162"/>
    <x v="120"/>
    <n v="24.207332999999998"/>
    <n v="0"/>
    <n v="41"/>
    <n v="253"/>
    <n v="6.1707317073170733"/>
    <x v="0"/>
    <x v="0"/>
    <x v="0"/>
    <x v="0"/>
    <x v="9"/>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1.343152344964242"/>
    <n v="1"/>
  </r>
  <r>
    <x v="0"/>
    <x v="1"/>
    <s v="MMR015"/>
    <s v="Kyaukme"/>
    <s v="MMR015D003"/>
    <x v="11"/>
    <s v="MMR015015"/>
    <s v="Namtu Town"/>
    <s v="MMR015015701"/>
    <s v="Namtu Ward"/>
    <s v="MMR015015701501"/>
    <x v="160"/>
    <x v="163"/>
    <x v="121"/>
    <n v="23.088058"/>
    <n v="1948"/>
    <n v="118"/>
    <n v="520"/>
    <n v="4.406779661016949"/>
    <x v="0"/>
    <x v="0"/>
    <x v="1"/>
    <x v="0"/>
    <x v="3"/>
    <m/>
    <x v="2"/>
    <s v="IP"/>
    <m/>
    <d v="2014-09-01T00:00:00"/>
    <s v="Change to Host Families. Source: Programme Unit."/>
    <s v="P3"/>
    <n v="0"/>
    <m/>
    <n v="0"/>
    <s v="Namtu Town"/>
    <n v="0.63626694856259092"/>
    <n v="1"/>
  </r>
  <r>
    <x v="1"/>
    <x v="1"/>
    <s v="MMR015"/>
    <s v="Muse"/>
    <s v="MMR015D002"/>
    <x v="8"/>
    <s v="MMR015011"/>
    <s v="Galeng"/>
    <m/>
    <s v="Galeng"/>
    <m/>
    <x v="161"/>
    <x v="164"/>
    <x v="5"/>
    <m/>
    <m/>
    <n v="0"/>
    <n v="0"/>
    <s v="NA"/>
    <x v="1"/>
    <x v="0"/>
    <x v="0"/>
    <x v="3"/>
    <x v="3"/>
    <m/>
    <x v="2"/>
    <s v="IP"/>
    <m/>
    <d v="2013-01-15T00:00:00"/>
    <s v="Close: Duplicate Camp (MMR015CMP015 - Kone Khem Camp) 21-Jan-14"/>
    <s v=""/>
    <n v="0"/>
    <m/>
    <n v="0"/>
    <s v=""/>
    <s v=""/>
    <s v=""/>
  </r>
  <r>
    <x v="0"/>
    <x v="1"/>
    <s v="MMR015"/>
    <s v="Muse"/>
    <s v="MMR015D002"/>
    <x v="10"/>
    <s v="MMR015009"/>
    <s v="Muse Town"/>
    <s v="MMR015009701"/>
    <s v="Ho Mun Ward"/>
    <s v="MMR015009701504"/>
    <x v="162"/>
    <x v="165"/>
    <x v="122"/>
    <n v="24.006319999999999"/>
    <n v="812.7"/>
    <n v="51"/>
    <n v="214"/>
    <n v="4.1960784313725492"/>
    <x v="0"/>
    <x v="0"/>
    <x v="0"/>
    <x v="0"/>
    <x v="29"/>
    <m/>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P4"/>
    <n v="7"/>
    <m/>
    <n v="7"/>
    <s v="Muse Town"/>
    <n v="1.989668595899414"/>
    <n v="1"/>
  </r>
  <r>
    <x v="0"/>
    <x v="1"/>
    <s v="MMR015"/>
    <s v="Muse"/>
    <s v="MMR015D002"/>
    <x v="1"/>
    <s v="MMR015010"/>
    <s v="Nawng Hkam"/>
    <s v="MMR015010010"/>
    <s v="Nawng Hkam"/>
    <n v="208353"/>
    <x v="163"/>
    <x v="166"/>
    <x v="123"/>
    <n v="23.841646999999998"/>
    <n v="798"/>
    <n v="37"/>
    <n v="201"/>
    <n v="5.4324324324324325"/>
    <x v="0"/>
    <x v="0"/>
    <x v="0"/>
    <x v="0"/>
    <x v="30"/>
    <m/>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0"/>
    <m/>
    <n v="0"/>
    <s v="Namhkan Town"/>
    <n v="2.0141034419413328"/>
    <n v="1"/>
  </r>
  <r>
    <x v="0"/>
    <x v="0"/>
    <s v="MMR001"/>
    <s v="Myitkyina"/>
    <s v="MMR001D001"/>
    <x v="3"/>
    <s v="MMR001001"/>
    <s v="Myitkyina Town"/>
    <s v="MMR001001701"/>
    <s v="Du Ka Htaung Ward"/>
    <s v="MMR001001701504"/>
    <x v="164"/>
    <x v="167"/>
    <x v="124"/>
    <n v="25.4002701851852"/>
    <n v="0"/>
    <n v="6"/>
    <n v="28"/>
    <n v="4.666666666666667"/>
    <x v="0"/>
    <x v="0"/>
    <x v="0"/>
    <x v="0"/>
    <x v="4"/>
    <m/>
    <x v="1"/>
    <s v="RRD"/>
    <m/>
    <d v="2017-03-15T00:00:00"/>
    <s v="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3"/>
    <m/>
    <n v="3"/>
    <s v="Myitkyina Town"/>
    <n v="1.5295244799681529"/>
    <n v="1"/>
  </r>
  <r>
    <x v="0"/>
    <x v="0"/>
    <s v="MMR001"/>
    <s v="Myitkyina"/>
    <s v="MMR001D001"/>
    <x v="3"/>
    <s v="MMR001001"/>
    <s v="Myitkyina Town"/>
    <s v="MMR001001701"/>
    <s v="Du Ka Htaung Ward"/>
    <s v="MMR001001701504"/>
    <x v="165"/>
    <x v="168"/>
    <x v="125"/>
    <n v="25.3959740909091"/>
    <n v="0"/>
    <n v="6"/>
    <n v="39"/>
    <n v="6.5"/>
    <x v="0"/>
    <x v="0"/>
    <x v="0"/>
    <x v="0"/>
    <x v="4"/>
    <m/>
    <x v="1"/>
    <s v="RRD"/>
    <m/>
    <d v="2017-03-15T00:00:00"/>
    <s v="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0"/>
    <m/>
    <n v="0"/>
    <s v="Myitkyina Town"/>
    <n v="1.1985969617964649"/>
    <n v="1"/>
  </r>
  <r>
    <x v="0"/>
    <x v="0"/>
    <s v="MMR001"/>
    <s v="Myitkyina"/>
    <s v="MMR001D001"/>
    <x v="3"/>
    <s v="MMR001001"/>
    <s v="Myitkyina Town"/>
    <s v="MMR001001701"/>
    <s v="Du Ka Htaung Ward"/>
    <s v="MMR001001701504"/>
    <x v="166"/>
    <x v="169"/>
    <x v="126"/>
    <n v="25.396492500000001"/>
    <n v="0"/>
    <n v="20"/>
    <n v="105"/>
    <n v="5.25"/>
    <x v="0"/>
    <x v="0"/>
    <x v="0"/>
    <x v="0"/>
    <x v="4"/>
    <n v="2"/>
    <x v="1"/>
    <s v="IP"/>
    <m/>
    <d v="2017-03-15T00:00:00"/>
    <s v="15/Mar/2017: Population update. Data Source: KBC_x000a_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17"/>
    <m/>
    <n v="17"/>
    <s v="Myitkyina Town"/>
    <n v="1.3510454549069482"/>
    <n v="1"/>
  </r>
  <r>
    <x v="0"/>
    <x v="0"/>
    <s v="MMR001"/>
    <s v="Myitkyina"/>
    <s v="MMR001D001"/>
    <x v="3"/>
    <s v="MMR001001"/>
    <s v="Myitkyina Town"/>
    <s v="MMR001001701"/>
    <s v="Jan Mai Kawng"/>
    <m/>
    <x v="167"/>
    <x v="170"/>
    <x v="127"/>
    <n v="25.403476999999999"/>
    <n v="0"/>
    <n v="205"/>
    <n v="1110"/>
    <n v="5.4146341463414638"/>
    <x v="0"/>
    <x v="0"/>
    <x v="0"/>
    <x v="0"/>
    <x v="7"/>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45"/>
    <m/>
    <n v="45"/>
    <s v="Myitkyina Town"/>
    <n v="2.4647367211404561"/>
    <n v="1"/>
  </r>
  <r>
    <x v="1"/>
    <x v="0"/>
    <s v="MMR001"/>
    <s v="Mohnyin"/>
    <s v="MMR001D002"/>
    <x v="5"/>
    <s v="MMR001009"/>
    <s v="Hpakan Town"/>
    <s v="MMR001009701"/>
    <s v="Maw Wam Ward"/>
    <s v="MMR001009701501"/>
    <x v="168"/>
    <x v="171"/>
    <x v="128"/>
    <n v="25.615006000000001"/>
    <m/>
    <n v="0"/>
    <n v="0"/>
    <s v="NA"/>
    <x v="0"/>
    <x v="0"/>
    <x v="0"/>
    <x v="1"/>
    <x v="3"/>
    <m/>
    <x v="2"/>
    <m/>
    <m/>
    <m/>
    <s v=" "/>
    <s v=""/>
    <n v="0"/>
    <m/>
    <n v="0"/>
    <s v=""/>
    <s v=""/>
    <s v=""/>
  </r>
  <r>
    <x v="1"/>
    <x v="0"/>
    <s v="MMR001"/>
    <s v="Bhamo"/>
    <s v="MMR001D003"/>
    <x v="4"/>
    <s v="MMR001013"/>
    <s v="Man Mawn"/>
    <s v="MMR001013022"/>
    <m/>
    <m/>
    <x v="169"/>
    <x v="172"/>
    <x v="129"/>
    <n v="23.867713999999999"/>
    <n v="755"/>
    <n v="0"/>
    <n v="0"/>
    <s v="NA"/>
    <x v="1"/>
    <x v="0"/>
    <x v="0"/>
    <x v="3"/>
    <x v="31"/>
    <n v="2"/>
    <x v="0"/>
    <s v="IP"/>
    <m/>
    <d v="2014-06-21T00:00:00"/>
    <s v="Closed. Source: Save The Children"/>
    <s v="P4"/>
    <n v="0"/>
    <m/>
    <n v="0"/>
    <s v=""/>
    <s v=""/>
    <s v=""/>
  </r>
  <r>
    <x v="1"/>
    <x v="0"/>
    <s v="MMR001"/>
    <s v="Bhamo"/>
    <s v="MMR001D003"/>
    <x v="4"/>
    <s v="MMR001013"/>
    <s v="Mung Ding Pa"/>
    <s v="MMR001013038"/>
    <m/>
    <m/>
    <x v="170"/>
    <x v="173"/>
    <x v="130"/>
    <n v="24.20645"/>
    <n v="781.8"/>
    <n v="0"/>
    <n v="0"/>
    <s v="NA"/>
    <x v="1"/>
    <x v="0"/>
    <x v="0"/>
    <x v="3"/>
    <x v="13"/>
    <m/>
    <x v="2"/>
    <s v="IP"/>
    <m/>
    <d v="2014-01-22T00:00:00"/>
    <s v="Closed: Source UNHCR-Bhamo"/>
    <s v=""/>
    <n v="0"/>
    <m/>
    <n v="0"/>
    <s v=""/>
    <s v=""/>
    <s v=""/>
  </r>
  <r>
    <x v="1"/>
    <x v="0"/>
    <s v="MMR001"/>
    <s v="Bhamo"/>
    <s v="MMR001D003"/>
    <x v="4"/>
    <s v="MMR001013"/>
    <s v="Nam Lin Pa"/>
    <s v="MMR001013037"/>
    <m/>
    <m/>
    <x v="171"/>
    <x v="174"/>
    <x v="93"/>
    <n v="23.75817"/>
    <n v="781.8"/>
    <n v="0"/>
    <n v="0"/>
    <s v="NA"/>
    <x v="1"/>
    <x v="0"/>
    <x v="0"/>
    <x v="3"/>
    <x v="13"/>
    <m/>
    <x v="2"/>
    <s v="IP"/>
    <m/>
    <m/>
    <s v="Closed: Source UNHCR-Bhamo"/>
    <s v=""/>
    <n v="0"/>
    <m/>
    <n v="0"/>
    <s v=""/>
    <s v=""/>
    <s v=""/>
  </r>
  <r>
    <x v="0"/>
    <x v="0"/>
    <s v="MMR001"/>
    <s v="Myitkyina"/>
    <s v="MMR001D001"/>
    <x v="3"/>
    <s v="MMR001001"/>
    <s v="Myitkyina Town"/>
    <s v="MMR001001701"/>
    <s v="Jan Mai Kawng"/>
    <m/>
    <x v="172"/>
    <x v="175"/>
    <x v="131"/>
    <n v="25.401061110000001"/>
    <m/>
    <n v="99"/>
    <n v="454"/>
    <n v="4.5858585858585856"/>
    <x v="0"/>
    <x v="0"/>
    <x v="0"/>
    <x v="0"/>
    <x v="7"/>
    <n v="3"/>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19"/>
    <m/>
    <n v="19"/>
    <s v="Myitkyina Town"/>
    <n v="1.8563710010113432"/>
    <n v="1"/>
  </r>
  <r>
    <x v="0"/>
    <x v="0"/>
    <s v="MMR001"/>
    <s v="Myitkyina"/>
    <s v="MMR001D001"/>
    <x v="3"/>
    <s v="MMR001001"/>
    <s v="Myitkyina Town"/>
    <s v="MMR001001701"/>
    <s v="Kyun Pin Thar Ward"/>
    <s v="MMR001001701510"/>
    <x v="173"/>
    <x v="176"/>
    <x v="132"/>
    <n v="25.3660036111111"/>
    <n v="0"/>
    <n v="48"/>
    <n v="211"/>
    <n v="4.395833333333333"/>
    <x v="0"/>
    <x v="0"/>
    <x v="0"/>
    <x v="0"/>
    <x v="32"/>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Update population according to KBC data"/>
    <s v="P4"/>
    <n v="43"/>
    <m/>
    <n v="43"/>
    <s v="Myitkyina Town"/>
    <n v="2.8164250706222882"/>
    <n v="1"/>
  </r>
  <r>
    <x v="1"/>
    <x v="0"/>
    <s v="MMR001"/>
    <s v="Bhamo"/>
    <s v="MMR001D003"/>
    <x v="4"/>
    <s v="MMR001013"/>
    <s v="Nam Lin Pa"/>
    <s v="MMR001013037"/>
    <m/>
    <m/>
    <x v="174"/>
    <x v="177"/>
    <x v="5"/>
    <m/>
    <m/>
    <n v="0"/>
    <n v="0"/>
    <s v="NA"/>
    <x v="1"/>
    <x v="0"/>
    <x v="0"/>
    <x v="1"/>
    <x v="3"/>
    <m/>
    <x v="2"/>
    <s v="IP"/>
    <m/>
    <m/>
    <s v="Closed: Source UNHCR-Bhamo"/>
    <s v=""/>
    <n v="0"/>
    <m/>
    <n v="0"/>
    <s v=""/>
    <s v=""/>
    <s v=""/>
  </r>
  <r>
    <x v="0"/>
    <x v="0"/>
    <s v="MMR001"/>
    <s v="Myitkyina"/>
    <s v="MMR001D001"/>
    <x v="3"/>
    <s v="MMR001001"/>
    <s v="Myitkyina Town"/>
    <s v="MMR001001701"/>
    <s v="Lel Kone Ward"/>
    <s v="MMR001001701525"/>
    <x v="175"/>
    <x v="178"/>
    <x v="133"/>
    <n v="25.362420757575801"/>
    <n v="0"/>
    <n v="30"/>
    <n v="178"/>
    <n v="5.9333333333333336"/>
    <x v="0"/>
    <x v="0"/>
    <x v="0"/>
    <x v="0"/>
    <x v="33"/>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6"/>
    <m/>
    <n v="6"/>
    <s v="Myitkyina Town"/>
    <n v="3.3602711423118103"/>
    <n v="1"/>
  </r>
  <r>
    <x v="1"/>
    <x v="0"/>
    <s v="MMR001"/>
    <s v="Bhamo"/>
    <s v="MMR001D003"/>
    <x v="0"/>
    <s v="MMR001010"/>
    <m/>
    <m/>
    <m/>
    <m/>
    <x v="176"/>
    <x v="179"/>
    <x v="5"/>
    <m/>
    <m/>
    <n v="0"/>
    <n v="0"/>
    <s v="NA"/>
    <x v="0"/>
    <x v="0"/>
    <x v="0"/>
    <x v="0"/>
    <x v="3"/>
    <m/>
    <x v="2"/>
    <s v="IP"/>
    <m/>
    <d v="2014-03-03T00:00:00"/>
    <s v="Closed. Rellocated to Tharthana Ahlin Yaung."/>
    <s v=""/>
    <n v="0"/>
    <m/>
    <n v="0"/>
    <s v=""/>
    <s v=""/>
    <s v=""/>
  </r>
  <r>
    <x v="1"/>
    <x v="0"/>
    <s v="MMR001"/>
    <s v="Bhamo"/>
    <s v="MMR001D003"/>
    <x v="4"/>
    <s v="MMR001013"/>
    <s v="Mai Bat"/>
    <s v="MMR001013018"/>
    <s v="Man Kawng"/>
    <n v="167391"/>
    <x v="177"/>
    <x v="180"/>
    <x v="134"/>
    <n v="24.181640000000002"/>
    <m/>
    <n v="0"/>
    <n v="0"/>
    <s v="NA"/>
    <x v="0"/>
    <x v="0"/>
    <x v="0"/>
    <x v="1"/>
    <x v="3"/>
    <m/>
    <x v="2"/>
    <s v="IP"/>
    <m/>
    <d v="2014-03-03T00:00:00"/>
    <s v="Closed. Duplicate with Maing Khaung."/>
    <s v=""/>
    <n v="0"/>
    <m/>
    <n v="0"/>
    <s v=""/>
    <s v=""/>
    <s v=""/>
  </r>
  <r>
    <x v="1"/>
    <x v="0"/>
    <s v="MMR001"/>
    <s v="Bhamo"/>
    <s v="MMR001D003"/>
    <x v="4"/>
    <s v="MMR001013"/>
    <s v="Mai Bat"/>
    <s v="MMR001013018"/>
    <s v="Man Kawng"/>
    <n v="167391"/>
    <x v="178"/>
    <x v="181"/>
    <x v="134"/>
    <n v="24.181640000000002"/>
    <m/>
    <n v="0"/>
    <n v="0"/>
    <s v="NA"/>
    <x v="0"/>
    <x v="0"/>
    <x v="0"/>
    <x v="1"/>
    <x v="3"/>
    <m/>
    <x v="2"/>
    <s v="IP"/>
    <m/>
    <d v="2014-03-03T00:00:00"/>
    <s v="Closed. Duplicate with Maing Khaung."/>
    <s v=""/>
    <n v="0"/>
    <m/>
    <n v="0"/>
    <s v=""/>
    <s v=""/>
    <s v=""/>
  </r>
  <r>
    <x v="1"/>
    <x v="0"/>
    <s v="MMR001"/>
    <s v="Bhamo"/>
    <s v="MMR001D003"/>
    <x v="4"/>
    <s v="MMR001013"/>
    <m/>
    <m/>
    <m/>
    <m/>
    <x v="179"/>
    <x v="182"/>
    <x v="5"/>
    <m/>
    <m/>
    <n v="0"/>
    <n v="0"/>
    <s v="NA"/>
    <x v="0"/>
    <x v="0"/>
    <x v="0"/>
    <x v="1"/>
    <x v="3"/>
    <m/>
    <x v="2"/>
    <s v="IP"/>
    <m/>
    <d v="2014-03-03T00:00:00"/>
    <s v="Closed. Rellocated to Man Win and La Ga Yaung"/>
    <s v=""/>
    <n v="0"/>
    <m/>
    <n v="0"/>
    <s v=""/>
    <s v=""/>
    <s v=""/>
  </r>
  <r>
    <x v="1"/>
    <x v="0"/>
    <s v="MMR001"/>
    <s v="Bhamo"/>
    <s v="MMR001D003"/>
    <x v="4"/>
    <s v="MMR001013"/>
    <m/>
    <m/>
    <m/>
    <m/>
    <x v="180"/>
    <x v="183"/>
    <x v="5"/>
    <m/>
    <m/>
    <n v="0"/>
    <n v="0"/>
    <s v="NA"/>
    <x v="0"/>
    <x v="0"/>
    <x v="0"/>
    <x v="1"/>
    <x v="3"/>
    <m/>
    <x v="2"/>
    <s v="IP"/>
    <m/>
    <d v="2014-03-03T00:00:00"/>
    <s v="Closed. Rellocated to Man Win and La Ga Yaung"/>
    <s v=""/>
    <n v="0"/>
    <m/>
    <n v="0"/>
    <s v=""/>
    <s v=""/>
    <s v=""/>
  </r>
  <r>
    <x v="0"/>
    <x v="1"/>
    <s v="MMR015"/>
    <s v="Lashio"/>
    <s v="MMR015D001"/>
    <x v="18"/>
    <s v="MMR015002"/>
    <s v="Nar Tee"/>
    <s v="MMR015002029"/>
    <s v="Nar Tee"/>
    <n v="206422"/>
    <x v="181"/>
    <x v="184"/>
    <x v="135"/>
    <n v="23.372409999999999"/>
    <n v="617.6"/>
    <n v="67"/>
    <n v="392"/>
    <n v="5.8507462686567164"/>
    <x v="1"/>
    <x v="0"/>
    <x v="1"/>
    <x v="3"/>
    <x v="31"/>
    <m/>
    <x v="2"/>
    <s v="IP"/>
    <m/>
    <d v="2014-03-03T00:00:00"/>
    <s v="Change to Host Families."/>
    <s v="P4"/>
    <n v="0"/>
    <m/>
    <n v="0"/>
    <s v="Kunlong Town"/>
    <n v="30.037709702375544"/>
    <n v="7"/>
  </r>
  <r>
    <x v="1"/>
    <x v="0"/>
    <s v="MMR001"/>
    <s v="Bhamo"/>
    <s v="MMR001D003"/>
    <x v="4"/>
    <s v="MMR001013"/>
    <m/>
    <m/>
    <m/>
    <m/>
    <x v="182"/>
    <x v="185"/>
    <x v="5"/>
    <m/>
    <m/>
    <n v="0"/>
    <n v="0"/>
    <s v="NA"/>
    <x v="0"/>
    <x v="0"/>
    <x v="3"/>
    <x v="1"/>
    <x v="3"/>
    <m/>
    <x v="2"/>
    <s v="IP"/>
    <m/>
    <d v="2014-02-07T00:00:00"/>
    <s v="Source OCHA"/>
    <s v=""/>
    <n v="0"/>
    <m/>
    <n v="0"/>
    <s v=""/>
    <s v=""/>
    <s v=""/>
  </r>
  <r>
    <x v="0"/>
    <x v="0"/>
    <s v="MMR001"/>
    <s v="Myitkyina"/>
    <s v="MMR001D001"/>
    <x v="3"/>
    <s v="MMR001001"/>
    <s v="Myitkyina Town"/>
    <s v="MMR001001701"/>
    <s v="Lel Kone Ward"/>
    <s v="MMR001001701525"/>
    <x v="183"/>
    <x v="186"/>
    <x v="136"/>
    <n v="25.3510167948718"/>
    <n v="0"/>
    <n v="85"/>
    <n v="437"/>
    <n v="5.1411764705882357"/>
    <x v="0"/>
    <x v="0"/>
    <x v="0"/>
    <x v="0"/>
    <x v="4"/>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P4"/>
    <n v="0"/>
    <m/>
    <n v="0"/>
    <s v="Myitkyina Town"/>
    <n v="4.262018365878137"/>
    <n v="1"/>
  </r>
  <r>
    <x v="1"/>
    <x v="0"/>
    <s v="MMR001"/>
    <s v="Bhamo"/>
    <s v="MMR001D003"/>
    <x v="4"/>
    <s v="MMR001013"/>
    <m/>
    <m/>
    <m/>
    <m/>
    <x v="184"/>
    <x v="187"/>
    <x v="5"/>
    <m/>
    <m/>
    <n v="0"/>
    <n v="0"/>
    <s v="NA"/>
    <x v="0"/>
    <x v="0"/>
    <x v="0"/>
    <x v="3"/>
    <x v="3"/>
    <m/>
    <x v="2"/>
    <s v="IP"/>
    <m/>
    <d v="2014-01-13T00:00:00"/>
    <s v="Close (Source: OCHA)"/>
    <s v=""/>
    <n v="0"/>
    <m/>
    <n v="0"/>
    <s v=""/>
    <s v=""/>
    <s v=""/>
  </r>
  <r>
    <x v="1"/>
    <x v="0"/>
    <s v="MMR001"/>
    <s v="Puta-O"/>
    <s v="MMR001D004"/>
    <x v="16"/>
    <s v="MMR001014"/>
    <s v="Lang Taung"/>
    <s v="MMR001014009"/>
    <s v="Nawng Hkaing"/>
    <n v="167567"/>
    <x v="185"/>
    <x v="188"/>
    <x v="137"/>
    <n v="27.270199999999999"/>
    <n v="372.9"/>
    <n v="0"/>
    <n v="0"/>
    <s v="NA"/>
    <x v="0"/>
    <x v="0"/>
    <x v="0"/>
    <x v="3"/>
    <x v="15"/>
    <m/>
    <x v="2"/>
    <s v="IP"/>
    <m/>
    <d v="2014-03-27T00:00:00"/>
    <s v="25-Jun-15 (Relocated to Lone Sut)_x000a_Geo-Info, HH/Pop data received from MIRA Form"/>
    <s v="P3"/>
    <n v="0"/>
    <m/>
    <n v="0"/>
    <s v="Machanbaw Town"/>
    <n v="1.7005689699647599"/>
    <n v="1"/>
  </r>
  <r>
    <x v="1"/>
    <x v="0"/>
    <s v="MMR001"/>
    <s v="Puta-O"/>
    <s v="MMR001D004"/>
    <x v="19"/>
    <s v="MMR001016"/>
    <m/>
    <m/>
    <m/>
    <m/>
    <x v="186"/>
    <x v="189"/>
    <x v="138"/>
    <n v="27.274059999999999"/>
    <n v="403"/>
    <n v="0"/>
    <n v="0"/>
    <s v="NA"/>
    <x v="0"/>
    <x v="0"/>
    <x v="0"/>
    <x v="3"/>
    <x v="34"/>
    <m/>
    <x v="2"/>
    <s v="IP"/>
    <m/>
    <d v="2015-06-25T00:00:00"/>
    <s v="25-Jun-15 (Relocate to Long Sut)_x000a_Geo-Info, HH/Pop data received from MIRA Form"/>
    <s v="P3"/>
    <n v="0"/>
    <m/>
    <n v="0"/>
    <s v="Machanbaw Town"/>
    <n v="1.136583238544624"/>
    <n v="1"/>
  </r>
  <r>
    <x v="1"/>
    <x v="0"/>
    <s v="MMR001"/>
    <s v="Bhamo"/>
    <s v="MMR001D003"/>
    <x v="0"/>
    <s v="MMR001010"/>
    <m/>
    <m/>
    <m/>
    <m/>
    <x v="187"/>
    <x v="190"/>
    <x v="5"/>
    <m/>
    <m/>
    <n v="0"/>
    <n v="0"/>
    <s v="NA"/>
    <x v="0"/>
    <x v="0"/>
    <x v="0"/>
    <x v="0"/>
    <x v="3"/>
    <m/>
    <x v="2"/>
    <s v="IP"/>
    <m/>
    <d v="2014-03-04T00:00:00"/>
    <s v="Closed. Rellocated next to AD 2000 Tharthana Compound and CCCM is under AD 2000"/>
    <s v=""/>
    <n v="0"/>
    <m/>
    <n v="0"/>
    <s v=""/>
    <s v=""/>
    <s v=""/>
  </r>
  <r>
    <x v="0"/>
    <x v="0"/>
    <s v="MMR001"/>
    <s v="Myitkyina"/>
    <s v="MMR001D001"/>
    <x v="3"/>
    <s v="MMR001001"/>
    <s v="Myitkyina Town"/>
    <s v="MMR001001701"/>
    <s v="Maliyang Ward"/>
    <m/>
    <x v="188"/>
    <x v="191"/>
    <x v="139"/>
    <n v="25.360463124999999"/>
    <n v="0"/>
    <n v="61"/>
    <n v="303"/>
    <n v="4.9672131147540988"/>
    <x v="0"/>
    <x v="0"/>
    <x v="0"/>
    <x v="0"/>
    <x v="19"/>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P4"/>
    <n v="41"/>
    <m/>
    <n v="41"/>
    <s v="Waingmaw Town"/>
    <n v="3.3362307375127798"/>
    <n v="1"/>
  </r>
  <r>
    <x v="1"/>
    <x v="0"/>
    <s v="MMR001"/>
    <s v="Bhamo"/>
    <s v="MMR001D003"/>
    <x v="0"/>
    <s v="MMR001010"/>
    <s v="Han Te"/>
    <s v="MMR001010024"/>
    <m/>
    <m/>
    <x v="189"/>
    <x v="192"/>
    <x v="140"/>
    <n v="24.229189999999999"/>
    <n v="126"/>
    <n v="0"/>
    <n v="0"/>
    <s v="NA"/>
    <x v="0"/>
    <x v="0"/>
    <x v="0"/>
    <x v="0"/>
    <x v="3"/>
    <m/>
    <x v="3"/>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yitkyina"/>
    <s v="MMR001D001"/>
    <x v="3"/>
    <s v="MMR001001"/>
    <s v="Myitkyina Town"/>
    <s v="MMR001001701"/>
    <s v="Man Khein Ward"/>
    <s v="MMR001001701519"/>
    <x v="190"/>
    <x v="193"/>
    <x v="141"/>
    <n v="25.428910999999999"/>
    <n v="0"/>
    <n v="101"/>
    <n v="545"/>
    <n v="5.3960396039603964"/>
    <x v="0"/>
    <x v="0"/>
    <x v="0"/>
    <x v="0"/>
    <x v="7"/>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21"/>
    <m/>
    <n v="21"/>
    <s v="Myitkyina Town"/>
    <n v="5.4145379230647226"/>
    <n v="2"/>
  </r>
  <r>
    <x v="1"/>
    <x v="0"/>
    <s v="MMR001"/>
    <s v="Bhamo"/>
    <s v="MMR001D003"/>
    <x v="4"/>
    <s v="MMR001013"/>
    <s v="Dum Buk"/>
    <s v="MMR001013014"/>
    <s v="Dum Buk"/>
    <n v="167343"/>
    <x v="191"/>
    <x v="194"/>
    <x v="142"/>
    <n v="24.000250000000001"/>
    <m/>
    <m/>
    <m/>
    <s v="NA"/>
    <x v="1"/>
    <x v="0"/>
    <x v="0"/>
    <x v="3"/>
    <x v="11"/>
    <m/>
    <x v="0"/>
    <s v="IP"/>
    <m/>
    <d v="2016-09-16T00:00:00"/>
    <s v="16/Sep/2016: Changes camp status. Actually it was not closed. It was combined as one camp with Bum Tsit Pa. Data source: KMSS_Bhamo._x000a_28/Jan/2016. Population update. Data source: KBC_x000a_Population Update. Source: Save The Children."/>
    <s v="P2"/>
    <n v="0"/>
    <m/>
    <n v="0"/>
    <s v="Namhkan Town"/>
    <n v="19.631786732140053"/>
    <n v="4"/>
  </r>
  <r>
    <x v="0"/>
    <x v="1"/>
    <s v="MMR015"/>
    <s v="Muse"/>
    <s v="MMR015D002"/>
    <x v="1"/>
    <s v="MMR015010"/>
    <s v="Ho Nar"/>
    <s v="MMR015010002"/>
    <s v="Pang Long"/>
    <n v="208338"/>
    <x v="192"/>
    <x v="195"/>
    <x v="143"/>
    <n v="23.838190000000001"/>
    <n v="829.8"/>
    <n v="121"/>
    <n v="556"/>
    <n v="4.5950413223140494"/>
    <x v="0"/>
    <x v="0"/>
    <x v="0"/>
    <x v="0"/>
    <x v="35"/>
    <m/>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49"/>
    <m/>
    <n v="49"/>
    <s v="Namhkan Town"/>
    <n v="2.8590638493982405"/>
    <n v="1"/>
  </r>
  <r>
    <x v="0"/>
    <x v="0"/>
    <s v="MMR001"/>
    <s v="Myitkyina"/>
    <s v="MMR001D001"/>
    <x v="3"/>
    <s v="MMR001001"/>
    <s v="Maw Hpawng"/>
    <s v="MMR001001007"/>
    <s v="Maw Hpawng"/>
    <n v="165698"/>
    <x v="193"/>
    <x v="196"/>
    <x v="144"/>
    <n v="25.374343974359"/>
    <n v="0"/>
    <n v="21"/>
    <n v="98"/>
    <n v="4.666666666666667"/>
    <x v="0"/>
    <x v="0"/>
    <x v="0"/>
    <x v="3"/>
    <x v="11"/>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Myitkyina"/>
    <s v="MMR001D001"/>
    <x v="3"/>
    <s v="MMR001001"/>
    <s v="Maw Hpawng"/>
    <s v="MMR001001007"/>
    <s v="Maw Hpawng"/>
    <n v="165698"/>
    <x v="194"/>
    <x v="197"/>
    <x v="145"/>
    <n v="25.371049444444399"/>
    <n v="476"/>
    <n v="14"/>
    <n v="71"/>
    <n v="5.0714285714285712"/>
    <x v="0"/>
    <x v="0"/>
    <x v="0"/>
    <x v="3"/>
    <x v="11"/>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yitkyina"/>
    <s v="MMR001D001"/>
    <x v="3"/>
    <s v="MMR001001"/>
    <s v="Nam Koi"/>
    <s v="MMR001001005"/>
    <s v="Nam Koi"/>
    <n v="165695"/>
    <x v="195"/>
    <x v="198"/>
    <x v="146"/>
    <n v="25.410569299999999"/>
    <m/>
    <n v="68"/>
    <n v="333"/>
    <n v="4.8970588235294121"/>
    <x v="0"/>
    <x v="0"/>
    <x v="0"/>
    <x v="0"/>
    <x v="32"/>
    <m/>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P4"/>
    <n v="1"/>
    <m/>
    <n v="1"/>
    <s v="Myitkyina Town"/>
    <n v="4.037940696665812"/>
    <n v="1"/>
  </r>
  <r>
    <x v="0"/>
    <x v="0"/>
    <s v="MMR001"/>
    <s v="Myitkyina"/>
    <s v="MMR001D001"/>
    <x v="3"/>
    <s v="MMR001001"/>
    <s v="Myitkyina Town"/>
    <s v="MMR001001701"/>
    <s v="N Jang Dung"/>
    <m/>
    <x v="196"/>
    <x v="199"/>
    <x v="147"/>
    <n v="25.422194000000001"/>
    <n v="0"/>
    <n v="67"/>
    <n v="289"/>
    <n v="4.3134328358208958"/>
    <x v="0"/>
    <x v="0"/>
    <x v="0"/>
    <x v="0"/>
    <x v="4"/>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15"/>
    <m/>
    <s v="=MIN([@[Shelter Gap]],[@[Land Status]])"/>
    <s v="Myitkyina Town"/>
    <n v="3.8820329084732199"/>
    <n v="1"/>
  </r>
  <r>
    <x v="0"/>
    <x v="0"/>
    <s v="MMR001"/>
    <s v="Myitkyina"/>
    <s v="MMR001D001"/>
    <x v="3"/>
    <s v="MMR001001"/>
    <s v="Pa La Na Sa Khan Myar"/>
    <s v="MMR001001003"/>
    <s v="Pi Tauk Myaing"/>
    <n v="165685"/>
    <x v="197"/>
    <x v="200"/>
    <x v="148"/>
    <n v="25.493819999999999"/>
    <m/>
    <n v="46"/>
    <n v="278"/>
    <n v="6.0434782608695654"/>
    <x v="0"/>
    <x v="0"/>
    <x v="0"/>
    <x v="0"/>
    <x v="10"/>
    <m/>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2"/>
    <m/>
    <n v="2"/>
    <s v="Myitkyina Town"/>
    <n v="12.627188913244609"/>
    <n v="3"/>
  </r>
  <r>
    <x v="0"/>
    <x v="0"/>
    <s v="MMR001"/>
    <s v="Myitkyina"/>
    <s v="MMR001D001"/>
    <x v="3"/>
    <s v="MMR001001"/>
    <s v="Myitkyina Town"/>
    <s v="MMR001001701"/>
    <s v="Si Tar Pu Ward"/>
    <s v="MMR001001701521"/>
    <x v="198"/>
    <x v="201"/>
    <x v="149"/>
    <n v="25.412313000000001"/>
    <n v="0"/>
    <n v="90"/>
    <n v="405"/>
    <n v="4.5"/>
    <x v="0"/>
    <x v="0"/>
    <x v="0"/>
    <x v="0"/>
    <x v="19"/>
    <n v="2"/>
    <x v="1"/>
    <s v="IP"/>
    <m/>
    <d v="2017-03-15T00:00:00"/>
    <s v="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P4"/>
    <n v="26"/>
    <m/>
    <n v="26"/>
    <s v="Myitkyina Town"/>
    <n v="2.9133254097712102"/>
    <n v="1"/>
  </r>
  <r>
    <x v="0"/>
    <x v="0"/>
    <s v="MMR001"/>
    <s v="Myitkyina"/>
    <s v="MMR001D001"/>
    <x v="3"/>
    <s v="MMR001001"/>
    <s v="Myitkyina Town"/>
    <s v="MMR001001701"/>
    <s v="Si Tar Pu Ward"/>
    <s v="MMR001001701521"/>
    <x v="199"/>
    <x v="202"/>
    <x v="150"/>
    <n v="25.423817"/>
    <n v="0"/>
    <n v="22"/>
    <n v="111"/>
    <n v="5.0454545454545459"/>
    <x v="0"/>
    <x v="0"/>
    <x v="0"/>
    <x v="0"/>
    <x v="32"/>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0"/>
    <x v="0"/>
    <s v="MMR001"/>
    <s v="Myitkyina"/>
    <s v="MMR001D001"/>
    <x v="3"/>
    <s v="MMR001001"/>
    <s v="Myitkyina Town"/>
    <s v="MMR001001701"/>
    <s v="Shwe Set Ward"/>
    <s v="MMR001001701518"/>
    <x v="200"/>
    <x v="203"/>
    <x v="151"/>
    <n v="25.440928"/>
    <n v="0"/>
    <n v="89"/>
    <n v="489"/>
    <n v="5.4943820224719104"/>
    <x v="0"/>
    <x v="0"/>
    <x v="0"/>
    <x v="0"/>
    <x v="7"/>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P4"/>
    <n v="39"/>
    <m/>
    <n v="39"/>
    <s v="Myitkyina Town"/>
    <n v="6.6198004689728469"/>
    <n v="2"/>
  </r>
  <r>
    <x v="0"/>
    <x v="0"/>
    <s v="MMR001"/>
    <s v="Myitkyina"/>
    <s v="MMR001D001"/>
    <x v="3"/>
    <s v="MMR001001"/>
    <s v="Myitkyina Town"/>
    <s v="MMR001001701"/>
    <s v="Tat Kone Ward"/>
    <s v="MMR001001701520"/>
    <x v="201"/>
    <x v="204"/>
    <x v="152"/>
    <n v="25.415482000000001"/>
    <n v="0"/>
    <n v="52"/>
    <n v="263"/>
    <n v="5.0576923076923075"/>
    <x v="0"/>
    <x v="0"/>
    <x v="0"/>
    <x v="0"/>
    <x v="4"/>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P4"/>
    <n v="0"/>
    <m/>
    <n v="0"/>
    <s v="Myitkyina Town"/>
    <n v="3.1341427522963001"/>
    <n v="1"/>
  </r>
  <r>
    <x v="0"/>
    <x v="0"/>
    <s v="MMR001"/>
    <s v="Myitkyina"/>
    <s v="MMR001D001"/>
    <x v="3"/>
    <s v="MMR001001"/>
    <s v="Myitkyina Town"/>
    <s v="MMR001001701"/>
    <s v="Tat Kone Ward"/>
    <s v="MMR001001701520"/>
    <x v="202"/>
    <x v="205"/>
    <x v="153"/>
    <n v="25.423209"/>
    <n v="0"/>
    <n v="54"/>
    <n v="259"/>
    <n v="4.7962962962962967"/>
    <x v="0"/>
    <x v="0"/>
    <x v="0"/>
    <x v="0"/>
    <x v="20"/>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0"/>
    <x v="0"/>
    <s v="MMR001"/>
    <s v="Myitkyina"/>
    <s v="MMR001D001"/>
    <x v="3"/>
    <s v="MMR001001"/>
    <s v="Myitkyina Town"/>
    <s v="MMR001001701"/>
    <s v="Tat Kone Ward"/>
    <s v="MMR001001701520"/>
    <x v="203"/>
    <x v="206"/>
    <x v="154"/>
    <n v="25.417733999999999"/>
    <n v="0"/>
    <n v="4"/>
    <n v="21"/>
    <n v="5.25"/>
    <x v="0"/>
    <x v="0"/>
    <x v="0"/>
    <x v="0"/>
    <x v="19"/>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3.3637010801853577"/>
    <n v="1"/>
  </r>
  <r>
    <x v="0"/>
    <x v="1"/>
    <s v="MMR015"/>
    <s v="Muse"/>
    <s v="MMR015D002"/>
    <x v="10"/>
    <s v="MMR015009"/>
    <s v="Muse Town"/>
    <s v="MMR015009701"/>
    <s v="Ho Mun Ward"/>
    <s v="MMR015009701504"/>
    <x v="204"/>
    <x v="207"/>
    <x v="155"/>
    <n v="24.006789000000001"/>
    <n v="814"/>
    <n v="25"/>
    <n v="113"/>
    <n v="4.5199999999999996"/>
    <x v="0"/>
    <x v="0"/>
    <x v="0"/>
    <x v="0"/>
    <x v="36"/>
    <m/>
    <x v="4"/>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P4"/>
    <n v="0"/>
    <m/>
    <n v="0"/>
    <s v="Muse Town"/>
    <n v="2.1362355825722199"/>
    <n v="1"/>
  </r>
  <r>
    <x v="0"/>
    <x v="0"/>
    <s v="MMR001"/>
    <s v="Myitkyina"/>
    <s v="MMR001D001"/>
    <x v="3"/>
    <s v="MMR001001"/>
    <s v="Myitkyina Town"/>
    <s v="MMR001001701"/>
    <s v="Tat Kone Ward"/>
    <s v="MMR001001701520"/>
    <x v="205"/>
    <x v="208"/>
    <x v="156"/>
    <n v="25.404752999999999"/>
    <n v="0"/>
    <n v="32"/>
    <n v="169"/>
    <n v="5.28125"/>
    <x v="0"/>
    <x v="0"/>
    <x v="0"/>
    <x v="0"/>
    <x v="7"/>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P4"/>
    <n v="12"/>
    <m/>
    <n v="12"/>
    <s v="Myitkyina Town"/>
    <n v="2.3045478259125423"/>
    <n v="1"/>
  </r>
  <r>
    <x v="1"/>
    <x v="0"/>
    <s v="MMR001"/>
    <s v="Bhamo"/>
    <s v="MMR001D003"/>
    <x v="4"/>
    <s v="MMR001013"/>
    <s v="Mung Ding Pa"/>
    <s v="MMR001013038"/>
    <s v="Mung Ding Pa"/>
    <n v="167495"/>
    <x v="206"/>
    <x v="209"/>
    <x v="157"/>
    <n v="23.867000000000001"/>
    <m/>
    <n v="0"/>
    <n v="0"/>
    <s v="NA"/>
    <x v="1"/>
    <x v="0"/>
    <x v="0"/>
    <x v="1"/>
    <x v="3"/>
    <m/>
    <x v="2"/>
    <m/>
    <m/>
    <d v="2014-03-03T00:00:00"/>
    <s v="Closed. Same with (Namhkan St. Thomas 1)"/>
    <s v=""/>
    <n v="0"/>
    <m/>
    <n v="0"/>
    <s v=""/>
    <s v=""/>
    <s v=""/>
  </r>
  <r>
    <x v="0"/>
    <x v="0"/>
    <s v="MMR001"/>
    <s v="Myitkyina"/>
    <s v="MMR001D001"/>
    <x v="3"/>
    <s v="MMR001001"/>
    <s v="Myitkyina Town"/>
    <s v="MMR001001701"/>
    <s v="Tat Kone Ward"/>
    <s v="MMR001001701520"/>
    <x v="207"/>
    <x v="210"/>
    <x v="158"/>
    <n v="25.404015000000001"/>
    <n v="0"/>
    <n v="46"/>
    <n v="228"/>
    <n v="4.9565217391304346"/>
    <x v="0"/>
    <x v="0"/>
    <x v="0"/>
    <x v="0"/>
    <x v="11"/>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P4"/>
    <n v="14"/>
    <m/>
    <n v="14"/>
    <s v="Myitkyina Town"/>
    <n v="2.0123527499589278"/>
    <n v="1"/>
  </r>
  <r>
    <x v="0"/>
    <x v="0"/>
    <s v="MMR001"/>
    <s v="Myitkyina"/>
    <s v="MMR001D001"/>
    <x v="3"/>
    <s v="MMR001001"/>
    <s v="Myitkyina Town"/>
    <s v="MMR001001701"/>
    <s v="Kachin Su Ward"/>
    <s v="MMR001001701509"/>
    <x v="208"/>
    <x v="211"/>
    <x v="159"/>
    <n v="25.377038166666701"/>
    <n v="0"/>
    <n v="7"/>
    <n v="37"/>
    <n v="5.2857142857142856"/>
    <x v="0"/>
    <x v="0"/>
    <x v="0"/>
    <x v="0"/>
    <x v="20"/>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0"/>
    <x v="1"/>
    <s v="MMR015"/>
    <s v="Muse"/>
    <s v="MMR015D002"/>
    <x v="8"/>
    <s v="MMR015011"/>
    <s v="Long Waun Nam Rein (Tarmoenye Sub-township)"/>
    <s v="MMR015011050"/>
    <s v="Mai Pong (Shu See)"/>
    <n v="219842"/>
    <x v="209"/>
    <x v="212"/>
    <x v="160"/>
    <n v="23.463000000000001"/>
    <m/>
    <n v="22"/>
    <n v="105"/>
    <n v="4.7727272727272725"/>
    <x v="0"/>
    <x v="0"/>
    <x v="0"/>
    <x v="3"/>
    <x v="1"/>
    <m/>
    <x v="4"/>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n v="22"/>
    <m/>
    <n v="22"/>
    <m/>
    <s v=""/>
    <s v=""/>
  </r>
  <r>
    <x v="0"/>
    <x v="1"/>
    <s v="MMR015"/>
    <s v="Lashio"/>
    <s v="MMR015D001"/>
    <x v="18"/>
    <s v="MMR015002"/>
    <s v="Nam Sa Larp"/>
    <s v="MMR015002021"/>
    <s v="Nam Sa Larp"/>
    <n v="206352"/>
    <x v="210"/>
    <x v="213"/>
    <x v="161"/>
    <n v="23.354268999999999"/>
    <m/>
    <n v="30"/>
    <n v="212"/>
    <n v="7.0666666666666664"/>
    <x v="0"/>
    <x v="0"/>
    <x v="0"/>
    <x v="3"/>
    <x v="37"/>
    <m/>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n v="0"/>
    <m/>
    <n v="0"/>
    <m/>
    <s v=""/>
    <s v=""/>
  </r>
  <r>
    <x v="0"/>
    <x v="1"/>
    <s v="MMR015"/>
    <s v="Muse"/>
    <s v="MMR015D002"/>
    <x v="8"/>
    <s v="MMR015011"/>
    <s v="Kar Lai Kone Hsar"/>
    <s v="MMR015011005"/>
    <m/>
    <m/>
    <x v="211"/>
    <x v="214"/>
    <x v="162"/>
    <n v="23.447111"/>
    <m/>
    <n v="105"/>
    <n v="568"/>
    <n v="5.4095238095238098"/>
    <x v="0"/>
    <x v="0"/>
    <x v="0"/>
    <x v="3"/>
    <x v="37"/>
    <m/>
    <x v="2"/>
    <s v="IP"/>
    <m/>
    <d v="2015-11-09T00:00:00"/>
    <s v="9/Nov/15. New added camp. Data source: UNHCR CCCM officer NSS mission 8-12 July 2015."/>
    <m/>
    <n v="105"/>
    <m/>
    <n v="105"/>
    <m/>
    <s v=""/>
    <s v=""/>
  </r>
  <r>
    <x v="0"/>
    <x v="1"/>
    <s v="MMR015"/>
    <s v="Muse"/>
    <s v="MMR015D002"/>
    <x v="8"/>
    <s v="MMR015011"/>
    <s v="Mong Yu"/>
    <s v="MMR015011030"/>
    <s v="Mong Yu"/>
    <n v="208747"/>
    <x v="212"/>
    <x v="215"/>
    <x v="163"/>
    <n v="23.591999999999999"/>
    <m/>
    <n v="146"/>
    <n v="677"/>
    <n v="4.6369863013698627"/>
    <x v="0"/>
    <x v="0"/>
    <x v="0"/>
    <x v="3"/>
    <x v="38"/>
    <m/>
    <x v="1"/>
    <s v="IP"/>
    <m/>
    <d v="2017-03-15T00:00:00"/>
    <s v="15/Mar/2017: Population update. Data Source: KBC_x000a_24/Feb/2017: Population and Responsible agency update. Data source: KBC._x000a_10/Jan/2017: Population update. Data source: KBC_x000a_18/Jul/2016: Added as new camp according to KBC_Brang Mai."/>
    <m/>
    <n v="146"/>
    <m/>
    <n v="146"/>
    <m/>
    <s v=""/>
    <s v=""/>
  </r>
  <r>
    <x v="0"/>
    <x v="1"/>
    <s v="MMR015"/>
    <s v="Kyaukme"/>
    <s v="MMR015D003"/>
    <x v="11"/>
    <s v="MMR015015"/>
    <s v="Pang Long"/>
    <s v="MMR015015011"/>
    <s v="Pang Tha Pyay"/>
    <n v="210455"/>
    <x v="213"/>
    <x v="216"/>
    <x v="164"/>
    <n v="22.765999999999998"/>
    <m/>
    <n v="19"/>
    <n v="82"/>
    <n v="4.3157894736842106"/>
    <x v="0"/>
    <x v="0"/>
    <x v="0"/>
    <x v="3"/>
    <x v="18"/>
    <m/>
    <x v="2"/>
    <s v="IP"/>
    <m/>
    <d v="2016-07-25T00:00:00"/>
    <s v="25/Jul/2016: Added as new camp according to KBC data. Data was given by Jade"/>
    <m/>
    <n v="19"/>
    <m/>
    <n v="19"/>
    <s v=""/>
    <s v=""/>
    <s v=""/>
  </r>
  <r>
    <x v="0"/>
    <x v="1"/>
    <s v="MMR015"/>
    <s v="Kyaukme"/>
    <s v="MMR015D003"/>
    <x v="9"/>
    <s v="MMR015019"/>
    <m/>
    <m/>
    <m/>
    <m/>
    <x v="214"/>
    <x v="217"/>
    <x v="5"/>
    <m/>
    <m/>
    <n v="36"/>
    <n v="188"/>
    <n v="5.2222222222222223"/>
    <x v="0"/>
    <x v="0"/>
    <x v="0"/>
    <x v="0"/>
    <x v="18"/>
    <m/>
    <x v="2"/>
    <s v="IP"/>
    <m/>
    <d v="2016-07-25T00:00:00"/>
    <s v="25/Jul/2016: Added as new camp according to KBC data. "/>
    <m/>
    <n v="36"/>
    <m/>
    <n v="36"/>
    <s v=""/>
    <s v=""/>
    <s v=""/>
  </r>
  <r>
    <x v="0"/>
    <x v="1"/>
    <s v="MMR015"/>
    <s v="Muse"/>
    <s v="MMR015D002"/>
    <x v="1"/>
    <s v="MMR015010"/>
    <s v="Mong Wee"/>
    <s v="MMR015010036"/>
    <s v="Mong Wee"/>
    <n v="208469"/>
    <x v="215"/>
    <x v="218"/>
    <x v="165"/>
    <n v="23.611999999999998"/>
    <m/>
    <n v="200"/>
    <n v="827"/>
    <n v="4.1349999999999998"/>
    <x v="0"/>
    <x v="0"/>
    <x v="0"/>
    <x v="3"/>
    <x v="39"/>
    <m/>
    <x v="2"/>
    <s v="IP"/>
    <m/>
    <d v="2016-07-25T00:00:00"/>
    <s v="25/Jul/2016: Added as new camp according to KBC data. Data was given by Jade"/>
    <m/>
    <n v="200"/>
    <m/>
    <n v="200"/>
    <s v=""/>
    <s v=""/>
    <s v=""/>
  </r>
  <r>
    <x v="0"/>
    <x v="1"/>
    <s v="MMR015"/>
    <s v="Muse"/>
    <s v="MMR015D002"/>
    <x v="1"/>
    <s v="MMR015010"/>
    <s v="Mong Wee"/>
    <s v="MMR015010036"/>
    <s v="Mong Wee"/>
    <n v="208469"/>
    <x v="216"/>
    <x v="219"/>
    <x v="166"/>
    <n v="23.611999999999998"/>
    <m/>
    <n v="61"/>
    <n v="247"/>
    <n v="4.0491803278688527"/>
    <x v="0"/>
    <x v="0"/>
    <x v="0"/>
    <x v="3"/>
    <x v="40"/>
    <m/>
    <x v="2"/>
    <s v="IP"/>
    <m/>
    <d v="2016-07-25T00:00:00"/>
    <s v="25/Jul/2016: Added as new camp according to KBC data. Data was given by Jade"/>
    <m/>
    <n v="61"/>
    <m/>
    <n v="61"/>
    <s v=""/>
    <s v=""/>
    <s v=""/>
  </r>
  <r>
    <x v="0"/>
    <x v="1"/>
    <s v="MMR015"/>
    <s v="Muse"/>
    <s v="MMR015D002"/>
    <x v="8"/>
    <s v="MMR015011"/>
    <s v="Nam Hpat Kar"/>
    <s v="MMR015011020"/>
    <s v="Aung Tha Pyay Ward"/>
    <m/>
    <x v="217"/>
    <x v="220"/>
    <x v="167"/>
    <n v="23.682887999999998"/>
    <m/>
    <n v="37"/>
    <n v="130"/>
    <n v="3.5135135135135136"/>
    <x v="0"/>
    <x v="0"/>
    <x v="0"/>
    <x v="0"/>
    <x v="39"/>
    <m/>
    <x v="2"/>
    <s v="IP"/>
    <m/>
    <d v="2017-04-06T00:00:00"/>
    <s v="6/Apr/2017: Population update. Data source: CCCM and comfirmed by camp manager._x000a_20/Feb/2017: Updating GPS coordiante._x000a_25/Jul/2016: Added as new camp according to KBC data. Data was given by Jade"/>
    <m/>
    <n v="37"/>
    <m/>
    <n v="37"/>
    <s v=""/>
    <s v=""/>
    <s v=""/>
  </r>
  <r>
    <x v="0"/>
    <x v="1"/>
    <s v="MMR015"/>
    <s v="Lashio"/>
    <s v="MMR015D001"/>
    <x v="18"/>
    <s v="MMR015002"/>
    <s v="Kawng Wein"/>
    <s v="MMR015002026"/>
    <s v="Kawng Wein"/>
    <n v="206395"/>
    <x v="218"/>
    <x v="221"/>
    <x v="168"/>
    <n v="23.353999999999999"/>
    <m/>
    <n v="20"/>
    <n v="75"/>
    <n v="3.75"/>
    <x v="0"/>
    <x v="0"/>
    <x v="0"/>
    <x v="0"/>
    <x v="40"/>
    <m/>
    <x v="2"/>
    <s v="IP"/>
    <m/>
    <d v="2016-07-25T00:00:00"/>
    <s v="25/Jul/2016: Added as new camp according to KBC data. Data was given by Jade"/>
    <m/>
    <n v="20"/>
    <m/>
    <n v="20"/>
    <s v=""/>
    <s v=""/>
    <s v=""/>
  </r>
  <r>
    <x v="0"/>
    <x v="1"/>
    <s v="MMR015"/>
    <s v="Muse"/>
    <s v="MMR015D002"/>
    <x v="8"/>
    <s v="MMR015011"/>
    <s v="Mung Hawm"/>
    <m/>
    <s v="Htoi San Yang "/>
    <m/>
    <x v="219"/>
    <x v="222"/>
    <x v="169"/>
    <n v="23.850999999999999"/>
    <m/>
    <n v="30"/>
    <n v="170"/>
    <n v="5.666666666666667"/>
    <x v="0"/>
    <x v="0"/>
    <x v="0"/>
    <x v="3"/>
    <x v="39"/>
    <m/>
    <x v="2"/>
    <s v="IP"/>
    <m/>
    <d v="2016-07-25T00:00:00"/>
    <s v="25/Jul/2016: Added as new camp according to KBC data. Data was given by Jade"/>
    <m/>
    <n v="30"/>
    <m/>
    <n v="30"/>
    <s v=""/>
    <s v=""/>
    <s v=""/>
  </r>
  <r>
    <x v="0"/>
    <x v="1"/>
    <s v="MMR015"/>
    <s v="Kyaukme"/>
    <s v="MMR015D003"/>
    <x v="11"/>
    <s v="MMR015015"/>
    <s v="Namtu Town"/>
    <s v="MMR015015701"/>
    <s v="Namtu Ward"/>
    <s v="MMR015015701501"/>
    <x v="220"/>
    <x v="223"/>
    <x v="170"/>
    <n v="23.099304"/>
    <m/>
    <n v="224"/>
    <n v="767"/>
    <n v="3.4241071428571428"/>
    <x v="0"/>
    <x v="0"/>
    <x v="0"/>
    <x v="0"/>
    <x v="3"/>
    <m/>
    <x v="2"/>
    <s v="IP"/>
    <m/>
    <d v="2017-01-17T00:00:00"/>
    <s v="17-01-2017: New added camp. Missing data will be collected from partners and present in next Report."/>
    <m/>
    <n v="224"/>
    <m/>
    <n v="224"/>
    <s v=""/>
    <s v=""/>
    <s v=""/>
  </r>
  <r>
    <x v="0"/>
    <x v="1"/>
    <s v="MMR015"/>
    <s v="Kyaukme"/>
    <s v="MMR015D003"/>
    <x v="11"/>
    <s v="MMR015015"/>
    <s v="Namtu Town"/>
    <s v="MMR015015701"/>
    <s v="Namtu Ward"/>
    <s v="MMR015015701501"/>
    <x v="221"/>
    <x v="224"/>
    <x v="5"/>
    <m/>
    <m/>
    <n v="13"/>
    <n v="45"/>
    <n v="3.4615384615384617"/>
    <x v="0"/>
    <x v="0"/>
    <x v="0"/>
    <x v="0"/>
    <x v="3"/>
    <m/>
    <x v="2"/>
    <s v="IP"/>
    <m/>
    <d v="2017-01-17T00:00:00"/>
    <s v="17-01-2017: New added camp. Missing data will be collected from partners and present in next Report."/>
    <m/>
    <n v="13"/>
    <m/>
    <n v="13"/>
    <s v=""/>
    <s v=""/>
    <s v=""/>
  </r>
  <r>
    <x v="0"/>
    <x v="1"/>
    <s v="MMR015"/>
    <s v="Kyaukme"/>
    <s v="MMR015D003"/>
    <x v="11"/>
    <s v="MMR015015"/>
    <s v="Namtu Town"/>
    <s v="MMR015015701"/>
    <s v="Namtu Ward"/>
    <s v="MMR015015701501"/>
    <x v="222"/>
    <x v="225"/>
    <x v="5"/>
    <m/>
    <m/>
    <n v="41"/>
    <n v="191"/>
    <n v="4.6585365853658534"/>
    <x v="0"/>
    <x v="0"/>
    <x v="0"/>
    <x v="0"/>
    <x v="3"/>
    <m/>
    <x v="2"/>
    <s v="IP"/>
    <m/>
    <d v="2017-01-17T00:00:00"/>
    <s v="17-01-2017: New added camp. Missing data will be collected from partners and present in next Report."/>
    <m/>
    <n v="41"/>
    <m/>
    <n v="41"/>
    <s v=""/>
    <s v=""/>
    <s v=""/>
  </r>
  <r>
    <x v="0"/>
    <x v="1"/>
    <s v="MMR015"/>
    <s v="Kyaukme"/>
    <s v="MMR015D003"/>
    <x v="11"/>
    <s v="MMR015015"/>
    <s v="Namtu Town"/>
    <s v="MMR015015701"/>
    <s v="Namtu Ward"/>
    <s v="MMR015015701501"/>
    <x v="223"/>
    <x v="226"/>
    <x v="5"/>
    <m/>
    <m/>
    <n v="19"/>
    <n v="66"/>
    <n v="3.4736842105263159"/>
    <x v="0"/>
    <x v="0"/>
    <x v="0"/>
    <x v="0"/>
    <x v="3"/>
    <m/>
    <x v="2"/>
    <s v="IP"/>
    <m/>
    <d v="2017-01-17T00:00:00"/>
    <s v="17-01-2017: New added camp. Missing data will be collected from partners and present in next Report."/>
    <m/>
    <n v="19"/>
    <m/>
    <n v="19"/>
    <s v=""/>
    <s v=""/>
    <s v=""/>
  </r>
  <r>
    <x v="0"/>
    <x v="1"/>
    <s v="MMR015"/>
    <s v="Kyaukme"/>
    <s v="MMR015D003"/>
    <x v="11"/>
    <s v="MMR015015"/>
    <s v="Namtu Town"/>
    <s v="MMR015015701"/>
    <s v="Namtu Ward"/>
    <s v="MMR015015701501"/>
    <x v="224"/>
    <x v="227"/>
    <x v="5"/>
    <m/>
    <m/>
    <n v="59"/>
    <n v="268"/>
    <n v="4.5423728813559325"/>
    <x v="0"/>
    <x v="0"/>
    <x v="0"/>
    <x v="0"/>
    <x v="3"/>
    <m/>
    <x v="2"/>
    <s v="IP"/>
    <m/>
    <d v="2017-01-17T00:00:00"/>
    <s v="17-01-2017: New added camp. Missing data will be collected from partners and present in next Report."/>
    <m/>
    <n v="59"/>
    <m/>
    <n v="59"/>
    <s v=""/>
    <s v=""/>
    <s v=""/>
  </r>
  <r>
    <x v="1"/>
    <x v="1"/>
    <s v="MMR015"/>
    <s v="Muse"/>
    <s v="MMR015D002"/>
    <x v="10"/>
    <s v="MMR015009"/>
    <s v="Muse Town"/>
    <s v="MMR015009701"/>
    <s v="Ho Mun Ward"/>
    <s v="MMR015009701504"/>
    <x v="225"/>
    <x v="228"/>
    <x v="5"/>
    <m/>
    <m/>
    <m/>
    <m/>
    <s v="NA"/>
    <x v="0"/>
    <x v="0"/>
    <x v="0"/>
    <x v="0"/>
    <x v="3"/>
    <m/>
    <x v="2"/>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0"/>
    <s v="MMR015009"/>
    <s v="Muse Town"/>
    <s v="MMR015009701"/>
    <s v="Myauk Ward"/>
    <s v="MMR015009701505"/>
    <x v="226"/>
    <x v="229"/>
    <x v="5"/>
    <m/>
    <m/>
    <m/>
    <n v="0"/>
    <s v="NA"/>
    <x v="0"/>
    <x v="0"/>
    <x v="0"/>
    <x v="0"/>
    <x v="3"/>
    <m/>
    <x v="2"/>
    <m/>
    <m/>
    <d v="2017-01-17T00:00:00"/>
    <s v="17-01-2017: New added camp. Missing data will be collected from partners and present in next Report."/>
    <m/>
    <n v="0"/>
    <m/>
    <n v="0"/>
    <s v=""/>
    <s v=""/>
    <s v=""/>
  </r>
  <r>
    <x v="0"/>
    <x v="0"/>
    <s v="MMR001"/>
    <s v="Bhamo"/>
    <s v="MMR001D003"/>
    <x v="7"/>
    <s v="MMR001012"/>
    <s v="Hpar Kei (Dawthponeyan Sub-township)"/>
    <s v="MMR001012046"/>
    <s v="Hpar Kei"/>
    <n v="167242"/>
    <x v="227"/>
    <x v="230"/>
    <x v="171"/>
    <n v="24.630859999999998"/>
    <m/>
    <n v="39"/>
    <n v="176"/>
    <n v="4.5128205128205128"/>
    <x v="0"/>
    <x v="0"/>
    <x v="1"/>
    <x v="3"/>
    <x v="3"/>
    <m/>
    <x v="2"/>
    <s v="RRD"/>
    <m/>
    <d v="2014-01-07T00:00:00"/>
    <s v="Update from OCHA Data (2 Jan 2014)"/>
    <s v="P4"/>
    <n v="0"/>
    <m/>
    <n v="0"/>
    <s v="Dawthponeyan  Town"/>
    <n v="3.6887624513681017"/>
    <n v="1"/>
  </r>
  <r>
    <x v="0"/>
    <x v="0"/>
    <s v="MMR001"/>
    <s v="Puta-O"/>
    <s v="MMR001D004"/>
    <x v="16"/>
    <s v="MMR001014"/>
    <s v="Puta-O Town"/>
    <s v="MMR001014701"/>
    <s v="Lone Sut Ward"/>
    <s v="MMR001014701510"/>
    <x v="228"/>
    <x v="231"/>
    <x v="172"/>
    <n v="27.337499999999999"/>
    <m/>
    <n v="59"/>
    <n v="274"/>
    <n v="4.6440677966101696"/>
    <x v="0"/>
    <x v="0"/>
    <x v="0"/>
    <x v="0"/>
    <x v="41"/>
    <m/>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Puta-O Town"/>
    <n v="0"/>
    <n v="1"/>
  </r>
  <r>
    <x v="1"/>
    <x v="1"/>
    <s v="MMR015"/>
    <s v="Muse"/>
    <s v="MMR015D002"/>
    <x v="10"/>
    <s v="MMR015009"/>
    <s v="Muse Town"/>
    <s v="MMR015009701"/>
    <s v="Taung Ward"/>
    <s v="MMR015009701503"/>
    <x v="229"/>
    <x v="232"/>
    <x v="5"/>
    <m/>
    <m/>
    <m/>
    <n v="0"/>
    <s v="NA"/>
    <x v="0"/>
    <x v="0"/>
    <x v="0"/>
    <x v="0"/>
    <x v="3"/>
    <m/>
    <x v="2"/>
    <m/>
    <m/>
    <d v="2017-01-17T00:00:00"/>
    <s v="17-01-2017: New added camp. Missing data will be collected from partners and present in next Report."/>
    <m/>
    <n v="0"/>
    <m/>
    <n v="0"/>
    <s v=""/>
    <s v=""/>
    <s v=""/>
  </r>
  <r>
    <x v="0"/>
    <x v="0"/>
    <s v="MMR001"/>
    <s v="Mohnyin"/>
    <s v="MMR001D002"/>
    <x v="15"/>
    <s v="MMR001008"/>
    <s v="Sar Hmaw"/>
    <s v="MMR001008018"/>
    <s v="Sar Hmaw"/>
    <n v="166724"/>
    <x v="230"/>
    <x v="233"/>
    <x v="89"/>
    <n v="25.225000000000001"/>
    <m/>
    <n v="24"/>
    <n v="83"/>
    <n v="3.4583333333333335"/>
    <x v="0"/>
    <x v="0"/>
    <x v="1"/>
    <x v="3"/>
    <x v="26"/>
    <m/>
    <x v="2"/>
    <s v="RRD"/>
    <m/>
    <d v="2015-06-25T00:00:00"/>
    <s v="25-Jun-2015 (New host families. Source: RRD)"/>
    <m/>
    <n v="0"/>
    <m/>
    <n v="0"/>
    <s v="Mogaung Town"/>
    <n v="5"/>
    <n v="2"/>
  </r>
  <r>
    <x v="0"/>
    <x v="0"/>
    <s v="MMR001"/>
    <s v="Bhamo"/>
    <s v="MMR001D003"/>
    <x v="7"/>
    <s v="MMR001012"/>
    <s v="Tar Li"/>
    <s v="MMR001012021"/>
    <s v="Tar Li"/>
    <n v="167086"/>
    <x v="231"/>
    <x v="234"/>
    <x v="173"/>
    <n v="24.492493"/>
    <m/>
    <n v="10"/>
    <n v="38"/>
    <n v="3.8"/>
    <x v="0"/>
    <x v="0"/>
    <x v="1"/>
    <x v="3"/>
    <x v="3"/>
    <m/>
    <x v="2"/>
    <s v="RRD"/>
    <m/>
    <d v="2014-06-13T00:00:00"/>
    <s v="Geo-Info, HH/Pop data was updated from Google Earth."/>
    <s v="P4"/>
    <n v="0"/>
    <m/>
    <n v="0"/>
    <s v="Dawthponeyan  Town"/>
    <n v="14.236592976936194"/>
    <n v="3"/>
  </r>
  <r>
    <x v="1"/>
    <x v="1"/>
    <s v="MMR015"/>
    <s v="Muse"/>
    <s v="MMR015D002"/>
    <x v="10"/>
    <s v="MMR015009"/>
    <m/>
    <m/>
    <m/>
    <m/>
    <x v="232"/>
    <x v="235"/>
    <x v="5"/>
    <m/>
    <m/>
    <m/>
    <m/>
    <s v="NA"/>
    <x v="0"/>
    <x v="0"/>
    <x v="0"/>
    <x v="1"/>
    <x v="3"/>
    <m/>
    <x v="2"/>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0"/>
    <s v="MMR015009"/>
    <s v="Muse Town"/>
    <s v="MMR015009701"/>
    <s v="Swei Taw Ward"/>
    <s v="MMR015009701507"/>
    <x v="233"/>
    <x v="236"/>
    <x v="5"/>
    <m/>
    <m/>
    <m/>
    <m/>
    <s v="NA"/>
    <x v="0"/>
    <x v="0"/>
    <x v="0"/>
    <x v="0"/>
    <x v="3"/>
    <m/>
    <x v="2"/>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Puta-O"/>
    <s v="MMR001D004"/>
    <x v="16"/>
    <s v="MMR001014"/>
    <s v="Puta-O Town"/>
    <s v="MMR001014701"/>
    <s v="Doke Tan Ward"/>
    <s v="MMR001014701509"/>
    <x v="234"/>
    <x v="237"/>
    <x v="174"/>
    <n v="27.311699999999998"/>
    <n v="476.7"/>
    <n v="14"/>
    <n v="64"/>
    <n v="4.5714285714285712"/>
    <x v="0"/>
    <x v="0"/>
    <x v="1"/>
    <x v="3"/>
    <x v="3"/>
    <m/>
    <x v="2"/>
    <s v="IP"/>
    <m/>
    <d v="2014-04-07T00:00:00"/>
    <s v="Changed Camp to Host Families. Source: Camp Profile Questionnaire."/>
    <s v="P3"/>
    <n v="0"/>
    <m/>
    <n v="0"/>
    <s v="Puta-O Town"/>
    <n v="1.3759254000531889"/>
    <n v="1"/>
  </r>
  <r>
    <x v="0"/>
    <x v="0"/>
    <s v="MMR001"/>
    <s v="Bhamo"/>
    <s v="MMR001D003"/>
    <x v="14"/>
    <s v="MMR001011"/>
    <s v="Shwegu Town"/>
    <s v="MMR001011701"/>
    <s v="Shwegu Town"/>
    <s v="MMR001011701504"/>
    <x v="235"/>
    <x v="238"/>
    <x v="175"/>
    <n v="24.200361000000001"/>
    <n v="0"/>
    <n v="86"/>
    <n v="313"/>
    <n v="3.63953488372093"/>
    <x v="0"/>
    <x v="0"/>
    <x v="0"/>
    <x v="0"/>
    <x v="7"/>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P4"/>
    <n v="44"/>
    <m/>
    <n v="44"/>
    <s v="Shwegu Town"/>
    <n v="0.74396039478864395"/>
    <n v="1"/>
  </r>
  <r>
    <x v="0"/>
    <x v="0"/>
    <s v="MMR001"/>
    <s v="Bhamo"/>
    <s v="MMR001D003"/>
    <x v="14"/>
    <s v="MMR001011"/>
    <s v="Shwegu Town"/>
    <s v="MMR001011701"/>
    <s v="Shwegu Town"/>
    <s v="MMR001011701504"/>
    <x v="236"/>
    <x v="239"/>
    <x v="175"/>
    <n v="24.200367"/>
    <m/>
    <n v="32"/>
    <n v="136"/>
    <n v="4.25"/>
    <x v="0"/>
    <x v="0"/>
    <x v="0"/>
    <x v="0"/>
    <x v="7"/>
    <n v="2"/>
    <x v="0"/>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P4"/>
    <n v="0"/>
    <m/>
    <n v="0"/>
    <s v="Shwegu Town"/>
    <n v="0.74330366237812662"/>
    <n v="1"/>
  </r>
  <r>
    <x v="1"/>
    <x v="1"/>
    <s v="MMR015"/>
    <s v="Muse"/>
    <s v="MMR015D002"/>
    <x v="10"/>
    <s v="MMR015009"/>
    <s v="Nam Pang"/>
    <s v="MMR015009001"/>
    <s v="Nam Hkon"/>
    <n v="208003"/>
    <x v="237"/>
    <x v="240"/>
    <x v="5"/>
    <m/>
    <m/>
    <m/>
    <m/>
    <s v="NA"/>
    <x v="0"/>
    <x v="0"/>
    <x v="0"/>
    <x v="3"/>
    <x v="3"/>
    <m/>
    <x v="2"/>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0"/>
    <s v="MMR015009"/>
    <s v="Muse Town"/>
    <s v="MMR015009701"/>
    <s v="Ho Mun Ward"/>
    <s v="MMR015009701504"/>
    <x v="238"/>
    <x v="241"/>
    <x v="5"/>
    <m/>
    <m/>
    <m/>
    <m/>
    <s v="NA"/>
    <x v="0"/>
    <x v="0"/>
    <x v="0"/>
    <x v="0"/>
    <x v="3"/>
    <m/>
    <x v="2"/>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Puta-O"/>
    <s v="MMR001D004"/>
    <x v="20"/>
    <s v="MMR001015"/>
    <m/>
    <m/>
    <m/>
    <m/>
    <x v="239"/>
    <x v="242"/>
    <x v="176"/>
    <n v="26.569633"/>
    <m/>
    <n v="146"/>
    <n v="575"/>
    <n v="3.9383561643835616"/>
    <x v="0"/>
    <x v="0"/>
    <x v="0"/>
    <x v="3"/>
    <x v="37"/>
    <m/>
    <x v="1"/>
    <s v="IP"/>
    <m/>
    <d v="2017-03-15T00:00:00"/>
    <s v="15/Mar/2017: Population update. Data Source: KBC_x000a_24/Feb/2017: Population and Responsible agency update. Data source: KBC._x000a_10/2/2015. New Camp. Data source: CCCM team"/>
    <m/>
    <n v="146"/>
    <m/>
    <n v="146"/>
    <s v="Sumprabum Town"/>
    <n v="0"/>
    <n v="1"/>
  </r>
  <r>
    <x v="0"/>
    <x v="0"/>
    <s v="MMR001"/>
    <s v="Puta-O"/>
    <s v="MMR001D004"/>
    <x v="20"/>
    <s v="MMR001015"/>
    <m/>
    <m/>
    <m/>
    <m/>
    <x v="240"/>
    <x v="243"/>
    <x v="177"/>
    <n v="26.548506"/>
    <m/>
    <n v="67"/>
    <n v="244"/>
    <n v="3.6417910447761193"/>
    <x v="0"/>
    <x v="0"/>
    <x v="0"/>
    <x v="3"/>
    <x v="37"/>
    <m/>
    <x v="1"/>
    <s v="IP"/>
    <m/>
    <d v="2017-03-15T00:00:00"/>
    <s v="15/Mar/2017: Population update. Data Source: KBC_x000a_24/Feb/2017: Population and Responsible agency update. Data source: KBC._x000a_10/2/2015. New Camp. Data source: CCCM team"/>
    <m/>
    <n v="67"/>
    <m/>
    <n v="67"/>
    <s v="Sumprabum Town"/>
    <n v="0"/>
    <n v="1"/>
  </r>
  <r>
    <x v="0"/>
    <x v="0"/>
    <s v="MMR001"/>
    <s v="Puta-O"/>
    <s v="MMR001D004"/>
    <x v="20"/>
    <s v="MMR001015"/>
    <s v="Sumprabum Town"/>
    <s v="MMR001015701"/>
    <m/>
    <m/>
    <x v="241"/>
    <x v="244"/>
    <x v="178"/>
    <n v="26.541930000000001"/>
    <n v="1025"/>
    <n v="5"/>
    <n v="32"/>
    <n v="6.4"/>
    <x v="0"/>
    <x v="0"/>
    <x v="0"/>
    <x v="3"/>
    <x v="3"/>
    <m/>
    <x v="2"/>
    <s v="RRD"/>
    <m/>
    <m/>
    <s v=" "/>
    <s v="P4"/>
    <n v="5"/>
    <m/>
    <n v="5"/>
    <s v="Sumprabum Town"/>
    <n v="0.23004407510846425"/>
    <n v="1"/>
  </r>
  <r>
    <x v="0"/>
    <x v="0"/>
    <s v="MMR001"/>
    <s v="Myitkyina"/>
    <s v="MMR001D001"/>
    <x v="6"/>
    <s v="MMR001002"/>
    <s v="Saga Pa (Sadung Sub-township)"/>
    <s v="MMR001002040"/>
    <s v="Saga Pa"/>
    <n v="165895"/>
    <x v="242"/>
    <x v="245"/>
    <x v="179"/>
    <n v="25.220278"/>
    <n v="2404"/>
    <n v="161"/>
    <n v="637"/>
    <n v="3.9565217391304346"/>
    <x v="1"/>
    <x v="0"/>
    <x v="0"/>
    <x v="2"/>
    <x v="0"/>
    <n v="3"/>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0"/>
    <x v="0"/>
    <s v="MMR001"/>
    <s v="Myitkyina"/>
    <s v="MMR001D001"/>
    <x v="6"/>
    <s v="MMR001002"/>
    <s v="Hkat Shu"/>
    <s v="MMR001002003"/>
    <s v="Hkat Shu"/>
    <n v="165735"/>
    <x v="243"/>
    <x v="246"/>
    <x v="180"/>
    <n v="25.321710740740698"/>
    <n v="0"/>
    <n v="99"/>
    <n v="472"/>
    <n v="4.7676767676767673"/>
    <x v="0"/>
    <x v="0"/>
    <x v="0"/>
    <x v="3"/>
    <x v="4"/>
    <n v="2"/>
    <x v="3"/>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0"/>
    <x v="0"/>
    <s v="MMR001"/>
    <s v="Myitkyina"/>
    <s v="MMR001D001"/>
    <x v="6"/>
    <s v="MMR001002"/>
    <s v="Saga Pa"/>
    <s v="MMR001002040"/>
    <s v="Hkau Shau"/>
    <m/>
    <x v="244"/>
    <x v="247"/>
    <x v="181"/>
    <n v="25.200333000000001"/>
    <n v="1023"/>
    <n v="40"/>
    <n v="225"/>
    <n v="5.625"/>
    <x v="1"/>
    <x v="0"/>
    <x v="0"/>
    <x v="3"/>
    <x v="2"/>
    <n v="3"/>
    <x v="1"/>
    <s v="IP"/>
    <m/>
    <d v="2017-03-15T00:00:00"/>
    <s v="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1"/>
    <n v="0"/>
    <m/>
    <n v="0"/>
    <s v="Sadung Town"/>
    <n v="21.287604662770121"/>
    <n v="5"/>
  </r>
  <r>
    <x v="0"/>
    <x v="0"/>
    <s v="MMR001"/>
    <s v="Myitkyina"/>
    <s v="MMR001D001"/>
    <x v="6"/>
    <s v="MMR001002"/>
    <s v="Nam Sang Yang"/>
    <s v="MMR001002024"/>
    <m/>
    <m/>
    <x v="245"/>
    <x v="248"/>
    <x v="182"/>
    <n v="24.752471"/>
    <m/>
    <m/>
    <n v="1047"/>
    <s v="NA"/>
    <x v="1"/>
    <x v="0"/>
    <x v="2"/>
    <x v="0"/>
    <x v="3"/>
    <m/>
    <x v="2"/>
    <s v="IRRC"/>
    <m/>
    <d v="2014-09-17T00:00:00"/>
    <s v="In 2014, this school is no longer accepting the lower grade students."/>
    <s v="P2"/>
    <n v="0"/>
    <m/>
    <n v="0"/>
    <s v="Laiza town"/>
    <n v="2.3307568207764655"/>
    <n v="1"/>
  </r>
  <r>
    <x v="0"/>
    <x v="0"/>
    <s v="MMR001"/>
    <s v="Bhamo"/>
    <s v="MMR001D003"/>
    <x v="6"/>
    <s v="MMR001002"/>
    <s v="Hpawt Dawt"/>
    <s v="MMR001002032"/>
    <s v="Lai Zar"/>
    <n v="165816"/>
    <x v="246"/>
    <x v="249"/>
    <x v="183"/>
    <n v="24.688338999999999"/>
    <n v="314"/>
    <n v="1649"/>
    <n v="8965"/>
    <n v="5.4366282595512434"/>
    <x v="1"/>
    <x v="0"/>
    <x v="0"/>
    <x v="3"/>
    <x v="27"/>
    <n v="7"/>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54"/>
    <m/>
    <n v="454"/>
    <s v="Laiza town"/>
    <n v="7.985347533011188"/>
    <n v="2"/>
  </r>
  <r>
    <x v="0"/>
    <x v="0"/>
    <s v="MMR001"/>
    <s v="Myitkyina"/>
    <s v="MMR001D001"/>
    <x v="6"/>
    <s v="MMR001002"/>
    <s v="Hpawt Dawt"/>
    <s v="MMR001002032"/>
    <s v="Lai Zar"/>
    <n v="165816"/>
    <x v="247"/>
    <x v="250"/>
    <x v="184"/>
    <n v="25.108011999999999"/>
    <m/>
    <n v="355"/>
    <n v="4450"/>
    <n v="12.535211267605634"/>
    <x v="1"/>
    <x v="1"/>
    <x v="4"/>
    <x v="0"/>
    <x v="3"/>
    <m/>
    <x v="2"/>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0"/>
    <x v="0"/>
    <s v="MMR001"/>
    <s v="Myitkyina"/>
    <s v="MMR001D001"/>
    <x v="6"/>
    <s v="MMR001002"/>
    <s v="Mading"/>
    <s v="MMR001002001"/>
    <s v="Mading/Hka Kun"/>
    <n v="165730"/>
    <x v="248"/>
    <x v="251"/>
    <x v="185"/>
    <n v="25.356632000000001"/>
    <n v="0"/>
    <n v="27"/>
    <n v="145"/>
    <n v="5.3703703703703702"/>
    <x v="0"/>
    <x v="0"/>
    <x v="0"/>
    <x v="0"/>
    <x v="8"/>
    <n v="1"/>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P4"/>
    <n v="2"/>
    <m/>
    <n v="2"/>
    <s v="Waingmaw Town"/>
    <n v="1.1134935940025397"/>
    <n v="1"/>
  </r>
  <r>
    <x v="0"/>
    <x v="0"/>
    <s v="MMR001"/>
    <s v="Myitkyina"/>
    <s v="MMR001D001"/>
    <x v="6"/>
    <s v="MMR001002"/>
    <s v="Sa Ma"/>
    <s v="MMR001002031"/>
    <s v="Nar Gu"/>
    <n v="165790"/>
    <x v="249"/>
    <x v="252"/>
    <x v="186"/>
    <n v="24.980250000000002"/>
    <n v="984"/>
    <n v="585"/>
    <n v="2585"/>
    <n v="4.4188034188034191"/>
    <x v="1"/>
    <x v="0"/>
    <x v="0"/>
    <x v="3"/>
    <x v="4"/>
    <n v="5"/>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0"/>
    <x v="0"/>
    <s v="MMR001"/>
    <s v="Myitkyina"/>
    <s v="MMR001D001"/>
    <x v="6"/>
    <s v="MMR001002"/>
    <s v="Mai Na"/>
    <s v="MMR001002006"/>
    <s v="Mai Na"/>
    <n v="165740"/>
    <x v="250"/>
    <x v="253"/>
    <x v="187"/>
    <n v="25.424529444444399"/>
    <n v="0"/>
    <n v="149"/>
    <n v="841"/>
    <n v="5.6442953020134228"/>
    <x v="0"/>
    <x v="0"/>
    <x v="0"/>
    <x v="3"/>
    <x v="42"/>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42"/>
    <m/>
    <n v="42"/>
    <s v="Myitkyina Town"/>
    <n v="5.9727739497559158"/>
    <n v="2"/>
  </r>
  <r>
    <x v="0"/>
    <x v="0"/>
    <s v="MMR001"/>
    <s v="Myitkyina"/>
    <s v="MMR001D001"/>
    <x v="6"/>
    <s v="MMR001002"/>
    <s v="Mai Na"/>
    <s v="MMR001002006"/>
    <s v="Mai Na"/>
    <n v="165740"/>
    <x v="251"/>
    <x v="254"/>
    <x v="188"/>
    <n v="25.415667500000001"/>
    <m/>
    <n v="223"/>
    <n v="1230"/>
    <n v="5.5156950672645744"/>
    <x v="0"/>
    <x v="0"/>
    <x v="0"/>
    <x v="0"/>
    <x v="43"/>
    <n v="4"/>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3"/>
    <m/>
    <n v="13"/>
    <s v="Myitkyina Town"/>
    <n v="5.7019834469756479"/>
    <n v="2"/>
  </r>
  <r>
    <x v="0"/>
    <x v="0"/>
    <s v="MMR001"/>
    <s v="Myitkyina"/>
    <s v="MMR001D001"/>
    <x v="6"/>
    <s v="MMR001002"/>
    <s v="Mai Na"/>
    <s v="MMR001002006"/>
    <s v="Mai Na"/>
    <n v="165740"/>
    <x v="252"/>
    <x v="255"/>
    <x v="189"/>
    <n v="25.4118005797101"/>
    <n v="0"/>
    <n v="471"/>
    <n v="2389"/>
    <n v="5.0721868365180471"/>
    <x v="0"/>
    <x v="0"/>
    <x v="0"/>
    <x v="3"/>
    <x v="27"/>
    <n v="3"/>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P4"/>
    <n v="11"/>
    <m/>
    <n v="11"/>
    <s v="Myitkyina Town"/>
    <n v="5.2238983299151851"/>
    <n v="2"/>
  </r>
  <r>
    <x v="1"/>
    <x v="1"/>
    <s v="MMR015"/>
    <s v="Muse"/>
    <s v="MMR015D002"/>
    <x v="10"/>
    <s v="MMR015009"/>
    <s v="Muse Town"/>
    <s v="MMR015009701"/>
    <m/>
    <m/>
    <x v="253"/>
    <x v="256"/>
    <x v="5"/>
    <m/>
    <m/>
    <m/>
    <n v="0"/>
    <s v="NA"/>
    <x v="0"/>
    <x v="0"/>
    <x v="0"/>
    <x v="1"/>
    <x v="3"/>
    <m/>
    <x v="2"/>
    <m/>
    <m/>
    <d v="2017-01-17T00:00:00"/>
    <s v="17-01-2017: New added camp. Missing data will be collected from partners and present in next Report."/>
    <m/>
    <n v="0"/>
    <m/>
    <n v="0"/>
    <s v=""/>
    <s v=""/>
    <s v=""/>
  </r>
  <r>
    <x v="0"/>
    <x v="0"/>
    <s v="MMR001"/>
    <s v="Myitkyina"/>
    <s v="MMR001D001"/>
    <x v="6"/>
    <s v="MMR001002"/>
    <s v="Mai Na"/>
    <s v="MMR001002006"/>
    <s v="Mai Na"/>
    <n v="165740"/>
    <x v="254"/>
    <x v="257"/>
    <x v="190"/>
    <n v="25.409612685185198"/>
    <n v="0"/>
    <n v="45"/>
    <n v="152"/>
    <n v="3.3777777777777778"/>
    <x v="0"/>
    <x v="0"/>
    <x v="0"/>
    <x v="0"/>
    <x v="2"/>
    <n v="1"/>
    <x v="1"/>
    <s v="IP"/>
    <m/>
    <d v="2017-03-15T00:00:00"/>
    <s v="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P4"/>
    <n v="5"/>
    <m/>
    <n v="5"/>
    <s v="Myitkyina Town"/>
    <n v="4.3887485673235673"/>
    <n v="1"/>
  </r>
  <r>
    <x v="0"/>
    <x v="0"/>
    <s v="MMR001"/>
    <s v="Myitkyina"/>
    <s v="MMR001D001"/>
    <x v="6"/>
    <s v="MMR001002"/>
    <s v="Ma Hkan Tee"/>
    <s v="MMR001002009"/>
    <s v="Nawng Hee"/>
    <n v="165745"/>
    <x v="255"/>
    <x v="258"/>
    <x v="191"/>
    <n v="25.351965"/>
    <m/>
    <n v="18"/>
    <n v="82"/>
    <n v="4.5555555555555554"/>
    <x v="0"/>
    <x v="0"/>
    <x v="0"/>
    <x v="3"/>
    <x v="8"/>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P4"/>
    <n v="0"/>
    <m/>
    <n v="0"/>
    <s v="Myitkyina Town"/>
    <n v="6.0275881703713861"/>
    <n v="2"/>
  </r>
  <r>
    <x v="0"/>
    <x v="0"/>
    <s v="MMR001"/>
    <s v="Myitkyina"/>
    <s v="MMR001D001"/>
    <x v="6"/>
    <s v="MMR001002"/>
    <s v="Sa Ma"/>
    <s v="MMR001002031"/>
    <s v="Par Jaung"/>
    <n v="165792"/>
    <x v="256"/>
    <x v="259"/>
    <x v="192"/>
    <n v="24.831944"/>
    <n v="2330"/>
    <n v="174"/>
    <n v="956"/>
    <n v="5.4942528735632186"/>
    <x v="1"/>
    <x v="0"/>
    <x v="0"/>
    <x v="3"/>
    <x v="7"/>
    <n v="3"/>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P1"/>
    <n v="139"/>
    <m/>
    <n v="139"/>
    <s v="Laiza town"/>
    <n v="20.599512012485512"/>
    <n v="5"/>
  </r>
  <r>
    <x v="0"/>
    <x v="0"/>
    <s v="MMR001"/>
    <s v="Myitkyina"/>
    <s v="MMR001D001"/>
    <x v="6"/>
    <s v="MMR001002"/>
    <s v="Saga Pa"/>
    <s v="MMR001002040"/>
    <s v="Saga Pa"/>
    <n v="165895"/>
    <x v="257"/>
    <x v="260"/>
    <x v="193"/>
    <n v="25.265277999999999"/>
    <n v="2764"/>
    <n v="98"/>
    <n v="563"/>
    <n v="5.7448979591836737"/>
    <x v="1"/>
    <x v="0"/>
    <x v="0"/>
    <x v="2"/>
    <x v="0"/>
    <n v="2"/>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33"/>
    <m/>
    <n v="33"/>
    <s v="Sadung Town"/>
    <n v="17.035515422123492"/>
    <n v="4"/>
  </r>
  <r>
    <x v="0"/>
    <x v="0"/>
    <s v="MMR001"/>
    <s v="Myitkyina"/>
    <s v="MMR001D001"/>
    <x v="6"/>
    <s v="MMR001002"/>
    <s v="Waingmaw Town"/>
    <s v="MMR001002701"/>
    <s v="No (2) Ward"/>
    <s v="MMR001002701502"/>
    <x v="258"/>
    <x v="261"/>
    <x v="194"/>
    <n v="25.3540362037037"/>
    <n v="0"/>
    <n v="91"/>
    <n v="329"/>
    <n v="3.6153846153846154"/>
    <x v="0"/>
    <x v="0"/>
    <x v="0"/>
    <x v="0"/>
    <x v="7"/>
    <n v="2"/>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P4"/>
    <n v="0"/>
    <m/>
    <n v="0"/>
    <s v="Waingmaw Town"/>
    <n v="0.37684287609457234"/>
    <n v="1"/>
  </r>
  <r>
    <x v="0"/>
    <x v="0"/>
    <s v="MMR001"/>
    <s v="Myitkyina"/>
    <s v="MMR001D001"/>
    <x v="6"/>
    <s v="MMR001002"/>
    <s v="Waingmaw Town"/>
    <s v="MMR001002701"/>
    <s v="No (2) Ward"/>
    <s v="MMR001002701502"/>
    <x v="259"/>
    <x v="262"/>
    <x v="195"/>
    <n v="25.351724999999998"/>
    <n v="0"/>
    <n v="64"/>
    <n v="324"/>
    <n v="5.0625"/>
    <x v="0"/>
    <x v="0"/>
    <x v="0"/>
    <x v="0"/>
    <x v="4"/>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P4"/>
    <n v="26"/>
    <m/>
    <n v="26"/>
    <s v="Waingmaw Town"/>
    <n v="0.4474205416025816"/>
    <n v="1"/>
  </r>
  <r>
    <x v="1"/>
    <x v="1"/>
    <s v="MMR015"/>
    <s v="Muse"/>
    <s v="MMR015D002"/>
    <x v="10"/>
    <s v="MMR015009"/>
    <s v="Muse Town"/>
    <s v="MMR015009701"/>
    <s v="Ho Mun Ward"/>
    <s v="MMR015009701504"/>
    <x v="260"/>
    <x v="263"/>
    <x v="5"/>
    <m/>
    <m/>
    <m/>
    <m/>
    <s v="NA"/>
    <x v="0"/>
    <x v="0"/>
    <x v="0"/>
    <x v="0"/>
    <x v="3"/>
    <m/>
    <x v="2"/>
    <s v="IP"/>
    <m/>
    <d v="2017-04-06T00:00:00"/>
    <s v="6/Apr/2017: Changed camp status as &quot;closed&quot;. Data source: CCCM_UNHCR, comfirmed by partners (KBC)_x000a_17-01-2017: New added camp. Missing data will be collected from partners and present in next Report."/>
    <m/>
    <n v="0"/>
    <m/>
    <n v="0"/>
    <s v=""/>
    <s v=""/>
    <s v=""/>
  </r>
  <r>
    <x v="1"/>
    <x v="1"/>
    <s v="MMR015"/>
    <s v="Muse"/>
    <s v="MMR015D002"/>
    <x v="10"/>
    <s v="MMR015009"/>
    <s v="Muse Town"/>
    <s v="MMR015009701"/>
    <s v="Ho Mun Ward"/>
    <s v="MMR015009701504"/>
    <x v="261"/>
    <x v="264"/>
    <x v="5"/>
    <m/>
    <m/>
    <m/>
    <m/>
    <s v="NA"/>
    <x v="0"/>
    <x v="0"/>
    <x v="0"/>
    <x v="0"/>
    <x v="3"/>
    <m/>
    <x v="2"/>
    <s v="IP"/>
    <m/>
    <d v="2017-04-06T00:00:00"/>
    <s v="6/Apr/2017: Changed camp status as &quot;closed&quot;. Data source: CCCM_UNHCR, comfirmed by partners (KBC)_x000a_17-01-2017: New added camp. Missing data will be collected from partners and present in next Report."/>
    <m/>
    <n v="0"/>
    <m/>
    <n v="0"/>
    <s v=""/>
    <s v=""/>
    <s v=""/>
  </r>
  <r>
    <x v="0"/>
    <x v="0"/>
    <s v="MMR001"/>
    <s v="Myitkyina"/>
    <s v="MMR001D001"/>
    <x v="6"/>
    <s v="MMR001002"/>
    <s v="Waingmaw Town"/>
    <s v="MMR001002701"/>
    <s v="No (3) Ward"/>
    <s v="MMR001002701503"/>
    <x v="262"/>
    <x v="265"/>
    <x v="196"/>
    <n v="25.345918166666699"/>
    <m/>
    <n v="31"/>
    <n v="172"/>
    <n v="5.5483870967741939"/>
    <x v="0"/>
    <x v="0"/>
    <x v="0"/>
    <x v="0"/>
    <x v="4"/>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0"/>
    <x v="0"/>
    <s v="MMR001"/>
    <s v="Myitkyina"/>
    <s v="MMR001D001"/>
    <x v="6"/>
    <s v="MMR001002"/>
    <s v="Waingmaw Town"/>
    <s v="MMR001002701"/>
    <s v="No (4) Ward"/>
    <s v="MMR001002701504"/>
    <x v="263"/>
    <x v="266"/>
    <x v="197"/>
    <n v="25.350809000000002"/>
    <n v="0"/>
    <n v="87"/>
    <n v="479"/>
    <n v="5.5057471264367814"/>
    <x v="0"/>
    <x v="0"/>
    <x v="0"/>
    <x v="0"/>
    <x v="12"/>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0"/>
    <x v="0"/>
    <s v="MMR001"/>
    <s v="Myitkyina"/>
    <s v="MMR001D001"/>
    <x v="6"/>
    <s v="MMR001002"/>
    <s v="Waw Shung (Kan Paik Ti Sub-township)"/>
    <s v="MMR001002035"/>
    <s v="Shan Kyaing"/>
    <n v="165845"/>
    <x v="264"/>
    <x v="267"/>
    <x v="198"/>
    <n v="25.418084"/>
    <m/>
    <n v="182"/>
    <n v="974"/>
    <n v="5.3516483516483513"/>
    <x v="0"/>
    <x v="0"/>
    <x v="0"/>
    <x v="3"/>
    <x v="0"/>
    <n v="2"/>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P1"/>
    <n v="0"/>
    <m/>
    <n v="0"/>
    <s v="Kan Paik Ti Town"/>
    <n v="9.3609732231189877"/>
    <n v="2"/>
  </r>
  <r>
    <x v="0"/>
    <x v="0"/>
    <s v="MMR001"/>
    <s v="Myitkyina"/>
    <s v="MMR001D001"/>
    <x v="6"/>
    <s v="MMR001002"/>
    <s v="Waingmaw Town"/>
    <s v="MMR001002701"/>
    <s v="No (4) Ward"/>
    <s v="MMR001002701504"/>
    <x v="265"/>
    <x v="268"/>
    <x v="199"/>
    <n v="25.333683333333301"/>
    <m/>
    <n v="44"/>
    <n v="182"/>
    <n v="4.1363636363636367"/>
    <x v="0"/>
    <x v="0"/>
    <x v="0"/>
    <x v="0"/>
    <x v="0"/>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1"/>
    <x v="1"/>
    <s v="MMR015"/>
    <s v="Muse"/>
    <s v="MMR015D002"/>
    <x v="10"/>
    <s v="MMR015009"/>
    <m/>
    <m/>
    <m/>
    <m/>
    <x v="266"/>
    <x v="269"/>
    <x v="5"/>
    <m/>
    <m/>
    <m/>
    <m/>
    <s v="NA"/>
    <x v="0"/>
    <x v="0"/>
    <x v="0"/>
    <x v="1"/>
    <x v="3"/>
    <m/>
    <x v="2"/>
    <s v="IP"/>
    <m/>
    <d v="2017-04-06T00:00:00"/>
    <s v="6/Apr/2017: Changed camp status as &quot;closed&quot;. Data source: CCCM_UNHCR, comfirmed by partners (KBC)_x000a_17-01-2017: New added camp. Missing data will be collected from partners and present in next Report."/>
    <m/>
    <n v="0"/>
    <m/>
    <n v="0"/>
    <s v=""/>
    <s v=""/>
    <s v=""/>
  </r>
  <r>
    <x v="0"/>
    <x v="1"/>
    <s v="MMR015"/>
    <s v="Kyaukme"/>
    <s v="MMR015D003"/>
    <x v="21"/>
    <s v="MMR015014"/>
    <s v="Moe Tay"/>
    <s v="MMR015014024"/>
    <s v="Nawng Tha Kyar"/>
    <n v="209986"/>
    <x v="267"/>
    <x v="270"/>
    <x v="200"/>
    <n v="22.677008000000001"/>
    <m/>
    <n v="37"/>
    <n v="120"/>
    <n v="3.2432432432432434"/>
    <x v="0"/>
    <x v="0"/>
    <x v="0"/>
    <x v="3"/>
    <x v="3"/>
    <m/>
    <x v="2"/>
    <s v="IP"/>
    <m/>
    <d v="2017-01-17T00:00:00"/>
    <s v="17-01-2017: New added camp. Missing data will be collected from partners and present in next Report."/>
    <m/>
    <n v="37"/>
    <m/>
    <n v="37"/>
    <s v=""/>
    <s v=""/>
    <s v=""/>
  </r>
  <r>
    <x v="0"/>
    <x v="0"/>
    <s v="MMR001"/>
    <s v="Myitkyina"/>
    <s v="MMR001D001"/>
    <x v="6"/>
    <s v="MMR001002"/>
    <s v="Waingmaw Town"/>
    <s v="MMR001002701"/>
    <s v="No (3) Ward"/>
    <s v="MMR001002701503"/>
    <x v="268"/>
    <x v="271"/>
    <x v="201"/>
    <n v="25.351250396825399"/>
    <n v="476"/>
    <n v="70"/>
    <n v="288"/>
    <n v="4.1142857142857139"/>
    <x v="0"/>
    <x v="0"/>
    <x v="0"/>
    <x v="0"/>
    <x v="0"/>
    <n v="1"/>
    <x v="3"/>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5"/>
    <m/>
    <n v="15"/>
    <s v="Waingmaw Town"/>
    <n v="0.15089472113650237"/>
    <n v="1"/>
  </r>
  <r>
    <x v="0"/>
    <x v="0"/>
    <s v="MMR001"/>
    <s v="Myitkyina"/>
    <s v="MMR001D001"/>
    <x v="6"/>
    <s v="MMR001002"/>
    <s v="Nam Sang Yang"/>
    <s v="MMR001002024"/>
    <s v="Nam Sang Yang"/>
    <n v="165772"/>
    <x v="269"/>
    <x v="272"/>
    <x v="202"/>
    <n v="24.755253"/>
    <n v="316"/>
    <n v="1371"/>
    <n v="6701"/>
    <n v="4.8876732312180886"/>
    <x v="1"/>
    <x v="0"/>
    <x v="0"/>
    <x v="0"/>
    <x v="4"/>
    <n v="5"/>
    <x v="5"/>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211"/>
    <m/>
    <n v="1211"/>
    <s v="Laiza town"/>
    <n v="1.7420415164460403"/>
    <n v="1"/>
  </r>
  <r>
    <x v="0"/>
    <x v="0"/>
    <s v="MMR001"/>
    <s v="Myitkyina"/>
    <s v="MMR001D001"/>
    <x v="6"/>
    <s v="MMR001002"/>
    <s v="Hpawt Dawt"/>
    <s v="MMR001002032"/>
    <s v="Mon Gar Zut"/>
    <n v="220360"/>
    <x v="270"/>
    <x v="273"/>
    <x v="203"/>
    <n v="25.106670000000001"/>
    <n v="756"/>
    <n v="404"/>
    <n v="1894"/>
    <n v="4.6881188118811883"/>
    <x v="1"/>
    <x v="0"/>
    <x v="0"/>
    <x v="3"/>
    <x v="0"/>
    <n v="3"/>
    <x v="1"/>
    <s v="IP"/>
    <m/>
    <d v="2017-03-15T00:00:00"/>
    <s v="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2"/>
    <n v="0"/>
    <m/>
    <n v="0"/>
    <s v="Sadung Town"/>
    <n v="32.827754639406997"/>
    <n v="7"/>
  </r>
  <r>
    <x v="0"/>
    <x v="1"/>
    <s v="MMR015"/>
    <s v="Muse"/>
    <s v="MMR015D002"/>
    <x v="8"/>
    <s v="MMR015011"/>
    <s v="Kutkai Town"/>
    <s v="MMR015011701"/>
    <s v="No (6) Ward"/>
    <s v="MMR015011701506"/>
    <x v="271"/>
    <x v="274"/>
    <x v="57"/>
    <n v="23.460349999999998"/>
    <m/>
    <n v="40"/>
    <n v="195"/>
    <n v="4.875"/>
    <x v="0"/>
    <x v="0"/>
    <x v="0"/>
    <x v="0"/>
    <x v="44"/>
    <m/>
    <x v="2"/>
    <s v="IP"/>
    <m/>
    <d v="2017-04-06T00:00:00"/>
    <s v="6/April/2017: New Added camp. Data source: UNOCHA, Partners and CCCM."/>
    <m/>
    <n v="40"/>
    <m/>
    <n v="40"/>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5"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0"/>
        <item h="1" x="1"/>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2">
        <item x="0"/>
        <item x="2"/>
        <item x="5"/>
        <item x="18"/>
        <item x="17"/>
        <item x="12"/>
        <item x="8"/>
        <item x="19"/>
        <item x="4"/>
        <item x="9"/>
        <item x="15"/>
        <item x="13"/>
        <item x="7"/>
        <item x="10"/>
        <item x="3"/>
        <item x="1"/>
        <item x="11"/>
        <item x="16"/>
        <item x="14"/>
        <item x="20"/>
        <item x="6"/>
        <item x="21"/>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2"/>
        <item x="0"/>
        <item x="1"/>
        <item x="4"/>
        <item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2124">
      <pivotArea type="all" dataOnly="0" outline="0" fieldPosition="0"/>
    </format>
    <format dxfId="2123">
      <pivotArea grandRow="1" outline="0" collapsedLevelsAreSubtotals="1" fieldPosition="0"/>
    </format>
    <format dxfId="2122">
      <pivotArea dataOnly="0" labelOnly="1" grandRow="1" outline="0" fieldPosition="0"/>
    </format>
    <format dxfId="2121">
      <pivotArea outline="0" collapsedLevelsAreSubtotals="1" fieldPosition="0"/>
    </format>
    <format dxfId="2120">
      <pivotArea dataOnly="0" labelOnly="1" fieldPosition="0">
        <references count="1">
          <reference field="0" count="0"/>
        </references>
      </pivotArea>
    </format>
    <format dxfId="2119">
      <pivotArea dataOnly="0" labelOnly="1" grandRow="1" outline="0" fieldPosition="0"/>
    </format>
    <format dxfId="2118">
      <pivotArea outline="0" fieldPosition="0">
        <references count="1">
          <reference field="4294967294" count="1">
            <x v="2"/>
          </reference>
        </references>
      </pivotArea>
    </format>
    <format dxfId="2117">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2116">
      <pivotArea collapsedLevelsAreSubtotals="1" fieldPosition="0">
        <references count="3">
          <reference field="4294967294" count="1" selected="0">
            <x v="2"/>
          </reference>
          <reference field="1" count="1" selected="0">
            <x v="0"/>
          </reference>
          <reference field="19" count="1">
            <x v="1"/>
          </reference>
        </references>
      </pivotArea>
    </format>
    <format dxfId="2115">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2114">
      <pivotArea collapsedLevelsAreSubtotals="1" fieldPosition="0">
        <references count="2">
          <reference field="4294967294" count="1" selected="0">
            <x v="2"/>
          </reference>
          <reference field="1" count="1">
            <x v="1"/>
          </reference>
        </references>
      </pivotArea>
    </format>
    <format dxfId="2113">
      <pivotArea field="1" grandRow="1" outline="0" collapsedLevelsAreSubtotals="1" axis="axisRow" fieldPosition="0">
        <references count="1">
          <reference field="4294967294" count="1" selected="0">
            <x v="2"/>
          </reference>
        </references>
      </pivotArea>
    </format>
    <format dxfId="2112">
      <pivotArea field="0" type="button" dataOnly="0" labelOnly="1" outline="0" axis="axisPage" fieldPosition="0"/>
    </format>
    <format dxfId="2111">
      <pivotArea dataOnly="0" labelOnly="1" outline="0" fieldPosition="0">
        <references count="1">
          <reference field="0" count="0"/>
        </references>
      </pivotArea>
    </format>
    <format dxfId="2110">
      <pivotArea field="0" type="button" dataOnly="0" labelOnly="1" outline="0" axis="axisPage" fieldPosition="0"/>
    </format>
    <format dxfId="2109">
      <pivotArea dataOnly="0" labelOnly="1" outline="0" fieldPosition="0">
        <references count="1">
          <reference field="0" count="0"/>
        </references>
      </pivotArea>
    </format>
    <format dxfId="2108">
      <pivotArea collapsedLevelsAreSubtotals="1" fieldPosition="0">
        <references count="1">
          <reference field="1" count="1">
            <x v="0"/>
          </reference>
        </references>
      </pivotArea>
    </format>
    <format dxfId="2107">
      <pivotArea field="1" type="button" dataOnly="0" labelOnly="1" outline="0" axis="axisRow" fieldPosition="0"/>
    </format>
    <format dxfId="2106">
      <pivotArea dataOnly="0" labelOnly="1" fieldPosition="0">
        <references count="1">
          <reference field="1" count="1">
            <x v="0"/>
          </reference>
        </references>
      </pivotArea>
    </format>
    <format dxfId="2105">
      <pivotArea dataOnly="0" labelOnly="1" outline="0" fieldPosition="0">
        <references count="1">
          <reference field="4294967294" count="3">
            <x v="0"/>
            <x v="1"/>
            <x v="2"/>
          </reference>
        </references>
      </pivotArea>
    </format>
    <format dxfId="210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78" firstHeaderRow="1" firstDataRow="1" firstDataCol="4"/>
  <pivotFields count="4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2"/>
        <item x="5"/>
        <item x="18"/>
        <item x="17"/>
        <item x="12"/>
        <item x="8"/>
        <item x="19"/>
        <item x="4"/>
        <item x="9"/>
        <item x="15"/>
        <item x="13"/>
        <item x="7"/>
        <item x="10"/>
        <item x="3"/>
        <item x="1"/>
        <item x="11"/>
        <item x="16"/>
        <item x="14"/>
        <item x="20"/>
        <item x="6"/>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72">
        <item x="139"/>
        <item x="20"/>
        <item x="21"/>
        <item x="22"/>
        <item x="0"/>
        <item x="23"/>
        <item x="24"/>
        <item x="141"/>
        <item x="233"/>
        <item x="1"/>
        <item x="138"/>
        <item x="85"/>
        <item x="260"/>
        <item x="261"/>
        <item x="180"/>
        <item x="60"/>
        <item x="179"/>
        <item x="25"/>
        <item x="155"/>
        <item x="140"/>
        <item x="106"/>
        <item x="242"/>
        <item x="74"/>
        <item x="191"/>
        <item x="26"/>
        <item x="81"/>
        <item x="14"/>
        <item x="69"/>
        <item x="128"/>
        <item x="27"/>
        <item x="164"/>
        <item x="165"/>
        <item x="166"/>
        <item x="129"/>
        <item x="148"/>
        <item x="154"/>
        <item x="113"/>
        <item x="161"/>
        <item x="44"/>
        <item x="253"/>
        <item x="243"/>
        <item x="244"/>
        <item x="28"/>
        <item x="29"/>
        <item x="156"/>
        <item x="73"/>
        <item x="3"/>
        <item x="107"/>
        <item x="112"/>
        <item x="30"/>
        <item x="15"/>
        <item x="132"/>
        <item x="4"/>
        <item x="245"/>
        <item x="182"/>
        <item x="118"/>
        <item x="167"/>
        <item x="172"/>
        <item x="246"/>
        <item x="232"/>
        <item x="229"/>
        <item x="46"/>
        <item x="225"/>
        <item x="120"/>
        <item x="63"/>
        <item x="31"/>
        <item x="64"/>
        <item x="271"/>
        <item x="65"/>
        <item x="173"/>
        <item x="114"/>
        <item x="71"/>
        <item x="169"/>
        <item x="109"/>
        <item x="247"/>
        <item x="121"/>
        <item x="75"/>
        <item x="130"/>
        <item x="126"/>
        <item x="175"/>
        <item x="183"/>
        <item x="17"/>
        <item x="35"/>
        <item x="36"/>
        <item x="6"/>
        <item x="224"/>
        <item x="134"/>
        <item x="135"/>
        <item x="136"/>
        <item x="123"/>
        <item x="228"/>
        <item x="115"/>
        <item x="100"/>
        <item x="186"/>
        <item x="248"/>
        <item x="249"/>
        <item x="131"/>
        <item x="212"/>
        <item x="250"/>
        <item x="251"/>
        <item x="252"/>
        <item x="254"/>
        <item x="84"/>
        <item x="96"/>
        <item x="188"/>
        <item x="142"/>
        <item x="190"/>
        <item x="267"/>
        <item x="177"/>
        <item x="178"/>
        <item x="133"/>
        <item x="214"/>
        <item x="137"/>
        <item x="98"/>
        <item x="102"/>
        <item x="104"/>
        <item x="105"/>
        <item x="144"/>
        <item x="110"/>
        <item x="55"/>
        <item x="58"/>
        <item x="111"/>
        <item x="116"/>
        <item x="108"/>
        <item x="87"/>
        <item x="86"/>
        <item x="89"/>
        <item x="91"/>
        <item x="92"/>
        <item x="88"/>
        <item x="93"/>
        <item x="90"/>
        <item x="193"/>
        <item x="194"/>
        <item x="99"/>
        <item x="83"/>
        <item x="80"/>
        <item x="79"/>
        <item x="38"/>
        <item x="82"/>
        <item x="146"/>
        <item x="66"/>
        <item x="147"/>
        <item x="33"/>
        <item x="149"/>
        <item x="54"/>
        <item x="226"/>
        <item x="216"/>
        <item x="215"/>
        <item x="61"/>
        <item x="150"/>
        <item x="206"/>
        <item x="170"/>
        <item x="219"/>
        <item x="53"/>
        <item x="209"/>
        <item x="67"/>
        <item x="145"/>
        <item x="162"/>
        <item x="204"/>
        <item x="8"/>
        <item x="39"/>
        <item x="16"/>
        <item x="59"/>
        <item x="124"/>
        <item x="37"/>
        <item x="2"/>
        <item x="163"/>
        <item x="7"/>
        <item x="70"/>
        <item x="5"/>
        <item x="72"/>
        <item x="158"/>
        <item x="57"/>
        <item x="217"/>
        <item x="171"/>
        <item x="174"/>
        <item x="125"/>
        <item x="40"/>
        <item x="210"/>
        <item x="62"/>
        <item x="160"/>
        <item x="192"/>
        <item x="237"/>
        <item x="222"/>
        <item x="223"/>
        <item x="221"/>
        <item x="195"/>
        <item x="9"/>
        <item x="41"/>
        <item x="76"/>
        <item x="181"/>
        <item x="117"/>
        <item x="185"/>
        <item x="255"/>
        <item x="122"/>
        <item x="32"/>
        <item x="239"/>
        <item x="211"/>
        <item x="77"/>
        <item x="78"/>
        <item x="151"/>
        <item x="56"/>
        <item x="196"/>
        <item x="152"/>
        <item x="197"/>
        <item x="157"/>
        <item x="256"/>
        <item x="213"/>
        <item x="18"/>
        <item x="95"/>
        <item x="10"/>
        <item x="227"/>
        <item x="257"/>
        <item x="258"/>
        <item x="259"/>
        <item x="262"/>
        <item x="263"/>
        <item x="43"/>
        <item x="11"/>
        <item x="101"/>
        <item x="45"/>
        <item x="240"/>
        <item x="97"/>
        <item x="230"/>
        <item x="119"/>
        <item x="19"/>
        <item x="159"/>
        <item x="47"/>
        <item x="48"/>
        <item x="198"/>
        <item x="199"/>
        <item x="264"/>
        <item x="235"/>
        <item x="236"/>
        <item x="220"/>
        <item x="200"/>
        <item x="184"/>
        <item x="127"/>
        <item x="187"/>
        <item x="238"/>
        <item x="241"/>
        <item x="12"/>
        <item x="103"/>
        <item x="231"/>
        <item x="201"/>
        <item x="202"/>
        <item x="203"/>
        <item x="205"/>
        <item x="207"/>
        <item x="49"/>
        <item x="265"/>
        <item x="189"/>
        <item x="94"/>
        <item x="176"/>
        <item x="234"/>
        <item x="218"/>
        <item x="268"/>
        <item x="34"/>
        <item x="50"/>
        <item x="153"/>
        <item x="51"/>
        <item x="266"/>
        <item x="269"/>
        <item x="42"/>
        <item x="143"/>
        <item x="208"/>
        <item x="13"/>
        <item x="52"/>
        <item x="270"/>
        <item x="168"/>
        <item x="68"/>
      </items>
      <extLst>
        <ext xmlns:x14="http://schemas.microsoft.com/office/spreadsheetml/2009/9/main" uri="{2946ED86-A175-432a-8AC1-64E0C546D7DE}">
          <x14:pivotField fillDownLabels="1"/>
        </ext>
      </extLst>
    </pivotField>
    <pivotField axis="axisRow" compact="0" outline="0" showAll="0" defaultSubtotal="0">
      <items count="275">
        <item x="204"/>
        <item x="199"/>
        <item x="208"/>
        <item x="206"/>
        <item x="210"/>
        <item x="201"/>
        <item x="202"/>
        <item x="193"/>
        <item x="203"/>
        <item x="168"/>
        <item x="169"/>
        <item x="167"/>
        <item x="176"/>
        <item x="186"/>
        <item x="178"/>
        <item x="191"/>
        <item x="16"/>
        <item x="170"/>
        <item x="175"/>
        <item x="196"/>
        <item x="197"/>
        <item x="211"/>
        <item x="205"/>
        <item x="198"/>
        <item x="262"/>
        <item x="266"/>
        <item x="251"/>
        <item x="246"/>
        <item x="254"/>
        <item x="265"/>
        <item x="253"/>
        <item x="261"/>
        <item x="258"/>
        <item x="33"/>
        <item x="34"/>
        <item x="35"/>
        <item x="268"/>
        <item x="271"/>
        <item x="257"/>
        <item x="255"/>
        <item x="267"/>
        <item x="14"/>
        <item x="15"/>
        <item x="43"/>
        <item x="124"/>
        <item x="45"/>
        <item x="11"/>
        <item x="47"/>
        <item x="6"/>
        <item x="0"/>
        <item x="8"/>
        <item x="4"/>
        <item x="13"/>
        <item x="9"/>
        <item x="12"/>
        <item x="152"/>
        <item x="56"/>
        <item x="57"/>
        <item x="58"/>
        <item x="234"/>
        <item x="61"/>
        <item x="145"/>
        <item x="136"/>
        <item x="134"/>
        <item x="230"/>
        <item x="111"/>
        <item x="238"/>
        <item x="239"/>
        <item x="138"/>
        <item x="139"/>
        <item x="137"/>
        <item x="155"/>
        <item x="162"/>
        <item x="73"/>
        <item x="237"/>
        <item x="119"/>
        <item x="117"/>
        <item x="120"/>
        <item x="130"/>
        <item x="79"/>
        <item x="80"/>
        <item x="81"/>
        <item x="82"/>
        <item x="83"/>
        <item x="84"/>
        <item x="85"/>
        <item x="86"/>
        <item x="39"/>
        <item x="88"/>
        <item x="89"/>
        <item x="90"/>
        <item x="91"/>
        <item x="92"/>
        <item x="93"/>
        <item x="94"/>
        <item x="95"/>
        <item x="96"/>
        <item x="97"/>
        <item x="98"/>
        <item x="42"/>
        <item x="100"/>
        <item x="53"/>
        <item x="102"/>
        <item x="103"/>
        <item x="104"/>
        <item x="27"/>
        <item x="106"/>
        <item x="273"/>
        <item x="245"/>
        <item x="109"/>
        <item x="247"/>
        <item x="272"/>
        <item x="112"/>
        <item x="113"/>
        <item x="252"/>
        <item x="259"/>
        <item x="249"/>
        <item x="135"/>
        <item x="132"/>
        <item x="160"/>
        <item x="78"/>
        <item x="76"/>
        <item x="154"/>
        <item x="107"/>
        <item x="101"/>
        <item x="147"/>
        <item x="126"/>
        <item x="127"/>
        <item x="128"/>
        <item x="129"/>
        <item x="133"/>
        <item x="29"/>
        <item x="250"/>
        <item x="125"/>
        <item x="71"/>
        <item x="260"/>
        <item x="200"/>
        <item x="3"/>
        <item x="37"/>
        <item x="22"/>
        <item x="26"/>
        <item x="141"/>
        <item x="142"/>
        <item x="143"/>
        <item x="144"/>
        <item x="28"/>
        <item x="146"/>
        <item x="24"/>
        <item x="148"/>
        <item x="149"/>
        <item x="21"/>
        <item x="151"/>
        <item x="36"/>
        <item x="44"/>
        <item x="46"/>
        <item x="52"/>
        <item x="156"/>
        <item x="157"/>
        <item x="158"/>
        <item x="159"/>
        <item x="25"/>
        <item x="30"/>
        <item x="41"/>
        <item x="10"/>
        <item x="1"/>
        <item x="18"/>
        <item x="17"/>
        <item x="54"/>
        <item x="140"/>
        <item x="77"/>
        <item x="123"/>
        <item x="171"/>
        <item x="172"/>
        <item x="173"/>
        <item x="174"/>
        <item x="244"/>
        <item x="248"/>
        <item x="177"/>
        <item x="19"/>
        <item x="179"/>
        <item x="180"/>
        <item x="181"/>
        <item x="182"/>
        <item x="183"/>
        <item x="62"/>
        <item x="185"/>
        <item x="87"/>
        <item x="187"/>
        <item x="188"/>
        <item x="189"/>
        <item x="190"/>
        <item x="2"/>
        <item x="5"/>
        <item x="7"/>
        <item x="38"/>
        <item x="153"/>
        <item x="55"/>
        <item x="59"/>
        <item x="60"/>
        <item x="110"/>
        <item x="161"/>
        <item x="63"/>
        <item x="64"/>
        <item x="65"/>
        <item x="66"/>
        <item x="67"/>
        <item x="68"/>
        <item x="69"/>
        <item x="70"/>
        <item x="115"/>
        <item x="72"/>
        <item x="74"/>
        <item x="184"/>
        <item x="114"/>
        <item x="163"/>
        <item x="116"/>
        <item x="164"/>
        <item x="99"/>
        <item x="192"/>
        <item x="20"/>
        <item x="194"/>
        <item x="121"/>
        <item x="165"/>
        <item x="166"/>
        <item x="195"/>
        <item x="108"/>
        <item x="207"/>
        <item x="31"/>
        <item x="105"/>
        <item x="212"/>
        <item x="32"/>
        <item x="75"/>
        <item x="150"/>
        <item x="213"/>
        <item x="231"/>
        <item x="233"/>
        <item x="122"/>
        <item x="118"/>
        <item x="242"/>
        <item x="243"/>
        <item x="131"/>
        <item x="214"/>
        <item x="51"/>
        <item x="209"/>
        <item x="215"/>
        <item x="216"/>
        <item x="217"/>
        <item x="218"/>
        <item x="219"/>
        <item x="220"/>
        <item x="221"/>
        <item x="222"/>
        <item x="23"/>
        <item x="48"/>
        <item x="50"/>
        <item x="49"/>
        <item x="40"/>
        <item x="223"/>
        <item x="224"/>
        <item x="225"/>
        <item x="226"/>
        <item x="227"/>
        <item x="228"/>
        <item x="229"/>
        <item x="232"/>
        <item x="235"/>
        <item x="236"/>
        <item x="240"/>
        <item x="241"/>
        <item x="256"/>
        <item x="263"/>
        <item x="264"/>
        <item x="269"/>
        <item x="270"/>
        <item x="2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5">
        <item x="33"/>
        <item x="4"/>
        <item x="7"/>
        <item x="19"/>
        <item x="1"/>
        <item x="11"/>
        <item x="0"/>
        <item x="2"/>
        <item x="32"/>
        <item x="12"/>
        <item x="21"/>
        <item x="20"/>
        <item x="8"/>
        <item x="27"/>
        <item x="13"/>
        <item x="9"/>
        <item x="5"/>
        <item x="10"/>
        <item x="6"/>
        <item x="31"/>
        <item x="43"/>
        <item x="42"/>
        <item x="15"/>
        <item x="34"/>
        <item x="22"/>
        <item x="25"/>
        <item x="17"/>
        <item x="28"/>
        <item x="29"/>
        <item x="23"/>
        <item x="36"/>
        <item x="35"/>
        <item x="24"/>
        <item x="30"/>
        <item x="16"/>
        <item x="37"/>
        <item x="26"/>
        <item x="41"/>
        <item x="18"/>
        <item x="39"/>
        <item x="40"/>
        <item x="38"/>
        <item x="14"/>
        <item n="0" x="3"/>
        <item x="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75">
    <i>
      <x/>
      <x v="142"/>
      <x/>
      <x v="43"/>
    </i>
    <i>
      <x v="1"/>
      <x v="150"/>
      <x v="1"/>
      <x v="18"/>
    </i>
    <i>
      <x v="2"/>
      <x v="139"/>
      <x v="1"/>
      <x v="18"/>
    </i>
    <i>
      <x v="3"/>
      <x v="252"/>
      <x v="1"/>
      <x v="42"/>
    </i>
    <i>
      <x v="4"/>
      <x v="49"/>
      <x v="1"/>
      <x v="6"/>
    </i>
    <i>
      <x v="5"/>
      <x v="147"/>
      <x v="1"/>
      <x v="18"/>
    </i>
    <i>
      <x v="6"/>
      <x v="160"/>
      <x v="1"/>
      <x v="18"/>
    </i>
    <i>
      <x v="7"/>
      <x v="144"/>
      <x/>
      <x v="43"/>
    </i>
    <i>
      <x v="8"/>
      <x v="266"/>
      <x/>
      <x v="43"/>
    </i>
    <i>
      <x v="9"/>
      <x v="164"/>
      <x v="1"/>
      <x v="4"/>
    </i>
    <i>
      <x v="10"/>
      <x v="141"/>
      <x/>
      <x v="43"/>
    </i>
    <i>
      <x v="11"/>
      <x v="88"/>
      <x/>
      <x v="43"/>
    </i>
    <i>
      <x v="12"/>
      <x v="270"/>
      <x/>
      <x v="43"/>
    </i>
    <i>
      <x v="13"/>
      <x v="271"/>
      <x/>
      <x v="43"/>
    </i>
    <i>
      <x v="14"/>
      <x v="183"/>
      <x/>
      <x v="43"/>
    </i>
    <i>
      <x v="15"/>
      <x v="184"/>
      <x/>
      <x v="43"/>
    </i>
    <i>
      <x v="16"/>
      <x v="182"/>
      <x/>
      <x v="43"/>
    </i>
    <i>
      <x v="17"/>
      <x v="140"/>
      <x v="1"/>
      <x v="18"/>
    </i>
    <i>
      <x v="18"/>
      <x v="158"/>
      <x/>
      <x v="43"/>
    </i>
    <i>
      <x v="19"/>
      <x v="143"/>
      <x/>
      <x v="18"/>
    </i>
    <i>
      <x v="20"/>
      <x v="109"/>
      <x/>
      <x v="43"/>
    </i>
    <i>
      <x v="21"/>
      <x v="108"/>
      <x v="1"/>
      <x v="6"/>
    </i>
    <i>
      <x v="22"/>
      <x v="121"/>
      <x v="1"/>
      <x v="5"/>
    </i>
    <i>
      <x v="23"/>
      <x v="220"/>
      <x/>
      <x v="5"/>
    </i>
    <i>
      <x v="24"/>
      <x v="105"/>
      <x v="1"/>
      <x v="22"/>
    </i>
    <i>
      <x v="25"/>
      <x v="84"/>
      <x/>
      <x v="43"/>
    </i>
    <i>
      <x v="26"/>
      <x v="41"/>
      <x v="1"/>
      <x v="17"/>
    </i>
    <i>
      <x v="27"/>
      <x v="134"/>
      <x/>
      <x v="43"/>
    </i>
    <i>
      <x v="28"/>
      <x v="240"/>
      <x v="1"/>
      <x v="43"/>
    </i>
    <i>
      <x v="29"/>
      <x v="145"/>
      <x v="1"/>
      <x v="18"/>
    </i>
    <i>
      <x v="30"/>
      <x v="11"/>
      <x v="1"/>
      <x v="1"/>
    </i>
    <i>
      <x v="31"/>
      <x v="9"/>
      <x v="1"/>
      <x v="1"/>
    </i>
    <i>
      <x v="32"/>
      <x v="10"/>
      <x v="1"/>
      <x v="1"/>
    </i>
    <i>
      <x v="33"/>
      <x v="118"/>
      <x v="1"/>
      <x v="3"/>
    </i>
    <i>
      <x v="34"/>
      <x v="151"/>
      <x/>
      <x v="43"/>
    </i>
    <i>
      <x v="35"/>
      <x v="157"/>
      <x/>
      <x v="43"/>
    </i>
    <i>
      <x v="36"/>
      <x v="215"/>
      <x/>
      <x v="43"/>
    </i>
    <i>
      <x v="37"/>
      <x v="216"/>
      <x/>
      <x v="43"/>
    </i>
    <i>
      <x v="38"/>
      <x v="45"/>
      <x/>
      <x v="43"/>
    </i>
    <i>
      <x v="39"/>
      <x v="269"/>
      <x/>
      <x v="43"/>
    </i>
    <i>
      <x v="40"/>
      <x v="27"/>
      <x v="1"/>
      <x v="1"/>
    </i>
    <i>
      <x v="41"/>
      <x v="110"/>
      <x v="1"/>
      <x v="7"/>
    </i>
    <i>
      <x v="42"/>
      <x v="131"/>
      <x v="1"/>
      <x v="16"/>
    </i>
    <i>
      <x v="43"/>
      <x v="161"/>
      <x v="1"/>
      <x v="15"/>
    </i>
    <i>
      <x v="44"/>
      <x v="159"/>
      <x/>
      <x v="43"/>
    </i>
    <i>
      <x v="45"/>
      <x v="231"/>
      <x v="1"/>
      <x v="18"/>
    </i>
    <i>
      <x v="46"/>
      <x v="137"/>
      <x v="1"/>
      <x v="43"/>
    </i>
    <i r="1">
      <x v="166"/>
      <x v="1"/>
      <x v="43"/>
    </i>
    <i r="1">
      <x v="167"/>
      <x v="1"/>
      <x v="43"/>
    </i>
    <i r="1">
      <x v="169"/>
      <x v="1"/>
      <x v="43"/>
    </i>
    <i>
      <x v="47"/>
      <x v="199"/>
      <x/>
      <x v="43"/>
    </i>
    <i>
      <x v="48"/>
      <x v="209"/>
      <x v="1"/>
      <x v="43"/>
    </i>
    <i>
      <x v="49"/>
      <x v="227"/>
      <x v="1"/>
      <x v="15"/>
    </i>
    <i>
      <x v="50"/>
      <x v="42"/>
      <x v="1"/>
      <x v="12"/>
    </i>
    <i>
      <x v="51"/>
      <x v="117"/>
      <x v="1"/>
      <x v="1"/>
    </i>
    <i>
      <x v="52"/>
      <x v="51"/>
      <x v="1"/>
      <x v="7"/>
    </i>
    <i>
      <x v="53"/>
      <x v="176"/>
      <x v="1"/>
      <x v="43"/>
    </i>
    <i>
      <x v="54"/>
      <x v="185"/>
      <x/>
      <x v="43"/>
    </i>
    <i>
      <x v="55"/>
      <x v="221"/>
      <x v="1"/>
      <x v="22"/>
    </i>
    <i>
      <x v="56"/>
      <x v="17"/>
      <x v="1"/>
      <x v="2"/>
    </i>
    <i>
      <x v="57"/>
      <x v="18"/>
      <x v="1"/>
      <x v="2"/>
    </i>
    <i>
      <x v="58"/>
      <x v="116"/>
      <x v="1"/>
      <x v="13"/>
    </i>
    <i>
      <x v="59"/>
      <x v="265"/>
      <x/>
      <x v="43"/>
    </i>
    <i>
      <x v="60"/>
      <x v="264"/>
      <x/>
      <x v="43"/>
    </i>
    <i>
      <x v="61"/>
      <x v="47"/>
      <x/>
      <x v="43"/>
    </i>
    <i>
      <x v="62"/>
      <x v="262"/>
      <x/>
      <x v="43"/>
    </i>
    <i>
      <x v="63"/>
      <x v="170"/>
      <x v="1"/>
      <x v="43"/>
    </i>
    <i>
      <x v="64"/>
      <x v="203"/>
      <x v="1"/>
      <x v="18"/>
    </i>
    <i>
      <x v="65"/>
      <x v="230"/>
      <x v="1"/>
      <x v="34"/>
    </i>
    <i>
      <x v="66"/>
      <x v="204"/>
      <x v="1"/>
      <x v="17"/>
    </i>
    <i>
      <x v="67"/>
      <x v="274"/>
      <x v="1"/>
      <x v="44"/>
    </i>
    <i>
      <x v="68"/>
      <x v="205"/>
      <x v="1"/>
      <x v="17"/>
    </i>
    <i>
      <x v="69"/>
      <x v="12"/>
      <x v="1"/>
      <x v="8"/>
    </i>
    <i>
      <x v="70"/>
      <x v="76"/>
      <x v="1"/>
      <x v="12"/>
    </i>
    <i>
      <x v="71"/>
      <x v="73"/>
      <x/>
      <x v="43"/>
    </i>
    <i>
      <x v="72"/>
      <x v="172"/>
      <x/>
      <x v="19"/>
    </i>
    <i>
      <x v="73"/>
      <x v="112"/>
      <x/>
      <x v="1"/>
    </i>
    <i>
      <x v="74"/>
      <x v="132"/>
      <x v="1"/>
      <x v="43"/>
    </i>
    <i>
      <x v="75"/>
      <x v="44"/>
      <x v="1"/>
      <x v="43"/>
    </i>
    <i>
      <x v="76"/>
      <x v="120"/>
      <x v="1"/>
      <x v="5"/>
    </i>
    <i>
      <x v="77"/>
      <x v="130"/>
      <x v="1"/>
      <x v="27"/>
    </i>
    <i>
      <x v="78"/>
      <x v="129"/>
      <x/>
      <x v="43"/>
    </i>
    <i>
      <x v="79"/>
      <x v="14"/>
      <x v="1"/>
      <x/>
    </i>
    <i>
      <x v="80"/>
      <x v="13"/>
      <x v="1"/>
      <x v="1"/>
    </i>
    <i>
      <x v="81"/>
      <x v="165"/>
      <x v="1"/>
      <x v="9"/>
    </i>
    <i>
      <x v="82"/>
      <x v="152"/>
      <x v="1"/>
      <x v="18"/>
    </i>
    <i>
      <x v="83"/>
      <x v="138"/>
      <x v="1"/>
      <x v="18"/>
    </i>
    <i>
      <x v="84"/>
      <x v="48"/>
      <x v="1"/>
      <x v="1"/>
    </i>
    <i>
      <x v="85"/>
      <x v="261"/>
      <x v="1"/>
      <x v="43"/>
    </i>
    <i>
      <x v="86"/>
      <x v="70"/>
      <x v="1"/>
      <x v="12"/>
    </i>
    <i>
      <x v="87"/>
      <x v="68"/>
      <x v="1"/>
      <x v="6"/>
    </i>
    <i>
      <x v="88"/>
      <x v="69"/>
      <x v="1"/>
      <x v="11"/>
    </i>
    <i>
      <x v="89"/>
      <x v="126"/>
      <x/>
      <x v="15"/>
    </i>
    <i>
      <x v="90"/>
      <x v="234"/>
      <x v="1"/>
      <x v="37"/>
    </i>
    <i>
      <x v="91"/>
      <x v="237"/>
      <x v="1"/>
      <x v="36"/>
    </i>
    <i>
      <x v="92"/>
      <x v="103"/>
      <x/>
      <x v="43"/>
    </i>
    <i>
      <x v="93"/>
      <x v="189"/>
      <x/>
      <x v="23"/>
    </i>
    <i>
      <x v="94"/>
      <x v="26"/>
      <x v="1"/>
      <x v="12"/>
    </i>
    <i>
      <x v="95"/>
      <x v="114"/>
      <x v="1"/>
      <x v="1"/>
    </i>
    <i>
      <x v="96"/>
      <x v="63"/>
      <x v="1"/>
      <x v="43"/>
    </i>
    <i>
      <x v="97"/>
      <x v="244"/>
      <x v="1"/>
      <x v="41"/>
    </i>
    <i>
      <x v="98"/>
      <x v="30"/>
      <x v="1"/>
      <x v="21"/>
    </i>
    <i>
      <x v="99"/>
      <x v="28"/>
      <x v="1"/>
      <x v="20"/>
    </i>
    <i>
      <x v="100"/>
      <x v="39"/>
      <x v="1"/>
      <x v="13"/>
    </i>
    <i>
      <x v="101"/>
      <x v="38"/>
      <x v="1"/>
      <x v="7"/>
    </i>
    <i>
      <x v="102"/>
      <x v="186"/>
      <x v="1"/>
      <x v="24"/>
    </i>
    <i>
      <x v="103"/>
      <x v="217"/>
      <x v="1"/>
      <x v="24"/>
    </i>
    <i>
      <x v="104"/>
      <x v="15"/>
      <x v="1"/>
      <x v="3"/>
    </i>
    <i>
      <x v="105"/>
      <x v="61"/>
      <x v="1"/>
      <x v="12"/>
    </i>
    <i>
      <x v="106"/>
      <x v="7"/>
      <x v="1"/>
      <x v="2"/>
    </i>
    <i>
      <x v="107"/>
      <x v="273"/>
      <x v="1"/>
      <x v="43"/>
    </i>
    <i>
      <x v="108"/>
      <x v="180"/>
      <x/>
      <x v="43"/>
    </i>
    <i>
      <x v="109"/>
      <x v="181"/>
      <x/>
      <x v="43"/>
    </i>
    <i>
      <x v="110"/>
      <x v="62"/>
      <x v="1"/>
      <x v="43"/>
    </i>
    <i>
      <x v="111"/>
      <x v="246"/>
      <x v="1"/>
      <x v="38"/>
    </i>
    <i>
      <x v="112"/>
      <x v="168"/>
      <x v="1"/>
      <x v="43"/>
    </i>
    <i>
      <x v="113"/>
      <x v="124"/>
      <x v="1"/>
      <x v="9"/>
    </i>
    <i>
      <x v="114"/>
      <x v="228"/>
      <x v="1"/>
      <x v="29"/>
    </i>
    <i>
      <x v="115"/>
      <x v="123"/>
      <x v="1"/>
      <x v="6"/>
    </i>
    <i>
      <x v="116"/>
      <x v="225"/>
      <x v="1"/>
      <x v="32"/>
    </i>
    <i>
      <x v="117"/>
      <x v="125"/>
      <x v="1"/>
      <x v="43"/>
    </i>
    <i>
      <x v="118"/>
      <x v="113"/>
      <x/>
      <x v="43"/>
    </i>
    <i>
      <x v="119"/>
      <x v="57"/>
      <x/>
      <x v="5"/>
    </i>
    <i>
      <x v="120"/>
      <x v="198"/>
      <x v="1"/>
      <x v="11"/>
    </i>
    <i>
      <x v="121"/>
      <x v="213"/>
      <x v="1"/>
      <x v="12"/>
    </i>
    <i>
      <x v="122"/>
      <x v="75"/>
      <x v="1"/>
      <x v="12"/>
    </i>
    <i>
      <x v="123"/>
      <x v="65"/>
      <x v="1"/>
      <x v="25"/>
    </i>
    <i>
      <x v="124"/>
      <x v="90"/>
      <x/>
      <x v="43"/>
    </i>
    <i>
      <x v="125"/>
      <x v="89"/>
      <x/>
      <x v="43"/>
    </i>
    <i>
      <x v="126"/>
      <x v="92"/>
      <x/>
      <x v="43"/>
    </i>
    <i>
      <x v="127"/>
      <x v="94"/>
      <x/>
      <x v="43"/>
    </i>
    <i>
      <x v="128"/>
      <x v="95"/>
      <x/>
      <x v="43"/>
    </i>
    <i>
      <x v="129"/>
      <x v="91"/>
      <x/>
      <x v="43"/>
    </i>
    <i>
      <x v="130"/>
      <x v="96"/>
      <x/>
      <x v="43"/>
    </i>
    <i>
      <x v="131"/>
      <x v="93"/>
      <x/>
      <x v="43"/>
    </i>
    <i>
      <x v="132"/>
      <x v="19"/>
      <x v="1"/>
      <x v="5"/>
    </i>
    <i>
      <x v="133"/>
      <x v="20"/>
      <x v="1"/>
      <x v="5"/>
    </i>
    <i>
      <x v="134"/>
      <x v="102"/>
      <x/>
      <x v="43"/>
    </i>
    <i>
      <x v="135"/>
      <x v="86"/>
      <x/>
      <x v="43"/>
    </i>
    <i>
      <x v="136"/>
      <x v="83"/>
      <x/>
      <x v="43"/>
    </i>
    <i>
      <x v="137"/>
      <x v="82"/>
      <x/>
      <x v="43"/>
    </i>
    <i>
      <x v="138"/>
      <x v="87"/>
      <x v="1"/>
      <x v="15"/>
    </i>
    <i>
      <x v="139"/>
      <x v="85"/>
      <x/>
      <x v="43"/>
    </i>
    <i>
      <x v="140"/>
      <x v="149"/>
      <x/>
      <x v="43"/>
    </i>
    <i>
      <x v="141"/>
      <x v="206"/>
      <x v="1"/>
      <x v="18"/>
    </i>
    <i>
      <x v="142"/>
      <x v="232"/>
      <x v="1"/>
      <x v="18"/>
    </i>
    <i>
      <x v="143"/>
      <x v="34"/>
      <x/>
      <x v="43"/>
    </i>
    <i>
      <x v="144"/>
      <x v="55"/>
      <x v="1"/>
      <x v="1"/>
    </i>
    <i>
      <x v="145"/>
      <x v="56"/>
      <x/>
      <x v="3"/>
    </i>
    <i>
      <x v="146"/>
      <x v="263"/>
      <x/>
      <x v="43"/>
    </i>
    <i>
      <x v="147"/>
      <x v="248"/>
      <x v="1"/>
      <x v="40"/>
    </i>
    <i>
      <x v="148"/>
      <x v="247"/>
      <x v="1"/>
      <x v="39"/>
    </i>
    <i>
      <x v="149"/>
      <x v="201"/>
      <x/>
      <x v="14"/>
    </i>
    <i>
      <x v="150"/>
      <x v="195"/>
      <x/>
      <x v="43"/>
    </i>
    <i>
      <x v="151"/>
      <x v="243"/>
      <x/>
      <x v="43"/>
    </i>
    <i>
      <x v="152"/>
      <x v="173"/>
      <x/>
      <x v="14"/>
    </i>
    <i>
      <x v="153"/>
      <x v="251"/>
      <x v="1"/>
      <x v="39"/>
    </i>
    <i>
      <x v="154"/>
      <x v="196"/>
      <x v="1"/>
      <x v="4"/>
    </i>
    <i>
      <x v="155"/>
      <x v="229"/>
      <x v="1"/>
      <x v="4"/>
    </i>
    <i>
      <x v="156"/>
      <x v="207"/>
      <x/>
      <x v="4"/>
    </i>
    <i>
      <x v="157"/>
      <x v="148"/>
      <x/>
      <x v="18"/>
    </i>
    <i>
      <x v="158"/>
      <x v="222"/>
      <x v="1"/>
      <x v="28"/>
    </i>
    <i>
      <x v="159"/>
      <x v="226"/>
      <x v="1"/>
      <x v="30"/>
    </i>
    <i>
      <x v="160"/>
      <x v="50"/>
      <x v="1"/>
      <x v="16"/>
    </i>
    <i>
      <x v="161"/>
      <x v="256"/>
      <x v="1"/>
      <x v="42"/>
    </i>
    <i>
      <x v="162"/>
      <x v="16"/>
      <x/>
      <x v="5"/>
    </i>
    <i>
      <x v="163"/>
      <x v="60"/>
      <x v="1"/>
      <x v="43"/>
    </i>
    <i>
      <x v="164"/>
      <x v="127"/>
      <x/>
      <x v="43"/>
    </i>
    <i>
      <x v="165"/>
      <x v="194"/>
      <x v="1"/>
      <x v="26"/>
    </i>
    <i>
      <x v="166"/>
      <x v="191"/>
      <x v="1"/>
      <x v="7"/>
    </i>
    <i>
      <x v="167"/>
      <x v="223"/>
      <x v="1"/>
      <x v="33"/>
    </i>
    <i>
      <x v="168"/>
      <x v="193"/>
      <x v="1"/>
      <x v="7"/>
    </i>
    <i>
      <x v="169"/>
      <x v="210"/>
      <x/>
      <x v="43"/>
    </i>
    <i>
      <x v="170"/>
      <x v="192"/>
      <x/>
      <x v="43"/>
    </i>
    <i>
      <x v="171"/>
      <x v="211"/>
      <x/>
      <x v="4"/>
    </i>
    <i>
      <x v="172"/>
      <x v="200"/>
      <x/>
      <x v="43"/>
    </i>
    <i>
      <x v="173"/>
      <x v="197"/>
      <x v="1"/>
      <x v="7"/>
    </i>
    <i>
      <x v="174"/>
      <x v="249"/>
      <x v="1"/>
      <x v="39"/>
    </i>
    <i>
      <x v="175"/>
      <x v="174"/>
      <x/>
      <x v="14"/>
    </i>
    <i>
      <x v="176"/>
      <x v="177"/>
      <x/>
      <x v="43"/>
    </i>
    <i>
      <x v="177"/>
      <x v="128"/>
      <x/>
      <x v="43"/>
    </i>
    <i>
      <x v="178"/>
      <x v="162"/>
      <x v="1"/>
      <x v="18"/>
    </i>
    <i>
      <x v="179"/>
      <x v="233"/>
      <x v="1"/>
      <x v="35"/>
    </i>
    <i>
      <x v="180"/>
      <x v="202"/>
      <x v="1"/>
      <x v="11"/>
    </i>
    <i>
      <x v="181"/>
      <x v="214"/>
      <x v="1"/>
      <x v="43"/>
    </i>
    <i>
      <x v="182"/>
      <x v="224"/>
      <x v="1"/>
      <x v="31"/>
    </i>
    <i>
      <x v="183"/>
      <x v="267"/>
      <x/>
      <x v="43"/>
    </i>
    <i>
      <x v="184"/>
      <x v="259"/>
      <x v="1"/>
      <x v="43"/>
    </i>
    <i>
      <x v="185"/>
      <x v="260"/>
      <x v="1"/>
      <x v="43"/>
    </i>
    <i>
      <x v="186"/>
      <x v="258"/>
      <x v="1"/>
      <x v="43"/>
    </i>
    <i>
      <x v="187"/>
      <x v="23"/>
      <x v="1"/>
      <x v="8"/>
    </i>
    <i>
      <x v="188"/>
      <x v="53"/>
      <x v="1"/>
      <x v="6"/>
    </i>
    <i>
      <x v="189"/>
      <x v="99"/>
      <x v="1"/>
      <x v="22"/>
    </i>
    <i>
      <x v="190"/>
      <x v="79"/>
      <x/>
      <x v="10"/>
    </i>
    <i>
      <x v="191"/>
      <x v="212"/>
      <x v="1"/>
      <x v="19"/>
    </i>
    <i>
      <x v="192"/>
      <x v="77"/>
      <x v="1"/>
      <x v="10"/>
    </i>
    <i>
      <x v="193"/>
      <x v="188"/>
      <x/>
      <x v="22"/>
    </i>
    <i>
      <x v="194"/>
      <x v="32"/>
      <x v="1"/>
      <x v="12"/>
    </i>
    <i>
      <x v="195"/>
      <x v="133"/>
      <x v="1"/>
      <x v="9"/>
    </i>
    <i>
      <x v="196"/>
      <x v="33"/>
      <x/>
      <x v="43"/>
    </i>
    <i>
      <x v="197"/>
      <x v="238"/>
      <x v="1"/>
      <x v="35"/>
    </i>
    <i>
      <x v="198"/>
      <x v="241"/>
      <x v="1"/>
      <x v="35"/>
    </i>
    <i>
      <x v="199"/>
      <x v="80"/>
      <x/>
      <x v="15"/>
    </i>
    <i>
      <x v="200"/>
      <x v="81"/>
      <x/>
      <x v="43"/>
    </i>
    <i>
      <x v="201"/>
      <x v="122"/>
      <x v="1"/>
      <x v="11"/>
    </i>
    <i>
      <x v="202"/>
      <x v="58"/>
      <x/>
      <x v="5"/>
    </i>
    <i>
      <x v="203"/>
      <x v="1"/>
      <x v="1"/>
      <x v="1"/>
    </i>
    <i>
      <x v="204"/>
      <x v="71"/>
      <x v="1"/>
      <x v="15"/>
    </i>
    <i>
      <x v="205"/>
      <x v="136"/>
      <x v="1"/>
      <x v="17"/>
    </i>
    <i>
      <x v="206"/>
      <x v="119"/>
      <x v="1"/>
      <x v="11"/>
    </i>
    <i>
      <x v="207"/>
      <x v="115"/>
      <x v="1"/>
      <x v="2"/>
    </i>
    <i>
      <x v="208"/>
      <x v="245"/>
      <x v="1"/>
      <x v="38"/>
    </i>
    <i>
      <x v="209"/>
      <x v="178"/>
      <x v="1"/>
      <x v="14"/>
    </i>
    <i>
      <x v="210"/>
      <x v="98"/>
      <x/>
      <x v="43"/>
    </i>
    <i>
      <x v="211"/>
      <x v="163"/>
      <x v="1"/>
      <x v="18"/>
    </i>
    <i>
      <x v="212"/>
      <x v="64"/>
      <x v="1"/>
      <x v="43"/>
    </i>
    <i>
      <x v="213"/>
      <x v="135"/>
      <x v="1"/>
      <x v="6"/>
    </i>
    <i>
      <x v="214"/>
      <x v="31"/>
      <x v="1"/>
      <x v="2"/>
    </i>
    <i>
      <x v="215"/>
      <x v="24"/>
      <x v="1"/>
      <x v="1"/>
    </i>
    <i>
      <x v="216"/>
      <x v="29"/>
      <x v="1"/>
      <x v="1"/>
    </i>
    <i>
      <x v="217"/>
      <x v="25"/>
      <x v="1"/>
      <x v="9"/>
    </i>
    <i>
      <x v="218"/>
      <x v="153"/>
      <x v="1"/>
      <x v="18"/>
    </i>
    <i>
      <x v="219"/>
      <x v="46"/>
      <x v="1"/>
      <x v="2"/>
    </i>
    <i>
      <x v="220"/>
      <x v="104"/>
      <x/>
      <x v="43"/>
    </i>
    <i>
      <x v="221"/>
      <x v="154"/>
      <x v="1"/>
      <x v="18"/>
    </i>
    <i>
      <x v="222"/>
      <x v="239"/>
      <x v="1"/>
      <x v="35"/>
    </i>
    <i>
      <x v="223"/>
      <x v="100"/>
      <x/>
      <x v="43"/>
    </i>
    <i>
      <x v="224"/>
      <x v="235"/>
      <x v="1"/>
      <x v="36"/>
    </i>
    <i>
      <x v="225"/>
      <x v="236"/>
      <x v="1"/>
      <x v="36"/>
    </i>
    <i>
      <x v="226"/>
      <x v="219"/>
      <x v="1"/>
      <x v="14"/>
    </i>
    <i>
      <x v="227"/>
      <x v="72"/>
      <x v="1"/>
      <x v="15"/>
    </i>
    <i>
      <x v="228"/>
      <x v="253"/>
      <x v="1"/>
      <x v="42"/>
    </i>
    <i>
      <x v="229"/>
      <x v="255"/>
      <x v="1"/>
      <x v="42"/>
    </i>
    <i>
      <x v="230"/>
      <x v="5"/>
      <x v="1"/>
      <x v="3"/>
    </i>
    <i>
      <x v="231"/>
      <x v="6"/>
      <x v="1"/>
      <x v="8"/>
    </i>
    <i>
      <x v="232"/>
      <x v="40"/>
      <x v="1"/>
      <x v="6"/>
    </i>
    <i>
      <x v="233"/>
      <x v="66"/>
      <x v="1"/>
      <x v="2"/>
    </i>
    <i>
      <x v="234"/>
      <x v="67"/>
      <x v="1"/>
      <x v="2"/>
    </i>
    <i>
      <x v="235"/>
      <x v="257"/>
      <x v="1"/>
      <x v="43"/>
    </i>
    <i>
      <x v="236"/>
      <x v="8"/>
      <x v="1"/>
      <x v="2"/>
    </i>
    <i>
      <x v="237"/>
      <x v="187"/>
      <x/>
      <x v="43"/>
    </i>
    <i>
      <x v="238"/>
      <x v="78"/>
      <x v="1"/>
      <x v="13"/>
    </i>
    <i>
      <x v="239"/>
      <x v="190"/>
      <x/>
      <x v="43"/>
    </i>
    <i>
      <x v="240"/>
      <x v="268"/>
      <x/>
      <x v="43"/>
    </i>
    <i>
      <x v="241"/>
      <x v="175"/>
      <x v="1"/>
      <x v="43"/>
    </i>
    <i>
      <x v="242"/>
      <x v="54"/>
      <x v="1"/>
      <x v="12"/>
    </i>
    <i>
      <x v="243"/>
      <x v="106"/>
      <x/>
      <x v="43"/>
    </i>
    <i>
      <x v="244"/>
      <x v="59"/>
      <x v="1"/>
      <x v="43"/>
    </i>
    <i>
      <x v="245"/>
      <x/>
      <x v="1"/>
      <x v="1"/>
    </i>
    <i>
      <x v="246"/>
      <x v="22"/>
      <x v="1"/>
      <x v="11"/>
    </i>
    <i>
      <x v="247"/>
      <x v="3"/>
      <x v="1"/>
      <x v="3"/>
    </i>
    <i>
      <x v="248"/>
      <x v="2"/>
      <x v="1"/>
      <x v="2"/>
    </i>
    <i>
      <x v="249"/>
      <x v="4"/>
      <x v="1"/>
      <x v="5"/>
    </i>
    <i>
      <x v="250"/>
      <x v="254"/>
      <x v="1"/>
      <x v="42"/>
    </i>
    <i>
      <x v="251"/>
      <x v="36"/>
      <x v="1"/>
      <x v="6"/>
    </i>
    <i>
      <x v="252"/>
      <x v="218"/>
      <x/>
      <x v="43"/>
    </i>
    <i>
      <x v="253"/>
      <x v="97"/>
      <x/>
      <x v="43"/>
    </i>
    <i>
      <x v="254"/>
      <x v="179"/>
      <x/>
      <x v="43"/>
    </i>
    <i>
      <x v="255"/>
      <x v="74"/>
      <x v="1"/>
      <x v="43"/>
    </i>
    <i>
      <x v="256"/>
      <x v="250"/>
      <x v="1"/>
      <x v="40"/>
    </i>
    <i>
      <x v="257"/>
      <x v="37"/>
      <x v="1"/>
      <x v="6"/>
    </i>
    <i>
      <x v="258"/>
      <x v="35"/>
      <x/>
      <x v="6"/>
    </i>
    <i>
      <x v="259"/>
      <x v="242"/>
      <x v="1"/>
      <x v="38"/>
    </i>
    <i>
      <x v="260"/>
      <x v="156"/>
      <x/>
      <x v="18"/>
    </i>
    <i>
      <x v="261"/>
      <x v="155"/>
      <x v="1"/>
      <x v="18"/>
    </i>
    <i>
      <x v="262"/>
      <x v="272"/>
      <x/>
      <x v="43"/>
    </i>
    <i>
      <x v="263"/>
      <x v="111"/>
      <x v="1"/>
      <x v="1"/>
    </i>
    <i>
      <x v="264"/>
      <x v="43"/>
      <x/>
      <x v="43"/>
    </i>
    <i>
      <x v="265"/>
      <x v="146"/>
      <x/>
      <x v="43"/>
    </i>
    <i>
      <x v="266"/>
      <x v="21"/>
      <x v="1"/>
      <x v="11"/>
    </i>
    <i>
      <x v="267"/>
      <x v="52"/>
      <x v="1"/>
      <x v="15"/>
    </i>
    <i>
      <x v="268"/>
      <x v="101"/>
      <x v="1"/>
      <x v="15"/>
    </i>
    <i>
      <x v="269"/>
      <x v="107"/>
      <x v="1"/>
      <x v="6"/>
    </i>
    <i>
      <x v="270"/>
      <x v="171"/>
      <x/>
      <x v="43"/>
    </i>
    <i>
      <x v="271"/>
      <x v="208"/>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TCL" cacheId="25"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78" firstHeaderRow="1" firstDataRow="1" firstDataCol="2" rowPageCount="1" colPageCount="1"/>
  <pivotFields count="4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0"/>
        <item x="2"/>
        <item x="5"/>
        <item x="18"/>
        <item x="17"/>
        <item x="12"/>
        <item x="8"/>
        <item x="19"/>
        <item x="4"/>
        <item x="9"/>
        <item x="15"/>
        <item x="13"/>
        <item x="7"/>
        <item x="10"/>
        <item x="3"/>
        <item x="1"/>
        <item x="11"/>
        <item x="16"/>
        <item x="14"/>
        <item x="20"/>
        <item x="6"/>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139"/>
        <item x="20"/>
        <item x="21"/>
        <item x="0"/>
        <item x="23"/>
        <item x="24"/>
        <item x="141"/>
        <item x="1"/>
        <item x="138"/>
        <item x="85"/>
        <item x="180"/>
        <item x="60"/>
        <item x="179"/>
        <item x="25"/>
        <item x="155"/>
        <item x="140"/>
        <item x="106"/>
        <item x="242"/>
        <item x="74"/>
        <item x="26"/>
        <item x="81"/>
        <item x="14"/>
        <item x="69"/>
        <item x="27"/>
        <item x="164"/>
        <item x="165"/>
        <item x="166"/>
        <item x="129"/>
        <item x="148"/>
        <item x="154"/>
        <item x="113"/>
        <item x="161"/>
        <item x="44"/>
        <item x="243"/>
        <item x="244"/>
        <item x="28"/>
        <item x="29"/>
        <item x="156"/>
        <item x="3"/>
        <item x="107"/>
        <item x="112"/>
        <item x="15"/>
        <item x="132"/>
        <item x="4"/>
        <item x="245"/>
        <item x="182"/>
        <item x="167"/>
        <item x="172"/>
        <item x="246"/>
        <item x="46"/>
        <item x="120"/>
        <item x="63"/>
        <item x="64"/>
        <item x="65"/>
        <item x="173"/>
        <item x="114"/>
        <item x="71"/>
        <item x="169"/>
        <item x="247"/>
        <item x="121"/>
        <item x="75"/>
        <item x="130"/>
        <item x="126"/>
        <item x="175"/>
        <item x="183"/>
        <item x="17"/>
        <item x="35"/>
        <item x="36"/>
        <item x="6"/>
        <item x="134"/>
        <item x="135"/>
        <item x="136"/>
        <item x="123"/>
        <item x="100"/>
        <item x="186"/>
        <item x="248"/>
        <item x="249"/>
        <item x="131"/>
        <item x="250"/>
        <item x="251"/>
        <item x="252"/>
        <item x="254"/>
        <item x="84"/>
        <item x="188"/>
        <item x="142"/>
        <item x="190"/>
        <item x="177"/>
        <item x="178"/>
        <item x="133"/>
        <item x="137"/>
        <item x="98"/>
        <item x="104"/>
        <item x="144"/>
        <item x="110"/>
        <item x="55"/>
        <item x="58"/>
        <item x="111"/>
        <item x="116"/>
        <item x="108"/>
        <item x="87"/>
        <item x="86"/>
        <item x="89"/>
        <item x="91"/>
        <item x="92"/>
        <item x="88"/>
        <item x="93"/>
        <item x="90"/>
        <item x="193"/>
        <item x="194"/>
        <item x="99"/>
        <item x="83"/>
        <item x="80"/>
        <item x="79"/>
        <item x="38"/>
        <item x="82"/>
        <item x="146"/>
        <item x="66"/>
        <item x="149"/>
        <item x="54"/>
        <item x="61"/>
        <item x="150"/>
        <item x="206"/>
        <item x="170"/>
        <item x="53"/>
        <item x="67"/>
        <item x="145"/>
        <item x="8"/>
        <item x="16"/>
        <item x="59"/>
        <item x="124"/>
        <item x="37"/>
        <item x="2"/>
        <item x="7"/>
        <item x="70"/>
        <item x="5"/>
        <item x="72"/>
        <item x="158"/>
        <item x="57"/>
        <item x="171"/>
        <item x="174"/>
        <item x="125"/>
        <item x="40"/>
        <item x="62"/>
        <item x="160"/>
        <item x="195"/>
        <item x="9"/>
        <item x="41"/>
        <item x="76"/>
        <item x="181"/>
        <item x="117"/>
        <item x="185"/>
        <item x="255"/>
        <item x="122"/>
        <item x="77"/>
        <item x="78"/>
        <item x="151"/>
        <item x="56"/>
        <item x="196"/>
        <item x="152"/>
        <item x="197"/>
        <item x="157"/>
        <item x="18"/>
        <item x="95"/>
        <item x="10"/>
        <item x="227"/>
        <item x="257"/>
        <item x="258"/>
        <item x="259"/>
        <item x="262"/>
        <item x="263"/>
        <item x="43"/>
        <item x="11"/>
        <item x="101"/>
        <item x="45"/>
        <item x="97"/>
        <item x="159"/>
        <item x="198"/>
        <item x="199"/>
        <item x="264"/>
        <item x="235"/>
        <item x="236"/>
        <item x="200"/>
        <item x="184"/>
        <item x="127"/>
        <item x="187"/>
        <item x="241"/>
        <item x="12"/>
        <item x="103"/>
        <item x="231"/>
        <item x="201"/>
        <item x="203"/>
        <item x="205"/>
        <item x="207"/>
        <item x="265"/>
        <item x="94"/>
        <item x="176"/>
        <item x="234"/>
        <item x="268"/>
        <item x="34"/>
        <item x="153"/>
        <item x="51"/>
        <item x="269"/>
        <item x="42"/>
        <item x="143"/>
        <item x="208"/>
        <item x="13"/>
        <item x="52"/>
        <item x="168"/>
        <item x="68"/>
        <item x="96"/>
        <item x="19"/>
        <item x="189"/>
        <item x="191"/>
        <item x="118"/>
        <item x="162"/>
        <item x="163"/>
        <item x="105"/>
        <item x="204"/>
        <item x="30"/>
        <item x="192"/>
        <item x="102"/>
        <item x="209"/>
        <item x="31"/>
        <item x="73"/>
        <item x="147"/>
        <item x="33"/>
        <item x="32"/>
        <item x="109"/>
        <item x="256"/>
        <item x="202"/>
        <item x="270"/>
        <item x="228"/>
        <item x="210"/>
        <item x="230"/>
        <item x="119"/>
        <item x="115"/>
        <item x="239"/>
        <item x="240"/>
        <item x="128"/>
        <item x="211"/>
        <item x="50"/>
        <item x="212"/>
        <item x="215"/>
        <item x="216"/>
        <item x="217"/>
        <item x="213"/>
        <item x="214"/>
        <item x="218"/>
        <item x="219"/>
        <item x="22"/>
        <item x="47"/>
        <item x="49"/>
        <item x="48"/>
        <item x="39"/>
        <item x="220"/>
        <item x="221"/>
        <item x="222"/>
        <item x="223"/>
        <item x="224"/>
        <item x="225"/>
        <item x="226"/>
        <item x="229"/>
        <item x="232"/>
        <item x="233"/>
        <item x="237"/>
        <item x="238"/>
        <item x="253"/>
        <item x="260"/>
        <item x="261"/>
        <item x="266"/>
        <item x="267"/>
        <item x="27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75">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r="1">
      <x v="240"/>
    </i>
    <i r="1">
      <x v="249"/>
    </i>
    <i r="1">
      <x v="250"/>
    </i>
    <i r="1">
      <x v="251"/>
    </i>
    <i r="1">
      <x v="252"/>
    </i>
    <i r="1">
      <x v="253"/>
    </i>
    <i>
      <x v="3"/>
      <x v="148"/>
    </i>
    <i r="1">
      <x v="232"/>
    </i>
    <i r="1">
      <x v="247"/>
    </i>
    <i>
      <x v="4"/>
      <x v="62"/>
    </i>
    <i>
      <x v="5"/>
      <x v="56"/>
    </i>
    <i>
      <x v="6"/>
      <x v="30"/>
    </i>
    <i r="1">
      <x v="31"/>
    </i>
    <i r="1">
      <x v="51"/>
    </i>
    <i r="1">
      <x v="52"/>
    </i>
    <i r="1">
      <x v="53"/>
    </i>
    <i r="1">
      <x v="116"/>
    </i>
    <i r="1">
      <x v="123"/>
    </i>
    <i r="1">
      <x v="124"/>
    </i>
    <i r="1">
      <x v="137"/>
    </i>
    <i r="1">
      <x v="208"/>
    </i>
    <i r="1">
      <x v="221"/>
    </i>
    <i r="1">
      <x v="239"/>
    </i>
    <i r="1">
      <x v="241"/>
    </i>
    <i r="1">
      <x v="244"/>
    </i>
    <i r="1">
      <x v="248"/>
    </i>
    <i r="1">
      <x v="271"/>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r="1">
      <x v="24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r="1">
      <x v="259"/>
    </i>
    <i r="1">
      <x v="260"/>
    </i>
    <i r="1">
      <x v="261"/>
    </i>
    <i r="1">
      <x v="262"/>
    </i>
    <i r="1">
      <x v="263"/>
    </i>
    <i r="1">
      <x v="264"/>
    </i>
    <i r="1">
      <x v="265"/>
    </i>
    <i r="1">
      <x v="266"/>
    </i>
    <i r="1">
      <x v="267"/>
    </i>
    <i r="1">
      <x v="268"/>
    </i>
    <i r="1">
      <x v="269"/>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r="1">
      <x v="242"/>
    </i>
    <i r="1">
      <x v="243"/>
    </i>
    <i>
      <x v="16"/>
      <x v="142"/>
    </i>
    <i r="1">
      <x v="143"/>
    </i>
    <i r="1">
      <x v="245"/>
    </i>
    <i r="1">
      <x v="254"/>
    </i>
    <i r="1">
      <x v="255"/>
    </i>
    <i r="1">
      <x v="256"/>
    </i>
    <i r="1">
      <x v="257"/>
    </i>
    <i r="1">
      <x v="258"/>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i>
      <x v="21"/>
      <x v="27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79" firstHeaderRow="1" firstDataRow="1" firstDataCol="2"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2"/>
        <item x="5"/>
        <item x="18"/>
        <item x="17"/>
        <item x="12"/>
        <item x="8"/>
        <item x="19"/>
        <item x="4"/>
        <item x="9"/>
        <item x="15"/>
        <item x="13"/>
        <item x="7"/>
        <item x="10"/>
        <item x="3"/>
        <item x="1"/>
        <item x="11"/>
        <item x="16"/>
        <item x="14"/>
        <item x="20"/>
        <item x="6"/>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5">
        <item x="204"/>
        <item x="199"/>
        <item x="208"/>
        <item x="206"/>
        <item x="210"/>
        <item x="201"/>
        <item x="202"/>
        <item x="193"/>
        <item x="203"/>
        <item x="168"/>
        <item x="169"/>
        <item x="167"/>
        <item x="176"/>
        <item x="186"/>
        <item x="178"/>
        <item x="191"/>
        <item x="16"/>
        <item x="170"/>
        <item x="175"/>
        <item x="196"/>
        <item x="197"/>
        <item x="211"/>
        <item x="205"/>
        <item x="198"/>
        <item x="262"/>
        <item x="266"/>
        <item x="251"/>
        <item x="246"/>
        <item x="254"/>
        <item x="265"/>
        <item x="253"/>
        <item x="261"/>
        <item x="258"/>
        <item x="33"/>
        <item x="34"/>
        <item x="35"/>
        <item x="268"/>
        <item x="271"/>
        <item x="257"/>
        <item x="255"/>
        <item x="267"/>
        <item x="14"/>
        <item x="15"/>
        <item x="43"/>
        <item x="124"/>
        <item x="45"/>
        <item x="11"/>
        <item x="47"/>
        <item x="6"/>
        <item x="0"/>
        <item x="8"/>
        <item x="4"/>
        <item x="13"/>
        <item x="9"/>
        <item x="12"/>
        <item x="152"/>
        <item x="56"/>
        <item x="57"/>
        <item x="58"/>
        <item x="234"/>
        <item x="61"/>
        <item x="145"/>
        <item x="136"/>
        <item x="134"/>
        <item x="230"/>
        <item x="111"/>
        <item x="238"/>
        <item x="239"/>
        <item x="138"/>
        <item x="139"/>
        <item x="137"/>
        <item x="155"/>
        <item x="162"/>
        <item x="73"/>
        <item x="237"/>
        <item x="119"/>
        <item x="117"/>
        <item x="120"/>
        <item x="130"/>
        <item x="79"/>
        <item x="80"/>
        <item x="81"/>
        <item x="82"/>
        <item x="83"/>
        <item x="84"/>
        <item x="85"/>
        <item x="86"/>
        <item x="39"/>
        <item x="88"/>
        <item x="89"/>
        <item x="90"/>
        <item x="91"/>
        <item x="92"/>
        <item x="93"/>
        <item x="94"/>
        <item x="95"/>
        <item x="96"/>
        <item x="97"/>
        <item x="98"/>
        <item x="42"/>
        <item x="100"/>
        <item x="53"/>
        <item x="102"/>
        <item x="103"/>
        <item x="104"/>
        <item x="27"/>
        <item x="106"/>
        <item x="273"/>
        <item x="245"/>
        <item x="109"/>
        <item x="247"/>
        <item x="272"/>
        <item x="112"/>
        <item x="113"/>
        <item x="252"/>
        <item x="259"/>
        <item x="249"/>
        <item x="135"/>
        <item x="132"/>
        <item x="160"/>
        <item x="78"/>
        <item x="76"/>
        <item x="154"/>
        <item x="107"/>
        <item x="101"/>
        <item x="147"/>
        <item x="126"/>
        <item x="127"/>
        <item x="128"/>
        <item x="129"/>
        <item x="133"/>
        <item x="29"/>
        <item x="250"/>
        <item x="125"/>
        <item x="71"/>
        <item x="260"/>
        <item x="200"/>
        <item x="3"/>
        <item x="37"/>
        <item x="22"/>
        <item x="26"/>
        <item x="141"/>
        <item x="142"/>
        <item x="143"/>
        <item x="144"/>
        <item x="28"/>
        <item x="146"/>
        <item x="24"/>
        <item x="148"/>
        <item x="149"/>
        <item x="21"/>
        <item x="151"/>
        <item x="36"/>
        <item x="44"/>
        <item x="46"/>
        <item x="52"/>
        <item x="156"/>
        <item x="157"/>
        <item x="158"/>
        <item x="159"/>
        <item x="25"/>
        <item x="30"/>
        <item x="41"/>
        <item x="10"/>
        <item x="1"/>
        <item x="18"/>
        <item x="17"/>
        <item x="54"/>
        <item x="140"/>
        <item x="77"/>
        <item x="123"/>
        <item x="171"/>
        <item x="172"/>
        <item x="173"/>
        <item x="174"/>
        <item x="244"/>
        <item x="248"/>
        <item x="177"/>
        <item x="19"/>
        <item x="179"/>
        <item x="180"/>
        <item x="181"/>
        <item x="182"/>
        <item x="183"/>
        <item x="62"/>
        <item x="185"/>
        <item x="87"/>
        <item x="187"/>
        <item x="188"/>
        <item x="189"/>
        <item x="190"/>
        <item x="99"/>
        <item x="192"/>
        <item x="20"/>
        <item x="194"/>
        <item x="121"/>
        <item x="108"/>
        <item x="31"/>
        <item x="2"/>
        <item x="5"/>
        <item x="7"/>
        <item x="38"/>
        <item x="153"/>
        <item x="55"/>
        <item x="59"/>
        <item x="60"/>
        <item x="110"/>
        <item x="161"/>
        <item x="63"/>
        <item x="64"/>
        <item x="65"/>
        <item x="66"/>
        <item x="67"/>
        <item x="68"/>
        <item x="69"/>
        <item x="70"/>
        <item x="115"/>
        <item x="72"/>
        <item x="74"/>
        <item x="184"/>
        <item x="114"/>
        <item x="163"/>
        <item x="116"/>
        <item x="164"/>
        <item x="165"/>
        <item x="166"/>
        <item x="195"/>
        <item x="207"/>
        <item x="105"/>
        <item x="212"/>
        <item x="32"/>
        <item x="75"/>
        <item x="150"/>
        <item x="213"/>
        <item x="231"/>
        <item x="233"/>
        <item x="122"/>
        <item x="118"/>
        <item x="242"/>
        <item x="243"/>
        <item x="131"/>
        <item x="214"/>
        <item x="51"/>
        <item x="209"/>
        <item x="215"/>
        <item x="216"/>
        <item x="217"/>
        <item x="218"/>
        <item x="219"/>
        <item x="220"/>
        <item x="221"/>
        <item x="222"/>
        <item x="23"/>
        <item x="48"/>
        <item x="50"/>
        <item x="49"/>
        <item x="40"/>
        <item x="223"/>
        <item x="224"/>
        <item x="225"/>
        <item x="226"/>
        <item x="227"/>
        <item x="228"/>
        <item x="229"/>
        <item x="232"/>
        <item x="235"/>
        <item x="236"/>
        <item x="240"/>
        <item x="241"/>
        <item x="256"/>
        <item x="263"/>
        <item x="264"/>
        <item x="269"/>
        <item x="270"/>
        <item x="2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2"/>
        <item x="0"/>
        <item x="1"/>
        <item x="4"/>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75">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2"/>
    </i>
    <i>
      <x v="220"/>
      <x v="1"/>
    </i>
    <i>
      <x v="221"/>
      <x v="2"/>
    </i>
    <i>
      <x v="222"/>
      <x v="1"/>
    </i>
    <i>
      <x v="223"/>
      <x v="1"/>
    </i>
    <i>
      <x v="224"/>
      <x v="1"/>
    </i>
    <i>
      <x v="225"/>
      <x v="1"/>
    </i>
    <i>
      <x v="226"/>
      <x v="1"/>
    </i>
    <i>
      <x v="227"/>
      <x v="1"/>
    </i>
    <i>
      <x v="228"/>
      <x v="1"/>
    </i>
    <i>
      <x v="229"/>
      <x v="1"/>
    </i>
    <i>
      <x v="230"/>
      <x v="1"/>
    </i>
    <i>
      <x v="231"/>
      <x v="2"/>
    </i>
    <i>
      <x v="232"/>
      <x v="2"/>
    </i>
    <i>
      <x v="233"/>
      <x v="1"/>
    </i>
    <i>
      <x v="234"/>
      <x v="1"/>
    </i>
    <i>
      <x v="235"/>
      <x v="2"/>
    </i>
    <i>
      <x v="236"/>
      <x v="1"/>
    </i>
    <i>
      <x v="237"/>
      <x v="1"/>
    </i>
    <i>
      <x v="238"/>
      <x v="1"/>
    </i>
    <i>
      <x v="239"/>
      <x v="1"/>
    </i>
    <i>
      <x v="240"/>
      <x/>
    </i>
    <i>
      <x v="241"/>
      <x v="1"/>
    </i>
    <i>
      <x v="242"/>
      <x v="1"/>
    </i>
    <i>
      <x v="243"/>
      <x v="1"/>
    </i>
    <i>
      <x v="244"/>
      <x v="1"/>
    </i>
    <i>
      <x v="245"/>
      <x v="1"/>
    </i>
    <i>
      <x v="246"/>
      <x v="1"/>
    </i>
    <i>
      <x v="247"/>
      <x v="1"/>
    </i>
    <i>
      <x v="248"/>
      <x v="1"/>
    </i>
    <i>
      <x v="249"/>
      <x v="1"/>
    </i>
    <i>
      <x v="250"/>
      <x v="1"/>
    </i>
    <i>
      <x v="251"/>
      <x v="1"/>
    </i>
    <i>
      <x v="252"/>
      <x v="1"/>
    </i>
    <i>
      <x v="253"/>
      <x v="1"/>
    </i>
    <i>
      <x v="254"/>
      <x v="1"/>
    </i>
    <i>
      <x v="255"/>
      <x v="1"/>
    </i>
    <i>
      <x v="256"/>
      <x v="1"/>
    </i>
    <i>
      <x v="257"/>
      <x v="1"/>
    </i>
    <i>
      <x v="258"/>
      <x v="1"/>
    </i>
    <i>
      <x v="259"/>
      <x v="1"/>
    </i>
    <i>
      <x v="260"/>
      <x v="1"/>
    </i>
    <i>
      <x v="261"/>
      <x v="1"/>
    </i>
    <i>
      <x v="262"/>
      <x v="1"/>
    </i>
    <i>
      <x v="263"/>
      <x v="1"/>
    </i>
    <i>
      <x v="264"/>
      <x v="1"/>
    </i>
    <i>
      <x v="265"/>
      <x v="1"/>
    </i>
    <i>
      <x v="266"/>
      <x v="1"/>
    </i>
    <i>
      <x v="267"/>
      <x v="1"/>
    </i>
    <i>
      <x v="268"/>
      <x v="1"/>
    </i>
    <i>
      <x v="269"/>
      <x v="1"/>
    </i>
    <i>
      <x v="270"/>
      <x v="1"/>
    </i>
    <i>
      <x v="271"/>
      <x v="1"/>
    </i>
    <i>
      <x v="272"/>
      <x v="1"/>
    </i>
    <i>
      <x v="273"/>
      <x v="1"/>
    </i>
    <i>
      <x v="274"/>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78" firstHeaderRow="0" firstDataRow="1" firstDataCol="4"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0"/>
        <item x="2"/>
        <item x="5"/>
        <item x="18"/>
        <item x="17"/>
        <item x="12"/>
        <item x="8"/>
        <item x="19"/>
        <item x="4"/>
        <item x="9"/>
        <item x="15"/>
        <item x="13"/>
        <item x="7"/>
        <item x="10"/>
        <item x="3"/>
        <item x="1"/>
        <item x="11"/>
        <item x="16"/>
        <item x="14"/>
        <item x="20"/>
        <item x="6"/>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139"/>
        <item x="20"/>
        <item x="21"/>
        <item x="0"/>
        <item x="23"/>
        <item x="24"/>
        <item x="141"/>
        <item x="1"/>
        <item x="138"/>
        <item x="85"/>
        <item x="180"/>
        <item x="60"/>
        <item x="179"/>
        <item x="25"/>
        <item x="155"/>
        <item x="140"/>
        <item x="106"/>
        <item x="242"/>
        <item x="74"/>
        <item x="26"/>
        <item x="81"/>
        <item x="14"/>
        <item x="69"/>
        <item x="27"/>
        <item x="164"/>
        <item x="165"/>
        <item x="166"/>
        <item x="129"/>
        <item x="148"/>
        <item x="154"/>
        <item x="113"/>
        <item x="161"/>
        <item x="44"/>
        <item x="243"/>
        <item x="244"/>
        <item x="28"/>
        <item x="29"/>
        <item x="156"/>
        <item x="3"/>
        <item x="107"/>
        <item x="112"/>
        <item x="15"/>
        <item x="132"/>
        <item x="4"/>
        <item x="245"/>
        <item x="182"/>
        <item x="167"/>
        <item x="172"/>
        <item x="246"/>
        <item x="46"/>
        <item x="120"/>
        <item x="63"/>
        <item x="64"/>
        <item x="65"/>
        <item x="173"/>
        <item x="114"/>
        <item x="71"/>
        <item x="169"/>
        <item x="247"/>
        <item x="121"/>
        <item x="75"/>
        <item x="130"/>
        <item x="126"/>
        <item x="175"/>
        <item x="183"/>
        <item x="17"/>
        <item x="35"/>
        <item x="36"/>
        <item x="6"/>
        <item x="134"/>
        <item x="135"/>
        <item x="136"/>
        <item x="123"/>
        <item x="100"/>
        <item x="186"/>
        <item x="248"/>
        <item x="249"/>
        <item x="131"/>
        <item x="250"/>
        <item x="251"/>
        <item x="252"/>
        <item x="254"/>
        <item x="84"/>
        <item x="188"/>
        <item x="142"/>
        <item x="190"/>
        <item x="177"/>
        <item x="178"/>
        <item x="133"/>
        <item x="137"/>
        <item x="98"/>
        <item x="104"/>
        <item x="144"/>
        <item x="110"/>
        <item x="55"/>
        <item x="58"/>
        <item x="111"/>
        <item x="116"/>
        <item x="108"/>
        <item x="87"/>
        <item x="86"/>
        <item x="89"/>
        <item x="91"/>
        <item x="92"/>
        <item x="88"/>
        <item x="93"/>
        <item x="90"/>
        <item x="193"/>
        <item x="194"/>
        <item x="99"/>
        <item x="83"/>
        <item x="80"/>
        <item x="79"/>
        <item x="38"/>
        <item x="82"/>
        <item x="146"/>
        <item x="66"/>
        <item x="149"/>
        <item x="54"/>
        <item x="61"/>
        <item x="150"/>
        <item x="206"/>
        <item x="170"/>
        <item x="53"/>
        <item x="67"/>
        <item x="145"/>
        <item x="8"/>
        <item x="16"/>
        <item x="59"/>
        <item x="124"/>
        <item x="37"/>
        <item x="2"/>
        <item x="7"/>
        <item x="70"/>
        <item x="5"/>
        <item x="72"/>
        <item x="158"/>
        <item x="57"/>
        <item x="171"/>
        <item x="174"/>
        <item x="125"/>
        <item x="40"/>
        <item x="62"/>
        <item x="160"/>
        <item x="195"/>
        <item x="9"/>
        <item x="41"/>
        <item x="76"/>
        <item x="181"/>
        <item x="117"/>
        <item x="185"/>
        <item x="255"/>
        <item x="122"/>
        <item x="77"/>
        <item x="78"/>
        <item x="151"/>
        <item x="56"/>
        <item x="196"/>
        <item x="152"/>
        <item x="197"/>
        <item x="157"/>
        <item x="18"/>
        <item x="95"/>
        <item x="10"/>
        <item x="227"/>
        <item x="257"/>
        <item x="258"/>
        <item x="259"/>
        <item x="262"/>
        <item x="263"/>
        <item x="43"/>
        <item x="11"/>
        <item x="101"/>
        <item x="45"/>
        <item x="97"/>
        <item x="159"/>
        <item x="198"/>
        <item x="199"/>
        <item x="264"/>
        <item x="235"/>
        <item x="236"/>
        <item x="200"/>
        <item x="184"/>
        <item x="127"/>
        <item x="187"/>
        <item x="241"/>
        <item x="12"/>
        <item x="103"/>
        <item x="231"/>
        <item x="201"/>
        <item x="203"/>
        <item x="205"/>
        <item x="207"/>
        <item x="265"/>
        <item x="94"/>
        <item x="176"/>
        <item x="234"/>
        <item x="268"/>
        <item x="34"/>
        <item x="153"/>
        <item x="51"/>
        <item x="269"/>
        <item x="42"/>
        <item x="143"/>
        <item x="208"/>
        <item x="13"/>
        <item x="52"/>
        <item x="168"/>
        <item x="68"/>
        <item x="96"/>
        <item x="19"/>
        <item x="189"/>
        <item x="191"/>
        <item x="118"/>
        <item x="162"/>
        <item x="163"/>
        <item x="105"/>
        <item x="204"/>
        <item x="30"/>
        <item x="192"/>
        <item x="102"/>
        <item x="209"/>
        <item x="31"/>
        <item x="73"/>
        <item x="147"/>
        <item x="33"/>
        <item x="32"/>
        <item x="109"/>
        <item x="256"/>
        <item x="202"/>
        <item x="270"/>
        <item x="228"/>
        <item x="210"/>
        <item x="230"/>
        <item x="119"/>
        <item x="115"/>
        <item x="239"/>
        <item x="240"/>
        <item x="128"/>
        <item x="211"/>
        <item x="50"/>
        <item x="212"/>
        <item x="215"/>
        <item x="216"/>
        <item x="217"/>
        <item x="213"/>
        <item x="214"/>
        <item x="218"/>
        <item x="219"/>
        <item x="22"/>
        <item x="47"/>
        <item x="49"/>
        <item x="48"/>
        <item x="39"/>
        <item x="220"/>
        <item x="221"/>
        <item x="222"/>
        <item x="223"/>
        <item x="224"/>
        <item x="225"/>
        <item x="226"/>
        <item x="229"/>
        <item x="232"/>
        <item x="233"/>
        <item x="237"/>
        <item x="238"/>
        <item x="253"/>
        <item x="260"/>
        <item x="261"/>
        <item x="266"/>
        <item x="267"/>
        <item x="271"/>
      </items>
      <extLst>
        <ext xmlns:x14="http://schemas.microsoft.com/office/spreadsheetml/2009/9/main" uri="{2946ED86-A175-432a-8AC1-64E0C546D7DE}">
          <x14:pivotField fillDownLabels="1"/>
        </ext>
      </extLst>
    </pivotField>
    <pivotField axis="axisRow" compact="0" outline="0" showAll="0" defaultSubtotal="0">
      <items count="275">
        <item x="204"/>
        <item x="199"/>
        <item x="208"/>
        <item x="206"/>
        <item x="210"/>
        <item x="201"/>
        <item x="202"/>
        <item x="193"/>
        <item x="203"/>
        <item x="168"/>
        <item x="169"/>
        <item x="167"/>
        <item x="176"/>
        <item x="186"/>
        <item x="178"/>
        <item x="191"/>
        <item x="16"/>
        <item x="170"/>
        <item x="175"/>
        <item x="196"/>
        <item x="197"/>
        <item x="211"/>
        <item x="205"/>
        <item x="198"/>
        <item x="262"/>
        <item x="266"/>
        <item x="251"/>
        <item x="246"/>
        <item x="254"/>
        <item x="265"/>
        <item x="253"/>
        <item x="261"/>
        <item x="258"/>
        <item x="33"/>
        <item x="34"/>
        <item x="35"/>
        <item x="268"/>
        <item x="271"/>
        <item x="257"/>
        <item x="255"/>
        <item x="267"/>
        <item x="14"/>
        <item x="15"/>
        <item x="43"/>
        <item x="124"/>
        <item x="45"/>
        <item x="11"/>
        <item x="47"/>
        <item x="6"/>
        <item x="0"/>
        <item x="8"/>
        <item x="4"/>
        <item x="13"/>
        <item x="9"/>
        <item x="12"/>
        <item x="152"/>
        <item x="56"/>
        <item x="57"/>
        <item x="58"/>
        <item x="234"/>
        <item x="61"/>
        <item x="145"/>
        <item x="136"/>
        <item x="134"/>
        <item x="230"/>
        <item x="111"/>
        <item x="238"/>
        <item x="239"/>
        <item x="138"/>
        <item x="139"/>
        <item x="137"/>
        <item x="155"/>
        <item x="162"/>
        <item x="73"/>
        <item x="237"/>
        <item x="119"/>
        <item x="117"/>
        <item x="120"/>
        <item x="130"/>
        <item x="79"/>
        <item x="80"/>
        <item x="81"/>
        <item x="82"/>
        <item x="83"/>
        <item x="84"/>
        <item x="85"/>
        <item x="86"/>
        <item x="39"/>
        <item x="88"/>
        <item x="89"/>
        <item x="90"/>
        <item x="91"/>
        <item x="92"/>
        <item x="93"/>
        <item x="94"/>
        <item x="95"/>
        <item x="96"/>
        <item x="97"/>
        <item x="98"/>
        <item x="42"/>
        <item x="100"/>
        <item x="53"/>
        <item x="102"/>
        <item x="103"/>
        <item x="104"/>
        <item x="27"/>
        <item x="106"/>
        <item x="273"/>
        <item x="245"/>
        <item x="109"/>
        <item x="247"/>
        <item x="272"/>
        <item x="112"/>
        <item x="113"/>
        <item x="252"/>
        <item x="259"/>
        <item x="249"/>
        <item x="135"/>
        <item x="132"/>
        <item x="160"/>
        <item x="78"/>
        <item x="76"/>
        <item x="154"/>
        <item x="107"/>
        <item x="101"/>
        <item x="147"/>
        <item x="126"/>
        <item x="127"/>
        <item x="128"/>
        <item x="129"/>
        <item x="133"/>
        <item x="29"/>
        <item x="250"/>
        <item x="125"/>
        <item x="71"/>
        <item x="260"/>
        <item x="200"/>
        <item x="3"/>
        <item x="37"/>
        <item x="22"/>
        <item x="26"/>
        <item x="141"/>
        <item x="142"/>
        <item x="143"/>
        <item x="144"/>
        <item x="28"/>
        <item x="146"/>
        <item x="24"/>
        <item x="148"/>
        <item x="149"/>
        <item x="21"/>
        <item x="151"/>
        <item x="36"/>
        <item x="44"/>
        <item x="46"/>
        <item x="52"/>
        <item x="156"/>
        <item x="157"/>
        <item x="158"/>
        <item x="159"/>
        <item x="25"/>
        <item x="30"/>
        <item x="41"/>
        <item x="10"/>
        <item x="1"/>
        <item x="18"/>
        <item x="17"/>
        <item x="54"/>
        <item x="140"/>
        <item x="77"/>
        <item x="123"/>
        <item x="171"/>
        <item x="172"/>
        <item x="173"/>
        <item x="174"/>
        <item x="244"/>
        <item x="248"/>
        <item x="177"/>
        <item x="19"/>
        <item x="179"/>
        <item x="180"/>
        <item x="181"/>
        <item x="182"/>
        <item x="183"/>
        <item x="62"/>
        <item x="185"/>
        <item x="87"/>
        <item x="187"/>
        <item x="188"/>
        <item x="189"/>
        <item x="190"/>
        <item x="2"/>
        <item x="5"/>
        <item x="7"/>
        <item x="38"/>
        <item x="153"/>
        <item x="55"/>
        <item x="59"/>
        <item x="60"/>
        <item x="110"/>
        <item x="161"/>
        <item x="63"/>
        <item x="64"/>
        <item x="65"/>
        <item x="66"/>
        <item x="67"/>
        <item x="68"/>
        <item x="69"/>
        <item x="70"/>
        <item x="115"/>
        <item x="72"/>
        <item x="74"/>
        <item x="184"/>
        <item x="114"/>
        <item x="163"/>
        <item x="116"/>
        <item x="164"/>
        <item x="99"/>
        <item x="192"/>
        <item x="20"/>
        <item x="194"/>
        <item x="121"/>
        <item x="165"/>
        <item x="166"/>
        <item x="195"/>
        <item x="108"/>
        <item x="207"/>
        <item x="31"/>
        <item x="105"/>
        <item x="212"/>
        <item x="32"/>
        <item x="75"/>
        <item x="150"/>
        <item x="213"/>
        <item x="231"/>
        <item x="233"/>
        <item x="122"/>
        <item x="118"/>
        <item x="242"/>
        <item x="243"/>
        <item x="131"/>
        <item x="214"/>
        <item x="51"/>
        <item x="209"/>
        <item x="215"/>
        <item x="216"/>
        <item x="217"/>
        <item x="218"/>
        <item x="219"/>
        <item x="220"/>
        <item x="221"/>
        <item x="222"/>
        <item x="23"/>
        <item x="48"/>
        <item x="50"/>
        <item x="49"/>
        <item x="40"/>
        <item x="223"/>
        <item x="224"/>
        <item x="225"/>
        <item x="226"/>
        <item x="227"/>
        <item x="228"/>
        <item x="229"/>
        <item x="232"/>
        <item x="235"/>
        <item x="236"/>
        <item x="240"/>
        <item x="241"/>
        <item x="256"/>
        <item x="263"/>
        <item x="264"/>
        <item x="269"/>
        <item x="270"/>
        <item x="2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75">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33"/>
      <x v="10"/>
      <x v="15"/>
    </i>
    <i>
      <x v="211"/>
      <x v="135"/>
      <x v="5"/>
      <x v="13"/>
    </i>
    <i>
      <x v="212"/>
      <x v="148"/>
      <x v="3"/>
      <x v="3"/>
    </i>
    <i>
      <x v="213"/>
      <x v="96"/>
      <x v="5"/>
      <x v="9"/>
    </i>
    <i>
      <x v="214"/>
      <x v="143"/>
      <x v="5"/>
      <x v="16"/>
    </i>
    <i>
      <x v="215"/>
      <x v="30"/>
      <x v="6"/>
      <x v="6"/>
    </i>
    <i>
      <x v="216"/>
      <x v="31"/>
      <x v="6"/>
      <x v="6"/>
    </i>
    <i>
      <x v="217"/>
      <x v="209"/>
      <x v="7"/>
      <x v="8"/>
    </i>
    <i>
      <x v="218"/>
      <x v="211"/>
      <x/>
      <x/>
    </i>
    <i>
      <x v="219"/>
      <x v="210"/>
      <x v="1"/>
      <x v="1"/>
    </i>
    <i>
      <x v="220"/>
      <x v="212"/>
      <x v="7"/>
      <x v="8"/>
    </i>
    <i>
      <x v="221"/>
      <x v="213"/>
      <x v="5"/>
      <x v="17"/>
    </i>
    <i>
      <x v="222"/>
      <x v="214"/>
      <x v="5"/>
      <x v="13"/>
    </i>
    <i>
      <x v="223"/>
      <x v="215"/>
      <x v="10"/>
      <x v="15"/>
    </i>
    <i>
      <x v="224"/>
      <x v="219"/>
      <x v="10"/>
      <x v="15"/>
    </i>
    <i>
      <x v="225"/>
      <x v="216"/>
      <x v="7"/>
      <x v="8"/>
    </i>
    <i>
      <x v="226"/>
      <x v="217"/>
      <x v="5"/>
      <x v="13"/>
    </i>
    <i>
      <x v="227"/>
      <x v="218"/>
      <x v="2"/>
      <x v="2"/>
    </i>
    <i>
      <x v="228"/>
      <x v="220"/>
      <x v="7"/>
      <x v="8"/>
    </i>
    <i>
      <x v="229"/>
      <x v="221"/>
      <x v="6"/>
      <x v="6"/>
    </i>
    <i>
      <x v="230"/>
      <x v="222"/>
      <x v="2"/>
      <x v="2"/>
    </i>
    <i>
      <x v="231"/>
      <x v="223"/>
      <x v="5"/>
      <x v="11"/>
    </i>
    <i>
      <x v="232"/>
      <x v="224"/>
      <x v="5"/>
      <x v="11"/>
    </i>
    <i>
      <x v="233"/>
      <x v="232"/>
      <x v="3"/>
      <x v="3"/>
    </i>
    <i>
      <x v="234"/>
      <x v="231"/>
      <x v="5"/>
      <x v="17"/>
    </i>
    <i>
      <x v="235"/>
      <x v="233"/>
      <x v="5"/>
      <x v="10"/>
    </i>
    <i>
      <x v="236"/>
      <x v="234"/>
      <x v="5"/>
      <x v="10"/>
    </i>
    <i>
      <x v="237"/>
      <x v="235"/>
      <x v="5"/>
      <x v="10"/>
    </i>
    <i>
      <x v="238"/>
      <x v="236"/>
      <x v="5"/>
      <x v="19"/>
    </i>
    <i>
      <x v="239"/>
      <x v="237"/>
      <x v="5"/>
      <x v="19"/>
    </i>
    <i>
      <x v="240"/>
      <x v="238"/>
      <x v="8"/>
      <x v="12"/>
    </i>
    <i>
      <x v="241"/>
      <x v="239"/>
      <x v="6"/>
      <x v="6"/>
    </i>
    <i>
      <x v="242"/>
      <x v="240"/>
      <x v="2"/>
      <x v="2"/>
    </i>
    <i>
      <x v="243"/>
      <x v="121"/>
      <x v="7"/>
      <x v="8"/>
    </i>
    <i>
      <x v="244"/>
      <x v="241"/>
      <x v="6"/>
      <x v="6"/>
    </i>
    <i>
      <x v="245"/>
      <x v="245"/>
      <x v="5"/>
      <x v="16"/>
    </i>
    <i>
      <x v="246"/>
      <x v="246"/>
      <x v="5"/>
      <x v="9"/>
    </i>
    <i>
      <x v="247"/>
      <x v="242"/>
      <x v="10"/>
      <x v="15"/>
    </i>
    <i>
      <x v="248"/>
      <x v="243"/>
      <x v="10"/>
      <x v="15"/>
    </i>
    <i>
      <x v="249"/>
      <x v="244"/>
      <x v="6"/>
      <x v="6"/>
    </i>
    <i>
      <x v="250"/>
      <x v="247"/>
      <x v="3"/>
      <x v="3"/>
    </i>
    <i>
      <x v="251"/>
      <x v="248"/>
      <x v="6"/>
      <x v="6"/>
    </i>
    <i>
      <x v="252"/>
      <x v="249"/>
      <x v="2"/>
      <x v="2"/>
    </i>
    <i>
      <x v="253"/>
      <x v="250"/>
      <x v="2"/>
      <x v="2"/>
    </i>
    <i>
      <x v="254"/>
      <x v="251"/>
      <x v="2"/>
      <x v="2"/>
    </i>
    <i>
      <x v="255"/>
      <x v="252"/>
      <x v="2"/>
      <x v="2"/>
    </i>
    <i>
      <x v="256"/>
      <x v="253"/>
      <x v="2"/>
      <x v="2"/>
    </i>
    <i>
      <x v="257"/>
      <x v="254"/>
      <x v="5"/>
      <x v="16"/>
    </i>
    <i>
      <x v="258"/>
      <x v="255"/>
      <x v="5"/>
      <x v="16"/>
    </i>
    <i>
      <x v="259"/>
      <x v="256"/>
      <x v="5"/>
      <x v="16"/>
    </i>
    <i>
      <x v="260"/>
      <x v="257"/>
      <x v="5"/>
      <x v="16"/>
    </i>
    <i>
      <x v="261"/>
      <x v="258"/>
      <x v="5"/>
      <x v="16"/>
    </i>
    <i>
      <x v="262"/>
      <x v="259"/>
      <x v="5"/>
      <x v="13"/>
    </i>
    <i>
      <x v="263"/>
      <x v="260"/>
      <x v="5"/>
      <x v="13"/>
    </i>
    <i>
      <x v="264"/>
      <x v="261"/>
      <x v="5"/>
      <x v="13"/>
    </i>
    <i>
      <x v="265"/>
      <x v="262"/>
      <x v="5"/>
      <x v="13"/>
    </i>
    <i>
      <x v="266"/>
      <x v="263"/>
      <x v="5"/>
      <x v="13"/>
    </i>
    <i>
      <x v="267"/>
      <x v="264"/>
      <x v="5"/>
      <x v="13"/>
    </i>
    <i>
      <x v="268"/>
      <x v="265"/>
      <x v="5"/>
      <x v="13"/>
    </i>
    <i>
      <x v="269"/>
      <x v="266"/>
      <x v="5"/>
      <x v="13"/>
    </i>
    <i>
      <x v="270"/>
      <x v="267"/>
      <x v="5"/>
      <x v="13"/>
    </i>
    <i>
      <x v="271"/>
      <x v="268"/>
      <x v="5"/>
      <x v="13"/>
    </i>
    <i>
      <x v="272"/>
      <x v="269"/>
      <x v="5"/>
      <x v="13"/>
    </i>
    <i>
      <x v="273"/>
      <x v="270"/>
      <x v="12"/>
      <x v="21"/>
    </i>
    <i>
      <x v="274"/>
      <x v="271"/>
      <x v="6"/>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84:B102" firstHeaderRow="1" firstDataRow="1" firstDataCol="1" rowPageCount="1" colPageCount="1"/>
  <pivotFields count="23">
    <pivotField showAll="0" defaultSubtotal="0"/>
    <pivotField axis="axisRow" showAll="0">
      <items count="18">
        <item x="2"/>
        <item x="0"/>
        <item x="3"/>
        <item x="6"/>
        <item x="10"/>
        <item x="12"/>
        <item x="5"/>
        <item x="7"/>
        <item x="4"/>
        <item x="16"/>
        <item x="8"/>
        <item x="9"/>
        <item x="11"/>
        <item x="14"/>
        <item x="13"/>
        <item x="15"/>
        <item x="1"/>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77">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4:I102" firstHeaderRow="1" firstDataRow="1" firstDataCol="1" rowPageCount="1" colPageCount="1"/>
  <pivotFields count="23">
    <pivotField showAll="0" defaultSubtotal="0"/>
    <pivotField axis="axisRow" showAll="0">
      <items count="18">
        <item x="2"/>
        <item x="0"/>
        <item x="3"/>
        <item x="6"/>
        <item x="10"/>
        <item x="12"/>
        <item x="5"/>
        <item x="7"/>
        <item x="4"/>
        <item x="16"/>
        <item x="8"/>
        <item x="9"/>
        <item x="11"/>
        <item x="14"/>
        <item x="13"/>
        <item x="15"/>
        <item x="1"/>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7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E7:F22" firstHeaderRow="1" firstDataRow="1" firstDataCol="1" rowPageCount="1" colPageCount="1"/>
  <pivotFields count="23">
    <pivotField showAll="0" defaultSubtotal="0"/>
    <pivotField axis="axisRow" showAll="0" sortType="ascending">
      <items count="18">
        <item h="1" x="9"/>
        <item x="12"/>
        <item x="7"/>
        <item x="14"/>
        <item x="15"/>
        <item x="2"/>
        <item x="13"/>
        <item x="10"/>
        <item x="4"/>
        <item x="5"/>
        <item x="16"/>
        <item x="6"/>
        <item x="0"/>
        <item h="1" x="1"/>
        <item x="3"/>
        <item x="8"/>
        <item h="1" x="11"/>
        <item t="default"/>
      </items>
    </pivotField>
    <pivotField showAll="0" defaultSubtotal="0"/>
    <pivotField axis="axisPage" multipleItemSelectionAllowed="1" showAll="0">
      <items count="3">
        <item x="0"/>
        <item x="1"/>
        <item t="default"/>
      </items>
    </pivotField>
    <pivotField showAll="0" sortType="ascending">
      <items count="18">
        <item x="1"/>
        <item h="1" x="7"/>
        <item h="1" x="2"/>
        <item h="1" x="12"/>
        <item h="1" x="5"/>
        <item x="3"/>
        <item x="13"/>
        <item x="10"/>
        <item x="15"/>
        <item x="4"/>
        <item h="1" x="11"/>
        <item x="0"/>
        <item x="8"/>
        <item x="14"/>
        <item h="1" x="9"/>
        <item x="16"/>
        <item x="6"/>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Items count="1">
    <i/>
  </colItems>
  <pageFields count="1">
    <pageField fld="3" hier="-1"/>
  </pageFields>
  <dataFields count="1">
    <dataField name="Sum of HH Covered" fld="15" baseField="0" baseItem="0"/>
  </dataFields>
  <formats count="8">
    <format dxfId="1345">
      <pivotArea field="4" type="button" dataOnly="0" labelOnly="1" outline="0"/>
    </format>
    <format dxfId="1344">
      <pivotArea field="4" type="button" dataOnly="0" labelOnly="1" outline="0"/>
    </format>
    <format dxfId="1343">
      <pivotArea outline="0" collapsedLevelsAreSubtotals="1" fieldPosition="0"/>
    </format>
    <format dxfId="1342">
      <pivotArea type="all" dataOnly="0" outline="0" fieldPosition="0"/>
    </format>
    <format dxfId="1341">
      <pivotArea field="1" type="button" dataOnly="0" labelOnly="1" outline="0" axis="axisRow" fieldPosition="0"/>
    </format>
    <format dxfId="1340">
      <pivotArea dataOnly="0" labelOnly="1" outline="0" axis="axisValues" fieldPosition="0"/>
    </format>
    <format dxfId="1339">
      <pivotArea collapsedLevelsAreSubtotals="1" fieldPosition="0">
        <references count="1">
          <reference field="1" count="0"/>
        </references>
      </pivotArea>
    </format>
    <format dxfId="1338">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8">
        <item h="1" x="9"/>
        <item x="12"/>
        <item x="7"/>
        <item x="14"/>
        <item x="15"/>
        <item x="2"/>
        <item x="13"/>
        <item x="10"/>
        <item x="4"/>
        <item x="5"/>
        <item x="16"/>
        <item x="6"/>
        <item x="0"/>
        <item h="1" x="1"/>
        <item x="3"/>
        <item x="8"/>
        <item h="1" x="11"/>
        <item t="default"/>
      </items>
    </pivotField>
    <pivotField showAll="0" defaultSubtotal="0"/>
    <pivotField axis="axisPage" multipleItemSelectionAllowed="1" showAll="0">
      <items count="3">
        <item x="0"/>
        <item x="1"/>
        <item t="default"/>
      </items>
    </pivotField>
    <pivotField showAll="0" sortType="ascending">
      <items count="18">
        <item x="1"/>
        <item x="7"/>
        <item x="2"/>
        <item x="12"/>
        <item x="5"/>
        <item x="3"/>
        <item x="13"/>
        <item x="10"/>
        <item x="15"/>
        <item x="4"/>
        <item x="11"/>
        <item x="0"/>
        <item x="8"/>
        <item x="14"/>
        <item x="9"/>
        <item x="16"/>
        <item x="6"/>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1358">
      <pivotArea field="4" type="button" dataOnly="0" labelOnly="1" outline="0"/>
    </format>
    <format dxfId="1357">
      <pivotArea field="4" type="button" dataOnly="0" labelOnly="1" outline="0"/>
    </format>
    <format dxfId="1356">
      <pivotArea outline="0" collapsedLevelsAreSubtotals="1" fieldPosition="0"/>
    </format>
    <format dxfId="1355">
      <pivotArea field="3" type="button" dataOnly="0" labelOnly="1" outline="0" axis="axisPage" fieldPosition="0"/>
    </format>
    <format dxfId="1354">
      <pivotArea dataOnly="0" labelOnly="1" outline="0" fieldPosition="0">
        <references count="1">
          <reference field="3" count="0"/>
        </references>
      </pivotArea>
    </format>
    <format dxfId="1353">
      <pivotArea field="3" type="button" dataOnly="0" labelOnly="1" outline="0" axis="axisPage" fieldPosition="0"/>
    </format>
    <format dxfId="1352">
      <pivotArea dataOnly="0" labelOnly="1" outline="0" fieldPosition="0">
        <references count="1">
          <reference field="3" count="0"/>
        </references>
      </pivotArea>
    </format>
    <format dxfId="1351">
      <pivotArea type="all" dataOnly="0" outline="0" fieldPosition="0"/>
    </format>
    <format dxfId="1350">
      <pivotArea field="1" type="button" dataOnly="0" labelOnly="1" outline="0" axis="axisRow" fieldPosition="0"/>
    </format>
    <format dxfId="1349">
      <pivotArea collapsedLevelsAreSubtotals="1" fieldPosition="0">
        <references count="1">
          <reference field="1" count="0"/>
        </references>
      </pivotArea>
    </format>
    <format dxfId="1348">
      <pivotArea dataOnly="0" labelOnly="1" fieldPosition="0">
        <references count="1">
          <reference field="1" count="0"/>
        </references>
      </pivotArea>
    </format>
    <format dxfId="1347">
      <pivotArea grandRow="1" outline="0" collapsedLevelsAreSubtotals="1" fieldPosition="0"/>
    </format>
    <format dxfId="134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1"/>
        <item h="1" x="7"/>
        <item h="1" x="2"/>
        <item h="1" x="12"/>
        <item h="1" x="5"/>
        <item h="1" x="3"/>
        <item h="1" x="13"/>
        <item h="1" x="10"/>
        <item h="1" x="15"/>
        <item h="1" x="4"/>
        <item h="1" x="11"/>
        <item h="1" x="0"/>
        <item h="1" x="8"/>
        <item h="1" x="14"/>
        <item h="1" x="9"/>
        <item h="1" x="16"/>
        <item h="1" x="6"/>
        <item t="default"/>
      </items>
    </pivotField>
    <pivotField axis="axisRow" showAll="0" defaultSubtotal="0">
      <items count="148">
        <item x="75"/>
        <item x="4"/>
        <item x="15"/>
        <item x="16"/>
        <item x="106"/>
        <item x="76"/>
        <item x="60"/>
        <item x="7"/>
        <item x="58"/>
        <item x="59"/>
        <item x="17"/>
        <item x="14"/>
        <item x="18"/>
        <item x="0"/>
        <item x="107"/>
        <item x="108"/>
        <item x="33"/>
        <item x="67"/>
        <item x="28"/>
        <item x="77"/>
        <item x="93"/>
        <item x="48"/>
        <item x="109"/>
        <item x="34"/>
        <item x="111"/>
        <item x="44"/>
        <item x="112"/>
        <item x="114"/>
        <item x="115"/>
        <item x="95"/>
        <item x="96"/>
        <item x="78"/>
        <item x="21"/>
        <item x="97"/>
        <item x="46"/>
        <item x="13"/>
        <item x="19"/>
        <item x="61"/>
        <item x="20"/>
        <item x="98"/>
        <item x="66"/>
        <item x="24"/>
        <item x="121"/>
        <item x="122"/>
        <item x="123"/>
        <item x="124"/>
        <item x="79"/>
        <item x="125"/>
        <item x="99"/>
        <item x="36"/>
        <item x="37"/>
        <item x="126"/>
        <item x="100"/>
        <item x="68"/>
        <item x="101"/>
        <item x="74"/>
        <item x="102"/>
        <item x="22"/>
        <item x="127"/>
        <item x="89"/>
        <item x="103"/>
        <item x="69"/>
        <item x="128"/>
        <item x="23"/>
        <item x="11"/>
        <item x="81"/>
        <item x="129"/>
        <item x="72"/>
        <item x="130"/>
        <item x="104"/>
        <item x="131"/>
        <item x="62"/>
        <item x="132"/>
        <item x="70"/>
        <item x="105"/>
        <item x="110"/>
        <item x="49"/>
        <item x="113"/>
        <item x="133"/>
        <item x="63"/>
        <item x="116"/>
        <item x="52"/>
        <item x="9"/>
        <item x="134"/>
        <item x="117"/>
        <item x="118"/>
        <item x="64"/>
        <item x="119"/>
        <item x="82"/>
        <item x="42"/>
        <item x="83"/>
        <item x="120"/>
        <item x="25"/>
        <item x="53"/>
        <item x="5"/>
        <item x="8"/>
        <item x="73"/>
        <item x="43"/>
        <item x="12"/>
        <item x="38"/>
        <item x="71"/>
        <item x="135"/>
        <item x="84"/>
        <item x="1"/>
        <item x="136"/>
        <item x="91"/>
        <item x="26"/>
        <item x="56"/>
        <item x="31"/>
        <item x="137"/>
        <item x="138"/>
        <item x="57"/>
        <item x="139"/>
        <item x="85"/>
        <item x="39"/>
        <item x="141"/>
        <item x="40"/>
        <item x="41"/>
        <item x="65"/>
        <item x="142"/>
        <item x="86"/>
        <item x="140"/>
        <item x="143"/>
        <item x="92"/>
        <item x="144"/>
        <item x="87"/>
        <item x="145"/>
        <item x="88"/>
        <item x="146"/>
        <item x="55"/>
        <item x="147"/>
        <item x="30"/>
        <item x="54"/>
        <item x="32"/>
        <item x="90"/>
        <item x="80"/>
        <item x="51"/>
        <item x="94"/>
        <item x="47"/>
        <item x="35"/>
        <item x="50"/>
        <item x="45"/>
        <item x="29"/>
        <item x="6"/>
        <item x="27"/>
        <item x="10"/>
        <item x="2"/>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1376">
      <pivotArea field="4" type="button" dataOnly="0" labelOnly="1" outline="0" axis="axisPage" fieldPosition="1"/>
    </format>
    <format dxfId="1375">
      <pivotArea field="4" type="button" dataOnly="0" labelOnly="1" outline="0" axis="axisPage" fieldPosition="1"/>
    </format>
    <format dxfId="1374">
      <pivotArea collapsedLevelsAreSubtotals="1" fieldPosition="0">
        <references count="2">
          <reference field="4294967294" count="1" selected="0">
            <x v="0"/>
          </reference>
          <reference field="5" count="11">
            <x v="1"/>
            <x v="4"/>
            <x v="22"/>
            <x v="38"/>
            <x v="73"/>
            <x v="83"/>
            <x v="96"/>
            <x v="103"/>
            <x v="113"/>
            <x v="119"/>
            <x v="127"/>
          </reference>
        </references>
      </pivotArea>
    </format>
    <format dxfId="1373">
      <pivotArea outline="0" fieldPosition="0">
        <references count="1">
          <reference field="4294967294" count="1">
            <x v="0"/>
          </reference>
        </references>
      </pivotArea>
    </format>
    <format dxfId="1372">
      <pivotArea field="3" type="button" dataOnly="0" labelOnly="1" outline="0" axis="axisPage" fieldPosition="0"/>
    </format>
    <format dxfId="1371">
      <pivotArea dataOnly="0" labelOnly="1" outline="0" fieldPosition="0">
        <references count="1">
          <reference field="3" count="0"/>
        </references>
      </pivotArea>
    </format>
    <format dxfId="1370">
      <pivotArea field="4" type="button" dataOnly="0" labelOnly="1" outline="0" axis="axisPage" fieldPosition="1"/>
    </format>
    <format dxfId="1369">
      <pivotArea dataOnly="0" labelOnly="1" outline="0" fieldPosition="0">
        <references count="1">
          <reference field="4" count="0"/>
        </references>
      </pivotArea>
    </format>
    <format dxfId="1368">
      <pivotArea field="19" type="button" dataOnly="0" labelOnly="1" outline="0" axis="axisPage" fieldPosition="2"/>
    </format>
    <format dxfId="1367">
      <pivotArea dataOnly="0" labelOnly="1" outline="0" fieldPosition="0">
        <references count="1">
          <reference field="19" count="0"/>
        </references>
      </pivotArea>
    </format>
    <format dxfId="1366">
      <pivotArea field="3" type="button" dataOnly="0" labelOnly="1" outline="0" axis="axisPage" fieldPosition="0"/>
    </format>
    <format dxfId="1365">
      <pivotArea dataOnly="0" labelOnly="1" outline="0" fieldPosition="0">
        <references count="1">
          <reference field="3" count="0"/>
        </references>
      </pivotArea>
    </format>
    <format dxfId="1364">
      <pivotArea field="4" type="button" dataOnly="0" labelOnly="1" outline="0" axis="axisPage" fieldPosition="1"/>
    </format>
    <format dxfId="1363">
      <pivotArea dataOnly="0" labelOnly="1" outline="0" fieldPosition="0">
        <references count="1">
          <reference field="4" count="0"/>
        </references>
      </pivotArea>
    </format>
    <format dxfId="1362">
      <pivotArea field="19" type="button" dataOnly="0" labelOnly="1" outline="0" axis="axisPage" fieldPosition="2"/>
    </format>
    <format dxfId="1361">
      <pivotArea dataOnly="0" labelOnly="1" outline="0" fieldPosition="0">
        <references count="1">
          <reference field="19" count="0"/>
        </references>
      </pivotArea>
    </format>
    <format dxfId="1360">
      <pivotArea type="all" dataOnly="0" outline="0" fieldPosition="0"/>
    </format>
    <format dxfId="135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6"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1"/>
        <item x="7"/>
        <item x="2"/>
        <item x="5"/>
        <item x="3"/>
        <item x="13"/>
        <item x="10"/>
        <item x="15"/>
        <item x="4"/>
        <item x="11"/>
        <item x="0"/>
        <item x="8"/>
        <item x="14"/>
        <item x="16"/>
        <item x="6"/>
        <item x="9"/>
        <item x="12"/>
      </items>
    </pivotField>
    <pivotField axis="axisRow" compact="0" outline="0" showAll="0" defaultSubtotal="0">
      <items count="148">
        <item x="75"/>
        <item x="4"/>
        <item x="15"/>
        <item x="76"/>
        <item x="7"/>
        <item x="17"/>
        <item x="14"/>
        <item x="18"/>
        <item x="0"/>
        <item x="107"/>
        <item x="108"/>
        <item x="33"/>
        <item x="67"/>
        <item x="28"/>
        <item x="77"/>
        <item x="93"/>
        <item x="48"/>
        <item x="109"/>
        <item x="34"/>
        <item x="111"/>
        <item x="44"/>
        <item x="114"/>
        <item x="115"/>
        <item x="95"/>
        <item x="96"/>
        <item x="78"/>
        <item x="21"/>
        <item x="97"/>
        <item x="46"/>
        <item x="13"/>
        <item x="19"/>
        <item x="20"/>
        <item x="98"/>
        <item x="66"/>
        <item x="24"/>
        <item x="121"/>
        <item x="122"/>
        <item x="123"/>
        <item x="79"/>
        <item x="125"/>
        <item x="99"/>
        <item x="36"/>
        <item x="100"/>
        <item x="68"/>
        <item x="101"/>
        <item x="102"/>
        <item x="22"/>
        <item x="127"/>
        <item x="89"/>
        <item x="103"/>
        <item x="69"/>
        <item x="128"/>
        <item x="23"/>
        <item x="11"/>
        <item x="81"/>
        <item x="72"/>
        <item x="130"/>
        <item x="104"/>
        <item x="131"/>
        <item x="105"/>
        <item x="110"/>
        <item x="113"/>
        <item x="133"/>
        <item x="63"/>
        <item x="116"/>
        <item x="9"/>
        <item x="134"/>
        <item x="117"/>
        <item x="118"/>
        <item x="119"/>
        <item x="82"/>
        <item x="42"/>
        <item x="83"/>
        <item x="120"/>
        <item x="25"/>
        <item x="53"/>
        <item x="5"/>
        <item x="73"/>
        <item x="43"/>
        <item x="12"/>
        <item x="38"/>
        <item x="71"/>
        <item x="135"/>
        <item x="84"/>
        <item x="1"/>
        <item x="136"/>
        <item x="91"/>
        <item x="26"/>
        <item x="56"/>
        <item x="31"/>
        <item x="137"/>
        <item x="138"/>
        <item x="57"/>
        <item x="139"/>
        <item x="85"/>
        <item x="39"/>
        <item x="141"/>
        <item x="40"/>
        <item x="41"/>
        <item x="65"/>
        <item x="86"/>
        <item x="140"/>
        <item x="92"/>
        <item x="144"/>
        <item x="87"/>
        <item x="145"/>
        <item x="88"/>
        <item x="146"/>
        <item x="37"/>
        <item x="142"/>
        <item x="58"/>
        <item x="64"/>
        <item x="70"/>
        <item x="124"/>
        <item x="60"/>
        <item x="106"/>
        <item x="143"/>
        <item x="147"/>
        <item x="8"/>
        <item x="126"/>
        <item x="112"/>
        <item x="59"/>
        <item x="16"/>
        <item x="61"/>
        <item x="74"/>
        <item x="129"/>
        <item x="62"/>
        <item x="132"/>
        <item x="49"/>
        <item x="52"/>
        <item x="55"/>
        <item x="30"/>
        <item x="54"/>
        <item x="32"/>
        <item x="90"/>
        <item x="80"/>
        <item x="51"/>
        <item x="94"/>
        <item x="47"/>
        <item x="35"/>
        <item x="50"/>
        <item x="45"/>
        <item x="29"/>
        <item x="6"/>
        <item x="27"/>
        <item x="10"/>
        <item x="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39"/>
        <item x="120"/>
        <item x="40"/>
        <item x="141"/>
        <item x="41"/>
        <item x="56"/>
        <item x="101"/>
        <item x="57"/>
        <item x="107"/>
        <item x="108"/>
        <item x="0"/>
        <item x="95"/>
        <item x="46"/>
        <item x="97"/>
        <item x="100"/>
        <item x="34"/>
        <item x="111"/>
        <item x="23"/>
        <item x="11"/>
        <item x="144"/>
        <item x="9"/>
        <item x="38"/>
        <item x="135"/>
        <item x="122"/>
        <item x="67"/>
        <item x="125"/>
        <item x="71"/>
        <item x="79"/>
        <item x="12"/>
        <item x="140"/>
        <item x="65"/>
        <item x="86"/>
        <item x="36"/>
        <item x="99"/>
        <item x="31"/>
        <item x="14"/>
        <item x="1"/>
        <item x="20"/>
        <item x="4"/>
        <item x="109"/>
        <item x="88"/>
        <item x="134"/>
        <item x="85"/>
        <item x="72"/>
        <item x="130"/>
        <item x="127"/>
        <item x="83"/>
        <item x="68"/>
        <item x="69"/>
        <item x="137"/>
        <item x="138"/>
        <item x="66"/>
        <item x="24"/>
        <item x="98"/>
        <item x="25"/>
        <item x="26"/>
        <item x="103"/>
        <item x="96"/>
        <item x="118"/>
        <item x="139"/>
        <item x="82"/>
        <item x="81"/>
        <item x="128"/>
        <item x="117"/>
        <item x="145"/>
        <item x="17"/>
        <item x="7"/>
        <item x="28"/>
        <item x="87"/>
        <item x="123"/>
        <item x="44"/>
        <item x="48"/>
        <item x="33"/>
        <item x="5"/>
        <item x="21"/>
        <item x="42"/>
        <item x="22"/>
        <item x="102"/>
        <item x="121"/>
        <item x="119"/>
        <item x="43"/>
        <item x="53"/>
        <item x="76"/>
        <item x="18"/>
        <item x="15"/>
        <item x="75"/>
        <item x="19"/>
        <item x="84"/>
        <item x="91"/>
        <item x="92"/>
        <item x="77"/>
        <item x="63"/>
        <item x="73"/>
        <item x="13"/>
        <item x="78"/>
        <item x="131"/>
        <item x="133"/>
        <item x="110"/>
        <item x="105"/>
        <item x="104"/>
        <item x="113"/>
        <item x="89"/>
        <item x="93"/>
        <item x="116"/>
        <item x="114"/>
        <item x="115"/>
        <item x="37"/>
        <item x="142"/>
        <item x="58"/>
        <item x="64"/>
        <item x="70"/>
        <item x="124"/>
        <item x="60"/>
        <item x="106"/>
        <item x="143"/>
        <item x="8"/>
        <item x="126"/>
        <item x="112"/>
        <item x="59"/>
        <item x="16"/>
        <item x="61"/>
        <item x="74"/>
        <item x="129"/>
        <item x="62"/>
        <item x="132"/>
        <item x="49"/>
        <item x="52"/>
        <item x="55"/>
        <item x="90"/>
        <item x="30"/>
        <item x="54"/>
        <item x="32"/>
        <item x="80"/>
        <item x="51"/>
        <item x="94"/>
        <item x="47"/>
        <item x="35"/>
        <item x="50"/>
        <item x="45"/>
        <item x="29"/>
        <item x="6"/>
        <item x="27"/>
        <item x="10"/>
        <item x="2"/>
        <item x="3"/>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3">
    <i>
      <x/>
      <x v="37"/>
      <x v="84"/>
    </i>
    <i r="1">
      <x v="38"/>
      <x v="31"/>
    </i>
    <i r="1">
      <x v="39"/>
      <x v="1"/>
    </i>
    <i r="1">
      <x v="40"/>
      <x v="17"/>
    </i>
    <i r="1">
      <x v="41"/>
      <x v="106"/>
    </i>
    <i r="1">
      <x v="42"/>
      <x v="66"/>
    </i>
    <i r="1">
      <x v="43"/>
      <x v="94"/>
    </i>
    <i r="1">
      <x v="93"/>
      <x v="77"/>
    </i>
    <i r="1">
      <x v="111"/>
      <x v="112"/>
    </i>
    <i r="1">
      <x v="114"/>
      <x v="115"/>
    </i>
    <i>
      <x v="1"/>
      <x v="36"/>
      <x v="6"/>
    </i>
    <i r="1">
      <x v="94"/>
      <x v="29"/>
    </i>
    <i r="1">
      <x v="116"/>
      <x v="118"/>
    </i>
    <i r="1">
      <x v="140"/>
      <x v="142"/>
    </i>
    <i r="1">
      <x v="143"/>
      <x v="145"/>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r="1">
      <x v="144"/>
      <x v="146"/>
    </i>
    <i>
      <x v="3"/>
      <x v="101"/>
      <x v="61"/>
    </i>
    <i r="1">
      <x v="105"/>
      <x v="21"/>
    </i>
    <i r="1">
      <x v="106"/>
      <x v="22"/>
    </i>
    <i r="1">
      <x v="118"/>
      <x v="120"/>
    </i>
    <i r="1">
      <x v="123"/>
      <x v="125"/>
    </i>
    <i r="1">
      <x v="128"/>
      <x v="130"/>
    </i>
    <i r="1">
      <x v="129"/>
      <x v="134"/>
    </i>
    <i r="1">
      <x v="141"/>
      <x v="143"/>
    </i>
    <i>
      <x v="4"/>
      <x v="49"/>
      <x v="50"/>
    </i>
    <i r="1">
      <x v="75"/>
      <x v="26"/>
    </i>
    <i r="1">
      <x v="77"/>
      <x v="46"/>
    </i>
    <i r="1">
      <x v="78"/>
      <x v="45"/>
    </i>
    <i r="1">
      <x v="107"/>
      <x v="108"/>
    </i>
    <i r="1">
      <x v="109"/>
      <x v="110"/>
    </i>
    <i r="1">
      <x v="117"/>
      <x v="119"/>
    </i>
    <i r="1">
      <x v="145"/>
      <x v="147"/>
    </i>
    <i>
      <x v="5"/>
      <x v="102"/>
      <x v="48"/>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r="1">
      <x v="142"/>
      <x v="144"/>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1228">
      <pivotArea outline="0" collapsedLevelsAreSubtotals="1" fieldPosition="0"/>
    </format>
    <format dxfId="1227">
      <pivotArea dataOnly="0" labelOnly="1" outline="0" axis="axisValues" fieldPosition="0"/>
    </format>
    <format dxfId="1226">
      <pivotArea field="19" type="button" dataOnly="0" labelOnly="1" outline="0" axis="axisPage" fieldPosition="0"/>
    </format>
    <format dxfId="1225">
      <pivotArea dataOnly="0" labelOnly="1" outline="0" fieldPosition="0">
        <references count="1">
          <reference field="19" count="0"/>
        </references>
      </pivotArea>
    </format>
    <format dxfId="1224">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1223">
      <pivotArea dataOnly="0" labelOnly="1" outline="0" fieldPosition="0">
        <references count="1">
          <reference field="4" count="1">
            <x v="0"/>
          </reference>
        </references>
      </pivotArea>
    </format>
    <format dxfId="1222">
      <pivotArea dataOnly="0" labelOnly="1" outline="0" fieldPosition="0">
        <references count="2">
          <reference field="4" count="1" selected="0">
            <x v="0"/>
          </reference>
          <reference field="18" count="10">
            <x v="37"/>
            <x v="38"/>
            <x v="39"/>
            <x v="40"/>
            <x v="41"/>
            <x v="42"/>
            <x v="43"/>
            <x v="93"/>
            <x v="111"/>
            <x v="114"/>
          </reference>
        </references>
      </pivotArea>
    </format>
    <format dxfId="1221">
      <pivotArea dataOnly="0" labelOnly="1" outline="0" fieldPosition="0">
        <references count="3">
          <reference field="4" count="1" selected="0">
            <x v="0"/>
          </reference>
          <reference field="5" count="1">
            <x v="84"/>
          </reference>
          <reference field="18" count="1" selected="0">
            <x v="37"/>
          </reference>
        </references>
      </pivotArea>
    </format>
    <format dxfId="1220">
      <pivotArea dataOnly="0" labelOnly="1" outline="0" fieldPosition="0">
        <references count="3">
          <reference field="4" count="1" selected="0">
            <x v="0"/>
          </reference>
          <reference field="5" count="1">
            <x v="31"/>
          </reference>
          <reference field="18" count="1" selected="0">
            <x v="38"/>
          </reference>
        </references>
      </pivotArea>
    </format>
    <format dxfId="1219">
      <pivotArea dataOnly="0" labelOnly="1" outline="0" fieldPosition="0">
        <references count="3">
          <reference field="4" count="1" selected="0">
            <x v="0"/>
          </reference>
          <reference field="5" count="1">
            <x v="1"/>
          </reference>
          <reference field="18" count="1" selected="0">
            <x v="39"/>
          </reference>
        </references>
      </pivotArea>
    </format>
    <format dxfId="1218">
      <pivotArea dataOnly="0" labelOnly="1" outline="0" fieldPosition="0">
        <references count="3">
          <reference field="4" count="1" selected="0">
            <x v="0"/>
          </reference>
          <reference field="5" count="1">
            <x v="17"/>
          </reference>
          <reference field="18" count="1" selected="0">
            <x v="40"/>
          </reference>
        </references>
      </pivotArea>
    </format>
    <format dxfId="1217">
      <pivotArea dataOnly="0" labelOnly="1" outline="0" fieldPosition="0">
        <references count="3">
          <reference field="4" count="1" selected="0">
            <x v="0"/>
          </reference>
          <reference field="5" count="1">
            <x v="106"/>
          </reference>
          <reference field="18" count="1" selected="0">
            <x v="41"/>
          </reference>
        </references>
      </pivotArea>
    </format>
    <format dxfId="1216">
      <pivotArea dataOnly="0" labelOnly="1" outline="0" fieldPosition="0">
        <references count="3">
          <reference field="4" count="1" selected="0">
            <x v="0"/>
          </reference>
          <reference field="5" count="1">
            <x v="66"/>
          </reference>
          <reference field="18" count="1" selected="0">
            <x v="42"/>
          </reference>
        </references>
      </pivotArea>
    </format>
    <format dxfId="1215">
      <pivotArea dataOnly="0" labelOnly="1" outline="0" fieldPosition="0">
        <references count="3">
          <reference field="4" count="1" selected="0">
            <x v="0"/>
          </reference>
          <reference field="5" count="1">
            <x v="94"/>
          </reference>
          <reference field="18" count="1" selected="0">
            <x v="43"/>
          </reference>
        </references>
      </pivotArea>
    </format>
    <format dxfId="1214">
      <pivotArea dataOnly="0" labelOnly="1" outline="0" fieldPosition="0">
        <references count="3">
          <reference field="4" count="1" selected="0">
            <x v="0"/>
          </reference>
          <reference field="5" count="1">
            <x v="77"/>
          </reference>
          <reference field="18" count="1" selected="0">
            <x v="93"/>
          </reference>
        </references>
      </pivotArea>
    </format>
    <format dxfId="1213">
      <pivotArea dataOnly="0" labelOnly="1" outline="0" fieldPosition="0">
        <references count="3">
          <reference field="4" count="1" selected="0">
            <x v="0"/>
          </reference>
          <reference field="5" count="1">
            <x v="112"/>
          </reference>
          <reference field="18" count="1" selected="0">
            <x v="111"/>
          </reference>
        </references>
      </pivotArea>
    </format>
    <format dxfId="1212">
      <pivotArea dataOnly="0" labelOnly="1" outline="0" fieldPosition="0">
        <references count="3">
          <reference field="4" count="1" selected="0">
            <x v="0"/>
          </reference>
          <reference field="5" count="1">
            <x v="115"/>
          </reference>
          <reference field="18" count="1" selected="0">
            <x v="114"/>
          </reference>
        </references>
      </pivotArea>
    </format>
    <format dxfId="1211">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1210">
      <pivotArea dataOnly="0" labelOnly="1" outline="0" fieldPosition="0">
        <references count="1">
          <reference field="4" count="1">
            <x v="1"/>
          </reference>
        </references>
      </pivotArea>
    </format>
    <format dxfId="1209">
      <pivotArea dataOnly="0" labelOnly="1" outline="0" fieldPosition="0">
        <references count="2">
          <reference field="4" count="1" selected="0">
            <x v="1"/>
          </reference>
          <reference field="18" count="3">
            <x v="36"/>
            <x v="94"/>
            <x v="116"/>
          </reference>
        </references>
      </pivotArea>
    </format>
    <format dxfId="1208">
      <pivotArea dataOnly="0" labelOnly="1" outline="0" fieldPosition="0">
        <references count="3">
          <reference field="4" count="1" selected="0">
            <x v="1"/>
          </reference>
          <reference field="5" count="1">
            <x v="6"/>
          </reference>
          <reference field="18" count="1" selected="0">
            <x v="36"/>
          </reference>
        </references>
      </pivotArea>
    </format>
    <format dxfId="1207">
      <pivotArea dataOnly="0" labelOnly="1" outline="0" fieldPosition="0">
        <references count="3">
          <reference field="4" count="1" selected="0">
            <x v="1"/>
          </reference>
          <reference field="5" count="1">
            <x v="29"/>
          </reference>
          <reference field="18" count="1" selected="0">
            <x v="94"/>
          </reference>
        </references>
      </pivotArea>
    </format>
    <format dxfId="1206">
      <pivotArea dataOnly="0" labelOnly="1" outline="0" fieldPosition="0">
        <references count="3">
          <reference field="4" count="1" selected="0">
            <x v="1"/>
          </reference>
          <reference field="5" count="1">
            <x v="118"/>
          </reference>
          <reference field="18" count="1" selected="0">
            <x v="116"/>
          </reference>
        </references>
      </pivotArea>
    </format>
    <format dxfId="1205">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1204">
      <pivotArea dataOnly="0" labelOnly="1" outline="0" fieldPosition="0">
        <references count="1">
          <reference field="4" count="1">
            <x v="2"/>
          </reference>
        </references>
      </pivotArea>
    </format>
    <format dxfId="1203">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1202">
      <pivotArea dataOnly="0" labelOnly="1" outline="0" fieldPosition="0">
        <references count="3">
          <reference field="4" count="1" selected="0">
            <x v="2"/>
          </reference>
          <reference field="5" count="2">
            <x v="103"/>
            <x v="117"/>
          </reference>
          <reference field="18" count="1" selected="0">
            <x v="0"/>
          </reference>
        </references>
      </pivotArea>
    </format>
    <format dxfId="1201">
      <pivotArea dataOnly="0" labelOnly="1" outline="0" fieldPosition="0">
        <references count="3">
          <reference field="4" count="1" selected="0">
            <x v="2"/>
          </reference>
          <reference field="5" count="1">
            <x v="54"/>
          </reference>
          <reference field="18" count="1" selected="0">
            <x v="62"/>
          </reference>
        </references>
      </pivotArea>
    </format>
    <format dxfId="1200">
      <pivotArea dataOnly="0" labelOnly="1" outline="0" fieldPosition="0">
        <references count="3">
          <reference field="4" count="1" selected="0">
            <x v="2"/>
          </reference>
          <reference field="5" count="1">
            <x v="67"/>
          </reference>
          <reference field="18" count="1" selected="0">
            <x v="64"/>
          </reference>
        </references>
      </pivotArea>
    </format>
    <format dxfId="1199">
      <pivotArea dataOnly="0" labelOnly="1" outline="0" fieldPosition="0">
        <references count="3">
          <reference field="4" count="1" selected="0">
            <x v="2"/>
          </reference>
          <reference field="5" count="1">
            <x v="107"/>
          </reference>
          <reference field="18" count="1" selected="0">
            <x v="65"/>
          </reference>
        </references>
      </pivotArea>
    </format>
    <format dxfId="1198">
      <pivotArea dataOnly="0" labelOnly="1" outline="0" fieldPosition="0">
        <references count="3">
          <reference field="4" count="1" selected="0">
            <x v="2"/>
          </reference>
          <reference field="5" count="1">
            <x v="5"/>
          </reference>
          <reference field="18" count="1" selected="0">
            <x v="66"/>
          </reference>
        </references>
      </pivotArea>
    </format>
    <format dxfId="1197">
      <pivotArea dataOnly="0" labelOnly="1" outline="0" fieldPosition="0">
        <references count="3">
          <reference field="4" count="1" selected="0">
            <x v="2"/>
          </reference>
          <reference field="5" count="1">
            <x v="3"/>
          </reference>
          <reference field="18" count="1" selected="0">
            <x v="83"/>
          </reference>
        </references>
      </pivotArea>
    </format>
    <format dxfId="1196">
      <pivotArea dataOnly="0" labelOnly="1" outline="0" fieldPosition="0">
        <references count="3">
          <reference field="4" count="1" selected="0">
            <x v="2"/>
          </reference>
          <reference field="5" count="1">
            <x v="7"/>
          </reference>
          <reference field="18" count="1" selected="0">
            <x v="84"/>
          </reference>
        </references>
      </pivotArea>
    </format>
    <format dxfId="1195">
      <pivotArea dataOnly="0" labelOnly="1" outline="0" fieldPosition="0">
        <references count="3">
          <reference field="4" count="1" selected="0">
            <x v="2"/>
          </reference>
          <reference field="5" count="1">
            <x v="2"/>
          </reference>
          <reference field="18" count="1" selected="0">
            <x v="85"/>
          </reference>
        </references>
      </pivotArea>
    </format>
    <format dxfId="1194">
      <pivotArea dataOnly="0" labelOnly="1" outline="0" fieldPosition="0">
        <references count="3">
          <reference field="4" count="1" selected="0">
            <x v="2"/>
          </reference>
          <reference field="5" count="1">
            <x v="0"/>
          </reference>
          <reference field="18" count="1" selected="0">
            <x v="86"/>
          </reference>
        </references>
      </pivotArea>
    </format>
    <format dxfId="1193">
      <pivotArea dataOnly="0" labelOnly="1" outline="0" fieldPosition="0">
        <references count="3">
          <reference field="4" count="1" selected="0">
            <x v="2"/>
          </reference>
          <reference field="5" count="1">
            <x v="30"/>
          </reference>
          <reference field="18" count="1" selected="0">
            <x v="87"/>
          </reference>
        </references>
      </pivotArea>
    </format>
    <format dxfId="1192">
      <pivotArea dataOnly="0" labelOnly="1" outline="0" fieldPosition="0">
        <references count="3">
          <reference field="4" count="1" selected="0">
            <x v="2"/>
          </reference>
          <reference field="5" count="1">
            <x v="83"/>
          </reference>
          <reference field="18" count="1" selected="0">
            <x v="88"/>
          </reference>
        </references>
      </pivotArea>
    </format>
    <format dxfId="1191">
      <pivotArea dataOnly="0" labelOnly="1" outline="0" fieldPosition="0">
        <references count="3">
          <reference field="4" count="1" selected="0">
            <x v="2"/>
          </reference>
          <reference field="5" count="1">
            <x v="86"/>
          </reference>
          <reference field="18" count="1" selected="0">
            <x v="89"/>
          </reference>
        </references>
      </pivotArea>
    </format>
    <format dxfId="1190">
      <pivotArea dataOnly="0" labelOnly="1" outline="0" fieldPosition="0">
        <references count="3">
          <reference field="4" count="1" selected="0">
            <x v="2"/>
          </reference>
          <reference field="5" count="1">
            <x v="102"/>
          </reference>
          <reference field="18" count="1" selected="0">
            <x v="90"/>
          </reference>
        </references>
      </pivotArea>
    </format>
    <format dxfId="1189">
      <pivotArea dataOnly="0" labelOnly="1" outline="0" fieldPosition="0">
        <references count="3">
          <reference field="4" count="1" selected="0">
            <x v="2"/>
          </reference>
          <reference field="5" count="1">
            <x v="14"/>
          </reference>
          <reference field="18" count="1" selected="0">
            <x v="91"/>
          </reference>
        </references>
      </pivotArea>
    </format>
    <format dxfId="1188">
      <pivotArea dataOnly="0" labelOnly="1" outline="0" fieldPosition="0">
        <references count="3">
          <reference field="4" count="1" selected="0">
            <x v="2"/>
          </reference>
          <reference field="5" count="1">
            <x v="63"/>
          </reference>
          <reference field="18" count="1" selected="0">
            <x v="92"/>
          </reference>
        </references>
      </pivotArea>
    </format>
    <format dxfId="1187">
      <pivotArea dataOnly="0" labelOnly="1" outline="0" fieldPosition="0">
        <references count="3">
          <reference field="4" count="1" selected="0">
            <x v="2"/>
          </reference>
          <reference field="5" count="1">
            <x v="114"/>
          </reference>
          <reference field="18" count="1" selected="0">
            <x v="113"/>
          </reference>
        </references>
      </pivotArea>
    </format>
    <format dxfId="1186">
      <pivotArea dataOnly="0" labelOnly="1" outline="0" fieldPosition="0">
        <references count="3">
          <reference field="4" count="1" selected="0">
            <x v="2"/>
          </reference>
          <reference field="5" count="1">
            <x v="122"/>
          </reference>
          <reference field="18" count="1" selected="0">
            <x v="120"/>
          </reference>
        </references>
      </pivotArea>
    </format>
    <format dxfId="1185">
      <pivotArea dataOnly="0" labelOnly="1" outline="0" fieldPosition="0">
        <references count="3">
          <reference field="4" count="1" selected="0">
            <x v="2"/>
          </reference>
          <reference field="5" count="1">
            <x v="123"/>
          </reference>
          <reference field="18" count="1" selected="0">
            <x v="121"/>
          </reference>
        </references>
      </pivotArea>
    </format>
    <format dxfId="1184">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1183">
      <pivotArea dataOnly="0" labelOnly="1" outline="0" fieldPosition="0">
        <references count="1">
          <reference field="4" count="1">
            <x v="3"/>
          </reference>
        </references>
      </pivotArea>
    </format>
    <format dxfId="1182">
      <pivotArea dataOnly="0" labelOnly="1" outline="0" fieldPosition="0">
        <references count="2">
          <reference field="4" count="1" selected="0">
            <x v="3"/>
          </reference>
          <reference field="18" count="7">
            <x v="101"/>
            <x v="105"/>
            <x v="106"/>
            <x v="118"/>
            <x v="123"/>
            <x v="128"/>
            <x v="129"/>
          </reference>
        </references>
      </pivotArea>
    </format>
    <format dxfId="1181">
      <pivotArea dataOnly="0" labelOnly="1" outline="0" fieldPosition="0">
        <references count="3">
          <reference field="4" count="1" selected="0">
            <x v="3"/>
          </reference>
          <reference field="5" count="1">
            <x v="61"/>
          </reference>
          <reference field="18" count="1" selected="0">
            <x v="101"/>
          </reference>
        </references>
      </pivotArea>
    </format>
    <format dxfId="1180">
      <pivotArea dataOnly="0" labelOnly="1" outline="0" fieldPosition="0">
        <references count="3">
          <reference field="4" count="1" selected="0">
            <x v="3"/>
          </reference>
          <reference field="5" count="1">
            <x v="21"/>
          </reference>
          <reference field="18" count="1" selected="0">
            <x v="105"/>
          </reference>
        </references>
      </pivotArea>
    </format>
    <format dxfId="1179">
      <pivotArea dataOnly="0" labelOnly="1" outline="0" fieldPosition="0">
        <references count="3">
          <reference field="4" count="1" selected="0">
            <x v="3"/>
          </reference>
          <reference field="5" count="1">
            <x v="22"/>
          </reference>
          <reference field="18" count="1" selected="0">
            <x v="106"/>
          </reference>
        </references>
      </pivotArea>
    </format>
    <format dxfId="1178">
      <pivotArea dataOnly="0" labelOnly="1" outline="0" fieldPosition="0">
        <references count="3">
          <reference field="4" count="1" selected="0">
            <x v="3"/>
          </reference>
          <reference field="5" count="1">
            <x v="120"/>
          </reference>
          <reference field="18" count="1" selected="0">
            <x v="118"/>
          </reference>
        </references>
      </pivotArea>
    </format>
    <format dxfId="1177">
      <pivotArea dataOnly="0" labelOnly="1" outline="0" fieldPosition="0">
        <references count="3">
          <reference field="4" count="1" selected="0">
            <x v="3"/>
          </reference>
          <reference field="5" count="1">
            <x v="125"/>
          </reference>
          <reference field="18" count="1" selected="0">
            <x v="123"/>
          </reference>
        </references>
      </pivotArea>
    </format>
    <format dxfId="1176">
      <pivotArea dataOnly="0" labelOnly="1" outline="0" fieldPosition="0">
        <references count="3">
          <reference field="4" count="1" selected="0">
            <x v="3"/>
          </reference>
          <reference field="5" count="1">
            <x v="130"/>
          </reference>
          <reference field="18" count="1" selected="0">
            <x v="128"/>
          </reference>
        </references>
      </pivotArea>
    </format>
    <format dxfId="1175">
      <pivotArea dataOnly="0" labelOnly="1" outline="0" fieldPosition="0">
        <references count="3">
          <reference field="4" count="1" selected="0">
            <x v="3"/>
          </reference>
          <reference field="5" count="1">
            <x v="134"/>
          </reference>
          <reference field="18" count="1" selected="0">
            <x v="129"/>
          </reference>
        </references>
      </pivotArea>
    </format>
    <format dxfId="1174">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1173">
      <pivotArea dataOnly="0" labelOnly="1" outline="0" fieldPosition="0">
        <references count="1">
          <reference field="4" count="1">
            <x v="4"/>
          </reference>
        </references>
      </pivotArea>
    </format>
    <format dxfId="1172">
      <pivotArea dataOnly="0" labelOnly="1" outline="0" fieldPosition="0">
        <references count="2">
          <reference field="4" count="1" selected="0">
            <x v="4"/>
          </reference>
          <reference field="18" count="9">
            <x v="49"/>
            <x v="75"/>
            <x v="77"/>
            <x v="78"/>
            <x v="79"/>
            <x v="107"/>
            <x v="109"/>
            <x v="117"/>
            <x v="119"/>
          </reference>
        </references>
      </pivotArea>
    </format>
    <format dxfId="1171">
      <pivotArea dataOnly="0" labelOnly="1" outline="0" fieldPosition="0">
        <references count="3">
          <reference field="4" count="1" selected="0">
            <x v="4"/>
          </reference>
          <reference field="5" count="1">
            <x v="50"/>
          </reference>
          <reference field="18" count="1" selected="0">
            <x v="49"/>
          </reference>
        </references>
      </pivotArea>
    </format>
    <format dxfId="1170">
      <pivotArea dataOnly="0" labelOnly="1" outline="0" fieldPosition="0">
        <references count="3">
          <reference field="4" count="1" selected="0">
            <x v="4"/>
          </reference>
          <reference field="5" count="1">
            <x v="26"/>
          </reference>
          <reference field="18" count="1" selected="0">
            <x v="75"/>
          </reference>
        </references>
      </pivotArea>
    </format>
    <format dxfId="1169">
      <pivotArea dataOnly="0" labelOnly="1" outline="0" fieldPosition="0">
        <references count="3">
          <reference field="4" count="1" selected="0">
            <x v="4"/>
          </reference>
          <reference field="5" count="1">
            <x v="46"/>
          </reference>
          <reference field="18" count="1" selected="0">
            <x v="77"/>
          </reference>
        </references>
      </pivotArea>
    </format>
    <format dxfId="1168">
      <pivotArea dataOnly="0" labelOnly="1" outline="0" fieldPosition="0">
        <references count="3">
          <reference field="4" count="1" selected="0">
            <x v="4"/>
          </reference>
          <reference field="5" count="1">
            <x v="45"/>
          </reference>
          <reference field="18" count="1" selected="0">
            <x v="78"/>
          </reference>
        </references>
      </pivotArea>
    </format>
    <format dxfId="1167">
      <pivotArea dataOnly="0" labelOnly="1" outline="0" fieldPosition="0">
        <references count="3">
          <reference field="4" count="1" selected="0">
            <x v="4"/>
          </reference>
          <reference field="5" count="1">
            <x v="35"/>
          </reference>
          <reference field="18" count="1" selected="0">
            <x v="79"/>
          </reference>
        </references>
      </pivotArea>
    </format>
    <format dxfId="1166">
      <pivotArea dataOnly="0" labelOnly="1" outline="0" fieldPosition="0">
        <references count="3">
          <reference field="4" count="1" selected="0">
            <x v="4"/>
          </reference>
          <reference field="5" count="1">
            <x v="108"/>
          </reference>
          <reference field="18" count="1" selected="0">
            <x v="107"/>
          </reference>
        </references>
      </pivotArea>
    </format>
    <format dxfId="1165">
      <pivotArea dataOnly="0" labelOnly="1" outline="0" fieldPosition="0">
        <references count="3">
          <reference field="4" count="1" selected="0">
            <x v="4"/>
          </reference>
          <reference field="5" count="1">
            <x v="110"/>
          </reference>
          <reference field="18" count="1" selected="0">
            <x v="109"/>
          </reference>
        </references>
      </pivotArea>
    </format>
    <format dxfId="1164">
      <pivotArea dataOnly="0" labelOnly="1" outline="0" fieldPosition="0">
        <references count="3">
          <reference field="4" count="1" selected="0">
            <x v="4"/>
          </reference>
          <reference field="5" count="1">
            <x v="119"/>
          </reference>
          <reference field="18" count="1" selected="0">
            <x v="117"/>
          </reference>
        </references>
      </pivotArea>
    </format>
    <format dxfId="1163">
      <pivotArea dataOnly="0" labelOnly="1" outline="0" fieldPosition="0">
        <references count="3">
          <reference field="4" count="1" selected="0">
            <x v="4"/>
          </reference>
          <reference field="5" count="1">
            <x v="121"/>
          </reference>
          <reference field="18" count="1" selected="0">
            <x v="119"/>
          </reference>
        </references>
      </pivotArea>
    </format>
    <format dxfId="1162">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1161">
      <pivotArea dataOnly="0" labelOnly="1" outline="0" fieldPosition="0">
        <references count="1">
          <reference field="4" count="1">
            <x v="5"/>
          </reference>
        </references>
      </pivotArea>
    </format>
    <format dxfId="1160">
      <pivotArea dataOnly="0" labelOnly="1" outline="0" fieldPosition="0">
        <references count="2">
          <reference field="4" count="1" selected="0">
            <x v="5"/>
          </reference>
          <reference field="18" count="3">
            <x v="102"/>
            <x v="103"/>
            <x v="133"/>
          </reference>
        </references>
      </pivotArea>
    </format>
    <format dxfId="1159">
      <pivotArea dataOnly="0" labelOnly="1" outline="0" fieldPosition="0">
        <references count="3">
          <reference field="4" count="1" selected="0">
            <x v="5"/>
          </reference>
          <reference field="5" count="1">
            <x v="48"/>
          </reference>
          <reference field="18" count="1" selected="0">
            <x v="102"/>
          </reference>
        </references>
      </pivotArea>
    </format>
    <format dxfId="1158">
      <pivotArea dataOnly="0" labelOnly="1" outline="0" fieldPosition="0">
        <references count="3">
          <reference field="4" count="1" selected="0">
            <x v="5"/>
          </reference>
          <reference field="5" count="1">
            <x v="15"/>
          </reference>
          <reference field="18" count="1" selected="0">
            <x v="103"/>
          </reference>
        </references>
      </pivotArea>
    </format>
    <format dxfId="1157">
      <pivotArea dataOnly="0" labelOnly="1" outline="0" fieldPosition="0">
        <references count="3">
          <reference field="4" count="1" selected="0">
            <x v="5"/>
          </reference>
          <reference field="5" count="1">
            <x v="135"/>
          </reference>
          <reference field="18" count="1" selected="0">
            <x v="133"/>
          </reference>
        </references>
      </pivotArea>
    </format>
    <format dxfId="1156">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1155">
      <pivotArea dataOnly="0" labelOnly="1" outline="0" fieldPosition="0">
        <references count="1">
          <reference field="4" count="1">
            <x v="6"/>
          </reference>
        </references>
      </pivotArea>
    </format>
    <format dxfId="1154">
      <pivotArea dataOnly="0" labelOnly="1" outline="0" fieldPosition="0">
        <references count="2">
          <reference field="4" count="1" selected="0">
            <x v="6"/>
          </reference>
          <reference field="18" count="3">
            <x v="57"/>
            <x v="58"/>
            <x v="59"/>
          </reference>
        </references>
      </pivotArea>
    </format>
    <format dxfId="1153">
      <pivotArea dataOnly="0" labelOnly="1" outline="0" fieldPosition="0">
        <references count="3">
          <reference field="4" count="1" selected="0">
            <x v="6"/>
          </reference>
          <reference field="5" count="1">
            <x v="49"/>
          </reference>
          <reference field="18" count="1" selected="0">
            <x v="57"/>
          </reference>
        </references>
      </pivotArea>
    </format>
    <format dxfId="1152">
      <pivotArea dataOnly="0" labelOnly="1" outline="0" fieldPosition="0">
        <references count="3">
          <reference field="4" count="1" selected="0">
            <x v="6"/>
          </reference>
          <reference field="5" count="1">
            <x v="24"/>
          </reference>
          <reference field="18" count="1" selected="0">
            <x v="58"/>
          </reference>
        </references>
      </pivotArea>
    </format>
    <format dxfId="1151">
      <pivotArea dataOnly="0" labelOnly="1" outline="0" fieldPosition="0">
        <references count="3">
          <reference field="4" count="1" selected="0">
            <x v="6"/>
          </reference>
          <reference field="5" count="1">
            <x v="68"/>
          </reference>
          <reference field="18" count="1" selected="0">
            <x v="59"/>
          </reference>
        </references>
      </pivotArea>
    </format>
    <format dxfId="1150">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1149">
      <pivotArea dataOnly="0" labelOnly="1" outline="0" fieldPosition="0">
        <references count="1">
          <reference field="4" count="1">
            <x v="7"/>
          </reference>
        </references>
      </pivotArea>
    </format>
    <format dxfId="1148">
      <pivotArea dataOnly="0" labelOnly="1" outline="0" fieldPosition="0">
        <references count="2">
          <reference field="4" count="1" selected="0">
            <x v="7"/>
          </reference>
          <reference field="18" count="2">
            <x v="60"/>
            <x v="80"/>
          </reference>
        </references>
      </pivotArea>
    </format>
    <format dxfId="1147">
      <pivotArea dataOnly="0" labelOnly="1" outline="0" fieldPosition="0">
        <references count="3">
          <reference field="4" count="1" selected="0">
            <x v="7"/>
          </reference>
          <reference field="5" count="1">
            <x v="93"/>
          </reference>
          <reference field="18" count="1" selected="0">
            <x v="60"/>
          </reference>
        </references>
      </pivotArea>
    </format>
    <format dxfId="1146">
      <pivotArea dataOnly="0" labelOnly="1" outline="0" fieldPosition="0">
        <references count="3">
          <reference field="4" count="1" selected="0">
            <x v="7"/>
          </reference>
          <reference field="5" count="1">
            <x v="69"/>
          </reference>
          <reference field="18" count="1" selected="0">
            <x v="80"/>
          </reference>
        </references>
      </pivotArea>
    </format>
    <format dxfId="1145">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1144">
      <pivotArea dataOnly="0" labelOnly="1" outline="0" fieldPosition="0">
        <references count="1">
          <reference field="4" count="1">
            <x v="8"/>
          </reference>
        </references>
      </pivotArea>
    </format>
    <format dxfId="1143">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1142">
      <pivotArea dataOnly="0" labelOnly="1" outline="0" fieldPosition="0">
        <references count="3">
          <reference field="4" count="1" selected="0">
            <x v="8"/>
          </reference>
          <reference field="5" count="1">
            <x v="55"/>
          </reference>
          <reference field="18" count="1" selected="0">
            <x v="44"/>
          </reference>
        </references>
      </pivotArea>
    </format>
    <format dxfId="1141">
      <pivotArea dataOnly="0" labelOnly="1" outline="0" fieldPosition="0">
        <references count="3">
          <reference field="4" count="1" selected="0">
            <x v="8"/>
          </reference>
          <reference field="5" count="1">
            <x v="47"/>
          </reference>
          <reference field="18" count="1" selected="0">
            <x v="46"/>
          </reference>
        </references>
      </pivotArea>
    </format>
    <format dxfId="1140">
      <pivotArea dataOnly="0" labelOnly="1" outline="0" fieldPosition="0">
        <references count="3">
          <reference field="4" count="1" selected="0">
            <x v="8"/>
          </reference>
          <reference field="5" count="1">
            <x v="72"/>
          </reference>
          <reference field="18" count="1" selected="0">
            <x v="47"/>
          </reference>
        </references>
      </pivotArea>
    </format>
    <format dxfId="1139">
      <pivotArea dataOnly="0" labelOnly="1" outline="0" fieldPosition="0">
        <references count="3">
          <reference field="4" count="1" selected="0">
            <x v="8"/>
          </reference>
          <reference field="5" count="1">
            <x v="43"/>
          </reference>
          <reference field="18" count="1" selected="0">
            <x v="48"/>
          </reference>
        </references>
      </pivotArea>
    </format>
    <format dxfId="1138">
      <pivotArea dataOnly="0" labelOnly="1" outline="0" fieldPosition="0">
        <references count="3">
          <reference field="4" count="1" selected="0">
            <x v="8"/>
          </reference>
          <reference field="5" count="1">
            <x v="33"/>
          </reference>
          <reference field="18" count="1" selected="0">
            <x v="52"/>
          </reference>
        </references>
      </pivotArea>
    </format>
    <format dxfId="1137">
      <pivotArea dataOnly="0" labelOnly="1" outline="0" fieldPosition="0">
        <references count="3">
          <reference field="4" count="1" selected="0">
            <x v="8"/>
          </reference>
          <reference field="5" count="1">
            <x v="34"/>
          </reference>
          <reference field="18" count="1" selected="0">
            <x v="53"/>
          </reference>
        </references>
      </pivotArea>
    </format>
    <format dxfId="1136">
      <pivotArea dataOnly="0" labelOnly="1" outline="0" fieldPosition="0">
        <references count="3">
          <reference field="4" count="1" selected="0">
            <x v="8"/>
          </reference>
          <reference field="5" count="1">
            <x v="32"/>
          </reference>
          <reference field="18" count="1" selected="0">
            <x v="54"/>
          </reference>
        </references>
      </pivotArea>
    </format>
    <format dxfId="1135">
      <pivotArea dataOnly="0" labelOnly="1" outline="0" fieldPosition="0">
        <references count="3">
          <reference field="4" count="1" selected="0">
            <x v="8"/>
          </reference>
          <reference field="5" count="1">
            <x v="74"/>
          </reference>
          <reference field="18" count="1" selected="0">
            <x v="55"/>
          </reference>
        </references>
      </pivotArea>
    </format>
    <format dxfId="1134">
      <pivotArea dataOnly="0" labelOnly="1" outline="0" fieldPosition="0">
        <references count="3">
          <reference field="4" count="1" selected="0">
            <x v="8"/>
          </reference>
          <reference field="5" count="1">
            <x v="87"/>
          </reference>
          <reference field="18" count="1" selected="0">
            <x v="56"/>
          </reference>
        </references>
      </pivotArea>
    </format>
    <format dxfId="1133">
      <pivotArea dataOnly="0" labelOnly="1" outline="0" fieldPosition="0">
        <references count="3">
          <reference field="4" count="1" selected="0">
            <x v="8"/>
          </reference>
          <reference field="5" count="1">
            <x v="20"/>
          </reference>
          <reference field="18" count="1" selected="0">
            <x v="71"/>
          </reference>
        </references>
      </pivotArea>
    </format>
    <format dxfId="1132">
      <pivotArea dataOnly="0" labelOnly="1" outline="0" fieldPosition="0">
        <references count="3">
          <reference field="4" count="1" selected="0">
            <x v="8"/>
          </reference>
          <reference field="5" count="1">
            <x v="16"/>
          </reference>
          <reference field="18" count="1" selected="0">
            <x v="72"/>
          </reference>
        </references>
      </pivotArea>
    </format>
    <format dxfId="1131">
      <pivotArea dataOnly="0" labelOnly="1" outline="0" fieldPosition="0">
        <references count="3">
          <reference field="4" count="1" selected="0">
            <x v="8"/>
          </reference>
          <reference field="5" count="1">
            <x v="11"/>
          </reference>
          <reference field="18" count="1" selected="0">
            <x v="73"/>
          </reference>
        </references>
      </pivotArea>
    </format>
    <format dxfId="1130">
      <pivotArea dataOnly="0" labelOnly="1" outline="0" fieldPosition="0">
        <references count="3">
          <reference field="4" count="1" selected="0">
            <x v="8"/>
          </reference>
          <reference field="5" count="1">
            <x v="76"/>
          </reference>
          <reference field="18" count="1" selected="0">
            <x v="74"/>
          </reference>
        </references>
      </pivotArea>
    </format>
    <format dxfId="1129">
      <pivotArea dataOnly="0" labelOnly="1" outline="0" fieldPosition="0">
        <references count="3">
          <reference field="4" count="1" selected="0">
            <x v="8"/>
          </reference>
          <reference field="5" count="1">
            <x v="71"/>
          </reference>
          <reference field="18" count="1" selected="0">
            <x v="76"/>
          </reference>
        </references>
      </pivotArea>
    </format>
    <format dxfId="1128">
      <pivotArea dataOnly="0" labelOnly="1" outline="0" fieldPosition="0">
        <references count="3">
          <reference field="4" count="1" selected="0">
            <x v="8"/>
          </reference>
          <reference field="5" count="1">
            <x v="113"/>
          </reference>
          <reference field="18" count="1" selected="0">
            <x v="112"/>
          </reference>
        </references>
      </pivotArea>
    </format>
    <format dxfId="1127">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1126">
      <pivotArea dataOnly="0" labelOnly="1" outline="0" fieldPosition="0">
        <references count="1">
          <reference field="4" count="1">
            <x v="9"/>
          </reference>
        </references>
      </pivotArea>
    </format>
    <format dxfId="1125">
      <pivotArea dataOnly="0" labelOnly="1" outline="0" fieldPosition="0">
        <references count="2">
          <reference field="4" count="1" selected="0">
            <x v="9"/>
          </reference>
          <reference field="18" count="3">
            <x v="100"/>
            <x v="124"/>
            <x v="125"/>
          </reference>
        </references>
      </pivotArea>
    </format>
    <format dxfId="1124">
      <pivotArea dataOnly="0" labelOnly="1" outline="0" fieldPosition="0">
        <references count="3">
          <reference field="4" count="1" selected="0">
            <x v="9"/>
          </reference>
          <reference field="5" count="1">
            <x v="57"/>
          </reference>
          <reference field="18" count="1" selected="0">
            <x v="100"/>
          </reference>
        </references>
      </pivotArea>
    </format>
    <format dxfId="1123">
      <pivotArea dataOnly="0" labelOnly="1" outline="0" fieldPosition="0">
        <references count="3">
          <reference field="4" count="1" selected="0">
            <x v="9"/>
          </reference>
          <reference field="5" count="1">
            <x v="126"/>
          </reference>
          <reference field="18" count="1" selected="0">
            <x v="124"/>
          </reference>
        </references>
      </pivotArea>
    </format>
    <format dxfId="1122">
      <pivotArea dataOnly="0" labelOnly="1" outline="0" fieldPosition="0">
        <references count="3">
          <reference field="4" count="1" selected="0">
            <x v="9"/>
          </reference>
          <reference field="5" count="1">
            <x v="127"/>
          </reference>
          <reference field="18" count="1" selected="0">
            <x v="125"/>
          </reference>
        </references>
      </pivotArea>
    </format>
    <format dxfId="1121">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1120">
      <pivotArea dataOnly="0" labelOnly="1" outline="0" fieldPosition="0">
        <references count="1">
          <reference field="4" count="1">
            <x v="10"/>
          </reference>
        </references>
      </pivotArea>
    </format>
    <format dxfId="1119">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1118">
      <pivotArea dataOnly="0" labelOnly="1" outline="0" fieldPosition="0">
        <references count="3">
          <reference field="4" count="1" selected="0">
            <x v="10"/>
          </reference>
          <reference field="5" count="2">
            <x v="85"/>
            <x v="117"/>
          </reference>
          <reference field="18" count="1" selected="0">
            <x v="0"/>
          </reference>
        </references>
      </pivotArea>
    </format>
    <format dxfId="1117">
      <pivotArea dataOnly="0" labelOnly="1" outline="0" fieldPosition="0">
        <references count="3">
          <reference field="4" count="1" selected="0">
            <x v="10"/>
          </reference>
          <reference field="5" count="1">
            <x v="95"/>
          </reference>
          <reference field="18" count="1" selected="0">
            <x v="1"/>
          </reference>
        </references>
      </pivotArea>
    </format>
    <format dxfId="1116">
      <pivotArea dataOnly="0" labelOnly="1" outline="0" fieldPosition="0">
        <references count="3">
          <reference field="4" count="1" selected="0">
            <x v="10"/>
          </reference>
          <reference field="5" count="1">
            <x v="73"/>
          </reference>
          <reference field="18" count="1" selected="0">
            <x v="2"/>
          </reference>
        </references>
      </pivotArea>
    </format>
    <format dxfId="1115">
      <pivotArea dataOnly="0" labelOnly="1" outline="0" fieldPosition="0">
        <references count="3">
          <reference field="4" count="1" selected="0">
            <x v="10"/>
          </reference>
          <reference field="5" count="1">
            <x v="97"/>
          </reference>
          <reference field="18" count="1" selected="0">
            <x v="3"/>
          </reference>
        </references>
      </pivotArea>
    </format>
    <format dxfId="1114">
      <pivotArea dataOnly="0" labelOnly="1" outline="0" fieldPosition="0">
        <references count="3">
          <reference field="4" count="1" selected="0">
            <x v="10"/>
          </reference>
          <reference field="5" count="1">
            <x v="96"/>
          </reference>
          <reference field="18" count="1" selected="0">
            <x v="4"/>
          </reference>
        </references>
      </pivotArea>
    </format>
    <format dxfId="1113">
      <pivotArea dataOnly="0" labelOnly="1" outline="0" fieldPosition="0">
        <references count="3">
          <reference field="4" count="1" selected="0">
            <x v="10"/>
          </reference>
          <reference field="5" count="1">
            <x v="98"/>
          </reference>
          <reference field="18" count="1" selected="0">
            <x v="5"/>
          </reference>
        </references>
      </pivotArea>
    </format>
    <format dxfId="1112">
      <pivotArea dataOnly="0" labelOnly="1" outline="0" fieldPosition="0">
        <references count="3">
          <reference field="4" count="1" selected="0">
            <x v="10"/>
          </reference>
          <reference field="5" count="1">
            <x v="88"/>
          </reference>
          <reference field="18" count="1" selected="0">
            <x v="6"/>
          </reference>
        </references>
      </pivotArea>
    </format>
    <format dxfId="1111">
      <pivotArea dataOnly="0" labelOnly="1" outline="0" fieldPosition="0">
        <references count="3">
          <reference field="4" count="1" selected="0">
            <x v="10"/>
          </reference>
          <reference field="5" count="1">
            <x v="44"/>
          </reference>
          <reference field="18" count="1" selected="0">
            <x v="7"/>
          </reference>
        </references>
      </pivotArea>
    </format>
    <format dxfId="1110">
      <pivotArea dataOnly="0" labelOnly="1" outline="0" fieldPosition="0">
        <references count="3">
          <reference field="4" count="1" selected="0">
            <x v="10"/>
          </reference>
          <reference field="5" count="1">
            <x v="92"/>
          </reference>
          <reference field="18" count="1" selected="0">
            <x v="8"/>
          </reference>
        </references>
      </pivotArea>
    </format>
    <format dxfId="1109">
      <pivotArea dataOnly="0" labelOnly="1" outline="0" fieldPosition="0">
        <references count="3">
          <reference field="4" count="1" selected="0">
            <x v="10"/>
          </reference>
          <reference field="5" count="1">
            <x v="9"/>
          </reference>
          <reference field="18" count="1" selected="0">
            <x v="9"/>
          </reference>
        </references>
      </pivotArea>
    </format>
    <format dxfId="1108">
      <pivotArea dataOnly="0" labelOnly="1" outline="0" fieldPosition="0">
        <references count="3">
          <reference field="4" count="1" selected="0">
            <x v="10"/>
          </reference>
          <reference field="5" count="1">
            <x v="10"/>
          </reference>
          <reference field="18" count="1" selected="0">
            <x v="10"/>
          </reference>
        </references>
      </pivotArea>
    </format>
    <format dxfId="1107">
      <pivotArea dataOnly="0" labelOnly="1" outline="0" fieldPosition="0">
        <references count="3">
          <reference field="4" count="1" selected="0">
            <x v="10"/>
          </reference>
          <reference field="5" count="1">
            <x v="8"/>
          </reference>
          <reference field="18" count="1" selected="0">
            <x v="11"/>
          </reference>
        </references>
      </pivotArea>
    </format>
    <format dxfId="1106">
      <pivotArea dataOnly="0" labelOnly="1" outline="0" fieldPosition="0">
        <references count="3">
          <reference field="4" count="1" selected="0">
            <x v="10"/>
          </reference>
          <reference field="5" count="1">
            <x v="23"/>
          </reference>
          <reference field="18" count="1" selected="0">
            <x v="12"/>
          </reference>
        </references>
      </pivotArea>
    </format>
    <format dxfId="1105">
      <pivotArea dataOnly="0" labelOnly="1" outline="0" fieldPosition="0">
        <references count="3">
          <reference field="4" count="1" selected="0">
            <x v="10"/>
          </reference>
          <reference field="5" count="1">
            <x v="28"/>
          </reference>
          <reference field="18" count="1" selected="0">
            <x v="13"/>
          </reference>
        </references>
      </pivotArea>
    </format>
    <format dxfId="1104">
      <pivotArea dataOnly="0" labelOnly="1" outline="0" fieldPosition="0">
        <references count="3">
          <reference field="4" count="1" selected="0">
            <x v="10"/>
          </reference>
          <reference field="5" count="1">
            <x v="27"/>
          </reference>
          <reference field="18" count="1" selected="0">
            <x v="14"/>
          </reference>
        </references>
      </pivotArea>
    </format>
    <format dxfId="1103">
      <pivotArea dataOnly="0" labelOnly="1" outline="0" fieldPosition="0">
        <references count="3">
          <reference field="4" count="1" selected="0">
            <x v="10"/>
          </reference>
          <reference field="5" count="1">
            <x v="42"/>
          </reference>
          <reference field="18" count="1" selected="0">
            <x v="15"/>
          </reference>
        </references>
      </pivotArea>
    </format>
    <format dxfId="1102">
      <pivotArea dataOnly="0" labelOnly="1" outline="0" fieldPosition="0">
        <references count="3">
          <reference field="4" count="1" selected="0">
            <x v="10"/>
          </reference>
          <reference field="5" count="1">
            <x v="18"/>
          </reference>
          <reference field="18" count="1" selected="0">
            <x v="16"/>
          </reference>
        </references>
      </pivotArea>
    </format>
    <format dxfId="1101">
      <pivotArea dataOnly="0" labelOnly="1" outline="0" fieldPosition="0">
        <references count="3">
          <reference field="4" count="1" selected="0">
            <x v="10"/>
          </reference>
          <reference field="5" count="1">
            <x v="19"/>
          </reference>
          <reference field="18" count="1" selected="0">
            <x v="17"/>
          </reference>
        </references>
      </pivotArea>
    </format>
    <format dxfId="1100">
      <pivotArea dataOnly="0" labelOnly="1" outline="0" fieldPosition="0">
        <references count="3">
          <reference field="4" count="1" selected="0">
            <x v="10"/>
          </reference>
          <reference field="5" count="1">
            <x v="52"/>
          </reference>
          <reference field="18" count="1" selected="0">
            <x v="18"/>
          </reference>
        </references>
      </pivotArea>
    </format>
    <format dxfId="1099">
      <pivotArea dataOnly="0" labelOnly="1" outline="0" fieldPosition="0">
        <references count="3">
          <reference field="4" count="1" selected="0">
            <x v="10"/>
          </reference>
          <reference field="5" count="1">
            <x v="53"/>
          </reference>
          <reference field="18" count="1" selected="0">
            <x v="19"/>
          </reference>
        </references>
      </pivotArea>
    </format>
    <format dxfId="1098">
      <pivotArea dataOnly="0" labelOnly="1" outline="0" fieldPosition="0">
        <references count="3">
          <reference field="4" count="1" selected="0">
            <x v="10"/>
          </reference>
          <reference field="5" count="1">
            <x v="105"/>
          </reference>
          <reference field="18" count="1" selected="0">
            <x v="20"/>
          </reference>
        </references>
      </pivotArea>
    </format>
    <format dxfId="1097">
      <pivotArea dataOnly="0" labelOnly="1" outline="0" fieldPosition="0">
        <references count="3">
          <reference field="4" count="1" selected="0">
            <x v="10"/>
          </reference>
          <reference field="5" count="1">
            <x v="65"/>
          </reference>
          <reference field="18" count="1" selected="0">
            <x v="21"/>
          </reference>
        </references>
      </pivotArea>
    </format>
    <format dxfId="1096">
      <pivotArea dataOnly="0" labelOnly="1" outline="0" fieldPosition="0">
        <references count="3">
          <reference field="4" count="1" selected="0">
            <x v="10"/>
          </reference>
          <reference field="5" count="1">
            <x v="75"/>
          </reference>
          <reference field="18" count="1" selected="0">
            <x v="82"/>
          </reference>
        </references>
      </pivotArea>
    </format>
    <format dxfId="1095">
      <pivotArea dataOnly="0" labelOnly="1" outline="0" fieldPosition="0">
        <references count="3">
          <reference field="4" count="1" selected="0">
            <x v="10"/>
          </reference>
          <reference field="5" count="1">
            <x v="132"/>
          </reference>
          <reference field="18" count="1" selected="0">
            <x v="131"/>
          </reference>
        </references>
      </pivotArea>
    </format>
    <format dxfId="1094">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1093">
      <pivotArea dataOnly="0" labelOnly="1" outline="0" fieldPosition="0">
        <references count="1">
          <reference field="4" count="1">
            <x v="11"/>
          </reference>
        </references>
      </pivotArea>
    </format>
    <format dxfId="1092">
      <pivotArea dataOnly="0" labelOnly="1" outline="0" fieldPosition="0">
        <references count="2">
          <reference field="4" count="1" selected="0">
            <x v="11"/>
          </reference>
          <reference field="18" count="4">
            <x v="98"/>
            <x v="99"/>
            <x v="126"/>
            <x v="127"/>
          </reference>
        </references>
      </pivotArea>
    </format>
    <format dxfId="1091">
      <pivotArea dataOnly="0" labelOnly="1" outline="0" fieldPosition="0">
        <references count="3">
          <reference field="4" count="1" selected="0">
            <x v="11"/>
          </reference>
          <reference field="5" count="1">
            <x v="60"/>
          </reference>
          <reference field="18" count="1" selected="0">
            <x v="98"/>
          </reference>
        </references>
      </pivotArea>
    </format>
    <format dxfId="1090">
      <pivotArea dataOnly="0" labelOnly="1" outline="0" fieldPosition="0">
        <references count="3">
          <reference field="4" count="1" selected="0">
            <x v="11"/>
          </reference>
          <reference field="5" count="1">
            <x v="59"/>
          </reference>
          <reference field="18" count="1" selected="0">
            <x v="99"/>
          </reference>
        </references>
      </pivotArea>
    </format>
    <format dxfId="1089">
      <pivotArea dataOnly="0" labelOnly="1" outline="0" fieldPosition="0">
        <references count="3">
          <reference field="4" count="1" selected="0">
            <x v="11"/>
          </reference>
          <reference field="5" count="1">
            <x v="128"/>
          </reference>
          <reference field="18" count="1" selected="0">
            <x v="126"/>
          </reference>
        </references>
      </pivotArea>
    </format>
    <format dxfId="1088">
      <pivotArea dataOnly="0" labelOnly="1" outline="0" fieldPosition="0">
        <references count="3">
          <reference field="4" count="1" selected="0">
            <x v="11"/>
          </reference>
          <reference field="5" count="1">
            <x v="129"/>
          </reference>
          <reference field="18" count="1" selected="0">
            <x v="127"/>
          </reference>
        </references>
      </pivotArea>
    </format>
    <format dxfId="1087">
      <pivotArea outline="0" collapsedLevelsAreSubtotals="1" fieldPosition="0">
        <references count="3">
          <reference field="4" count="1" selected="0">
            <x v="12"/>
          </reference>
          <reference field="5" count="1" selected="0">
            <x v="64"/>
          </reference>
          <reference field="18" count="1" selected="0">
            <x v="104"/>
          </reference>
        </references>
      </pivotArea>
    </format>
    <format dxfId="1086">
      <pivotArea dataOnly="0" labelOnly="1" outline="0" fieldPosition="0">
        <references count="1">
          <reference field="4" count="1">
            <x v="12"/>
          </reference>
        </references>
      </pivotArea>
    </format>
    <format dxfId="1085">
      <pivotArea dataOnly="0" labelOnly="1" outline="0" fieldPosition="0">
        <references count="2">
          <reference field="4" count="1" selected="0">
            <x v="12"/>
          </reference>
          <reference field="18" count="1">
            <x v="104"/>
          </reference>
        </references>
      </pivotArea>
    </format>
    <format dxfId="1084">
      <pivotArea dataOnly="0" labelOnly="1" outline="0" fieldPosition="0">
        <references count="3">
          <reference field="4" count="1" selected="0">
            <x v="12"/>
          </reference>
          <reference field="5" count="1">
            <x v="64"/>
          </reference>
          <reference field="18" count="1" selected="0">
            <x v="104"/>
          </reference>
        </references>
      </pivotArea>
    </format>
    <format dxfId="1083">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1082">
      <pivotArea dataOnly="0" labelOnly="1" outline="0" fieldPosition="0">
        <references count="1">
          <reference field="4" count="1">
            <x v="13"/>
          </reference>
        </references>
      </pivotArea>
    </format>
    <format dxfId="1081">
      <pivotArea dataOnly="0" labelOnly="1" outline="0" fieldPosition="0">
        <references count="2">
          <reference field="4" count="1" selected="0">
            <x v="13"/>
          </reference>
          <reference field="18" count="2">
            <x v="50"/>
            <x v="51"/>
          </reference>
        </references>
      </pivotArea>
    </format>
    <format dxfId="1080">
      <pivotArea dataOnly="0" labelOnly="1" outline="0" fieldPosition="0">
        <references count="3">
          <reference field="4" count="1" selected="0">
            <x v="13"/>
          </reference>
          <reference field="5" count="1">
            <x v="90"/>
          </reference>
          <reference field="18" count="1" selected="0">
            <x v="50"/>
          </reference>
        </references>
      </pivotArea>
    </format>
    <format dxfId="1079">
      <pivotArea dataOnly="0" labelOnly="1" outline="0" fieldPosition="0">
        <references count="3">
          <reference field="4" count="1" selected="0">
            <x v="13"/>
          </reference>
          <reference field="5" count="1">
            <x v="91"/>
          </reference>
          <reference field="18" count="1" selected="0">
            <x v="51"/>
          </reference>
        </references>
      </pivotArea>
    </format>
    <format dxfId="1078">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1077">
      <pivotArea dataOnly="0" labelOnly="1" outline="0" fieldPosition="0">
        <references count="1">
          <reference field="4" count="1">
            <x v="14"/>
          </reference>
        </references>
      </pivotArea>
    </format>
    <format dxfId="1076">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1075">
      <pivotArea dataOnly="0" labelOnly="1" outline="0" fieldPosition="0">
        <references count="3">
          <reference field="4" count="1" selected="0">
            <x v="14"/>
          </reference>
          <reference field="5" count="1">
            <x v="80"/>
          </reference>
          <reference field="18" count="1" selected="0">
            <x v="22"/>
          </reference>
        </references>
      </pivotArea>
    </format>
    <format dxfId="1074">
      <pivotArea dataOnly="0" labelOnly="1" outline="0" fieldPosition="0">
        <references count="3">
          <reference field="4" count="1" selected="0">
            <x v="14"/>
          </reference>
          <reference field="5" count="1">
            <x v="82"/>
          </reference>
          <reference field="18" count="1" selected="0">
            <x v="23"/>
          </reference>
        </references>
      </pivotArea>
    </format>
    <format dxfId="1073">
      <pivotArea dataOnly="0" labelOnly="1" outline="0" fieldPosition="0">
        <references count="3">
          <reference field="4" count="1" selected="0">
            <x v="14"/>
          </reference>
          <reference field="5" count="1">
            <x v="36"/>
          </reference>
          <reference field="18" count="1" selected="0">
            <x v="24"/>
          </reference>
        </references>
      </pivotArea>
    </format>
    <format dxfId="1072">
      <pivotArea dataOnly="0" labelOnly="1" outline="0" fieldPosition="0">
        <references count="3">
          <reference field="4" count="1" selected="0">
            <x v="14"/>
          </reference>
          <reference field="5" count="1">
            <x v="12"/>
          </reference>
          <reference field="18" count="1" selected="0">
            <x v="25"/>
          </reference>
        </references>
      </pivotArea>
    </format>
    <format dxfId="1071">
      <pivotArea dataOnly="0" labelOnly="1" outline="0" fieldPosition="0">
        <references count="3">
          <reference field="4" count="1" selected="0">
            <x v="14"/>
          </reference>
          <reference field="5" count="1">
            <x v="39"/>
          </reference>
          <reference field="18" count="1" selected="0">
            <x v="26"/>
          </reference>
        </references>
      </pivotArea>
    </format>
    <format dxfId="1070">
      <pivotArea dataOnly="0" labelOnly="1" outline="0" fieldPosition="0">
        <references count="3">
          <reference field="4" count="1" selected="0">
            <x v="14"/>
          </reference>
          <reference field="5" count="1">
            <x v="81"/>
          </reference>
          <reference field="18" count="1" selected="0">
            <x v="27"/>
          </reference>
        </references>
      </pivotArea>
    </format>
    <format dxfId="1069">
      <pivotArea dataOnly="0" labelOnly="1" outline="0" fieldPosition="0">
        <references count="3">
          <reference field="4" count="1" selected="0">
            <x v="14"/>
          </reference>
          <reference field="5" count="1">
            <x v="38"/>
          </reference>
          <reference field="18" count="1" selected="0">
            <x v="28"/>
          </reference>
        </references>
      </pivotArea>
    </format>
    <format dxfId="1068">
      <pivotArea dataOnly="0" labelOnly="1" outline="0" fieldPosition="0">
        <references count="3">
          <reference field="4" count="1" selected="0">
            <x v="14"/>
          </reference>
          <reference field="5" count="1">
            <x v="79"/>
          </reference>
          <reference field="18" count="1" selected="0">
            <x v="29"/>
          </reference>
        </references>
      </pivotArea>
    </format>
    <format dxfId="1067">
      <pivotArea dataOnly="0" labelOnly="1" outline="0" fieldPosition="0">
        <references count="3">
          <reference field="4" count="1" selected="0">
            <x v="14"/>
          </reference>
          <reference field="5" count="1">
            <x v="101"/>
          </reference>
          <reference field="18" count="1" selected="0">
            <x v="30"/>
          </reference>
        </references>
      </pivotArea>
    </format>
    <format dxfId="1066">
      <pivotArea dataOnly="0" labelOnly="1" outline="0" fieldPosition="0">
        <references count="3">
          <reference field="4" count="1" selected="0">
            <x v="14"/>
          </reference>
          <reference field="5" count="1">
            <x v="99"/>
          </reference>
          <reference field="18" count="1" selected="0">
            <x v="31"/>
          </reference>
        </references>
      </pivotArea>
    </format>
    <format dxfId="1065">
      <pivotArea dataOnly="0" labelOnly="1" outline="0" fieldPosition="0">
        <references count="3">
          <reference field="4" count="1" selected="0">
            <x v="14"/>
          </reference>
          <reference field="5" count="1">
            <x v="100"/>
          </reference>
          <reference field="18" count="1" selected="0">
            <x v="32"/>
          </reference>
        </references>
      </pivotArea>
    </format>
    <format dxfId="1064">
      <pivotArea dataOnly="0" labelOnly="1" outline="0" fieldPosition="0">
        <references count="3">
          <reference field="4" count="1" selected="0">
            <x v="14"/>
          </reference>
          <reference field="5" count="1">
            <x v="41"/>
          </reference>
          <reference field="18" count="1" selected="0">
            <x v="33"/>
          </reference>
        </references>
      </pivotArea>
    </format>
    <format dxfId="1063">
      <pivotArea dataOnly="0" labelOnly="1" outline="0" fieldPosition="0">
        <references count="3">
          <reference field="4" count="1" selected="0">
            <x v="14"/>
          </reference>
          <reference field="5" count="1">
            <x v="40"/>
          </reference>
          <reference field="18" count="1" selected="0">
            <x v="34"/>
          </reference>
        </references>
      </pivotArea>
    </format>
    <format dxfId="1062">
      <pivotArea dataOnly="0" labelOnly="1" outline="0" fieldPosition="0">
        <references count="3">
          <reference field="4" count="1" selected="0">
            <x v="14"/>
          </reference>
          <reference field="5" count="1">
            <x v="89"/>
          </reference>
          <reference field="18" count="1" selected="0">
            <x v="35"/>
          </reference>
        </references>
      </pivotArea>
    </format>
    <format dxfId="1061">
      <pivotArea dataOnly="0" labelOnly="1" outline="0" fieldPosition="0">
        <references count="3">
          <reference field="4" count="1" selected="0">
            <x v="14"/>
          </reference>
          <reference field="5" count="1">
            <x v="4"/>
          </reference>
          <reference field="18" count="1" selected="0">
            <x v="67"/>
          </reference>
        </references>
      </pivotArea>
    </format>
    <format dxfId="1060">
      <pivotArea dataOnly="0" labelOnly="1" outline="0" fieldPosition="0">
        <references count="3">
          <reference field="4" count="1" selected="0">
            <x v="14"/>
          </reference>
          <reference field="5" count="1">
            <x v="13"/>
          </reference>
          <reference field="18" count="1" selected="0">
            <x v="68"/>
          </reference>
        </references>
      </pivotArea>
    </format>
    <format dxfId="1059">
      <pivotArea dataOnly="0" labelOnly="1" outline="0" fieldPosition="0">
        <references count="3">
          <reference field="4" count="1" selected="0">
            <x v="14"/>
          </reference>
          <reference field="5" count="1">
            <x v="104"/>
          </reference>
          <reference field="18" count="1" selected="0">
            <x v="69"/>
          </reference>
        </references>
      </pivotArea>
    </format>
    <format dxfId="1058">
      <pivotArea dataOnly="0" labelOnly="1" outline="0" fieldPosition="0">
        <references count="3">
          <reference field="4" count="1" selected="0">
            <x v="14"/>
          </reference>
          <reference field="5" count="1">
            <x v="37"/>
          </reference>
          <reference field="18" count="1" selected="0">
            <x v="70"/>
          </reference>
        </references>
      </pivotArea>
    </format>
    <format dxfId="1057">
      <pivotArea dataOnly="0" labelOnly="1" outline="0" fieldPosition="0">
        <references count="3">
          <reference field="4" count="1" selected="0">
            <x v="14"/>
          </reference>
          <reference field="5" count="1">
            <x v="78"/>
          </reference>
          <reference field="18" count="1" selected="0">
            <x v="81"/>
          </reference>
        </references>
      </pivotArea>
    </format>
    <format dxfId="1056">
      <pivotArea dataOnly="0" labelOnly="1" outline="0" fieldPosition="0">
        <references count="3">
          <reference field="4" count="1" selected="0">
            <x v="14"/>
          </reference>
          <reference field="5" count="1">
            <x v="111"/>
          </reference>
          <reference field="18" count="1" selected="0">
            <x v="110"/>
          </reference>
        </references>
      </pivotArea>
    </format>
    <format dxfId="1055">
      <pivotArea dataOnly="0" labelOnly="1" outline="0" fieldPosition="0">
        <references count="3">
          <reference field="4" count="1" selected="0">
            <x v="14"/>
          </reference>
          <reference field="5" count="1">
            <x v="131"/>
          </reference>
          <reference field="18" count="1" selected="0">
            <x v="130"/>
          </reference>
        </references>
      </pivotArea>
    </format>
    <format dxfId="1054">
      <pivotArea dataOnly="0" labelOnly="1" outline="0" fieldPosition="0">
        <references count="3">
          <reference field="4" count="1" selected="0">
            <x v="14"/>
          </reference>
          <reference field="5" count="1">
            <x v="133"/>
          </reference>
          <reference field="18" count="1" selected="0">
            <x v="132"/>
          </reference>
        </references>
      </pivotArea>
    </format>
    <format dxfId="1053">
      <pivotArea outline="0" collapsedLevelsAreSubtotals="1" fieldPosition="0">
        <references count="3">
          <reference field="4" count="1" selected="0">
            <x v="15"/>
          </reference>
          <reference field="5" count="1" selected="0">
            <x v="117"/>
          </reference>
          <reference field="18" count="1" selected="0">
            <x v="0"/>
          </reference>
        </references>
      </pivotArea>
    </format>
    <format dxfId="1052">
      <pivotArea dataOnly="0" labelOnly="1" outline="0" fieldPosition="0">
        <references count="1">
          <reference field="4" count="1">
            <x v="15"/>
          </reference>
        </references>
      </pivotArea>
    </format>
    <format dxfId="1051">
      <pivotArea dataOnly="0" labelOnly="1" outline="0" fieldPosition="0">
        <references count="2">
          <reference field="4" count="1" selected="0">
            <x v="15"/>
          </reference>
          <reference field="18" count="1">
            <x v="0"/>
          </reference>
        </references>
      </pivotArea>
    </format>
    <format dxfId="1050">
      <pivotArea dataOnly="0" labelOnly="1" outline="0" fieldPosition="0">
        <references count="3">
          <reference field="4" count="1" selected="0">
            <x v="15"/>
          </reference>
          <reference field="5" count="1">
            <x v="117"/>
          </reference>
          <reference field="18" count="1" selected="0">
            <x v="0"/>
          </reference>
        </references>
      </pivotArea>
    </format>
    <format dxfId="1049">
      <pivotArea grandRow="1" outline="0" collapsedLevelsAreSubtotals="1" fieldPosition="0"/>
    </format>
    <format dxfId="1048">
      <pivotArea dataOnly="0" labelOnly="1" grandRow="1" outline="0" fieldPosition="0"/>
    </format>
    <format dxfId="1047">
      <pivotArea type="all" dataOnly="0" outline="0" fieldPosition="0"/>
    </format>
    <format dxfId="1046">
      <pivotArea dataOnly="0" labelOnly="1" outline="0" fieldPosition="0">
        <references count="1">
          <reference field="4" count="0"/>
        </references>
      </pivotArea>
    </format>
    <format dxfId="1045">
      <pivotArea dataOnly="0" labelOnly="1" grandRow="1" outline="0" offset="A256" fieldPosition="0"/>
    </format>
    <format dxfId="1044">
      <pivotArea field="5" type="button" dataOnly="0" labelOnly="1" outline="0" axis="axisRow" fieldPosition="2"/>
    </format>
    <format dxfId="1043">
      <pivotArea dataOnly="0" labelOnly="1" grandRow="1" outline="0" offset="IV256" fieldPosition="0"/>
    </format>
    <format dxfId="1042">
      <pivotArea dataOnly="0" labelOnly="1" outline="0" fieldPosition="0">
        <references count="3">
          <reference field="4" count="1" selected="0">
            <x v="0"/>
          </reference>
          <reference field="5" count="1">
            <x v="84"/>
          </reference>
          <reference field="18" count="1" selected="0">
            <x v="37"/>
          </reference>
        </references>
      </pivotArea>
    </format>
    <format dxfId="1041">
      <pivotArea dataOnly="0" labelOnly="1" outline="0" fieldPosition="0">
        <references count="3">
          <reference field="4" count="1" selected="0">
            <x v="0"/>
          </reference>
          <reference field="5" count="1">
            <x v="31"/>
          </reference>
          <reference field="18" count="1" selected="0">
            <x v="38"/>
          </reference>
        </references>
      </pivotArea>
    </format>
    <format dxfId="1040">
      <pivotArea dataOnly="0" labelOnly="1" outline="0" fieldPosition="0">
        <references count="3">
          <reference field="4" count="1" selected="0">
            <x v="0"/>
          </reference>
          <reference field="5" count="1">
            <x v="1"/>
          </reference>
          <reference field="18" count="1" selected="0">
            <x v="39"/>
          </reference>
        </references>
      </pivotArea>
    </format>
    <format dxfId="1039">
      <pivotArea dataOnly="0" labelOnly="1" outline="0" fieldPosition="0">
        <references count="3">
          <reference field="4" count="1" selected="0">
            <x v="0"/>
          </reference>
          <reference field="5" count="1">
            <x v="17"/>
          </reference>
          <reference field="18" count="1" selected="0">
            <x v="40"/>
          </reference>
        </references>
      </pivotArea>
    </format>
    <format dxfId="1038">
      <pivotArea dataOnly="0" labelOnly="1" outline="0" fieldPosition="0">
        <references count="3">
          <reference field="4" count="1" selected="0">
            <x v="0"/>
          </reference>
          <reference field="5" count="1">
            <x v="106"/>
          </reference>
          <reference field="18" count="1" selected="0">
            <x v="41"/>
          </reference>
        </references>
      </pivotArea>
    </format>
    <format dxfId="1037">
      <pivotArea dataOnly="0" labelOnly="1" outline="0" fieldPosition="0">
        <references count="3">
          <reference field="4" count="1" selected="0">
            <x v="0"/>
          </reference>
          <reference field="5" count="1">
            <x v="66"/>
          </reference>
          <reference field="18" count="1" selected="0">
            <x v="42"/>
          </reference>
        </references>
      </pivotArea>
    </format>
    <format dxfId="1036">
      <pivotArea dataOnly="0" labelOnly="1" outline="0" fieldPosition="0">
        <references count="3">
          <reference field="4" count="1" selected="0">
            <x v="0"/>
          </reference>
          <reference field="5" count="1">
            <x v="94"/>
          </reference>
          <reference field="18" count="1" selected="0">
            <x v="43"/>
          </reference>
        </references>
      </pivotArea>
    </format>
    <format dxfId="1035">
      <pivotArea dataOnly="0" labelOnly="1" outline="0" fieldPosition="0">
        <references count="3">
          <reference field="4" count="1" selected="0">
            <x v="0"/>
          </reference>
          <reference field="5" count="1">
            <x v="77"/>
          </reference>
          <reference field="18" count="1" selected="0">
            <x v="93"/>
          </reference>
        </references>
      </pivotArea>
    </format>
    <format dxfId="1034">
      <pivotArea dataOnly="0" labelOnly="1" outline="0" fieldPosition="0">
        <references count="3">
          <reference field="4" count="1" selected="0">
            <x v="0"/>
          </reference>
          <reference field="5" count="1">
            <x v="112"/>
          </reference>
          <reference field="18" count="1" selected="0">
            <x v="111"/>
          </reference>
        </references>
      </pivotArea>
    </format>
    <format dxfId="1033">
      <pivotArea dataOnly="0" labelOnly="1" outline="0" fieldPosition="0">
        <references count="3">
          <reference field="4" count="1" selected="0">
            <x v="0"/>
          </reference>
          <reference field="5" count="1">
            <x v="115"/>
          </reference>
          <reference field="18" count="1" selected="0">
            <x v="114"/>
          </reference>
        </references>
      </pivotArea>
    </format>
    <format dxfId="1032">
      <pivotArea dataOnly="0" labelOnly="1" outline="0" fieldPosition="0">
        <references count="3">
          <reference field="4" count="1" selected="0">
            <x v="1"/>
          </reference>
          <reference field="5" count="1">
            <x v="6"/>
          </reference>
          <reference field="18" count="1" selected="0">
            <x v="36"/>
          </reference>
        </references>
      </pivotArea>
    </format>
    <format dxfId="1031">
      <pivotArea dataOnly="0" labelOnly="1" outline="0" fieldPosition="0">
        <references count="3">
          <reference field="4" count="1" selected="0">
            <x v="1"/>
          </reference>
          <reference field="5" count="1">
            <x v="29"/>
          </reference>
          <reference field="18" count="1" selected="0">
            <x v="94"/>
          </reference>
        </references>
      </pivotArea>
    </format>
    <format dxfId="1030">
      <pivotArea dataOnly="0" labelOnly="1" outline="0" fieldPosition="0">
        <references count="3">
          <reference field="4" count="1" selected="0">
            <x v="1"/>
          </reference>
          <reference field="5" count="1">
            <x v="118"/>
          </reference>
          <reference field="18" count="1" selected="0">
            <x v="116"/>
          </reference>
        </references>
      </pivotArea>
    </format>
    <format dxfId="1029">
      <pivotArea dataOnly="0" labelOnly="1" outline="0" fieldPosition="0">
        <references count="3">
          <reference field="4" count="1" selected="0">
            <x v="2"/>
          </reference>
          <reference field="5" count="2">
            <x v="103"/>
            <x v="117"/>
          </reference>
          <reference field="18" count="1" selected="0">
            <x v="0"/>
          </reference>
        </references>
      </pivotArea>
    </format>
    <format dxfId="1028">
      <pivotArea dataOnly="0" labelOnly="1" outline="0" fieldPosition="0">
        <references count="3">
          <reference field="4" count="1" selected="0">
            <x v="2"/>
          </reference>
          <reference field="5" count="1">
            <x v="54"/>
          </reference>
          <reference field="18" count="1" selected="0">
            <x v="62"/>
          </reference>
        </references>
      </pivotArea>
    </format>
    <format dxfId="1027">
      <pivotArea dataOnly="0" labelOnly="1" outline="0" fieldPosition="0">
        <references count="3">
          <reference field="4" count="1" selected="0">
            <x v="2"/>
          </reference>
          <reference field="5" count="1">
            <x v="67"/>
          </reference>
          <reference field="18" count="1" selected="0">
            <x v="64"/>
          </reference>
        </references>
      </pivotArea>
    </format>
    <format dxfId="1026">
      <pivotArea dataOnly="0" labelOnly="1" outline="0" fieldPosition="0">
        <references count="3">
          <reference field="4" count="1" selected="0">
            <x v="2"/>
          </reference>
          <reference field="5" count="1">
            <x v="107"/>
          </reference>
          <reference field="18" count="1" selected="0">
            <x v="65"/>
          </reference>
        </references>
      </pivotArea>
    </format>
    <format dxfId="1025">
      <pivotArea dataOnly="0" labelOnly="1" outline="0" fieldPosition="0">
        <references count="3">
          <reference field="4" count="1" selected="0">
            <x v="2"/>
          </reference>
          <reference field="5" count="1">
            <x v="5"/>
          </reference>
          <reference field="18" count="1" selected="0">
            <x v="66"/>
          </reference>
        </references>
      </pivotArea>
    </format>
    <format dxfId="1024">
      <pivotArea dataOnly="0" labelOnly="1" outline="0" fieldPosition="0">
        <references count="3">
          <reference field="4" count="1" selected="0">
            <x v="2"/>
          </reference>
          <reference field="5" count="1">
            <x v="3"/>
          </reference>
          <reference field="18" count="1" selected="0">
            <x v="83"/>
          </reference>
        </references>
      </pivotArea>
    </format>
    <format dxfId="1023">
      <pivotArea dataOnly="0" labelOnly="1" outline="0" fieldPosition="0">
        <references count="3">
          <reference field="4" count="1" selected="0">
            <x v="2"/>
          </reference>
          <reference field="5" count="1">
            <x v="7"/>
          </reference>
          <reference field="18" count="1" selected="0">
            <x v="84"/>
          </reference>
        </references>
      </pivotArea>
    </format>
    <format dxfId="1022">
      <pivotArea dataOnly="0" labelOnly="1" outline="0" fieldPosition="0">
        <references count="3">
          <reference field="4" count="1" selected="0">
            <x v="2"/>
          </reference>
          <reference field="5" count="1">
            <x v="2"/>
          </reference>
          <reference field="18" count="1" selected="0">
            <x v="85"/>
          </reference>
        </references>
      </pivotArea>
    </format>
    <format dxfId="1021">
      <pivotArea dataOnly="0" labelOnly="1" outline="0" fieldPosition="0">
        <references count="3">
          <reference field="4" count="1" selected="0">
            <x v="2"/>
          </reference>
          <reference field="5" count="1">
            <x v="0"/>
          </reference>
          <reference field="18" count="1" selected="0">
            <x v="86"/>
          </reference>
        </references>
      </pivotArea>
    </format>
    <format dxfId="1020">
      <pivotArea dataOnly="0" labelOnly="1" outline="0" fieldPosition="0">
        <references count="3">
          <reference field="4" count="1" selected="0">
            <x v="2"/>
          </reference>
          <reference field="5" count="1">
            <x v="30"/>
          </reference>
          <reference field="18" count="1" selected="0">
            <x v="87"/>
          </reference>
        </references>
      </pivotArea>
    </format>
    <format dxfId="1019">
      <pivotArea dataOnly="0" labelOnly="1" outline="0" fieldPosition="0">
        <references count="3">
          <reference field="4" count="1" selected="0">
            <x v="2"/>
          </reference>
          <reference field="5" count="1">
            <x v="83"/>
          </reference>
          <reference field="18" count="1" selected="0">
            <x v="88"/>
          </reference>
        </references>
      </pivotArea>
    </format>
    <format dxfId="1018">
      <pivotArea dataOnly="0" labelOnly="1" outline="0" fieldPosition="0">
        <references count="3">
          <reference field="4" count="1" selected="0">
            <x v="2"/>
          </reference>
          <reference field="5" count="1">
            <x v="86"/>
          </reference>
          <reference field="18" count="1" selected="0">
            <x v="89"/>
          </reference>
        </references>
      </pivotArea>
    </format>
    <format dxfId="1017">
      <pivotArea dataOnly="0" labelOnly="1" outline="0" fieldPosition="0">
        <references count="3">
          <reference field="4" count="1" selected="0">
            <x v="2"/>
          </reference>
          <reference field="5" count="1">
            <x v="102"/>
          </reference>
          <reference field="18" count="1" selected="0">
            <x v="90"/>
          </reference>
        </references>
      </pivotArea>
    </format>
    <format dxfId="1016">
      <pivotArea dataOnly="0" labelOnly="1" outline="0" fieldPosition="0">
        <references count="3">
          <reference field="4" count="1" selected="0">
            <x v="2"/>
          </reference>
          <reference field="5" count="1">
            <x v="14"/>
          </reference>
          <reference field="18" count="1" selected="0">
            <x v="91"/>
          </reference>
        </references>
      </pivotArea>
    </format>
    <format dxfId="1015">
      <pivotArea dataOnly="0" labelOnly="1" outline="0" fieldPosition="0">
        <references count="3">
          <reference field="4" count="1" selected="0">
            <x v="2"/>
          </reference>
          <reference field="5" count="1">
            <x v="63"/>
          </reference>
          <reference field="18" count="1" selected="0">
            <x v="92"/>
          </reference>
        </references>
      </pivotArea>
    </format>
    <format dxfId="1014">
      <pivotArea dataOnly="0" labelOnly="1" outline="0" fieldPosition="0">
        <references count="3">
          <reference field="4" count="1" selected="0">
            <x v="2"/>
          </reference>
          <reference field="5" count="1">
            <x v="114"/>
          </reference>
          <reference field="18" count="1" selected="0">
            <x v="113"/>
          </reference>
        </references>
      </pivotArea>
    </format>
    <format dxfId="1013">
      <pivotArea dataOnly="0" labelOnly="1" outline="0" fieldPosition="0">
        <references count="3">
          <reference field="4" count="1" selected="0">
            <x v="2"/>
          </reference>
          <reference field="5" count="1">
            <x v="122"/>
          </reference>
          <reference field="18" count="1" selected="0">
            <x v="120"/>
          </reference>
        </references>
      </pivotArea>
    </format>
    <format dxfId="1012">
      <pivotArea dataOnly="0" labelOnly="1" outline="0" fieldPosition="0">
        <references count="3">
          <reference field="4" count="1" selected="0">
            <x v="2"/>
          </reference>
          <reference field="5" count="1">
            <x v="123"/>
          </reference>
          <reference field="18" count="1" selected="0">
            <x v="121"/>
          </reference>
        </references>
      </pivotArea>
    </format>
    <format dxfId="1011">
      <pivotArea dataOnly="0" labelOnly="1" outline="0" fieldPosition="0">
        <references count="3">
          <reference field="4" count="1" selected="0">
            <x v="3"/>
          </reference>
          <reference field="5" count="1">
            <x v="61"/>
          </reference>
          <reference field="18" count="1" selected="0">
            <x v="101"/>
          </reference>
        </references>
      </pivotArea>
    </format>
    <format dxfId="1010">
      <pivotArea dataOnly="0" labelOnly="1" outline="0" fieldPosition="0">
        <references count="3">
          <reference field="4" count="1" selected="0">
            <x v="3"/>
          </reference>
          <reference field="5" count="1">
            <x v="21"/>
          </reference>
          <reference field="18" count="1" selected="0">
            <x v="105"/>
          </reference>
        </references>
      </pivotArea>
    </format>
    <format dxfId="1009">
      <pivotArea dataOnly="0" labelOnly="1" outline="0" fieldPosition="0">
        <references count="3">
          <reference field="4" count="1" selected="0">
            <x v="3"/>
          </reference>
          <reference field="5" count="1">
            <x v="22"/>
          </reference>
          <reference field="18" count="1" selected="0">
            <x v="106"/>
          </reference>
        </references>
      </pivotArea>
    </format>
    <format dxfId="1008">
      <pivotArea dataOnly="0" labelOnly="1" outline="0" fieldPosition="0">
        <references count="3">
          <reference field="4" count="1" selected="0">
            <x v="3"/>
          </reference>
          <reference field="5" count="1">
            <x v="120"/>
          </reference>
          <reference field="18" count="1" selected="0">
            <x v="118"/>
          </reference>
        </references>
      </pivotArea>
    </format>
    <format dxfId="1007">
      <pivotArea dataOnly="0" labelOnly="1" outline="0" fieldPosition="0">
        <references count="3">
          <reference field="4" count="1" selected="0">
            <x v="3"/>
          </reference>
          <reference field="5" count="1">
            <x v="125"/>
          </reference>
          <reference field="18" count="1" selected="0">
            <x v="123"/>
          </reference>
        </references>
      </pivotArea>
    </format>
    <format dxfId="1006">
      <pivotArea dataOnly="0" labelOnly="1" outline="0" fieldPosition="0">
        <references count="3">
          <reference field="4" count="1" selected="0">
            <x v="3"/>
          </reference>
          <reference field="5" count="1">
            <x v="130"/>
          </reference>
          <reference field="18" count="1" selected="0">
            <x v="128"/>
          </reference>
        </references>
      </pivotArea>
    </format>
    <format dxfId="1005">
      <pivotArea dataOnly="0" labelOnly="1" outline="0" fieldPosition="0">
        <references count="3">
          <reference field="4" count="1" selected="0">
            <x v="3"/>
          </reference>
          <reference field="5" count="1">
            <x v="134"/>
          </reference>
          <reference field="18" count="1" selected="0">
            <x v="129"/>
          </reference>
        </references>
      </pivotArea>
    </format>
    <format dxfId="1004">
      <pivotArea dataOnly="0" labelOnly="1" outline="0" fieldPosition="0">
        <references count="3">
          <reference field="4" count="1" selected="0">
            <x v="4"/>
          </reference>
          <reference field="5" count="1">
            <x v="50"/>
          </reference>
          <reference field="18" count="1" selected="0">
            <x v="49"/>
          </reference>
        </references>
      </pivotArea>
    </format>
    <format dxfId="1003">
      <pivotArea dataOnly="0" labelOnly="1" outline="0" fieldPosition="0">
        <references count="3">
          <reference field="4" count="1" selected="0">
            <x v="4"/>
          </reference>
          <reference field="5" count="1">
            <x v="26"/>
          </reference>
          <reference field="18" count="1" selected="0">
            <x v="75"/>
          </reference>
        </references>
      </pivotArea>
    </format>
    <format dxfId="1002">
      <pivotArea dataOnly="0" labelOnly="1" outline="0" fieldPosition="0">
        <references count="3">
          <reference field="4" count="1" selected="0">
            <x v="4"/>
          </reference>
          <reference field="5" count="1">
            <x v="46"/>
          </reference>
          <reference field="18" count="1" selected="0">
            <x v="77"/>
          </reference>
        </references>
      </pivotArea>
    </format>
    <format dxfId="1001">
      <pivotArea dataOnly="0" labelOnly="1" outline="0" fieldPosition="0">
        <references count="3">
          <reference field="4" count="1" selected="0">
            <x v="4"/>
          </reference>
          <reference field="5" count="1">
            <x v="45"/>
          </reference>
          <reference field="18" count="1" selected="0">
            <x v="78"/>
          </reference>
        </references>
      </pivotArea>
    </format>
    <format dxfId="1000">
      <pivotArea dataOnly="0" labelOnly="1" outline="0" fieldPosition="0">
        <references count="3">
          <reference field="4" count="1" selected="0">
            <x v="4"/>
          </reference>
          <reference field="5" count="1">
            <x v="35"/>
          </reference>
          <reference field="18" count="1" selected="0">
            <x v="79"/>
          </reference>
        </references>
      </pivotArea>
    </format>
    <format dxfId="999">
      <pivotArea dataOnly="0" labelOnly="1" outline="0" fieldPosition="0">
        <references count="3">
          <reference field="4" count="1" selected="0">
            <x v="4"/>
          </reference>
          <reference field="5" count="1">
            <x v="108"/>
          </reference>
          <reference field="18" count="1" selected="0">
            <x v="107"/>
          </reference>
        </references>
      </pivotArea>
    </format>
    <format dxfId="998">
      <pivotArea dataOnly="0" labelOnly="1" outline="0" fieldPosition="0">
        <references count="3">
          <reference field="4" count="1" selected="0">
            <x v="4"/>
          </reference>
          <reference field="5" count="1">
            <x v="110"/>
          </reference>
          <reference field="18" count="1" selected="0">
            <x v="109"/>
          </reference>
        </references>
      </pivotArea>
    </format>
    <format dxfId="997">
      <pivotArea dataOnly="0" labelOnly="1" outline="0" fieldPosition="0">
        <references count="3">
          <reference field="4" count="1" selected="0">
            <x v="4"/>
          </reference>
          <reference field="5" count="1">
            <x v="119"/>
          </reference>
          <reference field="18" count="1" selected="0">
            <x v="117"/>
          </reference>
        </references>
      </pivotArea>
    </format>
    <format dxfId="996">
      <pivotArea dataOnly="0" labelOnly="1" outline="0" fieldPosition="0">
        <references count="3">
          <reference field="4" count="1" selected="0">
            <x v="4"/>
          </reference>
          <reference field="5" count="1">
            <x v="121"/>
          </reference>
          <reference field="18" count="1" selected="0">
            <x v="119"/>
          </reference>
        </references>
      </pivotArea>
    </format>
    <format dxfId="995">
      <pivotArea dataOnly="0" labelOnly="1" outline="0" fieldPosition="0">
        <references count="3">
          <reference field="4" count="1" selected="0">
            <x v="5"/>
          </reference>
          <reference field="5" count="1">
            <x v="48"/>
          </reference>
          <reference field="18" count="1" selected="0">
            <x v="102"/>
          </reference>
        </references>
      </pivotArea>
    </format>
    <format dxfId="994">
      <pivotArea dataOnly="0" labelOnly="1" outline="0" fieldPosition="0">
        <references count="3">
          <reference field="4" count="1" selected="0">
            <x v="5"/>
          </reference>
          <reference field="5" count="1">
            <x v="15"/>
          </reference>
          <reference field="18" count="1" selected="0">
            <x v="103"/>
          </reference>
        </references>
      </pivotArea>
    </format>
    <format dxfId="993">
      <pivotArea dataOnly="0" labelOnly="1" outline="0" fieldPosition="0">
        <references count="3">
          <reference field="4" count="1" selected="0">
            <x v="5"/>
          </reference>
          <reference field="5" count="1">
            <x v="135"/>
          </reference>
          <reference field="18" count="1" selected="0">
            <x v="133"/>
          </reference>
        </references>
      </pivotArea>
    </format>
    <format dxfId="992">
      <pivotArea dataOnly="0" labelOnly="1" outline="0" fieldPosition="0">
        <references count="3">
          <reference field="4" count="1" selected="0">
            <x v="6"/>
          </reference>
          <reference field="5" count="1">
            <x v="49"/>
          </reference>
          <reference field="18" count="1" selected="0">
            <x v="57"/>
          </reference>
        </references>
      </pivotArea>
    </format>
    <format dxfId="991">
      <pivotArea dataOnly="0" labelOnly="1" outline="0" fieldPosition="0">
        <references count="3">
          <reference field="4" count="1" selected="0">
            <x v="6"/>
          </reference>
          <reference field="5" count="1">
            <x v="24"/>
          </reference>
          <reference field="18" count="1" selected="0">
            <x v="58"/>
          </reference>
        </references>
      </pivotArea>
    </format>
    <format dxfId="990">
      <pivotArea dataOnly="0" labelOnly="1" outline="0" fieldPosition="0">
        <references count="3">
          <reference field="4" count="1" selected="0">
            <x v="6"/>
          </reference>
          <reference field="5" count="1">
            <x v="68"/>
          </reference>
          <reference field="18" count="1" selected="0">
            <x v="59"/>
          </reference>
        </references>
      </pivotArea>
    </format>
    <format dxfId="989">
      <pivotArea dataOnly="0" labelOnly="1" outline="0" fieldPosition="0">
        <references count="3">
          <reference field="4" count="1" selected="0">
            <x v="7"/>
          </reference>
          <reference field="5" count="1">
            <x v="93"/>
          </reference>
          <reference field="18" count="1" selected="0">
            <x v="60"/>
          </reference>
        </references>
      </pivotArea>
    </format>
    <format dxfId="988">
      <pivotArea dataOnly="0" labelOnly="1" outline="0" fieldPosition="0">
        <references count="3">
          <reference field="4" count="1" selected="0">
            <x v="7"/>
          </reference>
          <reference field="5" count="1">
            <x v="69"/>
          </reference>
          <reference field="18" count="1" selected="0">
            <x v="80"/>
          </reference>
        </references>
      </pivotArea>
    </format>
    <format dxfId="987">
      <pivotArea dataOnly="0" labelOnly="1" outline="0" fieldPosition="0">
        <references count="3">
          <reference field="4" count="1" selected="0">
            <x v="8"/>
          </reference>
          <reference field="5" count="1">
            <x v="55"/>
          </reference>
          <reference field="18" count="1" selected="0">
            <x v="44"/>
          </reference>
        </references>
      </pivotArea>
    </format>
    <format dxfId="986">
      <pivotArea dataOnly="0" labelOnly="1" outline="0" fieldPosition="0">
        <references count="3">
          <reference field="4" count="1" selected="0">
            <x v="8"/>
          </reference>
          <reference field="5" count="1">
            <x v="47"/>
          </reference>
          <reference field="18" count="1" selected="0">
            <x v="46"/>
          </reference>
        </references>
      </pivotArea>
    </format>
    <format dxfId="985">
      <pivotArea dataOnly="0" labelOnly="1" outline="0" fieldPosition="0">
        <references count="3">
          <reference field="4" count="1" selected="0">
            <x v="8"/>
          </reference>
          <reference field="5" count="1">
            <x v="72"/>
          </reference>
          <reference field="18" count="1" selected="0">
            <x v="47"/>
          </reference>
        </references>
      </pivotArea>
    </format>
    <format dxfId="984">
      <pivotArea dataOnly="0" labelOnly="1" outline="0" fieldPosition="0">
        <references count="3">
          <reference field="4" count="1" selected="0">
            <x v="8"/>
          </reference>
          <reference field="5" count="1">
            <x v="43"/>
          </reference>
          <reference field="18" count="1" selected="0">
            <x v="48"/>
          </reference>
        </references>
      </pivotArea>
    </format>
    <format dxfId="983">
      <pivotArea dataOnly="0" labelOnly="1" outline="0" fieldPosition="0">
        <references count="3">
          <reference field="4" count="1" selected="0">
            <x v="8"/>
          </reference>
          <reference field="5" count="1">
            <x v="33"/>
          </reference>
          <reference field="18" count="1" selected="0">
            <x v="52"/>
          </reference>
        </references>
      </pivotArea>
    </format>
    <format dxfId="982">
      <pivotArea dataOnly="0" labelOnly="1" outline="0" fieldPosition="0">
        <references count="3">
          <reference field="4" count="1" selected="0">
            <x v="8"/>
          </reference>
          <reference field="5" count="1">
            <x v="34"/>
          </reference>
          <reference field="18" count="1" selected="0">
            <x v="53"/>
          </reference>
        </references>
      </pivotArea>
    </format>
    <format dxfId="981">
      <pivotArea dataOnly="0" labelOnly="1" outline="0" fieldPosition="0">
        <references count="3">
          <reference field="4" count="1" selected="0">
            <x v="8"/>
          </reference>
          <reference field="5" count="1">
            <x v="32"/>
          </reference>
          <reference field="18" count="1" selected="0">
            <x v="54"/>
          </reference>
        </references>
      </pivotArea>
    </format>
    <format dxfId="980">
      <pivotArea dataOnly="0" labelOnly="1" outline="0" fieldPosition="0">
        <references count="3">
          <reference field="4" count="1" selected="0">
            <x v="8"/>
          </reference>
          <reference field="5" count="1">
            <x v="74"/>
          </reference>
          <reference field="18" count="1" selected="0">
            <x v="55"/>
          </reference>
        </references>
      </pivotArea>
    </format>
    <format dxfId="979">
      <pivotArea dataOnly="0" labelOnly="1" outline="0" fieldPosition="0">
        <references count="3">
          <reference field="4" count="1" selected="0">
            <x v="8"/>
          </reference>
          <reference field="5" count="1">
            <x v="87"/>
          </reference>
          <reference field="18" count="1" selected="0">
            <x v="56"/>
          </reference>
        </references>
      </pivotArea>
    </format>
    <format dxfId="978">
      <pivotArea dataOnly="0" labelOnly="1" outline="0" fieldPosition="0">
        <references count="3">
          <reference field="4" count="1" selected="0">
            <x v="8"/>
          </reference>
          <reference field="5" count="1">
            <x v="20"/>
          </reference>
          <reference field="18" count="1" selected="0">
            <x v="71"/>
          </reference>
        </references>
      </pivotArea>
    </format>
    <format dxfId="977">
      <pivotArea dataOnly="0" labelOnly="1" outline="0" fieldPosition="0">
        <references count="3">
          <reference field="4" count="1" selected="0">
            <x v="8"/>
          </reference>
          <reference field="5" count="1">
            <x v="16"/>
          </reference>
          <reference field="18" count="1" selected="0">
            <x v="72"/>
          </reference>
        </references>
      </pivotArea>
    </format>
    <format dxfId="976">
      <pivotArea dataOnly="0" labelOnly="1" outline="0" fieldPosition="0">
        <references count="3">
          <reference field="4" count="1" selected="0">
            <x v="8"/>
          </reference>
          <reference field="5" count="1">
            <x v="11"/>
          </reference>
          <reference field="18" count="1" selected="0">
            <x v="73"/>
          </reference>
        </references>
      </pivotArea>
    </format>
    <format dxfId="975">
      <pivotArea dataOnly="0" labelOnly="1" outline="0" fieldPosition="0">
        <references count="3">
          <reference field="4" count="1" selected="0">
            <x v="8"/>
          </reference>
          <reference field="5" count="1">
            <x v="76"/>
          </reference>
          <reference field="18" count="1" selected="0">
            <x v="74"/>
          </reference>
        </references>
      </pivotArea>
    </format>
    <format dxfId="974">
      <pivotArea dataOnly="0" labelOnly="1" outline="0" fieldPosition="0">
        <references count="3">
          <reference field="4" count="1" selected="0">
            <x v="8"/>
          </reference>
          <reference field="5" count="1">
            <x v="71"/>
          </reference>
          <reference field="18" count="1" selected="0">
            <x v="76"/>
          </reference>
        </references>
      </pivotArea>
    </format>
    <format dxfId="973">
      <pivotArea dataOnly="0" labelOnly="1" outline="0" fieldPosition="0">
        <references count="3">
          <reference field="4" count="1" selected="0">
            <x v="8"/>
          </reference>
          <reference field="5" count="1">
            <x v="113"/>
          </reference>
          <reference field="18" count="1" selected="0">
            <x v="112"/>
          </reference>
        </references>
      </pivotArea>
    </format>
    <format dxfId="972">
      <pivotArea dataOnly="0" labelOnly="1" outline="0" fieldPosition="0">
        <references count="3">
          <reference field="4" count="1" selected="0">
            <x v="9"/>
          </reference>
          <reference field="5" count="1">
            <x v="57"/>
          </reference>
          <reference field="18" count="1" selected="0">
            <x v="100"/>
          </reference>
        </references>
      </pivotArea>
    </format>
    <format dxfId="971">
      <pivotArea dataOnly="0" labelOnly="1" outline="0" fieldPosition="0">
        <references count="3">
          <reference field="4" count="1" selected="0">
            <x v="9"/>
          </reference>
          <reference field="5" count="1">
            <x v="126"/>
          </reference>
          <reference field="18" count="1" selected="0">
            <x v="124"/>
          </reference>
        </references>
      </pivotArea>
    </format>
    <format dxfId="970">
      <pivotArea dataOnly="0" labelOnly="1" outline="0" fieldPosition="0">
        <references count="3">
          <reference field="4" count="1" selected="0">
            <x v="9"/>
          </reference>
          <reference field="5" count="1">
            <x v="127"/>
          </reference>
          <reference field="18" count="1" selected="0">
            <x v="125"/>
          </reference>
        </references>
      </pivotArea>
    </format>
    <format dxfId="969">
      <pivotArea dataOnly="0" labelOnly="1" outline="0" fieldPosition="0">
        <references count="3">
          <reference field="4" count="1" selected="0">
            <x v="10"/>
          </reference>
          <reference field="5" count="2">
            <x v="85"/>
            <x v="117"/>
          </reference>
          <reference field="18" count="1" selected="0">
            <x v="0"/>
          </reference>
        </references>
      </pivotArea>
    </format>
    <format dxfId="968">
      <pivotArea dataOnly="0" labelOnly="1" outline="0" fieldPosition="0">
        <references count="3">
          <reference field="4" count="1" selected="0">
            <x v="10"/>
          </reference>
          <reference field="5" count="1">
            <x v="95"/>
          </reference>
          <reference field="18" count="1" selected="0">
            <x v="1"/>
          </reference>
        </references>
      </pivotArea>
    </format>
    <format dxfId="967">
      <pivotArea dataOnly="0" labelOnly="1" outline="0" fieldPosition="0">
        <references count="3">
          <reference field="4" count="1" selected="0">
            <x v="10"/>
          </reference>
          <reference field="5" count="1">
            <x v="73"/>
          </reference>
          <reference field="18" count="1" selected="0">
            <x v="2"/>
          </reference>
        </references>
      </pivotArea>
    </format>
    <format dxfId="966">
      <pivotArea dataOnly="0" labelOnly="1" outline="0" fieldPosition="0">
        <references count="3">
          <reference field="4" count="1" selected="0">
            <x v="10"/>
          </reference>
          <reference field="5" count="1">
            <x v="97"/>
          </reference>
          <reference field="18" count="1" selected="0">
            <x v="3"/>
          </reference>
        </references>
      </pivotArea>
    </format>
    <format dxfId="965">
      <pivotArea dataOnly="0" labelOnly="1" outline="0" fieldPosition="0">
        <references count="3">
          <reference field="4" count="1" selected="0">
            <x v="10"/>
          </reference>
          <reference field="5" count="1">
            <x v="96"/>
          </reference>
          <reference field="18" count="1" selected="0">
            <x v="4"/>
          </reference>
        </references>
      </pivotArea>
    </format>
    <format dxfId="964">
      <pivotArea dataOnly="0" labelOnly="1" outline="0" fieldPosition="0">
        <references count="3">
          <reference field="4" count="1" selected="0">
            <x v="10"/>
          </reference>
          <reference field="5" count="1">
            <x v="98"/>
          </reference>
          <reference field="18" count="1" selected="0">
            <x v="5"/>
          </reference>
        </references>
      </pivotArea>
    </format>
    <format dxfId="963">
      <pivotArea dataOnly="0" labelOnly="1" outline="0" fieldPosition="0">
        <references count="3">
          <reference field="4" count="1" selected="0">
            <x v="10"/>
          </reference>
          <reference field="5" count="1">
            <x v="88"/>
          </reference>
          <reference field="18" count="1" selected="0">
            <x v="6"/>
          </reference>
        </references>
      </pivotArea>
    </format>
    <format dxfId="962">
      <pivotArea dataOnly="0" labelOnly="1" outline="0" fieldPosition="0">
        <references count="3">
          <reference field="4" count="1" selected="0">
            <x v="10"/>
          </reference>
          <reference field="5" count="1">
            <x v="44"/>
          </reference>
          <reference field="18" count="1" selected="0">
            <x v="7"/>
          </reference>
        </references>
      </pivotArea>
    </format>
    <format dxfId="961">
      <pivotArea dataOnly="0" labelOnly="1" outline="0" fieldPosition="0">
        <references count="3">
          <reference field="4" count="1" selected="0">
            <x v="10"/>
          </reference>
          <reference field="5" count="1">
            <x v="92"/>
          </reference>
          <reference field="18" count="1" selected="0">
            <x v="8"/>
          </reference>
        </references>
      </pivotArea>
    </format>
    <format dxfId="960">
      <pivotArea dataOnly="0" labelOnly="1" outline="0" fieldPosition="0">
        <references count="3">
          <reference field="4" count="1" selected="0">
            <x v="10"/>
          </reference>
          <reference field="5" count="1">
            <x v="9"/>
          </reference>
          <reference field="18" count="1" selected="0">
            <x v="9"/>
          </reference>
        </references>
      </pivotArea>
    </format>
    <format dxfId="959">
      <pivotArea dataOnly="0" labelOnly="1" outline="0" fieldPosition="0">
        <references count="3">
          <reference field="4" count="1" selected="0">
            <x v="10"/>
          </reference>
          <reference field="5" count="1">
            <x v="10"/>
          </reference>
          <reference field="18" count="1" selected="0">
            <x v="10"/>
          </reference>
        </references>
      </pivotArea>
    </format>
    <format dxfId="958">
      <pivotArea dataOnly="0" labelOnly="1" outline="0" fieldPosition="0">
        <references count="3">
          <reference field="4" count="1" selected="0">
            <x v="10"/>
          </reference>
          <reference field="5" count="1">
            <x v="8"/>
          </reference>
          <reference field="18" count="1" selected="0">
            <x v="11"/>
          </reference>
        </references>
      </pivotArea>
    </format>
    <format dxfId="957">
      <pivotArea dataOnly="0" labelOnly="1" outline="0" fieldPosition="0">
        <references count="3">
          <reference field="4" count="1" selected="0">
            <x v="10"/>
          </reference>
          <reference field="5" count="1">
            <x v="23"/>
          </reference>
          <reference field="18" count="1" selected="0">
            <x v="12"/>
          </reference>
        </references>
      </pivotArea>
    </format>
    <format dxfId="956">
      <pivotArea dataOnly="0" labelOnly="1" outline="0" fieldPosition="0">
        <references count="3">
          <reference field="4" count="1" selected="0">
            <x v="10"/>
          </reference>
          <reference field="5" count="1">
            <x v="28"/>
          </reference>
          <reference field="18" count="1" selected="0">
            <x v="13"/>
          </reference>
        </references>
      </pivotArea>
    </format>
    <format dxfId="955">
      <pivotArea dataOnly="0" labelOnly="1" outline="0" fieldPosition="0">
        <references count="3">
          <reference field="4" count="1" selected="0">
            <x v="10"/>
          </reference>
          <reference field="5" count="1">
            <x v="27"/>
          </reference>
          <reference field="18" count="1" selected="0">
            <x v="14"/>
          </reference>
        </references>
      </pivotArea>
    </format>
    <format dxfId="954">
      <pivotArea dataOnly="0" labelOnly="1" outline="0" fieldPosition="0">
        <references count="3">
          <reference field="4" count="1" selected="0">
            <x v="10"/>
          </reference>
          <reference field="5" count="1">
            <x v="42"/>
          </reference>
          <reference field="18" count="1" selected="0">
            <x v="15"/>
          </reference>
        </references>
      </pivotArea>
    </format>
    <format dxfId="953">
      <pivotArea dataOnly="0" labelOnly="1" outline="0" fieldPosition="0">
        <references count="3">
          <reference field="4" count="1" selected="0">
            <x v="10"/>
          </reference>
          <reference field="5" count="1">
            <x v="18"/>
          </reference>
          <reference field="18" count="1" selected="0">
            <x v="16"/>
          </reference>
        </references>
      </pivotArea>
    </format>
    <format dxfId="952">
      <pivotArea dataOnly="0" labelOnly="1" outline="0" fieldPosition="0">
        <references count="3">
          <reference field="4" count="1" selected="0">
            <x v="10"/>
          </reference>
          <reference field="5" count="1">
            <x v="19"/>
          </reference>
          <reference field="18" count="1" selected="0">
            <x v="17"/>
          </reference>
        </references>
      </pivotArea>
    </format>
    <format dxfId="951">
      <pivotArea dataOnly="0" labelOnly="1" outline="0" fieldPosition="0">
        <references count="3">
          <reference field="4" count="1" selected="0">
            <x v="10"/>
          </reference>
          <reference field="5" count="1">
            <x v="52"/>
          </reference>
          <reference field="18" count="1" selected="0">
            <x v="18"/>
          </reference>
        </references>
      </pivotArea>
    </format>
    <format dxfId="950">
      <pivotArea dataOnly="0" labelOnly="1" outline="0" fieldPosition="0">
        <references count="3">
          <reference field="4" count="1" selected="0">
            <x v="10"/>
          </reference>
          <reference field="5" count="1">
            <x v="53"/>
          </reference>
          <reference field="18" count="1" selected="0">
            <x v="19"/>
          </reference>
        </references>
      </pivotArea>
    </format>
    <format dxfId="949">
      <pivotArea dataOnly="0" labelOnly="1" outline="0" fieldPosition="0">
        <references count="3">
          <reference field="4" count="1" selected="0">
            <x v="10"/>
          </reference>
          <reference field="5" count="1">
            <x v="105"/>
          </reference>
          <reference field="18" count="1" selected="0">
            <x v="20"/>
          </reference>
        </references>
      </pivotArea>
    </format>
    <format dxfId="948">
      <pivotArea dataOnly="0" labelOnly="1" outline="0" fieldPosition="0">
        <references count="3">
          <reference field="4" count="1" selected="0">
            <x v="10"/>
          </reference>
          <reference field="5" count="1">
            <x v="65"/>
          </reference>
          <reference field="18" count="1" selected="0">
            <x v="21"/>
          </reference>
        </references>
      </pivotArea>
    </format>
    <format dxfId="947">
      <pivotArea dataOnly="0" labelOnly="1" outline="0" fieldPosition="0">
        <references count="3">
          <reference field="4" count="1" selected="0">
            <x v="10"/>
          </reference>
          <reference field="5" count="1">
            <x v="75"/>
          </reference>
          <reference field="18" count="1" selected="0">
            <x v="82"/>
          </reference>
        </references>
      </pivotArea>
    </format>
    <format dxfId="946">
      <pivotArea dataOnly="0" labelOnly="1" outline="0" fieldPosition="0">
        <references count="3">
          <reference field="4" count="1" selected="0">
            <x v="10"/>
          </reference>
          <reference field="5" count="1">
            <x v="132"/>
          </reference>
          <reference field="18" count="1" selected="0">
            <x v="131"/>
          </reference>
        </references>
      </pivotArea>
    </format>
    <format dxfId="945">
      <pivotArea dataOnly="0" labelOnly="1" outline="0" fieldPosition="0">
        <references count="3">
          <reference field="4" count="1" selected="0">
            <x v="11"/>
          </reference>
          <reference field="5" count="1">
            <x v="60"/>
          </reference>
          <reference field="18" count="1" selected="0">
            <x v="98"/>
          </reference>
        </references>
      </pivotArea>
    </format>
    <format dxfId="944">
      <pivotArea dataOnly="0" labelOnly="1" outline="0" fieldPosition="0">
        <references count="3">
          <reference field="4" count="1" selected="0">
            <x v="11"/>
          </reference>
          <reference field="5" count="1">
            <x v="59"/>
          </reference>
          <reference field="18" count="1" selected="0">
            <x v="99"/>
          </reference>
        </references>
      </pivotArea>
    </format>
    <format dxfId="943">
      <pivotArea dataOnly="0" labelOnly="1" outline="0" fieldPosition="0">
        <references count="3">
          <reference field="4" count="1" selected="0">
            <x v="11"/>
          </reference>
          <reference field="5" count="1">
            <x v="128"/>
          </reference>
          <reference field="18" count="1" selected="0">
            <x v="126"/>
          </reference>
        </references>
      </pivotArea>
    </format>
    <format dxfId="942">
      <pivotArea dataOnly="0" labelOnly="1" outline="0" fieldPosition="0">
        <references count="3">
          <reference field="4" count="1" selected="0">
            <x v="11"/>
          </reference>
          <reference field="5" count="1">
            <x v="129"/>
          </reference>
          <reference field="18" count="1" selected="0">
            <x v="127"/>
          </reference>
        </references>
      </pivotArea>
    </format>
    <format dxfId="941">
      <pivotArea dataOnly="0" labelOnly="1" outline="0" fieldPosition="0">
        <references count="3">
          <reference field="4" count="1" selected="0">
            <x v="12"/>
          </reference>
          <reference field="5" count="1">
            <x v="64"/>
          </reference>
          <reference field="18" count="1" selected="0">
            <x v="104"/>
          </reference>
        </references>
      </pivotArea>
    </format>
    <format dxfId="940">
      <pivotArea dataOnly="0" labelOnly="1" outline="0" fieldPosition="0">
        <references count="3">
          <reference field="4" count="1" selected="0">
            <x v="13"/>
          </reference>
          <reference field="5" count="1">
            <x v="90"/>
          </reference>
          <reference field="18" count="1" selected="0">
            <x v="50"/>
          </reference>
        </references>
      </pivotArea>
    </format>
    <format dxfId="939">
      <pivotArea dataOnly="0" labelOnly="1" outline="0" fieldPosition="0">
        <references count="3">
          <reference field="4" count="1" selected="0">
            <x v="13"/>
          </reference>
          <reference field="5" count="1">
            <x v="91"/>
          </reference>
          <reference field="18" count="1" selected="0">
            <x v="51"/>
          </reference>
        </references>
      </pivotArea>
    </format>
    <format dxfId="938">
      <pivotArea dataOnly="0" labelOnly="1" outline="0" fieldPosition="0">
        <references count="3">
          <reference field="4" count="1" selected="0">
            <x v="14"/>
          </reference>
          <reference field="5" count="1">
            <x v="80"/>
          </reference>
          <reference field="18" count="1" selected="0">
            <x v="22"/>
          </reference>
        </references>
      </pivotArea>
    </format>
    <format dxfId="937">
      <pivotArea dataOnly="0" labelOnly="1" outline="0" fieldPosition="0">
        <references count="3">
          <reference field="4" count="1" selected="0">
            <x v="14"/>
          </reference>
          <reference field="5" count="1">
            <x v="82"/>
          </reference>
          <reference field="18" count="1" selected="0">
            <x v="23"/>
          </reference>
        </references>
      </pivotArea>
    </format>
    <format dxfId="936">
      <pivotArea dataOnly="0" labelOnly="1" outline="0" fieldPosition="0">
        <references count="3">
          <reference field="4" count="1" selected="0">
            <x v="14"/>
          </reference>
          <reference field="5" count="1">
            <x v="36"/>
          </reference>
          <reference field="18" count="1" selected="0">
            <x v="24"/>
          </reference>
        </references>
      </pivotArea>
    </format>
    <format dxfId="935">
      <pivotArea dataOnly="0" labelOnly="1" outline="0" fieldPosition="0">
        <references count="3">
          <reference field="4" count="1" selected="0">
            <x v="14"/>
          </reference>
          <reference field="5" count="1">
            <x v="12"/>
          </reference>
          <reference field="18" count="1" selected="0">
            <x v="25"/>
          </reference>
        </references>
      </pivotArea>
    </format>
    <format dxfId="934">
      <pivotArea dataOnly="0" labelOnly="1" outline="0" fieldPosition="0">
        <references count="3">
          <reference field="4" count="1" selected="0">
            <x v="14"/>
          </reference>
          <reference field="5" count="1">
            <x v="39"/>
          </reference>
          <reference field="18" count="1" selected="0">
            <x v="26"/>
          </reference>
        </references>
      </pivotArea>
    </format>
    <format dxfId="933">
      <pivotArea dataOnly="0" labelOnly="1" outline="0" fieldPosition="0">
        <references count="3">
          <reference field="4" count="1" selected="0">
            <x v="14"/>
          </reference>
          <reference field="5" count="1">
            <x v="81"/>
          </reference>
          <reference field="18" count="1" selected="0">
            <x v="27"/>
          </reference>
        </references>
      </pivotArea>
    </format>
    <format dxfId="932">
      <pivotArea dataOnly="0" labelOnly="1" outline="0" fieldPosition="0">
        <references count="3">
          <reference field="4" count="1" selected="0">
            <x v="14"/>
          </reference>
          <reference field="5" count="1">
            <x v="38"/>
          </reference>
          <reference field="18" count="1" selected="0">
            <x v="28"/>
          </reference>
        </references>
      </pivotArea>
    </format>
    <format dxfId="931">
      <pivotArea dataOnly="0" labelOnly="1" outline="0" fieldPosition="0">
        <references count="3">
          <reference field="4" count="1" selected="0">
            <x v="14"/>
          </reference>
          <reference field="5" count="1">
            <x v="79"/>
          </reference>
          <reference field="18" count="1" selected="0">
            <x v="29"/>
          </reference>
        </references>
      </pivotArea>
    </format>
    <format dxfId="930">
      <pivotArea dataOnly="0" labelOnly="1" outline="0" fieldPosition="0">
        <references count="3">
          <reference field="4" count="1" selected="0">
            <x v="14"/>
          </reference>
          <reference field="5" count="1">
            <x v="101"/>
          </reference>
          <reference field="18" count="1" selected="0">
            <x v="30"/>
          </reference>
        </references>
      </pivotArea>
    </format>
    <format dxfId="929">
      <pivotArea dataOnly="0" labelOnly="1" outline="0" fieldPosition="0">
        <references count="3">
          <reference field="4" count="1" selected="0">
            <x v="14"/>
          </reference>
          <reference field="5" count="1">
            <x v="99"/>
          </reference>
          <reference field="18" count="1" selected="0">
            <x v="31"/>
          </reference>
        </references>
      </pivotArea>
    </format>
    <format dxfId="928">
      <pivotArea dataOnly="0" labelOnly="1" outline="0" fieldPosition="0">
        <references count="3">
          <reference field="4" count="1" selected="0">
            <x v="14"/>
          </reference>
          <reference field="5" count="1">
            <x v="100"/>
          </reference>
          <reference field="18" count="1" selected="0">
            <x v="32"/>
          </reference>
        </references>
      </pivotArea>
    </format>
    <format dxfId="927">
      <pivotArea dataOnly="0" labelOnly="1" outline="0" fieldPosition="0">
        <references count="3">
          <reference field="4" count="1" selected="0">
            <x v="14"/>
          </reference>
          <reference field="5" count="1">
            <x v="41"/>
          </reference>
          <reference field="18" count="1" selected="0">
            <x v="33"/>
          </reference>
        </references>
      </pivotArea>
    </format>
    <format dxfId="926">
      <pivotArea dataOnly="0" labelOnly="1" outline="0" fieldPosition="0">
        <references count="3">
          <reference field="4" count="1" selected="0">
            <x v="14"/>
          </reference>
          <reference field="5" count="1">
            <x v="40"/>
          </reference>
          <reference field="18" count="1" selected="0">
            <x v="34"/>
          </reference>
        </references>
      </pivotArea>
    </format>
    <format dxfId="925">
      <pivotArea dataOnly="0" labelOnly="1" outline="0" fieldPosition="0">
        <references count="3">
          <reference field="4" count="1" selected="0">
            <x v="14"/>
          </reference>
          <reference field="5" count="1">
            <x v="89"/>
          </reference>
          <reference field="18" count="1" selected="0">
            <x v="35"/>
          </reference>
        </references>
      </pivotArea>
    </format>
    <format dxfId="924">
      <pivotArea dataOnly="0" labelOnly="1" outline="0" fieldPosition="0">
        <references count="3">
          <reference field="4" count="1" selected="0">
            <x v="14"/>
          </reference>
          <reference field="5" count="1">
            <x v="4"/>
          </reference>
          <reference field="18" count="1" selected="0">
            <x v="67"/>
          </reference>
        </references>
      </pivotArea>
    </format>
    <format dxfId="923">
      <pivotArea dataOnly="0" labelOnly="1" outline="0" fieldPosition="0">
        <references count="3">
          <reference field="4" count="1" selected="0">
            <x v="14"/>
          </reference>
          <reference field="5" count="1">
            <x v="13"/>
          </reference>
          <reference field="18" count="1" selected="0">
            <x v="68"/>
          </reference>
        </references>
      </pivotArea>
    </format>
    <format dxfId="922">
      <pivotArea dataOnly="0" labelOnly="1" outline="0" fieldPosition="0">
        <references count="3">
          <reference field="4" count="1" selected="0">
            <x v="14"/>
          </reference>
          <reference field="5" count="1">
            <x v="104"/>
          </reference>
          <reference field="18" count="1" selected="0">
            <x v="69"/>
          </reference>
        </references>
      </pivotArea>
    </format>
    <format dxfId="921">
      <pivotArea dataOnly="0" labelOnly="1" outline="0" fieldPosition="0">
        <references count="3">
          <reference field="4" count="1" selected="0">
            <x v="14"/>
          </reference>
          <reference field="5" count="1">
            <x v="37"/>
          </reference>
          <reference field="18" count="1" selected="0">
            <x v="70"/>
          </reference>
        </references>
      </pivotArea>
    </format>
    <format dxfId="920">
      <pivotArea dataOnly="0" labelOnly="1" outline="0" fieldPosition="0">
        <references count="3">
          <reference field="4" count="1" selected="0">
            <x v="14"/>
          </reference>
          <reference field="5" count="1">
            <x v="78"/>
          </reference>
          <reference field="18" count="1" selected="0">
            <x v="81"/>
          </reference>
        </references>
      </pivotArea>
    </format>
    <format dxfId="919">
      <pivotArea dataOnly="0" labelOnly="1" outline="0" fieldPosition="0">
        <references count="3">
          <reference field="4" count="1" selected="0">
            <x v="14"/>
          </reference>
          <reference field="5" count="1">
            <x v="111"/>
          </reference>
          <reference field="18" count="1" selected="0">
            <x v="110"/>
          </reference>
        </references>
      </pivotArea>
    </format>
    <format dxfId="918">
      <pivotArea dataOnly="0" labelOnly="1" outline="0" fieldPosition="0">
        <references count="3">
          <reference field="4" count="1" selected="0">
            <x v="14"/>
          </reference>
          <reference field="5" count="1">
            <x v="131"/>
          </reference>
          <reference field="18" count="1" selected="0">
            <x v="130"/>
          </reference>
        </references>
      </pivotArea>
    </format>
    <format dxfId="917">
      <pivotArea dataOnly="0" labelOnly="1" outline="0" fieldPosition="0">
        <references count="3">
          <reference field="4" count="1" selected="0">
            <x v="14"/>
          </reference>
          <reference field="5" count="1">
            <x v="133"/>
          </reference>
          <reference field="18" count="1" selected="0">
            <x v="132"/>
          </reference>
        </references>
      </pivotArea>
    </format>
    <format dxfId="916">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0"/>
        <item x="2"/>
        <item x="5"/>
        <item x="18"/>
        <item x="17"/>
        <item x="12"/>
        <item x="8"/>
        <item x="19"/>
        <item x="4"/>
        <item x="9"/>
        <item x="15"/>
        <item x="13"/>
        <item x="7"/>
        <item x="10"/>
        <item x="3"/>
        <item x="1"/>
        <item x="11"/>
        <item x="16"/>
        <item x="14"/>
        <item x="20"/>
        <item x="6"/>
        <item x="21"/>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2126">
      <pivotArea outline="0" collapsedLevelsAreSubtotals="1" fieldPosition="0"/>
    </format>
    <format dxfId="212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91"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axis="axisRow" showAll="0" sortType="descending">
      <items count="23">
        <item x="0"/>
        <item x="2"/>
        <item x="5"/>
        <item x="18"/>
        <item x="17"/>
        <item x="12"/>
        <item x="8"/>
        <item x="19"/>
        <item x="4"/>
        <item x="9"/>
        <item x="15"/>
        <item x="13"/>
        <item x="7"/>
        <item x="10"/>
        <item x="3"/>
        <item x="1"/>
        <item x="11"/>
        <item x="16"/>
        <item x="14"/>
        <item x="20"/>
        <item x="6"/>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73">
        <item x="139"/>
        <item x="20"/>
        <item x="21"/>
        <item x="0"/>
        <item x="23"/>
        <item x="24"/>
        <item x="141"/>
        <item x="1"/>
        <item x="138"/>
        <item x="85"/>
        <item x="180"/>
        <item x="60"/>
        <item x="179"/>
        <item x="25"/>
        <item x="155"/>
        <item x="140"/>
        <item x="106"/>
        <item x="242"/>
        <item x="74"/>
        <item x="191"/>
        <item x="26"/>
        <item x="81"/>
        <item x="14"/>
        <item x="69"/>
        <item x="27"/>
        <item x="164"/>
        <item x="165"/>
        <item x="166"/>
        <item x="129"/>
        <item x="148"/>
        <item x="154"/>
        <item x="113"/>
        <item x="161"/>
        <item x="44"/>
        <item x="243"/>
        <item x="244"/>
        <item x="28"/>
        <item x="29"/>
        <item x="156"/>
        <item x="3"/>
        <item x="107"/>
        <item x="112"/>
        <item x="30"/>
        <item x="15"/>
        <item x="132"/>
        <item x="4"/>
        <item x="245"/>
        <item x="182"/>
        <item x="118"/>
        <item x="167"/>
        <item x="172"/>
        <item x="246"/>
        <item x="46"/>
        <item x="120"/>
        <item x="63"/>
        <item x="31"/>
        <item x="64"/>
        <item x="65"/>
        <item x="173"/>
        <item x="114"/>
        <item x="71"/>
        <item x="169"/>
        <item x="247"/>
        <item x="121"/>
        <item x="75"/>
        <item x="130"/>
        <item x="126"/>
        <item x="175"/>
        <item x="183"/>
        <item x="17"/>
        <item x="35"/>
        <item x="36"/>
        <item x="6"/>
        <item x="134"/>
        <item x="135"/>
        <item x="136"/>
        <item x="123"/>
        <item x="100"/>
        <item x="186"/>
        <item x="248"/>
        <item x="249"/>
        <item x="131"/>
        <item x="250"/>
        <item x="251"/>
        <item x="252"/>
        <item x="254"/>
        <item x="84"/>
        <item x="96"/>
        <item x="188"/>
        <item x="142"/>
        <item x="190"/>
        <item x="177"/>
        <item x="178"/>
        <item x="133"/>
        <item x="137"/>
        <item x="98"/>
        <item x="102"/>
        <item x="104"/>
        <item x="105"/>
        <item x="144"/>
        <item x="110"/>
        <item x="55"/>
        <item x="58"/>
        <item x="111"/>
        <item x="116"/>
        <item x="108"/>
        <item x="87"/>
        <item x="86"/>
        <item x="89"/>
        <item x="91"/>
        <item x="92"/>
        <item x="88"/>
        <item x="93"/>
        <item x="90"/>
        <item x="193"/>
        <item x="194"/>
        <item x="99"/>
        <item x="83"/>
        <item x="80"/>
        <item x="79"/>
        <item x="38"/>
        <item x="82"/>
        <item x="146"/>
        <item x="66"/>
        <item x="149"/>
        <item x="54"/>
        <item x="61"/>
        <item x="150"/>
        <item x="206"/>
        <item x="170"/>
        <item x="53"/>
        <item x="209"/>
        <item x="67"/>
        <item x="145"/>
        <item x="162"/>
        <item x="204"/>
        <item x="8"/>
        <item x="16"/>
        <item x="59"/>
        <item x="124"/>
        <item x="37"/>
        <item x="2"/>
        <item x="163"/>
        <item x="7"/>
        <item x="70"/>
        <item x="5"/>
        <item x="72"/>
        <item x="158"/>
        <item x="57"/>
        <item x="171"/>
        <item x="174"/>
        <item x="125"/>
        <item x="40"/>
        <item x="62"/>
        <item x="160"/>
        <item x="192"/>
        <item x="195"/>
        <item x="9"/>
        <item x="41"/>
        <item x="76"/>
        <item x="181"/>
        <item x="117"/>
        <item x="185"/>
        <item x="255"/>
        <item x="122"/>
        <item x="77"/>
        <item x="78"/>
        <item x="151"/>
        <item x="56"/>
        <item x="196"/>
        <item x="152"/>
        <item x="197"/>
        <item x="157"/>
        <item x="18"/>
        <item x="95"/>
        <item x="10"/>
        <item x="227"/>
        <item x="257"/>
        <item x="258"/>
        <item x="259"/>
        <item x="262"/>
        <item x="263"/>
        <item x="43"/>
        <item x="11"/>
        <item x="101"/>
        <item x="45"/>
        <item x="97"/>
        <item x="19"/>
        <item x="159"/>
        <item x="198"/>
        <item x="199"/>
        <item x="264"/>
        <item x="235"/>
        <item x="236"/>
        <item x="200"/>
        <item x="184"/>
        <item x="127"/>
        <item x="187"/>
        <item x="241"/>
        <item x="12"/>
        <item x="103"/>
        <item x="231"/>
        <item x="201"/>
        <item x="203"/>
        <item x="205"/>
        <item x="207"/>
        <item x="265"/>
        <item x="189"/>
        <item x="94"/>
        <item x="176"/>
        <item x="234"/>
        <item x="268"/>
        <item x="34"/>
        <item x="153"/>
        <item x="51"/>
        <item x="269"/>
        <item x="42"/>
        <item x="143"/>
        <item x="208"/>
        <item x="13"/>
        <item x="52"/>
        <item x="168"/>
        <item x="68"/>
        <item x="73"/>
        <item x="147"/>
        <item x="33"/>
        <item x="32"/>
        <item x="109"/>
        <item x="256"/>
        <item x="202"/>
        <item x="270"/>
        <item x="228"/>
        <item x="210"/>
        <item x="230"/>
        <item x="119"/>
        <item x="115"/>
        <item x="239"/>
        <item x="240"/>
        <item x="128"/>
        <item x="211"/>
        <item x="50"/>
        <item x="212"/>
        <item x="215"/>
        <item x="216"/>
        <item x="217"/>
        <item x="213"/>
        <item x="214"/>
        <item x="218"/>
        <item x="219"/>
        <item x="22"/>
        <item x="47"/>
        <item x="49"/>
        <item x="48"/>
        <item x="39"/>
        <item x="220"/>
        <item x="221"/>
        <item x="222"/>
        <item x="223"/>
        <item x="224"/>
        <item x="225"/>
        <item x="226"/>
        <item x="229"/>
        <item x="232"/>
        <item x="233"/>
        <item x="237"/>
        <item x="238"/>
        <item x="253"/>
        <item x="260"/>
        <item x="261"/>
        <item x="266"/>
        <item x="267"/>
        <item x="271"/>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2"/>
        <item x="0"/>
        <item h="1" x="1"/>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3">
        <item x="3"/>
        <item x="8"/>
        <item x="0"/>
        <item x="10"/>
        <item x="5"/>
        <item x="11"/>
        <item x="4"/>
        <item x="1"/>
        <item x="6"/>
        <item x="9"/>
        <item x="7"/>
        <item x="2"/>
        <item x="1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87">
    <i>
      <x/>
    </i>
    <i r="1">
      <x/>
    </i>
    <i r="2">
      <x v="183"/>
    </i>
    <i r="2">
      <x v="3"/>
    </i>
    <i r="2">
      <x v="175"/>
    </i>
    <i r="2">
      <x v="72"/>
    </i>
    <i r="2">
      <x v="157"/>
    </i>
    <i r="2">
      <x v="199"/>
    </i>
    <i r="2">
      <x v="7"/>
    </i>
    <i r="2">
      <x v="45"/>
    </i>
    <i r="2">
      <x v="219"/>
    </i>
    <i r="2">
      <x v="136"/>
    </i>
    <i>
      <x v="1"/>
    </i>
    <i r="1">
      <x v="1"/>
    </i>
    <i r="2">
      <x v="43"/>
    </i>
    <i r="2">
      <x v="69"/>
    </i>
    <i r="2">
      <x v="173"/>
    </i>
    <i r="2">
      <x v="187"/>
    </i>
    <i r="2">
      <x v="22"/>
    </i>
    <i>
      <x v="2"/>
    </i>
    <i r="1">
      <x v="2"/>
    </i>
    <i r="2">
      <x v="42"/>
    </i>
    <i r="2">
      <x v="2"/>
    </i>
    <i r="2">
      <x v="1"/>
    </i>
    <i r="2">
      <x v="249"/>
    </i>
    <i r="2">
      <x v="250"/>
    </i>
    <i r="2">
      <x v="253"/>
    </i>
    <i r="2">
      <x v="214"/>
    </i>
    <i r="2">
      <x v="13"/>
    </i>
    <i r="2">
      <x v="251"/>
    </i>
    <i r="2">
      <x v="36"/>
    </i>
    <i r="2">
      <x v="252"/>
    </i>
    <i r="2">
      <x v="4"/>
    </i>
    <i r="2">
      <x v="240"/>
    </i>
    <i r="2">
      <x v="5"/>
    </i>
    <i r="2">
      <x v="185"/>
    </i>
    <i r="2">
      <x v="55"/>
    </i>
    <i r="2">
      <x v="220"/>
    </i>
    <i r="2">
      <x v="158"/>
    </i>
    <i r="2">
      <x v="182"/>
    </i>
    <i r="2">
      <x v="70"/>
    </i>
    <i r="2">
      <x v="20"/>
    </i>
    <i r="2">
      <x v="37"/>
    </i>
    <i r="2">
      <x v="152"/>
    </i>
    <i r="2">
      <x v="24"/>
    </i>
    <i r="2">
      <x v="120"/>
    </i>
    <i r="2">
      <x v="71"/>
    </i>
    <i>
      <x v="3"/>
    </i>
    <i r="1">
      <x v="3"/>
    </i>
    <i r="2">
      <x v="247"/>
    </i>
    <i r="2">
      <x v="232"/>
    </i>
    <i>
      <x v="5"/>
    </i>
    <i r="1">
      <x v="16"/>
    </i>
    <i r="2">
      <x v="254"/>
    </i>
    <i r="2">
      <x v="258"/>
    </i>
    <i r="2">
      <x v="256"/>
    </i>
    <i r="2">
      <x v="257"/>
    </i>
    <i r="2">
      <x v="245"/>
    </i>
    <i r="2">
      <x v="255"/>
    </i>
    <i r="2">
      <x v="153"/>
    </i>
    <i r="1">
      <x v="19"/>
    </i>
    <i r="2">
      <x v="236"/>
    </i>
    <i r="2">
      <x v="237"/>
    </i>
    <i r="2">
      <x v="198"/>
    </i>
    <i r="1">
      <x v="18"/>
    </i>
    <i r="2">
      <x v="192"/>
    </i>
    <i r="2">
      <x v="193"/>
    </i>
    <i r="1">
      <x v="9"/>
    </i>
    <i r="2">
      <x v="246"/>
    </i>
    <i r="2">
      <x v="102"/>
    </i>
    <i r="2">
      <x v="103"/>
    </i>
    <i r="1">
      <x v="13"/>
    </i>
    <i r="2">
      <x v="134"/>
    </i>
    <i r="2">
      <x v="135"/>
    </i>
    <i r="1">
      <x v="10"/>
    </i>
    <i r="2">
      <x v="235"/>
    </i>
    <i r="2">
      <x v="104"/>
    </i>
    <i r="2">
      <x v="234"/>
    </i>
    <i r="2">
      <x v="59"/>
    </i>
    <i r="2">
      <x v="161"/>
    </i>
    <i r="1">
      <x v="17"/>
    </i>
    <i r="2">
      <x v="231"/>
    </i>
    <i r="1">
      <x v="11"/>
    </i>
    <i r="2">
      <x v="196"/>
    </i>
    <i r="2">
      <x v="164"/>
    </i>
    <i>
      <x v="6"/>
    </i>
    <i r="1">
      <x v="6"/>
    </i>
    <i r="2">
      <x v="241"/>
    </i>
    <i r="2">
      <x v="239"/>
    </i>
    <i r="2">
      <x v="222"/>
    </i>
    <i r="2">
      <x v="130"/>
    </i>
    <i r="2">
      <x v="271"/>
    </i>
    <i r="2">
      <x v="148"/>
    </i>
    <i r="2">
      <x v="244"/>
    </i>
    <i r="2">
      <x v="248"/>
    </i>
    <i r="2">
      <x v="131"/>
    </i>
    <i r="2">
      <x v="123"/>
    </i>
    <i r="2">
      <x v="54"/>
    </i>
    <i r="2">
      <x v="57"/>
    </i>
    <i r="2">
      <x v="56"/>
    </i>
    <i>
      <x v="7"/>
    </i>
    <i r="1">
      <x v="8"/>
    </i>
    <i r="2">
      <x v="97"/>
    </i>
    <i r="2">
      <x v="18"/>
    </i>
    <i r="2">
      <x v="98"/>
    </i>
    <i r="2">
      <x v="87"/>
    </i>
    <i r="2">
      <x v="96"/>
    </i>
    <i r="2">
      <x v="105"/>
    </i>
    <i r="2">
      <x v="86"/>
    </i>
    <i r="2">
      <x v="95"/>
    </i>
    <i r="2">
      <x v="64"/>
    </i>
    <i>
      <x v="8"/>
    </i>
    <i r="1">
      <x v="12"/>
    </i>
    <i r="2">
      <x v="75"/>
    </i>
    <i r="2">
      <x v="89"/>
    </i>
    <i r="2">
      <x v="124"/>
    </i>
    <i r="2">
      <x v="74"/>
    </i>
    <i r="2">
      <x v="44"/>
    </i>
    <i r="2">
      <x v="170"/>
    </i>
    <i r="2">
      <x v="188"/>
    </i>
    <i r="2">
      <x v="73"/>
    </i>
    <i r="2">
      <x v="28"/>
    </i>
    <i r="2">
      <x v="167"/>
    </i>
    <i r="2">
      <x v="172"/>
    </i>
    <i>
      <x v="9"/>
    </i>
    <i r="1">
      <x v="14"/>
    </i>
    <i r="2">
      <x v="49"/>
    </i>
    <i r="2">
      <x v="58"/>
    </i>
    <i r="2">
      <x v="88"/>
    </i>
    <i r="2">
      <x v="194"/>
    </i>
    <i r="2">
      <x v="189"/>
    </i>
    <i r="2">
      <x v="190"/>
    </i>
    <i r="2">
      <x v="90"/>
    </i>
    <i r="2">
      <x v="50"/>
    </i>
    <i r="2">
      <x v="27"/>
    </i>
    <i r="2">
      <x v="169"/>
    </i>
    <i r="2">
      <x v="205"/>
    </i>
    <i r="2">
      <x v="204"/>
    </i>
    <i r="2">
      <x v="67"/>
    </i>
    <i r="2">
      <x v="25"/>
    </i>
    <i r="2">
      <x v="171"/>
    </i>
    <i r="2">
      <x v="156"/>
    </i>
    <i r="2">
      <x v="203"/>
    </i>
    <i r="2">
      <x v="68"/>
    </i>
    <i r="2">
      <x v="26"/>
    </i>
    <i r="2">
      <x v="114"/>
    </i>
    <i r="2">
      <x v="218"/>
    </i>
    <i r="2">
      <x v="229"/>
    </i>
    <i r="2">
      <x v="202"/>
    </i>
    <i r="2">
      <x v="115"/>
    </i>
    <i>
      <x v="10"/>
    </i>
    <i r="1">
      <x v="15"/>
    </i>
    <i r="2">
      <x v="242"/>
    </i>
    <i r="2">
      <x v="243"/>
    </i>
    <i r="2">
      <x v="155"/>
    </i>
    <i r="2">
      <x v="141"/>
    </i>
    <i r="2">
      <x v="143"/>
    </i>
    <i r="2">
      <x v="142"/>
    </i>
    <i r="2">
      <x v="140"/>
    </i>
    <i>
      <x v="11"/>
    </i>
    <i r="1">
      <x v="20"/>
    </i>
    <i r="2">
      <x v="215"/>
    </i>
    <i r="2">
      <x v="51"/>
    </i>
    <i r="2">
      <x v="228"/>
    </i>
    <i r="2">
      <x v="82"/>
    </i>
    <i r="2">
      <x v="177"/>
    </i>
    <i r="2">
      <x v="179"/>
    </i>
    <i r="2">
      <x v="211"/>
    </i>
    <i r="2">
      <x v="83"/>
    </i>
    <i r="2">
      <x v="84"/>
    </i>
    <i r="2">
      <x v="85"/>
    </i>
    <i r="2">
      <x v="79"/>
    </i>
    <i r="2">
      <x v="80"/>
    </i>
    <i r="2">
      <x v="191"/>
    </i>
    <i r="2">
      <x v="181"/>
    </i>
    <i r="2">
      <x v="178"/>
    </i>
    <i r="2">
      <x v="35"/>
    </i>
    <i r="2">
      <x v="206"/>
    </i>
    <i r="2">
      <x v="34"/>
    </i>
    <i r="2">
      <x v="230"/>
    </i>
    <i r="2">
      <x v="180"/>
    </i>
    <i r="2">
      <x v="17"/>
    </i>
    <i r="2">
      <x v="163"/>
    </i>
    <i>
      <x v="12"/>
    </i>
    <i r="1">
      <x v="21"/>
    </i>
    <i r="2">
      <x v="270"/>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1337">
      <pivotArea outline="0" collapsedLevelsAreSubtotals="1" fieldPosition="0">
        <references count="1">
          <reference field="4294967294" count="1" selected="0">
            <x v="3"/>
          </reference>
        </references>
      </pivotArea>
    </format>
    <format dxfId="1336">
      <pivotArea outline="0" collapsedLevelsAreSubtotals="1" fieldPosition="0">
        <references count="1">
          <reference field="4294967294" count="1" selected="0">
            <x v="0"/>
          </reference>
        </references>
      </pivotArea>
    </format>
    <format dxfId="1335">
      <pivotArea outline="0" fieldPosition="0">
        <references count="1">
          <reference field="4294967294" count="1">
            <x v="4"/>
          </reference>
        </references>
      </pivotArea>
    </format>
    <format dxfId="1334">
      <pivotArea outline="0" fieldPosition="0">
        <references count="1">
          <reference field="4294967294" count="1">
            <x v="3"/>
          </reference>
        </references>
      </pivotArea>
    </format>
    <format dxfId="1333">
      <pivotArea outline="0" collapsedLevelsAreSubtotals="1" fieldPosition="0">
        <references count="1">
          <reference field="4294967294" count="2" selected="0">
            <x v="1"/>
            <x v="2"/>
          </reference>
        </references>
      </pivotArea>
    </format>
    <format dxfId="1332">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1331">
      <pivotArea dataOnly="0" labelOnly="1" fieldPosition="0">
        <references count="1">
          <reference field="11" count="16">
            <x v="3"/>
            <x v="33"/>
            <x v="43"/>
            <x v="51"/>
            <x v="64"/>
            <x v="89"/>
            <x v="96"/>
            <x v="97"/>
            <x v="98"/>
            <x v="124"/>
            <x v="155"/>
            <x v="172"/>
            <x v="177"/>
            <x v="183"/>
            <x v="214"/>
            <x v="215"/>
          </reference>
        </references>
      </pivotArea>
    </format>
    <format dxfId="1330">
      <pivotArea type="all" dataOnly="0" outline="0" fieldPosition="0"/>
    </format>
    <format dxfId="1329">
      <pivotArea collapsedLevelsAreSubtotals="1" fieldPosition="0">
        <references count="1">
          <reference field="38" count="1">
            <x v="0"/>
          </reference>
        </references>
      </pivotArea>
    </format>
    <format dxfId="1328">
      <pivotArea collapsedLevelsAreSubtotals="1" fieldPosition="0">
        <references count="2">
          <reference field="5" count="1">
            <x v="0"/>
          </reference>
          <reference field="38" count="1" selected="0">
            <x v="0"/>
          </reference>
        </references>
      </pivotArea>
    </format>
    <format dxfId="1327">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1326">
      <pivotArea dataOnly="0" labelOnly="1" fieldPosition="0">
        <references count="1">
          <reference field="38" count="1">
            <x v="0"/>
          </reference>
        </references>
      </pivotArea>
    </format>
    <format dxfId="1325">
      <pivotArea dataOnly="0" labelOnly="1" fieldPosition="0">
        <references count="2">
          <reference field="5" count="1">
            <x v="0"/>
          </reference>
          <reference field="38" count="1" selected="0">
            <x v="0"/>
          </reference>
        </references>
      </pivotArea>
    </format>
    <format dxfId="1324">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1323">
      <pivotArea collapsedLevelsAreSubtotals="1" fieldPosition="0">
        <references count="1">
          <reference field="38" count="1">
            <x v="1"/>
          </reference>
        </references>
      </pivotArea>
    </format>
    <format dxfId="1322">
      <pivotArea collapsedLevelsAreSubtotals="1" fieldPosition="0">
        <references count="2">
          <reference field="5" count="1">
            <x v="1"/>
          </reference>
          <reference field="38" count="1" selected="0">
            <x v="1"/>
          </reference>
        </references>
      </pivotArea>
    </format>
    <format dxfId="1321">
      <pivotArea collapsedLevelsAreSubtotals="1" fieldPosition="0">
        <references count="3">
          <reference field="5" count="1" selected="0">
            <x v="1"/>
          </reference>
          <reference field="11" count="5">
            <x v="22"/>
            <x v="43"/>
            <x v="69"/>
            <x v="173"/>
            <x v="187"/>
          </reference>
          <reference field="38" count="1" selected="0">
            <x v="1"/>
          </reference>
        </references>
      </pivotArea>
    </format>
    <format dxfId="1320">
      <pivotArea dataOnly="0" labelOnly="1" fieldPosition="0">
        <references count="1">
          <reference field="38" count="1">
            <x v="1"/>
          </reference>
        </references>
      </pivotArea>
    </format>
    <format dxfId="1319">
      <pivotArea dataOnly="0" labelOnly="1" fieldPosition="0">
        <references count="2">
          <reference field="5" count="1">
            <x v="1"/>
          </reference>
          <reference field="38" count="1" selected="0">
            <x v="1"/>
          </reference>
        </references>
      </pivotArea>
    </format>
    <format dxfId="1318">
      <pivotArea dataOnly="0" labelOnly="1" fieldPosition="0">
        <references count="3">
          <reference field="5" count="1" selected="0">
            <x v="1"/>
          </reference>
          <reference field="11" count="5">
            <x v="22"/>
            <x v="43"/>
            <x v="69"/>
            <x v="173"/>
            <x v="187"/>
          </reference>
          <reference field="38" count="1" selected="0">
            <x v="1"/>
          </reference>
        </references>
      </pivotArea>
    </format>
    <format dxfId="1317">
      <pivotArea collapsedLevelsAreSubtotals="1" fieldPosition="0">
        <references count="1">
          <reference field="38" count="1">
            <x v="2"/>
          </reference>
        </references>
      </pivotArea>
    </format>
    <format dxfId="1316">
      <pivotArea collapsedLevelsAreSubtotals="1" fieldPosition="0">
        <references count="2">
          <reference field="5" count="1">
            <x v="2"/>
          </reference>
          <reference field="38" count="1" selected="0">
            <x v="2"/>
          </reference>
        </references>
      </pivotArea>
    </format>
    <format dxfId="1315">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314">
      <pivotArea dataOnly="0" labelOnly="1" fieldPosition="0">
        <references count="1">
          <reference field="38" count="1">
            <x v="2"/>
          </reference>
        </references>
      </pivotArea>
    </format>
    <format dxfId="1313">
      <pivotArea dataOnly="0" labelOnly="1" fieldPosition="0">
        <references count="2">
          <reference field="5" count="1">
            <x v="2"/>
          </reference>
          <reference field="38" count="1" selected="0">
            <x v="2"/>
          </reference>
        </references>
      </pivotArea>
    </format>
    <format dxfId="1312">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311">
      <pivotArea collapsedLevelsAreSubtotals="1" fieldPosition="0">
        <references count="1">
          <reference field="38" count="1">
            <x v="3"/>
          </reference>
        </references>
      </pivotArea>
    </format>
    <format dxfId="1310">
      <pivotArea collapsedLevelsAreSubtotals="1" fieldPosition="0">
        <references count="2">
          <reference field="5" count="1">
            <x v="3"/>
          </reference>
          <reference field="38" count="1" selected="0">
            <x v="3"/>
          </reference>
        </references>
      </pivotArea>
    </format>
    <format dxfId="1309">
      <pivotArea collapsedLevelsAreSubtotals="1" fieldPosition="0">
        <references count="3">
          <reference field="5" count="1" selected="0">
            <x v="3"/>
          </reference>
          <reference field="11" count="1">
            <x v="232"/>
          </reference>
          <reference field="38" count="1" selected="0">
            <x v="3"/>
          </reference>
        </references>
      </pivotArea>
    </format>
    <format dxfId="1308">
      <pivotArea dataOnly="0" labelOnly="1" fieldPosition="0">
        <references count="1">
          <reference field="38" count="1">
            <x v="3"/>
          </reference>
        </references>
      </pivotArea>
    </format>
    <format dxfId="1307">
      <pivotArea dataOnly="0" labelOnly="1" fieldPosition="0">
        <references count="2">
          <reference field="5" count="1">
            <x v="3"/>
          </reference>
          <reference field="38" count="1" selected="0">
            <x v="3"/>
          </reference>
        </references>
      </pivotArea>
    </format>
    <format dxfId="1306">
      <pivotArea dataOnly="0" labelOnly="1" fieldPosition="0">
        <references count="3">
          <reference field="5" count="1" selected="0">
            <x v="3"/>
          </reference>
          <reference field="11" count="1">
            <x v="232"/>
          </reference>
          <reference field="38" count="1" selected="0">
            <x v="3"/>
          </reference>
        </references>
      </pivotArea>
    </format>
    <format dxfId="1305">
      <pivotArea collapsedLevelsAreSubtotals="1" fieldPosition="0">
        <references count="1">
          <reference field="38" count="1">
            <x v="5"/>
          </reference>
        </references>
      </pivotArea>
    </format>
    <format dxfId="1304">
      <pivotArea collapsedLevelsAreSubtotals="1" fieldPosition="0">
        <references count="2">
          <reference field="5" count="1">
            <x v="13"/>
          </reference>
          <reference field="38" count="1" selected="0">
            <x v="5"/>
          </reference>
        </references>
      </pivotArea>
    </format>
    <format dxfId="1303">
      <pivotArea collapsedLevelsAreSubtotals="1" fieldPosition="0">
        <references count="3">
          <reference field="5" count="1" selected="0">
            <x v="13"/>
          </reference>
          <reference field="11" count="4">
            <x v="126"/>
            <x v="134"/>
            <x v="135"/>
            <x v="146"/>
          </reference>
          <reference field="38" count="1" selected="0">
            <x v="5"/>
          </reference>
        </references>
      </pivotArea>
    </format>
    <format dxfId="1302">
      <pivotArea collapsedLevelsAreSubtotals="1" fieldPosition="0">
        <references count="2">
          <reference field="5" count="1">
            <x v="18"/>
          </reference>
          <reference field="38" count="1" selected="0">
            <x v="5"/>
          </reference>
        </references>
      </pivotArea>
    </format>
    <format dxfId="1301">
      <pivotArea collapsedLevelsAreSubtotals="1" fieldPosition="0">
        <references count="3">
          <reference field="5" count="1" selected="0">
            <x v="18"/>
          </reference>
          <reference field="11" count="2">
            <x v="192"/>
            <x v="193"/>
          </reference>
          <reference field="38" count="1" selected="0">
            <x v="5"/>
          </reference>
        </references>
      </pivotArea>
    </format>
    <format dxfId="1300">
      <pivotArea collapsedLevelsAreSubtotals="1" fieldPosition="0">
        <references count="2">
          <reference field="5" count="1">
            <x v="9"/>
          </reference>
          <reference field="38" count="1" selected="0">
            <x v="5"/>
          </reference>
        </references>
      </pivotArea>
    </format>
    <format dxfId="1299">
      <pivotArea collapsedLevelsAreSubtotals="1" fieldPosition="0">
        <references count="3">
          <reference field="5" count="1" selected="0">
            <x v="9"/>
          </reference>
          <reference field="11" count="2">
            <x v="102"/>
            <x v="103"/>
          </reference>
          <reference field="38" count="1" selected="0">
            <x v="5"/>
          </reference>
        </references>
      </pivotArea>
    </format>
    <format dxfId="1298">
      <pivotArea collapsedLevelsAreSubtotals="1" fieldPosition="0">
        <references count="2">
          <reference field="5" count="1">
            <x v="17"/>
          </reference>
          <reference field="38" count="1" selected="0">
            <x v="5"/>
          </reference>
        </references>
      </pivotArea>
    </format>
    <format dxfId="1297">
      <pivotArea collapsedLevelsAreSubtotals="1" fieldPosition="0">
        <references count="3">
          <reference field="5" count="1" selected="0">
            <x v="17"/>
          </reference>
          <reference field="11" count="1">
            <x v="231"/>
          </reference>
          <reference field="38" count="1" selected="0">
            <x v="5"/>
          </reference>
        </references>
      </pivotArea>
    </format>
    <format dxfId="1296">
      <pivotArea collapsedLevelsAreSubtotals="1" fieldPosition="0">
        <references count="2">
          <reference field="5" count="1">
            <x v="10"/>
          </reference>
          <reference field="38" count="1" selected="0">
            <x v="5"/>
          </reference>
        </references>
      </pivotArea>
    </format>
    <format dxfId="1295">
      <pivotArea collapsedLevelsAreSubtotals="1" fieldPosition="0">
        <references count="3">
          <reference field="5" count="1" selected="0">
            <x v="10"/>
          </reference>
          <reference field="11" count="3">
            <x v="59"/>
            <x v="104"/>
            <x v="161"/>
          </reference>
          <reference field="38" count="1" selected="0">
            <x v="5"/>
          </reference>
        </references>
      </pivotArea>
    </format>
    <format dxfId="1294">
      <pivotArea collapsedLevelsAreSubtotals="1" fieldPosition="0">
        <references count="2">
          <reference field="5" count="1">
            <x v="11"/>
          </reference>
          <reference field="38" count="1" selected="0">
            <x v="5"/>
          </reference>
        </references>
      </pivotArea>
    </format>
    <format dxfId="1293">
      <pivotArea collapsedLevelsAreSubtotals="1" fieldPosition="0">
        <references count="3">
          <reference field="5" count="1" selected="0">
            <x v="11"/>
          </reference>
          <reference field="11" count="2">
            <x v="164"/>
            <x v="196"/>
          </reference>
          <reference field="38" count="1" selected="0">
            <x v="5"/>
          </reference>
        </references>
      </pivotArea>
    </format>
    <format dxfId="1292">
      <pivotArea collapsedLevelsAreSubtotals="1" fieldPosition="0">
        <references count="2">
          <reference field="5" count="1">
            <x v="16"/>
          </reference>
          <reference field="38" count="1" selected="0">
            <x v="5"/>
          </reference>
        </references>
      </pivotArea>
    </format>
    <format dxfId="1291">
      <pivotArea collapsedLevelsAreSubtotals="1" fieldPosition="0">
        <references count="3">
          <reference field="5" count="1" selected="0">
            <x v="16"/>
          </reference>
          <reference field="11" count="1">
            <x v="153"/>
          </reference>
          <reference field="38" count="1" selected="0">
            <x v="5"/>
          </reference>
        </references>
      </pivotArea>
    </format>
    <format dxfId="1290">
      <pivotArea collapsedLevelsAreSubtotals="1" fieldPosition="0">
        <references count="2">
          <reference field="5" count="1">
            <x v="5"/>
          </reference>
          <reference field="38" count="1" selected="0">
            <x v="5"/>
          </reference>
        </references>
      </pivotArea>
    </format>
    <format dxfId="1289">
      <pivotArea collapsedLevelsAreSubtotals="1" fieldPosition="0">
        <references count="3">
          <reference field="5" count="1" selected="0">
            <x v="5"/>
          </reference>
          <reference field="11" count="1">
            <x v="60"/>
          </reference>
          <reference field="38" count="1" selected="0">
            <x v="5"/>
          </reference>
        </references>
      </pivotArea>
    </format>
    <format dxfId="1288">
      <pivotArea collapsedLevelsAreSubtotals="1" fieldPosition="0">
        <references count="2">
          <reference field="5" count="1">
            <x v="19"/>
          </reference>
          <reference field="38" count="1" selected="0">
            <x v="5"/>
          </reference>
        </references>
      </pivotArea>
    </format>
    <format dxfId="1287">
      <pivotArea collapsedLevelsAreSubtotals="1" fieldPosition="0">
        <references count="3">
          <reference field="5" count="1" selected="0">
            <x v="19"/>
          </reference>
          <reference field="11" count="1">
            <x v="198"/>
          </reference>
          <reference field="38" count="1" selected="0">
            <x v="5"/>
          </reference>
        </references>
      </pivotArea>
    </format>
    <format dxfId="1286">
      <pivotArea dataOnly="0" labelOnly="1" fieldPosition="0">
        <references count="1">
          <reference field="38" count="1">
            <x v="5"/>
          </reference>
        </references>
      </pivotArea>
    </format>
    <format dxfId="1285">
      <pivotArea dataOnly="0" labelOnly="1" fieldPosition="0">
        <references count="2">
          <reference field="5" count="9">
            <x v="5"/>
            <x v="9"/>
            <x v="10"/>
            <x v="11"/>
            <x v="13"/>
            <x v="16"/>
            <x v="17"/>
            <x v="18"/>
            <x v="19"/>
          </reference>
          <reference field="38" count="1" selected="0">
            <x v="5"/>
          </reference>
        </references>
      </pivotArea>
    </format>
    <format dxfId="1284">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1283">
      <pivotArea collapsedLevelsAreSubtotals="1" fieldPosition="0">
        <references count="1">
          <reference field="38" count="1">
            <x v="6"/>
          </reference>
        </references>
      </pivotArea>
    </format>
    <format dxfId="1282">
      <pivotArea collapsedLevelsAreSubtotals="1" fieldPosition="0">
        <references count="2">
          <reference field="5" count="1">
            <x v="6"/>
          </reference>
          <reference field="38" count="1" selected="0">
            <x v="6"/>
          </reference>
        </references>
      </pivotArea>
    </format>
    <format dxfId="1281">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1280">
      <pivotArea dataOnly="0" labelOnly="1" fieldPosition="0">
        <references count="1">
          <reference field="38" count="1">
            <x v="6"/>
          </reference>
        </references>
      </pivotArea>
    </format>
    <format dxfId="1279">
      <pivotArea dataOnly="0" labelOnly="1" fieldPosition="0">
        <references count="2">
          <reference field="5" count="1">
            <x v="6"/>
          </reference>
          <reference field="38" count="1" selected="0">
            <x v="6"/>
          </reference>
        </references>
      </pivotArea>
    </format>
    <format dxfId="1278">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1277">
      <pivotArea collapsedLevelsAreSubtotals="1" fieldPosition="0">
        <references count="1">
          <reference field="38" count="1">
            <x v="7"/>
          </reference>
        </references>
      </pivotArea>
    </format>
    <format dxfId="1276">
      <pivotArea collapsedLevelsAreSubtotals="1" fieldPosition="0">
        <references count="2">
          <reference field="5" count="1">
            <x v="8"/>
          </reference>
          <reference field="38" count="1" selected="0">
            <x v="7"/>
          </reference>
        </references>
      </pivotArea>
    </format>
    <format dxfId="1275">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1274">
      <pivotArea dataOnly="0" labelOnly="1" fieldPosition="0">
        <references count="1">
          <reference field="38" count="1">
            <x v="7"/>
          </reference>
        </references>
      </pivotArea>
    </format>
    <format dxfId="1273">
      <pivotArea dataOnly="0" labelOnly="1" fieldPosition="0">
        <references count="2">
          <reference field="5" count="1">
            <x v="8"/>
          </reference>
          <reference field="38" count="1" selected="0">
            <x v="7"/>
          </reference>
        </references>
      </pivotArea>
    </format>
    <format dxfId="1272">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1271">
      <pivotArea collapsedLevelsAreSubtotals="1" fieldPosition="0">
        <references count="1">
          <reference field="38" count="1">
            <x v="8"/>
          </reference>
        </references>
      </pivotArea>
    </format>
    <format dxfId="1270">
      <pivotArea collapsedLevelsAreSubtotals="1" fieldPosition="0">
        <references count="2">
          <reference field="5" count="1">
            <x v="12"/>
          </reference>
          <reference field="38" count="1" selected="0">
            <x v="8"/>
          </reference>
        </references>
      </pivotArea>
    </format>
    <format dxfId="1269">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1268">
      <pivotArea dataOnly="0" labelOnly="1" fieldPosition="0">
        <references count="1">
          <reference field="38" count="1">
            <x v="8"/>
          </reference>
        </references>
      </pivotArea>
    </format>
    <format dxfId="1267">
      <pivotArea dataOnly="0" labelOnly="1" fieldPosition="0">
        <references count="2">
          <reference field="5" count="1">
            <x v="12"/>
          </reference>
          <reference field="38" count="1" selected="0">
            <x v="8"/>
          </reference>
        </references>
      </pivotArea>
    </format>
    <format dxfId="1266">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1265">
      <pivotArea collapsedLevelsAreSubtotals="1" fieldPosition="0">
        <references count="1">
          <reference field="38" count="1">
            <x v="9"/>
          </reference>
        </references>
      </pivotArea>
    </format>
    <format dxfId="1264">
      <pivotArea collapsedLevelsAreSubtotals="1" fieldPosition="0">
        <references count="2">
          <reference field="5" count="1">
            <x v="14"/>
          </reference>
          <reference field="38" count="1" selected="0">
            <x v="9"/>
          </reference>
        </references>
      </pivotArea>
    </format>
    <format dxfId="1263">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1262">
      <pivotArea dataOnly="0" labelOnly="1" fieldPosition="0">
        <references count="1">
          <reference field="38" count="1">
            <x v="9"/>
          </reference>
        </references>
      </pivotArea>
    </format>
    <format dxfId="1261">
      <pivotArea dataOnly="0" labelOnly="1" fieldPosition="0">
        <references count="2">
          <reference field="5" count="1">
            <x v="14"/>
          </reference>
          <reference field="38" count="1" selected="0">
            <x v="9"/>
          </reference>
        </references>
      </pivotArea>
    </format>
    <format dxfId="1260">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1259">
      <pivotArea collapsedLevelsAreSubtotals="1" fieldPosition="0">
        <references count="1">
          <reference field="38" count="1">
            <x v="10"/>
          </reference>
        </references>
      </pivotArea>
    </format>
    <format dxfId="1258">
      <pivotArea collapsedLevelsAreSubtotals="1" fieldPosition="0">
        <references count="2">
          <reference field="5" count="1">
            <x v="15"/>
          </reference>
          <reference field="38" count="1" selected="0">
            <x v="10"/>
          </reference>
        </references>
      </pivotArea>
    </format>
    <format dxfId="1257">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1256">
      <pivotArea dataOnly="0" labelOnly="1" fieldPosition="0">
        <references count="1">
          <reference field="38" count="1">
            <x v="10"/>
          </reference>
        </references>
      </pivotArea>
    </format>
    <format dxfId="1255">
      <pivotArea dataOnly="0" labelOnly="1" fieldPosition="0">
        <references count="2">
          <reference field="5" count="1">
            <x v="15"/>
          </reference>
          <reference field="38" count="1" selected="0">
            <x v="10"/>
          </reference>
        </references>
      </pivotArea>
    </format>
    <format dxfId="1254">
      <pivotArea dataOnly="0" labelOnly="1" fieldPosition="0">
        <references count="3">
          <reference field="5" count="1" selected="0">
            <x v="15"/>
          </reference>
          <reference field="11" count="5">
            <x v="140"/>
            <x v="141"/>
            <x v="142"/>
            <x v="143"/>
            <x v="155"/>
          </reference>
          <reference field="38" count="1" selected="0">
            <x v="10"/>
          </reference>
        </references>
      </pivotArea>
    </format>
    <format dxfId="1253">
      <pivotArea collapsedLevelsAreSubtotals="1" fieldPosition="0">
        <references count="1">
          <reference field="38" count="1">
            <x v="11"/>
          </reference>
        </references>
      </pivotArea>
    </format>
    <format dxfId="1252">
      <pivotArea collapsedLevelsAreSubtotals="1" fieldPosition="0">
        <references count="2">
          <reference field="5" count="1">
            <x v="20"/>
          </reference>
          <reference field="38" count="1" selected="0">
            <x v="11"/>
          </reference>
        </references>
      </pivotArea>
    </format>
    <format dxfId="1251">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1250">
      <pivotArea dataOnly="0" labelOnly="1" fieldPosition="0">
        <references count="1">
          <reference field="38" count="1">
            <x v="11"/>
          </reference>
        </references>
      </pivotArea>
    </format>
    <format dxfId="1249">
      <pivotArea dataOnly="0" labelOnly="1" fieldPosition="0">
        <references count="2">
          <reference field="5" count="1">
            <x v="20"/>
          </reference>
          <reference field="38" count="1" selected="0">
            <x v="11"/>
          </reference>
        </references>
      </pivotArea>
    </format>
    <format dxfId="1248">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1247">
      <pivotArea outline="0" collapsedLevelsAreSubtotals="1" fieldPosition="0">
        <references count="1">
          <reference field="4294967294" count="1" selected="0">
            <x v="0"/>
          </reference>
        </references>
      </pivotArea>
    </format>
    <format dxfId="1246">
      <pivotArea dataOnly="0" labelOnly="1" outline="0" fieldPosition="0">
        <references count="1">
          <reference field="4294967294" count="1">
            <x v="0"/>
          </reference>
        </references>
      </pivotArea>
    </format>
    <format dxfId="1245">
      <pivotArea outline="0" collapsedLevelsAreSubtotals="1" fieldPosition="0">
        <references count="1">
          <reference field="4294967294" count="1" selected="0">
            <x v="2"/>
          </reference>
        </references>
      </pivotArea>
    </format>
    <format dxfId="1244">
      <pivotArea dataOnly="0" labelOnly="1" outline="0" fieldPosition="0">
        <references count="1">
          <reference field="4294967294" count="1">
            <x v="2"/>
          </reference>
        </references>
      </pivotArea>
    </format>
    <format dxfId="1243">
      <pivotArea outline="0" collapsedLevelsAreSubtotals="1" fieldPosition="0">
        <references count="1">
          <reference field="4294967294" count="1" selected="0">
            <x v="4"/>
          </reference>
        </references>
      </pivotArea>
    </format>
    <format dxfId="1242">
      <pivotArea dataOnly="0" labelOnly="1" outline="0" fieldPosition="0">
        <references count="1">
          <reference field="4294967294" count="1">
            <x v="4"/>
          </reference>
        </references>
      </pivotArea>
    </format>
    <format dxfId="1241">
      <pivotArea outline="0" collapsedLevelsAreSubtotals="1" fieldPosition="0">
        <references count="1">
          <reference field="4294967294" count="2" selected="0">
            <x v="0"/>
            <x v="1"/>
          </reference>
        </references>
      </pivotArea>
    </format>
    <format dxfId="1240">
      <pivotArea field="0" type="button" dataOnly="0" labelOnly="1" outline="0" axis="axisPage" fieldPosition="0"/>
    </format>
    <format dxfId="1239">
      <pivotArea dataOnly="0" labelOnly="1" outline="0" fieldPosition="0">
        <references count="1">
          <reference field="0" count="0"/>
        </references>
      </pivotArea>
    </format>
    <format dxfId="1238">
      <pivotArea field="21" type="button" dataOnly="0" labelOnly="1" outline="0" axis="axisPage" fieldPosition="1"/>
    </format>
    <format dxfId="1237">
      <pivotArea dataOnly="0" labelOnly="1" outline="0" fieldPosition="0">
        <references count="1">
          <reference field="21" count="0"/>
        </references>
      </pivotArea>
    </format>
    <format dxfId="1236">
      <pivotArea field="38" type="button" dataOnly="0" labelOnly="1" outline="0" axis="axisRow" fieldPosition="0"/>
    </format>
    <format dxfId="1235">
      <pivotArea dataOnly="0" labelOnly="1" fieldPosition="0">
        <references count="1">
          <reference field="38" count="11">
            <x v="0"/>
            <x v="1"/>
            <x v="2"/>
            <x v="3"/>
            <x v="5"/>
            <x v="6"/>
            <x v="7"/>
            <x v="8"/>
            <x v="9"/>
            <x v="10"/>
            <x v="11"/>
          </reference>
        </references>
      </pivotArea>
    </format>
    <format dxfId="1234">
      <pivotArea dataOnly="0" labelOnly="1" grandRow="1" outline="0" fieldPosition="0"/>
    </format>
    <format dxfId="1233">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1232">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1231">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1230">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122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5" cacheId="25"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4"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showAll="0" sortType="descending">
      <items count="23">
        <item x="0"/>
        <item x="2"/>
        <item x="5"/>
        <item x="18"/>
        <item x="17"/>
        <item x="12"/>
        <item x="8"/>
        <item x="19"/>
        <item x="4"/>
        <item x="9"/>
        <item x="15"/>
        <item x="13"/>
        <item x="7"/>
        <item x="10"/>
        <item x="3"/>
        <item x="1"/>
        <item x="11"/>
        <item x="16"/>
        <item x="14"/>
        <item x="20"/>
        <item x="6"/>
        <item x="21"/>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2"/>
        <item x="0"/>
        <item h="1" x="1"/>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sortType="ascending" defaultSubtotal="0">
      <items count="13">
        <item x="3"/>
        <item x="8"/>
        <item x="0"/>
        <item x="10"/>
        <item x="12"/>
        <item x="5"/>
        <item x="4"/>
        <item x="1"/>
        <item x="6"/>
        <item x="9"/>
        <item x="7"/>
        <item n="Other Townships" x="11"/>
        <item x="2"/>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3">
    <i>
      <x/>
    </i>
    <i>
      <x v="1"/>
    </i>
    <i>
      <x v="2"/>
    </i>
    <i>
      <x v="3"/>
    </i>
    <i>
      <x v="4"/>
    </i>
    <i>
      <x v="6"/>
    </i>
    <i>
      <x v="7"/>
    </i>
    <i>
      <x v="8"/>
    </i>
    <i>
      <x v="9"/>
    </i>
    <i>
      <x v="10"/>
    </i>
    <i>
      <x v="11"/>
    </i>
    <i>
      <x v="12"/>
    </i>
    <i t="grand">
      <x/>
    </i>
  </rowItems>
  <colFields count="1">
    <field x="-2"/>
  </colFields>
  <colItems count="5">
    <i>
      <x/>
    </i>
    <i i="1">
      <x v="1"/>
    </i>
    <i i="2">
      <x v="2"/>
    </i>
    <i i="3">
      <x v="3"/>
    </i>
    <i i="4">
      <x v="4"/>
    </i>
  </colItems>
  <pageFields count="2">
    <pageField fld="0" hier="-1"/>
    <pageField fld="21" hier="-1"/>
  </pageFields>
  <dataFields count="5">
    <dataField name="# HH" fld="16" baseField="38" baseItem="0" numFmtId="165"/>
    <dataField name="# Ind." fld="17" baseField="38" baseItem="0" numFmtId="3"/>
    <dataField name="# Camps" fld="12" subtotal="count" baseField="38" baseItem="0"/>
    <dataField name="# Shelter Gap" fld="31" baseField="38" baseItem="0" numFmtId="165"/>
    <dataField name="# Const. Shelter" fld="33" baseField="38" baseItem="0" numFmtId="165"/>
  </dataFields>
  <formats count="10">
    <format dxfId="915">
      <pivotArea outline="0" collapsedLevelsAreSubtotals="1" fieldPosition="0">
        <references count="1">
          <reference field="4294967294" count="1" selected="0">
            <x v="0"/>
          </reference>
        </references>
      </pivotArea>
    </format>
    <format dxfId="914">
      <pivotArea outline="0" collapsedLevelsAreSubtotals="1" fieldPosition="0">
        <references count="1">
          <reference field="4294967294" count="2" selected="0">
            <x v="3"/>
            <x v="4"/>
          </reference>
        </references>
      </pivotArea>
    </format>
    <format dxfId="913">
      <pivotArea outline="0" fieldPosition="0">
        <references count="1">
          <reference field="4294967294" count="1">
            <x v="1"/>
          </reference>
        </references>
      </pivotArea>
    </format>
    <format dxfId="912">
      <pivotArea field="5" type="button" dataOnly="0" labelOnly="1" outline="0"/>
    </format>
    <format dxfId="911">
      <pivotArea dataOnly="0" labelOnly="1" outline="0" fieldPosition="0">
        <references count="1">
          <reference field="4294967294" count="5">
            <x v="0"/>
            <x v="1"/>
            <x v="2"/>
            <x v="3"/>
            <x v="4"/>
          </reference>
        </references>
      </pivotArea>
    </format>
    <format dxfId="910">
      <pivotArea field="5" type="button" dataOnly="0" labelOnly="1" outline="0"/>
    </format>
    <format dxfId="909">
      <pivotArea dataOnly="0" labelOnly="1" outline="0" fieldPosition="0">
        <references count="1">
          <reference field="4294967294" count="5">
            <x v="0"/>
            <x v="1"/>
            <x v="2"/>
            <x v="3"/>
            <x v="4"/>
          </reference>
        </references>
      </pivotArea>
    </format>
    <format dxfId="908">
      <pivotArea dataOnly="0" labelOnly="1" outline="0" fieldPosition="0">
        <references count="1">
          <reference field="4294967294" count="5">
            <x v="0"/>
            <x v="1"/>
            <x v="2"/>
            <x v="3"/>
            <x v="4"/>
          </reference>
        </references>
      </pivotArea>
    </format>
    <format dxfId="907">
      <pivotArea field="5" type="button" dataOnly="0" labelOnly="1" outline="0"/>
    </format>
    <format dxfId="906">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4" cacheId="1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7">
  <location ref="A73:D80" firstHeaderRow="0" firstDataRow="1" firstDataCol="1" rowPageCount="3" colPageCount="1"/>
  <pivotFields count="49">
    <pivotField showAll="0" defaultSubtotal="0"/>
    <pivotField showAll="0"/>
    <pivotField axis="axisRow" showAll="0">
      <items count="16">
        <item x="8"/>
        <item x="6"/>
        <item x="12"/>
        <item x="7"/>
        <item x="10"/>
        <item x="4"/>
        <item x="11"/>
        <item x="5"/>
        <item x="9"/>
        <item x="1"/>
        <item x="0"/>
        <item x="13"/>
        <item x="14"/>
        <item x="3"/>
        <item x="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3">
        <item h="1" x="0"/>
        <item x="2"/>
        <item h="1" x="1"/>
      </items>
    </pivotField>
    <pivotField showAll="0" defaultSubtotal="0"/>
    <pivotField showAll="0" defaultSubtotal="0"/>
    <pivotField showAll="0" defaultSubtotal="0"/>
    <pivotField showAll="0" defaultSubtotal="0"/>
    <pivotField multipleItemSelectionAllowed="1" showAll="0" defaultSubtotal="0"/>
    <pivotField axis="axisPage" multipleItemSelectionAllowed="1" showAll="0" defaultSubtotal="0">
      <items count="3">
        <item h="1" x="2"/>
        <item h="1" x="0"/>
        <item x="1"/>
      </items>
    </pivotField>
    <pivotField axis="axisPage" multipleItemSelectionAllowed="1" showAll="0" defaultSubtotal="0">
      <items count="7">
        <item h="1" x="0"/>
        <item x="5"/>
        <item h="1" x="6"/>
        <item h="1" x="2"/>
        <item h="1" x="1"/>
        <item h="1" x="3"/>
        <item h="1" x="4"/>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4" hier="-1"/>
    <pageField fld="45"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818">
      <pivotArea outline="0" collapsedLevelsAreSubtotals="1" fieldPosition="0"/>
    </format>
    <format dxfId="817">
      <pivotArea type="all" dataOnly="0" outline="0" fieldPosition="0"/>
    </format>
    <format dxfId="816">
      <pivotArea field="44" type="button" dataOnly="0" labelOnly="1" outline="0" axis="axisPage" fieldPosition="0"/>
    </format>
    <format dxfId="815">
      <pivotArea dataOnly="0" labelOnly="1" outline="0" fieldPosition="0">
        <references count="1">
          <reference field="44" count="0"/>
        </references>
      </pivotArea>
    </format>
    <format dxfId="814">
      <pivotArea field="45" type="button" dataOnly="0" labelOnly="1" outline="0" axis="axisPage" fieldPosition="1"/>
    </format>
    <format dxfId="813">
      <pivotArea dataOnly="0" labelOnly="1" outline="0" fieldPosition="0">
        <references count="1">
          <reference field="45" count="0"/>
        </references>
      </pivotArea>
    </format>
    <format dxfId="812">
      <pivotArea field="38" type="button" dataOnly="0" labelOnly="1" outline="0" axis="axisPage" fieldPosition="2"/>
    </format>
    <format dxfId="811">
      <pivotArea dataOnly="0" labelOnly="1" outline="0" fieldPosition="0">
        <references count="1">
          <reference field="38" count="0"/>
        </references>
      </pivotArea>
    </format>
    <format dxfId="810">
      <pivotArea field="2" type="button" dataOnly="0" labelOnly="1" outline="0" axis="axisRow" fieldPosition="0"/>
    </format>
    <format dxfId="809">
      <pivotArea dataOnly="0" labelOnly="1" outline="0" fieldPosition="0">
        <references count="1">
          <reference field="4294967294" count="3">
            <x v="0"/>
            <x v="1"/>
            <x v="2"/>
          </reference>
        </references>
      </pivotArea>
    </format>
  </formats>
  <chartFormats count="3">
    <chartFormat chart="10" format="15" series="1">
      <pivotArea type="data" outline="0" fieldPosition="0">
        <references count="1">
          <reference field="4294967294" count="1" selected="0">
            <x v="0"/>
          </reference>
        </references>
      </pivotArea>
    </chartFormat>
    <chartFormat chart="10" format="16" series="1">
      <pivotArea type="data" outline="0" fieldPosition="0">
        <references count="1">
          <reference field="4294967294" count="1" selected="0">
            <x v="1"/>
          </reference>
        </references>
      </pivotArea>
    </chartFormat>
    <chartFormat chart="10" format="1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11"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8">
  <location ref="A63:F64" firstHeaderRow="0" firstDataRow="1" firstDataCol="0" rowPageCount="2" colPageCount="1"/>
  <pivotFields count="49">
    <pivotField showAll="0" defaultSubtotal="0"/>
    <pivotField showAll="0"/>
    <pivotField showAll="0"/>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x="0"/>
        <item x="1"/>
      </items>
    </pivotField>
    <pivotField axis="axisPage" multipleItemSelectionAllowed="1" showAll="0" defaultSubtotal="0">
      <items count="3">
        <item h="1" x="2"/>
        <item h="1" x="0"/>
        <item x="1"/>
      </items>
    </pivotField>
    <pivotField showAll="0" defaultSubtotal="0"/>
    <pivotField showAll="0" defaultSubtotal="0"/>
    <pivotField showAll="0" defaultSubtotal="0"/>
    <pivotField showAll="0" defaultSubtotal="0"/>
  </pivotFields>
  <rowItems count="1">
    <i/>
  </rowItems>
  <colFields count="1">
    <field x="-2"/>
  </colFields>
  <colItems count="6">
    <i>
      <x/>
    </i>
    <i i="1">
      <x v="1"/>
    </i>
    <i i="2">
      <x v="2"/>
    </i>
    <i i="3">
      <x v="3"/>
    </i>
    <i i="4">
      <x v="4"/>
    </i>
    <i i="5">
      <x v="5"/>
    </i>
  </colItems>
  <pageFields count="2">
    <pageField fld="44" hier="-1"/>
    <pageField fld="43"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820">
      <pivotArea outline="0" collapsedLevelsAreSubtotals="1" fieldPosition="0"/>
    </format>
    <format dxfId="819">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808">
      <pivotArea outline="0" collapsedLevelsAreSubtotals="1" fieldPosition="0"/>
    </format>
    <format dxfId="80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 cacheId="1"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G44:M47" firstHeaderRow="0" firstDataRow="1" firstDataCol="1" rowPageCount="2" colPageCount="1"/>
  <pivotFields count="48">
    <pivotField showAll="0"/>
    <pivotField showAll="0"/>
    <pivotField axis="axisRow" showAll="0">
      <items count="16">
        <item x="11"/>
        <item x="8"/>
        <item x="6"/>
        <item x="3"/>
        <item x="5"/>
        <item x="1"/>
        <item x="2"/>
        <item x="10"/>
        <item x="13"/>
        <item x="7"/>
        <item x="4"/>
        <item x="0"/>
        <item x="12"/>
        <item x="9"/>
        <item h="1"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0">
        <item x="2"/>
        <item h="1" m="1" x="12"/>
        <item m="1" x="17"/>
        <item m="1" x="7"/>
        <item m="1" x="3"/>
        <item m="1" x="35"/>
        <item m="1" x="33"/>
        <item m="1" x="30"/>
        <item m="1" x="25"/>
        <item m="1" x="20"/>
        <item m="1" x="26"/>
        <item m="1" x="21"/>
        <item m="1" x="19"/>
        <item m="1" x="15"/>
        <item m="1" x="11"/>
        <item m="1" x="8"/>
        <item m="1" x="4"/>
        <item m="1" x="36"/>
        <item m="1" x="31"/>
        <item m="1" x="22"/>
        <item m="1" x="27"/>
        <item m="1" x="16"/>
        <item m="1" x="9"/>
        <item m="1" x="5"/>
        <item m="1" x="38"/>
        <item m="1" x="34"/>
        <item m="1" x="32"/>
        <item m="1" x="28"/>
        <item m="1" x="23"/>
        <item m="1" x="14"/>
        <item m="1" x="10"/>
        <item m="1" x="6"/>
        <item m="1" x="37"/>
        <item m="1" x="24"/>
        <item m="1" x="13"/>
        <item m="1" x="29"/>
        <item m="1" x="18"/>
        <item h="1" x="0"/>
        <item x="1"/>
        <item t="default"/>
      </items>
    </pivotField>
    <pivotField axis="axisPage" multipleItemSelectionAllowed="1" showAll="0">
      <items count="5">
        <item h="1" x="2"/>
        <item h="1" x="0"/>
        <item x="1"/>
        <item h="1" m="1" x="3"/>
        <item t="default"/>
      </items>
    </pivotField>
    <pivotField showAll="0"/>
    <pivotField showAll="0"/>
    <pivotField showAll="0"/>
  </pivotFields>
  <rowFields count="1">
    <field x="2"/>
  </rowFields>
  <rowItems count="3">
    <i>
      <x v="10"/>
    </i>
    <i>
      <x v="11"/>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3"/>
          </reference>
        </references>
      </pivotArea>
    </chartFormat>
    <chartFormat chart="0" format="3"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5" cacheId="11"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49:I52" firstHeaderRow="0" firstDataRow="1" firstDataCol="1" rowPageCount="2" colPageCount="1"/>
  <pivotFields count="49">
    <pivotField showAll="0"/>
    <pivotField showAll="0"/>
    <pivotField axis="axisRow" showAll="0">
      <items count="16">
        <item x="8"/>
        <item h="1" x="6"/>
        <item h="1" x="12"/>
        <item x="7"/>
        <item x="10"/>
        <item x="4"/>
        <item x="11"/>
        <item x="5"/>
        <item x="2"/>
        <item x="9"/>
        <item x="1"/>
        <item x="0"/>
        <item x="3"/>
        <item x="13"/>
        <item h="1"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0"/>
        <item x="1"/>
        <item x="2"/>
        <item t="default"/>
      </items>
    </pivotField>
    <pivotField axis="axisPage" multipleItemSelectionAllowed="1" showAll="0">
      <items count="4">
        <item h="1" x="2"/>
        <item h="1" x="0"/>
        <item x="1"/>
        <item t="default"/>
      </items>
    </pivotField>
    <pivotField showAll="0"/>
    <pivotField showAll="0"/>
    <pivotField showAll="0"/>
    <pivotField showAll="0"/>
  </pivotFields>
  <rowFields count="1">
    <field x="2"/>
  </rowFields>
  <rowItems count="3">
    <i>
      <x v="10"/>
    </i>
    <i>
      <x v="11"/>
    </i>
    <i t="grand">
      <x/>
    </i>
  </rowItems>
  <colFields count="1">
    <field x="-2"/>
  </colFields>
  <colItems count="6">
    <i>
      <x/>
    </i>
    <i i="1">
      <x v="1"/>
    </i>
    <i i="2">
      <x v="2"/>
    </i>
    <i i="3">
      <x v="3"/>
    </i>
    <i i="4">
      <x v="4"/>
    </i>
    <i i="5">
      <x v="5"/>
    </i>
  </colItems>
  <pageFields count="2">
    <pageField fld="43" hier="-1"/>
    <pageField fld="44" hier="-1"/>
  </pageFields>
  <dataFields count="6">
    <dataField name="Mosquito  net" fld="10" baseField="2" baseItem="4"/>
    <dataField name="Tarpaulin " fld="11" baseField="2" baseItem="4"/>
    <dataField name="Blanket " fld="12" baseField="2" baseItem="4"/>
    <dataField name="Kitchen Set " fld="13" baseField="2" baseItem="4"/>
    <dataField name="Plastic Bucket " fld="15" baseField="2" baseItem="4"/>
    <dataField name="Plastic Mat " fld="16"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0"/>
        <item x="2"/>
        <item x="5"/>
        <item x="18"/>
        <item x="17"/>
        <item x="12"/>
        <item x="8"/>
        <item x="19"/>
        <item x="4"/>
        <item x="9"/>
        <item x="15"/>
        <item x="13"/>
        <item x="7"/>
        <item x="10"/>
        <item x="3"/>
        <item x="1"/>
        <item x="11"/>
        <item x="16"/>
        <item x="14"/>
        <item x="20"/>
        <item x="6"/>
        <item x="21"/>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2132">
      <pivotArea field="0" type="button" dataOnly="0" labelOnly="1" outline="0" axis="axisPage" fieldPosition="0"/>
    </format>
    <format dxfId="2131">
      <pivotArea dataOnly="0" labelOnly="1" outline="0" fieldPosition="0">
        <references count="1">
          <reference field="0" count="0"/>
        </references>
      </pivotArea>
    </format>
    <format dxfId="2130">
      <pivotArea type="all" dataOnly="0" outline="0" fieldPosition="0"/>
    </format>
    <format dxfId="2129">
      <pivotArea type="all" dataOnly="0" outline="0" fieldPosition="0"/>
    </format>
    <format dxfId="2128">
      <pivotArea collapsedLevelsAreSubtotals="1" fieldPosition="0">
        <references count="1">
          <reference field="21" count="4">
            <x v="0"/>
            <x v="1"/>
            <x v="2"/>
            <x v="3"/>
          </reference>
        </references>
      </pivotArea>
    </format>
    <format dxfId="2127">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2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2">
        <item x="0"/>
        <item x="2"/>
        <item x="5"/>
        <item x="18"/>
        <item x="17"/>
        <item x="12"/>
        <item x="8"/>
        <item x="19"/>
        <item x="4"/>
        <item x="9"/>
        <item x="15"/>
        <item x="13"/>
        <item x="7"/>
        <item x="10"/>
        <item x="3"/>
        <item x="1"/>
        <item x="11"/>
        <item x="16"/>
        <item x="14"/>
        <item x="20"/>
        <item x="6"/>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2145">
      <pivotArea type="all" dataOnly="0" outline="0" fieldPosition="0"/>
    </format>
    <format dxfId="2144">
      <pivotArea field="1" type="button" dataOnly="0" labelOnly="1" outline="0" axis="axisPage" fieldPosition="0"/>
    </format>
    <format dxfId="2143">
      <pivotArea grandRow="1" outline="0" collapsedLevelsAreSubtotals="1" fieldPosition="0"/>
    </format>
    <format dxfId="2142">
      <pivotArea dataOnly="0" labelOnly="1" grandRow="1" outline="0" fieldPosition="0"/>
    </format>
    <format dxfId="2141">
      <pivotArea outline="0" collapsedLevelsAreSubtotals="1" fieldPosition="0"/>
    </format>
    <format dxfId="2140">
      <pivotArea dataOnly="0" labelOnly="1" fieldPosition="0">
        <references count="1">
          <reference field="0" count="0"/>
        </references>
      </pivotArea>
    </format>
    <format dxfId="2139">
      <pivotArea dataOnly="0" labelOnly="1" grandRow="1" outline="0" fieldPosition="0"/>
    </format>
    <format dxfId="2138">
      <pivotArea type="topRight" dataOnly="0" labelOnly="1" outline="0" fieldPosition="0"/>
    </format>
    <format dxfId="2137">
      <pivotArea type="all" dataOnly="0" outline="0" fieldPosition="0"/>
    </format>
    <format dxfId="2136">
      <pivotArea dataOnly="0" labelOnly="1" outline="0" fieldPosition="0">
        <references count="1">
          <reference field="1" count="0"/>
        </references>
      </pivotArea>
    </format>
    <format dxfId="2135">
      <pivotArea type="all" dataOnly="0" outline="0" fieldPosition="0"/>
    </format>
    <format dxfId="2134">
      <pivotArea collapsedLevelsAreSubtotals="1" fieldPosition="0">
        <references count="1">
          <reference field="0" count="0"/>
        </references>
      </pivotArea>
    </format>
    <format dxfId="213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7"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2">
        <item x="0"/>
        <item x="2"/>
        <item x="5"/>
        <item x="18"/>
        <item x="17"/>
        <item x="12"/>
        <item x="8"/>
        <item x="19"/>
        <item x="4"/>
        <item x="9"/>
        <item x="15"/>
        <item x="13"/>
        <item x="7"/>
        <item x="10"/>
        <item x="3"/>
        <item x="1"/>
        <item x="11"/>
        <item x="16"/>
        <item x="14"/>
        <item x="20"/>
        <item x="6"/>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6">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x v="12"/>
    </i>
    <i r="1">
      <x v="21"/>
    </i>
    <i t="grand">
      <x/>
    </i>
  </rowItems>
  <colItems count="1">
    <i/>
  </colItems>
  <pageFields count="1">
    <pageField fld="1" hier="-1"/>
  </pageFields>
  <dataFields count="1">
    <dataField name="Population" fld="17" baseField="5" baseItem="22"/>
  </dataFields>
  <formats count="5">
    <format dxfId="2150">
      <pivotArea type="all" dataOnly="0" outline="0" fieldPosition="0"/>
    </format>
    <format dxfId="2149">
      <pivotArea field="1" type="button" dataOnly="0" labelOnly="1" outline="0" axis="axisPage" fieldPosition="0"/>
    </format>
    <format dxfId="2148">
      <pivotArea dataOnly="0" labelOnly="1" outline="0" fieldPosition="0">
        <references count="1">
          <reference field="4294967294" count="1">
            <x v="0"/>
          </reference>
        </references>
      </pivotArea>
    </format>
    <format dxfId="2147">
      <pivotArea grandRow="1" outline="0" collapsedLevelsAreSubtotals="1" fieldPosition="0"/>
    </format>
    <format dxfId="2146">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2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24" firstHeaderRow="0" firstDataRow="1" firstDataCol="1" rowPageCount="3" colPageCount="1"/>
  <pivotFields count="42">
    <pivotField axis="axisRow" multipleItemSelectionAllowed="1" showAll="0">
      <items count="3">
        <item x="0"/>
        <item sd="0"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2">
        <item x="0"/>
        <item x="2"/>
        <item x="5"/>
        <item x="18"/>
        <item x="17"/>
        <item x="12"/>
        <item x="8"/>
        <item x="19"/>
        <item x="4"/>
        <item x="9"/>
        <item x="15"/>
        <item x="13"/>
        <item x="7"/>
        <item x="10"/>
        <item x="3"/>
        <item x="1"/>
        <item x="11"/>
        <item x="16"/>
        <item x="14"/>
        <item x="20"/>
        <item x="6"/>
        <item x="2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15">
    <i>
      <x/>
    </i>
    <i r="1">
      <x/>
    </i>
    <i r="1">
      <x v="1"/>
    </i>
    <i r="1">
      <x v="2"/>
    </i>
    <i r="1">
      <x v="3"/>
    </i>
    <i r="1">
      <x v="5"/>
    </i>
    <i r="1">
      <x v="6"/>
    </i>
    <i r="1">
      <x v="7"/>
    </i>
    <i r="1">
      <x v="8"/>
    </i>
    <i r="1">
      <x v="9"/>
    </i>
    <i r="1">
      <x v="10"/>
    </i>
    <i r="1">
      <x v="11"/>
    </i>
    <i r="1">
      <x v="12"/>
    </i>
    <i>
      <x v="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2170">
      <pivotArea type="all" dataOnly="0" outline="0" fieldPosition="0"/>
    </format>
    <format dxfId="2169">
      <pivotArea field="1" type="button" dataOnly="0" labelOnly="1" outline="0" axis="axisPage" fieldPosition="0"/>
    </format>
    <format dxfId="2168">
      <pivotArea dataOnly="0" labelOnly="1" outline="0" fieldPosition="0">
        <references count="1">
          <reference field="4294967294" count="2">
            <x v="0"/>
            <x v="1"/>
          </reference>
        </references>
      </pivotArea>
    </format>
    <format dxfId="2167">
      <pivotArea grandRow="1" outline="0" collapsedLevelsAreSubtotals="1" fieldPosition="0"/>
    </format>
    <format dxfId="2166">
      <pivotArea dataOnly="0" labelOnly="1" grandRow="1" outline="0" fieldPosition="0"/>
    </format>
    <format dxfId="2165">
      <pivotArea outline="0" collapsedLevelsAreSubtotals="1" fieldPosition="0"/>
    </format>
    <format dxfId="2164">
      <pivotArea dataOnly="0" labelOnly="1" fieldPosition="0">
        <references count="1">
          <reference field="0" count="0"/>
        </references>
      </pivotArea>
    </format>
    <format dxfId="2163">
      <pivotArea dataOnly="0" labelOnly="1" grandRow="1" outline="0" fieldPosition="0"/>
    </format>
    <format dxfId="2162">
      <pivotArea outline="0" collapsedLevelsAreSubtotals="1" fieldPosition="0">
        <references count="1">
          <reference field="4294967294" count="1" selected="0">
            <x v="1"/>
          </reference>
        </references>
      </pivotArea>
    </format>
    <format dxfId="2161">
      <pivotArea dataOnly="0" labelOnly="1" outline="0" fieldPosition="0">
        <references count="1">
          <reference field="4294967294" count="1">
            <x v="1"/>
          </reference>
        </references>
      </pivotArea>
    </format>
    <format dxfId="2160">
      <pivotArea type="all" dataOnly="0" outline="0" fieldPosition="0"/>
    </format>
    <format dxfId="2159">
      <pivotArea field="1" type="button" dataOnly="0" labelOnly="1" outline="0" axis="axisPage" fieldPosition="0"/>
    </format>
    <format dxfId="2158">
      <pivotArea dataOnly="0" labelOnly="1" outline="0" fieldPosition="0">
        <references count="1">
          <reference field="1" count="0"/>
        </references>
      </pivotArea>
    </format>
    <format dxfId="2157">
      <pivotArea field="5" type="button" dataOnly="0" labelOnly="1" outline="0" axis="axisPage" fieldPosition="1"/>
    </format>
    <format dxfId="2156">
      <pivotArea dataOnly="0" labelOnly="1" outline="0" fieldPosition="0">
        <references count="1">
          <reference field="5" count="0"/>
        </references>
      </pivotArea>
    </format>
    <format dxfId="2155">
      <pivotArea field="1" type="button" dataOnly="0" labelOnly="1" outline="0" axis="axisPage" fieldPosition="0"/>
    </format>
    <format dxfId="2154">
      <pivotArea dataOnly="0" labelOnly="1" outline="0" fieldPosition="0">
        <references count="1">
          <reference field="1" count="0"/>
        </references>
      </pivotArea>
    </format>
    <format dxfId="2153">
      <pivotArea field="5" type="button" dataOnly="0" labelOnly="1" outline="0" axis="axisPage" fieldPosition="1"/>
    </format>
    <format dxfId="2152">
      <pivotArea dataOnly="0" labelOnly="1" outline="0" fieldPosition="0">
        <references count="1">
          <reference field="5" count="0"/>
        </references>
      </pivotArea>
    </format>
    <format dxfId="2151">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25"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208" firstHeaderRow="0" firstDataRow="1" firstDataCol="7" rowPageCount="2" colPageCount="1"/>
  <pivotFields count="42">
    <pivotField axis="axisPage" compact="0" outline="0" multipleItemSelectionAllowed="1" showAll="0">
      <items count="3">
        <item x="0"/>
        <item h="1" x="1"/>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3">
        <item x="0"/>
        <item x="2"/>
        <item x="5"/>
        <item x="18"/>
        <item x="17"/>
        <item x="12"/>
        <item x="8"/>
        <item x="19"/>
        <item x="4"/>
        <item x="9"/>
        <item x="15"/>
        <item x="13"/>
        <item x="7"/>
        <item x="10"/>
        <item x="3"/>
        <item x="1"/>
        <item x="11"/>
        <item x="16"/>
        <item x="14"/>
        <item x="20"/>
        <item x="6"/>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72">
        <item x="139"/>
        <item x="20"/>
        <item x="21"/>
        <item x="0"/>
        <item x="23"/>
        <item x="24"/>
        <item x="141"/>
        <item x="1"/>
        <item x="138"/>
        <item x="85"/>
        <item x="180"/>
        <item x="60"/>
        <item x="179"/>
        <item x="25"/>
        <item x="155"/>
        <item x="140"/>
        <item x="106"/>
        <item x="242"/>
        <item x="74"/>
        <item x="26"/>
        <item x="81"/>
        <item x="14"/>
        <item x="69"/>
        <item x="27"/>
        <item x="164"/>
        <item x="165"/>
        <item x="166"/>
        <item x="129"/>
        <item x="148"/>
        <item x="154"/>
        <item x="113"/>
        <item x="161"/>
        <item x="44"/>
        <item x="243"/>
        <item x="244"/>
        <item x="28"/>
        <item x="29"/>
        <item x="156"/>
        <item x="3"/>
        <item x="107"/>
        <item x="112"/>
        <item x="15"/>
        <item x="132"/>
        <item x="4"/>
        <item x="245"/>
        <item x="182"/>
        <item x="167"/>
        <item x="172"/>
        <item x="246"/>
        <item x="46"/>
        <item x="120"/>
        <item x="63"/>
        <item x="64"/>
        <item x="65"/>
        <item x="173"/>
        <item x="114"/>
        <item x="71"/>
        <item x="169"/>
        <item x="247"/>
        <item x="121"/>
        <item x="75"/>
        <item x="130"/>
        <item x="126"/>
        <item x="175"/>
        <item x="183"/>
        <item x="17"/>
        <item x="35"/>
        <item x="36"/>
        <item x="6"/>
        <item x="134"/>
        <item x="135"/>
        <item x="136"/>
        <item x="123"/>
        <item x="100"/>
        <item x="186"/>
        <item x="248"/>
        <item x="249"/>
        <item x="131"/>
        <item x="250"/>
        <item x="251"/>
        <item x="252"/>
        <item x="254"/>
        <item x="84"/>
        <item x="188"/>
        <item x="142"/>
        <item x="190"/>
        <item x="177"/>
        <item x="178"/>
        <item x="133"/>
        <item x="137"/>
        <item x="98"/>
        <item x="104"/>
        <item x="144"/>
        <item x="110"/>
        <item x="55"/>
        <item x="58"/>
        <item x="111"/>
        <item x="116"/>
        <item x="108"/>
        <item x="87"/>
        <item x="86"/>
        <item x="89"/>
        <item x="91"/>
        <item x="92"/>
        <item x="88"/>
        <item x="93"/>
        <item x="90"/>
        <item x="193"/>
        <item x="194"/>
        <item x="99"/>
        <item x="83"/>
        <item x="80"/>
        <item x="79"/>
        <item x="38"/>
        <item x="82"/>
        <item x="146"/>
        <item x="66"/>
        <item x="149"/>
        <item x="54"/>
        <item x="61"/>
        <item x="150"/>
        <item x="206"/>
        <item x="170"/>
        <item x="53"/>
        <item x="67"/>
        <item x="145"/>
        <item x="8"/>
        <item x="16"/>
        <item x="59"/>
        <item x="124"/>
        <item x="37"/>
        <item x="2"/>
        <item x="7"/>
        <item x="70"/>
        <item x="5"/>
        <item x="72"/>
        <item x="158"/>
        <item x="57"/>
        <item x="171"/>
        <item x="174"/>
        <item x="125"/>
        <item x="40"/>
        <item x="62"/>
        <item x="160"/>
        <item x="195"/>
        <item x="9"/>
        <item x="41"/>
        <item x="76"/>
        <item x="181"/>
        <item x="117"/>
        <item x="185"/>
        <item x="255"/>
        <item x="122"/>
        <item x="77"/>
        <item x="78"/>
        <item x="151"/>
        <item x="56"/>
        <item x="196"/>
        <item x="152"/>
        <item x="197"/>
        <item x="157"/>
        <item x="18"/>
        <item x="95"/>
        <item x="10"/>
        <item x="227"/>
        <item x="257"/>
        <item x="258"/>
        <item x="259"/>
        <item x="262"/>
        <item x="263"/>
        <item x="43"/>
        <item x="11"/>
        <item x="101"/>
        <item x="45"/>
        <item x="97"/>
        <item x="159"/>
        <item x="198"/>
        <item x="199"/>
        <item x="264"/>
        <item x="235"/>
        <item x="236"/>
        <item x="200"/>
        <item x="184"/>
        <item x="127"/>
        <item x="187"/>
        <item x="241"/>
        <item x="12"/>
        <item x="103"/>
        <item x="231"/>
        <item x="201"/>
        <item x="203"/>
        <item x="205"/>
        <item x="207"/>
        <item x="265"/>
        <item x="94"/>
        <item x="176"/>
        <item x="234"/>
        <item x="268"/>
        <item x="34"/>
        <item x="153"/>
        <item x="51"/>
        <item x="269"/>
        <item x="42"/>
        <item x="143"/>
        <item x="208"/>
        <item x="13"/>
        <item x="52"/>
        <item x="168"/>
        <item x="68"/>
        <item x="96"/>
        <item x="19"/>
        <item x="189"/>
        <item x="191"/>
        <item x="118"/>
        <item x="162"/>
        <item x="163"/>
        <item x="105"/>
        <item x="204"/>
        <item x="30"/>
        <item x="192"/>
        <item x="102"/>
        <item x="209"/>
        <item x="31"/>
        <item x="73"/>
        <item x="147"/>
        <item x="33"/>
        <item x="32"/>
        <item x="109"/>
        <item x="256"/>
        <item x="202"/>
        <item x="270"/>
        <item x="228"/>
        <item x="210"/>
        <item x="230"/>
        <item x="119"/>
        <item x="115"/>
        <item x="239"/>
        <item x="240"/>
        <item x="128"/>
        <item x="211"/>
        <item x="50"/>
        <item x="212"/>
        <item x="215"/>
        <item x="216"/>
        <item x="217"/>
        <item x="213"/>
        <item x="214"/>
        <item x="218"/>
        <item x="219"/>
        <item x="22"/>
        <item x="47"/>
        <item x="49"/>
        <item x="48"/>
        <item x="39"/>
        <item x="220"/>
        <item x="221"/>
        <item x="222"/>
        <item x="223"/>
        <item x="224"/>
        <item x="225"/>
        <item x="226"/>
        <item x="229"/>
        <item x="232"/>
        <item x="233"/>
        <item x="237"/>
        <item x="238"/>
        <item x="253"/>
        <item x="260"/>
        <item x="261"/>
        <item x="266"/>
        <item x="267"/>
        <item x="271"/>
      </items>
    </pivotField>
    <pivotField axis="axisRow" compact="0" outline="0" showAll="0" defaultSubtotal="0">
      <items count="275">
        <item x="204"/>
        <item x="199"/>
        <item x="208"/>
        <item x="206"/>
        <item x="210"/>
        <item x="201"/>
        <item x="202"/>
        <item x="193"/>
        <item x="203"/>
        <item x="168"/>
        <item x="169"/>
        <item x="167"/>
        <item x="176"/>
        <item x="186"/>
        <item x="178"/>
        <item x="191"/>
        <item x="16"/>
        <item x="170"/>
        <item x="175"/>
        <item x="196"/>
        <item x="197"/>
        <item x="211"/>
        <item x="205"/>
        <item x="198"/>
        <item x="262"/>
        <item x="266"/>
        <item x="251"/>
        <item x="246"/>
        <item x="254"/>
        <item x="265"/>
        <item x="253"/>
        <item x="261"/>
        <item x="258"/>
        <item x="33"/>
        <item x="34"/>
        <item x="35"/>
        <item x="268"/>
        <item x="271"/>
        <item x="257"/>
        <item x="255"/>
        <item x="267"/>
        <item x="14"/>
        <item x="15"/>
        <item x="43"/>
        <item x="124"/>
        <item x="45"/>
        <item x="11"/>
        <item x="47"/>
        <item x="6"/>
        <item x="0"/>
        <item x="8"/>
        <item x="4"/>
        <item x="13"/>
        <item x="9"/>
        <item x="12"/>
        <item x="152"/>
        <item x="56"/>
        <item x="57"/>
        <item x="58"/>
        <item x="234"/>
        <item x="61"/>
        <item x="145"/>
        <item x="136"/>
        <item x="134"/>
        <item x="230"/>
        <item x="111"/>
        <item x="238"/>
        <item x="239"/>
        <item x="138"/>
        <item x="139"/>
        <item x="137"/>
        <item x="155"/>
        <item x="162"/>
        <item x="73"/>
        <item x="237"/>
        <item x="119"/>
        <item x="117"/>
        <item x="120"/>
        <item x="130"/>
        <item x="79"/>
        <item x="80"/>
        <item x="81"/>
        <item x="82"/>
        <item x="83"/>
        <item x="84"/>
        <item x="85"/>
        <item x="86"/>
        <item x="39"/>
        <item x="88"/>
        <item x="89"/>
        <item x="90"/>
        <item x="91"/>
        <item x="92"/>
        <item x="93"/>
        <item x="94"/>
        <item x="95"/>
        <item x="96"/>
        <item x="97"/>
        <item x="98"/>
        <item x="42"/>
        <item x="100"/>
        <item x="53"/>
        <item x="102"/>
        <item x="103"/>
        <item x="104"/>
        <item x="27"/>
        <item x="106"/>
        <item x="273"/>
        <item x="245"/>
        <item x="109"/>
        <item x="247"/>
        <item x="272"/>
        <item x="112"/>
        <item x="113"/>
        <item x="252"/>
        <item x="259"/>
        <item x="249"/>
        <item x="135"/>
        <item x="132"/>
        <item x="160"/>
        <item x="78"/>
        <item x="76"/>
        <item x="154"/>
        <item x="107"/>
        <item x="101"/>
        <item x="147"/>
        <item x="126"/>
        <item x="127"/>
        <item x="128"/>
        <item x="129"/>
        <item x="133"/>
        <item x="29"/>
        <item x="250"/>
        <item x="125"/>
        <item x="71"/>
        <item x="260"/>
        <item x="200"/>
        <item x="3"/>
        <item x="37"/>
        <item x="22"/>
        <item x="26"/>
        <item x="141"/>
        <item x="142"/>
        <item x="143"/>
        <item x="144"/>
        <item x="28"/>
        <item x="146"/>
        <item x="24"/>
        <item x="148"/>
        <item x="149"/>
        <item x="21"/>
        <item x="151"/>
        <item x="36"/>
        <item x="44"/>
        <item x="46"/>
        <item x="52"/>
        <item x="156"/>
        <item x="157"/>
        <item x="158"/>
        <item x="159"/>
        <item x="25"/>
        <item x="30"/>
        <item x="41"/>
        <item x="10"/>
        <item x="1"/>
        <item x="18"/>
        <item x="17"/>
        <item x="54"/>
        <item x="140"/>
        <item x="77"/>
        <item x="123"/>
        <item x="171"/>
        <item x="172"/>
        <item x="173"/>
        <item x="174"/>
        <item x="244"/>
        <item x="248"/>
        <item x="177"/>
        <item x="19"/>
        <item x="179"/>
        <item x="180"/>
        <item x="181"/>
        <item x="182"/>
        <item x="183"/>
        <item x="62"/>
        <item x="185"/>
        <item x="87"/>
        <item x="187"/>
        <item x="188"/>
        <item x="189"/>
        <item x="190"/>
        <item x="2"/>
        <item x="5"/>
        <item x="7"/>
        <item x="38"/>
        <item x="153"/>
        <item x="55"/>
        <item x="59"/>
        <item x="60"/>
        <item x="110"/>
        <item x="161"/>
        <item x="63"/>
        <item x="64"/>
        <item x="65"/>
        <item x="66"/>
        <item x="67"/>
        <item x="68"/>
        <item x="69"/>
        <item x="70"/>
        <item x="115"/>
        <item x="72"/>
        <item x="74"/>
        <item x="184"/>
        <item x="114"/>
        <item x="163"/>
        <item x="116"/>
        <item x="164"/>
        <item x="99"/>
        <item x="192"/>
        <item x="20"/>
        <item x="194"/>
        <item x="121"/>
        <item x="165"/>
        <item x="166"/>
        <item x="195"/>
        <item x="108"/>
        <item x="207"/>
        <item x="31"/>
        <item x="105"/>
        <item x="212"/>
        <item x="32"/>
        <item x="75"/>
        <item x="150"/>
        <item x="213"/>
        <item x="231"/>
        <item x="233"/>
        <item x="122"/>
        <item x="118"/>
        <item x="242"/>
        <item x="243"/>
        <item x="131"/>
        <item x="214"/>
        <item x="51"/>
        <item x="209"/>
        <item x="215"/>
        <item x="216"/>
        <item x="217"/>
        <item x="218"/>
        <item x="219"/>
        <item x="220"/>
        <item x="221"/>
        <item x="222"/>
        <item x="23"/>
        <item x="48"/>
        <item x="50"/>
        <item x="49"/>
        <item x="40"/>
        <item x="223"/>
        <item x="224"/>
        <item x="225"/>
        <item x="226"/>
        <item x="227"/>
        <item x="228"/>
        <item x="229"/>
        <item x="232"/>
        <item x="235"/>
        <item x="236"/>
        <item x="240"/>
        <item x="241"/>
        <item x="256"/>
        <item x="263"/>
        <item x="264"/>
        <item x="269"/>
        <item x="270"/>
        <item x="274"/>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1"/>
        <item x="2"/>
        <item x="4"/>
        <item x="3"/>
      </items>
    </pivotField>
    <pivotField compact="0" outline="0" showAll="0" defaultSubtotal="0">
      <items count="4">
        <item x="2"/>
        <item x="3"/>
        <item x="0"/>
        <item x="1"/>
      </items>
    </pivotField>
    <pivotField compact="0" outline="0" showAll="0" defaultSubtotal="0"/>
    <pivotField compact="0" outline="0" showAll="0" defaultSubtotal="0"/>
    <pivotField axis="axisRow" compact="0" outline="0" showAll="0" defaultSubtotal="0">
      <items count="6">
        <item x="1"/>
        <item x="0"/>
        <item x="5"/>
        <item x="3"/>
        <item n=" " x="2"/>
        <item x="4"/>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3">
        <item x="3"/>
        <item x="8"/>
        <item x="0"/>
        <item x="10"/>
        <item x="5"/>
        <item x="11"/>
        <item x="4"/>
        <item x="1"/>
        <item x="6"/>
        <item x="9"/>
        <item x="7"/>
        <item x="2"/>
        <item x="1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201">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19"/>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7"/>
      <x/>
      <x/>
      <x/>
    </i>
    <i r="2">
      <x v="222"/>
      <x v="230"/>
      <x/>
      <x/>
      <x/>
    </i>
    <i r="2">
      <x v="240"/>
      <x v="242"/>
      <x/>
      <x v="4"/>
      <x/>
    </i>
    <i r="2">
      <x v="249"/>
      <x v="252"/>
      <x/>
      <x v="4"/>
      <x/>
    </i>
    <i r="2">
      <x v="250"/>
      <x v="253"/>
      <x/>
      <x/>
      <x/>
    </i>
    <i r="2">
      <x v="251"/>
      <x v="254"/>
      <x/>
      <x v="4"/>
      <x/>
    </i>
    <i r="2">
      <x v="252"/>
      <x v="255"/>
      <x/>
      <x v="4"/>
      <x/>
    </i>
    <i r="2">
      <x v="253"/>
      <x v="256"/>
      <x/>
      <x v="4"/>
      <x/>
    </i>
    <i t="default" r="1">
      <x v="2"/>
    </i>
    <i r="1">
      <x v="8"/>
      <x v="18"/>
      <x v="121"/>
      <x/>
      <x v="1"/>
      <x v="1"/>
    </i>
    <i r="2">
      <x v="38"/>
      <x v="166"/>
      <x v="1"/>
      <x v="4"/>
      <x/>
    </i>
    <i r="2">
      <x v="60"/>
      <x v="120"/>
      <x/>
      <x v="1"/>
      <x v="1"/>
    </i>
    <i r="2">
      <x v="82"/>
      <x v="186"/>
      <x/>
      <x/>
      <x/>
    </i>
    <i r="2">
      <x v="90"/>
      <x v="124"/>
      <x/>
      <x/>
      <x/>
    </i>
    <i r="2">
      <x v="91"/>
      <x v="123"/>
      <x/>
      <x v="1"/>
      <x/>
    </i>
    <i r="2">
      <x v="92"/>
      <x v="125"/>
      <x v="1"/>
      <x v="4"/>
      <x/>
    </i>
    <i r="2">
      <x v="98"/>
      <x v="65"/>
      <x/>
      <x/>
      <x/>
    </i>
    <i r="2">
      <x v="209"/>
      <x v="217"/>
      <x/>
      <x v="1"/>
      <x/>
    </i>
    <i r="2">
      <x v="216"/>
      <x v="225"/>
      <x/>
      <x v="1"/>
      <x/>
    </i>
    <i r="2">
      <x v="220"/>
      <x v="228"/>
      <x/>
      <x/>
      <x/>
    </i>
    <i t="default" r="1">
      <x v="8"/>
    </i>
    <i r="1">
      <x v="10"/>
      <x v="55"/>
      <x v="76"/>
      <x/>
      <x/>
      <x/>
    </i>
    <i r="2">
      <x v="97"/>
      <x v="75"/>
      <x/>
      <x/>
      <x/>
    </i>
    <i r="2">
      <x v="149"/>
      <x v="77"/>
      <x/>
      <x/>
      <x/>
    </i>
    <i r="2">
      <x v="233"/>
      <x v="235"/>
      <x v="1"/>
      <x v="4"/>
      <x/>
    </i>
    <i r="2">
      <x v="234"/>
      <x v="236"/>
      <x/>
      <x/>
      <x/>
    </i>
    <i r="2">
      <x v="235"/>
      <x v="237"/>
      <x/>
      <x v="2"/>
      <x/>
    </i>
    <i t="default" r="1">
      <x v="10"/>
    </i>
    <i r="1">
      <x v="11"/>
      <x v="152"/>
      <x v="133"/>
      <x/>
      <x/>
      <x/>
    </i>
    <i r="2">
      <x v="183"/>
      <x v="78"/>
      <x/>
      <x v="2"/>
      <x/>
    </i>
    <i r="2">
      <x v="223"/>
      <x v="231"/>
      <x v="1"/>
      <x v="4"/>
      <x/>
    </i>
    <i r="2">
      <x v="224"/>
      <x v="232"/>
      <x v="1"/>
      <x v="4"/>
      <x/>
    </i>
    <i t="default" r="1">
      <x v="11"/>
    </i>
    <i r="1">
      <x v="12"/>
      <x v="27"/>
      <x v="118"/>
      <x/>
      <x v="2"/>
      <x v="1"/>
    </i>
    <i r="2">
      <x v="38"/>
      <x v="167"/>
      <x v="1"/>
      <x v="4"/>
      <x/>
    </i>
    <i r="2">
      <x v="42"/>
      <x v="117"/>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8"/>
      <x v="71"/>
      <x/>
      <x/>
      <x/>
    </i>
    <i r="2">
      <x v="160"/>
      <x v="119"/>
      <x/>
      <x v="1"/>
      <x v="1"/>
    </i>
    <i r="2">
      <x v="164"/>
      <x v="64"/>
      <x v="1"/>
      <x v="4"/>
      <x/>
    </i>
    <i r="2">
      <x v="175"/>
      <x v="72"/>
      <x/>
      <x/>
      <x/>
    </i>
    <i r="2">
      <x v="188"/>
      <x v="59"/>
      <x v="1"/>
      <x v="4"/>
      <x/>
    </i>
    <i r="2">
      <x v="238"/>
      <x v="240"/>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1"/>
      <x v="1"/>
      <x v="4"/>
      <x/>
    </i>
    <i r="2">
      <x v="231"/>
      <x v="234"/>
      <x/>
      <x/>
      <x/>
    </i>
    <i t="default" r="1">
      <x v="17"/>
    </i>
    <i r="1">
      <x v="18"/>
      <x v="38"/>
      <x v="169"/>
      <x v="1"/>
      <x v="4"/>
      <x/>
    </i>
    <i r="2">
      <x v="61"/>
      <x v="130"/>
      <x v="1"/>
      <x v="4"/>
      <x v="1"/>
    </i>
    <i r="2">
      <x v="179"/>
      <x v="66"/>
      <x/>
      <x/>
      <x/>
    </i>
    <i r="2">
      <x v="180"/>
      <x v="67"/>
      <x/>
      <x v="1"/>
      <x/>
    </i>
    <i t="default" r="1">
      <x v="18"/>
    </i>
    <i r="1">
      <x v="19"/>
      <x v="185"/>
      <x v="175"/>
      <x/>
      <x v="4"/>
      <x/>
    </i>
    <i r="2">
      <x v="236"/>
      <x v="238"/>
      <x/>
      <x/>
      <x/>
    </i>
    <i r="2">
      <x v="237"/>
      <x v="239"/>
      <x/>
      <x/>
      <x/>
    </i>
    <i t="default" r="1">
      <x v="19"/>
    </i>
    <i r="1">
      <x v="20"/>
      <x v="17"/>
      <x v="108"/>
      <x/>
      <x v="2"/>
      <x v="1"/>
    </i>
    <i r="2">
      <x v="33"/>
      <x v="27"/>
      <x/>
      <x v="3"/>
      <x/>
    </i>
    <i r="2">
      <x v="34"/>
      <x v="110"/>
      <x/>
      <x/>
      <x v="1"/>
    </i>
    <i r="2">
      <x v="44"/>
      <x v="176"/>
      <x v="2"/>
      <x v="4"/>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2"/>
      <x v="1"/>
      <x v="4"/>
      <x v="1"/>
    </i>
    <i r="2">
      <x v="232"/>
      <x v="233"/>
      <x/>
      <x/>
      <x/>
    </i>
    <i r="2">
      <x v="247"/>
      <x v="250"/>
      <x/>
      <x v="4"/>
      <x/>
    </i>
    <i t="default" r="1">
      <x v="3"/>
    </i>
    <i r="1">
      <x v="6"/>
      <x v="51"/>
      <x v="203"/>
      <x/>
      <x/>
      <x/>
    </i>
    <i r="2">
      <x v="52"/>
      <x v="204"/>
      <x/>
      <x/>
      <x/>
    </i>
    <i r="2">
      <x v="53"/>
      <x v="205"/>
      <x/>
      <x v="5"/>
      <x/>
    </i>
    <i r="2">
      <x v="116"/>
      <x v="206"/>
      <x/>
      <x/>
      <x/>
    </i>
    <i r="2">
      <x v="123"/>
      <x v="196"/>
      <x/>
      <x/>
      <x/>
    </i>
    <i r="2">
      <x v="137"/>
      <x v="197"/>
      <x/>
      <x/>
      <x/>
    </i>
    <i r="2">
      <x v="208"/>
      <x v="208"/>
      <x/>
      <x/>
      <x/>
    </i>
    <i r="2">
      <x v="221"/>
      <x v="229"/>
      <x/>
      <x v="5"/>
      <x/>
    </i>
    <i r="2">
      <x v="239"/>
      <x v="241"/>
      <x/>
      <x v="4"/>
      <x/>
    </i>
    <i r="2">
      <x v="241"/>
      <x v="244"/>
      <x/>
      <x/>
      <x/>
    </i>
    <i r="2">
      <x v="244"/>
      <x v="249"/>
      <x/>
      <x v="4"/>
      <x/>
    </i>
    <i r="2">
      <x v="248"/>
      <x v="251"/>
      <x/>
      <x v="4"/>
      <x/>
    </i>
    <i r="2">
      <x v="271"/>
      <x v="274"/>
      <x/>
      <x v="4"/>
      <x/>
    </i>
    <i t="default" r="1">
      <x v="6"/>
    </i>
    <i r="1">
      <x v="9"/>
      <x v="95"/>
      <x v="198"/>
      <x/>
      <x/>
      <x/>
    </i>
    <i r="2">
      <x v="96"/>
      <x v="213"/>
      <x/>
      <x v="5"/>
      <x/>
    </i>
    <i r="2">
      <x v="246"/>
      <x v="246"/>
      <x/>
      <x v="4"/>
      <x/>
    </i>
    <i t="default" r="1">
      <x v="9"/>
    </i>
    <i r="1">
      <x v="13"/>
      <x v="40"/>
      <x v="209"/>
      <x v="1"/>
      <x v="4"/>
      <x v="1"/>
    </i>
    <i r="2">
      <x v="214"/>
      <x v="222"/>
      <x/>
      <x/>
      <x/>
    </i>
    <i r="2">
      <x v="217"/>
      <x v="226"/>
      <x/>
      <x v="5"/>
      <x/>
    </i>
    <i t="default" r="1">
      <x v="13"/>
    </i>
    <i r="1">
      <x v="15"/>
      <x v="130"/>
      <x v="194"/>
      <x/>
      <x/>
      <x/>
    </i>
    <i r="2">
      <x v="131"/>
      <x v="191"/>
      <x/>
      <x/>
      <x/>
    </i>
    <i r="2">
      <x v="132"/>
      <x v="193"/>
      <x/>
      <x v="5"/>
      <x/>
    </i>
    <i r="2">
      <x v="215"/>
      <x v="223"/>
      <x/>
      <x/>
      <x/>
    </i>
    <i r="2">
      <x v="219"/>
      <x v="224"/>
      <x/>
      <x/>
      <x/>
    </i>
    <i r="2">
      <x v="242"/>
      <x v="247"/>
      <x/>
      <x v="4"/>
      <x/>
    </i>
    <i r="2">
      <x v="243"/>
      <x v="248"/>
      <x/>
      <x v="4"/>
      <x/>
    </i>
    <i t="default" r="1">
      <x v="15"/>
    </i>
    <i r="1">
      <x v="16"/>
      <x v="142"/>
      <x v="202"/>
      <x/>
      <x/>
      <x/>
    </i>
    <i r="2">
      <x v="143"/>
      <x v="214"/>
      <x v="1"/>
      <x v="4"/>
      <x/>
    </i>
    <i r="2">
      <x v="245"/>
      <x v="245"/>
      <x/>
      <x v="4"/>
      <x/>
    </i>
    <i r="2">
      <x v="254"/>
      <x v="257"/>
      <x/>
      <x v="4"/>
      <x/>
    </i>
    <i r="2">
      <x v="255"/>
      <x v="258"/>
      <x/>
      <x v="4"/>
      <x/>
    </i>
    <i r="2">
      <x v="256"/>
      <x v="259"/>
      <x/>
      <x v="4"/>
      <x/>
    </i>
    <i r="2">
      <x v="257"/>
      <x v="260"/>
      <x/>
      <x v="4"/>
      <x/>
    </i>
    <i r="2">
      <x v="258"/>
      <x v="261"/>
      <x/>
      <x v="4"/>
      <x/>
    </i>
    <i t="default" r="1">
      <x v="16"/>
    </i>
    <i r="1">
      <x v="21"/>
      <x v="270"/>
      <x v="273"/>
      <x/>
      <x v="4"/>
      <x/>
    </i>
    <i t="default" r="1">
      <x v="21"/>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582">
    <format dxfId="2103">
      <pivotArea outline="0" collapsedLevelsAreSubtotals="1" fieldPosition="0"/>
    </format>
    <format dxfId="2102">
      <pivotArea dataOnly="0" labelOnly="1" outline="0" fieldPosition="0">
        <references count="1">
          <reference field="4294967294" count="2">
            <x v="0"/>
            <x v="1"/>
          </reference>
        </references>
      </pivotArea>
    </format>
    <format dxfId="2101">
      <pivotArea grandRow="1" outline="0" collapsedLevelsAreSubtotals="1" fieldPosition="0"/>
    </format>
    <format dxfId="2100">
      <pivotArea dataOnly="0" labelOnly="1" grandRow="1" outline="0" fieldPosition="0"/>
    </format>
    <format dxfId="2099">
      <pivotArea grandRow="1" outline="0" collapsedLevelsAreSubtotals="1" fieldPosition="0"/>
    </format>
    <format dxfId="2098">
      <pivotArea dataOnly="0" labelOnly="1" grandRow="1" outline="0" fieldPosition="0"/>
    </format>
    <format dxfId="2097">
      <pivotArea field="21" type="button" dataOnly="0" labelOnly="1" outline="0" axis="axisRow" fieldPosition="4"/>
    </format>
    <format dxfId="2096">
      <pivotArea field="25" type="button" dataOnly="0" labelOnly="1" outline="0" axis="axisRow" fieldPosition="5"/>
    </format>
    <format dxfId="2095">
      <pivotArea field="25" type="button" dataOnly="0" labelOnly="1" outline="0" axis="axisRow" fieldPosition="5"/>
    </format>
    <format dxfId="2094">
      <pivotArea field="1" type="button" dataOnly="0" labelOnly="1" outline="0" axis="axisRow" fieldPosition="0"/>
    </format>
    <format dxfId="2093">
      <pivotArea field="5" type="button" dataOnly="0" labelOnly="1" outline="0" axis="axisRow" fieldPosition="1"/>
    </format>
    <format dxfId="2092">
      <pivotArea field="11" type="button" dataOnly="0" labelOnly="1" outline="0" axis="axisRow" fieldPosition="2"/>
    </format>
    <format dxfId="2091">
      <pivotArea field="12" type="button" dataOnly="0" labelOnly="1" outline="0" axis="axisRow" fieldPosition="3"/>
    </format>
    <format dxfId="2090">
      <pivotArea field="21" type="button" dataOnly="0" labelOnly="1" outline="0" axis="axisRow" fieldPosition="4"/>
    </format>
    <format dxfId="2089">
      <pivotArea field="22" type="button" dataOnly="0" labelOnly="1" outline="0"/>
    </format>
    <format dxfId="2088">
      <pivotArea dataOnly="0" labelOnly="1" outline="0" fieldPosition="0">
        <references count="1">
          <reference field="4294967294" count="2">
            <x v="0"/>
            <x v="1"/>
          </reference>
        </references>
      </pivotArea>
    </format>
    <format dxfId="2087">
      <pivotArea field="1" type="button" dataOnly="0" labelOnly="1" outline="0" axis="axisRow" fieldPosition="0"/>
    </format>
    <format dxfId="2086">
      <pivotArea field="5" type="button" dataOnly="0" labelOnly="1" outline="0" axis="axisRow" fieldPosition="1"/>
    </format>
    <format dxfId="2085">
      <pivotArea field="11" type="button" dataOnly="0" labelOnly="1" outline="0" axis="axisRow" fieldPosition="2"/>
    </format>
    <format dxfId="2084">
      <pivotArea field="12" type="button" dataOnly="0" labelOnly="1" outline="0" axis="axisRow" fieldPosition="3"/>
    </format>
    <format dxfId="2083">
      <pivotArea field="21" type="button" dataOnly="0" labelOnly="1" outline="0" axis="axisRow" fieldPosition="4"/>
    </format>
    <format dxfId="2082">
      <pivotArea field="22" type="button" dataOnly="0" labelOnly="1" outline="0"/>
    </format>
    <format dxfId="2081">
      <pivotArea dataOnly="0" labelOnly="1" outline="0" fieldPosition="0">
        <references count="1">
          <reference field="4294967294" count="2">
            <x v="0"/>
            <x v="1"/>
          </reference>
        </references>
      </pivotArea>
    </format>
    <format dxfId="2080">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2079">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2078">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2077">
      <pivotArea field="1" type="button" dataOnly="0" labelOnly="1" outline="0" axis="axisRow" fieldPosition="0"/>
    </format>
    <format dxfId="2076">
      <pivotArea field="5" type="button" dataOnly="0" labelOnly="1" outline="0" axis="axisRow" fieldPosition="1"/>
    </format>
    <format dxfId="2075">
      <pivotArea field="11" type="button" dataOnly="0" labelOnly="1" outline="0" axis="axisRow" fieldPosition="2"/>
    </format>
    <format dxfId="2074">
      <pivotArea field="12" type="button" dataOnly="0" labelOnly="1" outline="0" axis="axisRow" fieldPosition="3"/>
    </format>
    <format dxfId="2073">
      <pivotArea field="19" type="button" dataOnly="0" labelOnly="1" outline="0" axis="axisRow" fieldPosition="6"/>
    </format>
    <format dxfId="2072">
      <pivotArea type="all" dataOnly="0" outline="0" fieldPosition="0"/>
    </format>
    <format dxfId="2071">
      <pivotArea type="all" dataOnly="0" outline="0" fieldPosition="0"/>
    </format>
    <format dxfId="2070">
      <pivotArea outline="0" collapsedLevelsAreSubtotals="1" fieldPosition="0"/>
    </format>
    <format dxfId="2069">
      <pivotArea dataOnly="0" labelOnly="1" outline="0" fieldPosition="0">
        <references count="1">
          <reference field="1" count="0"/>
        </references>
      </pivotArea>
    </format>
    <format dxfId="2068">
      <pivotArea dataOnly="0" labelOnly="1" outline="0" fieldPosition="0">
        <references count="1">
          <reference field="1" count="0" defaultSubtotal="1"/>
        </references>
      </pivotArea>
    </format>
    <format dxfId="2067">
      <pivotArea dataOnly="0" labelOnly="1" grandRow="1" outline="0" fieldPosition="0"/>
    </format>
    <format dxfId="2066">
      <pivotArea dataOnly="0" labelOnly="1" outline="0" fieldPosition="0">
        <references count="2">
          <reference field="1" count="1" selected="0">
            <x v="0"/>
          </reference>
          <reference field="5" count="13">
            <x v="0"/>
            <x v="1"/>
            <x v="2"/>
            <x v="5"/>
            <x v="8"/>
            <x v="10"/>
            <x v="11"/>
            <x v="12"/>
            <x v="14"/>
            <x v="17"/>
            <x v="18"/>
            <x v="19"/>
            <x v="20"/>
          </reference>
        </references>
      </pivotArea>
    </format>
    <format dxfId="2065">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2064">
      <pivotArea dataOnly="0" labelOnly="1" outline="0" fieldPosition="0">
        <references count="2">
          <reference field="1" count="1" selected="0">
            <x v="1"/>
          </reference>
          <reference field="5" count="6">
            <x v="3"/>
            <x v="6"/>
            <x v="9"/>
            <x v="13"/>
            <x v="15"/>
            <x v="16"/>
          </reference>
        </references>
      </pivotArea>
    </format>
    <format dxfId="2063">
      <pivotArea dataOnly="0" labelOnly="1" outline="0" fieldPosition="0">
        <references count="2">
          <reference field="1" count="1" selected="0">
            <x v="1"/>
          </reference>
          <reference field="5" count="6" defaultSubtotal="1">
            <x v="3"/>
            <x v="6"/>
            <x v="9"/>
            <x v="13"/>
            <x v="15"/>
            <x v="16"/>
          </reference>
        </references>
      </pivotArea>
    </format>
    <format dxfId="2062">
      <pivotArea dataOnly="0" labelOnly="1" outline="0" fieldPosition="0">
        <references count="3">
          <reference field="1" count="1" selected="0">
            <x v="0"/>
          </reference>
          <reference field="5" count="1" selected="0">
            <x v="0"/>
          </reference>
          <reference field="11" count="11">
            <x v="3"/>
            <x v="7"/>
            <x v="38"/>
            <x v="43"/>
            <x v="68"/>
            <x v="126"/>
            <x v="145"/>
            <x v="163"/>
            <x v="171"/>
            <x v="186"/>
            <x v="205"/>
          </reference>
        </references>
      </pivotArea>
    </format>
    <format dxfId="2061">
      <pivotArea dataOnly="0" labelOnly="1" outline="0" fieldPosition="0">
        <references count="3">
          <reference field="1" count="1" selected="0">
            <x v="0"/>
          </reference>
          <reference field="5" count="1" selected="0">
            <x v="1"/>
          </reference>
          <reference field="11" count="6">
            <x v="21"/>
            <x v="41"/>
            <x v="59"/>
            <x v="65"/>
            <x v="161"/>
            <x v="210"/>
          </reference>
        </references>
      </pivotArea>
    </format>
    <format dxfId="2060">
      <pivotArea dataOnly="0" labelOnly="1" outline="0" fieldPosition="0">
        <references count="3">
          <reference field="1" count="1" selected="0">
            <x v="0"/>
          </reference>
          <reference field="5" count="1" selected="0">
            <x v="2"/>
          </reference>
          <reference field="11" count="26">
            <x v="1"/>
            <x v="2"/>
            <x v="4"/>
            <x v="5"/>
            <x v="13"/>
            <x v="19"/>
            <x v="23"/>
            <x v="35"/>
            <x v="36"/>
            <x v="66"/>
            <x v="67"/>
            <x v="113"/>
            <x v="141"/>
            <x v="146"/>
            <x v="170"/>
            <x v="173"/>
            <x v="200"/>
            <x v="206"/>
            <x v="218"/>
            <x v="222"/>
            <x v="240"/>
            <x v="249"/>
            <x v="250"/>
            <x v="251"/>
            <x v="252"/>
            <x v="253"/>
          </reference>
        </references>
      </pivotArea>
    </format>
    <format dxfId="2059">
      <pivotArea dataOnly="0" labelOnly="1" outline="0" fieldPosition="0">
        <references count="3">
          <reference field="1" count="1" selected="0">
            <x v="0"/>
          </reference>
          <reference field="5" count="1" selected="0">
            <x v="5"/>
          </reference>
          <reference field="11" count="1">
            <x v="56"/>
          </reference>
        </references>
      </pivotArea>
    </format>
    <format dxfId="2058">
      <pivotArea dataOnly="0" labelOnly="1" outline="0" fieldPosition="0">
        <references count="3">
          <reference field="1" count="1" selected="0">
            <x v="0"/>
          </reference>
          <reference field="5" count="1" selected="0">
            <x v="8"/>
          </reference>
          <reference field="11" count="11">
            <x v="18"/>
            <x v="38"/>
            <x v="60"/>
            <x v="82"/>
            <x v="90"/>
            <x v="91"/>
            <x v="92"/>
            <x v="98"/>
            <x v="209"/>
            <x v="216"/>
            <x v="220"/>
          </reference>
        </references>
      </pivotArea>
    </format>
    <format dxfId="2057">
      <pivotArea dataOnly="0" labelOnly="1" outline="0" fieldPosition="0">
        <references count="3">
          <reference field="1" count="1" selected="0">
            <x v="0"/>
          </reference>
          <reference field="5" count="1" selected="0">
            <x v="10"/>
          </reference>
          <reference field="11" count="6">
            <x v="55"/>
            <x v="97"/>
            <x v="149"/>
            <x v="233"/>
            <x v="234"/>
            <x v="235"/>
          </reference>
        </references>
      </pivotArea>
    </format>
    <format dxfId="2056">
      <pivotArea dataOnly="0" labelOnly="1" outline="0" fieldPosition="0">
        <references count="3">
          <reference field="1" count="1" selected="0">
            <x v="0"/>
          </reference>
          <reference field="5" count="1" selected="0">
            <x v="11"/>
          </reference>
          <reference field="11" count="4">
            <x v="152"/>
            <x v="183"/>
            <x v="223"/>
            <x v="224"/>
          </reference>
        </references>
      </pivotArea>
    </format>
    <format dxfId="2055">
      <pivotArea dataOnly="0" labelOnly="1" outline="0" fieldPosition="0">
        <references count="3">
          <reference field="1" count="1" selected="0">
            <x v="0"/>
          </reference>
          <reference field="5" count="1" selected="0">
            <x v="12"/>
          </reference>
          <reference field="11" count="20">
            <x v="27"/>
            <x v="38"/>
            <x v="42"/>
            <x v="50"/>
            <x v="69"/>
            <x v="70"/>
            <x v="71"/>
            <x v="77"/>
            <x v="84"/>
            <x v="88"/>
            <x v="89"/>
            <x v="117"/>
            <x v="128"/>
            <x v="155"/>
            <x v="158"/>
            <x v="160"/>
            <x v="164"/>
            <x v="175"/>
            <x v="188"/>
            <x v="238"/>
          </reference>
        </references>
      </pivotArea>
    </format>
    <format dxfId="2054">
      <pivotArea dataOnly="0" labelOnly="1" outline="0" fieldPosition="0">
        <references count="3">
          <reference field="1" count="1" selected="0">
            <x v="0"/>
          </reference>
          <reference field="5" count="1" selected="0">
            <x v="14"/>
          </reference>
          <reference field="11" count="24">
            <x v="24"/>
            <x v="25"/>
            <x v="26"/>
            <x v="46"/>
            <x v="47"/>
            <x v="54"/>
            <x v="63"/>
            <x v="64"/>
            <x v="83"/>
            <x v="85"/>
            <x v="107"/>
            <x v="108"/>
            <x v="144"/>
            <x v="157"/>
            <x v="159"/>
            <x v="176"/>
            <x v="177"/>
            <x v="181"/>
            <x v="189"/>
            <x v="190"/>
            <x v="191"/>
            <x v="192"/>
            <x v="204"/>
            <x v="229"/>
          </reference>
        </references>
      </pivotArea>
    </format>
    <format dxfId="2053">
      <pivotArea dataOnly="0" labelOnly="1" outline="0" fieldPosition="0">
        <references count="3">
          <reference field="1" count="1" selected="0">
            <x v="0"/>
          </reference>
          <reference field="5" count="1" selected="0">
            <x v="17"/>
          </reference>
          <reference field="11" count="3">
            <x v="196"/>
            <x v="213"/>
            <x v="231"/>
          </reference>
        </references>
      </pivotArea>
    </format>
    <format dxfId="2052">
      <pivotArea dataOnly="0" labelOnly="1" outline="0" fieldPosition="0">
        <references count="3">
          <reference field="1" count="1" selected="0">
            <x v="0"/>
          </reference>
          <reference field="5" count="1" selected="0">
            <x v="18"/>
          </reference>
          <reference field="11" count="4">
            <x v="38"/>
            <x v="61"/>
            <x v="179"/>
            <x v="180"/>
          </reference>
        </references>
      </pivotArea>
    </format>
    <format dxfId="2051">
      <pivotArea dataOnly="0" labelOnly="1" outline="0" fieldPosition="0">
        <references count="3">
          <reference field="1" count="1" selected="0">
            <x v="0"/>
          </reference>
          <reference field="5" count="1" selected="0">
            <x v="19"/>
          </reference>
          <reference field="11" count="3">
            <x v="185"/>
            <x v="236"/>
            <x v="237"/>
          </reference>
        </references>
      </pivotArea>
    </format>
    <format dxfId="2050">
      <pivotArea dataOnly="0" labelOnly="1" outline="0" fieldPosition="0">
        <references count="3">
          <reference field="1" count="1" selected="0">
            <x v="0"/>
          </reference>
          <reference field="5" count="1" selected="0">
            <x v="20"/>
          </reference>
          <reference field="11" count="23">
            <x v="17"/>
            <x v="33"/>
            <x v="34"/>
            <x v="44"/>
            <x v="48"/>
            <x v="75"/>
            <x v="76"/>
            <x v="78"/>
            <x v="79"/>
            <x v="80"/>
            <x v="81"/>
            <x v="151"/>
            <x v="165"/>
            <x v="166"/>
            <x v="167"/>
            <x v="168"/>
            <x v="169"/>
            <x v="178"/>
            <x v="193"/>
            <x v="197"/>
            <x v="201"/>
            <x v="228"/>
            <x v="230"/>
          </reference>
        </references>
      </pivotArea>
    </format>
    <format dxfId="2049">
      <pivotArea dataOnly="0" labelOnly="1" outline="0" fieldPosition="0">
        <references count="3">
          <reference field="1" count="1" selected="0">
            <x v="1"/>
          </reference>
          <reference field="5" count="1" selected="0">
            <x v="3"/>
          </reference>
          <reference field="11" count="3">
            <x v="148"/>
            <x v="232"/>
            <x v="247"/>
          </reference>
        </references>
      </pivotArea>
    </format>
    <format dxfId="2048">
      <pivotArea dataOnly="0" labelOnly="1" outline="0" fieldPosition="0">
        <references count="3">
          <reference field="1" count="1" selected="0">
            <x v="1"/>
          </reference>
          <reference field="5" count="1" selected="0">
            <x v="6"/>
          </reference>
          <reference field="11" count="12">
            <x v="51"/>
            <x v="52"/>
            <x v="53"/>
            <x v="116"/>
            <x v="123"/>
            <x v="137"/>
            <x v="208"/>
            <x v="221"/>
            <x v="239"/>
            <x v="241"/>
            <x v="244"/>
            <x v="248"/>
          </reference>
        </references>
      </pivotArea>
    </format>
    <format dxfId="2047">
      <pivotArea dataOnly="0" labelOnly="1" outline="0" fieldPosition="0">
        <references count="3">
          <reference field="1" count="1" selected="0">
            <x v="1"/>
          </reference>
          <reference field="5" count="1" selected="0">
            <x v="9"/>
          </reference>
          <reference field="11" count="3">
            <x v="95"/>
            <x v="96"/>
            <x v="246"/>
          </reference>
        </references>
      </pivotArea>
    </format>
    <format dxfId="2046">
      <pivotArea dataOnly="0" labelOnly="1" outline="0" fieldPosition="0">
        <references count="3">
          <reference field="1" count="1" selected="0">
            <x v="1"/>
          </reference>
          <reference field="5" count="1" selected="0">
            <x v="13"/>
          </reference>
          <reference field="11" count="6">
            <x v="39"/>
            <x v="40"/>
            <x v="120"/>
            <x v="136"/>
            <x v="214"/>
            <x v="217"/>
          </reference>
        </references>
      </pivotArea>
    </format>
    <format dxfId="2045">
      <pivotArea dataOnly="0" labelOnly="1" outline="0" fieldPosition="0">
        <references count="3">
          <reference field="1" count="1" selected="0">
            <x v="1"/>
          </reference>
          <reference field="5" count="1" selected="0">
            <x v="15"/>
          </reference>
          <reference field="11" count="7">
            <x v="130"/>
            <x v="131"/>
            <x v="132"/>
            <x v="215"/>
            <x v="219"/>
            <x v="242"/>
            <x v="243"/>
          </reference>
        </references>
      </pivotArea>
    </format>
    <format dxfId="2044">
      <pivotArea dataOnly="0" labelOnly="1" outline="0" fieldPosition="0">
        <references count="3">
          <reference field="1" count="1" selected="0">
            <x v="1"/>
          </reference>
          <reference field="5" count="1" selected="0">
            <x v="16"/>
          </reference>
          <reference field="11" count="3">
            <x v="142"/>
            <x v="143"/>
            <x v="245"/>
          </reference>
        </references>
      </pivotArea>
    </format>
    <format dxfId="2043">
      <pivotArea dataOnly="0" labelOnly="1" outline="0" fieldPosition="0">
        <references count="4">
          <reference field="1" count="1" selected="0">
            <x v="0"/>
          </reference>
          <reference field="5" count="1" selected="0">
            <x v="0"/>
          </reference>
          <reference field="11" count="1" selected="0">
            <x v="3"/>
          </reference>
          <reference field="12" count="1">
            <x v="49"/>
          </reference>
        </references>
      </pivotArea>
    </format>
    <format dxfId="2042">
      <pivotArea dataOnly="0" labelOnly="1" outline="0" fieldPosition="0">
        <references count="4">
          <reference field="1" count="1" selected="0">
            <x v="0"/>
          </reference>
          <reference field="5" count="1" selected="0">
            <x v="0"/>
          </reference>
          <reference field="11" count="1" selected="0">
            <x v="7"/>
          </reference>
          <reference field="12" count="1">
            <x v="164"/>
          </reference>
        </references>
      </pivotArea>
    </format>
    <format dxfId="2041">
      <pivotArea dataOnly="0" labelOnly="1" outline="0" fieldPosition="0">
        <references count="4">
          <reference field="1" count="1" selected="0">
            <x v="0"/>
          </reference>
          <reference field="5" count="1" selected="0">
            <x v="0"/>
          </reference>
          <reference field="11" count="1" selected="0">
            <x v="38"/>
          </reference>
          <reference field="12" count="1">
            <x v="137"/>
          </reference>
        </references>
      </pivotArea>
    </format>
    <format dxfId="2040">
      <pivotArea dataOnly="0" labelOnly="1" outline="0" fieldPosition="0">
        <references count="4">
          <reference field="1" count="1" selected="0">
            <x v="0"/>
          </reference>
          <reference field="5" count="1" selected="0">
            <x v="0"/>
          </reference>
          <reference field="11" count="1" selected="0">
            <x v="43"/>
          </reference>
          <reference field="12" count="1">
            <x v="51"/>
          </reference>
        </references>
      </pivotArea>
    </format>
    <format dxfId="2039">
      <pivotArea dataOnly="0" labelOnly="1" outline="0" fieldPosition="0">
        <references count="4">
          <reference field="1" count="1" selected="0">
            <x v="0"/>
          </reference>
          <reference field="5" count="1" selected="0">
            <x v="0"/>
          </reference>
          <reference field="11" count="1" selected="0">
            <x v="68"/>
          </reference>
          <reference field="12" count="1">
            <x v="48"/>
          </reference>
        </references>
      </pivotArea>
    </format>
    <format dxfId="2038">
      <pivotArea dataOnly="0" labelOnly="1" outline="0" fieldPosition="0">
        <references count="4">
          <reference field="1" count="1" selected="0">
            <x v="0"/>
          </reference>
          <reference field="5" count="1" selected="0">
            <x v="0"/>
          </reference>
          <reference field="11" count="1" selected="0">
            <x v="126"/>
          </reference>
          <reference field="12" count="1">
            <x v="50"/>
          </reference>
        </references>
      </pivotArea>
    </format>
    <format dxfId="2037">
      <pivotArea dataOnly="0" labelOnly="1" outline="0" fieldPosition="0">
        <references count="4">
          <reference field="1" count="1" selected="0">
            <x v="0"/>
          </reference>
          <reference field="5" count="1" selected="0">
            <x v="0"/>
          </reference>
          <reference field="11" count="1" selected="0">
            <x v="145"/>
          </reference>
          <reference field="12" count="1">
            <x v="53"/>
          </reference>
        </references>
      </pivotArea>
    </format>
    <format dxfId="2036">
      <pivotArea dataOnly="0" labelOnly="1" outline="0" fieldPosition="0">
        <references count="4">
          <reference field="1" count="1" selected="0">
            <x v="0"/>
          </reference>
          <reference field="5" count="1" selected="0">
            <x v="0"/>
          </reference>
          <reference field="11" count="1" selected="0">
            <x v="163"/>
          </reference>
          <reference field="12" count="1">
            <x v="163"/>
          </reference>
        </references>
      </pivotArea>
    </format>
    <format dxfId="2035">
      <pivotArea dataOnly="0" labelOnly="1" outline="0" fieldPosition="0">
        <references count="4">
          <reference field="1" count="1" selected="0">
            <x v="0"/>
          </reference>
          <reference field="5" count="1" selected="0">
            <x v="0"/>
          </reference>
          <reference field="11" count="1" selected="0">
            <x v="171"/>
          </reference>
          <reference field="12" count="1">
            <x v="46"/>
          </reference>
        </references>
      </pivotArea>
    </format>
    <format dxfId="2034">
      <pivotArea dataOnly="0" labelOnly="1" outline="0" fieldPosition="0">
        <references count="4">
          <reference field="1" count="1" selected="0">
            <x v="0"/>
          </reference>
          <reference field="5" count="1" selected="0">
            <x v="0"/>
          </reference>
          <reference field="11" count="1" selected="0">
            <x v="186"/>
          </reference>
          <reference field="12" count="1">
            <x v="54"/>
          </reference>
        </references>
      </pivotArea>
    </format>
    <format dxfId="2033">
      <pivotArea dataOnly="0" labelOnly="1" outline="0" fieldPosition="0">
        <references count="4">
          <reference field="1" count="1" selected="0">
            <x v="0"/>
          </reference>
          <reference field="5" count="1" selected="0">
            <x v="0"/>
          </reference>
          <reference field="11" count="1" selected="0">
            <x v="205"/>
          </reference>
          <reference field="12" count="1">
            <x v="52"/>
          </reference>
        </references>
      </pivotArea>
    </format>
    <format dxfId="2032">
      <pivotArea dataOnly="0" labelOnly="1" outline="0" fieldPosition="0">
        <references count="4">
          <reference field="1" count="1" selected="0">
            <x v="0"/>
          </reference>
          <reference field="5" count="1" selected="0">
            <x v="1"/>
          </reference>
          <reference field="11" count="1" selected="0">
            <x v="21"/>
          </reference>
          <reference field="12" count="1">
            <x v="41"/>
          </reference>
        </references>
      </pivotArea>
    </format>
    <format dxfId="2031">
      <pivotArea dataOnly="0" labelOnly="1" outline="0" fieldPosition="0">
        <references count="4">
          <reference field="1" count="1" selected="0">
            <x v="0"/>
          </reference>
          <reference field="5" count="1" selected="0">
            <x v="1"/>
          </reference>
          <reference field="11" count="1" selected="0">
            <x v="41"/>
          </reference>
          <reference field="12" count="1">
            <x v="42"/>
          </reference>
        </references>
      </pivotArea>
    </format>
    <format dxfId="2030">
      <pivotArea dataOnly="0" labelOnly="1" outline="0" fieldPosition="0">
        <references count="4">
          <reference field="1" count="1" selected="0">
            <x v="0"/>
          </reference>
          <reference field="5" count="1" selected="0">
            <x v="1"/>
          </reference>
          <reference field="11" count="1" selected="0">
            <x v="59"/>
          </reference>
          <reference field="12" count="1">
            <x v="44"/>
          </reference>
        </references>
      </pivotArea>
    </format>
    <format dxfId="2029">
      <pivotArea dataOnly="0" labelOnly="1" outline="0" fieldPosition="0">
        <references count="4">
          <reference field="1" count="1" selected="0">
            <x v="0"/>
          </reference>
          <reference field="5" count="1" selected="0">
            <x v="1"/>
          </reference>
          <reference field="11" count="1" selected="0">
            <x v="65"/>
          </reference>
          <reference field="12" count="1">
            <x v="165"/>
          </reference>
        </references>
      </pivotArea>
    </format>
    <format dxfId="2028">
      <pivotArea dataOnly="0" labelOnly="1" outline="0" fieldPosition="0">
        <references count="4">
          <reference field="1" count="1" selected="0">
            <x v="0"/>
          </reference>
          <reference field="5" count="1" selected="0">
            <x v="1"/>
          </reference>
          <reference field="11" count="1" selected="0">
            <x v="161"/>
          </reference>
          <reference field="12" count="1">
            <x v="178"/>
          </reference>
        </references>
      </pivotArea>
    </format>
    <format dxfId="2027">
      <pivotArea dataOnly="0" labelOnly="1" outline="0" fieldPosition="0">
        <references count="4">
          <reference field="1" count="1" selected="0">
            <x v="0"/>
          </reference>
          <reference field="5" count="1" selected="0">
            <x v="1"/>
          </reference>
          <reference field="11" count="1" selected="0">
            <x v="210"/>
          </reference>
          <reference field="12" count="1">
            <x v="219"/>
          </reference>
        </references>
      </pivotArea>
    </format>
    <format dxfId="2026">
      <pivotArea dataOnly="0" labelOnly="1" outline="0" fieldPosition="0">
        <references count="4">
          <reference field="1" count="1" selected="0">
            <x v="0"/>
          </reference>
          <reference field="5" count="1" selected="0">
            <x v="2"/>
          </reference>
          <reference field="11" count="1" selected="0">
            <x v="1"/>
          </reference>
          <reference field="12" count="1">
            <x v="150"/>
          </reference>
        </references>
      </pivotArea>
    </format>
    <format dxfId="2025">
      <pivotArea dataOnly="0" labelOnly="1" outline="0" fieldPosition="0">
        <references count="4">
          <reference field="1" count="1" selected="0">
            <x v="0"/>
          </reference>
          <reference field="5" count="1" selected="0">
            <x v="2"/>
          </reference>
          <reference field="11" count="1" selected="0">
            <x v="2"/>
          </reference>
          <reference field="12" count="1">
            <x v="139"/>
          </reference>
        </references>
      </pivotArea>
    </format>
    <format dxfId="2024">
      <pivotArea dataOnly="0" labelOnly="1" outline="0" fieldPosition="0">
        <references count="4">
          <reference field="1" count="1" selected="0">
            <x v="0"/>
          </reference>
          <reference field="5" count="1" selected="0">
            <x v="2"/>
          </reference>
          <reference field="11" count="1" selected="0">
            <x v="4"/>
          </reference>
          <reference field="12" count="1">
            <x v="147"/>
          </reference>
        </references>
      </pivotArea>
    </format>
    <format dxfId="2023">
      <pivotArea dataOnly="0" labelOnly="1" outline="0" fieldPosition="0">
        <references count="4">
          <reference field="1" count="1" selected="0">
            <x v="0"/>
          </reference>
          <reference field="5" count="1" selected="0">
            <x v="2"/>
          </reference>
          <reference field="11" count="1" selected="0">
            <x v="5"/>
          </reference>
          <reference field="12" count="1">
            <x v="160"/>
          </reference>
        </references>
      </pivotArea>
    </format>
    <format dxfId="2022">
      <pivotArea dataOnly="0" labelOnly="1" outline="0" fieldPosition="0">
        <references count="4">
          <reference field="1" count="1" selected="0">
            <x v="0"/>
          </reference>
          <reference field="5" count="1" selected="0">
            <x v="2"/>
          </reference>
          <reference field="11" count="1" selected="0">
            <x v="13"/>
          </reference>
          <reference field="12" count="1">
            <x v="140"/>
          </reference>
        </references>
      </pivotArea>
    </format>
    <format dxfId="2021">
      <pivotArea dataOnly="0" labelOnly="1" outline="0" fieldPosition="0">
        <references count="4">
          <reference field="1" count="1" selected="0">
            <x v="0"/>
          </reference>
          <reference field="5" count="1" selected="0">
            <x v="2"/>
          </reference>
          <reference field="11" count="1" selected="0">
            <x v="19"/>
          </reference>
          <reference field="12" count="1">
            <x v="105"/>
          </reference>
        </references>
      </pivotArea>
    </format>
    <format dxfId="2020">
      <pivotArea dataOnly="0" labelOnly="1" outline="0" fieldPosition="0">
        <references count="4">
          <reference field="1" count="1" selected="0">
            <x v="0"/>
          </reference>
          <reference field="5" count="1" selected="0">
            <x v="2"/>
          </reference>
          <reference field="11" count="1" selected="0">
            <x v="23"/>
          </reference>
          <reference field="12" count="1">
            <x v="145"/>
          </reference>
        </references>
      </pivotArea>
    </format>
    <format dxfId="2019">
      <pivotArea dataOnly="0" labelOnly="1" outline="0" fieldPosition="0">
        <references count="4">
          <reference field="1" count="1" selected="0">
            <x v="0"/>
          </reference>
          <reference field="5" count="1" selected="0">
            <x v="2"/>
          </reference>
          <reference field="11" count="1" selected="0">
            <x v="35"/>
          </reference>
          <reference field="12" count="1">
            <x v="131"/>
          </reference>
        </references>
      </pivotArea>
    </format>
    <format dxfId="2018">
      <pivotArea dataOnly="0" labelOnly="1" outline="0" fieldPosition="0">
        <references count="4">
          <reference field="1" count="1" selected="0">
            <x v="0"/>
          </reference>
          <reference field="5" count="1" selected="0">
            <x v="2"/>
          </reference>
          <reference field="11" count="1" selected="0">
            <x v="36"/>
          </reference>
          <reference field="12" count="1">
            <x v="161"/>
          </reference>
        </references>
      </pivotArea>
    </format>
    <format dxfId="2017">
      <pivotArea dataOnly="0" labelOnly="1" outline="0" fieldPosition="0">
        <references count="4">
          <reference field="1" count="1" selected="0">
            <x v="0"/>
          </reference>
          <reference field="5" count="1" selected="0">
            <x v="2"/>
          </reference>
          <reference field="11" count="1" selected="0">
            <x v="66"/>
          </reference>
          <reference field="12" count="1">
            <x v="152"/>
          </reference>
        </references>
      </pivotArea>
    </format>
    <format dxfId="2016">
      <pivotArea dataOnly="0" labelOnly="1" outline="0" fieldPosition="0">
        <references count="4">
          <reference field="1" count="1" selected="0">
            <x v="0"/>
          </reference>
          <reference field="5" count="1" selected="0">
            <x v="2"/>
          </reference>
          <reference field="11" count="1" selected="0">
            <x v="67"/>
          </reference>
          <reference field="12" count="1">
            <x v="138"/>
          </reference>
        </references>
      </pivotArea>
    </format>
    <format dxfId="2015">
      <pivotArea dataOnly="0" labelOnly="1" outline="0" fieldPosition="0">
        <references count="4">
          <reference field="1" count="1" selected="0">
            <x v="0"/>
          </reference>
          <reference field="5" count="1" selected="0">
            <x v="2"/>
          </reference>
          <reference field="11" count="1" selected="0">
            <x v="113"/>
          </reference>
          <reference field="12" count="1">
            <x v="87"/>
          </reference>
        </references>
      </pivotArea>
    </format>
    <format dxfId="2014">
      <pivotArea dataOnly="0" labelOnly="1" outline="0" fieldPosition="0">
        <references count="4">
          <reference field="1" count="1" selected="0">
            <x v="0"/>
          </reference>
          <reference field="5" count="1" selected="0">
            <x v="2"/>
          </reference>
          <reference field="11" count="1" selected="0">
            <x v="141"/>
          </reference>
          <reference field="12" count="1">
            <x v="162"/>
          </reference>
        </references>
      </pivotArea>
    </format>
    <format dxfId="2013">
      <pivotArea dataOnly="0" labelOnly="1" outline="0" fieldPosition="0">
        <references count="4">
          <reference field="1" count="1" selected="0">
            <x v="0"/>
          </reference>
          <reference field="5" count="1" selected="0">
            <x v="2"/>
          </reference>
          <reference field="11" count="1" selected="0">
            <x v="146"/>
          </reference>
          <reference field="12" count="1">
            <x v="99"/>
          </reference>
        </references>
      </pivotArea>
    </format>
    <format dxfId="2012">
      <pivotArea dataOnly="0" labelOnly="1" outline="0" fieldPosition="0">
        <references count="4">
          <reference field="1" count="1" selected="0">
            <x v="0"/>
          </reference>
          <reference field="5" count="1" selected="0">
            <x v="2"/>
          </reference>
          <reference field="11" count="1" selected="0">
            <x v="170"/>
          </reference>
          <reference field="12" count="1">
            <x v="153"/>
          </reference>
        </references>
      </pivotArea>
    </format>
    <format dxfId="2011">
      <pivotArea dataOnly="0" labelOnly="1" outline="0" fieldPosition="0">
        <references count="4">
          <reference field="1" count="1" selected="0">
            <x v="0"/>
          </reference>
          <reference field="5" count="1" selected="0">
            <x v="2"/>
          </reference>
          <reference field="11" count="1" selected="0">
            <x v="173"/>
          </reference>
          <reference field="12" count="1">
            <x v="154"/>
          </reference>
        </references>
      </pivotArea>
    </format>
    <format dxfId="2010">
      <pivotArea dataOnly="0" labelOnly="1" outline="0" fieldPosition="0">
        <references count="4">
          <reference field="1" count="1" selected="0">
            <x v="0"/>
          </reference>
          <reference field="5" count="1" selected="0">
            <x v="2"/>
          </reference>
          <reference field="11" count="1" selected="0">
            <x v="200"/>
          </reference>
          <reference field="12" count="1">
            <x v="155"/>
          </reference>
        </references>
      </pivotArea>
    </format>
    <format dxfId="2009">
      <pivotArea dataOnly="0" labelOnly="1" outline="0" fieldPosition="0">
        <references count="4">
          <reference field="1" count="1" selected="0">
            <x v="0"/>
          </reference>
          <reference field="5" count="1" selected="0">
            <x v="2"/>
          </reference>
          <reference field="11" count="1" selected="0">
            <x v="206"/>
          </reference>
          <reference field="12" count="1">
            <x v="101"/>
          </reference>
        </references>
      </pivotArea>
    </format>
    <format dxfId="2008">
      <pivotArea dataOnly="0" labelOnly="1" outline="0" fieldPosition="0">
        <references count="4">
          <reference field="1" count="1" selected="0">
            <x v="0"/>
          </reference>
          <reference field="5" count="1" selected="0">
            <x v="2"/>
          </reference>
          <reference field="11" count="1" selected="0">
            <x v="218"/>
          </reference>
          <reference field="12" count="1">
            <x v="227"/>
          </reference>
        </references>
      </pivotArea>
    </format>
    <format dxfId="2007">
      <pivotArea dataOnly="0" labelOnly="1" outline="0" fieldPosition="0">
        <references count="4">
          <reference field="1" count="1" selected="0">
            <x v="0"/>
          </reference>
          <reference field="5" count="1" selected="0">
            <x v="2"/>
          </reference>
          <reference field="11" count="1" selected="0">
            <x v="222"/>
          </reference>
          <reference field="12" count="1">
            <x v="230"/>
          </reference>
        </references>
      </pivotArea>
    </format>
    <format dxfId="2006">
      <pivotArea dataOnly="0" labelOnly="1" outline="0" fieldPosition="0">
        <references count="4">
          <reference field="1" count="1" selected="0">
            <x v="0"/>
          </reference>
          <reference field="5" count="1" selected="0">
            <x v="2"/>
          </reference>
          <reference field="11" count="1" selected="0">
            <x v="240"/>
          </reference>
          <reference field="12" count="1">
            <x v="242"/>
          </reference>
        </references>
      </pivotArea>
    </format>
    <format dxfId="2005">
      <pivotArea dataOnly="0" labelOnly="1" outline="0" fieldPosition="0">
        <references count="4">
          <reference field="1" count="1" selected="0">
            <x v="0"/>
          </reference>
          <reference field="5" count="1" selected="0">
            <x v="2"/>
          </reference>
          <reference field="11" count="1" selected="0">
            <x v="249"/>
          </reference>
          <reference field="12" count="1">
            <x v="252"/>
          </reference>
        </references>
      </pivotArea>
    </format>
    <format dxfId="2004">
      <pivotArea dataOnly="0" labelOnly="1" outline="0" fieldPosition="0">
        <references count="4">
          <reference field="1" count="1" selected="0">
            <x v="0"/>
          </reference>
          <reference field="5" count="1" selected="0">
            <x v="2"/>
          </reference>
          <reference field="11" count="1" selected="0">
            <x v="250"/>
          </reference>
          <reference field="12" count="1">
            <x v="253"/>
          </reference>
        </references>
      </pivotArea>
    </format>
    <format dxfId="2003">
      <pivotArea dataOnly="0" labelOnly="1" outline="0" fieldPosition="0">
        <references count="4">
          <reference field="1" count="1" selected="0">
            <x v="0"/>
          </reference>
          <reference field="5" count="1" selected="0">
            <x v="2"/>
          </reference>
          <reference field="11" count="1" selected="0">
            <x v="251"/>
          </reference>
          <reference field="12" count="1">
            <x v="254"/>
          </reference>
        </references>
      </pivotArea>
    </format>
    <format dxfId="2002">
      <pivotArea dataOnly="0" labelOnly="1" outline="0" fieldPosition="0">
        <references count="4">
          <reference field="1" count="1" selected="0">
            <x v="0"/>
          </reference>
          <reference field="5" count="1" selected="0">
            <x v="2"/>
          </reference>
          <reference field="11" count="1" selected="0">
            <x v="252"/>
          </reference>
          <reference field="12" count="1">
            <x v="255"/>
          </reference>
        </references>
      </pivotArea>
    </format>
    <format dxfId="2001">
      <pivotArea dataOnly="0" labelOnly="1" outline="0" fieldPosition="0">
        <references count="4">
          <reference field="1" count="1" selected="0">
            <x v="0"/>
          </reference>
          <reference field="5" count="1" selected="0">
            <x v="2"/>
          </reference>
          <reference field="11" count="1" selected="0">
            <x v="253"/>
          </reference>
          <reference field="12" count="1">
            <x v="256"/>
          </reference>
        </references>
      </pivotArea>
    </format>
    <format dxfId="2000">
      <pivotArea dataOnly="0" labelOnly="1" outline="0" fieldPosition="0">
        <references count="4">
          <reference field="1" count="1" selected="0">
            <x v="0"/>
          </reference>
          <reference field="5" count="1" selected="0">
            <x v="5"/>
          </reference>
          <reference field="11" count="1" selected="0">
            <x v="56"/>
          </reference>
          <reference field="12" count="1">
            <x v="73"/>
          </reference>
        </references>
      </pivotArea>
    </format>
    <format dxfId="1999">
      <pivotArea dataOnly="0" labelOnly="1" outline="0" fieldPosition="0">
        <references count="4">
          <reference field="1" count="1" selected="0">
            <x v="0"/>
          </reference>
          <reference field="5" count="1" selected="0">
            <x v="8"/>
          </reference>
          <reference field="11" count="1" selected="0">
            <x v="18"/>
          </reference>
          <reference field="12" count="1">
            <x v="121"/>
          </reference>
        </references>
      </pivotArea>
    </format>
    <format dxfId="1998">
      <pivotArea dataOnly="0" labelOnly="1" outline="0" fieldPosition="0">
        <references count="4">
          <reference field="1" count="1" selected="0">
            <x v="0"/>
          </reference>
          <reference field="5" count="1" selected="0">
            <x v="8"/>
          </reference>
          <reference field="11" count="1" selected="0">
            <x v="38"/>
          </reference>
          <reference field="12" count="1">
            <x v="166"/>
          </reference>
        </references>
      </pivotArea>
    </format>
    <format dxfId="1997">
      <pivotArea dataOnly="0" labelOnly="1" outline="0" fieldPosition="0">
        <references count="4">
          <reference field="1" count="1" selected="0">
            <x v="0"/>
          </reference>
          <reference field="5" count="1" selected="0">
            <x v="8"/>
          </reference>
          <reference field="11" count="1" selected="0">
            <x v="60"/>
          </reference>
          <reference field="12" count="1">
            <x v="120"/>
          </reference>
        </references>
      </pivotArea>
    </format>
    <format dxfId="1996">
      <pivotArea dataOnly="0" labelOnly="1" outline="0" fieldPosition="0">
        <references count="4">
          <reference field="1" count="1" selected="0">
            <x v="0"/>
          </reference>
          <reference field="5" count="1" selected="0">
            <x v="8"/>
          </reference>
          <reference field="11" count="1" selected="0">
            <x v="82"/>
          </reference>
          <reference field="12" count="1">
            <x v="186"/>
          </reference>
        </references>
      </pivotArea>
    </format>
    <format dxfId="1995">
      <pivotArea dataOnly="0" labelOnly="1" outline="0" fieldPosition="0">
        <references count="4">
          <reference field="1" count="1" selected="0">
            <x v="0"/>
          </reference>
          <reference field="5" count="1" selected="0">
            <x v="8"/>
          </reference>
          <reference field="11" count="1" selected="0">
            <x v="90"/>
          </reference>
          <reference field="12" count="1">
            <x v="124"/>
          </reference>
        </references>
      </pivotArea>
    </format>
    <format dxfId="1994">
      <pivotArea dataOnly="0" labelOnly="1" outline="0" fieldPosition="0">
        <references count="4">
          <reference field="1" count="1" selected="0">
            <x v="0"/>
          </reference>
          <reference field="5" count="1" selected="0">
            <x v="8"/>
          </reference>
          <reference field="11" count="1" selected="0">
            <x v="91"/>
          </reference>
          <reference field="12" count="1">
            <x v="123"/>
          </reference>
        </references>
      </pivotArea>
    </format>
    <format dxfId="1993">
      <pivotArea dataOnly="0" labelOnly="1" outline="0" fieldPosition="0">
        <references count="4">
          <reference field="1" count="1" selected="0">
            <x v="0"/>
          </reference>
          <reference field="5" count="1" selected="0">
            <x v="8"/>
          </reference>
          <reference field="11" count="1" selected="0">
            <x v="92"/>
          </reference>
          <reference field="12" count="1">
            <x v="125"/>
          </reference>
        </references>
      </pivotArea>
    </format>
    <format dxfId="1992">
      <pivotArea dataOnly="0" labelOnly="1" outline="0" fieldPosition="0">
        <references count="4">
          <reference field="1" count="1" selected="0">
            <x v="0"/>
          </reference>
          <reference field="5" count="1" selected="0">
            <x v="8"/>
          </reference>
          <reference field="11" count="1" selected="0">
            <x v="98"/>
          </reference>
          <reference field="12" count="1">
            <x v="65"/>
          </reference>
        </references>
      </pivotArea>
    </format>
    <format dxfId="1991">
      <pivotArea dataOnly="0" labelOnly="1" outline="0" fieldPosition="0">
        <references count="4">
          <reference field="1" count="1" selected="0">
            <x v="0"/>
          </reference>
          <reference field="5" count="1" selected="0">
            <x v="8"/>
          </reference>
          <reference field="11" count="1" selected="0">
            <x v="209"/>
          </reference>
          <reference field="12" count="1">
            <x v="217"/>
          </reference>
        </references>
      </pivotArea>
    </format>
    <format dxfId="1990">
      <pivotArea dataOnly="0" labelOnly="1" outline="0" fieldPosition="0">
        <references count="4">
          <reference field="1" count="1" selected="0">
            <x v="0"/>
          </reference>
          <reference field="5" count="1" selected="0">
            <x v="8"/>
          </reference>
          <reference field="11" count="1" selected="0">
            <x v="216"/>
          </reference>
          <reference field="12" count="1">
            <x v="225"/>
          </reference>
        </references>
      </pivotArea>
    </format>
    <format dxfId="1989">
      <pivotArea dataOnly="0" labelOnly="1" outline="0" fieldPosition="0">
        <references count="4">
          <reference field="1" count="1" selected="0">
            <x v="0"/>
          </reference>
          <reference field="5" count="1" selected="0">
            <x v="8"/>
          </reference>
          <reference field="11" count="1" selected="0">
            <x v="220"/>
          </reference>
          <reference field="12" count="1">
            <x v="228"/>
          </reference>
        </references>
      </pivotArea>
    </format>
    <format dxfId="1988">
      <pivotArea dataOnly="0" labelOnly="1" outline="0" fieldPosition="0">
        <references count="4">
          <reference field="1" count="1" selected="0">
            <x v="0"/>
          </reference>
          <reference field="5" count="1" selected="0">
            <x v="10"/>
          </reference>
          <reference field="11" count="1" selected="0">
            <x v="55"/>
          </reference>
          <reference field="12" count="1">
            <x v="76"/>
          </reference>
        </references>
      </pivotArea>
    </format>
    <format dxfId="1987">
      <pivotArea dataOnly="0" labelOnly="1" outline="0" fieldPosition="0">
        <references count="4">
          <reference field="1" count="1" selected="0">
            <x v="0"/>
          </reference>
          <reference field="5" count="1" selected="0">
            <x v="10"/>
          </reference>
          <reference field="11" count="1" selected="0">
            <x v="97"/>
          </reference>
          <reference field="12" count="1">
            <x v="75"/>
          </reference>
        </references>
      </pivotArea>
    </format>
    <format dxfId="1986">
      <pivotArea dataOnly="0" labelOnly="1" outline="0" fieldPosition="0">
        <references count="4">
          <reference field="1" count="1" selected="0">
            <x v="0"/>
          </reference>
          <reference field="5" count="1" selected="0">
            <x v="10"/>
          </reference>
          <reference field="11" count="1" selected="0">
            <x v="149"/>
          </reference>
          <reference field="12" count="1">
            <x v="77"/>
          </reference>
        </references>
      </pivotArea>
    </format>
    <format dxfId="1985">
      <pivotArea dataOnly="0" labelOnly="1" outline="0" fieldPosition="0">
        <references count="4">
          <reference field="1" count="1" selected="0">
            <x v="0"/>
          </reference>
          <reference field="5" count="1" selected="0">
            <x v="10"/>
          </reference>
          <reference field="11" count="1" selected="0">
            <x v="233"/>
          </reference>
          <reference field="12" count="1">
            <x v="235"/>
          </reference>
        </references>
      </pivotArea>
    </format>
    <format dxfId="1984">
      <pivotArea dataOnly="0" labelOnly="1" outline="0" fieldPosition="0">
        <references count="4">
          <reference field="1" count="1" selected="0">
            <x v="0"/>
          </reference>
          <reference field="5" count="1" selected="0">
            <x v="10"/>
          </reference>
          <reference field="11" count="1" selected="0">
            <x v="234"/>
          </reference>
          <reference field="12" count="1">
            <x v="236"/>
          </reference>
        </references>
      </pivotArea>
    </format>
    <format dxfId="1983">
      <pivotArea dataOnly="0" labelOnly="1" outline="0" fieldPosition="0">
        <references count="4">
          <reference field="1" count="1" selected="0">
            <x v="0"/>
          </reference>
          <reference field="5" count="1" selected="0">
            <x v="10"/>
          </reference>
          <reference field="11" count="1" selected="0">
            <x v="235"/>
          </reference>
          <reference field="12" count="1">
            <x v="237"/>
          </reference>
        </references>
      </pivotArea>
    </format>
    <format dxfId="1982">
      <pivotArea dataOnly="0" labelOnly="1" outline="0" fieldPosition="0">
        <references count="4">
          <reference field="1" count="1" selected="0">
            <x v="0"/>
          </reference>
          <reference field="5" count="1" selected="0">
            <x v="11"/>
          </reference>
          <reference field="11" count="1" selected="0">
            <x v="152"/>
          </reference>
          <reference field="12" count="1">
            <x v="133"/>
          </reference>
        </references>
      </pivotArea>
    </format>
    <format dxfId="1981">
      <pivotArea dataOnly="0" labelOnly="1" outline="0" fieldPosition="0">
        <references count="4">
          <reference field="1" count="1" selected="0">
            <x v="0"/>
          </reference>
          <reference field="5" count="1" selected="0">
            <x v="11"/>
          </reference>
          <reference field="11" count="1" selected="0">
            <x v="183"/>
          </reference>
          <reference field="12" count="1">
            <x v="78"/>
          </reference>
        </references>
      </pivotArea>
    </format>
    <format dxfId="1980">
      <pivotArea dataOnly="0" labelOnly="1" outline="0" fieldPosition="0">
        <references count="4">
          <reference field="1" count="1" selected="0">
            <x v="0"/>
          </reference>
          <reference field="5" count="1" selected="0">
            <x v="11"/>
          </reference>
          <reference field="11" count="1" selected="0">
            <x v="223"/>
          </reference>
          <reference field="12" count="1">
            <x v="231"/>
          </reference>
        </references>
      </pivotArea>
    </format>
    <format dxfId="1979">
      <pivotArea dataOnly="0" labelOnly="1" outline="0" fieldPosition="0">
        <references count="4">
          <reference field="1" count="1" selected="0">
            <x v="0"/>
          </reference>
          <reference field="5" count="1" selected="0">
            <x v="11"/>
          </reference>
          <reference field="11" count="1" selected="0">
            <x v="224"/>
          </reference>
          <reference field="12" count="1">
            <x v="232"/>
          </reference>
        </references>
      </pivotArea>
    </format>
    <format dxfId="1978">
      <pivotArea dataOnly="0" labelOnly="1" outline="0" fieldPosition="0">
        <references count="4">
          <reference field="1" count="1" selected="0">
            <x v="0"/>
          </reference>
          <reference field="5" count="1" selected="0">
            <x v="12"/>
          </reference>
          <reference field="11" count="1" selected="0">
            <x v="27"/>
          </reference>
          <reference field="12" count="1">
            <x v="118"/>
          </reference>
        </references>
      </pivotArea>
    </format>
    <format dxfId="1977">
      <pivotArea dataOnly="0" labelOnly="1" outline="0" fieldPosition="0">
        <references count="4">
          <reference field="1" count="1" selected="0">
            <x v="0"/>
          </reference>
          <reference field="5" count="1" selected="0">
            <x v="12"/>
          </reference>
          <reference field="11" count="1" selected="0">
            <x v="38"/>
          </reference>
          <reference field="12" count="1">
            <x v="167"/>
          </reference>
        </references>
      </pivotArea>
    </format>
    <format dxfId="1976">
      <pivotArea dataOnly="0" labelOnly="1" outline="0" fieldPosition="0">
        <references count="4">
          <reference field="1" count="1" selected="0">
            <x v="0"/>
          </reference>
          <reference field="5" count="1" selected="0">
            <x v="12"/>
          </reference>
          <reference field="11" count="1" selected="0">
            <x v="42"/>
          </reference>
          <reference field="12" count="1">
            <x v="117"/>
          </reference>
        </references>
      </pivotArea>
    </format>
    <format dxfId="1975">
      <pivotArea dataOnly="0" labelOnly="1" outline="0" fieldPosition="0">
        <references count="4">
          <reference field="1" count="1" selected="0">
            <x v="0"/>
          </reference>
          <reference field="5" count="1" selected="0">
            <x v="12"/>
          </reference>
          <reference field="11" count="1" selected="0">
            <x v="50"/>
          </reference>
          <reference field="12" count="1">
            <x v="170"/>
          </reference>
        </references>
      </pivotArea>
    </format>
    <format dxfId="1974">
      <pivotArea dataOnly="0" labelOnly="1" outline="0" fieldPosition="0">
        <references count="4">
          <reference field="1" count="1" selected="0">
            <x v="0"/>
          </reference>
          <reference field="5" count="1" selected="0">
            <x v="12"/>
          </reference>
          <reference field="11" count="1" selected="0">
            <x v="69"/>
          </reference>
          <reference field="12" count="1">
            <x v="70"/>
          </reference>
        </references>
      </pivotArea>
    </format>
    <format dxfId="1973">
      <pivotArea dataOnly="0" labelOnly="1" outline="0" fieldPosition="0">
        <references count="4">
          <reference field="1" count="1" selected="0">
            <x v="0"/>
          </reference>
          <reference field="5" count="1" selected="0">
            <x v="12"/>
          </reference>
          <reference field="11" count="1" selected="0">
            <x v="70"/>
          </reference>
          <reference field="12" count="1">
            <x v="68"/>
          </reference>
        </references>
      </pivotArea>
    </format>
    <format dxfId="1972">
      <pivotArea dataOnly="0" labelOnly="1" outline="0" fieldPosition="0">
        <references count="4">
          <reference field="1" count="1" selected="0">
            <x v="0"/>
          </reference>
          <reference field="5" count="1" selected="0">
            <x v="12"/>
          </reference>
          <reference field="11" count="1" selected="0">
            <x v="71"/>
          </reference>
          <reference field="12" count="1">
            <x v="69"/>
          </reference>
        </references>
      </pivotArea>
    </format>
    <format dxfId="1971">
      <pivotArea dataOnly="0" labelOnly="1" outline="0" fieldPosition="0">
        <references count="4">
          <reference field="1" count="1" selected="0">
            <x v="0"/>
          </reference>
          <reference field="5" count="1" selected="0">
            <x v="12"/>
          </reference>
          <reference field="11" count="1" selected="0">
            <x v="77"/>
          </reference>
          <reference field="12" count="1">
            <x v="63"/>
          </reference>
        </references>
      </pivotArea>
    </format>
    <format dxfId="1970">
      <pivotArea dataOnly="0" labelOnly="1" outline="0" fieldPosition="0">
        <references count="4">
          <reference field="1" count="1" selected="0">
            <x v="0"/>
          </reference>
          <reference field="5" count="1" selected="0">
            <x v="12"/>
          </reference>
          <reference field="11" count="1" selected="0">
            <x v="84"/>
          </reference>
          <reference field="12" count="1">
            <x v="61"/>
          </reference>
        </references>
      </pivotArea>
    </format>
    <format dxfId="1969">
      <pivotArea dataOnly="0" labelOnly="1" outline="0" fieldPosition="0">
        <references count="4">
          <reference field="1" count="1" selected="0">
            <x v="0"/>
          </reference>
          <reference field="5" count="1" selected="0">
            <x v="12"/>
          </reference>
          <reference field="11" count="1" selected="0">
            <x v="88"/>
          </reference>
          <reference field="12" count="1">
            <x v="62"/>
          </reference>
        </references>
      </pivotArea>
    </format>
    <format dxfId="1968">
      <pivotArea dataOnly="0" labelOnly="1" outline="0" fieldPosition="0">
        <references count="4">
          <reference field="1" count="1" selected="0">
            <x v="0"/>
          </reference>
          <reference field="5" count="1" selected="0">
            <x v="12"/>
          </reference>
          <reference field="11" count="1" selected="0">
            <x v="89"/>
          </reference>
          <reference field="12" count="1">
            <x v="168"/>
          </reference>
        </references>
      </pivotArea>
    </format>
    <format dxfId="1967">
      <pivotArea dataOnly="0" labelOnly="1" outline="0" fieldPosition="0">
        <references count="4">
          <reference field="1" count="1" selected="0">
            <x v="0"/>
          </reference>
          <reference field="5" count="1" selected="0">
            <x v="12"/>
          </reference>
          <reference field="11" count="1" selected="0">
            <x v="117"/>
          </reference>
          <reference field="12" count="1">
            <x v="55"/>
          </reference>
        </references>
      </pivotArea>
    </format>
    <format dxfId="1966">
      <pivotArea dataOnly="0" labelOnly="1" outline="0" fieldPosition="0">
        <references count="4">
          <reference field="1" count="1" selected="0">
            <x v="0"/>
          </reference>
          <reference field="5" count="1" selected="0">
            <x v="12"/>
          </reference>
          <reference field="11" count="1" selected="0">
            <x v="128"/>
          </reference>
          <reference field="12" count="1">
            <x v="60"/>
          </reference>
        </references>
      </pivotArea>
    </format>
    <format dxfId="1965">
      <pivotArea dataOnly="0" labelOnly="1" outline="0" fieldPosition="0">
        <references count="4">
          <reference field="1" count="1" selected="0">
            <x v="0"/>
          </reference>
          <reference field="5" count="1" selected="0">
            <x v="12"/>
          </reference>
          <reference field="11" count="1" selected="0">
            <x v="155"/>
          </reference>
          <reference field="12" count="1">
            <x v="122"/>
          </reference>
        </references>
      </pivotArea>
    </format>
    <format dxfId="1964">
      <pivotArea dataOnly="0" labelOnly="1" outline="0" fieldPosition="0">
        <references count="4">
          <reference field="1" count="1" selected="0">
            <x v="0"/>
          </reference>
          <reference field="5" count="1" selected="0">
            <x v="12"/>
          </reference>
          <reference field="11" count="1" selected="0">
            <x v="158"/>
          </reference>
          <reference field="12" count="1">
            <x v="71"/>
          </reference>
        </references>
      </pivotArea>
    </format>
    <format dxfId="1963">
      <pivotArea dataOnly="0" labelOnly="1" outline="0" fieldPosition="0">
        <references count="4">
          <reference field="1" count="1" selected="0">
            <x v="0"/>
          </reference>
          <reference field="5" count="1" selected="0">
            <x v="12"/>
          </reference>
          <reference field="11" count="1" selected="0">
            <x v="160"/>
          </reference>
          <reference field="12" count="1">
            <x v="119"/>
          </reference>
        </references>
      </pivotArea>
    </format>
    <format dxfId="1962">
      <pivotArea dataOnly="0" labelOnly="1" outline="0" fieldPosition="0">
        <references count="4">
          <reference field="1" count="1" selected="0">
            <x v="0"/>
          </reference>
          <reference field="5" count="1" selected="0">
            <x v="12"/>
          </reference>
          <reference field="11" count="1" selected="0">
            <x v="164"/>
          </reference>
          <reference field="12" count="1">
            <x v="64"/>
          </reference>
        </references>
      </pivotArea>
    </format>
    <format dxfId="1961">
      <pivotArea dataOnly="0" labelOnly="1" outline="0" fieldPosition="0">
        <references count="4">
          <reference field="1" count="1" selected="0">
            <x v="0"/>
          </reference>
          <reference field="5" count="1" selected="0">
            <x v="12"/>
          </reference>
          <reference field="11" count="1" selected="0">
            <x v="175"/>
          </reference>
          <reference field="12" count="1">
            <x v="72"/>
          </reference>
        </references>
      </pivotArea>
    </format>
    <format dxfId="1960">
      <pivotArea dataOnly="0" labelOnly="1" outline="0" fieldPosition="0">
        <references count="4">
          <reference field="1" count="1" selected="0">
            <x v="0"/>
          </reference>
          <reference field="5" count="1" selected="0">
            <x v="12"/>
          </reference>
          <reference field="11" count="1" selected="0">
            <x v="188"/>
          </reference>
          <reference field="12" count="1">
            <x v="59"/>
          </reference>
        </references>
      </pivotArea>
    </format>
    <format dxfId="1959">
      <pivotArea dataOnly="0" labelOnly="1" outline="0" fieldPosition="0">
        <references count="4">
          <reference field="1" count="1" selected="0">
            <x v="0"/>
          </reference>
          <reference field="5" count="1" selected="0">
            <x v="12"/>
          </reference>
          <reference field="11" count="1" selected="0">
            <x v="238"/>
          </reference>
          <reference field="12" count="1">
            <x v="240"/>
          </reference>
        </references>
      </pivotArea>
    </format>
    <format dxfId="1958">
      <pivotArea dataOnly="0" labelOnly="1" outline="0" fieldPosition="0">
        <references count="4">
          <reference field="1" count="1" selected="0">
            <x v="0"/>
          </reference>
          <reference field="5" count="1" selected="0">
            <x v="14"/>
          </reference>
          <reference field="11" count="1" selected="0">
            <x v="24"/>
          </reference>
          <reference field="12" count="1">
            <x v="11"/>
          </reference>
        </references>
      </pivotArea>
    </format>
    <format dxfId="1957">
      <pivotArea dataOnly="0" labelOnly="1" outline="0" fieldPosition="0">
        <references count="4">
          <reference field="1" count="1" selected="0">
            <x v="0"/>
          </reference>
          <reference field="5" count="1" selected="0">
            <x v="14"/>
          </reference>
          <reference field="11" count="1" selected="0">
            <x v="25"/>
          </reference>
          <reference field="12" count="1">
            <x v="9"/>
          </reference>
        </references>
      </pivotArea>
    </format>
    <format dxfId="1956">
      <pivotArea dataOnly="0" labelOnly="1" outline="0" fieldPosition="0">
        <references count="4">
          <reference field="1" count="1" selected="0">
            <x v="0"/>
          </reference>
          <reference field="5" count="1" selected="0">
            <x v="14"/>
          </reference>
          <reference field="11" count="1" selected="0">
            <x v="26"/>
          </reference>
          <reference field="12" count="1">
            <x v="10"/>
          </reference>
        </references>
      </pivotArea>
    </format>
    <format dxfId="1955">
      <pivotArea dataOnly="0" labelOnly="1" outline="0" fieldPosition="0">
        <references count="4">
          <reference field="1" count="1" selected="0">
            <x v="0"/>
          </reference>
          <reference field="5" count="1" selected="0">
            <x v="14"/>
          </reference>
          <reference field="11" count="1" selected="0">
            <x v="46"/>
          </reference>
          <reference field="12" count="1">
            <x v="17"/>
          </reference>
        </references>
      </pivotArea>
    </format>
    <format dxfId="1954">
      <pivotArea dataOnly="0" labelOnly="1" outline="0" fieldPosition="0">
        <references count="4">
          <reference field="1" count="1" selected="0">
            <x v="0"/>
          </reference>
          <reference field="5" count="1" selected="0">
            <x v="14"/>
          </reference>
          <reference field="11" count="1" selected="0">
            <x v="47"/>
          </reference>
          <reference field="12" count="1">
            <x v="18"/>
          </reference>
        </references>
      </pivotArea>
    </format>
    <format dxfId="1953">
      <pivotArea dataOnly="0" labelOnly="1" outline="0" fieldPosition="0">
        <references count="4">
          <reference field="1" count="1" selected="0">
            <x v="0"/>
          </reference>
          <reference field="5" count="1" selected="0">
            <x v="14"/>
          </reference>
          <reference field="11" count="1" selected="0">
            <x v="54"/>
          </reference>
          <reference field="12" count="1">
            <x v="12"/>
          </reference>
        </references>
      </pivotArea>
    </format>
    <format dxfId="1952">
      <pivotArea dataOnly="0" labelOnly="1" outline="0" fieldPosition="0">
        <references count="4">
          <reference field="1" count="1" selected="0">
            <x v="0"/>
          </reference>
          <reference field="5" count="1" selected="0">
            <x v="14"/>
          </reference>
          <reference field="11" count="1" selected="0">
            <x v="63"/>
          </reference>
          <reference field="12" count="1">
            <x v="14"/>
          </reference>
        </references>
      </pivotArea>
    </format>
    <format dxfId="1951">
      <pivotArea dataOnly="0" labelOnly="1" outline="0" fieldPosition="0">
        <references count="4">
          <reference field="1" count="1" selected="0">
            <x v="0"/>
          </reference>
          <reference field="5" count="1" selected="0">
            <x v="14"/>
          </reference>
          <reference field="11" count="1" selected="0">
            <x v="64"/>
          </reference>
          <reference field="12" count="1">
            <x v="13"/>
          </reference>
        </references>
      </pivotArea>
    </format>
    <format dxfId="1950">
      <pivotArea dataOnly="0" labelOnly="1" outline="0" fieldPosition="0">
        <references count="4">
          <reference field="1" count="1" selected="0">
            <x v="0"/>
          </reference>
          <reference field="5" count="1" selected="0">
            <x v="14"/>
          </reference>
          <reference field="11" count="1" selected="0">
            <x v="83"/>
          </reference>
          <reference field="12" count="1">
            <x v="15"/>
          </reference>
        </references>
      </pivotArea>
    </format>
    <format dxfId="1949">
      <pivotArea dataOnly="0" labelOnly="1" outline="0" fieldPosition="0">
        <references count="4">
          <reference field="1" count="1" selected="0">
            <x v="0"/>
          </reference>
          <reference field="5" count="1" selected="0">
            <x v="14"/>
          </reference>
          <reference field="11" count="1" selected="0">
            <x v="85"/>
          </reference>
          <reference field="12" count="1">
            <x v="7"/>
          </reference>
        </references>
      </pivotArea>
    </format>
    <format dxfId="1948">
      <pivotArea dataOnly="0" labelOnly="1" outline="0" fieldPosition="0">
        <references count="4">
          <reference field="1" count="1" selected="0">
            <x v="0"/>
          </reference>
          <reference field="5" count="1" selected="0">
            <x v="14"/>
          </reference>
          <reference field="11" count="1" selected="0">
            <x v="107"/>
          </reference>
          <reference field="12" count="1">
            <x v="19"/>
          </reference>
        </references>
      </pivotArea>
    </format>
    <format dxfId="1947">
      <pivotArea dataOnly="0" labelOnly="1" outline="0" fieldPosition="0">
        <references count="4">
          <reference field="1" count="1" selected="0">
            <x v="0"/>
          </reference>
          <reference field="5" count="1" selected="0">
            <x v="14"/>
          </reference>
          <reference field="11" count="1" selected="0">
            <x v="108"/>
          </reference>
          <reference field="12" count="1">
            <x v="20"/>
          </reference>
        </references>
      </pivotArea>
    </format>
    <format dxfId="1946">
      <pivotArea dataOnly="0" labelOnly="1" outline="0" fieldPosition="0">
        <references count="4">
          <reference field="1" count="1" selected="0">
            <x v="0"/>
          </reference>
          <reference field="5" count="1" selected="0">
            <x v="14"/>
          </reference>
          <reference field="11" count="1" selected="0">
            <x v="144"/>
          </reference>
          <reference field="12" count="1">
            <x v="23"/>
          </reference>
        </references>
      </pivotArea>
    </format>
    <format dxfId="1945">
      <pivotArea dataOnly="0" labelOnly="1" outline="0" fieldPosition="0">
        <references count="4">
          <reference field="1" count="1" selected="0">
            <x v="0"/>
          </reference>
          <reference field="5" count="1" selected="0">
            <x v="14"/>
          </reference>
          <reference field="11" count="1" selected="0">
            <x v="157"/>
          </reference>
          <reference field="12" count="1">
            <x v="1"/>
          </reference>
        </references>
      </pivotArea>
    </format>
    <format dxfId="1944">
      <pivotArea dataOnly="0" labelOnly="1" outline="0" fieldPosition="0">
        <references count="4">
          <reference field="1" count="1" selected="0">
            <x v="0"/>
          </reference>
          <reference field="5" count="1" selected="0">
            <x v="14"/>
          </reference>
          <reference field="11" count="1" selected="0">
            <x v="159"/>
          </reference>
          <reference field="12" count="1">
            <x v="136"/>
          </reference>
        </references>
      </pivotArea>
    </format>
    <format dxfId="1943">
      <pivotArea dataOnly="0" labelOnly="1" outline="0" fieldPosition="0">
        <references count="4">
          <reference field="1" count="1" selected="0">
            <x v="0"/>
          </reference>
          <reference field="5" count="1" selected="0">
            <x v="14"/>
          </reference>
          <reference field="11" count="1" selected="0">
            <x v="176"/>
          </reference>
          <reference field="12" count="1">
            <x v="5"/>
          </reference>
        </references>
      </pivotArea>
    </format>
    <format dxfId="1942">
      <pivotArea dataOnly="0" labelOnly="1" outline="0" fieldPosition="0">
        <references count="4">
          <reference field="1" count="1" selected="0">
            <x v="0"/>
          </reference>
          <reference field="5" count="1" selected="0">
            <x v="14"/>
          </reference>
          <reference field="11" count="1" selected="0">
            <x v="177"/>
          </reference>
          <reference field="12" count="1">
            <x v="6"/>
          </reference>
        </references>
      </pivotArea>
    </format>
    <format dxfId="1941">
      <pivotArea dataOnly="0" labelOnly="1" outline="0" fieldPosition="0">
        <references count="4">
          <reference field="1" count="1" selected="0">
            <x v="0"/>
          </reference>
          <reference field="5" count="1" selected="0">
            <x v="14"/>
          </reference>
          <reference field="11" count="1" selected="0">
            <x v="181"/>
          </reference>
          <reference field="12" count="1">
            <x v="8"/>
          </reference>
        </references>
      </pivotArea>
    </format>
    <format dxfId="1940">
      <pivotArea dataOnly="0" labelOnly="1" outline="0" fieldPosition="0">
        <references count="4">
          <reference field="1" count="1" selected="0">
            <x v="0"/>
          </reference>
          <reference field="5" count="1" selected="0">
            <x v="14"/>
          </reference>
          <reference field="11" count="1" selected="0">
            <x v="189"/>
          </reference>
          <reference field="12" count="1">
            <x v="0"/>
          </reference>
        </references>
      </pivotArea>
    </format>
    <format dxfId="1939">
      <pivotArea dataOnly="0" labelOnly="1" outline="0" fieldPosition="0">
        <references count="4">
          <reference field="1" count="1" selected="0">
            <x v="0"/>
          </reference>
          <reference field="5" count="1" selected="0">
            <x v="14"/>
          </reference>
          <reference field="11" count="1" selected="0">
            <x v="190"/>
          </reference>
          <reference field="12" count="1">
            <x v="3"/>
          </reference>
        </references>
      </pivotArea>
    </format>
    <format dxfId="1938">
      <pivotArea dataOnly="0" labelOnly="1" outline="0" fieldPosition="0">
        <references count="4">
          <reference field="1" count="1" selected="0">
            <x v="0"/>
          </reference>
          <reference field="5" count="1" selected="0">
            <x v="14"/>
          </reference>
          <reference field="11" count="1" selected="0">
            <x v="191"/>
          </reference>
          <reference field="12" count="1">
            <x v="2"/>
          </reference>
        </references>
      </pivotArea>
    </format>
    <format dxfId="1937">
      <pivotArea dataOnly="0" labelOnly="1" outline="0" fieldPosition="0">
        <references count="4">
          <reference field="1" count="1" selected="0">
            <x v="0"/>
          </reference>
          <reference field="5" count="1" selected="0">
            <x v="14"/>
          </reference>
          <reference field="11" count="1" selected="0">
            <x v="192"/>
          </reference>
          <reference field="12" count="1">
            <x v="4"/>
          </reference>
        </references>
      </pivotArea>
    </format>
    <format dxfId="1936">
      <pivotArea dataOnly="0" labelOnly="1" outline="0" fieldPosition="0">
        <references count="4">
          <reference field="1" count="1" selected="0">
            <x v="0"/>
          </reference>
          <reference field="5" count="1" selected="0">
            <x v="14"/>
          </reference>
          <reference field="11" count="1" selected="0">
            <x v="204"/>
          </reference>
          <reference field="12" count="1">
            <x v="21"/>
          </reference>
        </references>
      </pivotArea>
    </format>
    <format dxfId="1935">
      <pivotArea dataOnly="0" labelOnly="1" outline="0" fieldPosition="0">
        <references count="4">
          <reference field="1" count="1" selected="0">
            <x v="0"/>
          </reference>
          <reference field="5" count="1" selected="0">
            <x v="14"/>
          </reference>
          <reference field="11" count="1" selected="0">
            <x v="229"/>
          </reference>
          <reference field="12" count="1">
            <x v="22"/>
          </reference>
        </references>
      </pivotArea>
    </format>
    <format dxfId="1934">
      <pivotArea dataOnly="0" labelOnly="1" outline="0" fieldPosition="0">
        <references count="4">
          <reference field="1" count="1" selected="0">
            <x v="0"/>
          </reference>
          <reference field="5" count="1" selected="0">
            <x v="17"/>
          </reference>
          <reference field="11" count="1" selected="0">
            <x v="196"/>
          </reference>
          <reference field="12" count="1">
            <x v="74"/>
          </reference>
        </references>
      </pivotArea>
    </format>
    <format dxfId="1933">
      <pivotArea dataOnly="0" labelOnly="1" outline="0" fieldPosition="0">
        <references count="4">
          <reference field="1" count="1" selected="0">
            <x v="0"/>
          </reference>
          <reference field="5" count="1" selected="0">
            <x v="17"/>
          </reference>
          <reference field="11" count="1" selected="0">
            <x v="213"/>
          </reference>
          <reference field="12" count="1">
            <x v="221"/>
          </reference>
        </references>
      </pivotArea>
    </format>
    <format dxfId="1932">
      <pivotArea dataOnly="0" labelOnly="1" outline="0" fieldPosition="0">
        <references count="4">
          <reference field="1" count="1" selected="0">
            <x v="0"/>
          </reference>
          <reference field="5" count="1" selected="0">
            <x v="17"/>
          </reference>
          <reference field="11" count="1" selected="0">
            <x v="231"/>
          </reference>
          <reference field="12" count="1">
            <x v="234"/>
          </reference>
        </references>
      </pivotArea>
    </format>
    <format dxfId="1931">
      <pivotArea dataOnly="0" labelOnly="1" outline="0" fieldPosition="0">
        <references count="4">
          <reference field="1" count="1" selected="0">
            <x v="0"/>
          </reference>
          <reference field="5" count="1" selected="0">
            <x v="18"/>
          </reference>
          <reference field="11" count="1" selected="0">
            <x v="38"/>
          </reference>
          <reference field="12" count="1">
            <x v="169"/>
          </reference>
        </references>
      </pivotArea>
    </format>
    <format dxfId="1930">
      <pivotArea dataOnly="0" labelOnly="1" outline="0" fieldPosition="0">
        <references count="4">
          <reference field="1" count="1" selected="0">
            <x v="0"/>
          </reference>
          <reference field="5" count="1" selected="0">
            <x v="18"/>
          </reference>
          <reference field="11" count="1" selected="0">
            <x v="61"/>
          </reference>
          <reference field="12" count="1">
            <x v="130"/>
          </reference>
        </references>
      </pivotArea>
    </format>
    <format dxfId="1929">
      <pivotArea dataOnly="0" labelOnly="1" outline="0" fieldPosition="0">
        <references count="4">
          <reference field="1" count="1" selected="0">
            <x v="0"/>
          </reference>
          <reference field="5" count="1" selected="0">
            <x v="18"/>
          </reference>
          <reference field="11" count="1" selected="0">
            <x v="179"/>
          </reference>
          <reference field="12" count="1">
            <x v="66"/>
          </reference>
        </references>
      </pivotArea>
    </format>
    <format dxfId="1928">
      <pivotArea dataOnly="0" labelOnly="1" outline="0" fieldPosition="0">
        <references count="4">
          <reference field="1" count="1" selected="0">
            <x v="0"/>
          </reference>
          <reference field="5" count="1" selected="0">
            <x v="18"/>
          </reference>
          <reference field="11" count="1" selected="0">
            <x v="180"/>
          </reference>
          <reference field="12" count="1">
            <x v="67"/>
          </reference>
        </references>
      </pivotArea>
    </format>
    <format dxfId="1927">
      <pivotArea dataOnly="0" labelOnly="1" outline="0" fieldPosition="0">
        <references count="4">
          <reference field="1" count="1" selected="0">
            <x v="0"/>
          </reference>
          <reference field="5" count="1" selected="0">
            <x v="19"/>
          </reference>
          <reference field="11" count="1" selected="0">
            <x v="185"/>
          </reference>
          <reference field="12" count="1">
            <x v="175"/>
          </reference>
        </references>
      </pivotArea>
    </format>
    <format dxfId="1926">
      <pivotArea dataOnly="0" labelOnly="1" outline="0" fieldPosition="0">
        <references count="4">
          <reference field="1" count="1" selected="0">
            <x v="0"/>
          </reference>
          <reference field="5" count="1" selected="0">
            <x v="19"/>
          </reference>
          <reference field="11" count="1" selected="0">
            <x v="236"/>
          </reference>
          <reference field="12" count="1">
            <x v="238"/>
          </reference>
        </references>
      </pivotArea>
    </format>
    <format dxfId="1925">
      <pivotArea dataOnly="0" labelOnly="1" outline="0" fieldPosition="0">
        <references count="4">
          <reference field="1" count="1" selected="0">
            <x v="0"/>
          </reference>
          <reference field="5" count="1" selected="0">
            <x v="19"/>
          </reference>
          <reference field="11" count="1" selected="0">
            <x v="237"/>
          </reference>
          <reference field="12" count="1">
            <x v="239"/>
          </reference>
        </references>
      </pivotArea>
    </format>
    <format dxfId="1924">
      <pivotArea dataOnly="0" labelOnly="1" outline="0" fieldPosition="0">
        <references count="4">
          <reference field="1" count="1" selected="0">
            <x v="0"/>
          </reference>
          <reference field="5" count="1" selected="0">
            <x v="20"/>
          </reference>
          <reference field="11" count="1" selected="0">
            <x v="17"/>
          </reference>
          <reference field="12" count="1">
            <x v="108"/>
          </reference>
        </references>
      </pivotArea>
    </format>
    <format dxfId="1923">
      <pivotArea dataOnly="0" labelOnly="1" outline="0" fieldPosition="0">
        <references count="4">
          <reference field="1" count="1" selected="0">
            <x v="0"/>
          </reference>
          <reference field="5" count="1" selected="0">
            <x v="20"/>
          </reference>
          <reference field="11" count="1" selected="0">
            <x v="33"/>
          </reference>
          <reference field="12" count="1">
            <x v="27"/>
          </reference>
        </references>
      </pivotArea>
    </format>
    <format dxfId="1922">
      <pivotArea dataOnly="0" labelOnly="1" outline="0" fieldPosition="0">
        <references count="4">
          <reference field="1" count="1" selected="0">
            <x v="0"/>
          </reference>
          <reference field="5" count="1" selected="0">
            <x v="20"/>
          </reference>
          <reference field="11" count="1" selected="0">
            <x v="34"/>
          </reference>
          <reference field="12" count="1">
            <x v="110"/>
          </reference>
        </references>
      </pivotArea>
    </format>
    <format dxfId="1921">
      <pivotArea dataOnly="0" labelOnly="1" outline="0" fieldPosition="0">
        <references count="4">
          <reference field="1" count="1" selected="0">
            <x v="0"/>
          </reference>
          <reference field="5" count="1" selected="0">
            <x v="20"/>
          </reference>
          <reference field="11" count="1" selected="0">
            <x v="44"/>
          </reference>
          <reference field="12" count="1">
            <x v="176"/>
          </reference>
        </references>
      </pivotArea>
    </format>
    <format dxfId="1920">
      <pivotArea dataOnly="0" labelOnly="1" outline="0" fieldPosition="0">
        <references count="4">
          <reference field="1" count="1" selected="0">
            <x v="0"/>
          </reference>
          <reference field="5" count="1" selected="0">
            <x v="20"/>
          </reference>
          <reference field="11" count="1" selected="0">
            <x v="48"/>
          </reference>
          <reference field="12" count="1">
            <x v="116"/>
          </reference>
        </references>
      </pivotArea>
    </format>
    <format dxfId="1919">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1918">
      <pivotArea dataOnly="0" labelOnly="1" outline="0" fieldPosition="0">
        <references count="4">
          <reference field="1" count="1" selected="0">
            <x v="0"/>
          </reference>
          <reference field="5" count="1" selected="0">
            <x v="20"/>
          </reference>
          <reference field="11" count="1" selected="0">
            <x v="76"/>
          </reference>
          <reference field="12" count="1">
            <x v="114"/>
          </reference>
        </references>
      </pivotArea>
    </format>
    <format dxfId="1917">
      <pivotArea dataOnly="0" labelOnly="1" outline="0" fieldPosition="0">
        <references count="4">
          <reference field="1" count="1" selected="0">
            <x v="0"/>
          </reference>
          <reference field="5" count="1" selected="0">
            <x v="20"/>
          </reference>
          <reference field="11" count="1" selected="0">
            <x v="78"/>
          </reference>
          <reference field="12" count="1">
            <x v="30"/>
          </reference>
        </references>
      </pivotArea>
    </format>
    <format dxfId="1916">
      <pivotArea dataOnly="0" labelOnly="1" outline="0" fieldPosition="0">
        <references count="4">
          <reference field="1" count="1" selected="0">
            <x v="0"/>
          </reference>
          <reference field="5" count="1" selected="0">
            <x v="20"/>
          </reference>
          <reference field="11" count="1" selected="0">
            <x v="79"/>
          </reference>
          <reference field="12" count="1">
            <x v="28"/>
          </reference>
        </references>
      </pivotArea>
    </format>
    <format dxfId="1915">
      <pivotArea dataOnly="0" labelOnly="1" outline="0" fieldPosition="0">
        <references count="4">
          <reference field="1" count="1" selected="0">
            <x v="0"/>
          </reference>
          <reference field="5" count="1" selected="0">
            <x v="20"/>
          </reference>
          <reference field="11" count="1" selected="0">
            <x v="80"/>
          </reference>
          <reference field="12" count="1">
            <x v="39"/>
          </reference>
        </references>
      </pivotArea>
    </format>
    <format dxfId="1914">
      <pivotArea dataOnly="0" labelOnly="1" outline="0" fieldPosition="0">
        <references count="4">
          <reference field="1" count="1" selected="0">
            <x v="0"/>
          </reference>
          <reference field="5" count="1" selected="0">
            <x v="20"/>
          </reference>
          <reference field="11" count="1" selected="0">
            <x v="81"/>
          </reference>
          <reference field="12" count="1">
            <x v="38"/>
          </reference>
        </references>
      </pivotArea>
    </format>
    <format dxfId="1913">
      <pivotArea dataOnly="0" labelOnly="1" outline="0" fieldPosition="0">
        <references count="4">
          <reference field="1" count="1" selected="0">
            <x v="0"/>
          </reference>
          <reference field="5" count="1" selected="0">
            <x v="20"/>
          </reference>
          <reference field="11" count="1" selected="0">
            <x v="151"/>
          </reference>
          <reference field="12" count="1">
            <x v="32"/>
          </reference>
        </references>
      </pivotArea>
    </format>
    <format dxfId="1912">
      <pivotArea dataOnly="0" labelOnly="1" outline="0" fieldPosition="0">
        <references count="4">
          <reference field="1" count="1" selected="0">
            <x v="0"/>
          </reference>
          <reference field="5" count="1" selected="0">
            <x v="20"/>
          </reference>
          <reference field="11" count="1" selected="0">
            <x v="165"/>
          </reference>
          <reference field="12" count="1">
            <x v="135"/>
          </reference>
        </references>
      </pivotArea>
    </format>
    <format dxfId="1911">
      <pivotArea dataOnly="0" labelOnly="1" outline="0" fieldPosition="0">
        <references count="4">
          <reference field="1" count="1" selected="0">
            <x v="0"/>
          </reference>
          <reference field="5" count="1" selected="0">
            <x v="20"/>
          </reference>
          <reference field="11" count="1" selected="0">
            <x v="166"/>
          </reference>
          <reference field="12" count="1">
            <x v="31"/>
          </reference>
        </references>
      </pivotArea>
    </format>
    <format dxfId="1910">
      <pivotArea dataOnly="0" labelOnly="1" outline="0" fieldPosition="0">
        <references count="4">
          <reference field="1" count="1" selected="0">
            <x v="0"/>
          </reference>
          <reference field="5" count="1" selected="0">
            <x v="20"/>
          </reference>
          <reference field="11" count="1" selected="0">
            <x v="167"/>
          </reference>
          <reference field="12" count="1">
            <x v="24"/>
          </reference>
        </references>
      </pivotArea>
    </format>
    <format dxfId="1909">
      <pivotArea dataOnly="0" labelOnly="1" outline="0" fieldPosition="0">
        <references count="4">
          <reference field="1" count="1" selected="0">
            <x v="0"/>
          </reference>
          <reference field="5" count="1" selected="0">
            <x v="20"/>
          </reference>
          <reference field="11" count="1" selected="0">
            <x v="168"/>
          </reference>
          <reference field="12" count="1">
            <x v="29"/>
          </reference>
        </references>
      </pivotArea>
    </format>
    <format dxfId="1908">
      <pivotArea dataOnly="0" labelOnly="1" outline="0" fieldPosition="0">
        <references count="4">
          <reference field="1" count="1" selected="0">
            <x v="0"/>
          </reference>
          <reference field="5" count="1" selected="0">
            <x v="20"/>
          </reference>
          <reference field="11" count="1" selected="0">
            <x v="169"/>
          </reference>
          <reference field="12" count="1">
            <x v="25"/>
          </reference>
        </references>
      </pivotArea>
    </format>
    <format dxfId="1907">
      <pivotArea dataOnly="0" labelOnly="1" outline="0" fieldPosition="0">
        <references count="4">
          <reference field="1" count="1" selected="0">
            <x v="0"/>
          </reference>
          <reference field="5" count="1" selected="0">
            <x v="20"/>
          </reference>
          <reference field="11" count="1" selected="0">
            <x v="178"/>
          </reference>
          <reference field="12" count="1">
            <x v="40"/>
          </reference>
        </references>
      </pivotArea>
    </format>
    <format dxfId="1906">
      <pivotArea dataOnly="0" labelOnly="1" outline="0" fieldPosition="0">
        <references count="4">
          <reference field="1" count="1" selected="0">
            <x v="0"/>
          </reference>
          <reference field="5" count="1" selected="0">
            <x v="20"/>
          </reference>
          <reference field="11" count="1" selected="0">
            <x v="193"/>
          </reference>
          <reference field="12" count="1">
            <x v="36"/>
          </reference>
        </references>
      </pivotArea>
    </format>
    <format dxfId="1905">
      <pivotArea dataOnly="0" labelOnly="1" outline="0" fieldPosition="0">
        <references count="4">
          <reference field="1" count="1" selected="0">
            <x v="0"/>
          </reference>
          <reference field="5" count="1" selected="0">
            <x v="20"/>
          </reference>
          <reference field="11" count="1" selected="0">
            <x v="197"/>
          </reference>
          <reference field="12" count="1">
            <x v="37"/>
          </reference>
        </references>
      </pivotArea>
    </format>
    <format dxfId="1904">
      <pivotArea dataOnly="0" labelOnly="1" outline="0" fieldPosition="0">
        <references count="4">
          <reference field="1" count="1" selected="0">
            <x v="0"/>
          </reference>
          <reference field="5" count="1" selected="0">
            <x v="20"/>
          </reference>
          <reference field="11" count="1" selected="0">
            <x v="201"/>
          </reference>
          <reference field="12" count="1">
            <x v="111"/>
          </reference>
        </references>
      </pivotArea>
    </format>
    <format dxfId="1903">
      <pivotArea dataOnly="0" labelOnly="1" outline="0" fieldPosition="0">
        <references count="4">
          <reference field="1" count="1" selected="0">
            <x v="0"/>
          </reference>
          <reference field="5" count="1" selected="0">
            <x v="20"/>
          </reference>
          <reference field="11" count="1" selected="0">
            <x v="228"/>
          </reference>
          <reference field="12" count="1">
            <x v="115"/>
          </reference>
        </references>
      </pivotArea>
    </format>
    <format dxfId="1902">
      <pivotArea dataOnly="0" labelOnly="1" outline="0" fieldPosition="0">
        <references count="4">
          <reference field="1" count="1" selected="0">
            <x v="0"/>
          </reference>
          <reference field="5" count="1" selected="0">
            <x v="20"/>
          </reference>
          <reference field="11" count="1" selected="0">
            <x v="230"/>
          </reference>
          <reference field="12" count="1">
            <x v="107"/>
          </reference>
        </references>
      </pivotArea>
    </format>
    <format dxfId="1901">
      <pivotArea dataOnly="0" labelOnly="1" outline="0" fieldPosition="0">
        <references count="4">
          <reference field="1" count="1" selected="0">
            <x v="1"/>
          </reference>
          <reference field="5" count="1" selected="0">
            <x v="3"/>
          </reference>
          <reference field="11" count="1" selected="0">
            <x v="148"/>
          </reference>
          <reference field="12" count="1">
            <x v="212"/>
          </reference>
        </references>
      </pivotArea>
    </format>
    <format dxfId="1900">
      <pivotArea dataOnly="0" labelOnly="1" outline="0" fieldPosition="0">
        <references count="4">
          <reference field="1" count="1" selected="0">
            <x v="1"/>
          </reference>
          <reference field="5" count="1" selected="0">
            <x v="3"/>
          </reference>
          <reference field="11" count="1" selected="0">
            <x v="232"/>
          </reference>
          <reference field="12" count="1">
            <x v="233"/>
          </reference>
        </references>
      </pivotArea>
    </format>
    <format dxfId="1899">
      <pivotArea dataOnly="0" labelOnly="1" outline="0" fieldPosition="0">
        <references count="4">
          <reference field="1" count="1" selected="0">
            <x v="1"/>
          </reference>
          <reference field="5" count="1" selected="0">
            <x v="3"/>
          </reference>
          <reference field="11" count="1" selected="0">
            <x v="247"/>
          </reference>
          <reference field="12" count="1">
            <x v="250"/>
          </reference>
        </references>
      </pivotArea>
    </format>
    <format dxfId="1898">
      <pivotArea dataOnly="0" labelOnly="1" outline="0" fieldPosition="0">
        <references count="4">
          <reference field="1" count="1" selected="0">
            <x v="1"/>
          </reference>
          <reference field="5" count="1" selected="0">
            <x v="6"/>
          </reference>
          <reference field="11" count="1" selected="0">
            <x v="51"/>
          </reference>
          <reference field="12" count="1">
            <x v="203"/>
          </reference>
        </references>
      </pivotArea>
    </format>
    <format dxfId="1897">
      <pivotArea dataOnly="0" labelOnly="1" outline="0" fieldPosition="0">
        <references count="4">
          <reference field="1" count="1" selected="0">
            <x v="1"/>
          </reference>
          <reference field="5" count="1" selected="0">
            <x v="6"/>
          </reference>
          <reference field="11" count="1" selected="0">
            <x v="52"/>
          </reference>
          <reference field="12" count="1">
            <x v="204"/>
          </reference>
        </references>
      </pivotArea>
    </format>
    <format dxfId="1896">
      <pivotArea dataOnly="0" labelOnly="1" outline="0" fieldPosition="0">
        <references count="4">
          <reference field="1" count="1" selected="0">
            <x v="1"/>
          </reference>
          <reference field="5" count="1" selected="0">
            <x v="6"/>
          </reference>
          <reference field="11" count="1" selected="0">
            <x v="53"/>
          </reference>
          <reference field="12" count="1">
            <x v="205"/>
          </reference>
        </references>
      </pivotArea>
    </format>
    <format dxfId="1895">
      <pivotArea dataOnly="0" labelOnly="1" outline="0" fieldPosition="0">
        <references count="4">
          <reference field="1" count="1" selected="0">
            <x v="1"/>
          </reference>
          <reference field="5" count="1" selected="0">
            <x v="6"/>
          </reference>
          <reference field="11" count="1" selected="0">
            <x v="116"/>
          </reference>
          <reference field="12" count="1">
            <x v="206"/>
          </reference>
        </references>
      </pivotArea>
    </format>
    <format dxfId="1894">
      <pivotArea dataOnly="0" labelOnly="1" outline="0" fieldPosition="0">
        <references count="4">
          <reference field="1" count="1" selected="0">
            <x v="1"/>
          </reference>
          <reference field="5" count="1" selected="0">
            <x v="6"/>
          </reference>
          <reference field="11" count="1" selected="0">
            <x v="123"/>
          </reference>
          <reference field="12" count="1">
            <x v="196"/>
          </reference>
        </references>
      </pivotArea>
    </format>
    <format dxfId="1893">
      <pivotArea dataOnly="0" labelOnly="1" outline="0" fieldPosition="0">
        <references count="4">
          <reference field="1" count="1" selected="0">
            <x v="1"/>
          </reference>
          <reference field="5" count="1" selected="0">
            <x v="6"/>
          </reference>
          <reference field="11" count="1" selected="0">
            <x v="137"/>
          </reference>
          <reference field="12" count="1">
            <x v="197"/>
          </reference>
        </references>
      </pivotArea>
    </format>
    <format dxfId="1892">
      <pivotArea dataOnly="0" labelOnly="1" outline="0" fieldPosition="0">
        <references count="4">
          <reference field="1" count="1" selected="0">
            <x v="1"/>
          </reference>
          <reference field="5" count="1" selected="0">
            <x v="6"/>
          </reference>
          <reference field="11" count="1" selected="0">
            <x v="208"/>
          </reference>
          <reference field="12" count="1">
            <x v="208"/>
          </reference>
        </references>
      </pivotArea>
    </format>
    <format dxfId="1891">
      <pivotArea dataOnly="0" labelOnly="1" outline="0" fieldPosition="0">
        <references count="4">
          <reference field="1" count="1" selected="0">
            <x v="1"/>
          </reference>
          <reference field="5" count="1" selected="0">
            <x v="6"/>
          </reference>
          <reference field="11" count="1" selected="0">
            <x v="221"/>
          </reference>
          <reference field="12" count="1">
            <x v="229"/>
          </reference>
        </references>
      </pivotArea>
    </format>
    <format dxfId="1890">
      <pivotArea dataOnly="0" labelOnly="1" outline="0" fieldPosition="0">
        <references count="4">
          <reference field="1" count="1" selected="0">
            <x v="1"/>
          </reference>
          <reference field="5" count="1" selected="0">
            <x v="6"/>
          </reference>
          <reference field="11" count="1" selected="0">
            <x v="239"/>
          </reference>
          <reference field="12" count="1">
            <x v="241"/>
          </reference>
        </references>
      </pivotArea>
    </format>
    <format dxfId="1889">
      <pivotArea dataOnly="0" labelOnly="1" outline="0" fieldPosition="0">
        <references count="4">
          <reference field="1" count="1" selected="0">
            <x v="1"/>
          </reference>
          <reference field="5" count="1" selected="0">
            <x v="6"/>
          </reference>
          <reference field="11" count="1" selected="0">
            <x v="241"/>
          </reference>
          <reference field="12" count="1">
            <x v="244"/>
          </reference>
        </references>
      </pivotArea>
    </format>
    <format dxfId="1888">
      <pivotArea dataOnly="0" labelOnly="1" outline="0" fieldPosition="0">
        <references count="4">
          <reference field="1" count="1" selected="0">
            <x v="1"/>
          </reference>
          <reference field="5" count="1" selected="0">
            <x v="6"/>
          </reference>
          <reference field="11" count="1" selected="0">
            <x v="244"/>
          </reference>
          <reference field="12" count="1">
            <x v="249"/>
          </reference>
        </references>
      </pivotArea>
    </format>
    <format dxfId="1887">
      <pivotArea dataOnly="0" labelOnly="1" outline="0" fieldPosition="0">
        <references count="4">
          <reference field="1" count="1" selected="0">
            <x v="1"/>
          </reference>
          <reference field="5" count="1" selected="0">
            <x v="6"/>
          </reference>
          <reference field="11" count="1" selected="0">
            <x v="248"/>
          </reference>
          <reference field="12" count="1">
            <x v="251"/>
          </reference>
        </references>
      </pivotArea>
    </format>
    <format dxfId="1886">
      <pivotArea dataOnly="0" labelOnly="1" outline="0" fieldPosition="0">
        <references count="4">
          <reference field="1" count="1" selected="0">
            <x v="1"/>
          </reference>
          <reference field="5" count="1" selected="0">
            <x v="9"/>
          </reference>
          <reference field="11" count="1" selected="0">
            <x v="95"/>
          </reference>
          <reference field="12" count="1">
            <x v="198"/>
          </reference>
        </references>
      </pivotArea>
    </format>
    <format dxfId="1885">
      <pivotArea dataOnly="0" labelOnly="1" outline="0" fieldPosition="0">
        <references count="4">
          <reference field="1" count="1" selected="0">
            <x v="1"/>
          </reference>
          <reference field="5" count="1" selected="0">
            <x v="9"/>
          </reference>
          <reference field="11" count="1" selected="0">
            <x v="96"/>
          </reference>
          <reference field="12" count="1">
            <x v="213"/>
          </reference>
        </references>
      </pivotArea>
    </format>
    <format dxfId="1884">
      <pivotArea dataOnly="0" labelOnly="1" outline="0" fieldPosition="0">
        <references count="4">
          <reference field="1" count="1" selected="0">
            <x v="1"/>
          </reference>
          <reference field="5" count="1" selected="0">
            <x v="9"/>
          </reference>
          <reference field="11" count="1" selected="0">
            <x v="246"/>
          </reference>
          <reference field="12" count="1">
            <x v="246"/>
          </reference>
        </references>
      </pivotArea>
    </format>
    <format dxfId="1883">
      <pivotArea dataOnly="0" labelOnly="1" outline="0" fieldPosition="0">
        <references count="4">
          <reference field="1" count="1" selected="0">
            <x v="1"/>
          </reference>
          <reference field="5" count="1" selected="0">
            <x v="13"/>
          </reference>
          <reference field="11" count="1" selected="0">
            <x v="39"/>
          </reference>
          <reference field="12" count="1">
            <x v="199"/>
          </reference>
        </references>
      </pivotArea>
    </format>
    <format dxfId="1882">
      <pivotArea dataOnly="0" labelOnly="1" outline="0" fieldPosition="0">
        <references count="4">
          <reference field="1" count="1" selected="0">
            <x v="1"/>
          </reference>
          <reference field="5" count="1" selected="0">
            <x v="13"/>
          </reference>
          <reference field="11" count="1" selected="0">
            <x v="40"/>
          </reference>
          <reference field="12" count="1">
            <x v="209"/>
          </reference>
        </references>
      </pivotArea>
    </format>
    <format dxfId="1881">
      <pivotArea dataOnly="0" labelOnly="1" outline="0" fieldPosition="0">
        <references count="4">
          <reference field="1" count="1" selected="0">
            <x v="1"/>
          </reference>
          <reference field="5" count="1" selected="0">
            <x v="13"/>
          </reference>
          <reference field="11" count="1" selected="0">
            <x v="120"/>
          </reference>
          <reference field="12" count="1">
            <x v="195"/>
          </reference>
        </references>
      </pivotArea>
    </format>
    <format dxfId="1880">
      <pivotArea dataOnly="0" labelOnly="1" outline="0" fieldPosition="0">
        <references count="4">
          <reference field="1" count="1" selected="0">
            <x v="1"/>
          </reference>
          <reference field="5" count="1" selected="0">
            <x v="13"/>
          </reference>
          <reference field="11" count="1" selected="0">
            <x v="136"/>
          </reference>
          <reference field="12" count="1">
            <x v="200"/>
          </reference>
        </references>
      </pivotArea>
    </format>
    <format dxfId="1879">
      <pivotArea dataOnly="0" labelOnly="1" outline="0" fieldPosition="0">
        <references count="4">
          <reference field="1" count="1" selected="0">
            <x v="1"/>
          </reference>
          <reference field="5" count="1" selected="0">
            <x v="13"/>
          </reference>
          <reference field="11" count="1" selected="0">
            <x v="214"/>
          </reference>
          <reference field="12" count="1">
            <x v="222"/>
          </reference>
        </references>
      </pivotArea>
    </format>
    <format dxfId="1878">
      <pivotArea dataOnly="0" labelOnly="1" outline="0" fieldPosition="0">
        <references count="4">
          <reference field="1" count="1" selected="0">
            <x v="1"/>
          </reference>
          <reference field="5" count="1" selected="0">
            <x v="13"/>
          </reference>
          <reference field="11" count="1" selected="0">
            <x v="217"/>
          </reference>
          <reference field="12" count="1">
            <x v="226"/>
          </reference>
        </references>
      </pivotArea>
    </format>
    <format dxfId="1877">
      <pivotArea dataOnly="0" labelOnly="1" outline="0" fieldPosition="0">
        <references count="4">
          <reference field="1" count="1" selected="0">
            <x v="1"/>
          </reference>
          <reference field="5" count="1" selected="0">
            <x v="15"/>
          </reference>
          <reference field="11" count="1" selected="0">
            <x v="130"/>
          </reference>
          <reference field="12" count="1">
            <x v="194"/>
          </reference>
        </references>
      </pivotArea>
    </format>
    <format dxfId="1876">
      <pivotArea dataOnly="0" labelOnly="1" outline="0" fieldPosition="0">
        <references count="4">
          <reference field="1" count="1" selected="0">
            <x v="1"/>
          </reference>
          <reference field="5" count="1" selected="0">
            <x v="15"/>
          </reference>
          <reference field="11" count="1" selected="0">
            <x v="131"/>
          </reference>
          <reference field="12" count="1">
            <x v="191"/>
          </reference>
        </references>
      </pivotArea>
    </format>
    <format dxfId="1875">
      <pivotArea dataOnly="0" labelOnly="1" outline="0" fieldPosition="0">
        <references count="4">
          <reference field="1" count="1" selected="0">
            <x v="1"/>
          </reference>
          <reference field="5" count="1" selected="0">
            <x v="15"/>
          </reference>
          <reference field="11" count="1" selected="0">
            <x v="132"/>
          </reference>
          <reference field="12" count="1">
            <x v="193"/>
          </reference>
        </references>
      </pivotArea>
    </format>
    <format dxfId="1874">
      <pivotArea dataOnly="0" labelOnly="1" outline="0" fieldPosition="0">
        <references count="4">
          <reference field="1" count="1" selected="0">
            <x v="1"/>
          </reference>
          <reference field="5" count="1" selected="0">
            <x v="15"/>
          </reference>
          <reference field="11" count="1" selected="0">
            <x v="215"/>
          </reference>
          <reference field="12" count="1">
            <x v="223"/>
          </reference>
        </references>
      </pivotArea>
    </format>
    <format dxfId="1873">
      <pivotArea dataOnly="0" labelOnly="1" outline="0" fieldPosition="0">
        <references count="4">
          <reference field="1" count="1" selected="0">
            <x v="1"/>
          </reference>
          <reference field="5" count="1" selected="0">
            <x v="15"/>
          </reference>
          <reference field="11" count="1" selected="0">
            <x v="219"/>
          </reference>
          <reference field="12" count="1">
            <x v="224"/>
          </reference>
        </references>
      </pivotArea>
    </format>
    <format dxfId="1872">
      <pivotArea dataOnly="0" labelOnly="1" outline="0" fieldPosition="0">
        <references count="4">
          <reference field="1" count="1" selected="0">
            <x v="1"/>
          </reference>
          <reference field="5" count="1" selected="0">
            <x v="15"/>
          </reference>
          <reference field="11" count="1" selected="0">
            <x v="242"/>
          </reference>
          <reference field="12" count="1">
            <x v="247"/>
          </reference>
        </references>
      </pivotArea>
    </format>
    <format dxfId="1871">
      <pivotArea dataOnly="0" labelOnly="1" outline="0" fieldPosition="0">
        <references count="4">
          <reference field="1" count="1" selected="0">
            <x v="1"/>
          </reference>
          <reference field="5" count="1" selected="0">
            <x v="15"/>
          </reference>
          <reference field="11" count="1" selected="0">
            <x v="243"/>
          </reference>
          <reference field="12" count="1">
            <x v="248"/>
          </reference>
        </references>
      </pivotArea>
    </format>
    <format dxfId="1870">
      <pivotArea dataOnly="0" labelOnly="1" outline="0" fieldPosition="0">
        <references count="4">
          <reference field="1" count="1" selected="0">
            <x v="1"/>
          </reference>
          <reference field="5" count="1" selected="0">
            <x v="16"/>
          </reference>
          <reference field="11" count="1" selected="0">
            <x v="142"/>
          </reference>
          <reference field="12" count="1">
            <x v="202"/>
          </reference>
        </references>
      </pivotArea>
    </format>
    <format dxfId="1869">
      <pivotArea dataOnly="0" labelOnly="1" outline="0" fieldPosition="0">
        <references count="4">
          <reference field="1" count="1" selected="0">
            <x v="1"/>
          </reference>
          <reference field="5" count="1" selected="0">
            <x v="16"/>
          </reference>
          <reference field="11" count="1" selected="0">
            <x v="143"/>
          </reference>
          <reference field="12" count="1">
            <x v="214"/>
          </reference>
        </references>
      </pivotArea>
    </format>
    <format dxfId="1868">
      <pivotArea dataOnly="0" labelOnly="1" outline="0" fieldPosition="0">
        <references count="4">
          <reference field="1" count="1" selected="0">
            <x v="1"/>
          </reference>
          <reference field="5" count="1" selected="0">
            <x v="16"/>
          </reference>
          <reference field="11" count="1" selected="0">
            <x v="245"/>
          </reference>
          <reference field="12" count="1">
            <x v="245"/>
          </reference>
        </references>
      </pivotArea>
    </format>
    <format dxfId="1867">
      <pivotArea dataOnly="0" labelOnly="1" outline="0" fieldPosition="0">
        <references count="5">
          <reference field="1" count="1" selected="0">
            <x v="0"/>
          </reference>
          <reference field="5" count="1" selected="0">
            <x v="0"/>
          </reference>
          <reference field="11" count="1" selected="0">
            <x v="3"/>
          </reference>
          <reference field="12" count="1" selected="0">
            <x v="49"/>
          </reference>
          <reference field="21" count="1">
            <x v="0"/>
          </reference>
        </references>
      </pivotArea>
    </format>
    <format dxfId="1866">
      <pivotArea dataOnly="0" labelOnly="1" outline="0" fieldPosition="0">
        <references count="5">
          <reference field="1" count="1" selected="0">
            <x v="0"/>
          </reference>
          <reference field="5" count="1" selected="0">
            <x v="0"/>
          </reference>
          <reference field="11" count="1" selected="0">
            <x v="38"/>
          </reference>
          <reference field="12" count="1" selected="0">
            <x v="137"/>
          </reference>
          <reference field="21" count="1">
            <x v="1"/>
          </reference>
        </references>
      </pivotArea>
    </format>
    <format dxfId="1865">
      <pivotArea dataOnly="0" labelOnly="1" outline="0" fieldPosition="0">
        <references count="5">
          <reference field="1" count="1" selected="0">
            <x v="0"/>
          </reference>
          <reference field="5" count="1" selected="0">
            <x v="0"/>
          </reference>
          <reference field="11" count="1" selected="0">
            <x v="43"/>
          </reference>
          <reference field="12" count="1" selected="0">
            <x v="51"/>
          </reference>
          <reference field="21" count="1">
            <x v="0"/>
          </reference>
        </references>
      </pivotArea>
    </format>
    <format dxfId="1864">
      <pivotArea dataOnly="0" labelOnly="1" outline="0" fieldPosition="0">
        <references count="5">
          <reference field="1" count="1" selected="0">
            <x v="0"/>
          </reference>
          <reference field="5" count="1" selected="0">
            <x v="1"/>
          </reference>
          <reference field="11" count="1" selected="0">
            <x v="21"/>
          </reference>
          <reference field="12" count="1" selected="0">
            <x v="41"/>
          </reference>
          <reference field="21" count="1">
            <x v="0"/>
          </reference>
        </references>
      </pivotArea>
    </format>
    <format dxfId="1863">
      <pivotArea dataOnly="0" labelOnly="1" outline="0" fieldPosition="0">
        <references count="5">
          <reference field="1" count="1" selected="0">
            <x v="0"/>
          </reference>
          <reference field="5" count="1" selected="0">
            <x v="1"/>
          </reference>
          <reference field="11" count="1" selected="0">
            <x v="59"/>
          </reference>
          <reference field="12" count="1" selected="0">
            <x v="44"/>
          </reference>
          <reference field="21" count="1">
            <x v="1"/>
          </reference>
        </references>
      </pivotArea>
    </format>
    <format dxfId="1862">
      <pivotArea dataOnly="0" labelOnly="1" outline="0" fieldPosition="0">
        <references count="5">
          <reference field="1" count="1" selected="0">
            <x v="0"/>
          </reference>
          <reference field="5" count="1" selected="0">
            <x v="1"/>
          </reference>
          <reference field="11" count="1" selected="0">
            <x v="65"/>
          </reference>
          <reference field="12" count="1" selected="0">
            <x v="165"/>
          </reference>
          <reference field="21" count="1">
            <x v="0"/>
          </reference>
        </references>
      </pivotArea>
    </format>
    <format dxfId="1861">
      <pivotArea dataOnly="0" labelOnly="1" outline="0" fieldPosition="0">
        <references count="5">
          <reference field="1" count="1" selected="0">
            <x v="0"/>
          </reference>
          <reference field="5" count="1" selected="0">
            <x v="2"/>
          </reference>
          <reference field="11" count="1" selected="0">
            <x v="1"/>
          </reference>
          <reference field="12" count="1" selected="0">
            <x v="150"/>
          </reference>
          <reference field="21" count="1">
            <x v="0"/>
          </reference>
        </references>
      </pivotArea>
    </format>
    <format dxfId="1860">
      <pivotArea dataOnly="0" labelOnly="1" outline="0" fieldPosition="0">
        <references count="5">
          <reference field="1" count="1" selected="0">
            <x v="0"/>
          </reference>
          <reference field="5" count="1" selected="0">
            <x v="5"/>
          </reference>
          <reference field="11" count="1" selected="0">
            <x v="56"/>
          </reference>
          <reference field="12" count="1" selected="0">
            <x v="73"/>
          </reference>
          <reference field="21" count="1">
            <x v="0"/>
          </reference>
        </references>
      </pivotArea>
    </format>
    <format dxfId="1859">
      <pivotArea dataOnly="0" labelOnly="1" outline="0" fieldPosition="0">
        <references count="5">
          <reference field="1" count="1" selected="0">
            <x v="0"/>
          </reference>
          <reference field="5" count="1" selected="0">
            <x v="8"/>
          </reference>
          <reference field="11" count="1" selected="0">
            <x v="18"/>
          </reference>
          <reference field="12" count="1" selected="0">
            <x v="121"/>
          </reference>
          <reference field="21" count="1">
            <x v="0"/>
          </reference>
        </references>
      </pivotArea>
    </format>
    <format dxfId="1858">
      <pivotArea dataOnly="0" labelOnly="1" outline="0" fieldPosition="0">
        <references count="5">
          <reference field="1" count="1" selected="0">
            <x v="0"/>
          </reference>
          <reference field="5" count="1" selected="0">
            <x v="8"/>
          </reference>
          <reference field="11" count="1" selected="0">
            <x v="38"/>
          </reference>
          <reference field="12" count="1" selected="0">
            <x v="166"/>
          </reference>
          <reference field="21" count="1">
            <x v="1"/>
          </reference>
        </references>
      </pivotArea>
    </format>
    <format dxfId="1857">
      <pivotArea dataOnly="0" labelOnly="1" outline="0" fieldPosition="0">
        <references count="5">
          <reference field="1" count="1" selected="0">
            <x v="0"/>
          </reference>
          <reference field="5" count="1" selected="0">
            <x v="8"/>
          </reference>
          <reference field="11" count="1" selected="0">
            <x v="60"/>
          </reference>
          <reference field="12" count="1" selected="0">
            <x v="120"/>
          </reference>
          <reference field="21" count="1">
            <x v="0"/>
          </reference>
        </references>
      </pivotArea>
    </format>
    <format dxfId="1856">
      <pivotArea dataOnly="0" labelOnly="1" outline="0" fieldPosition="0">
        <references count="5">
          <reference field="1" count="1" selected="0">
            <x v="0"/>
          </reference>
          <reference field="5" count="1" selected="0">
            <x v="8"/>
          </reference>
          <reference field="11" count="1" selected="0">
            <x v="92"/>
          </reference>
          <reference field="12" count="1" selected="0">
            <x v="125"/>
          </reference>
          <reference field="21" count="1">
            <x v="1"/>
          </reference>
        </references>
      </pivotArea>
    </format>
    <format dxfId="1855">
      <pivotArea dataOnly="0" labelOnly="1" outline="0" fieldPosition="0">
        <references count="5">
          <reference field="1" count="1" selected="0">
            <x v="0"/>
          </reference>
          <reference field="5" count="1" selected="0">
            <x v="8"/>
          </reference>
          <reference field="11" count="1" selected="0">
            <x v="98"/>
          </reference>
          <reference field="12" count="1" selected="0">
            <x v="65"/>
          </reference>
          <reference field="21" count="1">
            <x v="0"/>
          </reference>
        </references>
      </pivotArea>
    </format>
    <format dxfId="1854">
      <pivotArea dataOnly="0" labelOnly="1" outline="0" fieldPosition="0">
        <references count="5">
          <reference field="1" count="1" selected="0">
            <x v="0"/>
          </reference>
          <reference field="5" count="1" selected="0">
            <x v="10"/>
          </reference>
          <reference field="11" count="1" selected="0">
            <x v="55"/>
          </reference>
          <reference field="12" count="1" selected="0">
            <x v="76"/>
          </reference>
          <reference field="21" count="1">
            <x v="0"/>
          </reference>
        </references>
      </pivotArea>
    </format>
    <format dxfId="1853">
      <pivotArea dataOnly="0" labelOnly="1" outline="0" fieldPosition="0">
        <references count="5">
          <reference field="1" count="1" selected="0">
            <x v="0"/>
          </reference>
          <reference field="5" count="1" selected="0">
            <x v="10"/>
          </reference>
          <reference field="11" count="1" selected="0">
            <x v="233"/>
          </reference>
          <reference field="12" count="1" selected="0">
            <x v="235"/>
          </reference>
          <reference field="21" count="1">
            <x v="1"/>
          </reference>
        </references>
      </pivotArea>
    </format>
    <format dxfId="1852">
      <pivotArea dataOnly="0" labelOnly="1" outline="0" fieldPosition="0">
        <references count="5">
          <reference field="1" count="1" selected="0">
            <x v="0"/>
          </reference>
          <reference field="5" count="1" selected="0">
            <x v="10"/>
          </reference>
          <reference field="11" count="1" selected="0">
            <x v="234"/>
          </reference>
          <reference field="12" count="1" selected="0">
            <x v="236"/>
          </reference>
          <reference field="21" count="1">
            <x v="0"/>
          </reference>
        </references>
      </pivotArea>
    </format>
    <format dxfId="1851">
      <pivotArea dataOnly="0" labelOnly="1" outline="0" fieldPosition="0">
        <references count="5">
          <reference field="1" count="1" selected="0">
            <x v="0"/>
          </reference>
          <reference field="5" count="1" selected="0">
            <x v="11"/>
          </reference>
          <reference field="11" count="1" selected="0">
            <x v="152"/>
          </reference>
          <reference field="12" count="1" selected="0">
            <x v="133"/>
          </reference>
          <reference field="21" count="1">
            <x v="0"/>
          </reference>
        </references>
      </pivotArea>
    </format>
    <format dxfId="1850">
      <pivotArea dataOnly="0" labelOnly="1" outline="0" fieldPosition="0">
        <references count="5">
          <reference field="1" count="1" selected="0">
            <x v="0"/>
          </reference>
          <reference field="5" count="1" selected="0">
            <x v="11"/>
          </reference>
          <reference field="11" count="1" selected="0">
            <x v="223"/>
          </reference>
          <reference field="12" count="1" selected="0">
            <x v="231"/>
          </reference>
          <reference field="21" count="1">
            <x v="1"/>
          </reference>
        </references>
      </pivotArea>
    </format>
    <format dxfId="1849">
      <pivotArea dataOnly="0" labelOnly="1" outline="0" fieldPosition="0">
        <references count="5">
          <reference field="1" count="1" selected="0">
            <x v="0"/>
          </reference>
          <reference field="5" count="1" selected="0">
            <x v="12"/>
          </reference>
          <reference field="11" count="1" selected="0">
            <x v="27"/>
          </reference>
          <reference field="12" count="1" selected="0">
            <x v="118"/>
          </reference>
          <reference field="21" count="1">
            <x v="0"/>
          </reference>
        </references>
      </pivotArea>
    </format>
    <format dxfId="1848">
      <pivotArea dataOnly="0" labelOnly="1" outline="0" fieldPosition="0">
        <references count="5">
          <reference field="1" count="1" selected="0">
            <x v="0"/>
          </reference>
          <reference field="5" count="1" selected="0">
            <x v="12"/>
          </reference>
          <reference field="11" count="1" selected="0">
            <x v="38"/>
          </reference>
          <reference field="12" count="1" selected="0">
            <x v="167"/>
          </reference>
          <reference field="21" count="1">
            <x v="1"/>
          </reference>
        </references>
      </pivotArea>
    </format>
    <format dxfId="1847">
      <pivotArea dataOnly="0" labelOnly="1" outline="0" fieldPosition="0">
        <references count="5">
          <reference field="1" count="1" selected="0">
            <x v="0"/>
          </reference>
          <reference field="5" count="1" selected="0">
            <x v="12"/>
          </reference>
          <reference field="11" count="1" selected="0">
            <x v="42"/>
          </reference>
          <reference field="12" count="1" selected="0">
            <x v="117"/>
          </reference>
          <reference field="21" count="1">
            <x v="0"/>
          </reference>
        </references>
      </pivotArea>
    </format>
    <format dxfId="1846">
      <pivotArea dataOnly="0" labelOnly="1" outline="0" fieldPosition="0">
        <references count="5">
          <reference field="1" count="1" selected="0">
            <x v="0"/>
          </reference>
          <reference field="5" count="1" selected="0">
            <x v="12"/>
          </reference>
          <reference field="11" count="1" selected="0">
            <x v="50"/>
          </reference>
          <reference field="12" count="1" selected="0">
            <x v="170"/>
          </reference>
          <reference field="21" count="1">
            <x v="1"/>
          </reference>
        </references>
      </pivotArea>
    </format>
    <format dxfId="1845">
      <pivotArea dataOnly="0" labelOnly="1" outline="0" fieldPosition="0">
        <references count="5">
          <reference field="1" count="1" selected="0">
            <x v="0"/>
          </reference>
          <reference field="5" count="1" selected="0">
            <x v="12"/>
          </reference>
          <reference field="11" count="1" selected="0">
            <x v="69"/>
          </reference>
          <reference field="12" count="1" selected="0">
            <x v="70"/>
          </reference>
          <reference field="21" count="1">
            <x v="0"/>
          </reference>
        </references>
      </pivotArea>
    </format>
    <format dxfId="1844">
      <pivotArea dataOnly="0" labelOnly="1" outline="0" fieldPosition="0">
        <references count="5">
          <reference field="1" count="1" selected="0">
            <x v="0"/>
          </reference>
          <reference field="5" count="1" selected="0">
            <x v="12"/>
          </reference>
          <reference field="11" count="1" selected="0">
            <x v="77"/>
          </reference>
          <reference field="12" count="1" selected="0">
            <x v="63"/>
          </reference>
          <reference field="21" count="1">
            <x v="1"/>
          </reference>
        </references>
      </pivotArea>
    </format>
    <format dxfId="1843">
      <pivotArea dataOnly="0" labelOnly="1" outline="0" fieldPosition="0">
        <references count="5">
          <reference field="1" count="1" selected="0">
            <x v="0"/>
          </reference>
          <reference field="5" count="1" selected="0">
            <x v="12"/>
          </reference>
          <reference field="11" count="1" selected="0">
            <x v="84"/>
          </reference>
          <reference field="12" count="1" selected="0">
            <x v="61"/>
          </reference>
          <reference field="21" count="1">
            <x v="0"/>
          </reference>
        </references>
      </pivotArea>
    </format>
    <format dxfId="1842">
      <pivotArea dataOnly="0" labelOnly="1" outline="0" fieldPosition="0">
        <references count="5">
          <reference field="1" count="1" selected="0">
            <x v="0"/>
          </reference>
          <reference field="5" count="1" selected="0">
            <x v="12"/>
          </reference>
          <reference field="11" count="1" selected="0">
            <x v="88"/>
          </reference>
          <reference field="12" count="1" selected="0">
            <x v="62"/>
          </reference>
          <reference field="21" count="1">
            <x v="1"/>
          </reference>
        </references>
      </pivotArea>
    </format>
    <format dxfId="1841">
      <pivotArea dataOnly="0" labelOnly="1" outline="0" fieldPosition="0">
        <references count="5">
          <reference field="1" count="1" selected="0">
            <x v="0"/>
          </reference>
          <reference field="5" count="1" selected="0">
            <x v="12"/>
          </reference>
          <reference field="11" count="1" selected="0">
            <x v="117"/>
          </reference>
          <reference field="12" count="1" selected="0">
            <x v="55"/>
          </reference>
          <reference field="21" count="1">
            <x v="0"/>
          </reference>
        </references>
      </pivotArea>
    </format>
    <format dxfId="1840">
      <pivotArea dataOnly="0" labelOnly="1" outline="0" fieldPosition="0">
        <references count="5">
          <reference field="1" count="1" selected="0">
            <x v="0"/>
          </reference>
          <reference field="5" count="1" selected="0">
            <x v="12"/>
          </reference>
          <reference field="11" count="1" selected="0">
            <x v="128"/>
          </reference>
          <reference field="12" count="1" selected="0">
            <x v="60"/>
          </reference>
          <reference field="21" count="1">
            <x v="1"/>
          </reference>
        </references>
      </pivotArea>
    </format>
    <format dxfId="1839">
      <pivotArea dataOnly="0" labelOnly="1" outline="0" fieldPosition="0">
        <references count="5">
          <reference field="1" count="1" selected="0">
            <x v="0"/>
          </reference>
          <reference field="5" count="1" selected="0">
            <x v="12"/>
          </reference>
          <reference field="11" count="1" selected="0">
            <x v="155"/>
          </reference>
          <reference field="12" count="1" selected="0">
            <x v="122"/>
          </reference>
          <reference field="21" count="1">
            <x v="0"/>
          </reference>
        </references>
      </pivotArea>
    </format>
    <format dxfId="1838">
      <pivotArea dataOnly="0" labelOnly="1" outline="0" fieldPosition="0">
        <references count="5">
          <reference field="1" count="1" selected="0">
            <x v="0"/>
          </reference>
          <reference field="5" count="1" selected="0">
            <x v="12"/>
          </reference>
          <reference field="11" count="1" selected="0">
            <x v="164"/>
          </reference>
          <reference field="12" count="1" selected="0">
            <x v="64"/>
          </reference>
          <reference field="21" count="1">
            <x v="1"/>
          </reference>
        </references>
      </pivotArea>
    </format>
    <format dxfId="1837">
      <pivotArea dataOnly="0" labelOnly="1" outline="0" fieldPosition="0">
        <references count="5">
          <reference field="1" count="1" selected="0">
            <x v="0"/>
          </reference>
          <reference field="5" count="1" selected="0">
            <x v="12"/>
          </reference>
          <reference field="11" count="1" selected="0">
            <x v="175"/>
          </reference>
          <reference field="12" count="1" selected="0">
            <x v="72"/>
          </reference>
          <reference field="21" count="1">
            <x v="0"/>
          </reference>
        </references>
      </pivotArea>
    </format>
    <format dxfId="1836">
      <pivotArea dataOnly="0" labelOnly="1" outline="0" fieldPosition="0">
        <references count="5">
          <reference field="1" count="1" selected="0">
            <x v="0"/>
          </reference>
          <reference field="5" count="1" selected="0">
            <x v="12"/>
          </reference>
          <reference field="11" count="1" selected="0">
            <x v="188"/>
          </reference>
          <reference field="12" count="1" selected="0">
            <x v="59"/>
          </reference>
          <reference field="21" count="1">
            <x v="1"/>
          </reference>
        </references>
      </pivotArea>
    </format>
    <format dxfId="1835">
      <pivotArea dataOnly="0" labelOnly="1" outline="0" fieldPosition="0">
        <references count="5">
          <reference field="1" count="1" selected="0">
            <x v="0"/>
          </reference>
          <reference field="5" count="1" selected="0">
            <x v="12"/>
          </reference>
          <reference field="11" count="1" selected="0">
            <x v="238"/>
          </reference>
          <reference field="12" count="1" selected="0">
            <x v="240"/>
          </reference>
          <reference field="21" count="1">
            <x v="2"/>
          </reference>
        </references>
      </pivotArea>
    </format>
    <format dxfId="1834">
      <pivotArea dataOnly="0" labelOnly="1" outline="0" fieldPosition="0">
        <references count="5">
          <reference field="1" count="1" selected="0">
            <x v="0"/>
          </reference>
          <reference field="5" count="1" selected="0">
            <x v="14"/>
          </reference>
          <reference field="11" count="1" selected="0">
            <x v="24"/>
          </reference>
          <reference field="12" count="1" selected="0">
            <x v="11"/>
          </reference>
          <reference field="21" count="1">
            <x v="0"/>
          </reference>
        </references>
      </pivotArea>
    </format>
    <format dxfId="1833">
      <pivotArea dataOnly="0" labelOnly="1" outline="0" fieldPosition="0">
        <references count="5">
          <reference field="1" count="1" selected="0">
            <x v="0"/>
          </reference>
          <reference field="5" count="1" selected="0">
            <x v="17"/>
          </reference>
          <reference field="11" count="1" selected="0">
            <x v="196"/>
          </reference>
          <reference field="12" count="1" selected="0">
            <x v="74"/>
          </reference>
          <reference field="21" count="1">
            <x v="1"/>
          </reference>
        </references>
      </pivotArea>
    </format>
    <format dxfId="1832">
      <pivotArea dataOnly="0" labelOnly="1" outline="0" fieldPosition="0">
        <references count="5">
          <reference field="1" count="1" selected="0">
            <x v="0"/>
          </reference>
          <reference field="5" count="1" selected="0">
            <x v="17"/>
          </reference>
          <reference field="11" count="1" selected="0">
            <x v="231"/>
          </reference>
          <reference field="12" count="1" selected="0">
            <x v="234"/>
          </reference>
          <reference field="21" count="1">
            <x v="0"/>
          </reference>
        </references>
      </pivotArea>
    </format>
    <format dxfId="1831">
      <pivotArea dataOnly="0" labelOnly="1" outline="0" fieldPosition="0">
        <references count="5">
          <reference field="1" count="1" selected="0">
            <x v="0"/>
          </reference>
          <reference field="5" count="1" selected="0">
            <x v="18"/>
          </reference>
          <reference field="11" count="1" selected="0">
            <x v="38"/>
          </reference>
          <reference field="12" count="1" selected="0">
            <x v="169"/>
          </reference>
          <reference field="21" count="1">
            <x v="1"/>
          </reference>
        </references>
      </pivotArea>
    </format>
    <format dxfId="1830">
      <pivotArea dataOnly="0" labelOnly="1" outline="0" fieldPosition="0">
        <references count="5">
          <reference field="1" count="1" selected="0">
            <x v="0"/>
          </reference>
          <reference field="5" count="1" selected="0">
            <x v="18"/>
          </reference>
          <reference field="11" count="1" selected="0">
            <x v="179"/>
          </reference>
          <reference field="12" count="1" selected="0">
            <x v="66"/>
          </reference>
          <reference field="21" count="1">
            <x v="0"/>
          </reference>
        </references>
      </pivotArea>
    </format>
    <format dxfId="1829">
      <pivotArea dataOnly="0" labelOnly="1" outline="0" fieldPosition="0">
        <references count="5">
          <reference field="1" count="1" selected="0">
            <x v="0"/>
          </reference>
          <reference field="5" count="1" selected="0">
            <x v="19"/>
          </reference>
          <reference field="11" count="1" selected="0">
            <x v="185"/>
          </reference>
          <reference field="12" count="1" selected="0">
            <x v="175"/>
          </reference>
          <reference field="21" count="1">
            <x v="0"/>
          </reference>
        </references>
      </pivotArea>
    </format>
    <format dxfId="1828">
      <pivotArea dataOnly="0" labelOnly="1" outline="0" fieldPosition="0">
        <references count="5">
          <reference field="1" count="1" selected="0">
            <x v="0"/>
          </reference>
          <reference field="5" count="1" selected="0">
            <x v="20"/>
          </reference>
          <reference field="11" count="1" selected="0">
            <x v="17"/>
          </reference>
          <reference field="12" count="1" selected="0">
            <x v="108"/>
          </reference>
          <reference field="21" count="1">
            <x v="0"/>
          </reference>
        </references>
      </pivotArea>
    </format>
    <format dxfId="1827">
      <pivotArea dataOnly="0" labelOnly="1" outline="0" fieldPosition="0">
        <references count="5">
          <reference field="1" count="1" selected="0">
            <x v="0"/>
          </reference>
          <reference field="5" count="1" selected="0">
            <x v="20"/>
          </reference>
          <reference field="11" count="1" selected="0">
            <x v="44"/>
          </reference>
          <reference field="12" count="1" selected="0">
            <x v="176"/>
          </reference>
          <reference field="21" count="1">
            <x v="2"/>
          </reference>
        </references>
      </pivotArea>
    </format>
    <format dxfId="1826">
      <pivotArea dataOnly="0" labelOnly="1" outline="0" fieldPosition="0">
        <references count="5">
          <reference field="1" count="1" selected="0">
            <x v="0"/>
          </reference>
          <reference field="5" count="1" selected="0">
            <x v="20"/>
          </reference>
          <reference field="11" count="1" selected="0">
            <x v="48"/>
          </reference>
          <reference field="12" count="1" selected="0">
            <x v="116"/>
          </reference>
          <reference field="21" count="1">
            <x v="0"/>
          </reference>
        </references>
      </pivotArea>
    </format>
    <format dxfId="1825">
      <pivotArea dataOnly="0" labelOnly="1" outline="0" fieldPosition="0">
        <references count="5">
          <reference field="1" count="1" selected="0">
            <x v="1"/>
          </reference>
          <reference field="5" count="1" selected="0">
            <x v="3"/>
          </reference>
          <reference field="11" count="1" selected="0">
            <x v="148"/>
          </reference>
          <reference field="12" count="1" selected="0">
            <x v="212"/>
          </reference>
          <reference field="21" count="1">
            <x v="1"/>
          </reference>
        </references>
      </pivotArea>
    </format>
    <format dxfId="1824">
      <pivotArea dataOnly="0" labelOnly="1" outline="0" fieldPosition="0">
        <references count="5">
          <reference field="1" count="1" selected="0">
            <x v="1"/>
          </reference>
          <reference field="5" count="1" selected="0">
            <x v="3"/>
          </reference>
          <reference field="11" count="1" selected="0">
            <x v="232"/>
          </reference>
          <reference field="12" count="1" selected="0">
            <x v="233"/>
          </reference>
          <reference field="21" count="1">
            <x v="0"/>
          </reference>
        </references>
      </pivotArea>
    </format>
    <format dxfId="1823">
      <pivotArea dataOnly="0" labelOnly="1" outline="0" fieldPosition="0">
        <references count="5">
          <reference field="1" count="1" selected="0">
            <x v="1"/>
          </reference>
          <reference field="5" count="1" selected="0">
            <x v="6"/>
          </reference>
          <reference field="11" count="1" selected="0">
            <x v="51"/>
          </reference>
          <reference field="12" count="1" selected="0">
            <x v="203"/>
          </reference>
          <reference field="21" count="1">
            <x v="0"/>
          </reference>
        </references>
      </pivotArea>
    </format>
    <format dxfId="1822">
      <pivotArea dataOnly="0" labelOnly="1" outline="0" fieldPosition="0">
        <references count="5">
          <reference field="1" count="1" selected="0">
            <x v="1"/>
          </reference>
          <reference field="5" count="1" selected="0">
            <x v="9"/>
          </reference>
          <reference field="11" count="1" selected="0">
            <x v="95"/>
          </reference>
          <reference field="12" count="1" selected="0">
            <x v="198"/>
          </reference>
          <reference field="21" count="1">
            <x v="0"/>
          </reference>
        </references>
      </pivotArea>
    </format>
    <format dxfId="1821">
      <pivotArea dataOnly="0" labelOnly="1" outline="0" fieldPosition="0">
        <references count="5">
          <reference field="1" count="1" selected="0">
            <x v="1"/>
          </reference>
          <reference field="5" count="1" selected="0">
            <x v="13"/>
          </reference>
          <reference field="11" count="1" selected="0">
            <x v="39"/>
          </reference>
          <reference field="12" count="1" selected="0">
            <x v="199"/>
          </reference>
          <reference field="21" count="1">
            <x v="1"/>
          </reference>
        </references>
      </pivotArea>
    </format>
    <format dxfId="1820">
      <pivotArea dataOnly="0" labelOnly="1" outline="0" fieldPosition="0">
        <references count="5">
          <reference field="1" count="1" selected="0">
            <x v="1"/>
          </reference>
          <reference field="5" count="1" selected="0">
            <x v="13"/>
          </reference>
          <reference field="11" count="1" selected="0">
            <x v="214"/>
          </reference>
          <reference field="12" count="1" selected="0">
            <x v="222"/>
          </reference>
          <reference field="21" count="1">
            <x v="0"/>
          </reference>
        </references>
      </pivotArea>
    </format>
    <format dxfId="1819">
      <pivotArea dataOnly="0" labelOnly="1" outline="0" fieldPosition="0">
        <references count="5">
          <reference field="1" count="1" selected="0">
            <x v="1"/>
          </reference>
          <reference field="5" count="1" selected="0">
            <x v="15"/>
          </reference>
          <reference field="11" count="1" selected="0">
            <x v="130"/>
          </reference>
          <reference field="12" count="1" selected="0">
            <x v="194"/>
          </reference>
          <reference field="21" count="1">
            <x v="0"/>
          </reference>
        </references>
      </pivotArea>
    </format>
    <format dxfId="1818">
      <pivotArea dataOnly="0" labelOnly="1" outline="0" fieldPosition="0">
        <references count="5">
          <reference field="1" count="1" selected="0">
            <x v="1"/>
          </reference>
          <reference field="5" count="1" selected="0">
            <x v="16"/>
          </reference>
          <reference field="11" count="1" selected="0">
            <x v="142"/>
          </reference>
          <reference field="12" count="1" selected="0">
            <x v="202"/>
          </reference>
          <reference field="21" count="1">
            <x v="0"/>
          </reference>
        </references>
      </pivotArea>
    </format>
    <format dxfId="1817">
      <pivotArea dataOnly="0" labelOnly="1" outline="0" fieldPosition="0">
        <references count="5">
          <reference field="1" count="1" selected="0">
            <x v="1"/>
          </reference>
          <reference field="5" count="1" selected="0">
            <x v="16"/>
          </reference>
          <reference field="11" count="1" selected="0">
            <x v="143"/>
          </reference>
          <reference field="12" count="1" selected="0">
            <x v="214"/>
          </reference>
          <reference field="21" count="1">
            <x v="1"/>
          </reference>
        </references>
      </pivotArea>
    </format>
    <format dxfId="1816">
      <pivotArea dataOnly="0" labelOnly="1" outline="0" fieldPosition="0">
        <references count="5">
          <reference field="1" count="1" selected="0">
            <x v="1"/>
          </reference>
          <reference field="5" count="1" selected="0">
            <x v="16"/>
          </reference>
          <reference field="11" count="1" selected="0">
            <x v="245"/>
          </reference>
          <reference field="12" count="1" selected="0">
            <x v="245"/>
          </reference>
          <reference field="21" count="1">
            <x v="0"/>
          </reference>
        </references>
      </pivotArea>
    </format>
    <format dxfId="1815">
      <pivotArea dataOnly="0" labelOnly="1" outline="0" fieldPosition="0">
        <references count="6">
          <reference field="1" count="1" selected="0">
            <x v="0"/>
          </reference>
          <reference field="5" count="1" selected="0">
            <x v="0"/>
          </reference>
          <reference field="11" count="1" selected="0">
            <x v="3"/>
          </reference>
          <reference field="12" count="1" selected="0">
            <x v="49"/>
          </reference>
          <reference field="21" count="1" selected="0">
            <x v="0"/>
          </reference>
          <reference field="25" count="1">
            <x v="1"/>
          </reference>
        </references>
      </pivotArea>
    </format>
    <format dxfId="1814">
      <pivotArea dataOnly="0" labelOnly="1" outline="0" fieldPosition="0">
        <references count="6">
          <reference field="1" count="1" selected="0">
            <x v="0"/>
          </reference>
          <reference field="5" count="1" selected="0">
            <x v="0"/>
          </reference>
          <reference field="11" count="1" selected="0">
            <x v="7"/>
          </reference>
          <reference field="12" count="1" selected="0">
            <x v="164"/>
          </reference>
          <reference field="21" count="1" selected="0">
            <x v="0"/>
          </reference>
          <reference field="25" count="1">
            <x v="0"/>
          </reference>
        </references>
      </pivotArea>
    </format>
    <format dxfId="1813">
      <pivotArea dataOnly="0" labelOnly="1" outline="0" fieldPosition="0">
        <references count="6">
          <reference field="1" count="1" selected="0">
            <x v="0"/>
          </reference>
          <reference field="5" count="1" selected="0">
            <x v="0"/>
          </reference>
          <reference field="11" count="1" selected="0">
            <x v="38"/>
          </reference>
          <reference field="12" count="1" selected="0">
            <x v="137"/>
          </reference>
          <reference field="21" count="1" selected="0">
            <x v="1"/>
          </reference>
          <reference field="25" count="1">
            <x v="4"/>
          </reference>
        </references>
      </pivotArea>
    </format>
    <format dxfId="1812">
      <pivotArea dataOnly="0" labelOnly="1" outline="0" fieldPosition="0">
        <references count="6">
          <reference field="1" count="1" selected="0">
            <x v="0"/>
          </reference>
          <reference field="5" count="1" selected="0">
            <x v="0"/>
          </reference>
          <reference field="11" count="1" selected="0">
            <x v="43"/>
          </reference>
          <reference field="12" count="1" selected="0">
            <x v="51"/>
          </reference>
          <reference field="21" count="1" selected="0">
            <x v="0"/>
          </reference>
          <reference field="25" count="1">
            <x v="0"/>
          </reference>
        </references>
      </pivotArea>
    </format>
    <format dxfId="1811">
      <pivotArea dataOnly="0" labelOnly="1" outline="0" fieldPosition="0">
        <references count="6">
          <reference field="1" count="1" selected="0">
            <x v="0"/>
          </reference>
          <reference field="5" count="1" selected="0">
            <x v="0"/>
          </reference>
          <reference field="11" count="1" selected="0">
            <x v="68"/>
          </reference>
          <reference field="12" count="1" selected="0">
            <x v="48"/>
          </reference>
          <reference field="21" count="1" selected="0">
            <x v="0"/>
          </reference>
          <reference field="25" count="1">
            <x v="3"/>
          </reference>
        </references>
      </pivotArea>
    </format>
    <format dxfId="1810">
      <pivotArea dataOnly="0" labelOnly="1" outline="0" fieldPosition="0">
        <references count="6">
          <reference field="1" count="1" selected="0">
            <x v="0"/>
          </reference>
          <reference field="5" count="1" selected="0">
            <x v="0"/>
          </reference>
          <reference field="11" count="1" selected="0">
            <x v="145"/>
          </reference>
          <reference field="12" count="1" selected="0">
            <x v="53"/>
          </reference>
          <reference field="21" count="1" selected="0">
            <x v="0"/>
          </reference>
          <reference field="25" count="1">
            <x v="1"/>
          </reference>
        </references>
      </pivotArea>
    </format>
    <format dxfId="1809">
      <pivotArea dataOnly="0" labelOnly="1" outline="0" fieldPosition="0">
        <references count="6">
          <reference field="1" count="1" selected="0">
            <x v="0"/>
          </reference>
          <reference field="5" count="1" selected="0">
            <x v="0"/>
          </reference>
          <reference field="11" count="1" selected="0">
            <x v="163"/>
          </reference>
          <reference field="12" count="1" selected="0">
            <x v="163"/>
          </reference>
          <reference field="21" count="1" selected="0">
            <x v="0"/>
          </reference>
          <reference field="25" count="1">
            <x v="0"/>
          </reference>
        </references>
      </pivotArea>
    </format>
    <format dxfId="1808">
      <pivotArea dataOnly="0" labelOnly="1" outline="0" fieldPosition="0">
        <references count="6">
          <reference field="1" count="1" selected="0">
            <x v="0"/>
          </reference>
          <reference field="5" count="1" selected="0">
            <x v="0"/>
          </reference>
          <reference field="11" count="1" selected="0">
            <x v="186"/>
          </reference>
          <reference field="12" count="1" selected="0">
            <x v="54"/>
          </reference>
          <reference field="21" count="1" selected="0">
            <x v="0"/>
          </reference>
          <reference field="25" count="1">
            <x v="3"/>
          </reference>
        </references>
      </pivotArea>
    </format>
    <format dxfId="1807">
      <pivotArea dataOnly="0" labelOnly="1" outline="0" fieldPosition="0">
        <references count="6">
          <reference field="1" count="1" selected="0">
            <x v="0"/>
          </reference>
          <reference field="5" count="1" selected="0">
            <x v="1"/>
          </reference>
          <reference field="11" count="1" selected="0">
            <x v="21"/>
          </reference>
          <reference field="12" count="1" selected="0">
            <x v="41"/>
          </reference>
          <reference field="21" count="1" selected="0">
            <x v="0"/>
          </reference>
          <reference field="25" count="1">
            <x v="3"/>
          </reference>
        </references>
      </pivotArea>
    </format>
    <format dxfId="1806">
      <pivotArea dataOnly="0" labelOnly="1" outline="0" fieldPosition="0">
        <references count="6">
          <reference field="1" count="1" selected="0">
            <x v="0"/>
          </reference>
          <reference field="5" count="1" selected="0">
            <x v="1"/>
          </reference>
          <reference field="11" count="1" selected="0">
            <x v="41"/>
          </reference>
          <reference field="12" count="1" selected="0">
            <x v="42"/>
          </reference>
          <reference field="21" count="1" selected="0">
            <x v="0"/>
          </reference>
          <reference field="25" count="1">
            <x v="0"/>
          </reference>
        </references>
      </pivotArea>
    </format>
    <format dxfId="1805">
      <pivotArea dataOnly="0" labelOnly="1" outline="0" fieldPosition="0">
        <references count="6">
          <reference field="1" count="1" selected="0">
            <x v="0"/>
          </reference>
          <reference field="5" count="1" selected="0">
            <x v="1"/>
          </reference>
          <reference field="11" count="1" selected="0">
            <x v="59"/>
          </reference>
          <reference field="12" count="1" selected="0">
            <x v="44"/>
          </reference>
          <reference field="21" count="1" selected="0">
            <x v="1"/>
          </reference>
          <reference field="25" count="1">
            <x v="4"/>
          </reference>
        </references>
      </pivotArea>
    </format>
    <format dxfId="1804">
      <pivotArea dataOnly="0" labelOnly="1" outline="0" fieldPosition="0">
        <references count="6">
          <reference field="1" count="1" selected="0">
            <x v="0"/>
          </reference>
          <reference field="5" count="1" selected="0">
            <x v="1"/>
          </reference>
          <reference field="11" count="1" selected="0">
            <x v="65"/>
          </reference>
          <reference field="12" count="1" selected="0">
            <x v="165"/>
          </reference>
          <reference field="21" count="1" selected="0">
            <x v="0"/>
          </reference>
          <reference field="25" count="1">
            <x v="3"/>
          </reference>
        </references>
      </pivotArea>
    </format>
    <format dxfId="1803">
      <pivotArea dataOnly="0" labelOnly="1" outline="0" fieldPosition="0">
        <references count="6">
          <reference field="1" count="1" selected="0">
            <x v="0"/>
          </reference>
          <reference field="5" count="1" selected="0">
            <x v="1"/>
          </reference>
          <reference field="11" count="1" selected="0">
            <x v="161"/>
          </reference>
          <reference field="12" count="1" selected="0">
            <x v="178"/>
          </reference>
          <reference field="21" count="1" selected="0">
            <x v="0"/>
          </reference>
          <reference field="25" count="1">
            <x v="2"/>
          </reference>
        </references>
      </pivotArea>
    </format>
    <format dxfId="1802">
      <pivotArea dataOnly="0" labelOnly="1" outline="0" fieldPosition="0">
        <references count="6">
          <reference field="1" count="1" selected="0">
            <x v="0"/>
          </reference>
          <reference field="5" count="1" selected="0">
            <x v="2"/>
          </reference>
          <reference field="11" count="1" selected="0">
            <x v="1"/>
          </reference>
          <reference field="12" count="1" selected="0">
            <x v="150"/>
          </reference>
          <reference field="21" count="1" selected="0">
            <x v="0"/>
          </reference>
          <reference field="25" count="1">
            <x v="0"/>
          </reference>
        </references>
      </pivotArea>
    </format>
    <format dxfId="1801">
      <pivotArea dataOnly="0" labelOnly="1" outline="0" fieldPosition="0">
        <references count="6">
          <reference field="1" count="1" selected="0">
            <x v="0"/>
          </reference>
          <reference field="5" count="1" selected="0">
            <x v="2"/>
          </reference>
          <reference field="11" count="1" selected="0">
            <x v="2"/>
          </reference>
          <reference field="12" count="1" selected="0">
            <x v="139"/>
          </reference>
          <reference field="21" count="1" selected="0">
            <x v="0"/>
          </reference>
          <reference field="25" count="1">
            <x v="2"/>
          </reference>
        </references>
      </pivotArea>
    </format>
    <format dxfId="1800">
      <pivotArea dataOnly="0" labelOnly="1" outline="0" fieldPosition="0">
        <references count="6">
          <reference field="1" count="1" selected="0">
            <x v="0"/>
          </reference>
          <reference field="5" count="1" selected="0">
            <x v="2"/>
          </reference>
          <reference field="11" count="1" selected="0">
            <x v="4"/>
          </reference>
          <reference field="12" count="1" selected="0">
            <x v="147"/>
          </reference>
          <reference field="21" count="1" selected="0">
            <x v="0"/>
          </reference>
          <reference field="25" count="1">
            <x v="3"/>
          </reference>
        </references>
      </pivotArea>
    </format>
    <format dxfId="1799">
      <pivotArea dataOnly="0" labelOnly="1" outline="0" fieldPosition="0">
        <references count="6">
          <reference field="1" count="1" selected="0">
            <x v="0"/>
          </reference>
          <reference field="5" count="1" selected="0">
            <x v="2"/>
          </reference>
          <reference field="11" count="1" selected="0">
            <x v="13"/>
          </reference>
          <reference field="12" count="1" selected="0">
            <x v="140"/>
          </reference>
          <reference field="21" count="1" selected="0">
            <x v="0"/>
          </reference>
          <reference field="25" count="1">
            <x v="0"/>
          </reference>
        </references>
      </pivotArea>
    </format>
    <format dxfId="1798">
      <pivotArea dataOnly="0" labelOnly="1" outline="0" fieldPosition="0">
        <references count="6">
          <reference field="1" count="1" selected="0">
            <x v="0"/>
          </reference>
          <reference field="5" count="1" selected="0">
            <x v="2"/>
          </reference>
          <reference field="11" count="1" selected="0">
            <x v="19"/>
          </reference>
          <reference field="12" count="1" selected="0">
            <x v="105"/>
          </reference>
          <reference field="21" count="1" selected="0">
            <x v="0"/>
          </reference>
          <reference field="25" count="1">
            <x v="3"/>
          </reference>
        </references>
      </pivotArea>
    </format>
    <format dxfId="1797">
      <pivotArea dataOnly="0" labelOnly="1" outline="0" fieldPosition="0">
        <references count="6">
          <reference field="1" count="1" selected="0">
            <x v="0"/>
          </reference>
          <reference field="5" count="1" selected="0">
            <x v="2"/>
          </reference>
          <reference field="11" count="1" selected="0">
            <x v="35"/>
          </reference>
          <reference field="12" count="1" selected="0">
            <x v="131"/>
          </reference>
          <reference field="21" count="1" selected="0">
            <x v="0"/>
          </reference>
          <reference field="25" count="1">
            <x v="0"/>
          </reference>
        </references>
      </pivotArea>
    </format>
    <format dxfId="1796">
      <pivotArea dataOnly="0" labelOnly="1" outline="0" fieldPosition="0">
        <references count="6">
          <reference field="1" count="1" selected="0">
            <x v="0"/>
          </reference>
          <reference field="5" count="1" selected="0">
            <x v="2"/>
          </reference>
          <reference field="11" count="1" selected="0">
            <x v="36"/>
          </reference>
          <reference field="12" count="1" selected="0">
            <x v="161"/>
          </reference>
          <reference field="21" count="1" selected="0">
            <x v="0"/>
          </reference>
          <reference field="25" count="1">
            <x v="3"/>
          </reference>
        </references>
      </pivotArea>
    </format>
    <format dxfId="1795">
      <pivotArea dataOnly="0" labelOnly="1" outline="0" fieldPosition="0">
        <references count="6">
          <reference field="1" count="1" selected="0">
            <x v="0"/>
          </reference>
          <reference field="5" count="1" selected="0">
            <x v="2"/>
          </reference>
          <reference field="11" count="1" selected="0">
            <x v="146"/>
          </reference>
          <reference field="12" count="1" selected="0">
            <x v="99"/>
          </reference>
          <reference field="21" count="1" selected="0">
            <x v="0"/>
          </reference>
          <reference field="25" count="1">
            <x v="2"/>
          </reference>
        </references>
      </pivotArea>
    </format>
    <format dxfId="1794">
      <pivotArea dataOnly="0" labelOnly="1" outline="0" fieldPosition="0">
        <references count="6">
          <reference field="1" count="1" selected="0">
            <x v="0"/>
          </reference>
          <reference field="5" count="1" selected="0">
            <x v="2"/>
          </reference>
          <reference field="11" count="1" selected="0">
            <x v="170"/>
          </reference>
          <reference field="12" count="1" selected="0">
            <x v="153"/>
          </reference>
          <reference field="21" count="1" selected="0">
            <x v="0"/>
          </reference>
          <reference field="25" count="1">
            <x v="3"/>
          </reference>
        </references>
      </pivotArea>
    </format>
    <format dxfId="1793">
      <pivotArea dataOnly="0" labelOnly="1" outline="0" fieldPosition="0">
        <references count="6">
          <reference field="1" count="1" selected="0">
            <x v="0"/>
          </reference>
          <reference field="5" count="1" selected="0">
            <x v="2"/>
          </reference>
          <reference field="11" count="1" selected="0">
            <x v="173"/>
          </reference>
          <reference field="12" count="1" selected="0">
            <x v="154"/>
          </reference>
          <reference field="21" count="1" selected="0">
            <x v="0"/>
          </reference>
          <reference field="25" count="1">
            <x v="0"/>
          </reference>
        </references>
      </pivotArea>
    </format>
    <format dxfId="1792">
      <pivotArea dataOnly="0" labelOnly="1" outline="0" fieldPosition="0">
        <references count="6">
          <reference field="1" count="1" selected="0">
            <x v="0"/>
          </reference>
          <reference field="5" count="1" selected="0">
            <x v="2"/>
          </reference>
          <reference field="11" count="1" selected="0">
            <x v="240"/>
          </reference>
          <reference field="12" count="1" selected="0">
            <x v="242"/>
          </reference>
          <reference field="21" count="1" selected="0">
            <x v="0"/>
          </reference>
          <reference field="25" count="1">
            <x v="4"/>
          </reference>
        </references>
      </pivotArea>
    </format>
    <format dxfId="1791">
      <pivotArea dataOnly="0" labelOnly="1" outline="0" fieldPosition="0">
        <references count="6">
          <reference field="1" count="1" selected="0">
            <x v="0"/>
          </reference>
          <reference field="5" count="1" selected="0">
            <x v="5"/>
          </reference>
          <reference field="11" count="1" selected="0">
            <x v="56"/>
          </reference>
          <reference field="12" count="1" selected="0">
            <x v="73"/>
          </reference>
          <reference field="21" count="1" selected="0">
            <x v="0"/>
          </reference>
          <reference field="25" count="1">
            <x v="4"/>
          </reference>
        </references>
      </pivotArea>
    </format>
    <format dxfId="1790">
      <pivotArea dataOnly="0" labelOnly="1" outline="0" fieldPosition="0">
        <references count="6">
          <reference field="1" count="1" selected="0">
            <x v="0"/>
          </reference>
          <reference field="5" count="1" selected="0">
            <x v="8"/>
          </reference>
          <reference field="11" count="1" selected="0">
            <x v="18"/>
          </reference>
          <reference field="12" count="1" selected="0">
            <x v="121"/>
          </reference>
          <reference field="21" count="1" selected="0">
            <x v="0"/>
          </reference>
          <reference field="25" count="1">
            <x v="1"/>
          </reference>
        </references>
      </pivotArea>
    </format>
    <format dxfId="1789">
      <pivotArea dataOnly="0" labelOnly="1" outline="0" fieldPosition="0">
        <references count="6">
          <reference field="1" count="1" selected="0">
            <x v="0"/>
          </reference>
          <reference field="5" count="1" selected="0">
            <x v="8"/>
          </reference>
          <reference field="11" count="1" selected="0">
            <x v="38"/>
          </reference>
          <reference field="12" count="1" selected="0">
            <x v="166"/>
          </reference>
          <reference field="21" count="1" selected="0">
            <x v="1"/>
          </reference>
          <reference field="25" count="1">
            <x v="4"/>
          </reference>
        </references>
      </pivotArea>
    </format>
    <format dxfId="1788">
      <pivotArea dataOnly="0" labelOnly="1" outline="0" fieldPosition="0">
        <references count="6">
          <reference field="1" count="1" selected="0">
            <x v="0"/>
          </reference>
          <reference field="5" count="1" selected="0">
            <x v="8"/>
          </reference>
          <reference field="11" count="1" selected="0">
            <x v="60"/>
          </reference>
          <reference field="12" count="1" selected="0">
            <x v="120"/>
          </reference>
          <reference field="21" count="1" selected="0">
            <x v="0"/>
          </reference>
          <reference field="25" count="1">
            <x v="1"/>
          </reference>
        </references>
      </pivotArea>
    </format>
    <format dxfId="1787">
      <pivotArea dataOnly="0" labelOnly="1" outline="0" fieldPosition="0">
        <references count="6">
          <reference field="1" count="1" selected="0">
            <x v="0"/>
          </reference>
          <reference field="5" count="1" selected="0">
            <x v="8"/>
          </reference>
          <reference field="11" count="1" selected="0">
            <x v="82"/>
          </reference>
          <reference field="12" count="1" selected="0">
            <x v="186"/>
          </reference>
          <reference field="21" count="1" selected="0">
            <x v="0"/>
          </reference>
          <reference field="25" count="1">
            <x v="0"/>
          </reference>
        </references>
      </pivotArea>
    </format>
    <format dxfId="1786">
      <pivotArea dataOnly="0" labelOnly="1" outline="0" fieldPosition="0">
        <references count="6">
          <reference field="1" count="1" selected="0">
            <x v="0"/>
          </reference>
          <reference field="5" count="1" selected="0">
            <x v="8"/>
          </reference>
          <reference field="11" count="1" selected="0">
            <x v="91"/>
          </reference>
          <reference field="12" count="1" selected="0">
            <x v="123"/>
          </reference>
          <reference field="21" count="1" selected="0">
            <x v="0"/>
          </reference>
          <reference field="25" count="1">
            <x v="1"/>
          </reference>
        </references>
      </pivotArea>
    </format>
    <format dxfId="1785">
      <pivotArea dataOnly="0" labelOnly="1" outline="0" fieldPosition="0">
        <references count="6">
          <reference field="1" count="1" selected="0">
            <x v="0"/>
          </reference>
          <reference field="5" count="1" selected="0">
            <x v="8"/>
          </reference>
          <reference field="11" count="1" selected="0">
            <x v="92"/>
          </reference>
          <reference field="12" count="1" selected="0">
            <x v="125"/>
          </reference>
          <reference field="21" count="1" selected="0">
            <x v="1"/>
          </reference>
          <reference field="25" count="1">
            <x v="4"/>
          </reference>
        </references>
      </pivotArea>
    </format>
    <format dxfId="1784">
      <pivotArea dataOnly="0" labelOnly="1" outline="0" fieldPosition="0">
        <references count="6">
          <reference field="1" count="1" selected="0">
            <x v="0"/>
          </reference>
          <reference field="5" count="1" selected="0">
            <x v="8"/>
          </reference>
          <reference field="11" count="1" selected="0">
            <x v="98"/>
          </reference>
          <reference field="12" count="1" selected="0">
            <x v="65"/>
          </reference>
          <reference field="21" count="1" selected="0">
            <x v="0"/>
          </reference>
          <reference field="25" count="1">
            <x v="0"/>
          </reference>
        </references>
      </pivotArea>
    </format>
    <format dxfId="1783">
      <pivotArea dataOnly="0" labelOnly="1" outline="0" fieldPosition="0">
        <references count="6">
          <reference field="1" count="1" selected="0">
            <x v="0"/>
          </reference>
          <reference field="5" count="1" selected="0">
            <x v="8"/>
          </reference>
          <reference field="11" count="1" selected="0">
            <x v="209"/>
          </reference>
          <reference field="12" count="1" selected="0">
            <x v="217"/>
          </reference>
          <reference field="21" count="1" selected="0">
            <x v="0"/>
          </reference>
          <reference field="25" count="1">
            <x v="1"/>
          </reference>
        </references>
      </pivotArea>
    </format>
    <format dxfId="1782">
      <pivotArea dataOnly="0" labelOnly="1" outline="0" fieldPosition="0">
        <references count="6">
          <reference field="1" count="1" selected="0">
            <x v="0"/>
          </reference>
          <reference field="5" count="1" selected="0">
            <x v="8"/>
          </reference>
          <reference field="11" count="1" selected="0">
            <x v="220"/>
          </reference>
          <reference field="12" count="1" selected="0">
            <x v="228"/>
          </reference>
          <reference field="21" count="1" selected="0">
            <x v="0"/>
          </reference>
          <reference field="25" count="1">
            <x v="0"/>
          </reference>
        </references>
      </pivotArea>
    </format>
    <format dxfId="1781">
      <pivotArea dataOnly="0" labelOnly="1" outline="0" fieldPosition="0">
        <references count="6">
          <reference field="1" count="1" selected="0">
            <x v="0"/>
          </reference>
          <reference field="5" count="1" selected="0">
            <x v="10"/>
          </reference>
          <reference field="11" count="1" selected="0">
            <x v="55"/>
          </reference>
          <reference field="12" count="1" selected="0">
            <x v="76"/>
          </reference>
          <reference field="21" count="1" selected="0">
            <x v="0"/>
          </reference>
          <reference field="25" count="1">
            <x v="0"/>
          </reference>
        </references>
      </pivotArea>
    </format>
    <format dxfId="1780">
      <pivotArea dataOnly="0" labelOnly="1" outline="0" fieldPosition="0">
        <references count="6">
          <reference field="1" count="1" selected="0">
            <x v="0"/>
          </reference>
          <reference field="5" count="1" selected="0">
            <x v="10"/>
          </reference>
          <reference field="11" count="1" selected="0">
            <x v="233"/>
          </reference>
          <reference field="12" count="1" selected="0">
            <x v="235"/>
          </reference>
          <reference field="21" count="1" selected="0">
            <x v="1"/>
          </reference>
          <reference field="25" count="1">
            <x v="4"/>
          </reference>
        </references>
      </pivotArea>
    </format>
    <format dxfId="1779">
      <pivotArea dataOnly="0" labelOnly="1" outline="0" fieldPosition="0">
        <references count="6">
          <reference field="1" count="1" selected="0">
            <x v="0"/>
          </reference>
          <reference field="5" count="1" selected="0">
            <x v="10"/>
          </reference>
          <reference field="11" count="1" selected="0">
            <x v="234"/>
          </reference>
          <reference field="12" count="1" selected="0">
            <x v="236"/>
          </reference>
          <reference field="21" count="1" selected="0">
            <x v="0"/>
          </reference>
          <reference field="25" count="1">
            <x v="0"/>
          </reference>
        </references>
      </pivotArea>
    </format>
    <format dxfId="1778">
      <pivotArea dataOnly="0" labelOnly="1" outline="0" fieldPosition="0">
        <references count="6">
          <reference field="1" count="1" selected="0">
            <x v="0"/>
          </reference>
          <reference field="5" count="1" selected="0">
            <x v="10"/>
          </reference>
          <reference field="11" count="1" selected="0">
            <x v="235"/>
          </reference>
          <reference field="12" count="1" selected="0">
            <x v="237"/>
          </reference>
          <reference field="21" count="1" selected="0">
            <x v="0"/>
          </reference>
          <reference field="25" count="1">
            <x v="2"/>
          </reference>
        </references>
      </pivotArea>
    </format>
    <format dxfId="1777">
      <pivotArea dataOnly="0" labelOnly="1" outline="0" fieldPosition="0">
        <references count="6">
          <reference field="1" count="1" selected="0">
            <x v="0"/>
          </reference>
          <reference field="5" count="1" selected="0">
            <x v="11"/>
          </reference>
          <reference field="11" count="1" selected="0">
            <x v="152"/>
          </reference>
          <reference field="12" count="1" selected="0">
            <x v="133"/>
          </reference>
          <reference field="21" count="1" selected="0">
            <x v="0"/>
          </reference>
          <reference field="25" count="1">
            <x v="0"/>
          </reference>
        </references>
      </pivotArea>
    </format>
    <format dxfId="1776">
      <pivotArea dataOnly="0" labelOnly="1" outline="0" fieldPosition="0">
        <references count="6">
          <reference field="1" count="1" selected="0">
            <x v="0"/>
          </reference>
          <reference field="5" count="1" selected="0">
            <x v="11"/>
          </reference>
          <reference field="11" count="1" selected="0">
            <x v="183"/>
          </reference>
          <reference field="12" count="1" selected="0">
            <x v="78"/>
          </reference>
          <reference field="21" count="1" selected="0">
            <x v="0"/>
          </reference>
          <reference field="25" count="1">
            <x v="2"/>
          </reference>
        </references>
      </pivotArea>
    </format>
    <format dxfId="1775">
      <pivotArea dataOnly="0" labelOnly="1" outline="0" fieldPosition="0">
        <references count="6">
          <reference field="1" count="1" selected="0">
            <x v="0"/>
          </reference>
          <reference field="5" count="1" selected="0">
            <x v="11"/>
          </reference>
          <reference field="11" count="1" selected="0">
            <x v="223"/>
          </reference>
          <reference field="12" count="1" selected="0">
            <x v="231"/>
          </reference>
          <reference field="21" count="1" selected="0">
            <x v="1"/>
          </reference>
          <reference field="25" count="1">
            <x v="4"/>
          </reference>
        </references>
      </pivotArea>
    </format>
    <format dxfId="1774">
      <pivotArea dataOnly="0" labelOnly="1" outline="0" fieldPosition="0">
        <references count="6">
          <reference field="1" count="1" selected="0">
            <x v="0"/>
          </reference>
          <reference field="5" count="1" selected="0">
            <x v="12"/>
          </reference>
          <reference field="11" count="1" selected="0">
            <x v="27"/>
          </reference>
          <reference field="12" count="1" selected="0">
            <x v="118"/>
          </reference>
          <reference field="21" count="1" selected="0">
            <x v="0"/>
          </reference>
          <reference field="25" count="1">
            <x v="2"/>
          </reference>
        </references>
      </pivotArea>
    </format>
    <format dxfId="1773">
      <pivotArea dataOnly="0" labelOnly="1" outline="0" fieldPosition="0">
        <references count="6">
          <reference field="1" count="1" selected="0">
            <x v="0"/>
          </reference>
          <reference field="5" count="1" selected="0">
            <x v="12"/>
          </reference>
          <reference field="11" count="1" selected="0">
            <x v="38"/>
          </reference>
          <reference field="12" count="1" selected="0">
            <x v="167"/>
          </reference>
          <reference field="21" count="1" selected="0">
            <x v="1"/>
          </reference>
          <reference field="25" count="1">
            <x v="4"/>
          </reference>
        </references>
      </pivotArea>
    </format>
    <format dxfId="1772">
      <pivotArea dataOnly="0" labelOnly="1" outline="0" fieldPosition="0">
        <references count="6">
          <reference field="1" count="1" selected="0">
            <x v="0"/>
          </reference>
          <reference field="5" count="1" selected="0">
            <x v="12"/>
          </reference>
          <reference field="11" count="1" selected="0">
            <x v="42"/>
          </reference>
          <reference field="12" count="1" selected="0">
            <x v="117"/>
          </reference>
          <reference field="21" count="1" selected="0">
            <x v="0"/>
          </reference>
          <reference field="25" count="1">
            <x v="2"/>
          </reference>
        </references>
      </pivotArea>
    </format>
    <format dxfId="1771">
      <pivotArea dataOnly="0" labelOnly="1" outline="0" fieldPosition="0">
        <references count="6">
          <reference field="1" count="1" selected="0">
            <x v="0"/>
          </reference>
          <reference field="5" count="1" selected="0">
            <x v="12"/>
          </reference>
          <reference field="11" count="1" selected="0">
            <x v="50"/>
          </reference>
          <reference field="12" count="1" selected="0">
            <x v="170"/>
          </reference>
          <reference field="21" count="1" selected="0">
            <x v="1"/>
          </reference>
          <reference field="25" count="1">
            <x v="4"/>
          </reference>
        </references>
      </pivotArea>
    </format>
    <format dxfId="1770">
      <pivotArea dataOnly="0" labelOnly="1" outline="0" fieldPosition="0">
        <references count="6">
          <reference field="1" count="1" selected="0">
            <x v="0"/>
          </reference>
          <reference field="5" count="1" selected="0">
            <x v="12"/>
          </reference>
          <reference field="11" count="1" selected="0">
            <x v="69"/>
          </reference>
          <reference field="12" count="1" selected="0">
            <x v="70"/>
          </reference>
          <reference field="21" count="1" selected="0">
            <x v="0"/>
          </reference>
          <reference field="25" count="1">
            <x v="0"/>
          </reference>
        </references>
      </pivotArea>
    </format>
    <format dxfId="1769">
      <pivotArea dataOnly="0" labelOnly="1" outline="0" fieldPosition="0">
        <references count="6">
          <reference field="1" count="1" selected="0">
            <x v="0"/>
          </reference>
          <reference field="5" count="1" selected="0">
            <x v="12"/>
          </reference>
          <reference field="11" count="1" selected="0">
            <x v="70"/>
          </reference>
          <reference field="12" count="1" selected="0">
            <x v="68"/>
          </reference>
          <reference field="21" count="1" selected="0">
            <x v="0"/>
          </reference>
          <reference field="25" count="1">
            <x v="1"/>
          </reference>
        </references>
      </pivotArea>
    </format>
    <format dxfId="1768">
      <pivotArea dataOnly="0" labelOnly="1" outline="0" fieldPosition="0">
        <references count="6">
          <reference field="1" count="1" selected="0">
            <x v="0"/>
          </reference>
          <reference field="5" count="1" selected="0">
            <x v="12"/>
          </reference>
          <reference field="11" count="1" selected="0">
            <x v="71"/>
          </reference>
          <reference field="12" count="1" selected="0">
            <x v="69"/>
          </reference>
          <reference field="21" count="1" selected="0">
            <x v="0"/>
          </reference>
          <reference field="25" count="1">
            <x v="0"/>
          </reference>
        </references>
      </pivotArea>
    </format>
    <format dxfId="1767">
      <pivotArea dataOnly="0" labelOnly="1" outline="0" fieldPosition="0">
        <references count="6">
          <reference field="1" count="1" selected="0">
            <x v="0"/>
          </reference>
          <reference field="5" count="1" selected="0">
            <x v="12"/>
          </reference>
          <reference field="11" count="1" selected="0">
            <x v="77"/>
          </reference>
          <reference field="12" count="1" selected="0">
            <x v="63"/>
          </reference>
          <reference field="21" count="1" selected="0">
            <x v="1"/>
          </reference>
          <reference field="25" count="1">
            <x v="4"/>
          </reference>
        </references>
      </pivotArea>
    </format>
    <format dxfId="1766">
      <pivotArea dataOnly="0" labelOnly="1" outline="0" fieldPosition="0">
        <references count="6">
          <reference field="1" count="1" selected="0">
            <x v="0"/>
          </reference>
          <reference field="5" count="1" selected="0">
            <x v="12"/>
          </reference>
          <reference field="11" count="1" selected="0">
            <x v="84"/>
          </reference>
          <reference field="12" count="1" selected="0">
            <x v="61"/>
          </reference>
          <reference field="21" count="1" selected="0">
            <x v="0"/>
          </reference>
          <reference field="25" count="1">
            <x v="1"/>
          </reference>
        </references>
      </pivotArea>
    </format>
    <format dxfId="1765">
      <pivotArea dataOnly="0" labelOnly="1" outline="0" fieldPosition="0">
        <references count="6">
          <reference field="1" count="1" selected="0">
            <x v="0"/>
          </reference>
          <reference field="5" count="1" selected="0">
            <x v="12"/>
          </reference>
          <reference field="11" count="1" selected="0">
            <x v="88"/>
          </reference>
          <reference field="12" count="1" selected="0">
            <x v="62"/>
          </reference>
          <reference field="21" count="1" selected="0">
            <x v="1"/>
          </reference>
          <reference field="25" count="1">
            <x v="4"/>
          </reference>
        </references>
      </pivotArea>
    </format>
    <format dxfId="1764">
      <pivotArea dataOnly="0" labelOnly="1" outline="0" fieldPosition="0">
        <references count="6">
          <reference field="1" count="1" selected="0">
            <x v="0"/>
          </reference>
          <reference field="5" count="1" selected="0">
            <x v="12"/>
          </reference>
          <reference field="11" count="1" selected="0">
            <x v="117"/>
          </reference>
          <reference field="12" count="1" selected="0">
            <x v="55"/>
          </reference>
          <reference field="21" count="1" selected="0">
            <x v="0"/>
          </reference>
          <reference field="25" count="1">
            <x v="0"/>
          </reference>
        </references>
      </pivotArea>
    </format>
    <format dxfId="1763">
      <pivotArea dataOnly="0" labelOnly="1" outline="0" fieldPosition="0">
        <references count="6">
          <reference field="1" count="1" selected="0">
            <x v="0"/>
          </reference>
          <reference field="5" count="1" selected="0">
            <x v="12"/>
          </reference>
          <reference field="11" count="1" selected="0">
            <x v="128"/>
          </reference>
          <reference field="12" count="1" selected="0">
            <x v="60"/>
          </reference>
          <reference field="21" count="1" selected="0">
            <x v="1"/>
          </reference>
          <reference field="25" count="1">
            <x v="4"/>
          </reference>
        </references>
      </pivotArea>
    </format>
    <format dxfId="1762">
      <pivotArea dataOnly="0" labelOnly="1" outline="0" fieldPosition="0">
        <references count="6">
          <reference field="1" count="1" selected="0">
            <x v="0"/>
          </reference>
          <reference field="5" count="1" selected="0">
            <x v="12"/>
          </reference>
          <reference field="11" count="1" selected="0">
            <x v="155"/>
          </reference>
          <reference field="12" count="1" selected="0">
            <x v="122"/>
          </reference>
          <reference field="21" count="1" selected="0">
            <x v="0"/>
          </reference>
          <reference field="25" count="1">
            <x v="1"/>
          </reference>
        </references>
      </pivotArea>
    </format>
    <format dxfId="1761">
      <pivotArea dataOnly="0" labelOnly="1" outline="0" fieldPosition="0">
        <references count="6">
          <reference field="1" count="1" selected="0">
            <x v="0"/>
          </reference>
          <reference field="5" count="1" selected="0">
            <x v="12"/>
          </reference>
          <reference field="11" count="1" selected="0">
            <x v="158"/>
          </reference>
          <reference field="12" count="1" selected="0">
            <x v="71"/>
          </reference>
          <reference field="21" count="1" selected="0">
            <x v="0"/>
          </reference>
          <reference field="25" count="1">
            <x v="0"/>
          </reference>
        </references>
      </pivotArea>
    </format>
    <format dxfId="1760">
      <pivotArea dataOnly="0" labelOnly="1" outline="0" fieldPosition="0">
        <references count="6">
          <reference field="1" count="1" selected="0">
            <x v="0"/>
          </reference>
          <reference field="5" count="1" selected="0">
            <x v="12"/>
          </reference>
          <reference field="11" count="1" selected="0">
            <x v="160"/>
          </reference>
          <reference field="12" count="1" selected="0">
            <x v="119"/>
          </reference>
          <reference field="21" count="1" selected="0">
            <x v="0"/>
          </reference>
          <reference field="25" count="1">
            <x v="1"/>
          </reference>
        </references>
      </pivotArea>
    </format>
    <format dxfId="1759">
      <pivotArea dataOnly="0" labelOnly="1" outline="0" fieldPosition="0">
        <references count="6">
          <reference field="1" count="1" selected="0">
            <x v="0"/>
          </reference>
          <reference field="5" count="1" selected="0">
            <x v="12"/>
          </reference>
          <reference field="11" count="1" selected="0">
            <x v="164"/>
          </reference>
          <reference field="12" count="1" selected="0">
            <x v="64"/>
          </reference>
          <reference field="21" count="1" selected="0">
            <x v="1"/>
          </reference>
          <reference field="25" count="1">
            <x v="4"/>
          </reference>
        </references>
      </pivotArea>
    </format>
    <format dxfId="1758">
      <pivotArea dataOnly="0" labelOnly="1" outline="0" fieldPosition="0">
        <references count="6">
          <reference field="1" count="1" selected="0">
            <x v="0"/>
          </reference>
          <reference field="5" count="1" selected="0">
            <x v="12"/>
          </reference>
          <reference field="11" count="1" selected="0">
            <x v="175"/>
          </reference>
          <reference field="12" count="1" selected="0">
            <x v="72"/>
          </reference>
          <reference field="21" count="1" selected="0">
            <x v="0"/>
          </reference>
          <reference field="25" count="1">
            <x v="0"/>
          </reference>
        </references>
      </pivotArea>
    </format>
    <format dxfId="1757">
      <pivotArea dataOnly="0" labelOnly="1" outline="0" fieldPosition="0">
        <references count="6">
          <reference field="1" count="1" selected="0">
            <x v="0"/>
          </reference>
          <reference field="5" count="1" selected="0">
            <x v="12"/>
          </reference>
          <reference field="11" count="1" selected="0">
            <x v="188"/>
          </reference>
          <reference field="12" count="1" selected="0">
            <x v="59"/>
          </reference>
          <reference field="21" count="1" selected="0">
            <x v="1"/>
          </reference>
          <reference field="25" count="1">
            <x v="4"/>
          </reference>
        </references>
      </pivotArea>
    </format>
    <format dxfId="1756">
      <pivotArea dataOnly="0" labelOnly="1" outline="0" fieldPosition="0">
        <references count="6">
          <reference field="1" count="1" selected="0">
            <x v="0"/>
          </reference>
          <reference field="5" count="1" selected="0">
            <x v="14"/>
          </reference>
          <reference field="11" count="1" selected="0">
            <x v="24"/>
          </reference>
          <reference field="12" count="1" selected="0">
            <x v="11"/>
          </reference>
          <reference field="21" count="1" selected="0">
            <x v="0"/>
          </reference>
          <reference field="25" count="1">
            <x v="0"/>
          </reference>
        </references>
      </pivotArea>
    </format>
    <format dxfId="1755">
      <pivotArea dataOnly="0" labelOnly="1" outline="0" fieldPosition="0">
        <references count="6">
          <reference field="1" count="1" selected="0">
            <x v="0"/>
          </reference>
          <reference field="5" count="1" selected="0">
            <x v="14"/>
          </reference>
          <reference field="11" count="1" selected="0">
            <x v="47"/>
          </reference>
          <reference field="12" count="1" selected="0">
            <x v="18"/>
          </reference>
          <reference field="21" count="1" selected="0">
            <x v="0"/>
          </reference>
          <reference field="25" count="1">
            <x v="2"/>
          </reference>
        </references>
      </pivotArea>
    </format>
    <format dxfId="1754">
      <pivotArea dataOnly="0" labelOnly="1" outline="0" fieldPosition="0">
        <references count="6">
          <reference field="1" count="1" selected="0">
            <x v="0"/>
          </reference>
          <reference field="5" count="1" selected="0">
            <x v="14"/>
          </reference>
          <reference field="11" count="1" selected="0">
            <x v="54"/>
          </reference>
          <reference field="12" count="1" selected="0">
            <x v="12"/>
          </reference>
          <reference field="21" count="1" selected="0">
            <x v="0"/>
          </reference>
          <reference field="25" count="1">
            <x v="0"/>
          </reference>
        </references>
      </pivotArea>
    </format>
    <format dxfId="1753">
      <pivotArea dataOnly="0" labelOnly="1" outline="0" fieldPosition="0">
        <references count="6">
          <reference field="1" count="1" selected="0">
            <x v="0"/>
          </reference>
          <reference field="5" count="1" selected="0">
            <x v="14"/>
          </reference>
          <reference field="11" count="1" selected="0">
            <x v="107"/>
          </reference>
          <reference field="12" count="1" selected="0">
            <x v="19"/>
          </reference>
          <reference field="21" count="1" selected="0">
            <x v="0"/>
          </reference>
          <reference field="25" count="1">
            <x v="3"/>
          </reference>
        </references>
      </pivotArea>
    </format>
    <format dxfId="1752">
      <pivotArea dataOnly="0" labelOnly="1" outline="0" fieldPosition="0">
        <references count="6">
          <reference field="1" count="1" selected="0">
            <x v="0"/>
          </reference>
          <reference field="5" count="1" selected="0">
            <x v="14"/>
          </reference>
          <reference field="11" count="1" selected="0">
            <x v="144"/>
          </reference>
          <reference field="12" count="1" selected="0">
            <x v="23"/>
          </reference>
          <reference field="21" count="1" selected="0">
            <x v="0"/>
          </reference>
          <reference field="25" count="1">
            <x v="2"/>
          </reference>
        </references>
      </pivotArea>
    </format>
    <format dxfId="1751">
      <pivotArea dataOnly="0" labelOnly="1" outline="0" fieldPosition="0">
        <references count="6">
          <reference field="1" count="1" selected="0">
            <x v="0"/>
          </reference>
          <reference field="5" count="1" selected="0">
            <x v="14"/>
          </reference>
          <reference field="11" count="1" selected="0">
            <x v="157"/>
          </reference>
          <reference field="12" count="1" selected="0">
            <x v="1"/>
          </reference>
          <reference field="21" count="1" selected="0">
            <x v="0"/>
          </reference>
          <reference field="25" count="1">
            <x v="0"/>
          </reference>
        </references>
      </pivotArea>
    </format>
    <format dxfId="1750">
      <pivotArea dataOnly="0" labelOnly="1" outline="0" fieldPosition="0">
        <references count="6">
          <reference field="1" count="1" selected="0">
            <x v="0"/>
          </reference>
          <reference field="5" count="1" selected="0">
            <x v="14"/>
          </reference>
          <reference field="11" count="1" selected="0">
            <x v="159"/>
          </reference>
          <reference field="12" count="1" selected="0">
            <x v="136"/>
          </reference>
          <reference field="21" count="1" selected="0">
            <x v="0"/>
          </reference>
          <reference field="25" count="1">
            <x v="2"/>
          </reference>
        </references>
      </pivotArea>
    </format>
    <format dxfId="1749">
      <pivotArea dataOnly="0" labelOnly="1" outline="0" fieldPosition="0">
        <references count="6">
          <reference field="1" count="1" selected="0">
            <x v="0"/>
          </reference>
          <reference field="5" count="1" selected="0">
            <x v="14"/>
          </reference>
          <reference field="11" count="1" selected="0">
            <x v="176"/>
          </reference>
          <reference field="12" count="1" selected="0">
            <x v="5"/>
          </reference>
          <reference field="21" count="1" selected="0">
            <x v="0"/>
          </reference>
          <reference field="25" count="1">
            <x v="0"/>
          </reference>
        </references>
      </pivotArea>
    </format>
    <format dxfId="1748">
      <pivotArea dataOnly="0" labelOnly="1" outline="0" fieldPosition="0">
        <references count="6">
          <reference field="1" count="1" selected="0">
            <x v="0"/>
          </reference>
          <reference field="5" count="1" selected="0">
            <x v="14"/>
          </reference>
          <reference field="11" count="1" selected="0">
            <x v="177"/>
          </reference>
          <reference field="12" count="1" selected="0">
            <x v="6"/>
          </reference>
          <reference field="21" count="1" selected="0">
            <x v="0"/>
          </reference>
          <reference field="25" count="1">
            <x v="3"/>
          </reference>
        </references>
      </pivotArea>
    </format>
    <format dxfId="1747">
      <pivotArea dataOnly="0" labelOnly="1" outline="0" fieldPosition="0">
        <references count="6">
          <reference field="1" count="1" selected="0">
            <x v="0"/>
          </reference>
          <reference field="5" count="1" selected="0">
            <x v="14"/>
          </reference>
          <reference field="11" count="1" selected="0">
            <x v="181"/>
          </reference>
          <reference field="12" count="1" selected="0">
            <x v="8"/>
          </reference>
          <reference field="21" count="1" selected="0">
            <x v="0"/>
          </reference>
          <reference field="25" count="1">
            <x v="0"/>
          </reference>
        </references>
      </pivotArea>
    </format>
    <format dxfId="1746">
      <pivotArea dataOnly="0" labelOnly="1" outline="0" fieldPosition="0">
        <references count="6">
          <reference field="1" count="1" selected="0">
            <x v="0"/>
          </reference>
          <reference field="5" count="1" selected="0">
            <x v="14"/>
          </reference>
          <reference field="11" count="1" selected="0">
            <x v="190"/>
          </reference>
          <reference field="12" count="1" selected="0">
            <x v="3"/>
          </reference>
          <reference field="21" count="1" selected="0">
            <x v="0"/>
          </reference>
          <reference field="25" count="1">
            <x v="3"/>
          </reference>
        </references>
      </pivotArea>
    </format>
    <format dxfId="1745">
      <pivotArea dataOnly="0" labelOnly="1" outline="0" fieldPosition="0">
        <references count="6">
          <reference field="1" count="1" selected="0">
            <x v="0"/>
          </reference>
          <reference field="5" count="1" selected="0">
            <x v="14"/>
          </reference>
          <reference field="11" count="1" selected="0">
            <x v="191"/>
          </reference>
          <reference field="12" count="1" selected="0">
            <x v="2"/>
          </reference>
          <reference field="21" count="1" selected="0">
            <x v="0"/>
          </reference>
          <reference field="25" count="1">
            <x v="0"/>
          </reference>
        </references>
      </pivotArea>
    </format>
    <format dxfId="1744">
      <pivotArea dataOnly="0" labelOnly="1" outline="0" fieldPosition="0">
        <references count="6">
          <reference field="1" count="1" selected="0">
            <x v="0"/>
          </reference>
          <reference field="5" count="1" selected="0">
            <x v="14"/>
          </reference>
          <reference field="11" count="1" selected="0">
            <x v="204"/>
          </reference>
          <reference field="12" count="1" selected="0">
            <x v="21"/>
          </reference>
          <reference field="21" count="1" selected="0">
            <x v="0"/>
          </reference>
          <reference field="25" count="1">
            <x v="3"/>
          </reference>
        </references>
      </pivotArea>
    </format>
    <format dxfId="1743">
      <pivotArea dataOnly="0" labelOnly="1" outline="0" fieldPosition="0">
        <references count="6">
          <reference field="1" count="1" selected="0">
            <x v="0"/>
          </reference>
          <reference field="5" count="1" selected="0">
            <x v="17"/>
          </reference>
          <reference field="11" count="1" selected="0">
            <x v="196"/>
          </reference>
          <reference field="12" count="1" selected="0">
            <x v="74"/>
          </reference>
          <reference field="21" count="1" selected="0">
            <x v="1"/>
          </reference>
          <reference field="25" count="1">
            <x v="4"/>
          </reference>
        </references>
      </pivotArea>
    </format>
    <format dxfId="1742">
      <pivotArea dataOnly="0" labelOnly="1" outline="0" fieldPosition="0">
        <references count="6">
          <reference field="1" count="1" selected="0">
            <x v="0"/>
          </reference>
          <reference field="5" count="1" selected="0">
            <x v="17"/>
          </reference>
          <reference field="11" count="1" selected="0">
            <x v="231"/>
          </reference>
          <reference field="12" count="1" selected="0">
            <x v="234"/>
          </reference>
          <reference field="21" count="1" selected="0">
            <x v="0"/>
          </reference>
          <reference field="25" count="1">
            <x v="0"/>
          </reference>
        </references>
      </pivotArea>
    </format>
    <format dxfId="1741">
      <pivotArea dataOnly="0" labelOnly="1" outline="0" fieldPosition="0">
        <references count="6">
          <reference field="1" count="1" selected="0">
            <x v="0"/>
          </reference>
          <reference field="5" count="1" selected="0">
            <x v="18"/>
          </reference>
          <reference field="11" count="1" selected="0">
            <x v="38"/>
          </reference>
          <reference field="12" count="1" selected="0">
            <x v="169"/>
          </reference>
          <reference field="21" count="1" selected="0">
            <x v="1"/>
          </reference>
          <reference field="25" count="1">
            <x v="4"/>
          </reference>
        </references>
      </pivotArea>
    </format>
    <format dxfId="1740">
      <pivotArea dataOnly="0" labelOnly="1" outline="0" fieldPosition="0">
        <references count="6">
          <reference field="1" count="1" selected="0">
            <x v="0"/>
          </reference>
          <reference field="5" count="1" selected="0">
            <x v="18"/>
          </reference>
          <reference field="11" count="1" selected="0">
            <x v="179"/>
          </reference>
          <reference field="12" count="1" selected="0">
            <x v="66"/>
          </reference>
          <reference field="21" count="1" selected="0">
            <x v="0"/>
          </reference>
          <reference field="25" count="1">
            <x v="0"/>
          </reference>
        </references>
      </pivotArea>
    </format>
    <format dxfId="1739">
      <pivotArea dataOnly="0" labelOnly="1" outline="0" fieldPosition="0">
        <references count="6">
          <reference field="1" count="1" selected="0">
            <x v="0"/>
          </reference>
          <reference field="5" count="1" selected="0">
            <x v="18"/>
          </reference>
          <reference field="11" count="1" selected="0">
            <x v="180"/>
          </reference>
          <reference field="12" count="1" selected="0">
            <x v="67"/>
          </reference>
          <reference field="21" count="1" selected="0">
            <x v="0"/>
          </reference>
          <reference field="25" count="1">
            <x v="1"/>
          </reference>
        </references>
      </pivotArea>
    </format>
    <format dxfId="1738">
      <pivotArea dataOnly="0" labelOnly="1" outline="0" fieldPosition="0">
        <references count="6">
          <reference field="1" count="1" selected="0">
            <x v="0"/>
          </reference>
          <reference field="5" count="1" selected="0">
            <x v="19"/>
          </reference>
          <reference field="11" count="1" selected="0">
            <x v="185"/>
          </reference>
          <reference field="12" count="1" selected="0">
            <x v="175"/>
          </reference>
          <reference field="21" count="1" selected="0">
            <x v="0"/>
          </reference>
          <reference field="25" count="1">
            <x v="4"/>
          </reference>
        </references>
      </pivotArea>
    </format>
    <format dxfId="1737">
      <pivotArea dataOnly="0" labelOnly="1" outline="0" fieldPosition="0">
        <references count="6">
          <reference field="1" count="1" selected="0">
            <x v="0"/>
          </reference>
          <reference field="5" count="1" selected="0">
            <x v="20"/>
          </reference>
          <reference field="11" count="1" selected="0">
            <x v="17"/>
          </reference>
          <reference field="12" count="1" selected="0">
            <x v="108"/>
          </reference>
          <reference field="21" count="1" selected="0">
            <x v="0"/>
          </reference>
          <reference field="25" count="1">
            <x v="2"/>
          </reference>
        </references>
      </pivotArea>
    </format>
    <format dxfId="1736">
      <pivotArea dataOnly="0" labelOnly="1" outline="0" fieldPosition="0">
        <references count="6">
          <reference field="1" count="1" selected="0">
            <x v="0"/>
          </reference>
          <reference field="5" count="1" selected="0">
            <x v="20"/>
          </reference>
          <reference field="11" count="1" selected="0">
            <x v="33"/>
          </reference>
          <reference field="12" count="1" selected="0">
            <x v="27"/>
          </reference>
          <reference field="21" count="1" selected="0">
            <x v="0"/>
          </reference>
          <reference field="25" count="1">
            <x v="3"/>
          </reference>
        </references>
      </pivotArea>
    </format>
    <format dxfId="1735">
      <pivotArea dataOnly="0" labelOnly="1" outline="0" fieldPosition="0">
        <references count="6">
          <reference field="1" count="1" selected="0">
            <x v="0"/>
          </reference>
          <reference field="5" count="1" selected="0">
            <x v="20"/>
          </reference>
          <reference field="11" count="1" selected="0">
            <x v="34"/>
          </reference>
          <reference field="12" count="1" selected="0">
            <x v="110"/>
          </reference>
          <reference field="21" count="1" selected="0">
            <x v="0"/>
          </reference>
          <reference field="25" count="1">
            <x v="0"/>
          </reference>
        </references>
      </pivotArea>
    </format>
    <format dxfId="1734">
      <pivotArea dataOnly="0" labelOnly="1" outline="0" fieldPosition="0">
        <references count="6">
          <reference field="1" count="1" selected="0">
            <x v="0"/>
          </reference>
          <reference field="5" count="1" selected="0">
            <x v="20"/>
          </reference>
          <reference field="11" count="1" selected="0">
            <x v="44"/>
          </reference>
          <reference field="12" count="1" selected="0">
            <x v="176"/>
          </reference>
          <reference field="21" count="1" selected="0">
            <x v="2"/>
          </reference>
          <reference field="25" count="1">
            <x v="4"/>
          </reference>
        </references>
      </pivotArea>
    </format>
    <format dxfId="1733">
      <pivotArea dataOnly="0" labelOnly="1" outline="0" fieldPosition="0">
        <references count="6">
          <reference field="1" count="1" selected="0">
            <x v="0"/>
          </reference>
          <reference field="5" count="1" selected="0">
            <x v="20"/>
          </reference>
          <reference field="11" count="1" selected="0">
            <x v="48"/>
          </reference>
          <reference field="12" count="1" selected="0">
            <x v="116"/>
          </reference>
          <reference field="21" count="1" selected="0">
            <x v="0"/>
          </reference>
          <reference field="25" count="1">
            <x v="2"/>
          </reference>
        </references>
      </pivotArea>
    </format>
    <format dxfId="1732">
      <pivotArea dataOnly="0" labelOnly="1" outline="0" fieldPosition="0">
        <references count="6">
          <reference field="1" count="1" selected="0">
            <x v="0"/>
          </reference>
          <reference field="5" count="1" selected="0">
            <x v="20"/>
          </reference>
          <reference field="11" count="1" selected="0">
            <x v="75"/>
          </reference>
          <reference field="12" count="1" selected="0">
            <x v="26"/>
          </reference>
          <reference field="21" count="1" selected="0">
            <x v="0"/>
          </reference>
          <reference field="25" count="1">
            <x v="0"/>
          </reference>
        </references>
      </pivotArea>
    </format>
    <format dxfId="1731">
      <pivotArea dataOnly="0" labelOnly="1" outline="0" fieldPosition="0">
        <references count="6">
          <reference field="1" count="1" selected="0">
            <x v="0"/>
          </reference>
          <reference field="5" count="1" selected="0">
            <x v="20"/>
          </reference>
          <reference field="11" count="1" selected="0">
            <x v="76"/>
          </reference>
          <reference field="12" count="1" selected="0">
            <x v="114"/>
          </reference>
          <reference field="21" count="1" selected="0">
            <x v="0"/>
          </reference>
          <reference field="25" count="1">
            <x v="2"/>
          </reference>
        </references>
      </pivotArea>
    </format>
    <format dxfId="1730">
      <pivotArea dataOnly="0" labelOnly="1" outline="0" fieldPosition="0">
        <references count="6">
          <reference field="1" count="1" selected="0">
            <x v="0"/>
          </reference>
          <reference field="5" count="1" selected="0">
            <x v="20"/>
          </reference>
          <reference field="11" count="1" selected="0">
            <x v="78"/>
          </reference>
          <reference field="12" count="1" selected="0">
            <x v="30"/>
          </reference>
          <reference field="21" count="1" selected="0">
            <x v="0"/>
          </reference>
          <reference field="25" count="1">
            <x v="3"/>
          </reference>
        </references>
      </pivotArea>
    </format>
    <format dxfId="1729">
      <pivotArea dataOnly="0" labelOnly="1" outline="0" fieldPosition="0">
        <references count="6">
          <reference field="1" count="1" selected="0">
            <x v="0"/>
          </reference>
          <reference field="5" count="1" selected="0">
            <x v="20"/>
          </reference>
          <reference field="11" count="1" selected="0">
            <x v="79"/>
          </reference>
          <reference field="12" count="1" selected="0">
            <x v="28"/>
          </reference>
          <reference field="21" count="1" selected="0">
            <x v="0"/>
          </reference>
          <reference field="25" count="1">
            <x v="2"/>
          </reference>
        </references>
      </pivotArea>
    </format>
    <format dxfId="1728">
      <pivotArea dataOnly="0" labelOnly="1" outline="0" fieldPosition="0">
        <references count="6">
          <reference field="1" count="1" selected="0">
            <x v="0"/>
          </reference>
          <reference field="5" count="1" selected="0">
            <x v="20"/>
          </reference>
          <reference field="11" count="1" selected="0">
            <x v="80"/>
          </reference>
          <reference field="12" count="1" selected="0">
            <x v="39"/>
          </reference>
          <reference field="21" count="1" selected="0">
            <x v="0"/>
          </reference>
          <reference field="25" count="1">
            <x v="0"/>
          </reference>
        </references>
      </pivotArea>
    </format>
    <format dxfId="1727">
      <pivotArea dataOnly="0" labelOnly="1" outline="0" fieldPosition="0">
        <references count="6">
          <reference field="1" count="1" selected="0">
            <x v="0"/>
          </reference>
          <reference field="5" count="1" selected="0">
            <x v="20"/>
          </reference>
          <reference field="11" count="1" selected="0">
            <x v="151"/>
          </reference>
          <reference field="12" count="1" selected="0">
            <x v="32"/>
          </reference>
          <reference field="21" count="1" selected="0">
            <x v="0"/>
          </reference>
          <reference field="25" count="1">
            <x v="3"/>
          </reference>
        </references>
      </pivotArea>
    </format>
    <format dxfId="1726">
      <pivotArea dataOnly="0" labelOnly="1" outline="0" fieldPosition="0">
        <references count="6">
          <reference field="1" count="1" selected="0">
            <x v="0"/>
          </reference>
          <reference field="5" count="1" selected="0">
            <x v="20"/>
          </reference>
          <reference field="11" count="1" selected="0">
            <x v="165"/>
          </reference>
          <reference field="12" count="1" selected="0">
            <x v="135"/>
          </reference>
          <reference field="21" count="1" selected="0">
            <x v="0"/>
          </reference>
          <reference field="25" count="1">
            <x v="2"/>
          </reference>
        </references>
      </pivotArea>
    </format>
    <format dxfId="1725">
      <pivotArea dataOnly="0" labelOnly="1" outline="0" fieldPosition="0">
        <references count="6">
          <reference field="1" count="1" selected="0">
            <x v="0"/>
          </reference>
          <reference field="5" count="1" selected="0">
            <x v="20"/>
          </reference>
          <reference field="11" count="1" selected="0">
            <x v="166"/>
          </reference>
          <reference field="12" count="1" selected="0">
            <x v="31"/>
          </reference>
          <reference field="21" count="1" selected="0">
            <x v="0"/>
          </reference>
          <reference field="25" count="1">
            <x v="3"/>
          </reference>
        </references>
      </pivotArea>
    </format>
    <format dxfId="1724">
      <pivotArea dataOnly="0" labelOnly="1" outline="0" fieldPosition="0">
        <references count="6">
          <reference field="1" count="1" selected="0">
            <x v="0"/>
          </reference>
          <reference field="5" count="1" selected="0">
            <x v="20"/>
          </reference>
          <reference field="11" count="1" selected="0">
            <x v="167"/>
          </reference>
          <reference field="12" count="1" selected="0">
            <x v="24"/>
          </reference>
          <reference field="21" count="1" selected="0">
            <x v="0"/>
          </reference>
          <reference field="25" count="1">
            <x v="0"/>
          </reference>
        </references>
      </pivotArea>
    </format>
    <format dxfId="1723">
      <pivotArea dataOnly="0" labelOnly="1" outline="0" fieldPosition="0">
        <references count="6">
          <reference field="1" count="1" selected="0">
            <x v="0"/>
          </reference>
          <reference field="5" count="1" selected="0">
            <x v="20"/>
          </reference>
          <reference field="11" count="1" selected="0">
            <x v="168"/>
          </reference>
          <reference field="12" count="1" selected="0">
            <x v="29"/>
          </reference>
          <reference field="21" count="1" selected="0">
            <x v="0"/>
          </reference>
          <reference field="25" count="1">
            <x v="3"/>
          </reference>
        </references>
      </pivotArea>
    </format>
    <format dxfId="1722">
      <pivotArea dataOnly="0" labelOnly="1" outline="0" fieldPosition="0">
        <references count="6">
          <reference field="1" count="1" selected="0">
            <x v="0"/>
          </reference>
          <reference field="5" count="1" selected="0">
            <x v="20"/>
          </reference>
          <reference field="11" count="1" selected="0">
            <x v="178"/>
          </reference>
          <reference field="12" count="1" selected="0">
            <x v="40"/>
          </reference>
          <reference field="21" count="1" selected="0">
            <x v="0"/>
          </reference>
          <reference field="25" count="1">
            <x v="0"/>
          </reference>
        </references>
      </pivotArea>
    </format>
    <format dxfId="1721">
      <pivotArea dataOnly="0" labelOnly="1" outline="0" fieldPosition="0">
        <references count="6">
          <reference field="1" count="1" selected="0">
            <x v="0"/>
          </reference>
          <reference field="5" count="1" selected="0">
            <x v="20"/>
          </reference>
          <reference field="11" count="1" selected="0">
            <x v="193"/>
          </reference>
          <reference field="12" count="1" selected="0">
            <x v="36"/>
          </reference>
          <reference field="21" count="1" selected="0">
            <x v="0"/>
          </reference>
          <reference field="25" count="1">
            <x v="3"/>
          </reference>
        </references>
      </pivotArea>
    </format>
    <format dxfId="1720">
      <pivotArea dataOnly="0" labelOnly="1" outline="0" fieldPosition="0">
        <references count="6">
          <reference field="1" count="1" selected="0">
            <x v="0"/>
          </reference>
          <reference field="5" count="1" selected="0">
            <x v="20"/>
          </reference>
          <reference field="11" count="1" selected="0">
            <x v="201"/>
          </reference>
          <reference field="12" count="1" selected="0">
            <x v="111"/>
          </reference>
          <reference field="21" count="1" selected="0">
            <x v="0"/>
          </reference>
          <reference field="25" count="1">
            <x v="2"/>
          </reference>
        </references>
      </pivotArea>
    </format>
    <format dxfId="1719">
      <pivotArea dataOnly="0" labelOnly="1" outline="0" fieldPosition="0">
        <references count="6">
          <reference field="1" count="1" selected="0">
            <x v="0"/>
          </reference>
          <reference field="5" count="1" selected="0">
            <x v="20"/>
          </reference>
          <reference field="11" count="1" selected="0">
            <x v="228"/>
          </reference>
          <reference field="12" count="1" selected="0">
            <x v="115"/>
          </reference>
          <reference field="21" count="1" selected="0">
            <x v="0"/>
          </reference>
          <reference field="25" count="1">
            <x v="0"/>
          </reference>
        </references>
      </pivotArea>
    </format>
    <format dxfId="1718">
      <pivotArea dataOnly="0" labelOnly="1" outline="0" fieldPosition="0">
        <references count="6">
          <reference field="1" count="1" selected="0">
            <x v="1"/>
          </reference>
          <reference field="5" count="1" selected="0">
            <x v="3"/>
          </reference>
          <reference field="11" count="1" selected="0">
            <x v="148"/>
          </reference>
          <reference field="12" count="1" selected="0">
            <x v="212"/>
          </reference>
          <reference field="21" count="1" selected="0">
            <x v="1"/>
          </reference>
          <reference field="25" count="1">
            <x v="4"/>
          </reference>
        </references>
      </pivotArea>
    </format>
    <format dxfId="1717">
      <pivotArea dataOnly="0" labelOnly="1" outline="0" fieldPosition="0">
        <references count="6">
          <reference field="1" count="1" selected="0">
            <x v="1"/>
          </reference>
          <reference field="5" count="1" selected="0">
            <x v="3"/>
          </reference>
          <reference field="11" count="1" selected="0">
            <x v="232"/>
          </reference>
          <reference field="12" count="1" selected="0">
            <x v="233"/>
          </reference>
          <reference field="21" count="1" selected="0">
            <x v="0"/>
          </reference>
          <reference field="25" count="1">
            <x v="0"/>
          </reference>
        </references>
      </pivotArea>
    </format>
    <format dxfId="1716">
      <pivotArea dataOnly="0" labelOnly="1" outline="0" fieldPosition="0">
        <references count="6">
          <reference field="1" count="1" selected="0">
            <x v="1"/>
          </reference>
          <reference field="5" count="1" selected="0">
            <x v="3"/>
          </reference>
          <reference field="11" count="1" selected="0">
            <x v="247"/>
          </reference>
          <reference field="12" count="1" selected="0">
            <x v="250"/>
          </reference>
          <reference field="21" count="1" selected="0">
            <x v="0"/>
          </reference>
          <reference field="25" count="1">
            <x v="4"/>
          </reference>
        </references>
      </pivotArea>
    </format>
    <format dxfId="1715">
      <pivotArea dataOnly="0" labelOnly="1" outline="0" fieldPosition="0">
        <references count="6">
          <reference field="1" count="1" selected="0">
            <x v="1"/>
          </reference>
          <reference field="5" count="1" selected="0">
            <x v="6"/>
          </reference>
          <reference field="11" count="1" selected="0">
            <x v="51"/>
          </reference>
          <reference field="12" count="1" selected="0">
            <x v="203"/>
          </reference>
          <reference field="21" count="1" selected="0">
            <x v="0"/>
          </reference>
          <reference field="25" count="1">
            <x v="0"/>
          </reference>
        </references>
      </pivotArea>
    </format>
    <format dxfId="1714">
      <pivotArea dataOnly="0" labelOnly="1" outline="0" fieldPosition="0">
        <references count="6">
          <reference field="1" count="1" selected="0">
            <x v="1"/>
          </reference>
          <reference field="5" count="1" selected="0">
            <x v="6"/>
          </reference>
          <reference field="11" count="1" selected="0">
            <x v="53"/>
          </reference>
          <reference field="12" count="1" selected="0">
            <x v="205"/>
          </reference>
          <reference field="21" count="1" selected="0">
            <x v="0"/>
          </reference>
          <reference field="25" count="1">
            <x v="5"/>
          </reference>
        </references>
      </pivotArea>
    </format>
    <format dxfId="1713">
      <pivotArea dataOnly="0" labelOnly="1" outline="0" fieldPosition="0">
        <references count="6">
          <reference field="1" count="1" selected="0">
            <x v="1"/>
          </reference>
          <reference field="5" count="1" selected="0">
            <x v="6"/>
          </reference>
          <reference field="11" count="1" selected="0">
            <x v="116"/>
          </reference>
          <reference field="12" count="1" selected="0">
            <x v="206"/>
          </reference>
          <reference field="21" count="1" selected="0">
            <x v="0"/>
          </reference>
          <reference field="25" count="1">
            <x v="0"/>
          </reference>
        </references>
      </pivotArea>
    </format>
    <format dxfId="1712">
      <pivotArea dataOnly="0" labelOnly="1" outline="0" fieldPosition="0">
        <references count="6">
          <reference field="1" count="1" selected="0">
            <x v="1"/>
          </reference>
          <reference field="5" count="1" selected="0">
            <x v="6"/>
          </reference>
          <reference field="11" count="1" selected="0">
            <x v="221"/>
          </reference>
          <reference field="12" count="1" selected="0">
            <x v="229"/>
          </reference>
          <reference field="21" count="1" selected="0">
            <x v="0"/>
          </reference>
          <reference field="25" count="1">
            <x v="5"/>
          </reference>
        </references>
      </pivotArea>
    </format>
    <format dxfId="1711">
      <pivotArea dataOnly="0" labelOnly="1" outline="0" fieldPosition="0">
        <references count="6">
          <reference field="1" count="1" selected="0">
            <x v="1"/>
          </reference>
          <reference field="5" count="1" selected="0">
            <x v="6"/>
          </reference>
          <reference field="11" count="1" selected="0">
            <x v="239"/>
          </reference>
          <reference field="12" count="1" selected="0">
            <x v="241"/>
          </reference>
          <reference field="21" count="1" selected="0">
            <x v="0"/>
          </reference>
          <reference field="25" count="1">
            <x v="4"/>
          </reference>
        </references>
      </pivotArea>
    </format>
    <format dxfId="1710">
      <pivotArea dataOnly="0" labelOnly="1" outline="0" fieldPosition="0">
        <references count="6">
          <reference field="1" count="1" selected="0">
            <x v="1"/>
          </reference>
          <reference field="5" count="1" selected="0">
            <x v="9"/>
          </reference>
          <reference field="11" count="1" selected="0">
            <x v="95"/>
          </reference>
          <reference field="12" count="1" selected="0">
            <x v="198"/>
          </reference>
          <reference field="21" count="1" selected="0">
            <x v="0"/>
          </reference>
          <reference field="25" count="1">
            <x v="0"/>
          </reference>
        </references>
      </pivotArea>
    </format>
    <format dxfId="1709">
      <pivotArea dataOnly="0" labelOnly="1" outline="0" fieldPosition="0">
        <references count="6">
          <reference field="1" count="1" selected="0">
            <x v="1"/>
          </reference>
          <reference field="5" count="1" selected="0">
            <x v="9"/>
          </reference>
          <reference field="11" count="1" selected="0">
            <x v="96"/>
          </reference>
          <reference field="12" count="1" selected="0">
            <x v="213"/>
          </reference>
          <reference field="21" count="1" selected="0">
            <x v="0"/>
          </reference>
          <reference field="25" count="1">
            <x v="5"/>
          </reference>
        </references>
      </pivotArea>
    </format>
    <format dxfId="1708">
      <pivotArea dataOnly="0" labelOnly="1" outline="0" fieldPosition="0">
        <references count="6">
          <reference field="1" count="1" selected="0">
            <x v="1"/>
          </reference>
          <reference field="5" count="1" selected="0">
            <x v="9"/>
          </reference>
          <reference field="11" count="1" selected="0">
            <x v="246"/>
          </reference>
          <reference field="12" count="1" selected="0">
            <x v="246"/>
          </reference>
          <reference field="21" count="1" selected="0">
            <x v="0"/>
          </reference>
          <reference field="25" count="1">
            <x v="4"/>
          </reference>
        </references>
      </pivotArea>
    </format>
    <format dxfId="1707">
      <pivotArea dataOnly="0" labelOnly="1" outline="0" fieldPosition="0">
        <references count="6">
          <reference field="1" count="1" selected="0">
            <x v="1"/>
          </reference>
          <reference field="5" count="1" selected="0">
            <x v="13"/>
          </reference>
          <reference field="11" count="1" selected="0">
            <x v="39"/>
          </reference>
          <reference field="12" count="1" selected="0">
            <x v="199"/>
          </reference>
          <reference field="21" count="1" selected="0">
            <x v="1"/>
          </reference>
          <reference field="25" count="1">
            <x v="4"/>
          </reference>
        </references>
      </pivotArea>
    </format>
    <format dxfId="1706">
      <pivotArea dataOnly="0" labelOnly="1" outline="0" fieldPosition="0">
        <references count="6">
          <reference field="1" count="1" selected="0">
            <x v="1"/>
          </reference>
          <reference field="5" count="1" selected="0">
            <x v="13"/>
          </reference>
          <reference field="11" count="1" selected="0">
            <x v="214"/>
          </reference>
          <reference field="12" count="1" selected="0">
            <x v="222"/>
          </reference>
          <reference field="21" count="1" selected="0">
            <x v="0"/>
          </reference>
          <reference field="25" count="1">
            <x v="0"/>
          </reference>
        </references>
      </pivotArea>
    </format>
    <format dxfId="1705">
      <pivotArea dataOnly="0" labelOnly="1" outline="0" fieldPosition="0">
        <references count="6">
          <reference field="1" count="1" selected="0">
            <x v="1"/>
          </reference>
          <reference field="5" count="1" selected="0">
            <x v="13"/>
          </reference>
          <reference field="11" count="1" selected="0">
            <x v="217"/>
          </reference>
          <reference field="12" count="1" selected="0">
            <x v="226"/>
          </reference>
          <reference field="21" count="1" selected="0">
            <x v="0"/>
          </reference>
          <reference field="25" count="1">
            <x v="5"/>
          </reference>
        </references>
      </pivotArea>
    </format>
    <format dxfId="1704">
      <pivotArea dataOnly="0" labelOnly="1" outline="0" fieldPosition="0">
        <references count="6">
          <reference field="1" count="1" selected="0">
            <x v="1"/>
          </reference>
          <reference field="5" count="1" selected="0">
            <x v="15"/>
          </reference>
          <reference field="11" count="1" selected="0">
            <x v="130"/>
          </reference>
          <reference field="12" count="1" selected="0">
            <x v="194"/>
          </reference>
          <reference field="21" count="1" selected="0">
            <x v="0"/>
          </reference>
          <reference field="25" count="1">
            <x v="0"/>
          </reference>
        </references>
      </pivotArea>
    </format>
    <format dxfId="1703">
      <pivotArea dataOnly="0" labelOnly="1" outline="0" fieldPosition="0">
        <references count="6">
          <reference field="1" count="1" selected="0">
            <x v="1"/>
          </reference>
          <reference field="5" count="1" selected="0">
            <x v="15"/>
          </reference>
          <reference field="11" count="1" selected="0">
            <x v="132"/>
          </reference>
          <reference field="12" count="1" selected="0">
            <x v="193"/>
          </reference>
          <reference field="21" count="1" selected="0">
            <x v="0"/>
          </reference>
          <reference field="25" count="1">
            <x v="5"/>
          </reference>
        </references>
      </pivotArea>
    </format>
    <format dxfId="1702">
      <pivotArea dataOnly="0" labelOnly="1" outline="0" fieldPosition="0">
        <references count="6">
          <reference field="1" count="1" selected="0">
            <x v="1"/>
          </reference>
          <reference field="5" count="1" selected="0">
            <x v="15"/>
          </reference>
          <reference field="11" count="1" selected="0">
            <x v="215"/>
          </reference>
          <reference field="12" count="1" selected="0">
            <x v="223"/>
          </reference>
          <reference field="21" count="1" selected="0">
            <x v="0"/>
          </reference>
          <reference field="25" count="1">
            <x v="0"/>
          </reference>
        </references>
      </pivotArea>
    </format>
    <format dxfId="1701">
      <pivotArea dataOnly="0" labelOnly="1" outline="0" fieldPosition="0">
        <references count="6">
          <reference field="1" count="1" selected="0">
            <x v="1"/>
          </reference>
          <reference field="5" count="1" selected="0">
            <x v="15"/>
          </reference>
          <reference field="11" count="1" selected="0">
            <x v="242"/>
          </reference>
          <reference field="12" count="1" selected="0">
            <x v="247"/>
          </reference>
          <reference field="21" count="1" selected="0">
            <x v="0"/>
          </reference>
          <reference field="25" count="1">
            <x v="4"/>
          </reference>
        </references>
      </pivotArea>
    </format>
    <format dxfId="1700">
      <pivotArea dataOnly="0" labelOnly="1" outline="0" fieldPosition="0">
        <references count="6">
          <reference field="1" count="1" selected="0">
            <x v="1"/>
          </reference>
          <reference field="5" count="1" selected="0">
            <x v="16"/>
          </reference>
          <reference field="11" count="1" selected="0">
            <x v="142"/>
          </reference>
          <reference field="12" count="1" selected="0">
            <x v="202"/>
          </reference>
          <reference field="21" count="1" selected="0">
            <x v="0"/>
          </reference>
          <reference field="25" count="1">
            <x v="0"/>
          </reference>
        </references>
      </pivotArea>
    </format>
    <format dxfId="1699">
      <pivotArea dataOnly="0" labelOnly="1" outline="0" fieldPosition="0">
        <references count="6">
          <reference field="1" count="1" selected="0">
            <x v="1"/>
          </reference>
          <reference field="5" count="1" selected="0">
            <x v="16"/>
          </reference>
          <reference field="11" count="1" selected="0">
            <x v="143"/>
          </reference>
          <reference field="12" count="1" selected="0">
            <x v="214"/>
          </reference>
          <reference field="21" count="1" selected="0">
            <x v="1"/>
          </reference>
          <reference field="25" count="1">
            <x v="4"/>
          </reference>
        </references>
      </pivotArea>
    </format>
    <format dxfId="1698">
      <pivotArea dataOnly="0" labelOnly="1" outline="0" fieldPosition="0">
        <references count="7">
          <reference field="1" count="1" selected="0">
            <x v="0"/>
          </reference>
          <reference field="5" count="1" selected="0">
            <x v="0"/>
          </reference>
          <reference field="11" count="1" selected="0">
            <x v="3"/>
          </reference>
          <reference field="12" count="1" selected="0">
            <x v="49"/>
          </reference>
          <reference field="19" count="1">
            <x v="0"/>
          </reference>
          <reference field="21" count="1" selected="0">
            <x v="0"/>
          </reference>
          <reference field="25" count="1" selected="0">
            <x v="1"/>
          </reference>
        </references>
      </pivotArea>
    </format>
    <format dxfId="1697">
      <pivotArea dataOnly="0" labelOnly="1" outline="0" fieldPosition="0">
        <references count="7">
          <reference field="1" count="1" selected="0">
            <x v="0"/>
          </reference>
          <reference field="5" count="1" selected="0">
            <x v="0"/>
          </reference>
          <reference field="11" count="1" selected="0">
            <x v="7"/>
          </reference>
          <reference field="12" count="1" selected="0">
            <x v="164"/>
          </reference>
          <reference field="19" count="1">
            <x v="0"/>
          </reference>
          <reference field="21" count="1" selected="0">
            <x v="0"/>
          </reference>
          <reference field="25" count="1" selected="0">
            <x v="0"/>
          </reference>
        </references>
      </pivotArea>
    </format>
    <format dxfId="1696">
      <pivotArea dataOnly="0" labelOnly="1" outline="0" fieldPosition="0">
        <references count="7">
          <reference field="1" count="1" selected="0">
            <x v="0"/>
          </reference>
          <reference field="5" count="1" selected="0">
            <x v="0"/>
          </reference>
          <reference field="11" count="1" selected="0">
            <x v="38"/>
          </reference>
          <reference field="12" count="1" selected="0">
            <x v="137"/>
          </reference>
          <reference field="19" count="1">
            <x v="0"/>
          </reference>
          <reference field="21" count="1" selected="0">
            <x v="1"/>
          </reference>
          <reference field="25" count="1" selected="0">
            <x v="4"/>
          </reference>
        </references>
      </pivotArea>
    </format>
    <format dxfId="1695">
      <pivotArea dataOnly="0" labelOnly="1" outline="0" fieldPosition="0">
        <references count="7">
          <reference field="1" count="1" selected="0">
            <x v="0"/>
          </reference>
          <reference field="5" count="1" selected="0">
            <x v="0"/>
          </reference>
          <reference field="11" count="1" selected="0">
            <x v="43"/>
          </reference>
          <reference field="12" count="1" selected="0">
            <x v="51"/>
          </reference>
          <reference field="19" count="1">
            <x v="0"/>
          </reference>
          <reference field="21" count="1" selected="0">
            <x v="0"/>
          </reference>
          <reference field="25" count="1" selected="0">
            <x v="0"/>
          </reference>
        </references>
      </pivotArea>
    </format>
    <format dxfId="1694">
      <pivotArea dataOnly="0" labelOnly="1" outline="0" fieldPosition="0">
        <references count="7">
          <reference field="1" count="1" selected="0">
            <x v="0"/>
          </reference>
          <reference field="5" count="1" selected="0">
            <x v="0"/>
          </reference>
          <reference field="11" count="1" selected="0">
            <x v="68"/>
          </reference>
          <reference field="12" count="1" selected="0">
            <x v="48"/>
          </reference>
          <reference field="19" count="1">
            <x v="0"/>
          </reference>
          <reference field="21" count="1" selected="0">
            <x v="0"/>
          </reference>
          <reference field="25" count="1" selected="0">
            <x v="3"/>
          </reference>
        </references>
      </pivotArea>
    </format>
    <format dxfId="1693">
      <pivotArea dataOnly="0" labelOnly="1" outline="0" fieldPosition="0">
        <references count="7">
          <reference field="1" count="1" selected="0">
            <x v="0"/>
          </reference>
          <reference field="5" count="1" selected="0">
            <x v="0"/>
          </reference>
          <reference field="11" count="1" selected="0">
            <x v="126"/>
          </reference>
          <reference field="12" count="1" selected="0">
            <x v="50"/>
          </reference>
          <reference field="19" count="1">
            <x v="0"/>
          </reference>
          <reference field="21" count="1" selected="0">
            <x v="0"/>
          </reference>
          <reference field="25" count="1" selected="0">
            <x v="3"/>
          </reference>
        </references>
      </pivotArea>
    </format>
    <format dxfId="1692">
      <pivotArea dataOnly="0" labelOnly="1" outline="0" fieldPosition="0">
        <references count="7">
          <reference field="1" count="1" selected="0">
            <x v="0"/>
          </reference>
          <reference field="5" count="1" selected="0">
            <x v="0"/>
          </reference>
          <reference field="11" count="1" selected="0">
            <x v="145"/>
          </reference>
          <reference field="12" count="1" selected="0">
            <x v="53"/>
          </reference>
          <reference field="19" count="1">
            <x v="0"/>
          </reference>
          <reference field="21" count="1" selected="0">
            <x v="0"/>
          </reference>
          <reference field="25" count="1" selected="0">
            <x v="1"/>
          </reference>
        </references>
      </pivotArea>
    </format>
    <format dxfId="1691">
      <pivotArea dataOnly="0" labelOnly="1" outline="0" fieldPosition="0">
        <references count="7">
          <reference field="1" count="1" selected="0">
            <x v="0"/>
          </reference>
          <reference field="5" count="1" selected="0">
            <x v="0"/>
          </reference>
          <reference field="11" count="1" selected="0">
            <x v="163"/>
          </reference>
          <reference field="12" count="1" selected="0">
            <x v="163"/>
          </reference>
          <reference field="19" count="1">
            <x v="0"/>
          </reference>
          <reference field="21" count="1" selected="0">
            <x v="0"/>
          </reference>
          <reference field="25" count="1" selected="0">
            <x v="0"/>
          </reference>
        </references>
      </pivotArea>
    </format>
    <format dxfId="1690">
      <pivotArea dataOnly="0" labelOnly="1" outline="0" fieldPosition="0">
        <references count="7">
          <reference field="1" count="1" selected="0">
            <x v="0"/>
          </reference>
          <reference field="5" count="1" selected="0">
            <x v="0"/>
          </reference>
          <reference field="11" count="1" selected="0">
            <x v="171"/>
          </reference>
          <reference field="12" count="1" selected="0">
            <x v="46"/>
          </reference>
          <reference field="19" count="1">
            <x v="0"/>
          </reference>
          <reference field="21" count="1" selected="0">
            <x v="0"/>
          </reference>
          <reference field="25" count="1" selected="0">
            <x v="0"/>
          </reference>
        </references>
      </pivotArea>
    </format>
    <format dxfId="1689">
      <pivotArea dataOnly="0" labelOnly="1" outline="0" fieldPosition="0">
        <references count="7">
          <reference field="1" count="1" selected="0">
            <x v="0"/>
          </reference>
          <reference field="5" count="1" selected="0">
            <x v="0"/>
          </reference>
          <reference field="11" count="1" selected="0">
            <x v="186"/>
          </reference>
          <reference field="12" count="1" selected="0">
            <x v="54"/>
          </reference>
          <reference field="19" count="1">
            <x v="0"/>
          </reference>
          <reference field="21" count="1" selected="0">
            <x v="0"/>
          </reference>
          <reference field="25" count="1" selected="0">
            <x v="3"/>
          </reference>
        </references>
      </pivotArea>
    </format>
    <format dxfId="1688">
      <pivotArea dataOnly="0" labelOnly="1" outline="0" fieldPosition="0">
        <references count="7">
          <reference field="1" count="1" selected="0">
            <x v="0"/>
          </reference>
          <reference field="5" count="1" selected="0">
            <x v="0"/>
          </reference>
          <reference field="11" count="1" selected="0">
            <x v="205"/>
          </reference>
          <reference field="12" count="1" selected="0">
            <x v="52"/>
          </reference>
          <reference field="19" count="1">
            <x v="0"/>
          </reference>
          <reference field="21" count="1" selected="0">
            <x v="0"/>
          </reference>
          <reference field="25" count="1" selected="0">
            <x v="3"/>
          </reference>
        </references>
      </pivotArea>
    </format>
    <format dxfId="1687">
      <pivotArea dataOnly="0" labelOnly="1" outline="0" fieldPosition="0">
        <references count="7">
          <reference field="1" count="1" selected="0">
            <x v="0"/>
          </reference>
          <reference field="5" count="1" selected="0">
            <x v="1"/>
          </reference>
          <reference field="11" count="1" selected="0">
            <x v="21"/>
          </reference>
          <reference field="12" count="1" selected="0">
            <x v="41"/>
          </reference>
          <reference field="19" count="1">
            <x v="0"/>
          </reference>
          <reference field="21" count="1" selected="0">
            <x v="0"/>
          </reference>
          <reference field="25" count="1" selected="0">
            <x v="3"/>
          </reference>
        </references>
      </pivotArea>
    </format>
    <format dxfId="1686">
      <pivotArea dataOnly="0" labelOnly="1" outline="0" fieldPosition="0">
        <references count="7">
          <reference field="1" count="1" selected="0">
            <x v="0"/>
          </reference>
          <reference field="5" count="1" selected="0">
            <x v="1"/>
          </reference>
          <reference field="11" count="1" selected="0">
            <x v="41"/>
          </reference>
          <reference field="12" count="1" selected="0">
            <x v="42"/>
          </reference>
          <reference field="19" count="1">
            <x v="1"/>
          </reference>
          <reference field="21" count="1" selected="0">
            <x v="0"/>
          </reference>
          <reference field="25" count="1" selected="0">
            <x v="0"/>
          </reference>
        </references>
      </pivotArea>
    </format>
    <format dxfId="1685">
      <pivotArea dataOnly="0" labelOnly="1" outline="0" fieldPosition="0">
        <references count="7">
          <reference field="1" count="1" selected="0">
            <x v="0"/>
          </reference>
          <reference field="5" count="1" selected="0">
            <x v="1"/>
          </reference>
          <reference field="11" count="1" selected="0">
            <x v="59"/>
          </reference>
          <reference field="12" count="1" selected="0">
            <x v="44"/>
          </reference>
          <reference field="19" count="1">
            <x v="0"/>
          </reference>
          <reference field="21" count="1" selected="0">
            <x v="1"/>
          </reference>
          <reference field="25" count="1" selected="0">
            <x v="4"/>
          </reference>
        </references>
      </pivotArea>
    </format>
    <format dxfId="1684">
      <pivotArea dataOnly="0" labelOnly="1" outline="0" fieldPosition="0">
        <references count="7">
          <reference field="1" count="1" selected="0">
            <x v="0"/>
          </reference>
          <reference field="5" count="1" selected="0">
            <x v="1"/>
          </reference>
          <reference field="11" count="1" selected="0">
            <x v="65"/>
          </reference>
          <reference field="12" count="1" selected="0">
            <x v="165"/>
          </reference>
          <reference field="19" count="1">
            <x v="0"/>
          </reference>
          <reference field="21" count="1" selected="0">
            <x v="0"/>
          </reference>
          <reference field="25" count="1" selected="0">
            <x v="3"/>
          </reference>
        </references>
      </pivotArea>
    </format>
    <format dxfId="1683">
      <pivotArea dataOnly="0" labelOnly="1" outline="0" fieldPosition="0">
        <references count="7">
          <reference field="1" count="1" selected="0">
            <x v="0"/>
          </reference>
          <reference field="5" count="1" selected="0">
            <x v="1"/>
          </reference>
          <reference field="11" count="1" selected="0">
            <x v="161"/>
          </reference>
          <reference field="12" count="1" selected="0">
            <x v="178"/>
          </reference>
          <reference field="19" count="1">
            <x v="0"/>
          </reference>
          <reference field="21" count="1" selected="0">
            <x v="0"/>
          </reference>
          <reference field="25" count="1" selected="0">
            <x v="2"/>
          </reference>
        </references>
      </pivotArea>
    </format>
    <format dxfId="1682">
      <pivotArea dataOnly="0" labelOnly="1" outline="0" fieldPosition="0">
        <references count="7">
          <reference field="1" count="1" selected="0">
            <x v="0"/>
          </reference>
          <reference field="5" count="1" selected="0">
            <x v="1"/>
          </reference>
          <reference field="11" count="1" selected="0">
            <x v="210"/>
          </reference>
          <reference field="12" count="1" selected="0">
            <x v="219"/>
          </reference>
          <reference field="19" count="1">
            <x v="0"/>
          </reference>
          <reference field="21" count="1" selected="0">
            <x v="0"/>
          </reference>
          <reference field="25" count="1" selected="0">
            <x v="2"/>
          </reference>
        </references>
      </pivotArea>
    </format>
    <format dxfId="1681">
      <pivotArea dataOnly="0" labelOnly="1" outline="0" fieldPosition="0">
        <references count="7">
          <reference field="1" count="1" selected="0">
            <x v="0"/>
          </reference>
          <reference field="5" count="1" selected="0">
            <x v="2"/>
          </reference>
          <reference field="11" count="1" selected="0">
            <x v="1"/>
          </reference>
          <reference field="12" count="1" selected="0">
            <x v="150"/>
          </reference>
          <reference field="19" count="1">
            <x v="0"/>
          </reference>
          <reference field="21" count="1" selected="0">
            <x v="0"/>
          </reference>
          <reference field="25" count="1" selected="0">
            <x v="0"/>
          </reference>
        </references>
      </pivotArea>
    </format>
    <format dxfId="1680">
      <pivotArea dataOnly="0" labelOnly="1" outline="0" fieldPosition="0">
        <references count="7">
          <reference field="1" count="1" selected="0">
            <x v="0"/>
          </reference>
          <reference field="5" count="1" selected="0">
            <x v="2"/>
          </reference>
          <reference field="11" count="1" selected="0">
            <x v="2"/>
          </reference>
          <reference field="12" count="1" selected="0">
            <x v="139"/>
          </reference>
          <reference field="19" count="1">
            <x v="0"/>
          </reference>
          <reference field="21" count="1" selected="0">
            <x v="0"/>
          </reference>
          <reference field="25" count="1" selected="0">
            <x v="2"/>
          </reference>
        </references>
      </pivotArea>
    </format>
    <format dxfId="1679">
      <pivotArea dataOnly="0" labelOnly="1" outline="0" fieldPosition="0">
        <references count="7">
          <reference field="1" count="1" selected="0">
            <x v="0"/>
          </reference>
          <reference field="5" count="1" selected="0">
            <x v="2"/>
          </reference>
          <reference field="11" count="1" selected="0">
            <x v="4"/>
          </reference>
          <reference field="12" count="1" selected="0">
            <x v="147"/>
          </reference>
          <reference field="19" count="1">
            <x v="0"/>
          </reference>
          <reference field="21" count="1" selected="0">
            <x v="0"/>
          </reference>
          <reference field="25" count="1" selected="0">
            <x v="3"/>
          </reference>
        </references>
      </pivotArea>
    </format>
    <format dxfId="1678">
      <pivotArea dataOnly="0" labelOnly="1" outline="0" fieldPosition="0">
        <references count="7">
          <reference field="1" count="1" selected="0">
            <x v="0"/>
          </reference>
          <reference field="5" count="1" selected="0">
            <x v="2"/>
          </reference>
          <reference field="11" count="1" selected="0">
            <x v="5"/>
          </reference>
          <reference field="12" count="1" selected="0">
            <x v="160"/>
          </reference>
          <reference field="19" count="1">
            <x v="0"/>
          </reference>
          <reference field="21" count="1" selected="0">
            <x v="0"/>
          </reference>
          <reference field="25" count="1" selected="0">
            <x v="3"/>
          </reference>
        </references>
      </pivotArea>
    </format>
    <format dxfId="1677">
      <pivotArea dataOnly="0" labelOnly="1" outline="0" fieldPosition="0">
        <references count="7">
          <reference field="1" count="1" selected="0">
            <x v="0"/>
          </reference>
          <reference field="5" count="1" selected="0">
            <x v="2"/>
          </reference>
          <reference field="11" count="1" selected="0">
            <x v="13"/>
          </reference>
          <reference field="12" count="1" selected="0">
            <x v="140"/>
          </reference>
          <reference field="19" count="1">
            <x v="0"/>
          </reference>
          <reference field="21" count="1" selected="0">
            <x v="0"/>
          </reference>
          <reference field="25" count="1" selected="0">
            <x v="0"/>
          </reference>
        </references>
      </pivotArea>
    </format>
    <format dxfId="1676">
      <pivotArea dataOnly="0" labelOnly="1" outline="0" fieldPosition="0">
        <references count="7">
          <reference field="1" count="1" selected="0">
            <x v="0"/>
          </reference>
          <reference field="5" count="1" selected="0">
            <x v="2"/>
          </reference>
          <reference field="11" count="1" selected="0">
            <x v="19"/>
          </reference>
          <reference field="12" count="1" selected="0">
            <x v="105"/>
          </reference>
          <reference field="19" count="1">
            <x v="0"/>
          </reference>
          <reference field="21" count="1" selected="0">
            <x v="0"/>
          </reference>
          <reference field="25" count="1" selected="0">
            <x v="3"/>
          </reference>
        </references>
      </pivotArea>
    </format>
    <format dxfId="1675">
      <pivotArea dataOnly="0" labelOnly="1" outline="0" fieldPosition="0">
        <references count="7">
          <reference field="1" count="1" selected="0">
            <x v="0"/>
          </reference>
          <reference field="5" count="1" selected="0">
            <x v="2"/>
          </reference>
          <reference field="11" count="1" selected="0">
            <x v="23"/>
          </reference>
          <reference field="12" count="1" selected="0">
            <x v="145"/>
          </reference>
          <reference field="19" count="1">
            <x v="0"/>
          </reference>
          <reference field="21" count="1" selected="0">
            <x v="0"/>
          </reference>
          <reference field="25" count="1" selected="0">
            <x v="3"/>
          </reference>
        </references>
      </pivotArea>
    </format>
    <format dxfId="1674">
      <pivotArea dataOnly="0" labelOnly="1" outline="0" fieldPosition="0">
        <references count="7">
          <reference field="1" count="1" selected="0">
            <x v="0"/>
          </reference>
          <reference field="5" count="1" selected="0">
            <x v="2"/>
          </reference>
          <reference field="11" count="1" selected="0">
            <x v="35"/>
          </reference>
          <reference field="12" count="1" selected="0">
            <x v="131"/>
          </reference>
          <reference field="19" count="1">
            <x v="0"/>
          </reference>
          <reference field="21" count="1" selected="0">
            <x v="0"/>
          </reference>
          <reference field="25" count="1" selected="0">
            <x v="0"/>
          </reference>
        </references>
      </pivotArea>
    </format>
    <format dxfId="1673">
      <pivotArea dataOnly="0" labelOnly="1" outline="0" fieldPosition="0">
        <references count="7">
          <reference field="1" count="1" selected="0">
            <x v="0"/>
          </reference>
          <reference field="5" count="1" selected="0">
            <x v="2"/>
          </reference>
          <reference field="11" count="1" selected="0">
            <x v="36"/>
          </reference>
          <reference field="12" count="1" selected="0">
            <x v="161"/>
          </reference>
          <reference field="19" count="1">
            <x v="0"/>
          </reference>
          <reference field="21" count="1" selected="0">
            <x v="0"/>
          </reference>
          <reference field="25" count="1" selected="0">
            <x v="3"/>
          </reference>
        </references>
      </pivotArea>
    </format>
    <format dxfId="1672">
      <pivotArea dataOnly="0" labelOnly="1" outline="0" fieldPosition="0">
        <references count="7">
          <reference field="1" count="1" selected="0">
            <x v="0"/>
          </reference>
          <reference field="5" count="1" selected="0">
            <x v="2"/>
          </reference>
          <reference field="11" count="1" selected="0">
            <x v="66"/>
          </reference>
          <reference field="12" count="1" selected="0">
            <x v="152"/>
          </reference>
          <reference field="19" count="1">
            <x v="0"/>
          </reference>
          <reference field="21" count="1" selected="0">
            <x v="0"/>
          </reference>
          <reference field="25" count="1" selected="0">
            <x v="3"/>
          </reference>
        </references>
      </pivotArea>
    </format>
    <format dxfId="1671">
      <pivotArea dataOnly="0" labelOnly="1" outline="0" fieldPosition="0">
        <references count="7">
          <reference field="1" count="1" selected="0">
            <x v="0"/>
          </reference>
          <reference field="5" count="1" selected="0">
            <x v="2"/>
          </reference>
          <reference field="11" count="1" selected="0">
            <x v="67"/>
          </reference>
          <reference field="12" count="1" selected="0">
            <x v="138"/>
          </reference>
          <reference field="19" count="1">
            <x v="0"/>
          </reference>
          <reference field="21" count="1" selected="0">
            <x v="0"/>
          </reference>
          <reference field="25" count="1" selected="0">
            <x v="3"/>
          </reference>
        </references>
      </pivotArea>
    </format>
    <format dxfId="1670">
      <pivotArea dataOnly="0" labelOnly="1" outline="0" fieldPosition="0">
        <references count="7">
          <reference field="1" count="1" selected="0">
            <x v="0"/>
          </reference>
          <reference field="5" count="1" selected="0">
            <x v="2"/>
          </reference>
          <reference field="11" count="1" selected="0">
            <x v="113"/>
          </reference>
          <reference field="12" count="1" selected="0">
            <x v="87"/>
          </reference>
          <reference field="19" count="1">
            <x v="0"/>
          </reference>
          <reference field="21" count="1" selected="0">
            <x v="0"/>
          </reference>
          <reference field="25" count="1" selected="0">
            <x v="3"/>
          </reference>
        </references>
      </pivotArea>
    </format>
    <format dxfId="1669">
      <pivotArea dataOnly="0" labelOnly="1" outline="0" fieldPosition="0">
        <references count="7">
          <reference field="1" count="1" selected="0">
            <x v="0"/>
          </reference>
          <reference field="5" count="1" selected="0">
            <x v="2"/>
          </reference>
          <reference field="11" count="1" selected="0">
            <x v="141"/>
          </reference>
          <reference field="12" count="1" selected="0">
            <x v="162"/>
          </reference>
          <reference field="19" count="1">
            <x v="0"/>
          </reference>
          <reference field="21" count="1" selected="0">
            <x v="0"/>
          </reference>
          <reference field="25" count="1" selected="0">
            <x v="3"/>
          </reference>
        </references>
      </pivotArea>
    </format>
    <format dxfId="1668">
      <pivotArea dataOnly="0" labelOnly="1" outline="0" fieldPosition="0">
        <references count="7">
          <reference field="1" count="1" selected="0">
            <x v="0"/>
          </reference>
          <reference field="5" count="1" selected="0">
            <x v="2"/>
          </reference>
          <reference field="11" count="1" selected="0">
            <x v="146"/>
          </reference>
          <reference field="12" count="1" selected="0">
            <x v="99"/>
          </reference>
          <reference field="19" count="1">
            <x v="0"/>
          </reference>
          <reference field="21" count="1" selected="0">
            <x v="0"/>
          </reference>
          <reference field="25" count="1" selected="0">
            <x v="2"/>
          </reference>
        </references>
      </pivotArea>
    </format>
    <format dxfId="1667">
      <pivotArea dataOnly="0" labelOnly="1" outline="0" fieldPosition="0">
        <references count="7">
          <reference field="1" count="1" selected="0">
            <x v="0"/>
          </reference>
          <reference field="5" count="1" selected="0">
            <x v="2"/>
          </reference>
          <reference field="11" count="1" selected="0">
            <x v="170"/>
          </reference>
          <reference field="12" count="1" selected="0">
            <x v="153"/>
          </reference>
          <reference field="19" count="1">
            <x v="0"/>
          </reference>
          <reference field="21" count="1" selected="0">
            <x v="0"/>
          </reference>
          <reference field="25" count="1" selected="0">
            <x v="3"/>
          </reference>
        </references>
      </pivotArea>
    </format>
    <format dxfId="1666">
      <pivotArea dataOnly="0" labelOnly="1" outline="0" fieldPosition="0">
        <references count="7">
          <reference field="1" count="1" selected="0">
            <x v="0"/>
          </reference>
          <reference field="5" count="1" selected="0">
            <x v="2"/>
          </reference>
          <reference field="11" count="1" selected="0">
            <x v="173"/>
          </reference>
          <reference field="12" count="1" selected="0">
            <x v="154"/>
          </reference>
          <reference field="19" count="1">
            <x v="0"/>
          </reference>
          <reference field="21" count="1" selected="0">
            <x v="0"/>
          </reference>
          <reference field="25" count="1" selected="0">
            <x v="0"/>
          </reference>
        </references>
      </pivotArea>
    </format>
    <format dxfId="1665">
      <pivotArea dataOnly="0" labelOnly="1" outline="0" fieldPosition="0">
        <references count="7">
          <reference field="1" count="1" selected="0">
            <x v="0"/>
          </reference>
          <reference field="5" count="1" selected="0">
            <x v="2"/>
          </reference>
          <reference field="11" count="1" selected="0">
            <x v="200"/>
          </reference>
          <reference field="12" count="1" selected="0">
            <x v="155"/>
          </reference>
          <reference field="19" count="1">
            <x v="0"/>
          </reference>
          <reference field="21" count="1" selected="0">
            <x v="0"/>
          </reference>
          <reference field="25" count="1" selected="0">
            <x v="0"/>
          </reference>
        </references>
      </pivotArea>
    </format>
    <format dxfId="1664">
      <pivotArea dataOnly="0" labelOnly="1" outline="0" fieldPosition="0">
        <references count="7">
          <reference field="1" count="1" selected="0">
            <x v="0"/>
          </reference>
          <reference field="5" count="1" selected="0">
            <x v="2"/>
          </reference>
          <reference field="11" count="1" selected="0">
            <x v="206"/>
          </reference>
          <reference field="12" count="1" selected="0">
            <x v="101"/>
          </reference>
          <reference field="19" count="1">
            <x v="0"/>
          </reference>
          <reference field="21" count="1" selected="0">
            <x v="0"/>
          </reference>
          <reference field="25" count="1" selected="0">
            <x v="0"/>
          </reference>
        </references>
      </pivotArea>
    </format>
    <format dxfId="1663">
      <pivotArea dataOnly="0" labelOnly="1" outline="0" fieldPosition="0">
        <references count="7">
          <reference field="1" count="1" selected="0">
            <x v="0"/>
          </reference>
          <reference field="5" count="1" selected="0">
            <x v="2"/>
          </reference>
          <reference field="11" count="1" selected="0">
            <x v="218"/>
          </reference>
          <reference field="12" count="1" selected="0">
            <x v="227"/>
          </reference>
          <reference field="19" count="1">
            <x v="0"/>
          </reference>
          <reference field="21" count="1" selected="0">
            <x v="0"/>
          </reference>
          <reference field="25" count="1" selected="0">
            <x v="0"/>
          </reference>
        </references>
      </pivotArea>
    </format>
    <format dxfId="1662">
      <pivotArea dataOnly="0" labelOnly="1" outline="0" fieldPosition="0">
        <references count="7">
          <reference field="1" count="1" selected="0">
            <x v="0"/>
          </reference>
          <reference field="5" count="1" selected="0">
            <x v="2"/>
          </reference>
          <reference field="11" count="1" selected="0">
            <x v="222"/>
          </reference>
          <reference field="12" count="1" selected="0">
            <x v="230"/>
          </reference>
          <reference field="19" count="1">
            <x v="0"/>
          </reference>
          <reference field="21" count="1" selected="0">
            <x v="0"/>
          </reference>
          <reference field="25" count="1" selected="0">
            <x v="0"/>
          </reference>
        </references>
      </pivotArea>
    </format>
    <format dxfId="1661">
      <pivotArea dataOnly="0" labelOnly="1" outline="0" fieldPosition="0">
        <references count="7">
          <reference field="1" count="1" selected="0">
            <x v="0"/>
          </reference>
          <reference field="5" count="1" selected="0">
            <x v="2"/>
          </reference>
          <reference field="11" count="1" selected="0">
            <x v="240"/>
          </reference>
          <reference field="12" count="1" selected="0">
            <x v="242"/>
          </reference>
          <reference field="19" count="1">
            <x v="0"/>
          </reference>
          <reference field="21" count="1" selected="0">
            <x v="0"/>
          </reference>
          <reference field="25" count="1" selected="0">
            <x v="4"/>
          </reference>
        </references>
      </pivotArea>
    </format>
    <format dxfId="1660">
      <pivotArea dataOnly="0" labelOnly="1" outline="0" fieldPosition="0">
        <references count="7">
          <reference field="1" count="1" selected="0">
            <x v="0"/>
          </reference>
          <reference field="5" count="1" selected="0">
            <x v="2"/>
          </reference>
          <reference field="11" count="1" selected="0">
            <x v="249"/>
          </reference>
          <reference field="12" count="1" selected="0">
            <x v="252"/>
          </reference>
          <reference field="19" count="1">
            <x v="0"/>
          </reference>
          <reference field="21" count="1" selected="0">
            <x v="0"/>
          </reference>
          <reference field="25" count="1" selected="0">
            <x v="4"/>
          </reference>
        </references>
      </pivotArea>
    </format>
    <format dxfId="1659">
      <pivotArea dataOnly="0" labelOnly="1" outline="0" fieldPosition="0">
        <references count="7">
          <reference field="1" count="1" selected="0">
            <x v="0"/>
          </reference>
          <reference field="5" count="1" selected="0">
            <x v="2"/>
          </reference>
          <reference field="11" count="1" selected="0">
            <x v="250"/>
          </reference>
          <reference field="12" count="1" selected="0">
            <x v="253"/>
          </reference>
          <reference field="19" count="1">
            <x v="0"/>
          </reference>
          <reference field="21" count="1" selected="0">
            <x v="0"/>
          </reference>
          <reference field="25" count="1" selected="0">
            <x v="4"/>
          </reference>
        </references>
      </pivotArea>
    </format>
    <format dxfId="1658">
      <pivotArea dataOnly="0" labelOnly="1" outline="0" fieldPosition="0">
        <references count="7">
          <reference field="1" count="1" selected="0">
            <x v="0"/>
          </reference>
          <reference field="5" count="1" selected="0">
            <x v="2"/>
          </reference>
          <reference field="11" count="1" selected="0">
            <x v="251"/>
          </reference>
          <reference field="12" count="1" selected="0">
            <x v="254"/>
          </reference>
          <reference field="19" count="1">
            <x v="0"/>
          </reference>
          <reference field="21" count="1" selected="0">
            <x v="0"/>
          </reference>
          <reference field="25" count="1" selected="0">
            <x v="4"/>
          </reference>
        </references>
      </pivotArea>
    </format>
    <format dxfId="1657">
      <pivotArea dataOnly="0" labelOnly="1" outline="0" fieldPosition="0">
        <references count="7">
          <reference field="1" count="1" selected="0">
            <x v="0"/>
          </reference>
          <reference field="5" count="1" selected="0">
            <x v="2"/>
          </reference>
          <reference field="11" count="1" selected="0">
            <x v="252"/>
          </reference>
          <reference field="12" count="1" selected="0">
            <x v="255"/>
          </reference>
          <reference field="19" count="1">
            <x v="0"/>
          </reference>
          <reference field="21" count="1" selected="0">
            <x v="0"/>
          </reference>
          <reference field="25" count="1" selected="0">
            <x v="4"/>
          </reference>
        </references>
      </pivotArea>
    </format>
    <format dxfId="1656">
      <pivotArea dataOnly="0" labelOnly="1" outline="0" fieldPosition="0">
        <references count="7">
          <reference field="1" count="1" selected="0">
            <x v="0"/>
          </reference>
          <reference field="5" count="1" selected="0">
            <x v="2"/>
          </reference>
          <reference field="11" count="1" selected="0">
            <x v="253"/>
          </reference>
          <reference field="12" count="1" selected="0">
            <x v="256"/>
          </reference>
          <reference field="19" count="1">
            <x v="0"/>
          </reference>
          <reference field="21" count="1" selected="0">
            <x v="0"/>
          </reference>
          <reference field="25" count="1" selected="0">
            <x v="4"/>
          </reference>
        </references>
      </pivotArea>
    </format>
    <format dxfId="1655">
      <pivotArea dataOnly="0" labelOnly="1" outline="0" fieldPosition="0">
        <references count="7">
          <reference field="1" count="1" selected="0">
            <x v="0"/>
          </reference>
          <reference field="5" count="1" selected="0">
            <x v="5"/>
          </reference>
          <reference field="11" count="1" selected="0">
            <x v="56"/>
          </reference>
          <reference field="12" count="1" selected="0">
            <x v="73"/>
          </reference>
          <reference field="19" count="1">
            <x v="0"/>
          </reference>
          <reference field="21" count="1" selected="0">
            <x v="0"/>
          </reference>
          <reference field="25" count="1" selected="0">
            <x v="4"/>
          </reference>
        </references>
      </pivotArea>
    </format>
    <format dxfId="1654">
      <pivotArea dataOnly="0" labelOnly="1" outline="0" fieldPosition="0">
        <references count="7">
          <reference field="1" count="1" selected="0">
            <x v="0"/>
          </reference>
          <reference field="5" count="1" selected="0">
            <x v="8"/>
          </reference>
          <reference field="11" count="1" selected="0">
            <x v="18"/>
          </reference>
          <reference field="12" count="1" selected="0">
            <x v="121"/>
          </reference>
          <reference field="19" count="1">
            <x v="1"/>
          </reference>
          <reference field="21" count="1" selected="0">
            <x v="0"/>
          </reference>
          <reference field="25" count="1" selected="0">
            <x v="1"/>
          </reference>
        </references>
      </pivotArea>
    </format>
    <format dxfId="1653">
      <pivotArea dataOnly="0" labelOnly="1" outline="0" fieldPosition="0">
        <references count="7">
          <reference field="1" count="1" selected="0">
            <x v="0"/>
          </reference>
          <reference field="5" count="1" selected="0">
            <x v="8"/>
          </reference>
          <reference field="11" count="1" selected="0">
            <x v="38"/>
          </reference>
          <reference field="12" count="1" selected="0">
            <x v="166"/>
          </reference>
          <reference field="19" count="1">
            <x v="0"/>
          </reference>
          <reference field="21" count="1" selected="0">
            <x v="1"/>
          </reference>
          <reference field="25" count="1" selected="0">
            <x v="4"/>
          </reference>
        </references>
      </pivotArea>
    </format>
    <format dxfId="1652">
      <pivotArea dataOnly="0" labelOnly="1" outline="0" fieldPosition="0">
        <references count="7">
          <reference field="1" count="1" selected="0">
            <x v="0"/>
          </reference>
          <reference field="5" count="1" selected="0">
            <x v="8"/>
          </reference>
          <reference field="11" count="1" selected="0">
            <x v="60"/>
          </reference>
          <reference field="12" count="1" selected="0">
            <x v="120"/>
          </reference>
          <reference field="19" count="1">
            <x v="1"/>
          </reference>
          <reference field="21" count="1" selected="0">
            <x v="0"/>
          </reference>
          <reference field="25" count="1" selected="0">
            <x v="1"/>
          </reference>
        </references>
      </pivotArea>
    </format>
    <format dxfId="1651">
      <pivotArea dataOnly="0" labelOnly="1" outline="0" fieldPosition="0">
        <references count="7">
          <reference field="1" count="1" selected="0">
            <x v="0"/>
          </reference>
          <reference field="5" count="1" selected="0">
            <x v="8"/>
          </reference>
          <reference field="11" count="1" selected="0">
            <x v="82"/>
          </reference>
          <reference field="12" count="1" selected="0">
            <x v="186"/>
          </reference>
          <reference field="19" count="1">
            <x v="0"/>
          </reference>
          <reference field="21" count="1" selected="0">
            <x v="0"/>
          </reference>
          <reference field="25" count="1" selected="0">
            <x v="0"/>
          </reference>
        </references>
      </pivotArea>
    </format>
    <format dxfId="1650">
      <pivotArea dataOnly="0" labelOnly="1" outline="0" fieldPosition="0">
        <references count="7">
          <reference field="1" count="1" selected="0">
            <x v="0"/>
          </reference>
          <reference field="5" count="1" selected="0">
            <x v="8"/>
          </reference>
          <reference field="11" count="1" selected="0">
            <x v="90"/>
          </reference>
          <reference field="12" count="1" selected="0">
            <x v="124"/>
          </reference>
          <reference field="19" count="1">
            <x v="0"/>
          </reference>
          <reference field="21" count="1" selected="0">
            <x v="0"/>
          </reference>
          <reference field="25" count="1" selected="0">
            <x v="0"/>
          </reference>
        </references>
      </pivotArea>
    </format>
    <format dxfId="1649">
      <pivotArea dataOnly="0" labelOnly="1" outline="0" fieldPosition="0">
        <references count="7">
          <reference field="1" count="1" selected="0">
            <x v="0"/>
          </reference>
          <reference field="5" count="1" selected="0">
            <x v="8"/>
          </reference>
          <reference field="11" count="1" selected="0">
            <x v="91"/>
          </reference>
          <reference field="12" count="1" selected="0">
            <x v="123"/>
          </reference>
          <reference field="19" count="1">
            <x v="0"/>
          </reference>
          <reference field="21" count="1" selected="0">
            <x v="0"/>
          </reference>
          <reference field="25" count="1" selected="0">
            <x v="1"/>
          </reference>
        </references>
      </pivotArea>
    </format>
    <format dxfId="1648">
      <pivotArea dataOnly="0" labelOnly="1" outline="0" fieldPosition="0">
        <references count="7">
          <reference field="1" count="1" selected="0">
            <x v="0"/>
          </reference>
          <reference field="5" count="1" selected="0">
            <x v="8"/>
          </reference>
          <reference field="11" count="1" selected="0">
            <x v="92"/>
          </reference>
          <reference field="12" count="1" selected="0">
            <x v="125"/>
          </reference>
          <reference field="19" count="1">
            <x v="0"/>
          </reference>
          <reference field="21" count="1" selected="0">
            <x v="1"/>
          </reference>
          <reference field="25" count="1" selected="0">
            <x v="4"/>
          </reference>
        </references>
      </pivotArea>
    </format>
    <format dxfId="1647">
      <pivotArea dataOnly="0" labelOnly="1" outline="0" fieldPosition="0">
        <references count="7">
          <reference field="1" count="1" selected="0">
            <x v="0"/>
          </reference>
          <reference field="5" count="1" selected="0">
            <x v="8"/>
          </reference>
          <reference field="11" count="1" selected="0">
            <x v="98"/>
          </reference>
          <reference field="12" count="1" selected="0">
            <x v="65"/>
          </reference>
          <reference field="19" count="1">
            <x v="0"/>
          </reference>
          <reference field="21" count="1" selected="0">
            <x v="0"/>
          </reference>
          <reference field="25" count="1" selected="0">
            <x v="0"/>
          </reference>
        </references>
      </pivotArea>
    </format>
    <format dxfId="1646">
      <pivotArea dataOnly="0" labelOnly="1" outline="0" fieldPosition="0">
        <references count="7">
          <reference field="1" count="1" selected="0">
            <x v="0"/>
          </reference>
          <reference field="5" count="1" selected="0">
            <x v="8"/>
          </reference>
          <reference field="11" count="1" selected="0">
            <x v="209"/>
          </reference>
          <reference field="12" count="1" selected="0">
            <x v="217"/>
          </reference>
          <reference field="19" count="1">
            <x v="0"/>
          </reference>
          <reference field="21" count="1" selected="0">
            <x v="0"/>
          </reference>
          <reference field="25" count="1" selected="0">
            <x v="1"/>
          </reference>
        </references>
      </pivotArea>
    </format>
    <format dxfId="1645">
      <pivotArea dataOnly="0" labelOnly="1" outline="0" fieldPosition="0">
        <references count="7">
          <reference field="1" count="1" selected="0">
            <x v="0"/>
          </reference>
          <reference field="5" count="1" selected="0">
            <x v="8"/>
          </reference>
          <reference field="11" count="1" selected="0">
            <x v="216"/>
          </reference>
          <reference field="12" count="1" selected="0">
            <x v="225"/>
          </reference>
          <reference field="19" count="1">
            <x v="0"/>
          </reference>
          <reference field="21" count="1" selected="0">
            <x v="0"/>
          </reference>
          <reference field="25" count="1" selected="0">
            <x v="1"/>
          </reference>
        </references>
      </pivotArea>
    </format>
    <format dxfId="1644">
      <pivotArea dataOnly="0" labelOnly="1" outline="0" fieldPosition="0">
        <references count="7">
          <reference field="1" count="1" selected="0">
            <x v="0"/>
          </reference>
          <reference field="5" count="1" selected="0">
            <x v="8"/>
          </reference>
          <reference field="11" count="1" selected="0">
            <x v="220"/>
          </reference>
          <reference field="12" count="1" selected="0">
            <x v="228"/>
          </reference>
          <reference field="19" count="1">
            <x v="0"/>
          </reference>
          <reference field="21" count="1" selected="0">
            <x v="0"/>
          </reference>
          <reference field="25" count="1" selected="0">
            <x v="0"/>
          </reference>
        </references>
      </pivotArea>
    </format>
    <format dxfId="1643">
      <pivotArea dataOnly="0" labelOnly="1" outline="0" fieldPosition="0">
        <references count="7">
          <reference field="1" count="1" selected="0">
            <x v="0"/>
          </reference>
          <reference field="5" count="1" selected="0">
            <x v="10"/>
          </reference>
          <reference field="11" count="1" selected="0">
            <x v="55"/>
          </reference>
          <reference field="12" count="1" selected="0">
            <x v="76"/>
          </reference>
          <reference field="19" count="1">
            <x v="0"/>
          </reference>
          <reference field="21" count="1" selected="0">
            <x v="0"/>
          </reference>
          <reference field="25" count="1" selected="0">
            <x v="0"/>
          </reference>
        </references>
      </pivotArea>
    </format>
    <format dxfId="1642">
      <pivotArea dataOnly="0" labelOnly="1" outline="0" fieldPosition="0">
        <references count="7">
          <reference field="1" count="1" selected="0">
            <x v="0"/>
          </reference>
          <reference field="5" count="1" selected="0">
            <x v="10"/>
          </reference>
          <reference field="11" count="1" selected="0">
            <x v="97"/>
          </reference>
          <reference field="12" count="1" selected="0">
            <x v="75"/>
          </reference>
          <reference field="19" count="1">
            <x v="0"/>
          </reference>
          <reference field="21" count="1" selected="0">
            <x v="0"/>
          </reference>
          <reference field="25" count="1" selected="0">
            <x v="0"/>
          </reference>
        </references>
      </pivotArea>
    </format>
    <format dxfId="1641">
      <pivotArea dataOnly="0" labelOnly="1" outline="0" fieldPosition="0">
        <references count="7">
          <reference field="1" count="1" selected="0">
            <x v="0"/>
          </reference>
          <reference field="5" count="1" selected="0">
            <x v="10"/>
          </reference>
          <reference field="11" count="1" selected="0">
            <x v="149"/>
          </reference>
          <reference field="12" count="1" selected="0">
            <x v="77"/>
          </reference>
          <reference field="19" count="1">
            <x v="0"/>
          </reference>
          <reference field="21" count="1" selected="0">
            <x v="0"/>
          </reference>
          <reference field="25" count="1" selected="0">
            <x v="0"/>
          </reference>
        </references>
      </pivotArea>
    </format>
    <format dxfId="1640">
      <pivotArea dataOnly="0" labelOnly="1" outline="0" fieldPosition="0">
        <references count="7">
          <reference field="1" count="1" selected="0">
            <x v="0"/>
          </reference>
          <reference field="5" count="1" selected="0">
            <x v="10"/>
          </reference>
          <reference field="11" count="1" selected="0">
            <x v="233"/>
          </reference>
          <reference field="12" count="1" selected="0">
            <x v="235"/>
          </reference>
          <reference field="19" count="1">
            <x v="0"/>
          </reference>
          <reference field="21" count="1" selected="0">
            <x v="1"/>
          </reference>
          <reference field="25" count="1" selected="0">
            <x v="4"/>
          </reference>
        </references>
      </pivotArea>
    </format>
    <format dxfId="1639">
      <pivotArea dataOnly="0" labelOnly="1" outline="0" fieldPosition="0">
        <references count="7">
          <reference field="1" count="1" selected="0">
            <x v="0"/>
          </reference>
          <reference field="5" count="1" selected="0">
            <x v="10"/>
          </reference>
          <reference field="11" count="1" selected="0">
            <x v="234"/>
          </reference>
          <reference field="12" count="1" selected="0">
            <x v="236"/>
          </reference>
          <reference field="19" count="1">
            <x v="0"/>
          </reference>
          <reference field="21" count="1" selected="0">
            <x v="0"/>
          </reference>
          <reference field="25" count="1" selected="0">
            <x v="0"/>
          </reference>
        </references>
      </pivotArea>
    </format>
    <format dxfId="1638">
      <pivotArea dataOnly="0" labelOnly="1" outline="0" fieldPosition="0">
        <references count="7">
          <reference field="1" count="1" selected="0">
            <x v="0"/>
          </reference>
          <reference field="5" count="1" selected="0">
            <x v="10"/>
          </reference>
          <reference field="11" count="1" selected="0">
            <x v="235"/>
          </reference>
          <reference field="12" count="1" selected="0">
            <x v="237"/>
          </reference>
          <reference field="19" count="1">
            <x v="0"/>
          </reference>
          <reference field="21" count="1" selected="0">
            <x v="0"/>
          </reference>
          <reference field="25" count="1" selected="0">
            <x v="2"/>
          </reference>
        </references>
      </pivotArea>
    </format>
    <format dxfId="1637">
      <pivotArea dataOnly="0" labelOnly="1" outline="0" fieldPosition="0">
        <references count="7">
          <reference field="1" count="1" selected="0">
            <x v="0"/>
          </reference>
          <reference field="5" count="1" selected="0">
            <x v="11"/>
          </reference>
          <reference field="11" count="1" selected="0">
            <x v="152"/>
          </reference>
          <reference field="12" count="1" selected="0">
            <x v="133"/>
          </reference>
          <reference field="19" count="1">
            <x v="0"/>
          </reference>
          <reference field="21" count="1" selected="0">
            <x v="0"/>
          </reference>
          <reference field="25" count="1" selected="0">
            <x v="0"/>
          </reference>
        </references>
      </pivotArea>
    </format>
    <format dxfId="1636">
      <pivotArea dataOnly="0" labelOnly="1" outline="0" fieldPosition="0">
        <references count="7">
          <reference field="1" count="1" selected="0">
            <x v="0"/>
          </reference>
          <reference field="5" count="1" selected="0">
            <x v="11"/>
          </reference>
          <reference field="11" count="1" selected="0">
            <x v="183"/>
          </reference>
          <reference field="12" count="1" selected="0">
            <x v="78"/>
          </reference>
          <reference field="19" count="1">
            <x v="0"/>
          </reference>
          <reference field="21" count="1" selected="0">
            <x v="0"/>
          </reference>
          <reference field="25" count="1" selected="0">
            <x v="2"/>
          </reference>
        </references>
      </pivotArea>
    </format>
    <format dxfId="1635">
      <pivotArea dataOnly="0" labelOnly="1" outline="0" fieldPosition="0">
        <references count="7">
          <reference field="1" count="1" selected="0">
            <x v="0"/>
          </reference>
          <reference field="5" count="1" selected="0">
            <x v="11"/>
          </reference>
          <reference field="11" count="1" selected="0">
            <x v="223"/>
          </reference>
          <reference field="12" count="1" selected="0">
            <x v="231"/>
          </reference>
          <reference field="19" count="1">
            <x v="0"/>
          </reference>
          <reference field="21" count="1" selected="0">
            <x v="1"/>
          </reference>
          <reference field="25" count="1" selected="0">
            <x v="4"/>
          </reference>
        </references>
      </pivotArea>
    </format>
    <format dxfId="1634">
      <pivotArea dataOnly="0" labelOnly="1" outline="0" fieldPosition="0">
        <references count="7">
          <reference field="1" count="1" selected="0">
            <x v="0"/>
          </reference>
          <reference field="5" count="1" selected="0">
            <x v="11"/>
          </reference>
          <reference field="11" count="1" selected="0">
            <x v="224"/>
          </reference>
          <reference field="12" count="1" selected="0">
            <x v="232"/>
          </reference>
          <reference field="19" count="1">
            <x v="0"/>
          </reference>
          <reference field="21" count="1" selected="0">
            <x v="1"/>
          </reference>
          <reference field="25" count="1" selected="0">
            <x v="4"/>
          </reference>
        </references>
      </pivotArea>
    </format>
    <format dxfId="1633">
      <pivotArea dataOnly="0" labelOnly="1" outline="0" fieldPosition="0">
        <references count="7">
          <reference field="1" count="1" selected="0">
            <x v="0"/>
          </reference>
          <reference field="5" count="1" selected="0">
            <x v="12"/>
          </reference>
          <reference field="11" count="1" selected="0">
            <x v="27"/>
          </reference>
          <reference field="12" count="1" selected="0">
            <x v="118"/>
          </reference>
          <reference field="19" count="1">
            <x v="1"/>
          </reference>
          <reference field="21" count="1" selected="0">
            <x v="0"/>
          </reference>
          <reference field="25" count="1" selected="0">
            <x v="2"/>
          </reference>
        </references>
      </pivotArea>
    </format>
    <format dxfId="1632">
      <pivotArea dataOnly="0" labelOnly="1" outline="0" fieldPosition="0">
        <references count="7">
          <reference field="1" count="1" selected="0">
            <x v="0"/>
          </reference>
          <reference field="5" count="1" selected="0">
            <x v="12"/>
          </reference>
          <reference field="11" count="1" selected="0">
            <x v="38"/>
          </reference>
          <reference field="12" count="1" selected="0">
            <x v="167"/>
          </reference>
          <reference field="19" count="1">
            <x v="0"/>
          </reference>
          <reference field="21" count="1" selected="0">
            <x v="1"/>
          </reference>
          <reference field="25" count="1" selected="0">
            <x v="4"/>
          </reference>
        </references>
      </pivotArea>
    </format>
    <format dxfId="1631">
      <pivotArea dataOnly="0" labelOnly="1" outline="0" fieldPosition="0">
        <references count="7">
          <reference field="1" count="1" selected="0">
            <x v="0"/>
          </reference>
          <reference field="5" count="1" selected="0">
            <x v="12"/>
          </reference>
          <reference field="11" count="1" selected="0">
            <x v="42"/>
          </reference>
          <reference field="12" count="1" selected="0">
            <x v="117"/>
          </reference>
          <reference field="19" count="1">
            <x v="1"/>
          </reference>
          <reference field="21" count="1" selected="0">
            <x v="0"/>
          </reference>
          <reference field="25" count="1" selected="0">
            <x v="2"/>
          </reference>
        </references>
      </pivotArea>
    </format>
    <format dxfId="1630">
      <pivotArea dataOnly="0" labelOnly="1" outline="0" fieldPosition="0">
        <references count="7">
          <reference field="1" count="1" selected="0">
            <x v="0"/>
          </reference>
          <reference field="5" count="1" selected="0">
            <x v="12"/>
          </reference>
          <reference field="11" count="1" selected="0">
            <x v="50"/>
          </reference>
          <reference field="12" count="1" selected="0">
            <x v="170"/>
          </reference>
          <reference field="19" count="1">
            <x v="0"/>
          </reference>
          <reference field="21" count="1" selected="0">
            <x v="1"/>
          </reference>
          <reference field="25" count="1" selected="0">
            <x v="4"/>
          </reference>
        </references>
      </pivotArea>
    </format>
    <format dxfId="1629">
      <pivotArea dataOnly="0" labelOnly="1" outline="0" fieldPosition="0">
        <references count="7">
          <reference field="1" count="1" selected="0">
            <x v="0"/>
          </reference>
          <reference field="5" count="1" selected="0">
            <x v="12"/>
          </reference>
          <reference field="11" count="1" selected="0">
            <x v="69"/>
          </reference>
          <reference field="12" count="1" selected="0">
            <x v="70"/>
          </reference>
          <reference field="19" count="1">
            <x v="0"/>
          </reference>
          <reference field="21" count="1" selected="0">
            <x v="0"/>
          </reference>
          <reference field="25" count="1" selected="0">
            <x v="0"/>
          </reference>
        </references>
      </pivotArea>
    </format>
    <format dxfId="1628">
      <pivotArea dataOnly="0" labelOnly="1" outline="0" fieldPosition="0">
        <references count="7">
          <reference field="1" count="1" selected="0">
            <x v="0"/>
          </reference>
          <reference field="5" count="1" selected="0">
            <x v="12"/>
          </reference>
          <reference field="11" count="1" selected="0">
            <x v="70"/>
          </reference>
          <reference field="12" count="1" selected="0">
            <x v="68"/>
          </reference>
          <reference field="19" count="1">
            <x v="0"/>
          </reference>
          <reference field="21" count="1" selected="0">
            <x v="0"/>
          </reference>
          <reference field="25" count="1" selected="0">
            <x v="1"/>
          </reference>
        </references>
      </pivotArea>
    </format>
    <format dxfId="1627">
      <pivotArea dataOnly="0" labelOnly="1" outline="0" fieldPosition="0">
        <references count="7">
          <reference field="1" count="1" selected="0">
            <x v="0"/>
          </reference>
          <reference field="5" count="1" selected="0">
            <x v="12"/>
          </reference>
          <reference field="11" count="1" selected="0">
            <x v="71"/>
          </reference>
          <reference field="12" count="1" selected="0">
            <x v="69"/>
          </reference>
          <reference field="19" count="1">
            <x v="0"/>
          </reference>
          <reference field="21" count="1" selected="0">
            <x v="0"/>
          </reference>
          <reference field="25" count="1" selected="0">
            <x v="0"/>
          </reference>
        </references>
      </pivotArea>
    </format>
    <format dxfId="1626">
      <pivotArea dataOnly="0" labelOnly="1" outline="0" fieldPosition="0">
        <references count="7">
          <reference field="1" count="1" selected="0">
            <x v="0"/>
          </reference>
          <reference field="5" count="1" selected="0">
            <x v="12"/>
          </reference>
          <reference field="11" count="1" selected="0">
            <x v="77"/>
          </reference>
          <reference field="12" count="1" selected="0">
            <x v="63"/>
          </reference>
          <reference field="19" count="1">
            <x v="0"/>
          </reference>
          <reference field="21" count="1" selected="0">
            <x v="1"/>
          </reference>
          <reference field="25" count="1" selected="0">
            <x v="4"/>
          </reference>
        </references>
      </pivotArea>
    </format>
    <format dxfId="1625">
      <pivotArea dataOnly="0" labelOnly="1" outline="0" fieldPosition="0">
        <references count="7">
          <reference field="1" count="1" selected="0">
            <x v="0"/>
          </reference>
          <reference field="5" count="1" selected="0">
            <x v="12"/>
          </reference>
          <reference field="11" count="1" selected="0">
            <x v="84"/>
          </reference>
          <reference field="12" count="1" selected="0">
            <x v="61"/>
          </reference>
          <reference field="19" count="1">
            <x v="0"/>
          </reference>
          <reference field="21" count="1" selected="0">
            <x v="0"/>
          </reference>
          <reference field="25" count="1" selected="0">
            <x v="1"/>
          </reference>
        </references>
      </pivotArea>
    </format>
    <format dxfId="1624">
      <pivotArea dataOnly="0" labelOnly="1" outline="0" fieldPosition="0">
        <references count="7">
          <reference field="1" count="1" selected="0">
            <x v="0"/>
          </reference>
          <reference field="5" count="1" selected="0">
            <x v="12"/>
          </reference>
          <reference field="11" count="1" selected="0">
            <x v="88"/>
          </reference>
          <reference field="12" count="1" selected="0">
            <x v="62"/>
          </reference>
          <reference field="19" count="1">
            <x v="0"/>
          </reference>
          <reference field="21" count="1" selected="0">
            <x v="1"/>
          </reference>
          <reference field="25" count="1" selected="0">
            <x v="4"/>
          </reference>
        </references>
      </pivotArea>
    </format>
    <format dxfId="1623">
      <pivotArea dataOnly="0" labelOnly="1" outline="0" fieldPosition="0">
        <references count="7">
          <reference field="1" count="1" selected="0">
            <x v="0"/>
          </reference>
          <reference field="5" count="1" selected="0">
            <x v="12"/>
          </reference>
          <reference field="11" count="1" selected="0">
            <x v="89"/>
          </reference>
          <reference field="12" count="1" selected="0">
            <x v="168"/>
          </reference>
          <reference field="19" count="1">
            <x v="0"/>
          </reference>
          <reference field="21" count="1" selected="0">
            <x v="1"/>
          </reference>
          <reference field="25" count="1" selected="0">
            <x v="4"/>
          </reference>
        </references>
      </pivotArea>
    </format>
    <format dxfId="1622">
      <pivotArea dataOnly="0" labelOnly="1" outline="0" fieldPosition="0">
        <references count="7">
          <reference field="1" count="1" selected="0">
            <x v="0"/>
          </reference>
          <reference field="5" count="1" selected="0">
            <x v="12"/>
          </reference>
          <reference field="11" count="1" selected="0">
            <x v="117"/>
          </reference>
          <reference field="12" count="1" selected="0">
            <x v="55"/>
          </reference>
          <reference field="19" count="1">
            <x v="0"/>
          </reference>
          <reference field="21" count="1" selected="0">
            <x v="0"/>
          </reference>
          <reference field="25" count="1" selected="0">
            <x v="0"/>
          </reference>
        </references>
      </pivotArea>
    </format>
    <format dxfId="1621">
      <pivotArea dataOnly="0" labelOnly="1" outline="0" fieldPosition="0">
        <references count="7">
          <reference field="1" count="1" selected="0">
            <x v="0"/>
          </reference>
          <reference field="5" count="1" selected="0">
            <x v="12"/>
          </reference>
          <reference field="11" count="1" selected="0">
            <x v="128"/>
          </reference>
          <reference field="12" count="1" selected="0">
            <x v="60"/>
          </reference>
          <reference field="19" count="1">
            <x v="0"/>
          </reference>
          <reference field="21" count="1" selected="0">
            <x v="1"/>
          </reference>
          <reference field="25" count="1" selected="0">
            <x v="4"/>
          </reference>
        </references>
      </pivotArea>
    </format>
    <format dxfId="1620">
      <pivotArea dataOnly="0" labelOnly="1" outline="0" fieldPosition="0">
        <references count="7">
          <reference field="1" count="1" selected="0">
            <x v="0"/>
          </reference>
          <reference field="5" count="1" selected="0">
            <x v="12"/>
          </reference>
          <reference field="11" count="1" selected="0">
            <x v="155"/>
          </reference>
          <reference field="12" count="1" selected="0">
            <x v="122"/>
          </reference>
          <reference field="19" count="1">
            <x v="1"/>
          </reference>
          <reference field="21" count="1" selected="0">
            <x v="0"/>
          </reference>
          <reference field="25" count="1" selected="0">
            <x v="1"/>
          </reference>
        </references>
      </pivotArea>
    </format>
    <format dxfId="1619">
      <pivotArea dataOnly="0" labelOnly="1" outline="0" fieldPosition="0">
        <references count="7">
          <reference field="1" count="1" selected="0">
            <x v="0"/>
          </reference>
          <reference field="5" count="1" selected="0">
            <x v="12"/>
          </reference>
          <reference field="11" count="1" selected="0">
            <x v="158"/>
          </reference>
          <reference field="12" count="1" selected="0">
            <x v="71"/>
          </reference>
          <reference field="19" count="1">
            <x v="0"/>
          </reference>
          <reference field="21" count="1" selected="0">
            <x v="0"/>
          </reference>
          <reference field="25" count="1" selected="0">
            <x v="0"/>
          </reference>
        </references>
      </pivotArea>
    </format>
    <format dxfId="1618">
      <pivotArea dataOnly="0" labelOnly="1" outline="0" fieldPosition="0">
        <references count="7">
          <reference field="1" count="1" selected="0">
            <x v="0"/>
          </reference>
          <reference field="5" count="1" selected="0">
            <x v="12"/>
          </reference>
          <reference field="11" count="1" selected="0">
            <x v="160"/>
          </reference>
          <reference field="12" count="1" selected="0">
            <x v="119"/>
          </reference>
          <reference field="19" count="1">
            <x v="1"/>
          </reference>
          <reference field="21" count="1" selected="0">
            <x v="0"/>
          </reference>
          <reference field="25" count="1" selected="0">
            <x v="1"/>
          </reference>
        </references>
      </pivotArea>
    </format>
    <format dxfId="1617">
      <pivotArea dataOnly="0" labelOnly="1" outline="0" fieldPosition="0">
        <references count="7">
          <reference field="1" count="1" selected="0">
            <x v="0"/>
          </reference>
          <reference field="5" count="1" selected="0">
            <x v="12"/>
          </reference>
          <reference field="11" count="1" selected="0">
            <x v="164"/>
          </reference>
          <reference field="12" count="1" selected="0">
            <x v="64"/>
          </reference>
          <reference field="19" count="1">
            <x v="0"/>
          </reference>
          <reference field="21" count="1" selected="0">
            <x v="1"/>
          </reference>
          <reference field="25" count="1" selected="0">
            <x v="4"/>
          </reference>
        </references>
      </pivotArea>
    </format>
    <format dxfId="1616">
      <pivotArea dataOnly="0" labelOnly="1" outline="0" fieldPosition="0">
        <references count="7">
          <reference field="1" count="1" selected="0">
            <x v="0"/>
          </reference>
          <reference field="5" count="1" selected="0">
            <x v="12"/>
          </reference>
          <reference field="11" count="1" selected="0">
            <x v="175"/>
          </reference>
          <reference field="12" count="1" selected="0">
            <x v="72"/>
          </reference>
          <reference field="19" count="1">
            <x v="0"/>
          </reference>
          <reference field="21" count="1" selected="0">
            <x v="0"/>
          </reference>
          <reference field="25" count="1" selected="0">
            <x v="0"/>
          </reference>
        </references>
      </pivotArea>
    </format>
    <format dxfId="1615">
      <pivotArea dataOnly="0" labelOnly="1" outline="0" fieldPosition="0">
        <references count="7">
          <reference field="1" count="1" selected="0">
            <x v="0"/>
          </reference>
          <reference field="5" count="1" selected="0">
            <x v="12"/>
          </reference>
          <reference field="11" count="1" selected="0">
            <x v="188"/>
          </reference>
          <reference field="12" count="1" selected="0">
            <x v="59"/>
          </reference>
          <reference field="19" count="1">
            <x v="0"/>
          </reference>
          <reference field="21" count="1" selected="0">
            <x v="1"/>
          </reference>
          <reference field="25" count="1" selected="0">
            <x v="4"/>
          </reference>
        </references>
      </pivotArea>
    </format>
    <format dxfId="1614">
      <pivotArea dataOnly="0" labelOnly="1" outline="0" fieldPosition="0">
        <references count="7">
          <reference field="1" count="1" selected="0">
            <x v="0"/>
          </reference>
          <reference field="5" count="1" selected="0">
            <x v="12"/>
          </reference>
          <reference field="11" count="1" selected="0">
            <x v="238"/>
          </reference>
          <reference field="12" count="1" selected="0">
            <x v="240"/>
          </reference>
          <reference field="19" count="1">
            <x v="0"/>
          </reference>
          <reference field="21" count="1" selected="0">
            <x v="2"/>
          </reference>
          <reference field="25" count="1" selected="0">
            <x v="4"/>
          </reference>
        </references>
      </pivotArea>
    </format>
    <format dxfId="1613">
      <pivotArea dataOnly="0" labelOnly="1" outline="0" fieldPosition="0">
        <references count="7">
          <reference field="1" count="1" selected="0">
            <x v="0"/>
          </reference>
          <reference field="5" count="1" selected="0">
            <x v="14"/>
          </reference>
          <reference field="11" count="1" selected="0">
            <x v="24"/>
          </reference>
          <reference field="12" count="1" selected="0">
            <x v="11"/>
          </reference>
          <reference field="19" count="1">
            <x v="0"/>
          </reference>
          <reference field="21" count="1" selected="0">
            <x v="0"/>
          </reference>
          <reference field="25" count="1" selected="0">
            <x v="0"/>
          </reference>
        </references>
      </pivotArea>
    </format>
    <format dxfId="1612">
      <pivotArea dataOnly="0" labelOnly="1" outline="0" fieldPosition="0">
        <references count="7">
          <reference field="1" count="1" selected="0">
            <x v="0"/>
          </reference>
          <reference field="5" count="1" selected="0">
            <x v="14"/>
          </reference>
          <reference field="11" count="1" selected="0">
            <x v="25"/>
          </reference>
          <reference field="12" count="1" selected="0">
            <x v="9"/>
          </reference>
          <reference field="19" count="1">
            <x v="0"/>
          </reference>
          <reference field="21" count="1" selected="0">
            <x v="0"/>
          </reference>
          <reference field="25" count="1" selected="0">
            <x v="0"/>
          </reference>
        </references>
      </pivotArea>
    </format>
    <format dxfId="1611">
      <pivotArea dataOnly="0" labelOnly="1" outline="0" fieldPosition="0">
        <references count="7">
          <reference field="1" count="1" selected="0">
            <x v="0"/>
          </reference>
          <reference field="5" count="1" selected="0">
            <x v="14"/>
          </reference>
          <reference field="11" count="1" selected="0">
            <x v="26"/>
          </reference>
          <reference field="12" count="1" selected="0">
            <x v="10"/>
          </reference>
          <reference field="19" count="1">
            <x v="0"/>
          </reference>
          <reference field="21" count="1" selected="0">
            <x v="0"/>
          </reference>
          <reference field="25" count="1" selected="0">
            <x v="0"/>
          </reference>
        </references>
      </pivotArea>
    </format>
    <format dxfId="1610">
      <pivotArea dataOnly="0" labelOnly="1" outline="0" fieldPosition="0">
        <references count="7">
          <reference field="1" count="1" selected="0">
            <x v="0"/>
          </reference>
          <reference field="5" count="1" selected="0">
            <x v="14"/>
          </reference>
          <reference field="11" count="1" selected="0">
            <x v="46"/>
          </reference>
          <reference field="12" count="1" selected="0">
            <x v="17"/>
          </reference>
          <reference field="19" count="1">
            <x v="0"/>
          </reference>
          <reference field="21" count="1" selected="0">
            <x v="0"/>
          </reference>
          <reference field="25" count="1" selected="0">
            <x v="0"/>
          </reference>
        </references>
      </pivotArea>
    </format>
    <format dxfId="1609">
      <pivotArea dataOnly="0" labelOnly="1" outline="0" fieldPosition="0">
        <references count="7">
          <reference field="1" count="1" selected="0">
            <x v="0"/>
          </reference>
          <reference field="5" count="1" selected="0">
            <x v="14"/>
          </reference>
          <reference field="11" count="1" selected="0">
            <x v="47"/>
          </reference>
          <reference field="12" count="1" selected="0">
            <x v="18"/>
          </reference>
          <reference field="19" count="1">
            <x v="0"/>
          </reference>
          <reference field="21" count="1" selected="0">
            <x v="0"/>
          </reference>
          <reference field="25" count="1" selected="0">
            <x v="2"/>
          </reference>
        </references>
      </pivotArea>
    </format>
    <format dxfId="1608">
      <pivotArea dataOnly="0" labelOnly="1" outline="0" fieldPosition="0">
        <references count="7">
          <reference field="1" count="1" selected="0">
            <x v="0"/>
          </reference>
          <reference field="5" count="1" selected="0">
            <x v="14"/>
          </reference>
          <reference field="11" count="1" selected="0">
            <x v="54"/>
          </reference>
          <reference field="12" count="1" selected="0">
            <x v="12"/>
          </reference>
          <reference field="19" count="1">
            <x v="0"/>
          </reference>
          <reference field="21" count="1" selected="0">
            <x v="0"/>
          </reference>
          <reference field="25" count="1" selected="0">
            <x v="0"/>
          </reference>
        </references>
      </pivotArea>
    </format>
    <format dxfId="1607">
      <pivotArea dataOnly="0" labelOnly="1" outline="0" fieldPosition="0">
        <references count="7">
          <reference field="1" count="1" selected="0">
            <x v="0"/>
          </reference>
          <reference field="5" count="1" selected="0">
            <x v="14"/>
          </reference>
          <reference field="11" count="1" selected="0">
            <x v="63"/>
          </reference>
          <reference field="12" count="1" selected="0">
            <x v="14"/>
          </reference>
          <reference field="19" count="1">
            <x v="0"/>
          </reference>
          <reference field="21" count="1" selected="0">
            <x v="0"/>
          </reference>
          <reference field="25" count="1" selected="0">
            <x v="0"/>
          </reference>
        </references>
      </pivotArea>
    </format>
    <format dxfId="1606">
      <pivotArea dataOnly="0" labelOnly="1" outline="0" fieldPosition="0">
        <references count="7">
          <reference field="1" count="1" selected="0">
            <x v="0"/>
          </reference>
          <reference field="5" count="1" selected="0">
            <x v="14"/>
          </reference>
          <reference field="11" count="1" selected="0">
            <x v="64"/>
          </reference>
          <reference field="12" count="1" selected="0">
            <x v="13"/>
          </reference>
          <reference field="19" count="1">
            <x v="0"/>
          </reference>
          <reference field="21" count="1" selected="0">
            <x v="0"/>
          </reference>
          <reference field="25" count="1" selected="0">
            <x v="0"/>
          </reference>
        </references>
      </pivotArea>
    </format>
    <format dxfId="1605">
      <pivotArea dataOnly="0" labelOnly="1" outline="0" fieldPosition="0">
        <references count="7">
          <reference field="1" count="1" selected="0">
            <x v="0"/>
          </reference>
          <reference field="5" count="1" selected="0">
            <x v="14"/>
          </reference>
          <reference field="11" count="1" selected="0">
            <x v="83"/>
          </reference>
          <reference field="12" count="1" selected="0">
            <x v="15"/>
          </reference>
          <reference field="19" count="1">
            <x v="0"/>
          </reference>
          <reference field="21" count="1" selected="0">
            <x v="0"/>
          </reference>
          <reference field="25" count="1" selected="0">
            <x v="0"/>
          </reference>
        </references>
      </pivotArea>
    </format>
    <format dxfId="1604">
      <pivotArea dataOnly="0" labelOnly="1" outline="0" fieldPosition="0">
        <references count="7">
          <reference field="1" count="1" selected="0">
            <x v="0"/>
          </reference>
          <reference field="5" count="1" selected="0">
            <x v="14"/>
          </reference>
          <reference field="11" count="1" selected="0">
            <x v="85"/>
          </reference>
          <reference field="12" count="1" selected="0">
            <x v="7"/>
          </reference>
          <reference field="19" count="1">
            <x v="0"/>
          </reference>
          <reference field="21" count="1" selected="0">
            <x v="0"/>
          </reference>
          <reference field="25" count="1" selected="0">
            <x v="0"/>
          </reference>
        </references>
      </pivotArea>
    </format>
    <format dxfId="1603">
      <pivotArea dataOnly="0" labelOnly="1" outline="0" fieldPosition="0">
        <references count="7">
          <reference field="1" count="1" selected="0">
            <x v="0"/>
          </reference>
          <reference field="5" count="1" selected="0">
            <x v="14"/>
          </reference>
          <reference field="11" count="1" selected="0">
            <x v="107"/>
          </reference>
          <reference field="12" count="1" selected="0">
            <x v="19"/>
          </reference>
          <reference field="19" count="1">
            <x v="0"/>
          </reference>
          <reference field="21" count="1" selected="0">
            <x v="0"/>
          </reference>
          <reference field="25" count="1" selected="0">
            <x v="3"/>
          </reference>
        </references>
      </pivotArea>
    </format>
    <format dxfId="1602">
      <pivotArea dataOnly="0" labelOnly="1" outline="0" fieldPosition="0">
        <references count="7">
          <reference field="1" count="1" selected="0">
            <x v="0"/>
          </reference>
          <reference field="5" count="1" selected="0">
            <x v="14"/>
          </reference>
          <reference field="11" count="1" selected="0">
            <x v="108"/>
          </reference>
          <reference field="12" count="1" selected="0">
            <x v="20"/>
          </reference>
          <reference field="19" count="1">
            <x v="0"/>
          </reference>
          <reference field="21" count="1" selected="0">
            <x v="0"/>
          </reference>
          <reference field="25" count="1" selected="0">
            <x v="3"/>
          </reference>
        </references>
      </pivotArea>
    </format>
    <format dxfId="1601">
      <pivotArea dataOnly="0" labelOnly="1" outline="0" fieldPosition="0">
        <references count="7">
          <reference field="1" count="1" selected="0">
            <x v="0"/>
          </reference>
          <reference field="5" count="1" selected="0">
            <x v="14"/>
          </reference>
          <reference field="11" count="1" selected="0">
            <x v="144"/>
          </reference>
          <reference field="12" count="1" selected="0">
            <x v="23"/>
          </reference>
          <reference field="19" count="1">
            <x v="0"/>
          </reference>
          <reference field="21" count="1" selected="0">
            <x v="0"/>
          </reference>
          <reference field="25" count="1" selected="0">
            <x v="2"/>
          </reference>
        </references>
      </pivotArea>
    </format>
    <format dxfId="1600">
      <pivotArea dataOnly="0" labelOnly="1" outline="0" fieldPosition="0">
        <references count="7">
          <reference field="1" count="1" selected="0">
            <x v="0"/>
          </reference>
          <reference field="5" count="1" selected="0">
            <x v="14"/>
          </reference>
          <reference field="11" count="1" selected="0">
            <x v="157"/>
          </reference>
          <reference field="12" count="1" selected="0">
            <x v="1"/>
          </reference>
          <reference field="19" count="1">
            <x v="0"/>
          </reference>
          <reference field="21" count="1" selected="0">
            <x v="0"/>
          </reference>
          <reference field="25" count="1" selected="0">
            <x v="0"/>
          </reference>
        </references>
      </pivotArea>
    </format>
    <format dxfId="1599">
      <pivotArea dataOnly="0" labelOnly="1" outline="0" fieldPosition="0">
        <references count="7">
          <reference field="1" count="1" selected="0">
            <x v="0"/>
          </reference>
          <reference field="5" count="1" selected="0">
            <x v="14"/>
          </reference>
          <reference field="11" count="1" selected="0">
            <x v="159"/>
          </reference>
          <reference field="12" count="1" selected="0">
            <x v="136"/>
          </reference>
          <reference field="19" count="1">
            <x v="0"/>
          </reference>
          <reference field="21" count="1" selected="0">
            <x v="0"/>
          </reference>
          <reference field="25" count="1" selected="0">
            <x v="2"/>
          </reference>
        </references>
      </pivotArea>
    </format>
    <format dxfId="1598">
      <pivotArea dataOnly="0" labelOnly="1" outline="0" fieldPosition="0">
        <references count="7">
          <reference field="1" count="1" selected="0">
            <x v="0"/>
          </reference>
          <reference field="5" count="1" selected="0">
            <x v="14"/>
          </reference>
          <reference field="11" count="1" selected="0">
            <x v="176"/>
          </reference>
          <reference field="12" count="1" selected="0">
            <x v="5"/>
          </reference>
          <reference field="19" count="1">
            <x v="0"/>
          </reference>
          <reference field="21" count="1" selected="0">
            <x v="0"/>
          </reference>
          <reference field="25" count="1" selected="0">
            <x v="0"/>
          </reference>
        </references>
      </pivotArea>
    </format>
    <format dxfId="1597">
      <pivotArea dataOnly="0" labelOnly="1" outline="0" fieldPosition="0">
        <references count="7">
          <reference field="1" count="1" selected="0">
            <x v="0"/>
          </reference>
          <reference field="5" count="1" selected="0">
            <x v="14"/>
          </reference>
          <reference field="11" count="1" selected="0">
            <x v="177"/>
          </reference>
          <reference field="12" count="1" selected="0">
            <x v="6"/>
          </reference>
          <reference field="19" count="1">
            <x v="0"/>
          </reference>
          <reference field="21" count="1" selected="0">
            <x v="0"/>
          </reference>
          <reference field="25" count="1" selected="0">
            <x v="3"/>
          </reference>
        </references>
      </pivotArea>
    </format>
    <format dxfId="1596">
      <pivotArea dataOnly="0" labelOnly="1" outline="0" fieldPosition="0">
        <references count="7">
          <reference field="1" count="1" selected="0">
            <x v="0"/>
          </reference>
          <reference field="5" count="1" selected="0">
            <x v="14"/>
          </reference>
          <reference field="11" count="1" selected="0">
            <x v="181"/>
          </reference>
          <reference field="12" count="1" selected="0">
            <x v="8"/>
          </reference>
          <reference field="19" count="1">
            <x v="0"/>
          </reference>
          <reference field="21" count="1" selected="0">
            <x v="0"/>
          </reference>
          <reference field="25" count="1" selected="0">
            <x v="0"/>
          </reference>
        </references>
      </pivotArea>
    </format>
    <format dxfId="1595">
      <pivotArea dataOnly="0" labelOnly="1" outline="0" fieldPosition="0">
        <references count="7">
          <reference field="1" count="1" selected="0">
            <x v="0"/>
          </reference>
          <reference field="5" count="1" selected="0">
            <x v="14"/>
          </reference>
          <reference field="11" count="1" selected="0">
            <x v="189"/>
          </reference>
          <reference field="12" count="1" selected="0">
            <x v="0"/>
          </reference>
          <reference field="19" count="1">
            <x v="0"/>
          </reference>
          <reference field="21" count="1" selected="0">
            <x v="0"/>
          </reference>
          <reference field="25" count="1" selected="0">
            <x v="0"/>
          </reference>
        </references>
      </pivotArea>
    </format>
    <format dxfId="1594">
      <pivotArea dataOnly="0" labelOnly="1" outline="0" fieldPosition="0">
        <references count="7">
          <reference field="1" count="1" selected="0">
            <x v="0"/>
          </reference>
          <reference field="5" count="1" selected="0">
            <x v="14"/>
          </reference>
          <reference field="11" count="1" selected="0">
            <x v="190"/>
          </reference>
          <reference field="12" count="1" selected="0">
            <x v="3"/>
          </reference>
          <reference field="19" count="1">
            <x v="0"/>
          </reference>
          <reference field="21" count="1" selected="0">
            <x v="0"/>
          </reference>
          <reference field="25" count="1" selected="0">
            <x v="3"/>
          </reference>
        </references>
      </pivotArea>
    </format>
    <format dxfId="1593">
      <pivotArea dataOnly="0" labelOnly="1" outline="0" fieldPosition="0">
        <references count="7">
          <reference field="1" count="1" selected="0">
            <x v="0"/>
          </reference>
          <reference field="5" count="1" selected="0">
            <x v="14"/>
          </reference>
          <reference field="11" count="1" selected="0">
            <x v="191"/>
          </reference>
          <reference field="12" count="1" selected="0">
            <x v="2"/>
          </reference>
          <reference field="19" count="1">
            <x v="0"/>
          </reference>
          <reference field="21" count="1" selected="0">
            <x v="0"/>
          </reference>
          <reference field="25" count="1" selected="0">
            <x v="0"/>
          </reference>
        </references>
      </pivotArea>
    </format>
    <format dxfId="1592">
      <pivotArea dataOnly="0" labelOnly="1" outline="0" fieldPosition="0">
        <references count="7">
          <reference field="1" count="1" selected="0">
            <x v="0"/>
          </reference>
          <reference field="5" count="1" selected="0">
            <x v="14"/>
          </reference>
          <reference field="11" count="1" selected="0">
            <x v="192"/>
          </reference>
          <reference field="12" count="1" selected="0">
            <x v="4"/>
          </reference>
          <reference field="19" count="1">
            <x v="0"/>
          </reference>
          <reference field="21" count="1" selected="0">
            <x v="0"/>
          </reference>
          <reference field="25" count="1" selected="0">
            <x v="0"/>
          </reference>
        </references>
      </pivotArea>
    </format>
    <format dxfId="1591">
      <pivotArea dataOnly="0" labelOnly="1" outline="0" fieldPosition="0">
        <references count="7">
          <reference field="1" count="1" selected="0">
            <x v="0"/>
          </reference>
          <reference field="5" count="1" selected="0">
            <x v="14"/>
          </reference>
          <reference field="11" count="1" selected="0">
            <x v="204"/>
          </reference>
          <reference field="12" count="1" selected="0">
            <x v="21"/>
          </reference>
          <reference field="19" count="1">
            <x v="0"/>
          </reference>
          <reference field="21" count="1" selected="0">
            <x v="0"/>
          </reference>
          <reference field="25" count="1" selected="0">
            <x v="3"/>
          </reference>
        </references>
      </pivotArea>
    </format>
    <format dxfId="1590">
      <pivotArea dataOnly="0" labelOnly="1" outline="0" fieldPosition="0">
        <references count="7">
          <reference field="1" count="1" selected="0">
            <x v="0"/>
          </reference>
          <reference field="5" count="1" selected="0">
            <x v="14"/>
          </reference>
          <reference field="11" count="1" selected="0">
            <x v="229"/>
          </reference>
          <reference field="12" count="1" selected="0">
            <x v="22"/>
          </reference>
          <reference field="19" count="1">
            <x v="0"/>
          </reference>
          <reference field="21" count="1" selected="0">
            <x v="0"/>
          </reference>
          <reference field="25" count="1" selected="0">
            <x v="3"/>
          </reference>
        </references>
      </pivotArea>
    </format>
    <format dxfId="1589">
      <pivotArea dataOnly="0" labelOnly="1" outline="0" fieldPosition="0">
        <references count="7">
          <reference field="1" count="1" selected="0">
            <x v="0"/>
          </reference>
          <reference field="5" count="1" selected="0">
            <x v="17"/>
          </reference>
          <reference field="11" count="1" selected="0">
            <x v="196"/>
          </reference>
          <reference field="12" count="1" selected="0">
            <x v="74"/>
          </reference>
          <reference field="19" count="1">
            <x v="0"/>
          </reference>
          <reference field="21" count="1" selected="0">
            <x v="1"/>
          </reference>
          <reference field="25" count="1" selected="0">
            <x v="4"/>
          </reference>
        </references>
      </pivotArea>
    </format>
    <format dxfId="1588">
      <pivotArea dataOnly="0" labelOnly="1" outline="0" fieldPosition="0">
        <references count="7">
          <reference field="1" count="1" selected="0">
            <x v="0"/>
          </reference>
          <reference field="5" count="1" selected="0">
            <x v="17"/>
          </reference>
          <reference field="11" count="1" selected="0">
            <x v="213"/>
          </reference>
          <reference field="12" count="1" selected="0">
            <x v="221"/>
          </reference>
          <reference field="19" count="1">
            <x v="0"/>
          </reference>
          <reference field="21" count="1" selected="0">
            <x v="1"/>
          </reference>
          <reference field="25" count="1" selected="0">
            <x v="4"/>
          </reference>
        </references>
      </pivotArea>
    </format>
    <format dxfId="1587">
      <pivotArea dataOnly="0" labelOnly="1" outline="0" fieldPosition="0">
        <references count="7">
          <reference field="1" count="1" selected="0">
            <x v="0"/>
          </reference>
          <reference field="5" count="1" selected="0">
            <x v="17"/>
          </reference>
          <reference field="11" count="1" selected="0">
            <x v="231"/>
          </reference>
          <reference field="12" count="1" selected="0">
            <x v="234"/>
          </reference>
          <reference field="19" count="1">
            <x v="0"/>
          </reference>
          <reference field="21" count="1" selected="0">
            <x v="0"/>
          </reference>
          <reference field="25" count="1" selected="0">
            <x v="0"/>
          </reference>
        </references>
      </pivotArea>
    </format>
    <format dxfId="1586">
      <pivotArea dataOnly="0" labelOnly="1" outline="0" fieldPosition="0">
        <references count="7">
          <reference field="1" count="1" selected="0">
            <x v="0"/>
          </reference>
          <reference field="5" count="1" selected="0">
            <x v="18"/>
          </reference>
          <reference field="11" count="1" selected="0">
            <x v="38"/>
          </reference>
          <reference field="12" count="1" selected="0">
            <x v="169"/>
          </reference>
          <reference field="19" count="1">
            <x v="0"/>
          </reference>
          <reference field="21" count="1" selected="0">
            <x v="1"/>
          </reference>
          <reference field="25" count="1" selected="0">
            <x v="4"/>
          </reference>
        </references>
      </pivotArea>
    </format>
    <format dxfId="1585">
      <pivotArea dataOnly="0" labelOnly="1" outline="0" fieldPosition="0">
        <references count="7">
          <reference field="1" count="1" selected="0">
            <x v="0"/>
          </reference>
          <reference field="5" count="1" selected="0">
            <x v="18"/>
          </reference>
          <reference field="11" count="1" selected="0">
            <x v="61"/>
          </reference>
          <reference field="12" count="1" selected="0">
            <x v="130"/>
          </reference>
          <reference field="19" count="1">
            <x v="1"/>
          </reference>
          <reference field="21" count="1" selected="0">
            <x v="1"/>
          </reference>
          <reference field="25" count="1" selected="0">
            <x v="4"/>
          </reference>
        </references>
      </pivotArea>
    </format>
    <format dxfId="1584">
      <pivotArea dataOnly="0" labelOnly="1" outline="0" fieldPosition="0">
        <references count="7">
          <reference field="1" count="1" selected="0">
            <x v="0"/>
          </reference>
          <reference field="5" count="1" selected="0">
            <x v="18"/>
          </reference>
          <reference field="11" count="1" selected="0">
            <x v="179"/>
          </reference>
          <reference field="12" count="1" selected="0">
            <x v="66"/>
          </reference>
          <reference field="19" count="1">
            <x v="0"/>
          </reference>
          <reference field="21" count="1" selected="0">
            <x v="0"/>
          </reference>
          <reference field="25" count="1" selected="0">
            <x v="0"/>
          </reference>
        </references>
      </pivotArea>
    </format>
    <format dxfId="1583">
      <pivotArea dataOnly="0" labelOnly="1" outline="0" fieldPosition="0">
        <references count="7">
          <reference field="1" count="1" selected="0">
            <x v="0"/>
          </reference>
          <reference field="5" count="1" selected="0">
            <x v="18"/>
          </reference>
          <reference field="11" count="1" selected="0">
            <x v="180"/>
          </reference>
          <reference field="12" count="1" selected="0">
            <x v="67"/>
          </reference>
          <reference field="19" count="1">
            <x v="0"/>
          </reference>
          <reference field="21" count="1" selected="0">
            <x v="0"/>
          </reference>
          <reference field="25" count="1" selected="0">
            <x v="1"/>
          </reference>
        </references>
      </pivotArea>
    </format>
    <format dxfId="1582">
      <pivotArea dataOnly="0" labelOnly="1" outline="0" fieldPosition="0">
        <references count="7">
          <reference field="1" count="1" selected="0">
            <x v="0"/>
          </reference>
          <reference field="5" count="1" selected="0">
            <x v="19"/>
          </reference>
          <reference field="11" count="1" selected="0">
            <x v="185"/>
          </reference>
          <reference field="12" count="1" selected="0">
            <x v="175"/>
          </reference>
          <reference field="19" count="1">
            <x v="0"/>
          </reference>
          <reference field="21" count="1" selected="0">
            <x v="0"/>
          </reference>
          <reference field="25" count="1" selected="0">
            <x v="4"/>
          </reference>
        </references>
      </pivotArea>
    </format>
    <format dxfId="1581">
      <pivotArea dataOnly="0" labelOnly="1" outline="0" fieldPosition="0">
        <references count="7">
          <reference field="1" count="1" selected="0">
            <x v="0"/>
          </reference>
          <reference field="5" count="1" selected="0">
            <x v="19"/>
          </reference>
          <reference field="11" count="1" selected="0">
            <x v="236"/>
          </reference>
          <reference field="12" count="1" selected="0">
            <x v="238"/>
          </reference>
          <reference field="19" count="1">
            <x v="0"/>
          </reference>
          <reference field="21" count="1" selected="0">
            <x v="0"/>
          </reference>
          <reference field="25" count="1" selected="0">
            <x v="4"/>
          </reference>
        </references>
      </pivotArea>
    </format>
    <format dxfId="1580">
      <pivotArea dataOnly="0" labelOnly="1" outline="0" fieldPosition="0">
        <references count="7">
          <reference field="1" count="1" selected="0">
            <x v="0"/>
          </reference>
          <reference field="5" count="1" selected="0">
            <x v="19"/>
          </reference>
          <reference field="11" count="1" selected="0">
            <x v="237"/>
          </reference>
          <reference field="12" count="1" selected="0">
            <x v="239"/>
          </reference>
          <reference field="19" count="1">
            <x v="0"/>
          </reference>
          <reference field="21" count="1" selected="0">
            <x v="0"/>
          </reference>
          <reference field="25" count="1" selected="0">
            <x v="4"/>
          </reference>
        </references>
      </pivotArea>
    </format>
    <format dxfId="1579">
      <pivotArea dataOnly="0" labelOnly="1" outline="0" fieldPosition="0">
        <references count="7">
          <reference field="1" count="1" selected="0">
            <x v="0"/>
          </reference>
          <reference field="5" count="1" selected="0">
            <x v="20"/>
          </reference>
          <reference field="11" count="1" selected="0">
            <x v="17"/>
          </reference>
          <reference field="12" count="1" selected="0">
            <x v="108"/>
          </reference>
          <reference field="19" count="1">
            <x v="1"/>
          </reference>
          <reference field="21" count="1" selected="0">
            <x v="0"/>
          </reference>
          <reference field="25" count="1" selected="0">
            <x v="2"/>
          </reference>
        </references>
      </pivotArea>
    </format>
    <format dxfId="1578">
      <pivotArea dataOnly="0" labelOnly="1" outline="0" fieldPosition="0">
        <references count="7">
          <reference field="1" count="1" selected="0">
            <x v="0"/>
          </reference>
          <reference field="5" count="1" selected="0">
            <x v="20"/>
          </reference>
          <reference field="11" count="1" selected="0">
            <x v="33"/>
          </reference>
          <reference field="12" count="1" selected="0">
            <x v="27"/>
          </reference>
          <reference field="19" count="1">
            <x v="0"/>
          </reference>
          <reference field="21" count="1" selected="0">
            <x v="0"/>
          </reference>
          <reference field="25" count="1" selected="0">
            <x v="3"/>
          </reference>
        </references>
      </pivotArea>
    </format>
    <format dxfId="1577">
      <pivotArea dataOnly="0" labelOnly="1" outline="0" fieldPosition="0">
        <references count="7">
          <reference field="1" count="1" selected="0">
            <x v="0"/>
          </reference>
          <reference field="5" count="1" selected="0">
            <x v="20"/>
          </reference>
          <reference field="11" count="1" selected="0">
            <x v="34"/>
          </reference>
          <reference field="12" count="1" selected="0">
            <x v="110"/>
          </reference>
          <reference field="19" count="1">
            <x v="1"/>
          </reference>
          <reference field="21" count="1" selected="0">
            <x v="0"/>
          </reference>
          <reference field="25" count="1" selected="0">
            <x v="0"/>
          </reference>
        </references>
      </pivotArea>
    </format>
    <format dxfId="1576">
      <pivotArea dataOnly="0" labelOnly="1" outline="0" fieldPosition="0">
        <references count="7">
          <reference field="1" count="1" selected="0">
            <x v="0"/>
          </reference>
          <reference field="5" count="1" selected="0">
            <x v="20"/>
          </reference>
          <reference field="11" count="1" selected="0">
            <x v="44"/>
          </reference>
          <reference field="12" count="1" selected="0">
            <x v="176"/>
          </reference>
          <reference field="19" count="1">
            <x v="1"/>
          </reference>
          <reference field="21" count="1" selected="0">
            <x v="2"/>
          </reference>
          <reference field="25" count="1" selected="0">
            <x v="4"/>
          </reference>
        </references>
      </pivotArea>
    </format>
    <format dxfId="1575">
      <pivotArea dataOnly="0" labelOnly="1" outline="0" fieldPosition="0">
        <references count="7">
          <reference field="1" count="1" selected="0">
            <x v="0"/>
          </reference>
          <reference field="5" count="1" selected="0">
            <x v="20"/>
          </reference>
          <reference field="11" count="1" selected="0">
            <x v="48"/>
          </reference>
          <reference field="12" count="1" selected="0">
            <x v="116"/>
          </reference>
          <reference field="19" count="1">
            <x v="1"/>
          </reference>
          <reference field="21" count="1" selected="0">
            <x v="0"/>
          </reference>
          <reference field="25" count="1" selected="0">
            <x v="2"/>
          </reference>
        </references>
      </pivotArea>
    </format>
    <format dxfId="1574">
      <pivotArea dataOnly="0" labelOnly="1" outline="0" fieldPosition="0">
        <references count="7">
          <reference field="1" count="1" selected="0">
            <x v="0"/>
          </reference>
          <reference field="5" count="1" selected="0">
            <x v="20"/>
          </reference>
          <reference field="11" count="1" selected="0">
            <x v="75"/>
          </reference>
          <reference field="12" count="1" selected="0">
            <x v="26"/>
          </reference>
          <reference field="19" count="1">
            <x v="0"/>
          </reference>
          <reference field="21" count="1" selected="0">
            <x v="0"/>
          </reference>
          <reference field="25" count="1" selected="0">
            <x v="0"/>
          </reference>
        </references>
      </pivotArea>
    </format>
    <format dxfId="1573">
      <pivotArea dataOnly="0" labelOnly="1" outline="0" fieldPosition="0">
        <references count="7">
          <reference field="1" count="1" selected="0">
            <x v="0"/>
          </reference>
          <reference field="5" count="1" selected="0">
            <x v="20"/>
          </reference>
          <reference field="11" count="1" selected="0">
            <x v="76"/>
          </reference>
          <reference field="12" count="1" selected="0">
            <x v="114"/>
          </reference>
          <reference field="19" count="1">
            <x v="1"/>
          </reference>
          <reference field="21" count="1" selected="0">
            <x v="0"/>
          </reference>
          <reference field="25" count="1" selected="0">
            <x v="2"/>
          </reference>
        </references>
      </pivotArea>
    </format>
    <format dxfId="1572">
      <pivotArea dataOnly="0" labelOnly="1" outline="0" fieldPosition="0">
        <references count="7">
          <reference field="1" count="1" selected="0">
            <x v="0"/>
          </reference>
          <reference field="5" count="1" selected="0">
            <x v="20"/>
          </reference>
          <reference field="11" count="1" selected="0">
            <x v="78"/>
          </reference>
          <reference field="12" count="1" selected="0">
            <x v="30"/>
          </reference>
          <reference field="19" count="1">
            <x v="0"/>
          </reference>
          <reference field="21" count="1" selected="0">
            <x v="0"/>
          </reference>
          <reference field="25" count="1" selected="0">
            <x v="3"/>
          </reference>
        </references>
      </pivotArea>
    </format>
    <format dxfId="1571">
      <pivotArea dataOnly="0" labelOnly="1" outline="0" fieldPosition="0">
        <references count="7">
          <reference field="1" count="1" selected="0">
            <x v="0"/>
          </reference>
          <reference field="5" count="1" selected="0">
            <x v="20"/>
          </reference>
          <reference field="11" count="1" selected="0">
            <x v="79"/>
          </reference>
          <reference field="12" count="1" selected="0">
            <x v="28"/>
          </reference>
          <reference field="19" count="1">
            <x v="0"/>
          </reference>
          <reference field="21" count="1" selected="0">
            <x v="0"/>
          </reference>
          <reference field="25" count="1" selected="0">
            <x v="2"/>
          </reference>
        </references>
      </pivotArea>
    </format>
    <format dxfId="1570">
      <pivotArea dataOnly="0" labelOnly="1" outline="0" fieldPosition="0">
        <references count="7">
          <reference field="1" count="1" selected="0">
            <x v="0"/>
          </reference>
          <reference field="5" count="1" selected="0">
            <x v="20"/>
          </reference>
          <reference field="11" count="1" selected="0">
            <x v="80"/>
          </reference>
          <reference field="12" count="1" selected="0">
            <x v="39"/>
          </reference>
          <reference field="19" count="1">
            <x v="0"/>
          </reference>
          <reference field="21" count="1" selected="0">
            <x v="0"/>
          </reference>
          <reference field="25" count="1" selected="0">
            <x v="0"/>
          </reference>
        </references>
      </pivotArea>
    </format>
    <format dxfId="1569">
      <pivotArea dataOnly="0" labelOnly="1" outline="0" fieldPosition="0">
        <references count="7">
          <reference field="1" count="1" selected="0">
            <x v="0"/>
          </reference>
          <reference field="5" count="1" selected="0">
            <x v="20"/>
          </reference>
          <reference field="11" count="1" selected="0">
            <x v="81"/>
          </reference>
          <reference field="12" count="1" selected="0">
            <x v="38"/>
          </reference>
          <reference field="19" count="1">
            <x v="0"/>
          </reference>
          <reference field="21" count="1" selected="0">
            <x v="0"/>
          </reference>
          <reference field="25" count="1" selected="0">
            <x v="0"/>
          </reference>
        </references>
      </pivotArea>
    </format>
    <format dxfId="1568">
      <pivotArea dataOnly="0" labelOnly="1" outline="0" fieldPosition="0">
        <references count="7">
          <reference field="1" count="1" selected="0">
            <x v="0"/>
          </reference>
          <reference field="5" count="1" selected="0">
            <x v="20"/>
          </reference>
          <reference field="11" count="1" selected="0">
            <x v="151"/>
          </reference>
          <reference field="12" count="1" selected="0">
            <x v="32"/>
          </reference>
          <reference field="19" count="1">
            <x v="0"/>
          </reference>
          <reference field="21" count="1" selected="0">
            <x v="0"/>
          </reference>
          <reference field="25" count="1" selected="0">
            <x v="3"/>
          </reference>
        </references>
      </pivotArea>
    </format>
    <format dxfId="1567">
      <pivotArea dataOnly="0" labelOnly="1" outline="0" fieldPosition="0">
        <references count="7">
          <reference field="1" count="1" selected="0">
            <x v="0"/>
          </reference>
          <reference field="5" count="1" selected="0">
            <x v="20"/>
          </reference>
          <reference field="11" count="1" selected="0">
            <x v="165"/>
          </reference>
          <reference field="12" count="1" selected="0">
            <x v="135"/>
          </reference>
          <reference field="19" count="1">
            <x v="1"/>
          </reference>
          <reference field="21" count="1" selected="0">
            <x v="0"/>
          </reference>
          <reference field="25" count="1" selected="0">
            <x v="2"/>
          </reference>
        </references>
      </pivotArea>
    </format>
    <format dxfId="1566">
      <pivotArea dataOnly="0" labelOnly="1" outline="0" fieldPosition="0">
        <references count="7">
          <reference field="1" count="1" selected="0">
            <x v="0"/>
          </reference>
          <reference field="5" count="1" selected="0">
            <x v="20"/>
          </reference>
          <reference field="11" count="1" selected="0">
            <x v="166"/>
          </reference>
          <reference field="12" count="1" selected="0">
            <x v="31"/>
          </reference>
          <reference field="19" count="1">
            <x v="0"/>
          </reference>
          <reference field="21" count="1" selected="0">
            <x v="0"/>
          </reference>
          <reference field="25" count="1" selected="0">
            <x v="3"/>
          </reference>
        </references>
      </pivotArea>
    </format>
    <format dxfId="1565">
      <pivotArea dataOnly="0" labelOnly="1" outline="0" fieldPosition="0">
        <references count="7">
          <reference field="1" count="1" selected="0">
            <x v="0"/>
          </reference>
          <reference field="5" count="1" selected="0">
            <x v="20"/>
          </reference>
          <reference field="11" count="1" selected="0">
            <x v="167"/>
          </reference>
          <reference field="12" count="1" selected="0">
            <x v="24"/>
          </reference>
          <reference field="19" count="1">
            <x v="0"/>
          </reference>
          <reference field="21" count="1" selected="0">
            <x v="0"/>
          </reference>
          <reference field="25" count="1" selected="0">
            <x v="0"/>
          </reference>
        </references>
      </pivotArea>
    </format>
    <format dxfId="1564">
      <pivotArea dataOnly="0" labelOnly="1" outline="0" fieldPosition="0">
        <references count="7">
          <reference field="1" count="1" selected="0">
            <x v="0"/>
          </reference>
          <reference field="5" count="1" selected="0">
            <x v="20"/>
          </reference>
          <reference field="11" count="1" selected="0">
            <x v="168"/>
          </reference>
          <reference field="12" count="1" selected="0">
            <x v="29"/>
          </reference>
          <reference field="19" count="1">
            <x v="0"/>
          </reference>
          <reference field="21" count="1" selected="0">
            <x v="0"/>
          </reference>
          <reference field="25" count="1" selected="0">
            <x v="3"/>
          </reference>
        </references>
      </pivotArea>
    </format>
    <format dxfId="1563">
      <pivotArea dataOnly="0" labelOnly="1" outline="0" fieldPosition="0">
        <references count="7">
          <reference field="1" count="1" selected="0">
            <x v="0"/>
          </reference>
          <reference field="5" count="1" selected="0">
            <x v="20"/>
          </reference>
          <reference field="11" count="1" selected="0">
            <x v="169"/>
          </reference>
          <reference field="12" count="1" selected="0">
            <x v="25"/>
          </reference>
          <reference field="19" count="1">
            <x v="0"/>
          </reference>
          <reference field="21" count="1" selected="0">
            <x v="0"/>
          </reference>
          <reference field="25" count="1" selected="0">
            <x v="3"/>
          </reference>
        </references>
      </pivotArea>
    </format>
    <format dxfId="1562">
      <pivotArea dataOnly="0" labelOnly="1" outline="0" fieldPosition="0">
        <references count="7">
          <reference field="1" count="1" selected="0">
            <x v="0"/>
          </reference>
          <reference field="5" count="1" selected="0">
            <x v="20"/>
          </reference>
          <reference field="11" count="1" selected="0">
            <x v="178"/>
          </reference>
          <reference field="12" count="1" selected="0">
            <x v="40"/>
          </reference>
          <reference field="19" count="1">
            <x v="0"/>
          </reference>
          <reference field="21" count="1" selected="0">
            <x v="0"/>
          </reference>
          <reference field="25" count="1" selected="0">
            <x v="0"/>
          </reference>
        </references>
      </pivotArea>
    </format>
    <format dxfId="1561">
      <pivotArea dataOnly="0" labelOnly="1" outline="0" fieldPosition="0">
        <references count="7">
          <reference field="1" count="1" selected="0">
            <x v="0"/>
          </reference>
          <reference field="5" count="1" selected="0">
            <x v="20"/>
          </reference>
          <reference field="11" count="1" selected="0">
            <x v="193"/>
          </reference>
          <reference field="12" count="1" selected="0">
            <x v="36"/>
          </reference>
          <reference field="19" count="1">
            <x v="0"/>
          </reference>
          <reference field="21" count="1" selected="0">
            <x v="0"/>
          </reference>
          <reference field="25" count="1" selected="0">
            <x v="3"/>
          </reference>
        </references>
      </pivotArea>
    </format>
    <format dxfId="1560">
      <pivotArea dataOnly="0" labelOnly="1" outline="0" fieldPosition="0">
        <references count="7">
          <reference field="1" count="1" selected="0">
            <x v="0"/>
          </reference>
          <reference field="5" count="1" selected="0">
            <x v="20"/>
          </reference>
          <reference field="11" count="1" selected="0">
            <x v="197"/>
          </reference>
          <reference field="12" count="1" selected="0">
            <x v="37"/>
          </reference>
          <reference field="19" count="1">
            <x v="0"/>
          </reference>
          <reference field="21" count="1" selected="0">
            <x v="0"/>
          </reference>
          <reference field="25" count="1" selected="0">
            <x v="3"/>
          </reference>
        </references>
      </pivotArea>
    </format>
    <format dxfId="1559">
      <pivotArea dataOnly="0" labelOnly="1" outline="0" fieldPosition="0">
        <references count="7">
          <reference field="1" count="1" selected="0">
            <x v="0"/>
          </reference>
          <reference field="5" count="1" selected="0">
            <x v="20"/>
          </reference>
          <reference field="11" count="1" selected="0">
            <x v="201"/>
          </reference>
          <reference field="12" count="1" selected="0">
            <x v="111"/>
          </reference>
          <reference field="19" count="1">
            <x v="1"/>
          </reference>
          <reference field="21" count="1" selected="0">
            <x v="0"/>
          </reference>
          <reference field="25" count="1" selected="0">
            <x v="2"/>
          </reference>
        </references>
      </pivotArea>
    </format>
    <format dxfId="1558">
      <pivotArea dataOnly="0" labelOnly="1" outline="0" fieldPosition="0">
        <references count="7">
          <reference field="1" count="1" selected="0">
            <x v="0"/>
          </reference>
          <reference field="5" count="1" selected="0">
            <x v="20"/>
          </reference>
          <reference field="11" count="1" selected="0">
            <x v="228"/>
          </reference>
          <reference field="12" count="1" selected="0">
            <x v="115"/>
          </reference>
          <reference field="19" count="1">
            <x v="1"/>
          </reference>
          <reference field="21" count="1" selected="0">
            <x v="0"/>
          </reference>
          <reference field="25" count="1" selected="0">
            <x v="0"/>
          </reference>
        </references>
      </pivotArea>
    </format>
    <format dxfId="1557">
      <pivotArea dataOnly="0" labelOnly="1" outline="0" fieldPosition="0">
        <references count="7">
          <reference field="1" count="1" selected="0">
            <x v="0"/>
          </reference>
          <reference field="5" count="1" selected="0">
            <x v="20"/>
          </reference>
          <reference field="11" count="1" selected="0">
            <x v="230"/>
          </reference>
          <reference field="12" count="1" selected="0">
            <x v="107"/>
          </reference>
          <reference field="19" count="1">
            <x v="1"/>
          </reference>
          <reference field="21" count="1" selected="0">
            <x v="0"/>
          </reference>
          <reference field="25" count="1" selected="0">
            <x v="0"/>
          </reference>
        </references>
      </pivotArea>
    </format>
    <format dxfId="1556">
      <pivotArea dataOnly="0" labelOnly="1" outline="0" fieldPosition="0">
        <references count="7">
          <reference field="1" count="1" selected="0">
            <x v="1"/>
          </reference>
          <reference field="5" count="1" selected="0">
            <x v="3"/>
          </reference>
          <reference field="11" count="1" selected="0">
            <x v="148"/>
          </reference>
          <reference field="12" count="1" selected="0">
            <x v="212"/>
          </reference>
          <reference field="19" count="1">
            <x v="1"/>
          </reference>
          <reference field="21" count="1" selected="0">
            <x v="1"/>
          </reference>
          <reference field="25" count="1" selected="0">
            <x v="4"/>
          </reference>
        </references>
      </pivotArea>
    </format>
    <format dxfId="1555">
      <pivotArea dataOnly="0" labelOnly="1" outline="0" fieldPosition="0">
        <references count="7">
          <reference field="1" count="1" selected="0">
            <x v="1"/>
          </reference>
          <reference field="5" count="1" selected="0">
            <x v="3"/>
          </reference>
          <reference field="11" count="1" selected="0">
            <x v="232"/>
          </reference>
          <reference field="12" count="1" selected="0">
            <x v="233"/>
          </reference>
          <reference field="19" count="1">
            <x v="0"/>
          </reference>
          <reference field="21" count="1" selected="0">
            <x v="0"/>
          </reference>
          <reference field="25" count="1" selected="0">
            <x v="0"/>
          </reference>
        </references>
      </pivotArea>
    </format>
    <format dxfId="1554">
      <pivotArea dataOnly="0" labelOnly="1" outline="0" fieldPosition="0">
        <references count="7">
          <reference field="1" count="1" selected="0">
            <x v="1"/>
          </reference>
          <reference field="5" count="1" selected="0">
            <x v="3"/>
          </reference>
          <reference field="11" count="1" selected="0">
            <x v="247"/>
          </reference>
          <reference field="12" count="1" selected="0">
            <x v="250"/>
          </reference>
          <reference field="19" count="1">
            <x v="0"/>
          </reference>
          <reference field="21" count="1" selected="0">
            <x v="0"/>
          </reference>
          <reference field="25" count="1" selected="0">
            <x v="4"/>
          </reference>
        </references>
      </pivotArea>
    </format>
    <format dxfId="1553">
      <pivotArea dataOnly="0" labelOnly="1" outline="0" fieldPosition="0">
        <references count="7">
          <reference field="1" count="1" selected="0">
            <x v="1"/>
          </reference>
          <reference field="5" count="1" selected="0">
            <x v="6"/>
          </reference>
          <reference field="11" count="1" selected="0">
            <x v="51"/>
          </reference>
          <reference field="12" count="1" selected="0">
            <x v="203"/>
          </reference>
          <reference field="19" count="1">
            <x v="0"/>
          </reference>
          <reference field="21" count="1" selected="0">
            <x v="0"/>
          </reference>
          <reference field="25" count="1" selected="0">
            <x v="0"/>
          </reference>
        </references>
      </pivotArea>
    </format>
    <format dxfId="1552">
      <pivotArea dataOnly="0" labelOnly="1" outline="0" fieldPosition="0">
        <references count="7">
          <reference field="1" count="1" selected="0">
            <x v="1"/>
          </reference>
          <reference field="5" count="1" selected="0">
            <x v="6"/>
          </reference>
          <reference field="11" count="1" selected="0">
            <x v="52"/>
          </reference>
          <reference field="12" count="1" selected="0">
            <x v="204"/>
          </reference>
          <reference field="19" count="1">
            <x v="0"/>
          </reference>
          <reference field="21" count="1" selected="0">
            <x v="0"/>
          </reference>
          <reference field="25" count="1" selected="0">
            <x v="0"/>
          </reference>
        </references>
      </pivotArea>
    </format>
    <format dxfId="1551">
      <pivotArea dataOnly="0" labelOnly="1" outline="0" fieldPosition="0">
        <references count="7">
          <reference field="1" count="1" selected="0">
            <x v="1"/>
          </reference>
          <reference field="5" count="1" selected="0">
            <x v="6"/>
          </reference>
          <reference field="11" count="1" selected="0">
            <x v="53"/>
          </reference>
          <reference field="12" count="1" selected="0">
            <x v="205"/>
          </reference>
          <reference field="19" count="1">
            <x v="0"/>
          </reference>
          <reference field="21" count="1" selected="0">
            <x v="0"/>
          </reference>
          <reference field="25" count="1" selected="0">
            <x v="5"/>
          </reference>
        </references>
      </pivotArea>
    </format>
    <format dxfId="1550">
      <pivotArea dataOnly="0" labelOnly="1" outline="0" fieldPosition="0">
        <references count="7">
          <reference field="1" count="1" selected="0">
            <x v="1"/>
          </reference>
          <reference field="5" count="1" selected="0">
            <x v="6"/>
          </reference>
          <reference field="11" count="1" selected="0">
            <x v="116"/>
          </reference>
          <reference field="12" count="1" selected="0">
            <x v="206"/>
          </reference>
          <reference field="19" count="1">
            <x v="0"/>
          </reference>
          <reference field="21" count="1" selected="0">
            <x v="0"/>
          </reference>
          <reference field="25" count="1" selected="0">
            <x v="0"/>
          </reference>
        </references>
      </pivotArea>
    </format>
    <format dxfId="1549">
      <pivotArea dataOnly="0" labelOnly="1" outline="0" fieldPosition="0">
        <references count="7">
          <reference field="1" count="1" selected="0">
            <x v="1"/>
          </reference>
          <reference field="5" count="1" selected="0">
            <x v="6"/>
          </reference>
          <reference field="11" count="1" selected="0">
            <x v="123"/>
          </reference>
          <reference field="12" count="1" selected="0">
            <x v="196"/>
          </reference>
          <reference field="19" count="1">
            <x v="0"/>
          </reference>
          <reference field="21" count="1" selected="0">
            <x v="0"/>
          </reference>
          <reference field="25" count="1" selected="0">
            <x v="0"/>
          </reference>
        </references>
      </pivotArea>
    </format>
    <format dxfId="1548">
      <pivotArea dataOnly="0" labelOnly="1" outline="0" fieldPosition="0">
        <references count="7">
          <reference field="1" count="1" selected="0">
            <x v="1"/>
          </reference>
          <reference field="5" count="1" selected="0">
            <x v="6"/>
          </reference>
          <reference field="11" count="1" selected="0">
            <x v="137"/>
          </reference>
          <reference field="12" count="1" selected="0">
            <x v="197"/>
          </reference>
          <reference field="19" count="1">
            <x v="0"/>
          </reference>
          <reference field="21" count="1" selected="0">
            <x v="0"/>
          </reference>
          <reference field="25" count="1" selected="0">
            <x v="0"/>
          </reference>
        </references>
      </pivotArea>
    </format>
    <format dxfId="1547">
      <pivotArea dataOnly="0" labelOnly="1" outline="0" fieldPosition="0">
        <references count="7">
          <reference field="1" count="1" selected="0">
            <x v="1"/>
          </reference>
          <reference field="5" count="1" selected="0">
            <x v="6"/>
          </reference>
          <reference field="11" count="1" selected="0">
            <x v="208"/>
          </reference>
          <reference field="12" count="1" selected="0">
            <x v="208"/>
          </reference>
          <reference field="19" count="1">
            <x v="0"/>
          </reference>
          <reference field="21" count="1" selected="0">
            <x v="0"/>
          </reference>
          <reference field="25" count="1" selected="0">
            <x v="0"/>
          </reference>
        </references>
      </pivotArea>
    </format>
    <format dxfId="1546">
      <pivotArea dataOnly="0" labelOnly="1" outline="0" fieldPosition="0">
        <references count="7">
          <reference field="1" count="1" selected="0">
            <x v="1"/>
          </reference>
          <reference field="5" count="1" selected="0">
            <x v="6"/>
          </reference>
          <reference field="11" count="1" selected="0">
            <x v="221"/>
          </reference>
          <reference field="12" count="1" selected="0">
            <x v="229"/>
          </reference>
          <reference field="19" count="1">
            <x v="0"/>
          </reference>
          <reference field="21" count="1" selected="0">
            <x v="0"/>
          </reference>
          <reference field="25" count="1" selected="0">
            <x v="5"/>
          </reference>
        </references>
      </pivotArea>
    </format>
    <format dxfId="1545">
      <pivotArea dataOnly="0" labelOnly="1" outline="0" fieldPosition="0">
        <references count="7">
          <reference field="1" count="1" selected="0">
            <x v="1"/>
          </reference>
          <reference field="5" count="1" selected="0">
            <x v="6"/>
          </reference>
          <reference field="11" count="1" selected="0">
            <x v="239"/>
          </reference>
          <reference field="12" count="1" selected="0">
            <x v="241"/>
          </reference>
          <reference field="19" count="1">
            <x v="0"/>
          </reference>
          <reference field="21" count="1" selected="0">
            <x v="0"/>
          </reference>
          <reference field="25" count="1" selected="0">
            <x v="4"/>
          </reference>
        </references>
      </pivotArea>
    </format>
    <format dxfId="1544">
      <pivotArea dataOnly="0" labelOnly="1" outline="0" fieldPosition="0">
        <references count="7">
          <reference field="1" count="1" selected="0">
            <x v="1"/>
          </reference>
          <reference field="5" count="1" selected="0">
            <x v="6"/>
          </reference>
          <reference field="11" count="1" selected="0">
            <x v="241"/>
          </reference>
          <reference field="12" count="1" selected="0">
            <x v="244"/>
          </reference>
          <reference field="19" count="1">
            <x v="0"/>
          </reference>
          <reference field="21" count="1" selected="0">
            <x v="0"/>
          </reference>
          <reference field="25" count="1" selected="0">
            <x v="4"/>
          </reference>
        </references>
      </pivotArea>
    </format>
    <format dxfId="1543">
      <pivotArea dataOnly="0" labelOnly="1" outline="0" fieldPosition="0">
        <references count="7">
          <reference field="1" count="1" selected="0">
            <x v="1"/>
          </reference>
          <reference field="5" count="1" selected="0">
            <x v="6"/>
          </reference>
          <reference field="11" count="1" selected="0">
            <x v="244"/>
          </reference>
          <reference field="12" count="1" selected="0">
            <x v="249"/>
          </reference>
          <reference field="19" count="1">
            <x v="0"/>
          </reference>
          <reference field="21" count="1" selected="0">
            <x v="0"/>
          </reference>
          <reference field="25" count="1" selected="0">
            <x v="4"/>
          </reference>
        </references>
      </pivotArea>
    </format>
    <format dxfId="1542">
      <pivotArea dataOnly="0" labelOnly="1" outline="0" fieldPosition="0">
        <references count="7">
          <reference field="1" count="1" selected="0">
            <x v="1"/>
          </reference>
          <reference field="5" count="1" selected="0">
            <x v="6"/>
          </reference>
          <reference field="11" count="1" selected="0">
            <x v="248"/>
          </reference>
          <reference field="12" count="1" selected="0">
            <x v="251"/>
          </reference>
          <reference field="19" count="1">
            <x v="0"/>
          </reference>
          <reference field="21" count="1" selected="0">
            <x v="0"/>
          </reference>
          <reference field="25" count="1" selected="0">
            <x v="4"/>
          </reference>
        </references>
      </pivotArea>
    </format>
    <format dxfId="1541">
      <pivotArea dataOnly="0" labelOnly="1" outline="0" fieldPosition="0">
        <references count="7">
          <reference field="1" count="1" selected="0">
            <x v="1"/>
          </reference>
          <reference field="5" count="1" selected="0">
            <x v="9"/>
          </reference>
          <reference field="11" count="1" selected="0">
            <x v="95"/>
          </reference>
          <reference field="12" count="1" selected="0">
            <x v="198"/>
          </reference>
          <reference field="19" count="1">
            <x v="0"/>
          </reference>
          <reference field="21" count="1" selected="0">
            <x v="0"/>
          </reference>
          <reference field="25" count="1" selected="0">
            <x v="0"/>
          </reference>
        </references>
      </pivotArea>
    </format>
    <format dxfId="1540">
      <pivotArea dataOnly="0" labelOnly="1" outline="0" fieldPosition="0">
        <references count="7">
          <reference field="1" count="1" selected="0">
            <x v="1"/>
          </reference>
          <reference field="5" count="1" selected="0">
            <x v="9"/>
          </reference>
          <reference field="11" count="1" selected="0">
            <x v="96"/>
          </reference>
          <reference field="12" count="1" selected="0">
            <x v="213"/>
          </reference>
          <reference field="19" count="1">
            <x v="0"/>
          </reference>
          <reference field="21" count="1" selected="0">
            <x v="0"/>
          </reference>
          <reference field="25" count="1" selected="0">
            <x v="5"/>
          </reference>
        </references>
      </pivotArea>
    </format>
    <format dxfId="1539">
      <pivotArea dataOnly="0" labelOnly="1" outline="0" fieldPosition="0">
        <references count="7">
          <reference field="1" count="1" selected="0">
            <x v="1"/>
          </reference>
          <reference field="5" count="1" selected="0">
            <x v="9"/>
          </reference>
          <reference field="11" count="1" selected="0">
            <x v="246"/>
          </reference>
          <reference field="12" count="1" selected="0">
            <x v="246"/>
          </reference>
          <reference field="19" count="1">
            <x v="0"/>
          </reference>
          <reference field="21" count="1" selected="0">
            <x v="0"/>
          </reference>
          <reference field="25" count="1" selected="0">
            <x v="4"/>
          </reference>
        </references>
      </pivotArea>
    </format>
    <format dxfId="1538">
      <pivotArea dataOnly="0" labelOnly="1" outline="0" fieldPosition="0">
        <references count="7">
          <reference field="1" count="1" selected="0">
            <x v="1"/>
          </reference>
          <reference field="5" count="1" selected="0">
            <x v="13"/>
          </reference>
          <reference field="11" count="1" selected="0">
            <x v="39"/>
          </reference>
          <reference field="12" count="1" selected="0">
            <x v="199"/>
          </reference>
          <reference field="19" count="1">
            <x v="0"/>
          </reference>
          <reference field="21" count="1" selected="0">
            <x v="1"/>
          </reference>
          <reference field="25" count="1" selected="0">
            <x v="4"/>
          </reference>
        </references>
      </pivotArea>
    </format>
    <format dxfId="1537">
      <pivotArea dataOnly="0" labelOnly="1" outline="0" fieldPosition="0">
        <references count="7">
          <reference field="1" count="1" selected="0">
            <x v="1"/>
          </reference>
          <reference field="5" count="1" selected="0">
            <x v="13"/>
          </reference>
          <reference field="11" count="1" selected="0">
            <x v="40"/>
          </reference>
          <reference field="12" count="1" selected="0">
            <x v="209"/>
          </reference>
          <reference field="19" count="1">
            <x v="1"/>
          </reference>
          <reference field="21" count="1" selected="0">
            <x v="1"/>
          </reference>
          <reference field="25" count="1" selected="0">
            <x v="4"/>
          </reference>
        </references>
      </pivotArea>
    </format>
    <format dxfId="1536">
      <pivotArea dataOnly="0" labelOnly="1" outline="0" fieldPosition="0">
        <references count="7">
          <reference field="1" count="1" selected="0">
            <x v="1"/>
          </reference>
          <reference field="5" count="1" selected="0">
            <x v="13"/>
          </reference>
          <reference field="11" count="1" selected="0">
            <x v="120"/>
          </reference>
          <reference field="12" count="1" selected="0">
            <x v="195"/>
          </reference>
          <reference field="19" count="1">
            <x v="1"/>
          </reference>
          <reference field="21" count="1" selected="0">
            <x v="1"/>
          </reference>
          <reference field="25" count="1" selected="0">
            <x v="4"/>
          </reference>
        </references>
      </pivotArea>
    </format>
    <format dxfId="1535">
      <pivotArea dataOnly="0" labelOnly="1" outline="0" fieldPosition="0">
        <references count="7">
          <reference field="1" count="1" selected="0">
            <x v="1"/>
          </reference>
          <reference field="5" count="1" selected="0">
            <x v="13"/>
          </reference>
          <reference field="11" count="1" selected="0">
            <x v="136"/>
          </reference>
          <reference field="12" count="1" selected="0">
            <x v="200"/>
          </reference>
          <reference field="19" count="1">
            <x v="0"/>
          </reference>
          <reference field="21" count="1" selected="0">
            <x v="1"/>
          </reference>
          <reference field="25" count="1" selected="0">
            <x v="4"/>
          </reference>
        </references>
      </pivotArea>
    </format>
    <format dxfId="1534">
      <pivotArea dataOnly="0" labelOnly="1" outline="0" fieldPosition="0">
        <references count="7">
          <reference field="1" count="1" selected="0">
            <x v="1"/>
          </reference>
          <reference field="5" count="1" selected="0">
            <x v="13"/>
          </reference>
          <reference field="11" count="1" selected="0">
            <x v="214"/>
          </reference>
          <reference field="12" count="1" selected="0">
            <x v="222"/>
          </reference>
          <reference field="19" count="1">
            <x v="0"/>
          </reference>
          <reference field="21" count="1" selected="0">
            <x v="0"/>
          </reference>
          <reference field="25" count="1" selected="0">
            <x v="0"/>
          </reference>
        </references>
      </pivotArea>
    </format>
    <format dxfId="1533">
      <pivotArea dataOnly="0" labelOnly="1" outline="0" fieldPosition="0">
        <references count="7">
          <reference field="1" count="1" selected="0">
            <x v="1"/>
          </reference>
          <reference field="5" count="1" selected="0">
            <x v="13"/>
          </reference>
          <reference field="11" count="1" selected="0">
            <x v="217"/>
          </reference>
          <reference field="12" count="1" selected="0">
            <x v="226"/>
          </reference>
          <reference field="19" count="1">
            <x v="0"/>
          </reference>
          <reference field="21" count="1" selected="0">
            <x v="0"/>
          </reference>
          <reference field="25" count="1" selected="0">
            <x v="5"/>
          </reference>
        </references>
      </pivotArea>
    </format>
    <format dxfId="1532">
      <pivotArea dataOnly="0" labelOnly="1" outline="0" fieldPosition="0">
        <references count="7">
          <reference field="1" count="1" selected="0">
            <x v="1"/>
          </reference>
          <reference field="5" count="1" selected="0">
            <x v="15"/>
          </reference>
          <reference field="11" count="1" selected="0">
            <x v="130"/>
          </reference>
          <reference field="12" count="1" selected="0">
            <x v="194"/>
          </reference>
          <reference field="19" count="1">
            <x v="0"/>
          </reference>
          <reference field="21" count="1" selected="0">
            <x v="0"/>
          </reference>
          <reference field="25" count="1" selected="0">
            <x v="0"/>
          </reference>
        </references>
      </pivotArea>
    </format>
    <format dxfId="1531">
      <pivotArea dataOnly="0" labelOnly="1" outline="0" fieldPosition="0">
        <references count="7">
          <reference field="1" count="1" selected="0">
            <x v="1"/>
          </reference>
          <reference field="5" count="1" selected="0">
            <x v="15"/>
          </reference>
          <reference field="11" count="1" selected="0">
            <x v="131"/>
          </reference>
          <reference field="12" count="1" selected="0">
            <x v="191"/>
          </reference>
          <reference field="19" count="1">
            <x v="0"/>
          </reference>
          <reference field="21" count="1" selected="0">
            <x v="0"/>
          </reference>
          <reference field="25" count="1" selected="0">
            <x v="0"/>
          </reference>
        </references>
      </pivotArea>
    </format>
    <format dxfId="1530">
      <pivotArea dataOnly="0" labelOnly="1" outline="0" fieldPosition="0">
        <references count="7">
          <reference field="1" count="1" selected="0">
            <x v="1"/>
          </reference>
          <reference field="5" count="1" selected="0">
            <x v="15"/>
          </reference>
          <reference field="11" count="1" selected="0">
            <x v="132"/>
          </reference>
          <reference field="12" count="1" selected="0">
            <x v="193"/>
          </reference>
          <reference field="19" count="1">
            <x v="0"/>
          </reference>
          <reference field="21" count="1" selected="0">
            <x v="0"/>
          </reference>
          <reference field="25" count="1" selected="0">
            <x v="5"/>
          </reference>
        </references>
      </pivotArea>
    </format>
    <format dxfId="1529">
      <pivotArea dataOnly="0" labelOnly="1" outline="0" fieldPosition="0">
        <references count="7">
          <reference field="1" count="1" selected="0">
            <x v="1"/>
          </reference>
          <reference field="5" count="1" selected="0">
            <x v="15"/>
          </reference>
          <reference field="11" count="1" selected="0">
            <x v="215"/>
          </reference>
          <reference field="12" count="1" selected="0">
            <x v="223"/>
          </reference>
          <reference field="19" count="1">
            <x v="0"/>
          </reference>
          <reference field="21" count="1" selected="0">
            <x v="0"/>
          </reference>
          <reference field="25" count="1" selected="0">
            <x v="0"/>
          </reference>
        </references>
      </pivotArea>
    </format>
    <format dxfId="1528">
      <pivotArea dataOnly="0" labelOnly="1" outline="0" fieldPosition="0">
        <references count="7">
          <reference field="1" count="1" selected="0">
            <x v="1"/>
          </reference>
          <reference field="5" count="1" selected="0">
            <x v="15"/>
          </reference>
          <reference field="11" count="1" selected="0">
            <x v="219"/>
          </reference>
          <reference field="12" count="1" selected="0">
            <x v="224"/>
          </reference>
          <reference field="19" count="1">
            <x v="0"/>
          </reference>
          <reference field="21" count="1" selected="0">
            <x v="0"/>
          </reference>
          <reference field="25" count="1" selected="0">
            <x v="0"/>
          </reference>
        </references>
      </pivotArea>
    </format>
    <format dxfId="1527">
      <pivotArea dataOnly="0" labelOnly="1" outline="0" fieldPosition="0">
        <references count="7">
          <reference field="1" count="1" selected="0">
            <x v="1"/>
          </reference>
          <reference field="5" count="1" selected="0">
            <x v="15"/>
          </reference>
          <reference field="11" count="1" selected="0">
            <x v="242"/>
          </reference>
          <reference field="12" count="1" selected="0">
            <x v="247"/>
          </reference>
          <reference field="19" count="1">
            <x v="0"/>
          </reference>
          <reference field="21" count="1" selected="0">
            <x v="0"/>
          </reference>
          <reference field="25" count="1" selected="0">
            <x v="4"/>
          </reference>
        </references>
      </pivotArea>
    </format>
    <format dxfId="1526">
      <pivotArea dataOnly="0" labelOnly="1" outline="0" fieldPosition="0">
        <references count="7">
          <reference field="1" count="1" selected="0">
            <x v="1"/>
          </reference>
          <reference field="5" count="1" selected="0">
            <x v="15"/>
          </reference>
          <reference field="11" count="1" selected="0">
            <x v="243"/>
          </reference>
          <reference field="12" count="1" selected="0">
            <x v="248"/>
          </reference>
          <reference field="19" count="1">
            <x v="0"/>
          </reference>
          <reference field="21" count="1" selected="0">
            <x v="0"/>
          </reference>
          <reference field="25" count="1" selected="0">
            <x v="4"/>
          </reference>
        </references>
      </pivotArea>
    </format>
    <format dxfId="1525">
      <pivotArea dataOnly="0" labelOnly="1" outline="0" fieldPosition="0">
        <references count="7">
          <reference field="1" count="1" selected="0">
            <x v="1"/>
          </reference>
          <reference field="5" count="1" selected="0">
            <x v="16"/>
          </reference>
          <reference field="11" count="1" selected="0">
            <x v="142"/>
          </reference>
          <reference field="12" count="1" selected="0">
            <x v="202"/>
          </reference>
          <reference field="19" count="1">
            <x v="0"/>
          </reference>
          <reference field="21" count="1" selected="0">
            <x v="0"/>
          </reference>
          <reference field="25" count="1" selected="0">
            <x v="0"/>
          </reference>
        </references>
      </pivotArea>
    </format>
    <format dxfId="1524">
      <pivotArea dataOnly="0" labelOnly="1" outline="0" fieldPosition="0">
        <references count="7">
          <reference field="1" count="1" selected="0">
            <x v="1"/>
          </reference>
          <reference field="5" count="1" selected="0">
            <x v="16"/>
          </reference>
          <reference field="11" count="1" selected="0">
            <x v="143"/>
          </reference>
          <reference field="12" count="1" selected="0">
            <x v="214"/>
          </reference>
          <reference field="19" count="1">
            <x v="0"/>
          </reference>
          <reference field="21" count="1" selected="0">
            <x v="1"/>
          </reference>
          <reference field="25" count="1" selected="0">
            <x v="4"/>
          </reference>
        </references>
      </pivotArea>
    </format>
    <format dxfId="1523">
      <pivotArea dataOnly="0" labelOnly="1" outline="0" fieldPosition="0">
        <references count="7">
          <reference field="1" count="1" selected="0">
            <x v="1"/>
          </reference>
          <reference field="5" count="1" selected="0">
            <x v="16"/>
          </reference>
          <reference field="11" count="1" selected="0">
            <x v="245"/>
          </reference>
          <reference field="12" count="1" selected="0">
            <x v="245"/>
          </reference>
          <reference field="19" count="1">
            <x v="0"/>
          </reference>
          <reference field="21" count="1" selected="0">
            <x v="0"/>
          </reference>
          <reference field="25" count="1" selected="0">
            <x v="4"/>
          </reference>
        </references>
      </pivotArea>
    </format>
    <format dxfId="1522">
      <pivotArea dataOnly="0" labelOnly="1" outline="0" fieldPosition="0">
        <references count="1">
          <reference field="4294967294" count="3">
            <x v="0"/>
            <x v="1"/>
            <x v="2"/>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60" firstHeaderRow="0" firstDataRow="1" firstDataCol="6" rowPageCount="1" colPageCount="1"/>
  <pivotFields count="4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0"/>
        <item x="2"/>
        <item x="5"/>
        <item x="18"/>
        <item x="17"/>
        <item x="12"/>
        <item x="8"/>
        <item x="19"/>
        <item x="4"/>
        <item x="9"/>
        <item x="15"/>
        <item x="13"/>
        <item x="7"/>
        <item x="10"/>
        <item x="3"/>
        <item x="1"/>
        <item x="11"/>
        <item x="16"/>
        <item x="14"/>
        <item x="20"/>
        <item x="6"/>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139"/>
        <item x="20"/>
        <item x="21"/>
        <item x="0"/>
        <item x="23"/>
        <item x="24"/>
        <item x="141"/>
        <item x="1"/>
        <item x="138"/>
        <item x="85"/>
        <item x="180"/>
        <item x="60"/>
        <item x="179"/>
        <item x="25"/>
        <item x="155"/>
        <item x="140"/>
        <item x="106"/>
        <item x="242"/>
        <item x="74"/>
        <item x="191"/>
        <item x="26"/>
        <item x="81"/>
        <item x="14"/>
        <item x="69"/>
        <item x="27"/>
        <item x="164"/>
        <item x="165"/>
        <item x="166"/>
        <item x="129"/>
        <item x="148"/>
        <item x="154"/>
        <item x="113"/>
        <item x="161"/>
        <item x="44"/>
        <item x="243"/>
        <item x="244"/>
        <item x="28"/>
        <item x="29"/>
        <item x="156"/>
        <item x="3"/>
        <item x="107"/>
        <item x="112"/>
        <item x="30"/>
        <item x="15"/>
        <item x="132"/>
        <item x="4"/>
        <item x="245"/>
        <item x="182"/>
        <item x="118"/>
        <item x="167"/>
        <item x="172"/>
        <item x="246"/>
        <item x="46"/>
        <item x="120"/>
        <item x="63"/>
        <item x="64"/>
        <item x="65"/>
        <item x="173"/>
        <item x="114"/>
        <item x="71"/>
        <item x="169"/>
        <item x="247"/>
        <item x="121"/>
        <item x="75"/>
        <item x="130"/>
        <item x="126"/>
        <item x="175"/>
        <item x="183"/>
        <item x="17"/>
        <item x="35"/>
        <item x="36"/>
        <item x="6"/>
        <item x="134"/>
        <item x="135"/>
        <item x="136"/>
        <item x="123"/>
        <item x="100"/>
        <item x="186"/>
        <item x="248"/>
        <item x="249"/>
        <item x="131"/>
        <item x="250"/>
        <item x="251"/>
        <item x="252"/>
        <item x="254"/>
        <item x="84"/>
        <item x="96"/>
        <item x="188"/>
        <item x="142"/>
        <item x="190"/>
        <item x="177"/>
        <item x="178"/>
        <item x="133"/>
        <item x="137"/>
        <item x="98"/>
        <item x="102"/>
        <item x="104"/>
        <item x="105"/>
        <item x="144"/>
        <item x="110"/>
        <item x="55"/>
        <item x="58"/>
        <item x="111"/>
        <item x="116"/>
        <item x="108"/>
        <item x="87"/>
        <item x="86"/>
        <item x="89"/>
        <item x="91"/>
        <item x="92"/>
        <item x="88"/>
        <item x="93"/>
        <item x="90"/>
        <item x="193"/>
        <item x="194"/>
        <item x="99"/>
        <item x="83"/>
        <item x="80"/>
        <item x="79"/>
        <item x="38"/>
        <item x="82"/>
        <item x="146"/>
        <item x="66"/>
        <item x="149"/>
        <item x="54"/>
        <item x="61"/>
        <item x="150"/>
        <item x="206"/>
        <item x="170"/>
        <item x="53"/>
        <item x="209"/>
        <item x="67"/>
        <item x="145"/>
        <item x="162"/>
        <item x="204"/>
        <item x="8"/>
        <item x="16"/>
        <item x="59"/>
        <item x="124"/>
        <item x="37"/>
        <item x="2"/>
        <item x="163"/>
        <item x="7"/>
        <item x="70"/>
        <item x="5"/>
        <item x="72"/>
        <item x="158"/>
        <item x="57"/>
        <item x="171"/>
        <item x="174"/>
        <item x="125"/>
        <item x="40"/>
        <item x="62"/>
        <item x="160"/>
        <item x="192"/>
        <item x="195"/>
        <item x="9"/>
        <item x="41"/>
        <item x="76"/>
        <item x="181"/>
        <item x="117"/>
        <item x="185"/>
        <item x="255"/>
        <item x="122"/>
        <item x="77"/>
        <item x="78"/>
        <item x="151"/>
        <item x="56"/>
        <item x="196"/>
        <item x="152"/>
        <item x="197"/>
        <item x="157"/>
        <item x="18"/>
        <item x="95"/>
        <item x="10"/>
        <item x="227"/>
        <item x="257"/>
        <item x="258"/>
        <item x="259"/>
        <item x="262"/>
        <item x="263"/>
        <item x="43"/>
        <item x="11"/>
        <item x="101"/>
        <item x="45"/>
        <item x="97"/>
        <item x="19"/>
        <item x="159"/>
        <item x="198"/>
        <item x="199"/>
        <item x="264"/>
        <item x="235"/>
        <item x="236"/>
        <item x="200"/>
        <item x="184"/>
        <item x="127"/>
        <item x="187"/>
        <item x="241"/>
        <item x="12"/>
        <item x="103"/>
        <item x="231"/>
        <item x="201"/>
        <item x="203"/>
        <item x="205"/>
        <item x="207"/>
        <item x="265"/>
        <item x="189"/>
        <item x="94"/>
        <item x="176"/>
        <item x="234"/>
        <item x="268"/>
        <item x="34"/>
        <item x="153"/>
        <item x="51"/>
        <item x="269"/>
        <item x="42"/>
        <item x="143"/>
        <item x="208"/>
        <item x="13"/>
        <item x="52"/>
        <item x="168"/>
        <item x="68"/>
        <item x="31"/>
        <item x="73"/>
        <item x="147"/>
        <item x="33"/>
        <item x="32"/>
        <item x="109"/>
        <item x="256"/>
        <item x="202"/>
        <item x="270"/>
        <item x="228"/>
        <item x="210"/>
        <item x="230"/>
        <item x="119"/>
        <item x="115"/>
        <item x="239"/>
        <item x="240"/>
        <item x="128"/>
        <item x="211"/>
        <item x="50"/>
        <item x="212"/>
        <item x="215"/>
        <item x="216"/>
        <item x="217"/>
        <item x="213"/>
        <item x="214"/>
        <item x="218"/>
        <item x="219"/>
        <item x="22"/>
        <item x="47"/>
        <item x="49"/>
        <item x="48"/>
        <item x="39"/>
        <item x="220"/>
        <item x="221"/>
        <item x="222"/>
        <item x="223"/>
        <item x="224"/>
        <item x="225"/>
        <item x="226"/>
        <item x="229"/>
        <item x="232"/>
        <item x="233"/>
        <item x="237"/>
        <item x="238"/>
        <item x="253"/>
        <item x="260"/>
        <item x="261"/>
        <item x="266"/>
        <item x="267"/>
        <item x="271"/>
      </items>
      <extLst>
        <ext xmlns:x14="http://schemas.microsoft.com/office/spreadsheetml/2009/9/main" uri="{2946ED86-A175-432a-8AC1-64E0C546D7DE}">
          <x14:pivotField fillDownLabels="1"/>
        </ext>
      </extLst>
    </pivotField>
    <pivotField name="CpPcode" axis="axisRow" compact="0" outline="0" showAll="0" defaultSubtotal="0">
      <items count="275">
        <item x="204"/>
        <item x="199"/>
        <item x="208"/>
        <item x="206"/>
        <item x="210"/>
        <item x="201"/>
        <item x="202"/>
        <item x="193"/>
        <item x="203"/>
        <item x="168"/>
        <item x="169"/>
        <item x="167"/>
        <item x="176"/>
        <item x="186"/>
        <item x="178"/>
        <item x="191"/>
        <item x="16"/>
        <item x="170"/>
        <item x="175"/>
        <item x="196"/>
        <item x="197"/>
        <item x="211"/>
        <item x="205"/>
        <item x="198"/>
        <item x="262"/>
        <item x="266"/>
        <item x="251"/>
        <item x="246"/>
        <item x="254"/>
        <item x="265"/>
        <item x="253"/>
        <item x="261"/>
        <item x="258"/>
        <item x="33"/>
        <item x="34"/>
        <item x="35"/>
        <item x="268"/>
        <item x="271"/>
        <item x="257"/>
        <item x="255"/>
        <item x="267"/>
        <item x="14"/>
        <item x="15"/>
        <item x="43"/>
        <item x="124"/>
        <item x="45"/>
        <item x="11"/>
        <item x="47"/>
        <item x="6"/>
        <item x="0"/>
        <item x="8"/>
        <item x="4"/>
        <item x="13"/>
        <item x="9"/>
        <item x="12"/>
        <item x="152"/>
        <item x="56"/>
        <item x="57"/>
        <item x="58"/>
        <item x="234"/>
        <item x="61"/>
        <item x="145"/>
        <item x="136"/>
        <item x="134"/>
        <item x="230"/>
        <item x="111"/>
        <item x="238"/>
        <item x="239"/>
        <item x="138"/>
        <item x="139"/>
        <item x="137"/>
        <item x="155"/>
        <item x="162"/>
        <item x="73"/>
        <item x="237"/>
        <item x="119"/>
        <item x="117"/>
        <item x="120"/>
        <item x="130"/>
        <item x="79"/>
        <item x="80"/>
        <item x="81"/>
        <item x="82"/>
        <item x="83"/>
        <item x="84"/>
        <item x="85"/>
        <item x="86"/>
        <item x="39"/>
        <item x="88"/>
        <item x="89"/>
        <item x="90"/>
        <item x="91"/>
        <item x="92"/>
        <item x="93"/>
        <item x="94"/>
        <item x="95"/>
        <item x="96"/>
        <item x="97"/>
        <item x="98"/>
        <item x="42"/>
        <item x="100"/>
        <item x="53"/>
        <item x="102"/>
        <item x="103"/>
        <item x="104"/>
        <item x="27"/>
        <item x="106"/>
        <item x="273"/>
        <item x="245"/>
        <item x="109"/>
        <item x="247"/>
        <item x="272"/>
        <item x="112"/>
        <item x="113"/>
        <item x="252"/>
        <item x="259"/>
        <item x="249"/>
        <item x="135"/>
        <item x="132"/>
        <item x="160"/>
        <item x="78"/>
        <item x="76"/>
        <item x="154"/>
        <item x="107"/>
        <item x="101"/>
        <item x="147"/>
        <item x="126"/>
        <item x="127"/>
        <item x="128"/>
        <item x="129"/>
        <item x="133"/>
        <item x="29"/>
        <item x="250"/>
        <item x="125"/>
        <item x="71"/>
        <item x="260"/>
        <item x="200"/>
        <item x="3"/>
        <item x="37"/>
        <item x="22"/>
        <item x="26"/>
        <item x="141"/>
        <item x="142"/>
        <item x="143"/>
        <item x="144"/>
        <item x="28"/>
        <item x="146"/>
        <item x="24"/>
        <item x="148"/>
        <item x="149"/>
        <item x="21"/>
        <item x="151"/>
        <item x="36"/>
        <item x="44"/>
        <item x="46"/>
        <item x="52"/>
        <item x="156"/>
        <item x="157"/>
        <item x="158"/>
        <item x="159"/>
        <item x="25"/>
        <item x="30"/>
        <item x="41"/>
        <item x="10"/>
        <item x="1"/>
        <item x="18"/>
        <item x="17"/>
        <item x="54"/>
        <item x="140"/>
        <item x="77"/>
        <item x="123"/>
        <item x="171"/>
        <item x="172"/>
        <item x="173"/>
        <item x="174"/>
        <item x="244"/>
        <item x="248"/>
        <item x="177"/>
        <item x="19"/>
        <item x="179"/>
        <item x="180"/>
        <item x="181"/>
        <item x="182"/>
        <item x="183"/>
        <item x="62"/>
        <item x="185"/>
        <item x="87"/>
        <item x="187"/>
        <item x="188"/>
        <item x="189"/>
        <item x="190"/>
        <item x="99"/>
        <item x="192"/>
        <item x="20"/>
        <item x="194"/>
        <item x="121"/>
        <item x="108"/>
        <item x="31"/>
        <item x="105"/>
        <item x="2"/>
        <item x="5"/>
        <item x="7"/>
        <item x="38"/>
        <item x="153"/>
        <item x="55"/>
        <item x="59"/>
        <item x="60"/>
        <item x="110"/>
        <item x="161"/>
        <item x="63"/>
        <item x="64"/>
        <item x="65"/>
        <item x="66"/>
        <item x="67"/>
        <item x="68"/>
        <item x="69"/>
        <item x="70"/>
        <item x="115"/>
        <item x="72"/>
        <item x="74"/>
        <item x="184"/>
        <item x="114"/>
        <item x="163"/>
        <item x="116"/>
        <item x="164"/>
        <item x="165"/>
        <item x="166"/>
        <item x="195"/>
        <item x="207"/>
        <item x="212"/>
        <item x="32"/>
        <item x="75"/>
        <item x="150"/>
        <item x="213"/>
        <item x="231"/>
        <item x="233"/>
        <item x="122"/>
        <item x="118"/>
        <item x="242"/>
        <item x="243"/>
        <item x="131"/>
        <item x="214"/>
        <item x="51"/>
        <item x="209"/>
        <item x="215"/>
        <item x="216"/>
        <item x="217"/>
        <item x="218"/>
        <item x="219"/>
        <item x="220"/>
        <item x="221"/>
        <item x="222"/>
        <item x="23"/>
        <item x="48"/>
        <item x="50"/>
        <item x="49"/>
        <item x="40"/>
        <item x="223"/>
        <item x="224"/>
        <item x="225"/>
        <item x="226"/>
        <item x="227"/>
        <item x="228"/>
        <item x="229"/>
        <item x="232"/>
        <item x="235"/>
        <item x="236"/>
        <item x="240"/>
        <item x="241"/>
        <item x="256"/>
        <item x="263"/>
        <item x="264"/>
        <item x="269"/>
        <item x="270"/>
        <item x="274"/>
      </items>
      <extLst>
        <ext xmlns:x14="http://schemas.microsoft.com/office/spreadsheetml/2009/9/main" uri="{2946ED86-A175-432a-8AC1-64E0C546D7DE}">
          <x14:pivotField fillDownLabels="1"/>
        </ext>
      </extLst>
    </pivotField>
    <pivotField axis="axisRow" compact="0" outline="0" showAll="0" defaultSubtotal="0">
      <items count="204">
        <item x="34"/>
        <item x="40"/>
        <item x="26"/>
        <item x="43"/>
        <item x="116"/>
        <item x="44"/>
        <item x="71"/>
        <item x="30"/>
        <item x="68"/>
        <item x="128"/>
        <item x="69"/>
        <item x="35"/>
        <item x="29"/>
        <item x="24"/>
        <item x="37"/>
        <item x="38"/>
        <item x="104"/>
        <item x="39"/>
        <item x="74"/>
        <item x="23"/>
        <item x="25"/>
        <item x="27"/>
        <item x="41"/>
        <item x="106"/>
        <item x="109"/>
        <item x="20"/>
        <item x="110"/>
        <item x="105"/>
        <item x="67"/>
        <item x="94"/>
        <item x="117"/>
        <item x="28"/>
        <item x="65"/>
        <item x="175"/>
        <item x="130"/>
        <item x="85"/>
        <item x="86"/>
        <item x="87"/>
        <item x="83"/>
        <item x="51"/>
        <item x="93"/>
        <item x="157"/>
        <item x="42"/>
        <item x="70"/>
        <item x="11"/>
        <item x="3"/>
        <item x="10"/>
        <item x="8"/>
        <item x="4"/>
        <item x="0"/>
        <item x="140"/>
        <item x="6"/>
        <item x="12"/>
        <item x="1"/>
        <item x="103"/>
        <item x="144"/>
        <item x="145"/>
        <item x="80"/>
        <item x="16"/>
        <item x="9"/>
        <item x="99"/>
        <item x="107"/>
        <item x="90"/>
        <item x="112"/>
        <item x="191"/>
        <item x="48"/>
        <item x="47"/>
        <item x="49"/>
        <item x="45"/>
        <item x="127"/>
        <item x="15"/>
        <item x="156"/>
        <item x="131"/>
        <item x="126"/>
        <item x="158"/>
        <item x="125"/>
        <item x="124"/>
        <item x="152"/>
        <item x="154"/>
        <item x="147"/>
        <item x="121"/>
        <item x="149"/>
        <item x="136"/>
        <item x="159"/>
        <item x="54"/>
        <item x="180"/>
        <item x="132"/>
        <item x="52"/>
        <item x="133"/>
        <item x="97"/>
        <item x="139"/>
        <item x="174"/>
        <item x="173"/>
        <item x="150"/>
        <item x="141"/>
        <item x="151"/>
        <item x="32"/>
        <item x="190"/>
        <item x="199"/>
        <item x="171"/>
        <item x="197"/>
        <item x="187"/>
        <item x="148"/>
        <item x="189"/>
        <item x="196"/>
        <item x="188"/>
        <item x="33"/>
        <item x="195"/>
        <item x="194"/>
        <item x="201"/>
        <item x="185"/>
        <item x="96"/>
        <item x="182"/>
        <item x="202"/>
        <item x="82"/>
        <item x="81"/>
        <item x="88"/>
        <item x="183"/>
        <item x="178"/>
        <item x="98"/>
        <item x="77"/>
        <item x="76"/>
        <item x="137"/>
        <item x="92"/>
        <item x="138"/>
        <item x="108"/>
        <item x="73"/>
        <item x="75"/>
        <item x="129"/>
        <item x="142"/>
        <item x="64"/>
        <item x="66"/>
        <item x="114"/>
        <item x="2"/>
        <item x="7"/>
        <item x="61"/>
        <item x="36"/>
        <item x="123"/>
        <item x="143"/>
        <item x="120"/>
        <item x="134"/>
        <item x="186"/>
        <item x="102"/>
        <item x="184"/>
        <item x="100"/>
        <item x="115"/>
        <item x="101"/>
        <item x="192"/>
        <item x="118"/>
        <item x="203"/>
        <item x="58"/>
        <item x="181"/>
        <item x="50"/>
        <item x="60"/>
        <item x="78"/>
        <item x="55"/>
        <item x="122"/>
        <item x="155"/>
        <item x="179"/>
        <item x="56"/>
        <item x="57"/>
        <item x="193"/>
        <item x="198"/>
        <item x="113"/>
        <item x="84"/>
        <item x="79"/>
        <item x="119"/>
        <item x="62"/>
        <item x="59"/>
        <item x="46"/>
        <item x="53"/>
        <item x="135"/>
        <item x="91"/>
        <item x="14"/>
        <item x="5"/>
        <item x="63"/>
        <item x="111"/>
        <item x="72"/>
        <item x="13"/>
        <item x="17"/>
        <item x="18"/>
        <item x="19"/>
        <item x="146"/>
        <item x="172"/>
        <item x="161"/>
        <item x="176"/>
        <item x="177"/>
        <item x="95"/>
        <item x="162"/>
        <item x="31"/>
        <item x="163"/>
        <item x="166"/>
        <item x="165"/>
        <item x="169"/>
        <item x="160"/>
        <item x="164"/>
        <item x="89"/>
        <item x="168"/>
        <item x="22"/>
        <item x="153"/>
        <item x="167"/>
        <item x="170"/>
        <item x="200"/>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2"/>
        <item x="0"/>
        <item h="1" x="1"/>
        <item h="1" x="4"/>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1"/>
        <item x="0"/>
        <item x="5"/>
        <item x="3"/>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57">
    <i>
      <x v="1"/>
      <x v="150"/>
      <x v="25"/>
      <x/>
      <x v="1"/>
      <x/>
    </i>
    <i>
      <x v="2"/>
      <x v="139"/>
      <x v="203"/>
      <x/>
      <x v="1"/>
      <x v="2"/>
    </i>
    <i>
      <x v="3"/>
      <x v="49"/>
      <x v="49"/>
      <x/>
      <x v="1"/>
      <x v="1"/>
    </i>
    <i>
      <x v="4"/>
      <x v="147"/>
      <x v="19"/>
      <x/>
      <x v="1"/>
      <x v="3"/>
    </i>
    <i>
      <x v="5"/>
      <x v="160"/>
      <x v="13"/>
      <x/>
      <x v="1"/>
      <x v="3"/>
    </i>
    <i>
      <x v="7"/>
      <x v="164"/>
      <x v="53"/>
      <x/>
      <x v="1"/>
      <x/>
    </i>
    <i>
      <x v="13"/>
      <x v="140"/>
      <x v="20"/>
      <x/>
      <x v="1"/>
      <x/>
    </i>
    <i>
      <x v="17"/>
      <x v="108"/>
      <x v="158"/>
      <x v="1"/>
      <x v="1"/>
      <x v="2"/>
    </i>
    <i>
      <x v="18"/>
      <x v="121"/>
      <x v="130"/>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4"/>
      <x v="211"/>
      <x v="155"/>
      <x/>
      <x v="1"/>
      <x/>
    </i>
    <i>
      <x v="55"/>
      <x v="212"/>
      <x v="159"/>
      <x/>
      <x v="1"/>
      <x/>
    </i>
    <i>
      <x v="56"/>
      <x v="213"/>
      <x v="160"/>
      <x/>
      <x v="1"/>
      <x v="5"/>
    </i>
    <i>
      <x v="57"/>
      <x v="12"/>
      <x v="86"/>
      <x/>
      <x v="1"/>
      <x/>
    </i>
    <i>
      <x v="58"/>
      <x v="76"/>
      <x v="35"/>
      <x/>
      <x v="1"/>
      <x/>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1"/>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29"/>
      <x v="194"/>
      <x/>
      <x v="1"/>
      <x v="5"/>
    </i>
    <i>
      <x v="133"/>
      <x v="225"/>
      <x v="156"/>
      <x/>
      <x v="1"/>
      <x/>
    </i>
    <i>
      <x v="134"/>
      <x v="228"/>
      <x v="157"/>
      <x/>
      <x v="1"/>
      <x v="5"/>
    </i>
    <i>
      <x v="135"/>
      <x v="50"/>
      <x v="47"/>
      <x/>
      <x v="1"/>
      <x v="3"/>
    </i>
    <i>
      <x v="139"/>
      <x v="202"/>
      <x v="136"/>
      <x/>
      <x v="1"/>
      <x/>
    </i>
    <i>
      <x v="140"/>
      <x v="199"/>
      <x v="133"/>
      <x/>
      <x v="1"/>
      <x/>
    </i>
    <i>
      <x v="141"/>
      <x v="226"/>
      <x v="137"/>
      <x/>
      <x v="1"/>
      <x/>
    </i>
    <i>
      <x v="142"/>
      <x v="201"/>
      <x v="134"/>
      <x/>
      <x v="1"/>
      <x v="5"/>
    </i>
    <i>
      <x v="147"/>
      <x v="205"/>
      <x v="152"/>
      <x/>
      <x v="1"/>
      <x/>
    </i>
    <i>
      <x v="151"/>
      <x v="162"/>
      <x v="15"/>
      <x/>
      <x v="1"/>
      <x v="3"/>
    </i>
    <i>
      <x v="152"/>
      <x v="210"/>
      <x v="84"/>
      <x/>
      <x v="1"/>
      <x/>
    </i>
    <i>
      <x v="154"/>
      <x v="227"/>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0"/>
      <x v="189"/>
      <x/>
      <x v="1"/>
      <x/>
    </i>
    <i>
      <x v="228"/>
      <x v="115"/>
      <x v="147"/>
      <x v="1"/>
      <x v="1"/>
      <x/>
    </i>
    <i>
      <x v="229"/>
      <x v="22"/>
      <x v="199"/>
      <x/>
      <x v="1"/>
      <x v="3"/>
    </i>
    <i>
      <x v="230"/>
      <x v="107"/>
      <x v="149"/>
      <x v="1"/>
      <x v="1"/>
      <x/>
    </i>
    <i>
      <x v="231"/>
      <x v="234"/>
      <x v="183"/>
      <x/>
      <x v="1"/>
      <x/>
    </i>
    <i>
      <x v="232"/>
      <x v="233"/>
      <x v="184"/>
      <x/>
      <x v="1"/>
      <x/>
    </i>
    <i>
      <x v="234"/>
      <x v="236"/>
      <x v="196"/>
      <x/>
      <x v="1"/>
      <x/>
    </i>
    <i>
      <x v="235"/>
      <x v="237"/>
      <x v="36"/>
      <x/>
      <x v="1"/>
      <x v="2"/>
    </i>
    <i>
      <x v="236"/>
      <x v="238"/>
      <x v="185"/>
      <x/>
      <x v="1"/>
      <x/>
    </i>
    <i>
      <x v="237"/>
      <x v="239"/>
      <x v="186"/>
      <x/>
      <x v="1"/>
      <x/>
    </i>
    <i>
      <x v="238"/>
      <x v="240"/>
      <x v="187"/>
      <x/>
      <x/>
      <x v="4"/>
    </i>
    <i>
      <x v="239"/>
      <x v="241"/>
      <x v="188"/>
      <x/>
      <x v="1"/>
      <x v="4"/>
    </i>
    <i>
      <x v="240"/>
      <x v="242"/>
      <x v="189"/>
      <x/>
      <x v="1"/>
      <x v="4"/>
    </i>
    <i>
      <x v="241"/>
      <x v="244"/>
      <x v="190"/>
      <x/>
      <x v="1"/>
      <x/>
    </i>
    <i>
      <x v="242"/>
      <x v="247"/>
      <x v="192"/>
      <x/>
      <x v="1"/>
      <x v="4"/>
    </i>
    <i>
      <x v="243"/>
      <x v="248"/>
      <x v="191"/>
      <x/>
      <x v="1"/>
      <x v="4"/>
    </i>
    <i>
      <x v="244"/>
      <x v="249"/>
      <x v="200"/>
      <x/>
      <x v="1"/>
      <x v="4"/>
    </i>
    <i>
      <x v="245"/>
      <x v="245"/>
      <x v="195"/>
      <x/>
      <x v="1"/>
      <x v="4"/>
    </i>
    <i>
      <x v="246"/>
      <x v="246"/>
      <x v="174"/>
      <x/>
      <x v="1"/>
      <x v="4"/>
    </i>
    <i>
      <x v="247"/>
      <x v="250"/>
      <x v="197"/>
      <x/>
      <x v="1"/>
      <x v="4"/>
    </i>
    <i>
      <x v="248"/>
      <x v="251"/>
      <x v="193"/>
      <x/>
      <x v="1"/>
      <x v="4"/>
    </i>
    <i>
      <x v="249"/>
      <x v="252"/>
      <x v="198"/>
      <x/>
      <x v="1"/>
      <x v="4"/>
    </i>
    <i>
      <x v="250"/>
      <x v="253"/>
      <x v="198"/>
      <x/>
      <x v="1"/>
      <x/>
    </i>
    <i>
      <x v="251"/>
      <x v="254"/>
      <x v="198"/>
      <x/>
      <x v="1"/>
      <x v="4"/>
    </i>
    <i>
      <x v="252"/>
      <x v="255"/>
      <x v="198"/>
      <x/>
      <x v="1"/>
      <x v="4"/>
    </i>
    <i>
      <x v="253"/>
      <x v="256"/>
      <x v="198"/>
      <x/>
      <x v="1"/>
      <x v="4"/>
    </i>
    <i>
      <x v="254"/>
      <x v="257"/>
      <x v="201"/>
      <x/>
      <x v="1"/>
      <x v="4"/>
    </i>
    <i>
      <x v="255"/>
      <x v="258"/>
      <x v="174"/>
      <x/>
      <x v="1"/>
      <x v="4"/>
    </i>
    <i>
      <x v="256"/>
      <x v="259"/>
      <x v="174"/>
      <x/>
      <x v="1"/>
      <x v="4"/>
    </i>
    <i>
      <x v="257"/>
      <x v="260"/>
      <x v="174"/>
      <x/>
      <x v="1"/>
      <x v="4"/>
    </i>
    <i>
      <x v="258"/>
      <x v="261"/>
      <x v="174"/>
      <x/>
      <x v="1"/>
      <x v="4"/>
    </i>
    <i>
      <x v="270"/>
      <x v="273"/>
      <x v="202"/>
      <x/>
      <x v="1"/>
      <x v="4"/>
    </i>
    <i>
      <x v="271"/>
      <x v="274"/>
      <x v="160"/>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7">
        <item h="1" x="9"/>
        <item h="1" x="12"/>
        <item h="1" x="7"/>
        <item h="1" x="14"/>
        <item h="1" x="2"/>
        <item h="1" x="13"/>
        <item h="1" x="10"/>
        <item h="1" x="4"/>
        <item x="5"/>
        <item h="1" x="16"/>
        <item h="1" x="6"/>
        <item h="1" x="0"/>
        <item h="1" x="3"/>
        <item h="1" x="8"/>
        <item h="1" x="11"/>
        <item h="1" x="15"/>
        <item h="1" x="1"/>
      </items>
    </pivotField>
    <pivotField compact="0" outline="0" showAll="0" defaultSubtotal="0"/>
    <pivotField compact="0" outline="0" showAll="0" defaultSubtotal="0"/>
    <pivotField axis="axisRow" compact="0" outline="0" showAll="0" defaultSubtotal="0">
      <items count="17">
        <item x="1"/>
        <item x="7"/>
        <item x="2"/>
        <item x="5"/>
        <item x="3"/>
        <item x="13"/>
        <item x="10"/>
        <item x="15"/>
        <item x="4"/>
        <item x="11"/>
        <item x="0"/>
        <item x="8"/>
        <item x="14"/>
        <item x="16"/>
        <item x="6"/>
        <item x="9"/>
        <item x="12"/>
      </items>
    </pivotField>
    <pivotField axis="axisRow" compact="0" outline="0" showAll="0" defaultSubtotal="0">
      <items count="148">
        <item x="75"/>
        <item x="4"/>
        <item x="15"/>
        <item x="16"/>
        <item x="106"/>
        <item x="76"/>
        <item x="60"/>
        <item x="7"/>
        <item x="58"/>
        <item x="59"/>
        <item x="17"/>
        <item x="14"/>
        <item x="18"/>
        <item x="0"/>
        <item x="107"/>
        <item x="108"/>
        <item x="33"/>
        <item x="67"/>
        <item x="28"/>
        <item x="77"/>
        <item x="93"/>
        <item x="48"/>
        <item x="109"/>
        <item x="34"/>
        <item x="111"/>
        <item x="44"/>
        <item x="112"/>
        <item x="114"/>
        <item x="115"/>
        <item x="95"/>
        <item x="96"/>
        <item x="78"/>
        <item x="21"/>
        <item x="97"/>
        <item x="46"/>
        <item x="13"/>
        <item x="19"/>
        <item x="61"/>
        <item x="20"/>
        <item x="98"/>
        <item x="66"/>
        <item x="24"/>
        <item x="121"/>
        <item x="122"/>
        <item x="123"/>
        <item x="124"/>
        <item x="79"/>
        <item x="125"/>
        <item x="99"/>
        <item x="36"/>
        <item x="37"/>
        <item x="126"/>
        <item x="100"/>
        <item x="68"/>
        <item x="101"/>
        <item x="102"/>
        <item x="22"/>
        <item x="127"/>
        <item x="89"/>
        <item x="103"/>
        <item x="69"/>
        <item x="128"/>
        <item x="23"/>
        <item x="11"/>
        <item x="81"/>
        <item x="72"/>
        <item x="130"/>
        <item x="104"/>
        <item x="131"/>
        <item x="70"/>
        <item x="105"/>
        <item x="110"/>
        <item x="113"/>
        <item x="133"/>
        <item x="63"/>
        <item x="116"/>
        <item x="9"/>
        <item x="134"/>
        <item x="117"/>
        <item x="118"/>
        <item x="64"/>
        <item x="119"/>
        <item x="82"/>
        <item x="42"/>
        <item x="83"/>
        <item x="120"/>
        <item x="25"/>
        <item x="53"/>
        <item x="5"/>
        <item x="8"/>
        <item x="73"/>
        <item x="43"/>
        <item x="12"/>
        <item x="38"/>
        <item x="71"/>
        <item x="135"/>
        <item x="84"/>
        <item x="1"/>
        <item x="136"/>
        <item x="91"/>
        <item x="26"/>
        <item x="56"/>
        <item x="31"/>
        <item x="137"/>
        <item x="138"/>
        <item x="57"/>
        <item x="139"/>
        <item x="85"/>
        <item x="39"/>
        <item x="141"/>
        <item x="40"/>
        <item x="41"/>
        <item x="65"/>
        <item x="142"/>
        <item x="86"/>
        <item x="140"/>
        <item x="143"/>
        <item x="92"/>
        <item x="144"/>
        <item x="87"/>
        <item x="145"/>
        <item x="88"/>
        <item x="146"/>
        <item x="147"/>
        <item x="74"/>
        <item x="129"/>
        <item x="62"/>
        <item x="132"/>
        <item x="49"/>
        <item x="52"/>
        <item x="55"/>
        <item x="30"/>
        <item x="54"/>
        <item x="32"/>
        <item x="90"/>
        <item x="80"/>
        <item x="51"/>
        <item x="94"/>
        <item x="47"/>
        <item x="35"/>
        <item x="50"/>
        <item x="45"/>
        <item x="29"/>
        <item x="6"/>
        <item x="27"/>
        <item x="10"/>
        <item x="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39"/>
        <item x="120"/>
        <item x="40"/>
        <item x="141"/>
        <item x="41"/>
        <item x="56"/>
        <item x="101"/>
        <item x="57"/>
        <item x="107"/>
        <item x="108"/>
        <item x="0"/>
        <item x="95"/>
        <item x="46"/>
        <item x="97"/>
        <item x="100"/>
        <item x="34"/>
        <item x="111"/>
        <item x="23"/>
        <item x="11"/>
        <item x="144"/>
        <item x="9"/>
        <item x="38"/>
        <item x="135"/>
        <item x="122"/>
        <item x="67"/>
        <item x="125"/>
        <item x="71"/>
        <item x="79"/>
        <item x="12"/>
        <item x="64"/>
        <item x="140"/>
        <item x="65"/>
        <item x="86"/>
        <item x="36"/>
        <item x="99"/>
        <item x="31"/>
        <item x="14"/>
        <item x="1"/>
        <item x="20"/>
        <item x="4"/>
        <item x="70"/>
        <item x="109"/>
        <item x="88"/>
        <item x="134"/>
        <item x="85"/>
        <item x="72"/>
        <item x="130"/>
        <item x="127"/>
        <item x="83"/>
        <item x="68"/>
        <item x="124"/>
        <item x="69"/>
        <item x="137"/>
        <item x="138"/>
        <item x="66"/>
        <item x="24"/>
        <item x="98"/>
        <item x="25"/>
        <item x="26"/>
        <item x="103"/>
        <item x="96"/>
        <item x="118"/>
        <item x="139"/>
        <item x="82"/>
        <item x="81"/>
        <item x="128"/>
        <item x="117"/>
        <item x="145"/>
        <item x="17"/>
        <item x="7"/>
        <item x="28"/>
        <item x="87"/>
        <item x="123"/>
        <item x="44"/>
        <item x="48"/>
        <item x="33"/>
        <item x="5"/>
        <item x="21"/>
        <item x="58"/>
        <item x="42"/>
        <item x="22"/>
        <item x="102"/>
        <item x="121"/>
        <item x="119"/>
        <item x="43"/>
        <item x="53"/>
        <item x="61"/>
        <item x="76"/>
        <item x="18"/>
        <item x="15"/>
        <item x="75"/>
        <item x="19"/>
        <item x="84"/>
        <item x="91"/>
        <item x="92"/>
        <item x="143"/>
        <item x="60"/>
        <item x="16"/>
        <item x="77"/>
        <item x="63"/>
        <item x="73"/>
        <item x="106"/>
        <item x="13"/>
        <item x="78"/>
        <item x="131"/>
        <item x="133"/>
        <item x="8"/>
        <item x="37"/>
        <item x="126"/>
        <item x="142"/>
        <item x="59"/>
        <item x="110"/>
        <item x="105"/>
        <item x="104"/>
        <item x="113"/>
        <item x="89"/>
        <item x="93"/>
        <item x="116"/>
        <item x="112"/>
        <item x="114"/>
        <item x="115"/>
        <item x="74"/>
        <item x="129"/>
        <item x="62"/>
        <item x="132"/>
        <item x="49"/>
        <item x="52"/>
        <item x="55"/>
        <item x="90"/>
        <item x="30"/>
        <item x="54"/>
        <item x="32"/>
        <item x="80"/>
        <item x="51"/>
        <item x="94"/>
        <item x="47"/>
        <item x="35"/>
        <item x="50"/>
        <item x="45"/>
        <item x="29"/>
        <item x="6"/>
        <item x="27"/>
        <item x="10"/>
        <item x="2"/>
        <item x="3"/>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79" tableType="xml" totalsRowShown="0" headerRowDxfId="2213" dataDxfId="2212" headerRowCellStyle="Normal_Sheet11">
  <autoFilter ref="A4:AK279">
    <filterColumn colId="0">
      <filters>
        <filter val="Open"/>
      </filters>
    </filterColumn>
    <filterColumn colId="20">
      <filters>
        <filter val="IDP"/>
      </filters>
    </filterColumn>
  </autoFilter>
  <sortState ref="A8:AK242">
    <sortCondition sortBy="cellColor" ref="L4:L279" dxfId="2211"/>
  </sortState>
  <tableColumns count="37">
    <tableColumn id="24" uniqueName="Status" name="Status" dataDxfId="2210" dataCellStyle="Normal_Sheet3_1">
      <xmlColumnPr mapId="11" xpath="/dataroot/Camp_x005f_x0020_List/Status" xmlDataType="string"/>
    </tableColumn>
    <tableColumn id="2" uniqueName="State" name="State" dataDxfId="2209">
      <xmlColumnPr mapId="11" xpath="/dataroot/Camp_x005f_x0020_List/State" xmlDataType="string"/>
    </tableColumn>
    <tableColumn id="12" uniqueName="S_Pcode" name="S_Pcode" dataDxfId="2208">
      <xmlColumnPr mapId="11" xpath="/dataroot/Camp_x005f_x0020_List/S_Pcode" xmlDataType="string"/>
    </tableColumn>
    <tableColumn id="23" uniqueName="District" name="District" dataDxfId="2207">
      <xmlColumnPr mapId="11" xpath="/dataroot/Camp_x005f_x0020_List/District" xmlDataType="string"/>
    </tableColumn>
    <tableColumn id="19" uniqueName="D_Pcode" name="D_Pcode" dataDxfId="2206">
      <xmlColumnPr mapId="11" xpath="/dataroot/Camp_x005f_x0020_List/D_Pcode" xmlDataType="string"/>
    </tableColumn>
    <tableColumn id="3" uniqueName="Township" name="Township" dataDxfId="2205">
      <xmlColumnPr mapId="11" xpath="/dataroot/Camp_x005f_x0020_List/Township" xmlDataType="string"/>
    </tableColumn>
    <tableColumn id="13" uniqueName="T_Pcode" name="T_Pcode" dataDxfId="2204">
      <xmlColumnPr mapId="11" xpath="/dataroot/Camp_x005f_x0020_List/T_Pcode" xmlDataType="string"/>
    </tableColumn>
    <tableColumn id="14" uniqueName="VillageTracKTown" name="VillageTracKTown" dataDxfId="2203">
      <xmlColumnPr mapId="11" xpath="/dataroot/Camp_x005f_x0020_List/VillageTracKTown" xmlDataType="string"/>
    </tableColumn>
    <tableColumn id="15" uniqueName="VTT_Pcode" name="VTT_Pcode" dataDxfId="2202">
      <xmlColumnPr mapId="11" xpath="/dataroot/Camp_x005f_x0020_List/VTT_Pcode" xmlDataType="string"/>
    </tableColumn>
    <tableColumn id="16" uniqueName="VillageWard_Name" name="VillageWard_Name" dataDxfId="2201">
      <xmlColumnPr mapId="11" xpath="/dataroot/Camp_x005f_x0020_List/VillageWard_Name" xmlDataType="string"/>
    </tableColumn>
    <tableColumn id="17" uniqueName="VW_Pcode" name="VW_Pcode" dataDxfId="2200">
      <xmlColumnPr mapId="11" xpath="/dataroot/Camp_x005f_x0020_List/VW_Pcode" xmlDataType="string"/>
    </tableColumn>
    <tableColumn id="4" uniqueName="Camp" name="Camp" dataDxfId="2199">
      <xmlColumnPr mapId="11" xpath="/dataroot/Camp_x005f_x0020_List/Camp" xmlDataType="string"/>
    </tableColumn>
    <tableColumn id="5" uniqueName="CP_Pcode" name="CP_Pcode" dataDxfId="2198">
      <xmlColumnPr mapId="11" xpath="/dataroot/Camp_x005f_x0020_List/CP_Pcode" xmlDataType="string"/>
    </tableColumn>
    <tableColumn id="6" uniqueName="Longitude" name="Longitude" dataDxfId="2197">
      <xmlColumnPr mapId="11" xpath="/dataroot/Camp_x005f_x0020_List/Longitude" xmlDataType="double"/>
    </tableColumn>
    <tableColumn id="7" uniqueName="Latitude" name="Latitude" dataDxfId="2196">
      <xmlColumnPr mapId="11" xpath="/dataroot/Camp_x005f_x0020_List/Latitude" xmlDataType="double"/>
    </tableColumn>
    <tableColumn id="25" uniqueName="Altitude" name="Altitude" dataDxfId="2195">
      <xmlColumnPr mapId="11" xpath="/dataroot/Camp_x005f_x0020_List/Altitude" xmlDataType="double"/>
    </tableColumn>
    <tableColumn id="8" uniqueName="HH" name="HH" dataDxfId="2194">
      <xmlColumnPr mapId="11" xpath="/dataroot/Camp_x005f_x0020_List/HH" xmlDataType="double"/>
    </tableColumn>
    <tableColumn id="9" uniqueName="Total" name="Total" dataDxfId="2193">
      <xmlColumnPr mapId="11" xpath="/dataroot/Camp_x005f_x0020_List/Total" xmlDataType="double"/>
    </tableColumn>
    <tableColumn id="11" uniqueName="Avg" name="Avg" dataDxfId="2192">
      <calculatedColumnFormula>IF(CampList[[#This Row],[HH]]&gt;0,CampList[[#This Row],[Total]]/CampList[[#This Row],[HH]],"NA")</calculatedColumnFormula>
      <xmlColumnPr mapId="11" xpath="/dataroot/Camp_x005f_x0020_List/Avg" xmlDataType="string"/>
    </tableColumn>
    <tableColumn id="28" uniqueName="Accessibility" name="Accessibility" dataDxfId="2191">
      <xmlColumnPr mapId="11" xpath="/dataroot/Camp_x005f_x0020_List/Accessibility" xmlDataType="string"/>
    </tableColumn>
    <tableColumn id="1" uniqueName="Affected Population" name="Affected Population" dataDxfId="2190">
      <xmlColumnPr mapId="11" xpath="/dataroot/Camp_x005f_x0020_List/Affected_x005f_x0020_Population" xmlDataType="string"/>
    </tableColumn>
    <tableColumn id="29" uniqueName="Type of Accomodation" name="Type of Accomodation" dataDxfId="2189">
      <xmlColumnPr mapId="11" xpath="/dataroot/Camp_x005f_x0020_List/Type_x005f_x0020_of_x005f_x0020_Accomodation" xmlDataType="string"/>
    </tableColumn>
    <tableColumn id="30" uniqueName="Type of Location" name="Type of Location" dataDxfId="2188">
      <xmlColumnPr mapId="11" xpath="/dataroot/Camp_x005f_x0020_List/Type_x005f_x0020_of_x005f_x0020_Location" xmlDataType="string"/>
    </tableColumn>
    <tableColumn id="31" uniqueName="Opening Date" name="Opening Date" dataDxfId="2187">
      <xmlColumnPr mapId="11" xpath="/dataroot/Camp_x005f_x0020_List/Opening_x005f_x0020_Date" xmlDataType="dateTime"/>
    </tableColumn>
    <tableColumn id="22" uniqueName="CM/FP" name="CM/FP" dataDxfId="2186">
      <xmlColumnPr mapId="11" xpath="/dataroot/Camp_x005f_x0020_List/CM_x005f_x002F_FP" xmlDataType="double"/>
    </tableColumn>
    <tableColumn id="26" uniqueName="Responsible Agency" name="Responsible Agency" dataDxfId="2185">
      <xmlColumnPr mapId="11" xpath="/dataroot/Camp_x005f_x0020_List/Responsible_x005f_x0020_Agency" xmlDataType="string"/>
    </tableColumn>
    <tableColumn id="18" uniqueName="Source" name="Source" dataDxfId="2184">
      <xmlColumnPr mapId="11" xpath="/dataroot/Camp_x005f_x0020_List/Source" xmlDataType="string"/>
    </tableColumn>
    <tableColumn id="20" uniqueName="Method" name="Method" dataDxfId="2183">
      <xmlColumnPr mapId="11" xpath="/dataroot/Camp_x005f_x0020_List/Method" xmlDataType="string"/>
    </tableColumn>
    <tableColumn id="10" uniqueName="Update Date" name="Update Date" dataDxfId="2182">
      <xmlColumnPr mapId="11" xpath="/dataroot/Camp_x005f_x0020_List/Update_x005f_x0020_Date" xmlDataType="dateTime"/>
    </tableColumn>
    <tableColumn id="21" uniqueName="Comment" name="Comment" dataDxfId="2181">
      <xmlColumnPr mapId="11" xpath="/dataroot/Camp_x005f_x0020_List/Comment" xmlDataType="string"/>
    </tableColumn>
    <tableColumn id="32" uniqueName="Priority" name="Priority" dataDxfId="2180">
      <xmlColumnPr mapId="11" xpath="/dataroot/Camp_x005f_x0020_List/Priority" xmlDataType="string"/>
    </tableColumn>
    <tableColumn id="27" uniqueName="Shelter Gap" name="Shelter Gap" dataDxfId="2179">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2178">
      <xmlColumnPr mapId="11" xpath="/dataroot/Camp_x005f_x0020_List/Land_x005f_x0020_Status" xmlDataType="string"/>
    </tableColumn>
    <tableColumn id="34" uniqueName="Shelter Possible" name="Shelter Possible" dataDxfId="2177">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217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217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217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785" dataDxfId="784">
  <autoFilter ref="L1:L24"/>
  <tableColumns count="1">
    <tableColumn id="1" name="Kachin" dataDxfId="783"/>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782" dataDxfId="781">
  <autoFilter ref="N1:N7"/>
  <tableColumns count="1">
    <tableColumn id="1" name="Shan_North" dataDxfId="780"/>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2173"/>
    <tableColumn id="2" name="Nearest Town" dataDxfId="2172"/>
    <tableColumn id="3" name="distance" dataDxfId="2171"/>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1516" dataDxfId="1514" totalsRowDxfId="1512" headerRowBorderDxfId="1515" tableBorderDxfId="1513" totalsRowBorderDxfId="1511" dataCellStyle="Percent">
  <autoFilter ref="T2:AG23"/>
  <tableColumns count="14">
    <tableColumn id="1" name="Pcode" dataDxfId="1510" totalsRowDxfId="1509"/>
    <tableColumn id="2" name="Township" totalsRowLabel="Kachin/Shan" dataDxfId="1508" totalsRowDxfId="1507"/>
    <tableColumn id="3" name="Long." totalsRowLabel="96.00" dataDxfId="1506" totalsRowDxfId="1505"/>
    <tableColumn id="4" name="Lat." totalsRowLabel="27.00" dataDxfId="1504" totalsRowDxfId="1503"/>
    <tableColumn id="5" name="HS" totalsRowFunction="sum" dataDxfId="1502" totalsRowDxfId="1501">
      <calculatedColumnFormula>'CCCM Dashboard'!C16</calculatedColumnFormula>
    </tableColumn>
    <tableColumn id="6" name="Pop" totalsRowFunction="sum" dataDxfId="1500" totalsRowDxfId="1499" dataCellStyle="Comma">
      <calculatedColumnFormula>'CCCM Dashboard'!D16</calculatedColumnFormula>
    </tableColumn>
    <tableColumn id="7" name="N_cps" totalsRowFunction="custom" dataDxfId="1498" totalsRowDxfId="1497">
      <calculatedColumnFormula>CONCATENATE(AG3, " cp",IF(AG3&gt;1,"s",""))</calculatedColumnFormula>
      <totalsRowFormula>CONCATENATE(Table58[[#Totals],[Column1]]," camps")</totalsRowFormula>
    </tableColumn>
    <tableColumn id="8" name="Coverage" totalsRowFunction="custom" dataDxfId="1496" totalsRowDxfId="1495" dataCellStyle="Percent">
      <calculatedColumnFormula>'Shelter Coverage &amp; Gaps'!#REF!</calculatedColumnFormula>
      <totalsRowFormula>SUMPRODUCT(Table58[Pop]*Table58[Coverage])/Table58[[#Totals],[Pop]]</totalsRowFormula>
    </tableColumn>
    <tableColumn id="9" name="Hygiene" totalsRowFunction="custom" dataDxfId="1494" totalsRowDxfId="1493" dataCellStyle="Percent">
      <totalsRowFormula>SUMPRODUCT(Table58[Pop]*Table58[Hygiene])/Table58[[#Totals],[Pop]]</totalsRowFormula>
    </tableColumn>
    <tableColumn id="10" name="Core" totalsRowFunction="custom" dataDxfId="1492" totalsRowDxfId="1491" dataCellStyle="Percent">
      <totalsRowFormula>SUMPRODUCT(Table58[Pop]*Table58[Core])/Table58[[#Totals],[Pop]]</totalsRowFormula>
    </tableColumn>
    <tableColumn id="11" name="Sanitary" totalsRowFunction="custom" dataDxfId="1490" totalsRowDxfId="1489" dataCellStyle="Percent">
      <totalsRowFormula>SUMPRODUCT(Table58[Pop]*Table58[Sanitary])/Table58[[#Totals],[Pop]]</totalsRowFormula>
    </tableColumn>
    <tableColumn id="12" name="Y" totalsRowFunction="custom" dataDxfId="1488" totalsRowDxfId="1487">
      <calculatedColumnFormula>$S$3-ROUND((W3-$S$1)*$S$5,0)</calculatedColumnFormula>
      <totalsRowFormula>1000-ROUND((W24-23.5)*$S$5,0)</totalsRowFormula>
    </tableColumn>
    <tableColumn id="13" name="X" totalsRowFunction="custom" dataDxfId="1486" totalsRowDxfId="1485">
      <calculatedColumnFormula>ROUND((V3-$S$2)*$S$5,0)+$S$4</calculatedColumnFormula>
      <totalsRowFormula>ROUND((V24-96.5)*$S$5,0)+100</totalsRowFormula>
    </tableColumn>
    <tableColumn id="14" name="Column1" totalsRowFunction="sum" dataDxfId="1484" totalsRowDxfId="1483" dataCellStyle="Comma">
      <calculatedColumnFormula>'CCCM Dashboard'!E16</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74" tableType="xml" totalsRowShown="0" headerRowDxfId="1406" dataDxfId="1404" headerRowBorderDxfId="1405" tableBorderDxfId="1403" totalsRowBorderDxfId="1402">
  <autoFilter ref="A4:W374"/>
  <sortState ref="A5:W374">
    <sortCondition descending="1" ref="A4:A374"/>
  </sortState>
  <tableColumns count="23">
    <tableColumn id="1" uniqueName="Update Date" name="Update Date" dataDxfId="1401">
      <xmlColumnPr mapId="9" xpath="/dataroot/Shelter_x005f_x0020_Tracking/Update_x005f_x0020_Date" xmlDataType="dateTime"/>
    </tableColumn>
    <tableColumn id="2" uniqueName="Organization" name="Organization" dataDxfId="1400">
      <xmlColumnPr mapId="9" xpath="/dataroot/Shelter_x005f_x0020_Tracking/Organization" xmlDataType="string"/>
    </tableColumn>
    <tableColumn id="3" uniqueName="ImplementingPartner" name="Implementing  Partner" dataDxfId="1399">
      <xmlColumnPr mapId="9" xpath="/dataroot/Shelter_x005f_x0020_Tracking/ImplementingPartner" xmlDataType="string"/>
    </tableColumn>
    <tableColumn id="4" uniqueName="State" name="State" dataDxfId="1398" dataCellStyle="Normal_Sheet3">
      <xmlColumnPr mapId="9" xpath="/dataroot/Shelter_x005f_x0020_Tracking/State" xmlDataType="string"/>
    </tableColumn>
    <tableColumn id="5" uniqueName="Township" name="Township" dataDxfId="1397">
      <xmlColumnPr mapId="9" xpath="/dataroot/Shelter_x005f_x0020_Tracking/Township" xmlDataType="string"/>
    </tableColumn>
    <tableColumn id="6" uniqueName="CampName" name="CampName" dataDxfId="1396">
      <xmlColumnPr mapId="9" xpath="/dataroot/Shelter_x005f_x0020_Tracking/CampName" xmlDataType="string"/>
    </tableColumn>
    <tableColumn id="7" uniqueName="HHperShelter" name="HH per Shelter" dataDxfId="1395">
      <xmlColumnPr mapId="9" xpath="/dataroot/Shelter_x005f_x0020_Tracking/HHperShelter" xmlDataType="double"/>
    </tableColumn>
    <tableColumn id="8" uniqueName="#ofFamilyTentPlanned(Target)" name="# of Family Tent Planned(Target)" dataDxfId="1394">
      <xmlColumnPr mapId="9" xpath="/dataroot/Shelter_x005f_x0020_Tracking/_x005f_x0023_ofFamilyTentPlanned_x005f_x0028_Target_x005f_x0029_" xmlDataType="double"/>
    </tableColumn>
    <tableColumn id="9" uniqueName="#ofFamilyTentDistributed" name="# of Family Tent Distributed" dataDxfId="1393">
      <xmlColumnPr mapId="9" xpath="/dataroot/Shelter_x005f_x0020_Tracking/_x005f_x0023_ofFamilyTentDistributed" xmlDataType="double"/>
    </tableColumn>
    <tableColumn id="10" uniqueName="#ofTemporaryShelterUnitsPlanned(Target)" name="# of Temporary Shelter Units Planned (Target)" dataDxfId="1392">
      <xmlColumnPr mapId="9" xpath="/dataroot/Shelter_x005f_x0020_Tracking/_x005f_x0023_ofTemporaryShelterUnitsPlanned_x005f_x0028_Target_x005f_x0029_" xmlDataType="double"/>
    </tableColumn>
    <tableColumn id="11" uniqueName="#ofTemporaryShelterUnitsBuilt" name="# of Temporary Shelter Units Built" dataDxfId="1391">
      <xmlColumnPr mapId="9" xpath="/dataroot/Shelter_x005f_x0020_Tracking/_x005f_x0023_ofTemporaryShelterUnitsBuilt" xmlDataType="double"/>
    </tableColumn>
    <tableColumn id="12" uniqueName="#ofTemporaryShelterUnderConstruction" name="# of Temporary Shelter Under  Construction" dataDxfId="1390">
      <xmlColumnPr mapId="9" xpath="/dataroot/Shelter_x005f_x0020_Tracking/_x005f_x0023_ofTemporaryShelterUnderConstruction" xmlDataType="string"/>
    </tableColumn>
    <tableColumn id="13" uniqueName="#ofPermanentHousePlanned(Target)" name="# of Permanent House Planned (Target)" dataDxfId="1389">
      <xmlColumnPr mapId="9" xpath="/dataroot/Shelter_x005f_x0020_Tracking/_x005f_x0023_ofPermanentHousePlanned_x005f_x0028_Target_x005f_x0029_" xmlDataType="string"/>
    </tableColumn>
    <tableColumn id="14" uniqueName="#ofPermanentHouseBuilt" name="# of Permanent House Built" dataDxfId="1388">
      <xmlColumnPr mapId="9" xpath="/dataroot/Shelter_x005f_x0020_Tracking/_x005f_x0023_ofPermanentHouseBuilt" xmlDataType="string"/>
    </tableColumn>
    <tableColumn id="15" uniqueName="#ofPermanentHouseUnderConstruction" name="# of Permanent House Under Construction" dataDxfId="1387">
      <xmlColumnPr mapId="9" xpath="/dataroot/Shelter_x005f_x0020_Tracking/_x005f_x0023_ofPermanentHouseUnderConstruction" xmlDataType="string"/>
    </tableColumn>
    <tableColumn id="16" uniqueName="HHCovered" name="HH Covered" dataDxfId="1386">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1385">
      <xmlColumnPr mapId="9" xpath="/dataroot/Shelter_x005f_x0020_Tracking/Planned_x005f_x0020_Renovation" xmlDataType="double"/>
    </tableColumn>
    <tableColumn id="20" uniqueName="Renovated" name="Renovated" dataDxfId="1384">
      <xmlColumnPr mapId="9" xpath="/dataroot/Shelter_x005f_x0020_Tracking/Renovated" xmlDataType="string"/>
    </tableColumn>
    <tableColumn id="17" uniqueName="Pcode" name="Pcode" dataDxfId="1383">
      <calculatedColumnFormula>IFERROR(VLOOKUP(Table_Shelter[[#This Row],[CampName]],CL,2,0),"")</calculatedColumnFormula>
      <xmlColumnPr mapId="9" xpath="/dataroot/Shelter_x005f_x0020_Tracking/Pcode" xmlDataType="string"/>
    </tableColumn>
    <tableColumn id="18" uniqueName="Status" name="Status" dataDxfId="1382">
      <calculatedColumnFormula>IFERROR(VLOOKUP(Table_Shelter[[#This Row],[CampName]],CL,3,0),"")</calculatedColumnFormula>
      <xmlColumnPr mapId="9" xpath="/dataroot/Shelter_x005f_x0020_Tracking/Status" xmlDataType="string"/>
    </tableColumn>
    <tableColumn id="19" uniqueName="Coverage" name="Coverage" dataDxfId="1381">
      <calculatedColumnFormula>IFERROR(Table_Shelter[[#This Row],[HH Covered]]/VLOOKUP(Table_Shelter[[#This Row],[CampName]],CL,5,0),"")</calculatedColumnFormula>
      <xmlColumnPr mapId="9" xpath="/dataroot/Shelter_x005f_x0020_Tracking/Coverage" xmlDataType="double"/>
    </tableColumn>
    <tableColumn id="23" uniqueName="23" name="Replacement (YES/NO)" dataDxfId="1380">
      <calculatedColumnFormula>VLOOKUP(Table_Shelter[[#This Row],[CampName]],CL,4,0)</calculatedColumnFormula>
    </tableColumn>
    <tableColumn id="22" uniqueName="Comments" name="Comments" dataDxfId="1379">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CG21:CJ31" totalsRowShown="0" headerRowDxfId="905" headerRowBorderDxfId="904" tableBorderDxfId="903" totalsRowBorderDxfId="902">
  <autoFilter ref="CG21:CJ31"/>
  <tableColumns count="4">
    <tableColumn id="1" name="Township" dataDxfId="901">
      <calculatedColumnFormula>C22</calculatedColumnFormula>
    </tableColumn>
    <tableColumn id="2" name="V1" dataDxfId="900">
      <calculatedColumnFormula>D22-Shelter_Draw[[#This Row],[V2]]-Shelter_Draw[[#This Row],[V3]]</calculatedColumnFormula>
    </tableColumn>
    <tableColumn id="3" name="V2" dataDxfId="899">
      <calculatedColumnFormula>H22</calculatedColumnFormula>
    </tableColumn>
    <tableColumn id="4" name="V3" dataDxfId="898">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W1340" tableType="xml" totalsRowShown="0" headerRowDxfId="875" dataDxfId="873" headerRowBorderDxfId="874" tableBorderDxfId="872" totalsRowBorderDxfId="871">
  <autoFilter ref="A5:AW1340"/>
  <sortState ref="A6:AW1340">
    <sortCondition descending="1" ref="B5:B1340"/>
  </sortState>
  <tableColumns count="49">
    <tableColumn id="23" uniqueName="Months" name="Months" dataDxfId="870">
      <calculatedColumnFormula>IF(ISBLANK(B6),"",(Report_Date-B6)/30)</calculatedColumnFormula>
      <xmlColumnPr mapId="8" xpath="/dataroot/NFI_x005f_x0020_Tracking/Months" xmlDataType="double"/>
    </tableColumn>
    <tableColumn id="1" uniqueName="Distribution Date" name="Distribution Date" dataDxfId="869">
      <xmlColumnPr mapId="8" xpath="/dataroot/NFI_x005f_x0020_Tracking/Distribution_x005f_x0020_Date" xmlDataType="dateTime"/>
    </tableColumn>
    <tableColumn id="2" uniqueName="Organization" name="Organization" dataDxfId="868">
      <xmlColumnPr mapId="8" xpath="/dataroot/NFI_x005f_x0020_Tracking/Organization" xmlDataType="string"/>
    </tableColumn>
    <tableColumn id="3" uniqueName="Implementing Partner" name="Implementing Partner" dataDxfId="867">
      <xmlColumnPr mapId="8" xpath="/dataroot/NFI_x005f_x0020_Tracking/Implementing_x005f_x0020_Partner" xmlDataType="string"/>
    </tableColumn>
    <tableColumn id="4" uniqueName="State" name="State" dataDxfId="866">
      <xmlColumnPr mapId="8" xpath="/dataroot/NFI_x005f_x0020_Tracking/State" xmlDataType="string"/>
    </tableColumn>
    <tableColumn id="5" uniqueName="Township" name="Township" dataDxfId="865">
      <xmlColumnPr mapId="8" xpath="/dataroot/NFI_x005f_x0020_Tracking/Township" xmlDataType="string"/>
    </tableColumn>
    <tableColumn id="6" uniqueName="Camp Name" name="Camp Name" dataDxfId="864">
      <xmlColumnPr mapId="8" xpath="/dataroot/NFI_x005f_x0020_Tracking/Camp_x005f_x0020_Name" xmlDataType="string"/>
    </tableColumn>
    <tableColumn id="7" uniqueName="Hygiene Kit" name="Hygiene Kit" dataDxfId="863">
      <xmlColumnPr mapId="8" xpath="/dataroot/NFI_x005f_x0020_Tracking/Hygiene_x005f_x0020_Kit" xmlDataType="string"/>
    </tableColumn>
    <tableColumn id="8" uniqueName="NFI Core Kit" name="NFI Core Kit" dataDxfId="862">
      <xmlColumnPr mapId="8" xpath="/dataroot/NFI_x005f_x0020_Tracking/NFI_x005f_x0020_Core_x005f_x0020_Kit" xmlDataType="string"/>
    </tableColumn>
    <tableColumn id="9" uniqueName="Sanitary Kit" name="Sanitary Kit" dataDxfId="861">
      <xmlColumnPr mapId="8" xpath="/dataroot/NFI_x005f_x0020_Tracking/Sanitary_x005f_x0020_Kit" xmlDataType="string"/>
    </tableColumn>
    <tableColumn id="10" uniqueName="Mosquito net" name="Mosquito net" dataDxfId="860">
      <xmlColumnPr mapId="8" xpath="/dataroot/NFI_x005f_x0020_Tracking/Mosquito_x005f_x0020_net" xmlDataType="double"/>
    </tableColumn>
    <tableColumn id="11" uniqueName="Tarpaulin" name="Tarpaulin" dataDxfId="859">
      <xmlColumnPr mapId="8" xpath="/dataroot/NFI_x005f_x0020_Tracking/Tarpaulin" xmlDataType="double"/>
    </tableColumn>
    <tableColumn id="12" uniqueName="Blanket" name="Blanket" dataDxfId="858">
      <xmlColumnPr mapId="8" xpath="/dataroot/NFI_x005f_x0020_Tracking/Blanket" xmlDataType="double"/>
    </tableColumn>
    <tableColumn id="13" uniqueName="Kitchen Set" name="Kitchen Set" dataDxfId="857">
      <xmlColumnPr mapId="8" xpath="/dataroot/NFI_x005f_x0020_Tracking/Kitchen_x005f_x0020_Set" xmlDataType="double"/>
    </tableColumn>
    <tableColumn id="14" uniqueName="Clothes Kit" name="Clothes Kit" dataDxfId="856">
      <xmlColumnPr mapId="8" xpath="/dataroot/NFI_x005f_x0020_Tracking/Clothes_x005f_x0020_Kit" xmlDataType="double"/>
    </tableColumn>
    <tableColumn id="26" uniqueName="Plastic Bucket" name="Plastic Bucket" dataDxfId="855">
      <xmlColumnPr mapId="8" xpath="/dataroot/NFI_x005f_x0020_Tracking/Plastic_x005f_x0020_Bucket" xmlDataType="double"/>
    </tableColumn>
    <tableColumn id="25" uniqueName="Plastic Mat" name="Plastic Mat" dataDxfId="854">
      <xmlColumnPr mapId="8" xpath="/dataroot/NFI_x005f_x0020_Tracking/Plastic_x005f_x0020_Mat" xmlDataType="double"/>
    </tableColumn>
    <tableColumn id="47" uniqueName="Winter Clothes Adult" name="Winter Clothes Adult" dataDxfId="853">
      <xmlColumnPr mapId="8" xpath="/dataroot/NFI_x005f_x0020_Tracking/Winter_x005f_x0020_Clothes_x005f_x0020_Adult" xmlDataType="string"/>
    </tableColumn>
    <tableColumn id="46" uniqueName="Winter Clothes Children" name="Winter Clothes Children" dataDxfId="852">
      <xmlColumnPr mapId="8" xpath="/dataroot/NFI_x005f_x0020_Tracking/Winter_x005f_x0020_Clothes_x005f_x0020_Children" xmlDataType="string"/>
    </tableColumn>
    <tableColumn id="45" uniqueName="Winter Items Other" name="Winter Items Other" dataDxfId="851">
      <xmlColumnPr mapId="8" xpath="/dataroot/NFI_x005f_x0020_Tracking/Winter_x005f_x0020_Items_x005f_x0020_Other" xmlDataType="string"/>
    </tableColumn>
    <tableColumn id="32" uniqueName="Winter Blanket" name="Winter Blanket" dataDxfId="850">
      <xmlColumnPr mapId="8" xpath="/dataroot/NFI_x005f_x0020_Tracking/Winter_x005f_x0020_Blanket" xmlDataType="string"/>
    </tableColumn>
    <tableColumn id="38" uniqueName="38" name="Jerry Can" dataDxfId="849"/>
    <tableColumn id="41" uniqueName="41" name="Shelter Tool kit" dataDxfId="848"/>
    <tableColumn id="40" uniqueName="40" name="Tent" dataDxfId="847"/>
    <tableColumn id="15" uniqueName="Hygiene Kit_LS" name="Hygiene Kit_LS" dataDxfId="846">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845">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844">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843">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842">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841">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840">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839">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838">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837">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836">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835">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834">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833">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832">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831">
      <calculatedColumnFormula>IF(NFI_Expiration=1,IF($A6&lt;VLOOKUP(V$5,NFI,5,0),1,0)*Table_NFI[[#This Row],[Jerry Can]],Table_NFI[Jerry Can])</calculatedColumnFormula>
    </tableColumn>
    <tableColumn id="42" uniqueName="42" name="Shelter Tool kit_LS" dataDxfId="830">
      <calculatedColumnFormula>IF(NFI_Expiration=1,IF($A6&lt;VLOOKUP(V$5,NFI,5,0),1,0)*Table_NFI[[#This Row],[Shelter Tool kit]],Table_NFI[Shelter Tool kit])</calculatedColumnFormula>
    </tableColumn>
    <tableColumn id="43" uniqueName="43" name="Tent_LS" dataDxfId="829">
      <calculatedColumnFormula>IF(NFI_Expiration=1,IF($A6&lt;VLOOKUP(V$5,NFI,5,0),1,0)*Table_NFI[[#This Row],[Tent]],Table_NFI[Tent])</calculatedColumnFormula>
    </tableColumn>
    <tableColumn id="24" uniqueName="Pcode" name="Pcode" dataDxfId="828">
      <calculatedColumnFormula>IFERROR(VLOOKUP(Table_NFI[[#This Row],[Camp Name]],CL,2,0),"")</calculatedColumnFormula>
      <xmlColumnPr mapId="8" xpath="/dataroot/NFI_x005f_x0020_Tracking/Pcode" xmlDataType="string"/>
    </tableColumn>
    <tableColumn id="35" uniqueName="opening_date" name="opening_date" dataDxfId="827">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826">
      <calculatedColumnFormula>IFERROR(VLOOKUP(Table_NFI[[#This Row],[Camp Name]],CL,3,0),"")</calculatedColumnFormula>
      <xmlColumnPr mapId="8" xpath="/dataroot/NFI_x005f_x0020_Tracking/Status" xmlDataType="string"/>
    </tableColumn>
    <tableColumn id="29" uniqueName="Priority" name="Priority" dataDxfId="825">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824">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823">
      <xmlColumnPr mapId="8" xpath="/dataroot/NFI_x005f_x0020_Tracking/Planned_x005f_x0020_Distribution" xmlDataType="string"/>
    </tableColumn>
    <tableColumn id="37" uniqueName="Comment" name="Comment" dataDxfId="822">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821"/>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806" headerRowBorderDxfId="805" tableBorderDxfId="804" totalsRowBorderDxfId="803">
  <autoFilter ref="A1:N168"/>
  <tableColumns count="14">
    <tableColumn id="5" name="Pcode" dataDxfId="802"/>
    <tableColumn id="2" name="Priority" dataDxfId="801">
      <calculatedColumnFormula>OFFSET(CampList[Priority],MATCH(Table10[[#This Row],[Pcode]],CampList[CP_Pcode],0)-1,0,1,1)</calculatedColumnFormula>
    </tableColumn>
    <tableColumn id="1" name="Camp" dataDxfId="800">
      <calculatedColumnFormula>OFFSET(CampList[Camp],MATCH(Table10[[#This Row],[Pcode]],CampList[CP_Pcode],0)-1,0,1,1)</calculatedColumnFormula>
    </tableColumn>
    <tableColumn id="4" name="Township" dataDxfId="799">
      <calculatedColumnFormula>OFFSET(CampList[Township],MATCH(Table10[[#This Row],[Pcode]],CampList[CP_Pcode],0)-1,0,1,1)</calculatedColumnFormula>
    </tableColumn>
    <tableColumn id="6" name="HH" dataDxfId="798">
      <calculatedColumnFormula>OFFSET(CampList[HH],MATCH(Table10[[#This Row],[Pcode]],CampList[CP_Pcode],0)-1,0,1,1)</calculatedColumnFormula>
    </tableColumn>
    <tableColumn id="7" name="Ind" dataDxfId="797">
      <calculatedColumnFormula>OFFSET(CampList[Total],MATCH(Table10[[#This Row],[Pcode]],CampList[CP_Pcode],0)-1,0,1,1)</calculatedColumnFormula>
    </tableColumn>
    <tableColumn id="8" name="Winter Clothes Adult " dataDxfId="796">
      <calculatedColumnFormula>SUMIF('NFI Tracking'!AQ$11:AQ$1048576,Table10[[#This Row],[Pcode]],'NFI Tracking'!AI$11:AI$1048576)</calculatedColumnFormula>
    </tableColumn>
    <tableColumn id="9" name="Winter Clothes Children " dataDxfId="795">
      <calculatedColumnFormula>SUMIF('NFI Tracking'!AQ$11:AQ$1048576,Table10[[#This Row],[Pcode]],'NFI Tracking'!AJ$11:AJ$1048576)</calculatedColumnFormula>
    </tableColumn>
    <tableColumn id="10" name="Winter Items Other " dataDxfId="794">
      <calculatedColumnFormula>SUMIF('NFI Tracking'!AQ$11:AQ$1048576,Table10[[#This Row],[Pcode]],'NFI Tracking'!AK$11:AK$1048576)</calculatedColumnFormula>
    </tableColumn>
    <tableColumn id="11" name="WC_Adult_Gap" dataDxfId="793">
      <calculatedColumnFormula>MAX(Table10[[#This Row],[HH]]*VLOOKUP("Winter Clothes Adult",NFI,6)-Table10[[#This Row],[Winter Clothes Adult ]],0)</calculatedColumnFormula>
    </tableColumn>
    <tableColumn id="12" name="WC_Child_Gap" dataDxfId="792">
      <calculatedColumnFormula>MAX(Table10[[#This Row],[HH]]*VLOOKUP("Winter Clothes Children ",NFI,6)-Table10[[#This Row],[Winter Clothes Children ]],0)</calculatedColumnFormula>
    </tableColumn>
    <tableColumn id="13" name="WI_Other_Gap" dataDxfId="791">
      <calculatedColumnFormula>MAX(Table10[[#This Row],[HH]]*VLOOKUP("Winter Items Other ",NFI,6)-Table10[[#This Row],[Winter Items Other ]],0)</calculatedColumnFormula>
    </tableColumn>
    <tableColumn id="3" name="Planned Distribution" dataDxfId="790">
      <calculatedColumnFormula>IF(OR(Table10[[#This Row],[Winter Clothes Adult ]]&lt;&gt;0,Table10[[#This Row],[Winter Clothes Children ]]&lt;&gt;0,Table10[[#This Row],[Winter Items Other ]]&lt;&gt;0),"No","")</calculatedColumnFormula>
    </tableColumn>
    <tableColumn id="14" name="Check1" dataDxfId="789">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788" dataDxfId="787">
  <autoFilter ref="J1:J4"/>
  <tableColumns count="1">
    <tableColumn id="1" name="State" dataDxfId="78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21.xml"/><Relationship Id="rId6" Type="http://schemas.openxmlformats.org/officeDocument/2006/relationships/image" Target="../media/image20.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3.xml"/><Relationship Id="rId1" Type="http://schemas.openxmlformats.org/officeDocument/2006/relationships/pivotTable" Target="../pivotTables/pivotTable22.x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6.xml"/><Relationship Id="rId1" Type="http://schemas.openxmlformats.org/officeDocument/2006/relationships/pivotTable" Target="../pivotTables/pivotTable25.xml"/><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3.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Y24"/>
  <sheetViews>
    <sheetView showZeros="0" zoomScale="80" zoomScaleNormal="80" workbookViewId="0">
      <selection activeCell="AC20" sqref="AC20"/>
    </sheetView>
  </sheetViews>
  <sheetFormatPr defaultColWidth="9.140625" defaultRowHeight="15" x14ac:dyDescent="0.25"/>
  <cols>
    <col min="1" max="1" width="2" style="5" customWidth="1"/>
    <col min="2" max="4" width="9.140625" style="5"/>
    <col min="5" max="5" width="3.28515625" style="5" customWidth="1"/>
    <col min="6" max="9" width="9.140625" style="5"/>
    <col min="10" max="10" width="7.140625" style="5" customWidth="1"/>
    <col min="11" max="11" width="3.28515625" style="5" customWidth="1"/>
    <col min="12" max="12" width="4.5703125" style="5" customWidth="1"/>
    <col min="13" max="13" width="36.140625" style="5" customWidth="1"/>
    <col min="14" max="14" width="2.7109375" style="5" customWidth="1"/>
    <col min="15" max="15" width="3.28515625" style="5" customWidth="1"/>
    <col min="16" max="17" width="0" style="5" hidden="1" customWidth="1"/>
    <col min="18" max="18" width="9.140625" style="5" hidden="1" customWidth="1"/>
    <col min="19" max="19" width="3.28515625" style="5" hidden="1" customWidth="1"/>
    <col min="20" max="22" width="0" style="5" hidden="1" customWidth="1"/>
    <col min="23" max="23" width="6.42578125" style="5" customWidth="1"/>
    <col min="24" max="16384" width="9.140625" style="5"/>
  </cols>
  <sheetData>
    <row r="1" spans="3:22" ht="5.25" customHeight="1" x14ac:dyDescent="0.25"/>
    <row r="2" spans="3:22" ht="8.25" customHeight="1" x14ac:dyDescent="0.25">
      <c r="C2" s="858" t="s">
        <v>420</v>
      </c>
      <c r="D2" s="858"/>
      <c r="E2" s="858"/>
      <c r="F2" s="858"/>
      <c r="G2" s="858"/>
      <c r="H2" s="858"/>
      <c r="I2" s="858"/>
      <c r="J2" s="858"/>
      <c r="K2" s="858"/>
      <c r="L2" s="858"/>
      <c r="M2" s="858"/>
      <c r="N2" s="858"/>
      <c r="O2" s="858"/>
      <c r="P2" s="858"/>
      <c r="Q2" s="858"/>
      <c r="R2" s="858"/>
      <c r="S2" s="858"/>
      <c r="T2" s="858"/>
      <c r="U2" s="858"/>
      <c r="V2" s="858"/>
    </row>
    <row r="3" spans="3:22" ht="18" customHeight="1" x14ac:dyDescent="0.25">
      <c r="C3" s="858"/>
      <c r="D3" s="858"/>
      <c r="E3" s="858"/>
      <c r="F3" s="858"/>
      <c r="G3" s="858"/>
      <c r="H3" s="858"/>
      <c r="I3" s="858"/>
      <c r="J3" s="858"/>
      <c r="K3" s="858"/>
      <c r="L3" s="858"/>
      <c r="M3" s="858"/>
      <c r="N3" s="858"/>
      <c r="O3" s="858"/>
      <c r="P3" s="858"/>
      <c r="Q3" s="858"/>
      <c r="R3" s="858"/>
      <c r="S3" s="858"/>
      <c r="T3" s="858"/>
      <c r="U3" s="858"/>
      <c r="V3" s="858"/>
    </row>
    <row r="4" spans="3:22" ht="11.25" customHeight="1" x14ac:dyDescent="0.25">
      <c r="C4" s="858"/>
      <c r="D4" s="858"/>
      <c r="E4" s="858"/>
      <c r="F4" s="858"/>
      <c r="G4" s="858"/>
      <c r="H4" s="858"/>
      <c r="I4" s="858"/>
      <c r="J4" s="858"/>
      <c r="K4" s="858"/>
      <c r="L4" s="858"/>
      <c r="M4" s="858"/>
      <c r="N4" s="858"/>
      <c r="O4" s="858"/>
      <c r="P4" s="858"/>
      <c r="Q4" s="858"/>
      <c r="R4" s="858"/>
      <c r="S4" s="858"/>
      <c r="T4" s="858"/>
      <c r="U4" s="858"/>
      <c r="V4" s="858"/>
    </row>
    <row r="5" spans="3:22" ht="19.899999999999999" customHeight="1" x14ac:dyDescent="0.25">
      <c r="C5" s="860">
        <f>Definition!B23</f>
        <v>42736</v>
      </c>
      <c r="D5" s="860"/>
      <c r="E5" s="860"/>
      <c r="F5" s="860"/>
      <c r="G5" s="860"/>
      <c r="H5" s="860"/>
      <c r="I5" s="860"/>
      <c r="J5" s="860"/>
      <c r="K5" s="860"/>
      <c r="L5" s="860"/>
      <c r="M5" s="860"/>
      <c r="N5" s="860"/>
      <c r="O5" s="860"/>
    </row>
    <row r="6" spans="3:22" ht="8.25" customHeight="1" x14ac:dyDescent="0.25"/>
    <row r="7" spans="3:22" x14ac:dyDescent="0.25">
      <c r="C7" s="857" t="s">
        <v>446</v>
      </c>
      <c r="D7" s="857"/>
      <c r="E7" s="22"/>
      <c r="F7" s="859" t="s">
        <v>451</v>
      </c>
      <c r="G7" s="859"/>
      <c r="H7" s="859"/>
      <c r="I7" s="859"/>
      <c r="J7" s="859"/>
      <c r="K7" s="22"/>
      <c r="L7" s="859" t="s">
        <v>444</v>
      </c>
      <c r="M7" s="859"/>
      <c r="N7" s="859"/>
      <c r="O7" s="22"/>
      <c r="P7" s="859" t="s">
        <v>449</v>
      </c>
      <c r="Q7" s="859"/>
      <c r="R7" s="859"/>
      <c r="S7" s="22"/>
      <c r="T7" s="859" t="s">
        <v>450</v>
      </c>
      <c r="U7" s="859"/>
      <c r="V7" s="859"/>
    </row>
    <row r="8" spans="3:22" ht="16.149999999999999" customHeight="1" x14ac:dyDescent="0.25">
      <c r="C8" s="857"/>
      <c r="D8" s="857"/>
      <c r="E8" s="22"/>
      <c r="F8" s="22"/>
      <c r="G8" s="22"/>
      <c r="H8" s="22"/>
      <c r="I8" s="22"/>
      <c r="J8" s="22"/>
      <c r="K8" s="22"/>
      <c r="L8" s="22"/>
      <c r="M8" s="22"/>
      <c r="N8" s="22"/>
      <c r="O8" s="22"/>
      <c r="P8" s="22"/>
      <c r="Q8" s="22"/>
      <c r="R8" s="22"/>
      <c r="S8" s="22"/>
      <c r="T8" s="22"/>
      <c r="U8" s="22"/>
      <c r="V8" s="22"/>
    </row>
    <row r="9" spans="3:22" ht="16.149999999999999" customHeight="1" x14ac:dyDescent="0.25">
      <c r="C9" s="857"/>
      <c r="D9" s="857"/>
      <c r="E9" s="22"/>
      <c r="F9" s="22"/>
      <c r="G9" s="22"/>
      <c r="H9" s="22"/>
      <c r="I9" s="22"/>
      <c r="J9" s="22"/>
      <c r="K9" s="22"/>
      <c r="L9" s="636" t="s">
        <v>381</v>
      </c>
      <c r="M9" s="639" t="s">
        <v>1438</v>
      </c>
      <c r="N9" s="637" t="s">
        <v>445</v>
      </c>
      <c r="O9" s="22"/>
      <c r="P9" s="20" t="s">
        <v>381</v>
      </c>
      <c r="Q9" s="49" t="s">
        <v>380</v>
      </c>
      <c r="R9" s="50" t="s">
        <v>445</v>
      </c>
      <c r="S9" s="22"/>
      <c r="T9" s="20" t="s">
        <v>381</v>
      </c>
      <c r="U9" s="21" t="s">
        <v>380</v>
      </c>
      <c r="V9" s="19" t="s">
        <v>445</v>
      </c>
    </row>
    <row r="10" spans="3:22" ht="16.149999999999999" customHeight="1" x14ac:dyDescent="0.25">
      <c r="C10" s="857"/>
      <c r="D10" s="857"/>
      <c r="E10" s="22"/>
      <c r="F10" s="22"/>
      <c r="G10" s="22"/>
      <c r="H10" s="22"/>
      <c r="I10" s="22"/>
      <c r="J10" s="22"/>
      <c r="K10" s="22"/>
      <c r="L10" s="22"/>
      <c r="M10" s="22"/>
      <c r="N10" s="22"/>
      <c r="O10" s="22"/>
      <c r="P10" s="22"/>
      <c r="Q10" s="22"/>
      <c r="R10" s="22"/>
      <c r="S10" s="22"/>
      <c r="T10" s="22"/>
      <c r="U10" s="22"/>
      <c r="V10" s="22"/>
    </row>
    <row r="11" spans="3:22" ht="16.149999999999999" customHeight="1" x14ac:dyDescent="0.25">
      <c r="C11" s="857"/>
      <c r="D11" s="857"/>
      <c r="E11" s="22"/>
      <c r="F11" s="22"/>
      <c r="G11" s="22"/>
      <c r="H11" s="22"/>
      <c r="I11" s="22"/>
      <c r="J11" s="22"/>
      <c r="K11" s="22"/>
      <c r="L11" s="22"/>
      <c r="M11" s="22"/>
      <c r="N11" s="22"/>
      <c r="O11" s="22"/>
      <c r="P11" s="22"/>
      <c r="Q11" s="22"/>
      <c r="R11" s="22"/>
      <c r="S11" s="22"/>
      <c r="T11" s="22"/>
      <c r="U11" s="22"/>
      <c r="V11" s="22"/>
    </row>
    <row r="12" spans="3:22" ht="16.149999999999999" customHeight="1" x14ac:dyDescent="0.25">
      <c r="C12" s="857"/>
      <c r="D12" s="857"/>
      <c r="E12" s="22"/>
      <c r="F12" s="22"/>
      <c r="G12" s="22"/>
      <c r="H12" s="22"/>
      <c r="I12" s="22"/>
      <c r="J12" s="22"/>
      <c r="K12" s="22"/>
      <c r="L12" s="22"/>
      <c r="M12" s="22"/>
      <c r="N12" s="22"/>
      <c r="O12" s="22"/>
      <c r="P12" s="22"/>
      <c r="Q12" s="22"/>
      <c r="R12" s="22"/>
      <c r="S12" s="22"/>
      <c r="T12" s="22"/>
      <c r="U12" s="22"/>
      <c r="V12" s="22"/>
    </row>
    <row r="13" spans="3:22" ht="16.149999999999999" customHeight="1" x14ac:dyDescent="0.25"/>
    <row r="14" spans="3:22" ht="16.149999999999999" customHeight="1" x14ac:dyDescent="0.25">
      <c r="C14" s="857" t="s">
        <v>447</v>
      </c>
      <c r="D14" s="857"/>
      <c r="E14" s="22"/>
      <c r="F14" s="22"/>
      <c r="G14" s="22"/>
      <c r="H14" s="22"/>
      <c r="I14" s="22"/>
      <c r="J14" s="22"/>
      <c r="K14" s="22"/>
      <c r="L14" s="22"/>
      <c r="M14" s="22"/>
      <c r="N14" s="22"/>
      <c r="O14" s="22"/>
      <c r="P14" s="22"/>
      <c r="Q14" s="22"/>
      <c r="R14" s="22"/>
      <c r="S14" s="22"/>
      <c r="T14" s="22"/>
      <c r="U14" s="22"/>
      <c r="V14" s="22"/>
    </row>
    <row r="15" spans="3:22" ht="16.149999999999999" customHeight="1" x14ac:dyDescent="0.25">
      <c r="C15" s="857"/>
      <c r="D15" s="857"/>
      <c r="E15" s="22"/>
      <c r="F15" s="22"/>
      <c r="G15" s="22"/>
      <c r="H15" s="22"/>
      <c r="I15" s="22"/>
      <c r="J15" s="22"/>
      <c r="K15" s="22"/>
      <c r="L15" s="22"/>
      <c r="M15" s="22"/>
      <c r="N15" s="22"/>
      <c r="O15" s="22"/>
      <c r="P15" s="22"/>
      <c r="Q15" s="22"/>
      <c r="R15" s="22"/>
      <c r="S15" s="22"/>
      <c r="T15" s="22"/>
      <c r="U15" s="22"/>
      <c r="V15" s="22"/>
    </row>
    <row r="16" spans="3:22" ht="16.149999999999999" customHeight="1" x14ac:dyDescent="0.25">
      <c r="C16" s="857"/>
      <c r="D16" s="857"/>
      <c r="E16" s="22"/>
      <c r="F16" s="22"/>
      <c r="G16" s="22"/>
      <c r="H16" s="22"/>
      <c r="I16" s="22"/>
      <c r="J16" s="22"/>
      <c r="K16" s="22"/>
      <c r="L16" s="72" t="s">
        <v>381</v>
      </c>
      <c r="M16" s="639" t="s">
        <v>1438</v>
      </c>
      <c r="N16" s="50" t="s">
        <v>445</v>
      </c>
      <c r="O16" s="22"/>
      <c r="P16" s="20" t="s">
        <v>381</v>
      </c>
      <c r="Q16" s="49" t="s">
        <v>380</v>
      </c>
      <c r="R16" s="50" t="s">
        <v>445</v>
      </c>
      <c r="S16" s="22"/>
      <c r="T16" s="20" t="s">
        <v>381</v>
      </c>
      <c r="U16" s="21" t="s">
        <v>380</v>
      </c>
      <c r="V16" s="19" t="s">
        <v>445</v>
      </c>
    </row>
    <row r="17" spans="3:25" ht="16.149999999999999" customHeight="1" x14ac:dyDescent="0.25">
      <c r="C17" s="857"/>
      <c r="D17" s="857"/>
      <c r="E17" s="22"/>
      <c r="F17" s="22"/>
      <c r="G17" s="22"/>
      <c r="H17" s="22"/>
      <c r="I17" s="22"/>
      <c r="J17" s="22"/>
      <c r="K17" s="22"/>
      <c r="L17" s="22"/>
      <c r="M17" s="22"/>
      <c r="N17" s="22"/>
      <c r="O17" s="22"/>
      <c r="P17" s="22"/>
      <c r="Q17" s="22"/>
      <c r="R17" s="22"/>
      <c r="S17" s="22"/>
      <c r="T17" s="22"/>
      <c r="U17" s="22"/>
      <c r="V17" s="22"/>
    </row>
    <row r="18" spans="3:25" ht="16.149999999999999" customHeight="1" x14ac:dyDescent="0.25">
      <c r="C18" s="857"/>
      <c r="D18" s="857"/>
      <c r="E18" s="22"/>
      <c r="F18" s="22"/>
      <c r="G18" s="22"/>
      <c r="H18" s="22"/>
      <c r="I18" s="22"/>
      <c r="J18" s="22"/>
      <c r="K18" s="22"/>
      <c r="L18" s="22"/>
      <c r="M18" s="22"/>
      <c r="N18" s="22"/>
      <c r="O18" s="22"/>
      <c r="P18" s="22"/>
      <c r="Q18" s="22"/>
      <c r="R18" s="22"/>
      <c r="S18" s="22"/>
      <c r="T18" s="22"/>
      <c r="U18" s="22"/>
      <c r="V18" s="22"/>
    </row>
    <row r="19" spans="3:25" ht="16.149999999999999" customHeight="1" x14ac:dyDescent="0.25">
      <c r="C19" s="857"/>
      <c r="D19" s="857"/>
      <c r="E19" s="22"/>
      <c r="F19" s="22"/>
      <c r="G19" s="22"/>
      <c r="H19" s="22"/>
      <c r="I19" s="22"/>
      <c r="J19" s="22"/>
      <c r="K19" s="22"/>
      <c r="L19" s="22"/>
      <c r="M19" s="22"/>
      <c r="N19" s="22"/>
      <c r="O19" s="22"/>
      <c r="P19" s="22"/>
      <c r="Q19" s="22"/>
      <c r="R19" s="22"/>
      <c r="S19" s="22"/>
      <c r="T19" s="22"/>
      <c r="U19" s="22"/>
      <c r="V19" s="22"/>
    </row>
    <row r="20" spans="3:25" ht="16.149999999999999" customHeight="1" x14ac:dyDescent="0.25">
      <c r="Y20" s="638"/>
    </row>
    <row r="21" spans="3:25" ht="16.149999999999999" customHeight="1" x14ac:dyDescent="0.25">
      <c r="C21" s="857" t="s">
        <v>448</v>
      </c>
      <c r="D21" s="857"/>
      <c r="E21" s="23"/>
      <c r="F21" s="23"/>
      <c r="G21" s="23"/>
      <c r="H21" s="23"/>
      <c r="I21" s="23"/>
      <c r="J21" s="23"/>
      <c r="K21" s="23"/>
      <c r="L21" s="22"/>
      <c r="M21" s="22"/>
      <c r="N21" s="22"/>
      <c r="O21" s="22"/>
      <c r="P21" s="22"/>
      <c r="Q21" s="22"/>
      <c r="R21" s="22"/>
      <c r="S21" s="22"/>
      <c r="T21" s="22"/>
      <c r="U21" s="22"/>
      <c r="V21" s="22"/>
    </row>
    <row r="22" spans="3:25" ht="16.149999999999999" customHeight="1" x14ac:dyDescent="0.25">
      <c r="C22" s="857"/>
      <c r="D22" s="857"/>
      <c r="E22" s="23"/>
      <c r="F22" s="23"/>
      <c r="G22" s="23"/>
      <c r="H22" s="23"/>
      <c r="I22" s="23"/>
      <c r="J22" s="23"/>
      <c r="K22" s="23"/>
      <c r="L22" s="23"/>
      <c r="M22" s="640" t="s">
        <v>1438</v>
      </c>
      <c r="N22" s="23"/>
      <c r="O22" s="22"/>
      <c r="P22" s="22"/>
      <c r="Q22" s="22"/>
      <c r="R22" s="22"/>
      <c r="S22" s="22"/>
      <c r="T22" s="10"/>
      <c r="U22" s="10"/>
      <c r="V22" s="10"/>
    </row>
    <row r="23" spans="3:25" ht="16.149999999999999" customHeight="1" x14ac:dyDescent="0.25">
      <c r="C23" s="857"/>
      <c r="D23" s="857"/>
      <c r="E23" s="23"/>
      <c r="F23" s="23"/>
      <c r="G23" s="23"/>
      <c r="H23" s="23"/>
      <c r="I23" s="23"/>
      <c r="J23" s="23"/>
      <c r="K23" s="23"/>
      <c r="L23" s="50" t="s">
        <v>381</v>
      </c>
      <c r="M23" s="50" t="s">
        <v>380</v>
      </c>
      <c r="N23" s="50" t="s">
        <v>445</v>
      </c>
      <c r="O23" s="22"/>
      <c r="P23" s="20" t="s">
        <v>381</v>
      </c>
      <c r="Q23" s="49" t="s">
        <v>380</v>
      </c>
      <c r="R23" s="50" t="s">
        <v>445</v>
      </c>
      <c r="S23" s="22"/>
      <c r="T23" s="20" t="s">
        <v>381</v>
      </c>
      <c r="U23" s="21" t="s">
        <v>380</v>
      </c>
      <c r="V23" s="19" t="s">
        <v>445</v>
      </c>
    </row>
    <row r="24" spans="3:25" ht="16.149999999999999" customHeight="1" x14ac:dyDescent="0.25">
      <c r="C24" s="857"/>
      <c r="D24" s="857"/>
      <c r="E24" s="23"/>
      <c r="F24" s="23"/>
      <c r="G24" s="23"/>
      <c r="H24" s="23"/>
      <c r="I24" s="23"/>
      <c r="J24" s="23"/>
      <c r="K24" s="23"/>
      <c r="L24" s="23"/>
      <c r="M24" s="23"/>
      <c r="N24" s="23"/>
      <c r="O24" s="22"/>
      <c r="P24" s="22"/>
      <c r="Q24" s="22"/>
      <c r="R24" s="22"/>
      <c r="S24" s="22"/>
      <c r="T24" s="10"/>
      <c r="U24" s="10"/>
      <c r="V24" s="10"/>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L16" location="Rakhine_Shelter_D!A1" display="Rakhine"/>
    <hyperlink ref="M16" location="'Shelter Coverage &amp; Gaps'!A1" display="Kachin"/>
    <hyperlink ref="M23" location="Kachin_CCCM_D!A1" display="Kachin"/>
    <hyperlink ref="M22" location="'NFI Summary'!A1" display="Kachin"/>
    <hyperlink ref="M9" location="'CCCM Dashboard'!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6" r:id="rId4" name="Print_Report">
          <controlPr defaultSize="0" autoLine="0" r:id="rId5">
            <anchor moveWithCells="1">
              <from>
                <xdr:col>25</xdr:col>
                <xdr:colOff>133350</xdr:colOff>
                <xdr:row>10</xdr:row>
                <xdr:rowOff>9525</xdr:rowOff>
              </from>
              <to>
                <xdr:col>27</xdr:col>
                <xdr:colOff>504825</xdr:colOff>
                <xdr:row>11</xdr:row>
                <xdr:rowOff>133350</xdr:rowOff>
              </to>
            </anchor>
          </controlPr>
        </control>
      </mc:Choice>
      <mc:Fallback>
        <control shapeId="1026" r:id="rId4" name="Print_Report"/>
      </mc:Fallback>
    </mc:AlternateContent>
    <mc:AlternateContent xmlns:mc="http://schemas.openxmlformats.org/markup-compatibility/2006">
      <mc:Choice Requires="x14">
        <control shapeId="1025" r:id="rId6" name="Main_Export_Data">
          <controlPr defaultSize="0" autoLine="0" r:id="rId7">
            <anchor moveWithCells="1">
              <from>
                <xdr:col>25</xdr:col>
                <xdr:colOff>180975</xdr:colOff>
                <xdr:row>6</xdr:row>
                <xdr:rowOff>0</xdr:rowOff>
              </from>
              <to>
                <xdr:col>27</xdr:col>
                <xdr:colOff>476250</xdr:colOff>
                <xdr:row>8</xdr:row>
                <xdr:rowOff>47625</xdr:rowOff>
              </to>
            </anchor>
          </controlPr>
        </control>
      </mc:Choice>
      <mc:Fallback>
        <control shapeId="1025" r:id="rId6" name="Main_Export_Data"/>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DN374"/>
  <sheetViews>
    <sheetView showZeros="0" zoomScale="85" zoomScaleNormal="85" zoomScaleSheetLayoutView="85" workbookViewId="0">
      <pane xSplit="1" ySplit="4" topLeftCell="B5" activePane="bottomRight" state="frozen"/>
      <selection activeCell="AS915" sqref="AS915"/>
      <selection pane="topRight" activeCell="AS915" sqref="AS915"/>
      <selection pane="bottomLeft" activeCell="AS915" sqref="AS915"/>
      <selection pane="bottomRight" activeCell="F20" sqref="F20"/>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333" customWidth="1"/>
    <col min="23" max="23" width="43.85546875" bestFit="1" customWidth="1"/>
    <col min="24" max="84" width="9.140625" style="444"/>
    <col min="85" max="16384" width="9.140625" style="4"/>
  </cols>
  <sheetData>
    <row r="1" spans="1:118" s="15" customFormat="1" ht="36" x14ac:dyDescent="0.25">
      <c r="A1" s="258"/>
      <c r="B1" s="238"/>
      <c r="C1" s="238"/>
      <c r="D1" s="238"/>
      <c r="E1" s="238"/>
      <c r="F1" s="238"/>
      <c r="G1" s="238"/>
      <c r="H1" s="238"/>
      <c r="I1" s="238"/>
      <c r="J1" s="238"/>
      <c r="K1" s="238"/>
      <c r="L1" s="238"/>
      <c r="M1" s="238"/>
      <c r="N1" s="238"/>
      <c r="O1" s="238"/>
      <c r="P1" s="238"/>
      <c r="Q1" s="189"/>
      <c r="R1" s="189"/>
      <c r="S1" s="189"/>
      <c r="T1" s="189"/>
      <c r="U1" s="189"/>
      <c r="V1" s="346"/>
      <c r="W1" s="190"/>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row>
    <row r="2" spans="1:118" s="15" customFormat="1" ht="36" x14ac:dyDescent="0.25">
      <c r="A2" s="868" t="s">
        <v>1279</v>
      </c>
      <c r="B2" s="865"/>
      <c r="C2" s="865"/>
      <c r="D2" s="206"/>
      <c r="E2" s="206"/>
      <c r="F2" s="206"/>
      <c r="G2" s="206"/>
      <c r="H2" s="206"/>
      <c r="I2" s="206"/>
      <c r="J2" s="206"/>
      <c r="K2" s="206"/>
      <c r="L2" s="206"/>
      <c r="M2" s="206"/>
      <c r="N2" s="206"/>
      <c r="O2" s="206"/>
      <c r="P2" s="206"/>
      <c r="Q2" s="172"/>
      <c r="R2" s="172"/>
      <c r="S2" s="172"/>
      <c r="T2" s="172"/>
      <c r="U2" s="172"/>
      <c r="V2" s="344"/>
      <c r="W2" s="191"/>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row>
    <row r="3" spans="1:118" s="15" customFormat="1" ht="18" customHeight="1" x14ac:dyDescent="0.25">
      <c r="A3" s="869">
        <f>Definition!B23</f>
        <v>42736</v>
      </c>
      <c r="B3" s="870"/>
      <c r="C3" s="870"/>
      <c r="D3" s="870"/>
      <c r="E3" s="870"/>
      <c r="F3" s="870"/>
      <c r="G3" s="870"/>
      <c r="H3" s="870"/>
      <c r="I3" s="870"/>
      <c r="J3" s="870"/>
      <c r="K3" s="870"/>
      <c r="L3" s="870"/>
      <c r="M3" s="870"/>
      <c r="N3" s="870"/>
      <c r="O3" s="870"/>
      <c r="P3" s="870"/>
      <c r="Q3" s="278"/>
      <c r="R3" s="193"/>
      <c r="S3" s="193"/>
      <c r="T3" s="193"/>
      <c r="U3" s="193"/>
      <c r="V3" s="193"/>
      <c r="W3" s="194"/>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43"/>
      <c r="BK3" s="443"/>
      <c r="BL3" s="443"/>
      <c r="BM3" s="443"/>
      <c r="BN3" s="443"/>
      <c r="BO3" s="443"/>
      <c r="BP3" s="443"/>
      <c r="BQ3" s="443"/>
      <c r="BR3" s="443"/>
      <c r="BS3" s="443"/>
      <c r="BT3" s="443"/>
      <c r="BU3" s="443"/>
      <c r="BV3" s="443"/>
      <c r="BW3" s="443"/>
      <c r="BX3" s="443"/>
      <c r="BY3" s="443"/>
      <c r="BZ3" s="443"/>
      <c r="CA3" s="443"/>
      <c r="CB3" s="443"/>
      <c r="CC3" s="443"/>
      <c r="CD3" s="443"/>
      <c r="CE3" s="443"/>
      <c r="CF3" s="443"/>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row>
    <row r="4" spans="1:118" s="464" customFormat="1" ht="57" customHeight="1" x14ac:dyDescent="0.25">
      <c r="A4" s="587" t="s">
        <v>501</v>
      </c>
      <c r="B4" s="588" t="s">
        <v>402</v>
      </c>
      <c r="C4" s="589" t="s">
        <v>1280</v>
      </c>
      <c r="D4" s="588" t="s">
        <v>395</v>
      </c>
      <c r="E4" s="588" t="s">
        <v>0</v>
      </c>
      <c r="F4" s="588" t="s">
        <v>510</v>
      </c>
      <c r="G4" s="588" t="s">
        <v>1281</v>
      </c>
      <c r="H4" s="590" t="s">
        <v>1290</v>
      </c>
      <c r="I4" s="590" t="s">
        <v>1282</v>
      </c>
      <c r="J4" s="591" t="s">
        <v>1283</v>
      </c>
      <c r="K4" s="591" t="s">
        <v>1284</v>
      </c>
      <c r="L4" s="591" t="s">
        <v>1285</v>
      </c>
      <c r="M4" s="592" t="s">
        <v>1286</v>
      </c>
      <c r="N4" s="592" t="s">
        <v>1287</v>
      </c>
      <c r="O4" s="592" t="s">
        <v>1288</v>
      </c>
      <c r="P4" s="593" t="s">
        <v>1289</v>
      </c>
      <c r="Q4" s="594" t="s">
        <v>1005</v>
      </c>
      <c r="R4" s="594" t="s">
        <v>1004</v>
      </c>
      <c r="S4" s="565" t="s">
        <v>558</v>
      </c>
      <c r="T4" s="595" t="s">
        <v>498</v>
      </c>
      <c r="U4" s="592" t="s">
        <v>441</v>
      </c>
      <c r="V4" s="596" t="s">
        <v>1303</v>
      </c>
      <c r="W4" s="597" t="s">
        <v>1045</v>
      </c>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2"/>
      <c r="BR4" s="472"/>
      <c r="BS4" s="472"/>
      <c r="BT4" s="472"/>
      <c r="BU4" s="472"/>
      <c r="BV4" s="472"/>
      <c r="BW4" s="472"/>
      <c r="BX4" s="472"/>
      <c r="BY4" s="472"/>
      <c r="BZ4" s="472"/>
      <c r="CA4" s="472"/>
      <c r="CB4" s="472"/>
      <c r="CC4" s="472"/>
      <c r="CD4" s="472"/>
      <c r="CE4" s="472"/>
      <c r="CF4" s="472"/>
    </row>
    <row r="5" spans="1:118" ht="16.149999999999999" customHeight="1" x14ac:dyDescent="0.25">
      <c r="A5" s="811">
        <v>42790</v>
      </c>
      <c r="B5" s="107" t="s">
        <v>452</v>
      </c>
      <c r="C5" s="107" t="s">
        <v>460</v>
      </c>
      <c r="D5" s="180" t="s">
        <v>380</v>
      </c>
      <c r="E5" s="181" t="s">
        <v>237</v>
      </c>
      <c r="F5" s="107" t="s">
        <v>243</v>
      </c>
      <c r="G5" s="107">
        <v>1</v>
      </c>
      <c r="H5" s="109"/>
      <c r="I5" s="109"/>
      <c r="J5" s="109">
        <v>6</v>
      </c>
      <c r="K5" s="109"/>
      <c r="L5" s="109"/>
      <c r="M5" s="109"/>
      <c r="N5" s="109"/>
      <c r="O5" s="109"/>
      <c r="P5" s="108">
        <f>IF(Table_Shelter[[#This Row],[Status]]="Open",IF(V5="NO",Table_Shelter[[#This Row],[HH per Shelter]]*(Table_Shelter[[#This Row],['# of Temporary Shelter Units Built]]+Table_Shelter[[#This Row],['# of Temporary Shelter Under  Construction]]+Table_Shelter[[#This Row],['# of Permanent House Under Construction]]),0),0)</f>
        <v>0</v>
      </c>
      <c r="Q5" s="108"/>
      <c r="R5" s="108"/>
      <c r="S5" s="108" t="str">
        <f>IFERROR(VLOOKUP(Table_Shelter[[#This Row],[CampName]],CL,2,0),"")</f>
        <v>MMR001CMP012</v>
      </c>
      <c r="T5" s="108" t="str">
        <f>IFERROR(VLOOKUP(Table_Shelter[[#This Row],[CampName]],CL,3,0),"")</f>
        <v>Open</v>
      </c>
      <c r="U5" s="266">
        <f>IFERROR(Table_Shelter[[#This Row],[HH Covered]]/VLOOKUP(Table_Shelter[[#This Row],[CampName]],CL,5,0),"")</f>
        <v>0</v>
      </c>
      <c r="V5" s="266" t="s">
        <v>1305</v>
      </c>
      <c r="W5" s="108"/>
    </row>
    <row r="6" spans="1:118" ht="16.149999999999999" customHeight="1" x14ac:dyDescent="0.25">
      <c r="A6" s="811">
        <v>42790</v>
      </c>
      <c r="B6" s="107" t="s">
        <v>938</v>
      </c>
      <c r="C6" s="107" t="s">
        <v>460</v>
      </c>
      <c r="D6" s="180" t="s">
        <v>380</v>
      </c>
      <c r="E6" s="345" t="s">
        <v>5</v>
      </c>
      <c r="F6" s="107" t="s">
        <v>22</v>
      </c>
      <c r="G6" s="107">
        <v>1</v>
      </c>
      <c r="H6" s="109"/>
      <c r="I6" s="109"/>
      <c r="J6" s="109">
        <v>140</v>
      </c>
      <c r="K6" s="109"/>
      <c r="L6" s="109"/>
      <c r="M6" s="109"/>
      <c r="N6" s="109"/>
      <c r="O6" s="109"/>
      <c r="P6" s="108">
        <f>IF(Table_Shelter[[#This Row],[Status]]="Open",IF(V6="NO",Table_Shelter[[#This Row],[HH per Shelter]]*(Table_Shelter[[#This Row],['# of Temporary Shelter Units Built]]+Table_Shelter[[#This Row],['# of Temporary Shelter Under  Construction]]+Table_Shelter[[#This Row],['# of Permanent House Under Construction]]),0),0)</f>
        <v>0</v>
      </c>
      <c r="Q6" s="108"/>
      <c r="R6" s="108"/>
      <c r="S6" s="108" t="str">
        <f>IFERROR(VLOOKUP(Table_Shelter[[#This Row],[CampName]],CL,2,0),"")</f>
        <v>MMR001CMP047</v>
      </c>
      <c r="T6" s="108" t="str">
        <f>IFERROR(VLOOKUP(Table_Shelter[[#This Row],[CampName]],CL,3,0),"")</f>
        <v>Open</v>
      </c>
      <c r="U6" s="266">
        <f>IFERROR(Table_Shelter[[#This Row],[HH Covered]]/VLOOKUP(Table_Shelter[[#This Row],[CampName]],CL,5,0),"")</f>
        <v>0</v>
      </c>
      <c r="V6" s="266" t="s">
        <v>1305</v>
      </c>
      <c r="W6" s="108"/>
    </row>
    <row r="7" spans="1:118" ht="16.149999999999999" customHeight="1" x14ac:dyDescent="0.25">
      <c r="A7" s="811">
        <v>42790</v>
      </c>
      <c r="B7" s="107" t="s">
        <v>452</v>
      </c>
      <c r="C7" s="107" t="s">
        <v>460</v>
      </c>
      <c r="D7" s="180" t="s">
        <v>380</v>
      </c>
      <c r="E7" s="345" t="s">
        <v>527</v>
      </c>
      <c r="F7" s="107" t="s">
        <v>1448</v>
      </c>
      <c r="G7" s="107">
        <v>1</v>
      </c>
      <c r="H7" s="109"/>
      <c r="I7" s="109"/>
      <c r="J7" s="109">
        <v>41</v>
      </c>
      <c r="K7" s="109"/>
      <c r="L7" s="109"/>
      <c r="M7" s="109"/>
      <c r="N7" s="109"/>
      <c r="O7" s="109"/>
      <c r="P7" s="108">
        <f>IF(Table_Shelter[[#This Row],[Status]]="Open",IF(V7="NO",Table_Shelter[[#This Row],[HH per Shelter]]*(Table_Shelter[[#This Row],['# of Temporary Shelter Units Built]]+Table_Shelter[[#This Row],['# of Temporary Shelter Under  Construction]]+Table_Shelter[[#This Row],['# of Permanent House Under Construction]]),0),0)</f>
        <v>0</v>
      </c>
      <c r="Q7" s="108"/>
      <c r="R7" s="108"/>
      <c r="S7" s="108" t="str">
        <f>IFERROR(VLOOKUP(Table_Shelter[[#This Row],[CampName]],CL,2,0),"")</f>
        <v>MMR001CMP246</v>
      </c>
      <c r="T7" s="108" t="str">
        <f>IFERROR(VLOOKUP(Table_Shelter[[#This Row],[CampName]],CL,3,0),"")</f>
        <v>Open</v>
      </c>
      <c r="U7" s="266">
        <f>IFERROR(Table_Shelter[[#This Row],[HH Covered]]/VLOOKUP(Table_Shelter[[#This Row],[CampName]],CL,5,0),"")</f>
        <v>0</v>
      </c>
      <c r="V7" s="266" t="s">
        <v>1305</v>
      </c>
      <c r="W7" s="108"/>
    </row>
    <row r="8" spans="1:118" ht="16.149999999999999" customHeight="1" x14ac:dyDescent="0.25">
      <c r="A8" s="811">
        <v>42790</v>
      </c>
      <c r="B8" s="107" t="s">
        <v>452</v>
      </c>
      <c r="C8" s="107" t="s">
        <v>460</v>
      </c>
      <c r="D8" s="180" t="s">
        <v>380</v>
      </c>
      <c r="E8" s="345" t="s">
        <v>151</v>
      </c>
      <c r="F8" s="107" t="s">
        <v>1095</v>
      </c>
      <c r="G8" s="107">
        <v>1</v>
      </c>
      <c r="H8" s="109"/>
      <c r="I8" s="109"/>
      <c r="J8" s="109">
        <v>20</v>
      </c>
      <c r="K8" s="109"/>
      <c r="L8" s="109"/>
      <c r="M8" s="109"/>
      <c r="N8" s="109"/>
      <c r="O8" s="109"/>
      <c r="P8" s="108">
        <f>IF(Table_Shelter[[#This Row],[Status]]="Open",IF(V8="NO",Table_Shelter[[#This Row],[HH per Shelter]]*(Table_Shelter[[#This Row],['# of Temporary Shelter Units Built]]+Table_Shelter[[#This Row],['# of Temporary Shelter Under  Construction]]+Table_Shelter[[#This Row],['# of Permanent House Under Construction]]),0),0)</f>
        <v>0</v>
      </c>
      <c r="Q8" s="108"/>
      <c r="R8" s="108"/>
      <c r="S8" s="108" t="str">
        <f>IFERROR(VLOOKUP(Table_Shelter[[#This Row],[CampName]],CL,2,0),"")</f>
        <v>MMR001CMP230</v>
      </c>
      <c r="T8" s="108" t="str">
        <f>IFERROR(VLOOKUP(Table_Shelter[[#This Row],[CampName]],CL,3,0),"")</f>
        <v>Open</v>
      </c>
      <c r="U8" s="266">
        <f>IFERROR(Table_Shelter[[#This Row],[HH Covered]]/VLOOKUP(Table_Shelter[[#This Row],[CampName]],CL,5,0),"")</f>
        <v>0</v>
      </c>
      <c r="V8" s="266" t="s">
        <v>1305</v>
      </c>
      <c r="W8" s="108"/>
    </row>
    <row r="9" spans="1:118" ht="16.149999999999999" customHeight="1" x14ac:dyDescent="0.25">
      <c r="A9" s="811">
        <v>42780</v>
      </c>
      <c r="B9" s="107" t="s">
        <v>452</v>
      </c>
      <c r="C9" s="107" t="s">
        <v>1444</v>
      </c>
      <c r="D9" s="180" t="s">
        <v>380</v>
      </c>
      <c r="E9" s="345" t="s">
        <v>5</v>
      </c>
      <c r="F9" s="107" t="s">
        <v>6</v>
      </c>
      <c r="G9" s="107">
        <v>1</v>
      </c>
      <c r="H9" s="109"/>
      <c r="I9" s="109"/>
      <c r="J9" s="109">
        <v>42</v>
      </c>
      <c r="K9" s="109"/>
      <c r="L9" s="109"/>
      <c r="M9" s="109"/>
      <c r="N9" s="109"/>
      <c r="O9" s="109"/>
      <c r="P9" s="108">
        <f>IF(Table_Shelter[[#This Row],[Status]]="Open",IF(V9="NO",Table_Shelter[[#This Row],[HH per Shelter]]*(Table_Shelter[[#This Row],['# of Temporary Shelter Units Built]]+Table_Shelter[[#This Row],['# of Temporary Shelter Under  Construction]]+Table_Shelter[[#This Row],['# of Permanent House Under Construction]]),0),0)</f>
        <v>0</v>
      </c>
      <c r="Q9" s="108"/>
      <c r="R9" s="108"/>
      <c r="S9" s="108" t="str">
        <f>IFERROR(VLOOKUP(Table_Shelter[[#This Row],[CampName]],CL,2,0),"")</f>
        <v>MMR001CMP050</v>
      </c>
      <c r="T9" s="108" t="str">
        <f>IFERROR(VLOOKUP(Table_Shelter[[#This Row],[CampName]],CL,3,0),"")</f>
        <v>Open</v>
      </c>
      <c r="U9" s="266">
        <f>IFERROR(Table_Shelter[[#This Row],[HH Covered]]/VLOOKUP(Table_Shelter[[#This Row],[CampName]],CL,5,0),"")</f>
        <v>0</v>
      </c>
      <c r="V9" s="266" t="s">
        <v>1439</v>
      </c>
      <c r="W9" s="108"/>
    </row>
    <row r="10" spans="1:118" ht="16.149999999999999" customHeight="1" x14ac:dyDescent="0.25">
      <c r="A10" s="811">
        <v>42780</v>
      </c>
      <c r="B10" s="107" t="s">
        <v>452</v>
      </c>
      <c r="C10" s="107" t="s">
        <v>1444</v>
      </c>
      <c r="D10" s="180" t="s">
        <v>380</v>
      </c>
      <c r="E10" s="345" t="s">
        <v>185</v>
      </c>
      <c r="F10" s="107" t="s">
        <v>219</v>
      </c>
      <c r="G10" s="107">
        <v>1</v>
      </c>
      <c r="H10" s="109"/>
      <c r="I10" s="109"/>
      <c r="J10" s="109">
        <v>50</v>
      </c>
      <c r="K10" s="109"/>
      <c r="L10" s="109"/>
      <c r="M10" s="109"/>
      <c r="N10" s="109"/>
      <c r="O10" s="109"/>
      <c r="P10" s="108">
        <f>IF(Table_Shelter[[#This Row],[Status]]="Open",IF(V10="NO",Table_Shelter[[#This Row],[HH per Shelter]]*(Table_Shelter[[#This Row],['# of Temporary Shelter Units Built]]+Table_Shelter[[#This Row],['# of Temporary Shelter Under  Construction]]+Table_Shelter[[#This Row],['# of Permanent House Under Construction]]),0),0)</f>
        <v>0</v>
      </c>
      <c r="Q10" s="108"/>
      <c r="R10" s="108"/>
      <c r="S10" s="108" t="str">
        <f>IFERROR(VLOOKUP(Table_Shelter[[#This Row],[CampName]],CL,2,0),"")</f>
        <v>MMR001CMP126</v>
      </c>
      <c r="T10" s="108" t="str">
        <f>IFERROR(VLOOKUP(Table_Shelter[[#This Row],[CampName]],CL,3,0),"")</f>
        <v>Open</v>
      </c>
      <c r="U10" s="266">
        <f>IFERROR(Table_Shelter[[#This Row],[HH Covered]]/VLOOKUP(Table_Shelter[[#This Row],[CampName]],CL,5,0),"")</f>
        <v>0</v>
      </c>
      <c r="V10" s="266" t="s">
        <v>1439</v>
      </c>
      <c r="W10" s="108"/>
    </row>
    <row r="11" spans="1:118" ht="16.149999999999999" customHeight="1" x14ac:dyDescent="0.25">
      <c r="A11" s="811">
        <v>42780</v>
      </c>
      <c r="B11" s="107" t="s">
        <v>452</v>
      </c>
      <c r="C11" s="107" t="s">
        <v>1540</v>
      </c>
      <c r="D11" s="180" t="s">
        <v>553</v>
      </c>
      <c r="E11" s="345" t="s">
        <v>146</v>
      </c>
      <c r="F11" s="107" t="s">
        <v>1102</v>
      </c>
      <c r="G11" s="107">
        <v>1</v>
      </c>
      <c r="H11" s="109"/>
      <c r="I11" s="109"/>
      <c r="J11" s="109"/>
      <c r="K11" s="109"/>
      <c r="L11" s="109"/>
      <c r="M11" s="109"/>
      <c r="N11" s="109"/>
      <c r="O11" s="109"/>
      <c r="P11" s="108">
        <f>IF(Table_Shelter[[#This Row],[Status]]="Open",IF(V11="NO",Table_Shelter[[#This Row],[HH per Shelter]]*(Table_Shelter[[#This Row],['# of Temporary Shelter Units Built]]+Table_Shelter[[#This Row],['# of Temporary Shelter Under  Construction]]+Table_Shelter[[#This Row],['# of Permanent House Under Construction]]),0),0)</f>
        <v>0</v>
      </c>
      <c r="Q11" s="108">
        <v>30</v>
      </c>
      <c r="R11" s="108">
        <v>30</v>
      </c>
      <c r="S11" s="108" t="str">
        <f>IFERROR(VLOOKUP(Table_Shelter[[#This Row],[CampName]],CL,2,0),"")</f>
        <v>MMR015CMP217</v>
      </c>
      <c r="T11" s="108" t="str">
        <f>IFERROR(VLOOKUP(Table_Shelter[[#This Row],[CampName]],CL,3,0),"")</f>
        <v>Open</v>
      </c>
      <c r="U11" s="266">
        <f>IFERROR(Table_Shelter[[#This Row],[HH Covered]]/VLOOKUP(Table_Shelter[[#This Row],[CampName]],CL,5,0),"")</f>
        <v>0</v>
      </c>
      <c r="V11" s="266"/>
      <c r="W11" s="108"/>
    </row>
    <row r="12" spans="1:118" ht="16.149999999999999" customHeight="1" x14ac:dyDescent="0.25">
      <c r="A12" s="580">
        <v>42745</v>
      </c>
      <c r="B12" s="173" t="s">
        <v>452</v>
      </c>
      <c r="C12" s="107" t="s">
        <v>1467</v>
      </c>
      <c r="D12" s="180" t="s">
        <v>380</v>
      </c>
      <c r="E12" s="345" t="s">
        <v>310</v>
      </c>
      <c r="F12" s="173" t="s">
        <v>334</v>
      </c>
      <c r="G12" s="107">
        <v>1</v>
      </c>
      <c r="H12" s="107"/>
      <c r="I12" s="107"/>
      <c r="J12" s="107">
        <v>130</v>
      </c>
      <c r="K12" s="107">
        <v>70</v>
      </c>
      <c r="L12" s="106"/>
      <c r="M12" s="173"/>
      <c r="N12" s="173"/>
      <c r="O12" s="173"/>
      <c r="P12" s="108">
        <f>IF(Table_Shelter[[#This Row],[Status]]="Open",IF(V12="NO",Table_Shelter[[#This Row],[HH per Shelter]]*(Table_Shelter[[#This Row],['# of Temporary Shelter Units Built]]+Table_Shelter[[#This Row],['# of Temporary Shelter Under  Construction]]+Table_Shelter[[#This Row],['# of Permanent House Under Construction]]),0),0)</f>
        <v>0</v>
      </c>
      <c r="Q12" s="106"/>
      <c r="R12" s="106"/>
      <c r="S12" s="108" t="str">
        <f>IFERROR(VLOOKUP(Table_Shelter[[#This Row],[CampName]],CL,2,0),"")</f>
        <v>MMR001CMP113</v>
      </c>
      <c r="T12" s="108" t="str">
        <f>IFERROR(VLOOKUP(Table_Shelter[[#This Row],[CampName]],CL,3,0),"")</f>
        <v>Open</v>
      </c>
      <c r="U12" s="265">
        <f>IFERROR(Table_Shelter[[#This Row],[HH Covered]]/VLOOKUP(Table_Shelter[[#This Row],[CampName]],CL,5,0),"")</f>
        <v>0</v>
      </c>
      <c r="V12" s="266" t="s">
        <v>1304</v>
      </c>
      <c r="W12" s="108"/>
    </row>
    <row r="13" spans="1:118" ht="16.149999999999999" customHeight="1" x14ac:dyDescent="0.25">
      <c r="A13" s="647">
        <v>42745</v>
      </c>
      <c r="B13" s="173" t="s">
        <v>452</v>
      </c>
      <c r="C13" s="107" t="s">
        <v>1467</v>
      </c>
      <c r="D13" s="176" t="s">
        <v>380</v>
      </c>
      <c r="E13" s="345" t="s">
        <v>27</v>
      </c>
      <c r="F13" s="173" t="s">
        <v>864</v>
      </c>
      <c r="G13" s="107">
        <v>1</v>
      </c>
      <c r="H13" s="109"/>
      <c r="I13" s="109"/>
      <c r="J13" s="109"/>
      <c r="K13" s="109"/>
      <c r="L13" s="175"/>
      <c r="M13" s="175"/>
      <c r="N13" s="175"/>
      <c r="O13" s="175"/>
      <c r="P13" s="108">
        <f>IF(Table_Shelter[[#This Row],[Status]]="Open",IF(V13="NO",Table_Shelter[[#This Row],[HH per Shelter]]*(Table_Shelter[[#This Row],['# of Temporary Shelter Units Built]]+Table_Shelter[[#This Row],['# of Temporary Shelter Under  Construction]]+Table_Shelter[[#This Row],['# of Permanent House Under Construction]]),0),0)</f>
        <v>0</v>
      </c>
      <c r="Q13" s="108">
        <v>31</v>
      </c>
      <c r="R13" s="175"/>
      <c r="S13" s="175" t="str">
        <f>IFERROR(VLOOKUP(Table_Shelter[[#This Row],[CampName]],CL,2,0),"")</f>
        <v>MMR001CMP210</v>
      </c>
      <c r="T13" s="175" t="str">
        <f>IFERROR(VLOOKUP(Table_Shelter[[#This Row],[CampName]],CL,3,0),"")</f>
        <v>Open</v>
      </c>
      <c r="U13" s="265">
        <f>IFERROR(Table_Shelter[[#This Row],[HH Covered]]/VLOOKUP(Table_Shelter[[#This Row],[CampName]],CL,5,0),"")</f>
        <v>0</v>
      </c>
      <c r="V13" s="265" t="s">
        <v>1305</v>
      </c>
      <c r="W13" s="175"/>
    </row>
    <row r="14" spans="1:118" ht="16.149999999999999" customHeight="1" x14ac:dyDescent="0.25">
      <c r="A14" s="811">
        <v>42745</v>
      </c>
      <c r="B14" s="107" t="s">
        <v>452</v>
      </c>
      <c r="C14" s="107" t="s">
        <v>1467</v>
      </c>
      <c r="D14" s="176" t="s">
        <v>380</v>
      </c>
      <c r="E14" s="181" t="s">
        <v>237</v>
      </c>
      <c r="F14" s="173" t="s">
        <v>271</v>
      </c>
      <c r="G14" s="107">
        <v>1</v>
      </c>
      <c r="H14" s="109"/>
      <c r="I14" s="109"/>
      <c r="J14" s="109"/>
      <c r="K14" s="109"/>
      <c r="L14" s="109"/>
      <c r="M14" s="109"/>
      <c r="N14" s="109"/>
      <c r="O14" s="109"/>
      <c r="P14" s="108">
        <f>IF(Table_Shelter[[#This Row],[Status]]="Open",IF(V14="NO",Table_Shelter[[#This Row],[HH per Shelter]]*(Table_Shelter[[#This Row],['# of Temporary Shelter Units Built]]+Table_Shelter[[#This Row],['# of Temporary Shelter Under  Construction]]+Table_Shelter[[#This Row],['# of Permanent House Under Construction]]),0),0)</f>
        <v>0</v>
      </c>
      <c r="Q14" s="108">
        <v>30</v>
      </c>
      <c r="R14" s="108"/>
      <c r="S14" s="108" t="str">
        <f>IFERROR(VLOOKUP(Table_Shelter[[#This Row],[CampName]],CL,2,0),"")</f>
        <v>MMR001CMP024</v>
      </c>
      <c r="T14" s="108" t="str">
        <f>IFERROR(VLOOKUP(Table_Shelter[[#This Row],[CampName]],CL,3,0),"")</f>
        <v>Open</v>
      </c>
      <c r="U14" s="266">
        <f>IFERROR(Table_Shelter[[#This Row],[HH Covered]]/VLOOKUP(Table_Shelter[[#This Row],[CampName]],CL,5,0),"")</f>
        <v>0</v>
      </c>
      <c r="V14" s="266" t="s">
        <v>1305</v>
      </c>
      <c r="W14" s="108"/>
    </row>
    <row r="15" spans="1:118" ht="16.149999999999999" customHeight="1" x14ac:dyDescent="0.25">
      <c r="A15" s="811">
        <v>42745</v>
      </c>
      <c r="B15" s="107" t="s">
        <v>452</v>
      </c>
      <c r="C15" s="107" t="s">
        <v>1467</v>
      </c>
      <c r="D15" s="176" t="s">
        <v>380</v>
      </c>
      <c r="E15" s="181" t="s">
        <v>27</v>
      </c>
      <c r="F15" s="173" t="s">
        <v>1019</v>
      </c>
      <c r="G15" s="107">
        <v>1</v>
      </c>
      <c r="H15" s="109"/>
      <c r="I15" s="109"/>
      <c r="J15" s="109"/>
      <c r="K15" s="109"/>
      <c r="L15" s="109"/>
      <c r="M15" s="109"/>
      <c r="N15" s="109"/>
      <c r="O15" s="109"/>
      <c r="P15" s="108">
        <f>IF(Table_Shelter[[#This Row],[Status]]="Open",IF(V15="NO",Table_Shelter[[#This Row],[HH per Shelter]]*(Table_Shelter[[#This Row],['# of Temporary Shelter Units Built]]+Table_Shelter[[#This Row],['# of Temporary Shelter Under  Construction]]+Table_Shelter[[#This Row],['# of Permanent House Under Construction]]),0),0)</f>
        <v>0</v>
      </c>
      <c r="Q15" s="108">
        <v>10</v>
      </c>
      <c r="R15" s="108"/>
      <c r="S15" s="108" t="str">
        <f>IFERROR(VLOOKUP(Table_Shelter[[#This Row],[CampName]],CL,2,0),"")</f>
        <v>MMR001CMP225</v>
      </c>
      <c r="T15" s="108" t="str">
        <f>IFERROR(VLOOKUP(Table_Shelter[[#This Row],[CampName]],CL,3,0),"")</f>
        <v>Open</v>
      </c>
      <c r="U15" s="266">
        <f>IFERROR(Table_Shelter[[#This Row],[HH Covered]]/VLOOKUP(Table_Shelter[[#This Row],[CampName]],CL,5,0),"")</f>
        <v>0</v>
      </c>
      <c r="V15" s="266" t="s">
        <v>1305</v>
      </c>
      <c r="W15" s="108"/>
    </row>
    <row r="16" spans="1:118" ht="16.149999999999999" customHeight="1" x14ac:dyDescent="0.25">
      <c r="A16" s="811">
        <v>42745</v>
      </c>
      <c r="B16" s="107" t="s">
        <v>938</v>
      </c>
      <c r="C16" s="107" t="s">
        <v>505</v>
      </c>
      <c r="D16" s="180" t="s">
        <v>380</v>
      </c>
      <c r="E16" s="181" t="s">
        <v>237</v>
      </c>
      <c r="F16" s="107" t="s">
        <v>265</v>
      </c>
      <c r="G16" s="107">
        <v>1</v>
      </c>
      <c r="H16" s="109"/>
      <c r="I16" s="109"/>
      <c r="J16" s="109"/>
      <c r="K16" s="109"/>
      <c r="L16" s="109"/>
      <c r="M16" s="109"/>
      <c r="N16" s="109"/>
      <c r="O16" s="109"/>
      <c r="P16" s="108">
        <f>IF(Table_Shelter[[#This Row],[Status]]="Open",IF(V16="NO",Table_Shelter[[#This Row],[HH per Shelter]]*(Table_Shelter[[#This Row],['# of Temporary Shelter Units Built]]+Table_Shelter[[#This Row],['# of Temporary Shelter Under  Construction]]+Table_Shelter[[#This Row],['# of Permanent House Under Construction]]),0),0)</f>
        <v>0</v>
      </c>
      <c r="Q16" s="108">
        <v>10</v>
      </c>
      <c r="R16" s="108"/>
      <c r="S16" s="108" t="str">
        <f>IFERROR(VLOOKUP(Table_Shelter[[#This Row],[CampName]],CL,2,0),"")</f>
        <v>MMR001CMP021</v>
      </c>
      <c r="T16" s="108" t="str">
        <f>IFERROR(VLOOKUP(Table_Shelter[[#This Row],[CampName]],CL,3,0),"")</f>
        <v>Open</v>
      </c>
      <c r="U16" s="266">
        <f>IFERROR(Table_Shelter[[#This Row],[HH Covered]]/VLOOKUP(Table_Shelter[[#This Row],[CampName]],CL,5,0),"")</f>
        <v>0</v>
      </c>
      <c r="V16" s="266" t="s">
        <v>1092</v>
      </c>
      <c r="W16" s="108"/>
    </row>
    <row r="17" spans="1:23" ht="15" customHeight="1" x14ac:dyDescent="0.25">
      <c r="A17" s="811">
        <v>42745</v>
      </c>
      <c r="B17" s="107" t="s">
        <v>938</v>
      </c>
      <c r="C17" s="107" t="s">
        <v>505</v>
      </c>
      <c r="D17" s="180" t="s">
        <v>380</v>
      </c>
      <c r="E17" s="181" t="s">
        <v>310</v>
      </c>
      <c r="F17" s="107" t="s">
        <v>318</v>
      </c>
      <c r="G17" s="107">
        <v>1</v>
      </c>
      <c r="H17" s="109"/>
      <c r="I17" s="109"/>
      <c r="J17" s="109">
        <v>10</v>
      </c>
      <c r="K17" s="109"/>
      <c r="L17" s="109"/>
      <c r="M17" s="109"/>
      <c r="N17" s="109"/>
      <c r="O17" s="109"/>
      <c r="P17" s="108">
        <f>IF(Table_Shelter[[#This Row],[Status]]="Open",IF(V17="NO",Table_Shelter[[#This Row],[HH per Shelter]]*(Table_Shelter[[#This Row],['# of Temporary Shelter Units Built]]+Table_Shelter[[#This Row],['# of Temporary Shelter Under  Construction]]+Table_Shelter[[#This Row],['# of Permanent House Under Construction]]),0),0)</f>
        <v>0</v>
      </c>
      <c r="Q17" s="108">
        <v>20</v>
      </c>
      <c r="R17" s="108"/>
      <c r="S17" s="108" t="str">
        <f>IFERROR(VLOOKUP(Table_Shelter[[#This Row],[CampName]],CL,2,0),"")</f>
        <v>MMR001CMP032</v>
      </c>
      <c r="T17" s="108" t="str">
        <f>IFERROR(VLOOKUP(Table_Shelter[[#This Row],[CampName]],CL,3,0),"")</f>
        <v>Open</v>
      </c>
      <c r="U17" s="266">
        <f>IFERROR(Table_Shelter[[#This Row],[HH Covered]]/VLOOKUP(Table_Shelter[[#This Row],[CampName]],CL,5,0),"")</f>
        <v>0</v>
      </c>
      <c r="V17" s="266" t="s">
        <v>1439</v>
      </c>
      <c r="W17" s="108"/>
    </row>
    <row r="18" spans="1:23" ht="13.9" customHeight="1" x14ac:dyDescent="0.25">
      <c r="A18" s="811">
        <v>42745</v>
      </c>
      <c r="B18" s="107" t="s">
        <v>938</v>
      </c>
      <c r="C18" s="107" t="s">
        <v>505</v>
      </c>
      <c r="D18" s="180" t="s">
        <v>380</v>
      </c>
      <c r="E18" s="181" t="s">
        <v>27</v>
      </c>
      <c r="F18" s="107" t="s">
        <v>365</v>
      </c>
      <c r="G18" s="107">
        <v>1</v>
      </c>
      <c r="H18" s="109"/>
      <c r="I18" s="109"/>
      <c r="J18" s="109">
        <v>20</v>
      </c>
      <c r="K18" s="109"/>
      <c r="L18" s="109"/>
      <c r="M18" s="109"/>
      <c r="N18" s="109"/>
      <c r="O18" s="109"/>
      <c r="P18" s="108">
        <f>IF(Table_Shelter[[#This Row],[Status]]="Open",IF(V18="NO",Table_Shelter[[#This Row],[HH per Shelter]]*(Table_Shelter[[#This Row],['# of Temporary Shelter Units Built]]+Table_Shelter[[#This Row],['# of Temporary Shelter Under  Construction]]+Table_Shelter[[#This Row],['# of Permanent House Under Construction]]),0),0)</f>
        <v>0</v>
      </c>
      <c r="Q18" s="108">
        <v>20</v>
      </c>
      <c r="R18" s="108"/>
      <c r="S18" s="108" t="str">
        <f>IFERROR(VLOOKUP(Table_Shelter[[#This Row],[CampName]],CL,2,0),"")</f>
        <v>MMR001CMP195</v>
      </c>
      <c r="T18" s="108" t="str">
        <f>IFERROR(VLOOKUP(Table_Shelter[[#This Row],[CampName]],CL,3,0),"")</f>
        <v>Open</v>
      </c>
      <c r="U18" s="266">
        <f>IFERROR(Table_Shelter[[#This Row],[HH Covered]]/VLOOKUP(Table_Shelter[[#This Row],[CampName]],CL,5,0),"")</f>
        <v>0</v>
      </c>
      <c r="V18" s="266" t="s">
        <v>1439</v>
      </c>
      <c r="W18" s="108"/>
    </row>
    <row r="19" spans="1:23" ht="14.25" customHeight="1" x14ac:dyDescent="0.25">
      <c r="A19" s="811">
        <v>42745</v>
      </c>
      <c r="B19" s="107" t="s">
        <v>938</v>
      </c>
      <c r="C19" s="107" t="s">
        <v>505</v>
      </c>
      <c r="D19" s="180" t="s">
        <v>380</v>
      </c>
      <c r="E19" s="181" t="s">
        <v>27</v>
      </c>
      <c r="F19" s="107" t="s">
        <v>28</v>
      </c>
      <c r="G19" s="107">
        <v>1</v>
      </c>
      <c r="H19" s="109"/>
      <c r="I19" s="109"/>
      <c r="J19" s="109">
        <v>5</v>
      </c>
      <c r="K19" s="109"/>
      <c r="L19" s="109"/>
      <c r="M19" s="109"/>
      <c r="N19" s="109"/>
      <c r="O19" s="109"/>
      <c r="P19" s="108">
        <f>IF(Table_Shelter[[#This Row],[Status]]="Open",IF(V19="NO",Table_Shelter[[#This Row],[HH per Shelter]]*(Table_Shelter[[#This Row],['# of Temporary Shelter Units Built]]+Table_Shelter[[#This Row],['# of Temporary Shelter Under  Construction]]+Table_Shelter[[#This Row],['# of Permanent House Under Construction]]),0),0)</f>
        <v>0</v>
      </c>
      <c r="Q19" s="108">
        <v>30</v>
      </c>
      <c r="R19" s="108"/>
      <c r="S19" s="108" t="str">
        <f>IFERROR(VLOOKUP(Table_Shelter[[#This Row],[CampName]],CL,2,0),"")</f>
        <v>MMR001CMP042</v>
      </c>
      <c r="T19" s="108" t="str">
        <f>IFERROR(VLOOKUP(Table_Shelter[[#This Row],[CampName]],CL,3,0),"")</f>
        <v>Open</v>
      </c>
      <c r="U19" s="266">
        <f>IFERROR(Table_Shelter[[#This Row],[HH Covered]]/VLOOKUP(Table_Shelter[[#This Row],[CampName]],CL,5,0),"")</f>
        <v>0</v>
      </c>
      <c r="V19" s="266" t="s">
        <v>1439</v>
      </c>
      <c r="W19" s="108"/>
    </row>
    <row r="20" spans="1:23" ht="14.25" customHeight="1" x14ac:dyDescent="0.25">
      <c r="A20" s="647">
        <v>42745</v>
      </c>
      <c r="B20" s="107" t="s">
        <v>938</v>
      </c>
      <c r="C20" s="107" t="s">
        <v>505</v>
      </c>
      <c r="D20" s="180" t="s">
        <v>380</v>
      </c>
      <c r="E20" s="181" t="s">
        <v>527</v>
      </c>
      <c r="F20" s="107" t="s">
        <v>41</v>
      </c>
      <c r="G20" s="107">
        <v>1</v>
      </c>
      <c r="H20" s="109"/>
      <c r="I20" s="109"/>
      <c r="J20" s="109"/>
      <c r="K20" s="109"/>
      <c r="L20" s="109"/>
      <c r="M20" s="109"/>
      <c r="N20" s="109"/>
      <c r="O20" s="109"/>
      <c r="P20" s="108">
        <f>IF(Table_Shelter[[#This Row],[Status]]="Open",IF(V20="NO",Table_Shelter[[#This Row],[HH per Shelter]]*(Table_Shelter[[#This Row],['# of Temporary Shelter Units Built]]+Table_Shelter[[#This Row],['# of Temporary Shelter Under  Construction]]+Table_Shelter[[#This Row],['# of Permanent House Under Construction]]),0),0)</f>
        <v>0</v>
      </c>
      <c r="Q20" s="108">
        <v>20</v>
      </c>
      <c r="R20" s="108"/>
      <c r="S20" s="108" t="str">
        <f>IFERROR(VLOOKUP(Table_Shelter[[#This Row],[CampName]],CL,2,0),"")</f>
        <v>MMR001CMP176</v>
      </c>
      <c r="T20" s="108" t="str">
        <f>IFERROR(VLOOKUP(Table_Shelter[[#This Row],[CampName]],CL,3,0),"")</f>
        <v>Open</v>
      </c>
      <c r="U20" s="266">
        <f>IFERROR(Table_Shelter[[#This Row],[HH Covered]]/VLOOKUP(Table_Shelter[[#This Row],[CampName]],CL,5,0),"")</f>
        <v>0</v>
      </c>
      <c r="V20" s="266" t="s">
        <v>1439</v>
      </c>
      <c r="W20" s="108"/>
    </row>
    <row r="21" spans="1:23" ht="15" customHeight="1" x14ac:dyDescent="0.25">
      <c r="A21" s="647">
        <v>42745</v>
      </c>
      <c r="B21" s="107" t="s">
        <v>938</v>
      </c>
      <c r="C21" s="107" t="s">
        <v>505</v>
      </c>
      <c r="D21" s="180" t="s">
        <v>380</v>
      </c>
      <c r="E21" s="181" t="s">
        <v>527</v>
      </c>
      <c r="F21" s="107" t="s">
        <v>43</v>
      </c>
      <c r="G21" s="107">
        <v>1</v>
      </c>
      <c r="H21" s="109"/>
      <c r="I21" s="109"/>
      <c r="J21" s="109">
        <v>4</v>
      </c>
      <c r="K21" s="109"/>
      <c r="L21" s="109"/>
      <c r="M21" s="109"/>
      <c r="N21" s="109"/>
      <c r="O21" s="109"/>
      <c r="P21" s="108">
        <f>IF(Table_Shelter[[#This Row],[Status]]="Open",IF(V21="NO",Table_Shelter[[#This Row],[HH per Shelter]]*(Table_Shelter[[#This Row],['# of Temporary Shelter Units Built]]+Table_Shelter[[#This Row],['# of Temporary Shelter Under  Construction]]+Table_Shelter[[#This Row],['# of Permanent House Under Construction]]),0),0)</f>
        <v>0</v>
      </c>
      <c r="Q21" s="108"/>
      <c r="R21" s="108"/>
      <c r="S21" s="108" t="str">
        <f>IFERROR(VLOOKUP(Table_Shelter[[#This Row],[CampName]],CL,2,0),"")</f>
        <v>MMR001CMP190</v>
      </c>
      <c r="T21" s="108" t="str">
        <f>IFERROR(VLOOKUP(Table_Shelter[[#This Row],[CampName]],CL,3,0),"")</f>
        <v>Open</v>
      </c>
      <c r="U21" s="266">
        <f>IFERROR(Table_Shelter[[#This Row],[HH Covered]]/VLOOKUP(Table_Shelter[[#This Row],[CampName]],CL,5,0),"")</f>
        <v>0</v>
      </c>
      <c r="V21" s="266" t="s">
        <v>1305</v>
      </c>
      <c r="W21" s="108"/>
    </row>
    <row r="22" spans="1:23" ht="15" customHeight="1" x14ac:dyDescent="0.25">
      <c r="A22" s="811">
        <v>42745</v>
      </c>
      <c r="B22" s="107" t="s">
        <v>938</v>
      </c>
      <c r="C22" s="107" t="s">
        <v>505</v>
      </c>
      <c r="D22" s="180" t="s">
        <v>380</v>
      </c>
      <c r="E22" s="181" t="s">
        <v>527</v>
      </c>
      <c r="F22" s="107" t="s">
        <v>72</v>
      </c>
      <c r="G22" s="107">
        <v>1</v>
      </c>
      <c r="H22" s="109"/>
      <c r="I22" s="109"/>
      <c r="J22" s="109"/>
      <c r="K22" s="109"/>
      <c r="L22" s="109"/>
      <c r="M22" s="109"/>
      <c r="N22" s="109"/>
      <c r="O22" s="109"/>
      <c r="P22" s="108">
        <f>IF(Table_Shelter[[#This Row],[Status]]="Open",IF(V22="NO",Table_Shelter[[#This Row],[HH per Shelter]]*(Table_Shelter[[#This Row],['# of Temporary Shelter Units Built]]+Table_Shelter[[#This Row],['# of Temporary Shelter Under  Construction]]+Table_Shelter[[#This Row],['# of Permanent House Under Construction]]),0),0)</f>
        <v>0</v>
      </c>
      <c r="Q22" s="108">
        <v>5</v>
      </c>
      <c r="R22" s="108"/>
      <c r="S22" s="108" t="str">
        <f>IFERROR(VLOOKUP(Table_Shelter[[#This Row],[CampName]],CL,2,0),"")</f>
        <v>MMR001CMP109</v>
      </c>
      <c r="T22" s="108" t="str">
        <f>IFERROR(VLOOKUP(Table_Shelter[[#This Row],[CampName]],CL,3,0),"")</f>
        <v>Open</v>
      </c>
      <c r="U22" s="266">
        <f>IFERROR(Table_Shelter[[#This Row],[HH Covered]]/VLOOKUP(Table_Shelter[[#This Row],[CampName]],CL,5,0),"")</f>
        <v>0</v>
      </c>
      <c r="V22" s="266" t="s">
        <v>1439</v>
      </c>
      <c r="W22" s="108"/>
    </row>
    <row r="23" spans="1:23" ht="15" customHeight="1" x14ac:dyDescent="0.25">
      <c r="A23" s="647">
        <v>42745</v>
      </c>
      <c r="B23" s="107" t="s">
        <v>938</v>
      </c>
      <c r="C23" s="614" t="s">
        <v>505</v>
      </c>
      <c r="D23" s="180" t="s">
        <v>380</v>
      </c>
      <c r="E23" s="181" t="s">
        <v>527</v>
      </c>
      <c r="F23" s="107" t="s">
        <v>76</v>
      </c>
      <c r="G23" s="107">
        <v>1</v>
      </c>
      <c r="H23" s="109"/>
      <c r="I23" s="109"/>
      <c r="J23" s="109"/>
      <c r="K23" s="109"/>
      <c r="L23" s="109"/>
      <c r="M23" s="109"/>
      <c r="N23" s="109"/>
      <c r="O23" s="109"/>
      <c r="P23" s="108">
        <f>IF(Table_Shelter[[#This Row],[Status]]="Open",IF(V23="NO",Table_Shelter[[#This Row],[HH per Shelter]]*(Table_Shelter[[#This Row],['# of Temporary Shelter Units Built]]+Table_Shelter[[#This Row],['# of Temporary Shelter Under  Construction]]+Table_Shelter[[#This Row],['# of Permanent House Under Construction]]),0),0)</f>
        <v>0</v>
      </c>
      <c r="Q23" s="108">
        <v>20</v>
      </c>
      <c r="R23" s="108"/>
      <c r="S23" s="108" t="str">
        <f>IFERROR(VLOOKUP(Table_Shelter[[#This Row],[CampName]],CL,2,0),"")</f>
        <v>MMR001CMP174</v>
      </c>
      <c r="T23" s="108" t="str">
        <f>IFERROR(VLOOKUP(Table_Shelter[[#This Row],[CampName]],CL,3,0),"")</f>
        <v>Open</v>
      </c>
      <c r="U23" s="266">
        <f>IFERROR(Table_Shelter[[#This Row],[HH Covered]]/VLOOKUP(Table_Shelter[[#This Row],[CampName]],CL,5,0),"")</f>
        <v>0</v>
      </c>
      <c r="V23" s="266" t="s">
        <v>1439</v>
      </c>
      <c r="W23" s="108"/>
    </row>
    <row r="24" spans="1:23" ht="15" customHeight="1" x14ac:dyDescent="0.25">
      <c r="A24" s="647">
        <v>42745</v>
      </c>
      <c r="B24" s="107" t="s">
        <v>938</v>
      </c>
      <c r="C24" s="107" t="s">
        <v>505</v>
      </c>
      <c r="D24" s="180" t="s">
        <v>380</v>
      </c>
      <c r="E24" s="181" t="s">
        <v>527</v>
      </c>
      <c r="F24" s="107" t="s">
        <v>90</v>
      </c>
      <c r="G24" s="107">
        <v>1</v>
      </c>
      <c r="H24" s="109"/>
      <c r="I24" s="109"/>
      <c r="J24" s="109">
        <v>5</v>
      </c>
      <c r="K24" s="109"/>
      <c r="L24" s="109"/>
      <c r="M24" s="109"/>
      <c r="N24" s="109"/>
      <c r="O24" s="109"/>
      <c r="P24" s="108">
        <f>IF(Table_Shelter[[#This Row],[Status]]="Open",IF(V24="NO",Table_Shelter[[#This Row],[HH per Shelter]]*(Table_Shelter[[#This Row],['# of Temporary Shelter Units Built]]+Table_Shelter[[#This Row],['# of Temporary Shelter Under  Construction]]+Table_Shelter[[#This Row],['# of Permanent House Under Construction]]),0),0)</f>
        <v>0</v>
      </c>
      <c r="Q24" s="108"/>
      <c r="R24" s="108"/>
      <c r="S24" s="108" t="str">
        <f>IFERROR(VLOOKUP(Table_Shelter[[#This Row],[CampName]],CL,2,0),"")</f>
        <v>MMR001CMP181</v>
      </c>
      <c r="T24" s="108" t="str">
        <f>IFERROR(VLOOKUP(Table_Shelter[[#This Row],[CampName]],CL,3,0),"")</f>
        <v>Open</v>
      </c>
      <c r="U24" s="266">
        <f>IFERROR(Table_Shelter[[#This Row],[HH Covered]]/VLOOKUP(Table_Shelter[[#This Row],[CampName]],CL,5,0),"")</f>
        <v>0</v>
      </c>
      <c r="V24" s="266" t="s">
        <v>1092</v>
      </c>
      <c r="W24" s="108"/>
    </row>
    <row r="25" spans="1:23" ht="15" customHeight="1" x14ac:dyDescent="0.25">
      <c r="A25" s="811">
        <v>42745</v>
      </c>
      <c r="B25" s="107" t="s">
        <v>938</v>
      </c>
      <c r="C25" s="107" t="s">
        <v>505</v>
      </c>
      <c r="D25" s="180" t="s">
        <v>380</v>
      </c>
      <c r="E25" s="181" t="s">
        <v>5</v>
      </c>
      <c r="F25" s="107" t="s">
        <v>18</v>
      </c>
      <c r="G25" s="107">
        <v>1</v>
      </c>
      <c r="H25" s="109"/>
      <c r="I25" s="109"/>
      <c r="J25" s="109">
        <v>5</v>
      </c>
      <c r="K25" s="109"/>
      <c r="L25" s="109"/>
      <c r="M25" s="109"/>
      <c r="N25" s="109"/>
      <c r="O25" s="109"/>
      <c r="P25" s="108">
        <f>IF(Table_Shelter[[#This Row],[Status]]="Open",IF(V25="NO",Table_Shelter[[#This Row],[HH per Shelter]]*(Table_Shelter[[#This Row],['# of Temporary Shelter Units Built]]+Table_Shelter[[#This Row],['# of Temporary Shelter Under  Construction]]+Table_Shelter[[#This Row],['# of Permanent House Under Construction]]),0),0)</f>
        <v>0</v>
      </c>
      <c r="Q25" s="108"/>
      <c r="R25" s="108"/>
      <c r="S25" s="108" t="str">
        <f>IFERROR(VLOOKUP(Table_Shelter[[#This Row],[CampName]],CL,2,0),"")</f>
        <v>MMR001CMP049</v>
      </c>
      <c r="T25" s="108" t="str">
        <f>IFERROR(VLOOKUP(Table_Shelter[[#This Row],[CampName]],CL,3,0),"")</f>
        <v>Open</v>
      </c>
      <c r="U25" s="266">
        <f>IFERROR(Table_Shelter[[#This Row],[HH Covered]]/VLOOKUP(Table_Shelter[[#This Row],[CampName]],CL,5,0),"")</f>
        <v>0</v>
      </c>
      <c r="V25" s="266" t="s">
        <v>1439</v>
      </c>
      <c r="W25" s="108"/>
    </row>
    <row r="26" spans="1:23" ht="15" customHeight="1" x14ac:dyDescent="0.25">
      <c r="A26" s="647">
        <v>42664</v>
      </c>
      <c r="B26" s="107" t="s">
        <v>452</v>
      </c>
      <c r="C26" s="107" t="s">
        <v>1444</v>
      </c>
      <c r="D26" s="180" t="s">
        <v>380</v>
      </c>
      <c r="E26" s="181" t="s">
        <v>151</v>
      </c>
      <c r="F26" s="107" t="s">
        <v>198</v>
      </c>
      <c r="G26" s="107">
        <v>1</v>
      </c>
      <c r="H26" s="109"/>
      <c r="I26" s="109"/>
      <c r="J26" s="109">
        <v>40</v>
      </c>
      <c r="K26" s="109"/>
      <c r="L26" s="109">
        <v>40</v>
      </c>
      <c r="M26" s="109"/>
      <c r="N26" s="109"/>
      <c r="O26" s="109"/>
      <c r="P26" s="108">
        <f>IF(Table_Shelter[[#This Row],[Status]]="Open",IF(V26="NO",Table_Shelter[[#This Row],[HH per Shelter]]*(Table_Shelter[[#This Row],['# of Temporary Shelter Units Built]]+Table_Shelter[[#This Row],['# of Temporary Shelter Under  Construction]]+Table_Shelter[[#This Row],['# of Permanent House Under Construction]]),0),0)</f>
        <v>40</v>
      </c>
      <c r="Q26" s="108"/>
      <c r="R26" s="108"/>
      <c r="S26" s="108" t="str">
        <f>IFERROR(VLOOKUP(Table_Shelter[[#This Row],[CampName]],CL,2,0),"")</f>
        <v>MMR001CMP128</v>
      </c>
      <c r="T26" s="175" t="str">
        <f>IFERROR(VLOOKUP(Table_Shelter[[#This Row],[CampName]],CL,3,0),"")</f>
        <v>Open</v>
      </c>
      <c r="U26" s="266">
        <f>IFERROR(Table_Shelter[[#This Row],[HH Covered]]/VLOOKUP(Table_Shelter[[#This Row],[CampName]],CL,5,0),"")</f>
        <v>7.3126142595978064E-2</v>
      </c>
      <c r="V26" s="266" t="s">
        <v>1305</v>
      </c>
      <c r="W26" s="108"/>
    </row>
    <row r="27" spans="1:23" ht="15" customHeight="1" x14ac:dyDescent="0.25">
      <c r="A27" s="647">
        <v>42664</v>
      </c>
      <c r="B27" s="107" t="s">
        <v>452</v>
      </c>
      <c r="C27" s="107" t="s">
        <v>1444</v>
      </c>
      <c r="D27" s="180" t="s">
        <v>380</v>
      </c>
      <c r="E27" s="181" t="s">
        <v>151</v>
      </c>
      <c r="F27" s="107" t="s">
        <v>154</v>
      </c>
      <c r="G27" s="107">
        <v>1</v>
      </c>
      <c r="H27" s="109"/>
      <c r="I27" s="109"/>
      <c r="J27" s="109"/>
      <c r="K27" s="109"/>
      <c r="L27" s="109"/>
      <c r="M27" s="109"/>
      <c r="N27" s="109"/>
      <c r="O27" s="109"/>
      <c r="P27" s="108">
        <f>IF(Table_Shelter[[#This Row],[Status]]="Open",IF(V27="NO",Table_Shelter[[#This Row],[HH per Shelter]]*(Table_Shelter[[#This Row],['# of Temporary Shelter Units Built]]+Table_Shelter[[#This Row],['# of Temporary Shelter Under  Construction]]+Table_Shelter[[#This Row],['# of Permanent House Under Construction]]),0),0)</f>
        <v>0</v>
      </c>
      <c r="Q27" s="108">
        <v>30</v>
      </c>
      <c r="R27" s="108"/>
      <c r="S27" s="108" t="str">
        <f>IFERROR(VLOOKUP(Table_Shelter[[#This Row],[CampName]],CL,2,0),"")</f>
        <v>MMR001CMP132</v>
      </c>
      <c r="T27" s="175" t="str">
        <f>IFERROR(VLOOKUP(Table_Shelter[[#This Row],[CampName]],CL,3,0),"")</f>
        <v>Open</v>
      </c>
      <c r="U27" s="266">
        <f>IFERROR(Table_Shelter[[#This Row],[HH Covered]]/VLOOKUP(Table_Shelter[[#This Row],[CampName]],CL,5,0),"")</f>
        <v>0</v>
      </c>
      <c r="V27" s="266" t="s">
        <v>1305</v>
      </c>
      <c r="W27" s="108"/>
    </row>
    <row r="28" spans="1:23" ht="15" customHeight="1" x14ac:dyDescent="0.25">
      <c r="A28" s="647">
        <v>42664</v>
      </c>
      <c r="B28" s="175" t="s">
        <v>452</v>
      </c>
      <c r="C28" s="175" t="s">
        <v>505</v>
      </c>
      <c r="D28" s="175" t="s">
        <v>380</v>
      </c>
      <c r="E28" s="179" t="s">
        <v>27</v>
      </c>
      <c r="F28" s="175" t="s">
        <v>365</v>
      </c>
      <c r="G28" s="107"/>
      <c r="H28" s="109"/>
      <c r="I28" s="109"/>
      <c r="J28" s="109"/>
      <c r="K28" s="109"/>
      <c r="L28" s="175"/>
      <c r="M28" s="175"/>
      <c r="N28" s="175"/>
      <c r="O28" s="175"/>
      <c r="P28" s="108">
        <f>IF(Table_Shelter[[#This Row],[Status]]="Open",IF(V28="NO",Table_Shelter[[#This Row],[HH per Shelter]]*(Table_Shelter[[#This Row],['# of Temporary Shelter Units Built]]+Table_Shelter[[#This Row],['# of Temporary Shelter Under  Construction]]+Table_Shelter[[#This Row],['# of Permanent House Under Construction]]),0),0)</f>
        <v>0</v>
      </c>
      <c r="Q28" s="108">
        <v>30</v>
      </c>
      <c r="R28" s="108"/>
      <c r="S28" s="108" t="str">
        <f>IFERROR(VLOOKUP(Table_Shelter[[#This Row],[CampName]],CL,2,0),"")</f>
        <v>MMR001CMP195</v>
      </c>
      <c r="T28" s="108" t="str">
        <f>IFERROR(VLOOKUP(Table_Shelter[[#This Row],[CampName]],CL,3,0),"")</f>
        <v>Open</v>
      </c>
      <c r="U28" s="266">
        <f>IFERROR(Table_Shelter[[#This Row],[HH Covered]]/VLOOKUP(Table_Shelter[[#This Row],[CampName]],CL,5,0),"")</f>
        <v>0</v>
      </c>
      <c r="V28" s="266" t="s">
        <v>1305</v>
      </c>
      <c r="W28" s="108"/>
    </row>
    <row r="29" spans="1:23" ht="15" customHeight="1" x14ac:dyDescent="0.25">
      <c r="A29" s="647">
        <v>42664</v>
      </c>
      <c r="B29" s="107" t="s">
        <v>452</v>
      </c>
      <c r="C29" s="107" t="s">
        <v>505</v>
      </c>
      <c r="D29" s="180" t="s">
        <v>380</v>
      </c>
      <c r="E29" s="181" t="s">
        <v>237</v>
      </c>
      <c r="F29" s="107" t="s">
        <v>263</v>
      </c>
      <c r="G29" s="107"/>
      <c r="H29" s="109"/>
      <c r="I29" s="109"/>
      <c r="J29" s="109"/>
      <c r="K29" s="109"/>
      <c r="L29" s="109"/>
      <c r="M29" s="109"/>
      <c r="N29" s="109"/>
      <c r="O29" s="109"/>
      <c r="P29" s="108">
        <f>IF(Table_Shelter[[#This Row],[Status]]="Open",IF(V29="NO",Table_Shelter[[#This Row],[HH per Shelter]]*(Table_Shelter[[#This Row],['# of Temporary Shelter Units Built]]+Table_Shelter[[#This Row],['# of Temporary Shelter Under  Construction]]+Table_Shelter[[#This Row],['# of Permanent House Under Construction]]),0),0)</f>
        <v>0</v>
      </c>
      <c r="Q29" s="108">
        <v>10</v>
      </c>
      <c r="R29" s="108"/>
      <c r="S29" s="108" t="str">
        <f>IFERROR(VLOOKUP(Table_Shelter[[#This Row],[CampName]],CL,2,0),"")</f>
        <v>MMR001CMP020</v>
      </c>
      <c r="T29" s="108" t="str">
        <f>IFERROR(VLOOKUP(Table_Shelter[[#This Row],[CampName]],CL,3,0),"")</f>
        <v>Open</v>
      </c>
      <c r="U29" s="266">
        <f>IFERROR(Table_Shelter[[#This Row],[HH Covered]]/VLOOKUP(Table_Shelter[[#This Row],[CampName]],CL,5,0),"")</f>
        <v>0</v>
      </c>
      <c r="V29" s="266" t="s">
        <v>1305</v>
      </c>
      <c r="W29" s="108"/>
    </row>
    <row r="30" spans="1:23" ht="15" customHeight="1" x14ac:dyDescent="0.25">
      <c r="A30" s="580">
        <v>42664</v>
      </c>
      <c r="B30" s="173" t="s">
        <v>452</v>
      </c>
      <c r="C30" s="173" t="s">
        <v>505</v>
      </c>
      <c r="D30" s="180" t="s">
        <v>380</v>
      </c>
      <c r="E30" s="345" t="s">
        <v>27</v>
      </c>
      <c r="F30" s="173" t="s">
        <v>1103</v>
      </c>
      <c r="G30" s="107">
        <v>1</v>
      </c>
      <c r="H30" s="109"/>
      <c r="I30" s="109"/>
      <c r="J30" s="109"/>
      <c r="K30" s="109"/>
      <c r="L30" s="109"/>
      <c r="M30" s="109"/>
      <c r="N30" s="109"/>
      <c r="O30" s="109"/>
      <c r="P30" s="108">
        <f>IF(Table_Shelter[[#This Row],[Status]]="Open",IF(V30="NO",Table_Shelter[[#This Row],[HH per Shelter]]*(Table_Shelter[[#This Row],['# of Temporary Shelter Units Built]]+Table_Shelter[[#This Row],['# of Temporary Shelter Under  Construction]]+Table_Shelter[[#This Row],['# of Permanent House Under Construction]]),0),0)</f>
        <v>0</v>
      </c>
      <c r="Q30" s="108">
        <v>10</v>
      </c>
      <c r="R30" s="108"/>
      <c r="S30" s="108" t="str">
        <f>IFERROR(VLOOKUP(Table_Shelter[[#This Row],[CampName]],CL,2,0),"")</f>
        <v>MMR001CMP042</v>
      </c>
      <c r="T30" s="108" t="str">
        <f>IFERROR(VLOOKUP(Table_Shelter[[#This Row],[CampName]],CL,3,0),"")</f>
        <v>Open</v>
      </c>
      <c r="U30" s="266">
        <f>IFERROR(Table_Shelter[[#This Row],[HH Covered]]/VLOOKUP(Table_Shelter[[#This Row],[CampName]],CL,5,0),"")</f>
        <v>0</v>
      </c>
      <c r="V30" s="266" t="s">
        <v>1092</v>
      </c>
      <c r="W30" s="108"/>
    </row>
    <row r="31" spans="1:23" ht="15" customHeight="1" x14ac:dyDescent="0.25">
      <c r="A31" s="647">
        <v>42622</v>
      </c>
      <c r="B31" s="107" t="s">
        <v>452</v>
      </c>
      <c r="C31" s="107" t="s">
        <v>460</v>
      </c>
      <c r="D31" s="180" t="s">
        <v>380</v>
      </c>
      <c r="E31" s="181" t="s">
        <v>185</v>
      </c>
      <c r="F31" s="107" t="s">
        <v>190</v>
      </c>
      <c r="G31" s="107">
        <v>1</v>
      </c>
      <c r="H31" s="109"/>
      <c r="I31" s="109"/>
      <c r="J31" s="109">
        <v>10</v>
      </c>
      <c r="K31" s="109"/>
      <c r="L31" s="109"/>
      <c r="M31" s="109"/>
      <c r="N31" s="109"/>
      <c r="O31" s="109"/>
      <c r="P31" s="108">
        <f>IF(Table_Shelter[[#This Row],[Status]]="Open",IF(V31="NO",Table_Shelter[[#This Row],[HH per Shelter]]*(Table_Shelter[[#This Row],['# of Temporary Shelter Units Built]]+Table_Shelter[[#This Row],['# of Temporary Shelter Under  Construction]]+Table_Shelter[[#This Row],['# of Permanent House Under Construction]]),0),0)</f>
        <v>0</v>
      </c>
      <c r="Q31" s="108"/>
      <c r="R31" s="108"/>
      <c r="S31" s="108" t="str">
        <f>IFERROR(VLOOKUP(Table_Shelter[[#This Row],[CampName]],CL,2,0),"")</f>
        <v>MMR001CMP070</v>
      </c>
      <c r="T31" s="175" t="str">
        <f>IFERROR(VLOOKUP(Table_Shelter[[#This Row],[CampName]],CL,3,0),"")</f>
        <v>Open</v>
      </c>
      <c r="U31" s="266">
        <f>IFERROR(Table_Shelter[[#This Row],[HH Covered]]/VLOOKUP(Table_Shelter[[#This Row],[CampName]],CL,5,0),"")</f>
        <v>0</v>
      </c>
      <c r="V31" s="266" t="s">
        <v>1439</v>
      </c>
      <c r="W31" s="108"/>
    </row>
    <row r="32" spans="1:23" ht="15" customHeight="1" x14ac:dyDescent="0.25">
      <c r="A32" s="811">
        <v>42622</v>
      </c>
      <c r="B32" s="107" t="s">
        <v>452</v>
      </c>
      <c r="C32" s="107" t="s">
        <v>460</v>
      </c>
      <c r="D32" s="180" t="s">
        <v>380</v>
      </c>
      <c r="E32" s="181" t="s">
        <v>185</v>
      </c>
      <c r="F32" s="107" t="s">
        <v>229</v>
      </c>
      <c r="G32" s="107">
        <v>1</v>
      </c>
      <c r="H32" s="109"/>
      <c r="I32" s="109"/>
      <c r="J32" s="109"/>
      <c r="K32" s="109"/>
      <c r="L32" s="109"/>
      <c r="M32" s="109"/>
      <c r="N32" s="109"/>
      <c r="O32" s="109"/>
      <c r="P32" s="108">
        <f>IF(Table_Shelter[[#This Row],[Status]]="Open",IF(V32="NO",Table_Shelter[[#This Row],[HH per Shelter]]*(Table_Shelter[[#This Row],['# of Temporary Shelter Units Built]]+Table_Shelter[[#This Row],['# of Temporary Shelter Under  Construction]]+Table_Shelter[[#This Row],['# of Permanent House Under Construction]]),0),0)</f>
        <v>0</v>
      </c>
      <c r="Q32" s="108">
        <v>45</v>
      </c>
      <c r="R32" s="108">
        <v>0</v>
      </c>
      <c r="S32" s="108" t="str">
        <f>IFERROR(VLOOKUP(Table_Shelter[[#This Row],[CampName]],CL,2,0),"")</f>
        <v>MMR001CMP072</v>
      </c>
      <c r="T32" s="175" t="str">
        <f>IFERROR(VLOOKUP(Table_Shelter[[#This Row],[CampName]],CL,3,0),"")</f>
        <v>Open</v>
      </c>
      <c r="U32" s="266">
        <f>IFERROR(Table_Shelter[[#This Row],[HH Covered]]/VLOOKUP(Table_Shelter[[#This Row],[CampName]],CL,5,0),"")</f>
        <v>0</v>
      </c>
      <c r="V32" s="266" t="s">
        <v>1439</v>
      </c>
      <c r="W32" s="108"/>
    </row>
    <row r="33" spans="1:118" ht="15" customHeight="1" x14ac:dyDescent="0.25">
      <c r="A33" s="647">
        <v>42622</v>
      </c>
      <c r="B33" s="107" t="s">
        <v>452</v>
      </c>
      <c r="C33" s="107" t="s">
        <v>460</v>
      </c>
      <c r="D33" s="180" t="s">
        <v>380</v>
      </c>
      <c r="E33" s="181" t="s">
        <v>5</v>
      </c>
      <c r="F33" s="107" t="s">
        <v>22</v>
      </c>
      <c r="G33" s="107">
        <v>1</v>
      </c>
      <c r="H33" s="109"/>
      <c r="I33" s="109"/>
      <c r="J33" s="109">
        <v>5</v>
      </c>
      <c r="K33" s="109">
        <v>0</v>
      </c>
      <c r="L33" s="109"/>
      <c r="M33" s="109"/>
      <c r="N33" s="109"/>
      <c r="O33" s="109"/>
      <c r="P33" s="108">
        <f>IF(Table_Shelter[[#This Row],[Status]]="Open",IF(V33="NO",Table_Shelter[[#This Row],[HH per Shelter]]*(Table_Shelter[[#This Row],['# of Temporary Shelter Units Built]]+Table_Shelter[[#This Row],['# of Temporary Shelter Under  Construction]]+Table_Shelter[[#This Row],['# of Permanent House Under Construction]]),0),0)</f>
        <v>0</v>
      </c>
      <c r="Q33" s="108"/>
      <c r="R33" s="108"/>
      <c r="S33" s="108" t="str">
        <f>IFERROR(VLOOKUP(Table_Shelter[[#This Row],[CampName]],CL,2,0),"")</f>
        <v>MMR001CMP047</v>
      </c>
      <c r="T33" s="175" t="str">
        <f>IFERROR(VLOOKUP(Table_Shelter[[#This Row],[CampName]],CL,3,0),"")</f>
        <v>Open</v>
      </c>
      <c r="U33" s="266">
        <f>IFERROR(Table_Shelter[[#This Row],[HH Covered]]/VLOOKUP(Table_Shelter[[#This Row],[CampName]],CL,5,0),"")</f>
        <v>0</v>
      </c>
      <c r="V33" s="266" t="s">
        <v>1439</v>
      </c>
      <c r="W33" s="108"/>
    </row>
    <row r="34" spans="1:118" ht="15" customHeight="1" x14ac:dyDescent="0.25">
      <c r="A34" s="647">
        <v>42622</v>
      </c>
      <c r="B34" s="107" t="s">
        <v>453</v>
      </c>
      <c r="C34" s="107" t="s">
        <v>460</v>
      </c>
      <c r="D34" s="180" t="s">
        <v>380</v>
      </c>
      <c r="E34" s="181" t="s">
        <v>185</v>
      </c>
      <c r="F34" s="107" t="s">
        <v>225</v>
      </c>
      <c r="G34" s="107">
        <v>1</v>
      </c>
      <c r="H34" s="109"/>
      <c r="I34" s="109"/>
      <c r="J34" s="109">
        <v>41</v>
      </c>
      <c r="K34" s="109"/>
      <c r="L34" s="109"/>
      <c r="M34" s="109"/>
      <c r="N34" s="109"/>
      <c r="O34" s="109"/>
      <c r="P34" s="108">
        <f>IF(Table_Shelter[[#This Row],[Status]]="Open",IF(V34="NO",Table_Shelter[[#This Row],[HH per Shelter]]*(Table_Shelter[[#This Row],['# of Temporary Shelter Units Built]]+Table_Shelter[[#This Row],['# of Temporary Shelter Under  Construction]]+Table_Shelter[[#This Row],['# of Permanent House Under Construction]]),0),0)</f>
        <v>0</v>
      </c>
      <c r="Q34" s="108"/>
      <c r="R34" s="108"/>
      <c r="S34" s="108" t="str">
        <f>IFERROR(VLOOKUP(Table_Shelter[[#This Row],[CampName]],CL,2,0),"")</f>
        <v>MMR001CMP073</v>
      </c>
      <c r="T34" s="175" t="str">
        <f>IFERROR(VLOOKUP(Table_Shelter[[#This Row],[CampName]],CL,3,0),"")</f>
        <v>Open</v>
      </c>
      <c r="U34" s="266">
        <f>IFERROR(Table_Shelter[[#This Row],[HH Covered]]/VLOOKUP(Table_Shelter[[#This Row],[CampName]],CL,5,0),"")</f>
        <v>0</v>
      </c>
      <c r="V34" s="266" t="s">
        <v>1439</v>
      </c>
      <c r="W34" s="108" t="s">
        <v>1440</v>
      </c>
    </row>
    <row r="35" spans="1:118" ht="15" customHeight="1" x14ac:dyDescent="0.25">
      <c r="A35" s="647">
        <v>42614</v>
      </c>
      <c r="B35" s="107" t="s">
        <v>452</v>
      </c>
      <c r="C35" s="107" t="s">
        <v>1262</v>
      </c>
      <c r="D35" s="180" t="s">
        <v>553</v>
      </c>
      <c r="E35" s="181" t="s">
        <v>146</v>
      </c>
      <c r="F35" s="107" t="s">
        <v>1102</v>
      </c>
      <c r="G35" s="107">
        <v>1</v>
      </c>
      <c r="H35" s="109">
        <v>30</v>
      </c>
      <c r="I35" s="109"/>
      <c r="J35" s="109"/>
      <c r="K35" s="109"/>
      <c r="L35" s="109"/>
      <c r="M35" s="109"/>
      <c r="N35" s="109"/>
      <c r="O35" s="109"/>
      <c r="P35" s="108">
        <f>IF(Table_Shelter[[#This Row],[Status]]="Open",IF(V35="NO",Table_Shelter[[#This Row],[HH per Shelter]]*(Table_Shelter[[#This Row],['# of Temporary Shelter Units Built]]+Table_Shelter[[#This Row],['# of Temporary Shelter Under  Construction]]+Table_Shelter[[#This Row],['# of Permanent House Under Construction]]),0),0)</f>
        <v>0</v>
      </c>
      <c r="Q35" s="108"/>
      <c r="R35" s="108"/>
      <c r="S35" s="108" t="str">
        <f>IFERROR(VLOOKUP(Table_Shelter[[#This Row],[CampName]],CL,2,0),"")</f>
        <v>MMR015CMP217</v>
      </c>
      <c r="T35" s="175" t="str">
        <f>IFERROR(VLOOKUP(Table_Shelter[[#This Row],[CampName]],CL,3,0),"")</f>
        <v>Open</v>
      </c>
      <c r="U35" s="266">
        <f>IFERROR(Table_Shelter[[#This Row],[HH Covered]]/VLOOKUP(Table_Shelter[[#This Row],[CampName]],CL,5,0),"")</f>
        <v>0</v>
      </c>
      <c r="V35" s="266" t="s">
        <v>1305</v>
      </c>
      <c r="W35" s="108"/>
    </row>
    <row r="36" spans="1:118" ht="15" customHeight="1" x14ac:dyDescent="0.25">
      <c r="A36" s="811">
        <v>42614</v>
      </c>
      <c r="B36" s="107" t="s">
        <v>452</v>
      </c>
      <c r="C36" s="107" t="s">
        <v>1262</v>
      </c>
      <c r="D36" s="180" t="s">
        <v>553</v>
      </c>
      <c r="E36" s="181" t="s">
        <v>289</v>
      </c>
      <c r="F36" s="107" t="s">
        <v>374</v>
      </c>
      <c r="G36" s="107">
        <v>1</v>
      </c>
      <c r="H36" s="109">
        <v>20</v>
      </c>
      <c r="I36" s="109"/>
      <c r="J36" s="109"/>
      <c r="K36" s="109"/>
      <c r="L36" s="109"/>
      <c r="M36" s="109"/>
      <c r="N36" s="109"/>
      <c r="O36" s="109"/>
      <c r="P36" s="108">
        <f>IF(Table_Shelter[[#This Row],[Status]]="Open",IF(V36="NO",Table_Shelter[[#This Row],[HH per Shelter]]*(Table_Shelter[[#This Row],['# of Temporary Shelter Units Built]]+Table_Shelter[[#This Row],['# of Temporary Shelter Under  Construction]]+Table_Shelter[[#This Row],['# of Permanent House Under Construction]]),0),0)</f>
        <v>0</v>
      </c>
      <c r="Q36" s="108"/>
      <c r="R36" s="108"/>
      <c r="S36" s="108" t="str">
        <f>IFERROR(VLOOKUP(Table_Shelter[[#This Row],[CampName]],CL,2,0),"")</f>
        <v>MMR015CMP003</v>
      </c>
      <c r="T36" s="175" t="str">
        <f>IFERROR(VLOOKUP(Table_Shelter[[#This Row],[CampName]],CL,3,0),"")</f>
        <v>Open</v>
      </c>
      <c r="U36" s="266">
        <f>IFERROR(Table_Shelter[[#This Row],[HH Covered]]/VLOOKUP(Table_Shelter[[#This Row],[CampName]],CL,5,0),"")</f>
        <v>0</v>
      </c>
      <c r="V36" s="266" t="s">
        <v>1305</v>
      </c>
      <c r="W36" s="108"/>
    </row>
    <row r="37" spans="1:118" ht="15" customHeight="1" x14ac:dyDescent="0.25">
      <c r="A37" s="580">
        <v>42571</v>
      </c>
      <c r="B37" s="173" t="s">
        <v>452</v>
      </c>
      <c r="C37" s="173" t="s">
        <v>505</v>
      </c>
      <c r="D37" s="173" t="s">
        <v>380</v>
      </c>
      <c r="E37" s="345" t="s">
        <v>27</v>
      </c>
      <c r="F37" s="173" t="s">
        <v>1103</v>
      </c>
      <c r="G37" s="107"/>
      <c r="H37" s="107"/>
      <c r="I37" s="107"/>
      <c r="J37" s="107"/>
      <c r="K37" s="107"/>
      <c r="L37" s="173"/>
      <c r="M37" s="173"/>
      <c r="N37" s="173"/>
      <c r="O37" s="173"/>
      <c r="P37" s="108">
        <f>IF(Table_Shelter[[#This Row],[Status]]="Open",IF(V37="NO",Table_Shelter[[#This Row],[HH per Shelter]]*(Table_Shelter[[#This Row],['# of Temporary Shelter Units Built]]+Table_Shelter[[#This Row],['# of Temporary Shelter Under  Construction]]+Table_Shelter[[#This Row],['# of Permanent House Under Construction]]),0),0)</f>
        <v>0</v>
      </c>
      <c r="Q37" s="106">
        <v>10</v>
      </c>
      <c r="R37" s="106"/>
      <c r="S37" s="108" t="str">
        <f>IFERROR(VLOOKUP(Table_Shelter[[#This Row],[CampName]],CL,2,0),"")</f>
        <v>MMR001CMP042</v>
      </c>
      <c r="T37" s="108" t="str">
        <f>IFERROR(VLOOKUP(Table_Shelter[[#This Row],[CampName]],CL,3,0),"")</f>
        <v>Open</v>
      </c>
      <c r="U37" s="265">
        <f>IFERROR(Table_Shelter[[#This Row],[HH Covered]]/VLOOKUP(Table_Shelter[[#This Row],[CampName]],CL,5,0),"")</f>
        <v>0</v>
      </c>
      <c r="V37" s="266" t="s">
        <v>1305</v>
      </c>
      <c r="W37" s="108"/>
    </row>
    <row r="38" spans="1:118" ht="15" customHeight="1" x14ac:dyDescent="0.25">
      <c r="A38" s="581">
        <v>42569</v>
      </c>
      <c r="B38" s="574" t="s">
        <v>569</v>
      </c>
      <c r="C38" s="485" t="s">
        <v>460</v>
      </c>
      <c r="D38" s="486" t="s">
        <v>380</v>
      </c>
      <c r="E38" s="345" t="s">
        <v>310</v>
      </c>
      <c r="F38" s="484" t="s">
        <v>336</v>
      </c>
      <c r="G38" s="484">
        <v>1</v>
      </c>
      <c r="H38" s="485"/>
      <c r="I38" s="485"/>
      <c r="J38" s="485"/>
      <c r="K38" s="485"/>
      <c r="L38" s="485"/>
      <c r="M38" s="485"/>
      <c r="N38" s="485"/>
      <c r="O38" s="485"/>
      <c r="P38" s="487">
        <f>IF(Table_Shelter[[#This Row],[Status]]="Open",IF(V38="NO",Table_Shelter[[#This Row],[HH per Shelter]]*(Table_Shelter[[#This Row],['# of Temporary Shelter Units Built]]+Table_Shelter[[#This Row],['# of Temporary Shelter Under  Construction]]+Table_Shelter[[#This Row],['# of Permanent House Under Construction]]),0),0)</f>
        <v>0</v>
      </c>
      <c r="Q38" s="487">
        <v>18</v>
      </c>
      <c r="R38" s="487">
        <v>18</v>
      </c>
      <c r="S38" s="488" t="str">
        <f>IFERROR(VLOOKUP(Table_Shelter[[#This Row],[CampName]],CL,2,0),"")</f>
        <v>MMR001CMP115</v>
      </c>
      <c r="T38" s="489" t="str">
        <f>IFERROR(VLOOKUP(Table_Shelter[[#This Row],[CampName]],CL,3,0),"")</f>
        <v>Open</v>
      </c>
      <c r="U38" s="490">
        <f>IFERROR(Table_Shelter[[#This Row],[HH Covered]]/VLOOKUP(Table_Shelter[[#This Row],[CampName]],CL,5,0),"")</f>
        <v>0</v>
      </c>
      <c r="V38" s="266" t="s">
        <v>1305</v>
      </c>
      <c r="W38" s="487"/>
    </row>
    <row r="39" spans="1:118" ht="15" customHeight="1" x14ac:dyDescent="0.25">
      <c r="A39" s="582">
        <v>42569</v>
      </c>
      <c r="B39" s="574" t="s">
        <v>569</v>
      </c>
      <c r="C39" s="485" t="s">
        <v>460</v>
      </c>
      <c r="D39" s="486" t="s">
        <v>380</v>
      </c>
      <c r="E39" s="345" t="s">
        <v>27</v>
      </c>
      <c r="F39" s="484" t="s">
        <v>364</v>
      </c>
      <c r="G39" s="484">
        <v>1</v>
      </c>
      <c r="H39" s="485"/>
      <c r="I39" s="485"/>
      <c r="J39" s="485"/>
      <c r="K39" s="485"/>
      <c r="L39" s="485"/>
      <c r="M39" s="485"/>
      <c r="N39" s="485"/>
      <c r="O39" s="485"/>
      <c r="P39" s="487">
        <f>IF(Table_Shelter[[#This Row],[Status]]="Open",IF(V39="NO",Table_Shelter[[#This Row],[HH per Shelter]]*(Table_Shelter[[#This Row],['# of Temporary Shelter Units Built]]+Table_Shelter[[#This Row],['# of Temporary Shelter Under  Construction]]+Table_Shelter[[#This Row],['# of Permanent House Under Construction]]),0),0)</f>
        <v>0</v>
      </c>
      <c r="Q39" s="487">
        <v>51</v>
      </c>
      <c r="R39" s="487">
        <v>51</v>
      </c>
      <c r="S39" s="488" t="str">
        <f>IFERROR(VLOOKUP(Table_Shelter[[#This Row],[CampName]],CL,2,0),"")</f>
        <v>MMR001CMP043</v>
      </c>
      <c r="T39" s="489" t="str">
        <f>IFERROR(VLOOKUP(Table_Shelter[[#This Row],[CampName]],CL,3,0),"")</f>
        <v>Open</v>
      </c>
      <c r="U39" s="490">
        <f>IFERROR(Table_Shelter[[#This Row],[HH Covered]]/VLOOKUP(Table_Shelter[[#This Row],[CampName]],CL,5,0),"")</f>
        <v>0</v>
      </c>
      <c r="V39" s="266" t="s">
        <v>1305</v>
      </c>
      <c r="W39" s="487"/>
    </row>
    <row r="40" spans="1:118" ht="15" customHeight="1" x14ac:dyDescent="0.25">
      <c r="A40" s="586">
        <v>42569</v>
      </c>
      <c r="B40" s="566" t="s">
        <v>569</v>
      </c>
      <c r="C40" s="566" t="s">
        <v>460</v>
      </c>
      <c r="D40" s="567" t="s">
        <v>380</v>
      </c>
      <c r="E40" s="568" t="s">
        <v>310</v>
      </c>
      <c r="F40" s="566" t="s">
        <v>1243</v>
      </c>
      <c r="G40" s="569">
        <v>1</v>
      </c>
      <c r="H40" s="570"/>
      <c r="I40" s="570"/>
      <c r="J40" s="570"/>
      <c r="K40" s="570"/>
      <c r="L40" s="571"/>
      <c r="M40" s="571"/>
      <c r="N40" s="571"/>
      <c r="O40" s="571"/>
      <c r="P40" s="572">
        <f>IF(Table_Shelter[[#This Row],[Status]]="Open",IF(V40="NO",Table_Shelter[[#This Row],[HH per Shelter]]*(Table_Shelter[[#This Row],['# of Temporary Shelter Units Built]]+Table_Shelter[[#This Row],['# of Temporary Shelter Under  Construction]]+Table_Shelter[[#This Row],['# of Permanent House Under Construction]]),0),0)</f>
        <v>0</v>
      </c>
      <c r="Q40" s="572">
        <v>32</v>
      </c>
      <c r="R40" s="572">
        <v>32</v>
      </c>
      <c r="S40" s="572" t="str">
        <f>IFERROR(VLOOKUP(Table_Shelter[[#This Row],[CampName]],CL,2,0),"")</f>
        <v>MMR001CMP120</v>
      </c>
      <c r="T40" s="572" t="str">
        <f>IFERROR(VLOOKUP(Table_Shelter[[#This Row],[CampName]],CL,3,0),"")</f>
        <v>Open</v>
      </c>
      <c r="U40" s="573">
        <f>IFERROR(Table_Shelter[[#This Row],[HH Covered]]/VLOOKUP(Table_Shelter[[#This Row],[CampName]],CL,5,0),"")</f>
        <v>0</v>
      </c>
      <c r="V40" s="265" t="s">
        <v>1305</v>
      </c>
      <c r="W40" s="572"/>
    </row>
    <row r="41" spans="1:118" ht="15" customHeight="1" x14ac:dyDescent="0.25">
      <c r="A41" s="647">
        <v>42569</v>
      </c>
      <c r="B41" s="173" t="s">
        <v>452</v>
      </c>
      <c r="C41" s="173" t="s">
        <v>460</v>
      </c>
      <c r="D41" s="176" t="s">
        <v>380</v>
      </c>
      <c r="E41" s="345" t="s">
        <v>5</v>
      </c>
      <c r="F41" s="173" t="s">
        <v>22</v>
      </c>
      <c r="G41" s="107">
        <v>1</v>
      </c>
      <c r="H41" s="109"/>
      <c r="I41" s="109"/>
      <c r="J41" s="109"/>
      <c r="K41" s="109"/>
      <c r="L41" s="175"/>
      <c r="M41" s="175"/>
      <c r="N41" s="175"/>
      <c r="O41" s="175"/>
      <c r="P41" s="108">
        <f>IF(Table_Shelter[[#This Row],[Status]]="Open",IF(V41="NO",Table_Shelter[[#This Row],[HH per Shelter]]*(Table_Shelter[[#This Row],['# of Temporary Shelter Units Built]]+Table_Shelter[[#This Row],['# of Temporary Shelter Under  Construction]]+Table_Shelter[[#This Row],['# of Permanent House Under Construction]]),0),0)</f>
        <v>0</v>
      </c>
      <c r="Q41" s="108">
        <v>20</v>
      </c>
      <c r="R41" s="108">
        <v>30</v>
      </c>
      <c r="S41" s="175" t="str">
        <f>IFERROR(VLOOKUP(Table_Shelter[[#This Row],[CampName]],CL,2,0),"")</f>
        <v>MMR001CMP047</v>
      </c>
      <c r="T41" s="175" t="str">
        <f>IFERROR(VLOOKUP(Table_Shelter[[#This Row],[CampName]],CL,3,0),"")</f>
        <v>Open</v>
      </c>
      <c r="U41" s="265">
        <f>IFERROR(Table_Shelter[[#This Row],[HH Covered]]/VLOOKUP(Table_Shelter[[#This Row],[CampName]],CL,5,0),"")</f>
        <v>0</v>
      </c>
      <c r="V41" s="265" t="s">
        <v>1305</v>
      </c>
      <c r="W41" s="175"/>
    </row>
    <row r="42" spans="1:118" ht="15" customHeight="1" x14ac:dyDescent="0.25">
      <c r="A42" s="582">
        <v>42569</v>
      </c>
      <c r="B42" s="574" t="s">
        <v>569</v>
      </c>
      <c r="C42" s="485" t="s">
        <v>460</v>
      </c>
      <c r="D42" s="486" t="s">
        <v>380</v>
      </c>
      <c r="E42" s="345" t="s">
        <v>310</v>
      </c>
      <c r="F42" s="484" t="s">
        <v>347</v>
      </c>
      <c r="G42" s="484">
        <v>1</v>
      </c>
      <c r="H42" s="485"/>
      <c r="I42" s="485"/>
      <c r="J42" s="485"/>
      <c r="K42" s="485"/>
      <c r="L42" s="485"/>
      <c r="M42" s="485"/>
      <c r="N42" s="485"/>
      <c r="O42" s="485"/>
      <c r="P42" s="487">
        <f>IF(Table_Shelter[[#This Row],[Status]]="Open",IF(V42="NO",Table_Shelter[[#This Row],[HH per Shelter]]*(Table_Shelter[[#This Row],['# of Temporary Shelter Units Built]]+Table_Shelter[[#This Row],['# of Temporary Shelter Under  Construction]]+Table_Shelter[[#This Row],['# of Permanent House Under Construction]]),0),0)</f>
        <v>0</v>
      </c>
      <c r="Q42" s="487">
        <v>5</v>
      </c>
      <c r="R42" s="487">
        <v>5</v>
      </c>
      <c r="S42" s="488" t="str">
        <f>IFERROR(VLOOKUP(Table_Shelter[[#This Row],[CampName]],CL,2,0),"")</f>
        <v>MMR001CMP041</v>
      </c>
      <c r="T42" s="489" t="str">
        <f>IFERROR(VLOOKUP(Table_Shelter[[#This Row],[CampName]],CL,3,0),"")</f>
        <v>Open</v>
      </c>
      <c r="U42" s="490">
        <f>IFERROR(Table_Shelter[[#This Row],[HH Covered]]/VLOOKUP(Table_Shelter[[#This Row],[CampName]],CL,5,0),"")</f>
        <v>0</v>
      </c>
      <c r="V42" s="266" t="s">
        <v>1305</v>
      </c>
      <c r="W42" s="487"/>
    </row>
    <row r="43" spans="1:118" ht="15" customHeight="1" x14ac:dyDescent="0.25">
      <c r="A43" s="586">
        <v>42569</v>
      </c>
      <c r="B43" s="566" t="s">
        <v>569</v>
      </c>
      <c r="C43" s="566" t="s">
        <v>460</v>
      </c>
      <c r="D43" s="567" t="s">
        <v>380</v>
      </c>
      <c r="E43" s="568" t="s">
        <v>310</v>
      </c>
      <c r="F43" s="566" t="s">
        <v>1245</v>
      </c>
      <c r="G43" s="569">
        <v>1</v>
      </c>
      <c r="H43" s="570"/>
      <c r="I43" s="570"/>
      <c r="J43" s="570"/>
      <c r="K43" s="570"/>
      <c r="L43" s="571"/>
      <c r="M43" s="571"/>
      <c r="N43" s="571"/>
      <c r="O43" s="571"/>
      <c r="P43" s="572">
        <f>IF(Table_Shelter[[#This Row],[Status]]="Open",IF(V43="NO",Table_Shelter[[#This Row],[HH per Shelter]]*(Table_Shelter[[#This Row],['# of Temporary Shelter Units Built]]+Table_Shelter[[#This Row],['# of Temporary Shelter Under  Construction]]+Table_Shelter[[#This Row],['# of Permanent House Under Construction]]),0),0)</f>
        <v>0</v>
      </c>
      <c r="Q43" s="572">
        <v>40</v>
      </c>
      <c r="R43" s="572">
        <v>40</v>
      </c>
      <c r="S43" s="572" t="str">
        <f>IFERROR(VLOOKUP(Table_Shelter[[#This Row],[CampName]],CL,2,0),"")</f>
        <v>MMR001CMP111</v>
      </c>
      <c r="T43" s="572" t="str">
        <f>IFERROR(VLOOKUP(Table_Shelter[[#This Row],[CampName]],CL,3,0),"")</f>
        <v>Open</v>
      </c>
      <c r="U43" s="573">
        <f>IFERROR(Table_Shelter[[#This Row],[HH Covered]]/VLOOKUP(Table_Shelter[[#This Row],[CampName]],CL,5,0),"")</f>
        <v>0</v>
      </c>
      <c r="V43" s="266" t="s">
        <v>1305</v>
      </c>
      <c r="W43" s="572"/>
    </row>
    <row r="44" spans="1:118" ht="15" customHeight="1" x14ac:dyDescent="0.25">
      <c r="A44" s="580">
        <v>42565</v>
      </c>
      <c r="B44" s="173" t="s">
        <v>452</v>
      </c>
      <c r="C44" s="173" t="s">
        <v>506</v>
      </c>
      <c r="D44" s="180" t="s">
        <v>380</v>
      </c>
      <c r="E44" s="345" t="s">
        <v>185</v>
      </c>
      <c r="F44" s="173" t="s">
        <v>192</v>
      </c>
      <c r="G44" s="107">
        <v>1</v>
      </c>
      <c r="H44" s="107"/>
      <c r="I44" s="107"/>
      <c r="J44" s="107">
        <v>42</v>
      </c>
      <c r="K44" s="107">
        <v>42</v>
      </c>
      <c r="L44" s="106"/>
      <c r="M44" s="173"/>
      <c r="N44" s="173"/>
      <c r="O44" s="173"/>
      <c r="P44" s="149">
        <f>IF(Table_Shelter[[#This Row],[Status]]="Open",IF(V44="NO",Table_Shelter[[#This Row],[HH per Shelter]]*(Table_Shelter[[#This Row],['# of Temporary Shelter Units Built]]+Table_Shelter[[#This Row],['# of Temporary Shelter Under  Construction]]+Table_Shelter[[#This Row],['# of Permanent House Under Construction]]),0),0)</f>
        <v>0</v>
      </c>
      <c r="Q44" s="106"/>
      <c r="R44" s="106"/>
      <c r="S44" s="108" t="str">
        <f>IFERROR(VLOOKUP(Table_Shelter[[#This Row],[CampName]],CL,2,0),"")</f>
        <v>MMR001CMP123</v>
      </c>
      <c r="T44" s="108" t="str">
        <f>IFERROR(VLOOKUP(Table_Shelter[[#This Row],[CampName]],CL,3,0),"")</f>
        <v>Open</v>
      </c>
      <c r="U44" s="265">
        <f>IFERROR(Table_Shelter[[#This Row],[HH Covered]]/VLOOKUP(Table_Shelter[[#This Row],[CampName]],CL,5,0),"")</f>
        <v>0</v>
      </c>
      <c r="V44" s="266" t="s">
        <v>1304</v>
      </c>
      <c r="W44" s="108" t="s">
        <v>1394</v>
      </c>
    </row>
    <row r="45" spans="1:118" ht="15" customHeight="1" x14ac:dyDescent="0.25">
      <c r="A45" s="582">
        <v>42502</v>
      </c>
      <c r="B45" s="484" t="s">
        <v>452</v>
      </c>
      <c r="C45" s="485" t="s">
        <v>460</v>
      </c>
      <c r="D45" s="486" t="s">
        <v>380</v>
      </c>
      <c r="E45" s="345" t="s">
        <v>237</v>
      </c>
      <c r="F45" s="484" t="s">
        <v>253</v>
      </c>
      <c r="G45" s="484">
        <v>1</v>
      </c>
      <c r="H45" s="485"/>
      <c r="I45" s="485"/>
      <c r="J45" s="485"/>
      <c r="K45" s="485"/>
      <c r="L45" s="485"/>
      <c r="M45" s="485"/>
      <c r="N45" s="485"/>
      <c r="O45" s="485"/>
      <c r="P45" s="487">
        <f>IF(Table_Shelter[[#This Row],[Status]]="Open",IF(V45="NO",Table_Shelter[[#This Row],[HH per Shelter]]*(Table_Shelter[[#This Row],['# of Temporary Shelter Units Built]]+Table_Shelter[[#This Row],['# of Temporary Shelter Under  Construction]]+Table_Shelter[[#This Row],['# of Permanent House Under Construction]]),0),0)</f>
        <v>0</v>
      </c>
      <c r="Q45" s="487">
        <v>10</v>
      </c>
      <c r="R45" s="487"/>
      <c r="S45" s="488" t="str">
        <f>IFERROR(VLOOKUP(Table_Shelter[[#This Row],[CampName]],CL,2,0),"")</f>
        <v>MMR001CMP018</v>
      </c>
      <c r="T45" s="489" t="str">
        <f>IFERROR(VLOOKUP(Table_Shelter[[#This Row],[CampName]],CL,3,0),"")</f>
        <v>Open</v>
      </c>
      <c r="U45" s="490">
        <f>IFERROR(Table_Shelter[[#This Row],[HH Covered]]/VLOOKUP(Table_Shelter[[#This Row],[CampName]],CL,5,0),"")</f>
        <v>0</v>
      </c>
      <c r="V45" s="266" t="s">
        <v>1305</v>
      </c>
      <c r="W45" s="487"/>
    </row>
    <row r="46" spans="1:118" ht="15" customHeight="1" x14ac:dyDescent="0.25">
      <c r="A46" s="582">
        <v>42502</v>
      </c>
      <c r="B46" s="484" t="s">
        <v>452</v>
      </c>
      <c r="C46" s="485" t="s">
        <v>460</v>
      </c>
      <c r="D46" s="486" t="s">
        <v>380</v>
      </c>
      <c r="E46" s="345" t="s">
        <v>300</v>
      </c>
      <c r="F46" s="484" t="s">
        <v>1260</v>
      </c>
      <c r="G46" s="484">
        <v>1</v>
      </c>
      <c r="H46" s="485"/>
      <c r="I46" s="485"/>
      <c r="J46" s="485"/>
      <c r="K46" s="485"/>
      <c r="L46" s="485"/>
      <c r="M46" s="485"/>
      <c r="N46" s="485"/>
      <c r="O46" s="485"/>
      <c r="P46" s="487">
        <f>IF(Table_Shelter[[#This Row],[Status]]="Open",IF(V46="NO",Table_Shelter[[#This Row],[HH per Shelter]]*(Table_Shelter[[#This Row],['# of Temporary Shelter Units Built]]+Table_Shelter[[#This Row],['# of Temporary Shelter Under  Construction]]+Table_Shelter[[#This Row],['# of Permanent House Under Construction]]),0),0)</f>
        <v>0</v>
      </c>
      <c r="Q46" s="487">
        <v>2</v>
      </c>
      <c r="R46" s="487"/>
      <c r="S46" s="488" t="str">
        <f>IFERROR(VLOOKUP(Table_Shelter[[#This Row],[CampName]],CL,2,0),"")</f>
        <v>MMR001CMP234</v>
      </c>
      <c r="T46" s="489" t="str">
        <f>IFERROR(VLOOKUP(Table_Shelter[[#This Row],[CampName]],CL,3,0),"")</f>
        <v>Open</v>
      </c>
      <c r="U46" s="490">
        <f>IFERROR(Table_Shelter[[#This Row],[HH Covered]]/VLOOKUP(Table_Shelter[[#This Row],[CampName]],CL,5,0),"")</f>
        <v>0</v>
      </c>
      <c r="V46" s="266" t="s">
        <v>1305</v>
      </c>
      <c r="W46" s="487"/>
    </row>
    <row r="47" spans="1:118" s="147" customFormat="1" ht="15" customHeight="1" x14ac:dyDescent="0.25">
      <c r="A47" s="582">
        <v>42502</v>
      </c>
      <c r="B47" s="484" t="s">
        <v>452</v>
      </c>
      <c r="C47" s="485" t="s">
        <v>460</v>
      </c>
      <c r="D47" s="486" t="s">
        <v>380</v>
      </c>
      <c r="E47" s="345" t="s">
        <v>310</v>
      </c>
      <c r="F47" s="484" t="s">
        <v>326</v>
      </c>
      <c r="G47" s="484">
        <v>1</v>
      </c>
      <c r="H47" s="485"/>
      <c r="I47" s="485"/>
      <c r="J47" s="485"/>
      <c r="K47" s="485"/>
      <c r="L47" s="485"/>
      <c r="M47" s="485"/>
      <c r="N47" s="485"/>
      <c r="O47" s="485"/>
      <c r="P47" s="487">
        <f>IF(Table_Shelter[[#This Row],[Status]]="Open",IF(V47="NO",Table_Shelter[[#This Row],[HH per Shelter]]*(Table_Shelter[[#This Row],['# of Temporary Shelter Units Built]]+Table_Shelter[[#This Row],['# of Temporary Shelter Under  Construction]]+Table_Shelter[[#This Row],['# of Permanent House Under Construction]]),0),0)</f>
        <v>0</v>
      </c>
      <c r="Q47" s="487">
        <v>30</v>
      </c>
      <c r="R47" s="487"/>
      <c r="S47" s="488" t="str">
        <f>IFERROR(VLOOKUP(Table_Shelter[[#This Row],[CampName]],CL,2,0),"")</f>
        <v>MMR001CMP039</v>
      </c>
      <c r="T47" s="489" t="str">
        <f>IFERROR(VLOOKUP(Table_Shelter[[#This Row],[CampName]],CL,3,0),"")</f>
        <v>Open</v>
      </c>
      <c r="U47" s="490">
        <f>IFERROR(Table_Shelter[[#This Row],[HH Covered]]/VLOOKUP(Table_Shelter[[#This Row],[CampName]],CL,5,0),"")</f>
        <v>0</v>
      </c>
      <c r="V47" s="266" t="s">
        <v>1305</v>
      </c>
      <c r="W47" s="487"/>
      <c r="X47" s="444"/>
      <c r="Y47" s="444"/>
      <c r="Z47" s="444"/>
      <c r="AA47" s="444"/>
      <c r="AB47" s="444"/>
      <c r="AC47" s="444"/>
      <c r="AD47" s="444"/>
      <c r="AE47" s="444"/>
      <c r="AF47" s="444"/>
      <c r="AG47" s="444"/>
      <c r="AH47" s="444"/>
      <c r="AI47" s="444"/>
      <c r="AJ47" s="444"/>
      <c r="AK47" s="444"/>
      <c r="AL47" s="444"/>
      <c r="AM47" s="444"/>
      <c r="AN47" s="444"/>
      <c r="AO47" s="444"/>
      <c r="AP47" s="444"/>
      <c r="AQ47" s="444"/>
      <c r="AR47" s="444"/>
      <c r="AS47" s="444"/>
      <c r="AT47" s="444"/>
      <c r="AU47" s="444"/>
      <c r="AV47" s="444"/>
      <c r="AW47" s="444"/>
      <c r="AX47" s="444"/>
      <c r="AY47" s="444"/>
      <c r="AZ47" s="444"/>
      <c r="BA47" s="444"/>
      <c r="BB47" s="444"/>
      <c r="BC47" s="444"/>
      <c r="BD47" s="444"/>
      <c r="BE47" s="444"/>
      <c r="BF47" s="444"/>
      <c r="BG47" s="444"/>
      <c r="BH47" s="444"/>
      <c r="BI47" s="444"/>
      <c r="BJ47" s="444"/>
      <c r="BK47" s="444"/>
      <c r="BL47" s="444"/>
      <c r="BM47" s="444"/>
      <c r="BN47" s="444"/>
      <c r="BO47" s="444"/>
      <c r="BP47" s="444"/>
      <c r="BQ47" s="444"/>
      <c r="BR47" s="444"/>
      <c r="BS47" s="444"/>
      <c r="BT47" s="444"/>
      <c r="BU47" s="444"/>
      <c r="BV47" s="444"/>
      <c r="BW47" s="444"/>
      <c r="BX47" s="444"/>
      <c r="BY47" s="444"/>
      <c r="BZ47" s="444"/>
      <c r="CA47" s="444"/>
      <c r="CB47" s="444"/>
      <c r="CC47" s="444"/>
      <c r="CD47" s="444"/>
      <c r="CE47" s="444"/>
      <c r="CF47" s="44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ht="15" customHeight="1" x14ac:dyDescent="0.25">
      <c r="A48" s="582">
        <v>42502</v>
      </c>
      <c r="B48" s="484" t="s">
        <v>452</v>
      </c>
      <c r="C48" s="485" t="s">
        <v>460</v>
      </c>
      <c r="D48" s="486" t="s">
        <v>380</v>
      </c>
      <c r="E48" s="491" t="s">
        <v>151</v>
      </c>
      <c r="F48" s="484" t="s">
        <v>885</v>
      </c>
      <c r="G48" s="484">
        <v>1</v>
      </c>
      <c r="H48" s="485"/>
      <c r="I48" s="485"/>
      <c r="J48" s="485">
        <v>85</v>
      </c>
      <c r="K48" s="485">
        <v>85</v>
      </c>
      <c r="L48" s="485"/>
      <c r="M48" s="485"/>
      <c r="N48" s="485"/>
      <c r="O48" s="485"/>
      <c r="P48" s="487">
        <f>IF(Table_Shelter[[#This Row],[Status]]="Open",IF(V48="NO",Table_Shelter[[#This Row],[HH per Shelter]]*(Table_Shelter[[#This Row],['# of Temporary Shelter Units Built]]+Table_Shelter[[#This Row],['# of Temporary Shelter Under  Construction]]+Table_Shelter[[#This Row],['# of Permanent House Under Construction]]),0),0)</f>
        <v>85</v>
      </c>
      <c r="Q48" s="487"/>
      <c r="R48" s="487"/>
      <c r="S48" s="488" t="str">
        <f>IFERROR(VLOOKUP(Table_Shelter[[#This Row],[CampName]],CL,2,0),"")</f>
        <v>MMR001CMP218</v>
      </c>
      <c r="T48" s="489" t="str">
        <f>IFERROR(VLOOKUP(Table_Shelter[[#This Row],[CampName]],CL,3,0),"")</f>
        <v>Open</v>
      </c>
      <c r="U48" s="490">
        <f>IFERROR(Table_Shelter[[#This Row],[HH Covered]]/VLOOKUP(Table_Shelter[[#This Row],[CampName]],CL,5,0),"")</f>
        <v>0.21850899742930591</v>
      </c>
      <c r="V48" s="584" t="s">
        <v>1305</v>
      </c>
      <c r="W48" s="487"/>
    </row>
    <row r="49" spans="1:23" ht="15" customHeight="1" x14ac:dyDescent="0.25">
      <c r="A49" s="582">
        <v>42502</v>
      </c>
      <c r="B49" s="484" t="s">
        <v>452</v>
      </c>
      <c r="C49" s="485" t="s">
        <v>460</v>
      </c>
      <c r="D49" s="486" t="s">
        <v>380</v>
      </c>
      <c r="E49" s="345" t="s">
        <v>310</v>
      </c>
      <c r="F49" s="484" t="s">
        <v>342</v>
      </c>
      <c r="G49" s="484">
        <v>1</v>
      </c>
      <c r="H49" s="485"/>
      <c r="I49" s="485"/>
      <c r="J49" s="485"/>
      <c r="K49" s="485"/>
      <c r="L49" s="485"/>
      <c r="M49" s="485"/>
      <c r="N49" s="485"/>
      <c r="O49" s="485"/>
      <c r="P49" s="487">
        <f>IF(Table_Shelter[[#This Row],[Status]]="Open",IF(V49="NO",Table_Shelter[[#This Row],[HH per Shelter]]*(Table_Shelter[[#This Row],['# of Temporary Shelter Units Built]]+Table_Shelter[[#This Row],['# of Temporary Shelter Under  Construction]]+Table_Shelter[[#This Row],['# of Permanent House Under Construction]]),0),0)</f>
        <v>0</v>
      </c>
      <c r="Q49" s="487">
        <v>20</v>
      </c>
      <c r="R49" s="487"/>
      <c r="S49" s="488" t="str">
        <f>IFERROR(VLOOKUP(Table_Shelter[[#This Row],[CampName]],CL,2,0),"")</f>
        <v>MMR001CMP025</v>
      </c>
      <c r="T49" s="489" t="str">
        <f>IFERROR(VLOOKUP(Table_Shelter[[#This Row],[CampName]],CL,3,0),"")</f>
        <v>Open</v>
      </c>
      <c r="U49" s="490">
        <f>IFERROR(Table_Shelter[[#This Row],[HH Covered]]/VLOOKUP(Table_Shelter[[#This Row],[CampName]],CL,5,0),"")</f>
        <v>0</v>
      </c>
      <c r="V49" s="266" t="s">
        <v>1305</v>
      </c>
      <c r="W49" s="487"/>
    </row>
    <row r="50" spans="1:23" ht="15" customHeight="1" x14ac:dyDescent="0.25">
      <c r="A50" s="582">
        <v>42502</v>
      </c>
      <c r="B50" s="484" t="s">
        <v>452</v>
      </c>
      <c r="C50" s="485" t="s">
        <v>460</v>
      </c>
      <c r="D50" s="486" t="s">
        <v>380</v>
      </c>
      <c r="E50" s="345" t="s">
        <v>237</v>
      </c>
      <c r="F50" s="484" t="s">
        <v>238</v>
      </c>
      <c r="G50" s="484">
        <v>1</v>
      </c>
      <c r="H50" s="485"/>
      <c r="I50" s="485"/>
      <c r="J50" s="485"/>
      <c r="K50" s="485"/>
      <c r="L50" s="485"/>
      <c r="M50" s="485"/>
      <c r="N50" s="485"/>
      <c r="O50" s="485"/>
      <c r="P50" s="487">
        <f>IF(Table_Shelter[[#This Row],[Status]]="Open",IF(V50="NO",Table_Shelter[[#This Row],[HH per Shelter]]*(Table_Shelter[[#This Row],['# of Temporary Shelter Units Built]]+Table_Shelter[[#This Row],['# of Temporary Shelter Under  Construction]]+Table_Shelter[[#This Row],['# of Permanent House Under Construction]]),0),0)</f>
        <v>0</v>
      </c>
      <c r="Q50" s="487">
        <v>10</v>
      </c>
      <c r="R50" s="487"/>
      <c r="S50" s="488" t="str">
        <f>IFERROR(VLOOKUP(Table_Shelter[[#This Row],[CampName]],CL,2,0),"")</f>
        <v>MMR001CMP001</v>
      </c>
      <c r="T50" s="489" t="str">
        <f>IFERROR(VLOOKUP(Table_Shelter[[#This Row],[CampName]],CL,3,0),"")</f>
        <v>Open</v>
      </c>
      <c r="U50" s="490">
        <f>IFERROR(Table_Shelter[[#This Row],[HH Covered]]/VLOOKUP(Table_Shelter[[#This Row],[CampName]],CL,5,0),"")</f>
        <v>0</v>
      </c>
      <c r="V50" s="266" t="s">
        <v>1305</v>
      </c>
      <c r="W50" s="487"/>
    </row>
    <row r="51" spans="1:23" ht="15" customHeight="1" x14ac:dyDescent="0.25">
      <c r="A51" s="582">
        <v>42502</v>
      </c>
      <c r="B51" s="484" t="s">
        <v>452</v>
      </c>
      <c r="C51" s="485" t="s">
        <v>460</v>
      </c>
      <c r="D51" s="486" t="s">
        <v>380</v>
      </c>
      <c r="E51" s="345" t="s">
        <v>237</v>
      </c>
      <c r="F51" s="484" t="s">
        <v>251</v>
      </c>
      <c r="G51" s="484">
        <v>1</v>
      </c>
      <c r="H51" s="485"/>
      <c r="I51" s="485"/>
      <c r="J51" s="485"/>
      <c r="K51" s="485"/>
      <c r="L51" s="485"/>
      <c r="M51" s="485"/>
      <c r="N51" s="485"/>
      <c r="O51" s="485"/>
      <c r="P51" s="487">
        <f>IF(Table_Shelter[[#This Row],[Status]]="Open",IF(V51="NO",Table_Shelter[[#This Row],[HH per Shelter]]*(Table_Shelter[[#This Row],['# of Temporary Shelter Units Built]]+Table_Shelter[[#This Row],['# of Temporary Shelter Under  Construction]]+Table_Shelter[[#This Row],['# of Permanent House Under Construction]]),0),0)</f>
        <v>0</v>
      </c>
      <c r="Q51" s="487">
        <v>5</v>
      </c>
      <c r="R51" s="487"/>
      <c r="S51" s="488" t="str">
        <f>IFERROR(VLOOKUP(Table_Shelter[[#This Row],[CampName]],CL,2,0),"")</f>
        <v>MMR001CMP003</v>
      </c>
      <c r="T51" s="489" t="str">
        <f>IFERROR(VLOOKUP(Table_Shelter[[#This Row],[CampName]],CL,3,0),"")</f>
        <v>Open</v>
      </c>
      <c r="U51" s="490">
        <f>IFERROR(Table_Shelter[[#This Row],[HH Covered]]/VLOOKUP(Table_Shelter[[#This Row],[CampName]],CL,5,0),"")</f>
        <v>0</v>
      </c>
      <c r="V51" s="266" t="s">
        <v>1305</v>
      </c>
      <c r="W51" s="487"/>
    </row>
    <row r="52" spans="1:23" ht="15" customHeight="1" x14ac:dyDescent="0.25">
      <c r="A52" s="582">
        <v>42502</v>
      </c>
      <c r="B52" s="484" t="s">
        <v>452</v>
      </c>
      <c r="C52" s="485" t="s">
        <v>460</v>
      </c>
      <c r="D52" s="486" t="s">
        <v>380</v>
      </c>
      <c r="E52" s="345" t="s">
        <v>237</v>
      </c>
      <c r="F52" s="484" t="s">
        <v>275</v>
      </c>
      <c r="G52" s="484">
        <v>1</v>
      </c>
      <c r="H52" s="485"/>
      <c r="I52" s="485"/>
      <c r="J52" s="485"/>
      <c r="K52" s="485"/>
      <c r="L52" s="485"/>
      <c r="M52" s="485"/>
      <c r="N52" s="485"/>
      <c r="O52" s="485"/>
      <c r="P52" s="487">
        <f>IF(Table_Shelter[[#This Row],[Status]]="Open",IF(V52="NO",Table_Shelter[[#This Row],[HH per Shelter]]*(Table_Shelter[[#This Row],['# of Temporary Shelter Units Built]]+Table_Shelter[[#This Row],['# of Temporary Shelter Under  Construction]]+Table_Shelter[[#This Row],['# of Permanent House Under Construction]]),0),0)</f>
        <v>0</v>
      </c>
      <c r="Q52" s="487">
        <v>3</v>
      </c>
      <c r="R52" s="487"/>
      <c r="S52" s="488" t="str">
        <f>IFERROR(VLOOKUP(Table_Shelter[[#This Row],[CampName]],CL,2,0),"")</f>
        <v>MMR001CMP005</v>
      </c>
      <c r="T52" s="489" t="str">
        <f>IFERROR(VLOOKUP(Table_Shelter[[#This Row],[CampName]],CL,3,0),"")</f>
        <v>Open</v>
      </c>
      <c r="U52" s="490">
        <f>IFERROR(Table_Shelter[[#This Row],[HH Covered]]/VLOOKUP(Table_Shelter[[#This Row],[CampName]],CL,5,0),"")</f>
        <v>0</v>
      </c>
      <c r="V52" s="266" t="s">
        <v>1305</v>
      </c>
      <c r="W52" s="487"/>
    </row>
    <row r="53" spans="1:23" ht="15" customHeight="1" x14ac:dyDescent="0.25">
      <c r="A53" s="582">
        <v>42502</v>
      </c>
      <c r="B53" s="484" t="s">
        <v>452</v>
      </c>
      <c r="C53" s="485" t="s">
        <v>460</v>
      </c>
      <c r="D53" s="486" t="s">
        <v>380</v>
      </c>
      <c r="E53" s="345" t="s">
        <v>310</v>
      </c>
      <c r="F53" s="484" t="s">
        <v>1245</v>
      </c>
      <c r="G53" s="484">
        <v>1</v>
      </c>
      <c r="H53" s="485"/>
      <c r="I53" s="485"/>
      <c r="J53" s="485"/>
      <c r="K53" s="485"/>
      <c r="L53" s="485"/>
      <c r="M53" s="485"/>
      <c r="N53" s="485"/>
      <c r="O53" s="485"/>
      <c r="P53" s="487">
        <f>IF(Table_Shelter[[#This Row],[Status]]="Open",IF(V53="NO",Table_Shelter[[#This Row],[HH per Shelter]]*(Table_Shelter[[#This Row],['# of Temporary Shelter Units Built]]+Table_Shelter[[#This Row],['# of Temporary Shelter Under  Construction]]+Table_Shelter[[#This Row],['# of Permanent House Under Construction]]),0),0)</f>
        <v>0</v>
      </c>
      <c r="Q53" s="487">
        <v>40</v>
      </c>
      <c r="R53" s="487"/>
      <c r="S53" s="488" t="str">
        <f>IFERROR(VLOOKUP(Table_Shelter[[#This Row],[CampName]],CL,2,0),"")</f>
        <v>MMR001CMP111</v>
      </c>
      <c r="T53" s="489" t="str">
        <f>IFERROR(VLOOKUP(Table_Shelter[[#This Row],[CampName]],CL,3,0),"")</f>
        <v>Open</v>
      </c>
      <c r="U53" s="490">
        <f>IFERROR(Table_Shelter[[#This Row],[HH Covered]]/VLOOKUP(Table_Shelter[[#This Row],[CampName]],CL,5,0),"")</f>
        <v>0</v>
      </c>
      <c r="V53" s="266" t="s">
        <v>1305</v>
      </c>
      <c r="W53" s="487"/>
    </row>
    <row r="54" spans="1:23" ht="15" customHeight="1" x14ac:dyDescent="0.25">
      <c r="A54" s="811">
        <v>42500</v>
      </c>
      <c r="B54" s="173" t="s">
        <v>453</v>
      </c>
      <c r="C54" s="173" t="s">
        <v>453</v>
      </c>
      <c r="D54" s="180" t="s">
        <v>380</v>
      </c>
      <c r="E54" s="345" t="s">
        <v>185</v>
      </c>
      <c r="F54" s="173" t="s">
        <v>215</v>
      </c>
      <c r="G54" s="107">
        <v>1</v>
      </c>
      <c r="H54" s="109"/>
      <c r="I54" s="109"/>
      <c r="J54" s="109">
        <v>170</v>
      </c>
      <c r="K54" s="109">
        <v>170</v>
      </c>
      <c r="L54" s="175"/>
      <c r="M54" s="175"/>
      <c r="N54" s="175"/>
      <c r="O54" s="175"/>
      <c r="P54" s="108">
        <f>IF(Table_Shelter[[#This Row],[Status]]="Open",IF(V54="NO",Table_Shelter[[#This Row],[HH per Shelter]]*(Table_Shelter[[#This Row],['# of Temporary Shelter Units Built]]+Table_Shelter[[#This Row],['# of Temporary Shelter Under  Construction]]+Table_Shelter[[#This Row],['# of Permanent House Under Construction]]),0),0)</f>
        <v>170</v>
      </c>
      <c r="Q54" s="108"/>
      <c r="R54" s="108"/>
      <c r="S54" s="108" t="str">
        <f>IFERROR(VLOOKUP(Table_Shelter[[#This Row],[CampName]],CL,2,0),"")</f>
        <v>MMR001CMP131</v>
      </c>
      <c r="T54" s="108" t="str">
        <f>IFERROR(VLOOKUP(Table_Shelter[[#This Row],[CampName]],CL,3,0),"")</f>
        <v>Open</v>
      </c>
      <c r="U54" s="265">
        <f>IFERROR(Table_Shelter[[#This Row],[HH Covered]]/VLOOKUP(Table_Shelter[[#This Row],[CampName]],CL,5,0),"")</f>
        <v>0.47887323943661969</v>
      </c>
      <c r="V54" s="266" t="s">
        <v>1305</v>
      </c>
      <c r="W54" s="108"/>
    </row>
    <row r="55" spans="1:23" ht="15" customHeight="1" x14ac:dyDescent="0.25">
      <c r="A55" s="811">
        <v>42500</v>
      </c>
      <c r="B55" s="173" t="s">
        <v>453</v>
      </c>
      <c r="C55" s="173" t="s">
        <v>506</v>
      </c>
      <c r="D55" s="180" t="s">
        <v>380</v>
      </c>
      <c r="E55" s="345" t="s">
        <v>310</v>
      </c>
      <c r="F55" s="173" t="s">
        <v>355</v>
      </c>
      <c r="G55" s="107">
        <v>1</v>
      </c>
      <c r="H55" s="109"/>
      <c r="I55" s="109"/>
      <c r="J55" s="109">
        <v>60</v>
      </c>
      <c r="K55" s="109">
        <v>65</v>
      </c>
      <c r="L55" s="175"/>
      <c r="M55" s="175"/>
      <c r="N55" s="175"/>
      <c r="O55" s="175"/>
      <c r="P55" s="108">
        <f>IF(Table_Shelter[[#This Row],[Status]]="Open",IF(V55="NO",Table_Shelter[[#This Row],[HH per Shelter]]*(Table_Shelter[[#This Row],['# of Temporary Shelter Units Built]]+Table_Shelter[[#This Row],['# of Temporary Shelter Under  Construction]]+Table_Shelter[[#This Row],['# of Permanent House Under Construction]]),0),0)</f>
        <v>65</v>
      </c>
      <c r="Q55" s="108"/>
      <c r="R55" s="108"/>
      <c r="S55" s="108" t="str">
        <f>IFERROR(VLOOKUP(Table_Shelter[[#This Row],[CampName]],CL,2,0),"")</f>
        <v>MMR001CMP160</v>
      </c>
      <c r="T55" s="108" t="str">
        <f>IFERROR(VLOOKUP(Table_Shelter[[#This Row],[CampName]],CL,3,0),"")</f>
        <v>Open</v>
      </c>
      <c r="U55" s="265">
        <f>IFERROR(Table_Shelter[[#This Row],[HH Covered]]/VLOOKUP(Table_Shelter[[#This Row],[CampName]],CL,5,0),"")</f>
        <v>0.66326530612244894</v>
      </c>
      <c r="V55" s="266" t="s">
        <v>1305</v>
      </c>
      <c r="W55" s="108"/>
    </row>
    <row r="56" spans="1:23" ht="16.149999999999999" customHeight="1" x14ac:dyDescent="0.25">
      <c r="A56" s="580">
        <v>42422</v>
      </c>
      <c r="B56" s="173" t="s">
        <v>453</v>
      </c>
      <c r="C56" s="173"/>
      <c r="D56" s="176" t="s">
        <v>380</v>
      </c>
      <c r="E56" s="345" t="s">
        <v>185</v>
      </c>
      <c r="F56" s="173" t="s">
        <v>196</v>
      </c>
      <c r="G56" s="107">
        <v>1</v>
      </c>
      <c r="H56" s="107"/>
      <c r="I56" s="107"/>
      <c r="J56" s="107">
        <v>118</v>
      </c>
      <c r="K56" s="107">
        <v>118</v>
      </c>
      <c r="L56" s="173"/>
      <c r="M56" s="173"/>
      <c r="N56" s="173"/>
      <c r="O56" s="173"/>
      <c r="P56" s="149">
        <f>IF(Table_Shelter[[#This Row],[Status]]="Open",IF(V56="NO",Table_Shelter[[#This Row],[HH per Shelter]]*(Table_Shelter[[#This Row],['# of Temporary Shelter Units Built]]+Table_Shelter[[#This Row],['# of Temporary Shelter Under  Construction]]+Table_Shelter[[#This Row],['# of Permanent House Under Construction]]),0),0)</f>
        <v>0</v>
      </c>
      <c r="Q56" s="106"/>
      <c r="R56" s="106"/>
      <c r="S56" s="174" t="str">
        <f>IFERROR(VLOOKUP(Table_Shelter[[#This Row],[CampName]],CL,2,0),"")</f>
        <v>MMR001CMP121</v>
      </c>
      <c r="T56" s="174" t="str">
        <f>IFERROR(VLOOKUP(Table_Shelter[[#This Row],[CampName]],CL,3,0),"")</f>
        <v>Open</v>
      </c>
      <c r="U56" s="265">
        <f>IFERROR(Table_Shelter[[#This Row],[HH Covered]]/VLOOKUP(Table_Shelter[[#This Row],[CampName]],CL,5,0),"")</f>
        <v>0</v>
      </c>
      <c r="V56" s="265" t="s">
        <v>1304</v>
      </c>
      <c r="W56" s="175"/>
    </row>
    <row r="57" spans="1:23" ht="15" customHeight="1" x14ac:dyDescent="0.25">
      <c r="A57" s="580">
        <v>42422</v>
      </c>
      <c r="B57" s="173" t="s">
        <v>453</v>
      </c>
      <c r="C57" s="173"/>
      <c r="D57" s="176" t="s">
        <v>380</v>
      </c>
      <c r="E57" s="345" t="s">
        <v>185</v>
      </c>
      <c r="F57" s="173" t="s">
        <v>215</v>
      </c>
      <c r="G57" s="107">
        <v>1</v>
      </c>
      <c r="H57" s="109"/>
      <c r="I57" s="109"/>
      <c r="J57" s="109">
        <v>170</v>
      </c>
      <c r="K57" s="109">
        <v>170</v>
      </c>
      <c r="L57" s="175"/>
      <c r="M57" s="175"/>
      <c r="N57" s="175"/>
      <c r="O57" s="175"/>
      <c r="P57" s="108">
        <f>IF(Table_Shelter[[#This Row],[Status]]="Open",IF(V57="NO",Table_Shelter[[#This Row],[HH per Shelter]]*(Table_Shelter[[#This Row],['# of Temporary Shelter Units Built]]+Table_Shelter[[#This Row],['# of Temporary Shelter Under  Construction]]+Table_Shelter[[#This Row],['# of Permanent House Under Construction]]),0),0)</f>
        <v>0</v>
      </c>
      <c r="Q57" s="108"/>
      <c r="R57" s="175"/>
      <c r="S57" s="175" t="str">
        <f>IFERROR(VLOOKUP(Table_Shelter[[#This Row],[CampName]],CL,2,0),"")</f>
        <v>MMR001CMP131</v>
      </c>
      <c r="T57" s="175" t="str">
        <f>IFERROR(VLOOKUP(Table_Shelter[[#This Row],[CampName]],CL,3,0),"")</f>
        <v>Open</v>
      </c>
      <c r="U57" s="265">
        <f>IFERROR(Table_Shelter[[#This Row],[HH Covered]]/VLOOKUP(Table_Shelter[[#This Row],[CampName]],CL,5,0),"")</f>
        <v>0</v>
      </c>
      <c r="V57" s="265" t="s">
        <v>1304</v>
      </c>
      <c r="W57" s="175"/>
    </row>
    <row r="58" spans="1:23" ht="15" customHeight="1" x14ac:dyDescent="0.25">
      <c r="A58" s="580">
        <v>42422</v>
      </c>
      <c r="B58" s="173" t="s">
        <v>453</v>
      </c>
      <c r="C58" s="173"/>
      <c r="D58" s="176" t="s">
        <v>380</v>
      </c>
      <c r="E58" s="345" t="s">
        <v>185</v>
      </c>
      <c r="F58" s="173" t="s">
        <v>219</v>
      </c>
      <c r="G58" s="107">
        <v>1</v>
      </c>
      <c r="H58" s="109"/>
      <c r="I58" s="109"/>
      <c r="J58" s="109">
        <v>254</v>
      </c>
      <c r="K58" s="109">
        <v>254</v>
      </c>
      <c r="L58" s="175"/>
      <c r="M58" s="175"/>
      <c r="N58" s="175"/>
      <c r="O58" s="175"/>
      <c r="P58" s="108">
        <f>IF(Table_Shelter[[#This Row],[Status]]="Open",IF(V58="NO",Table_Shelter[[#This Row],[HH per Shelter]]*(Table_Shelter[[#This Row],['# of Temporary Shelter Units Built]]+Table_Shelter[[#This Row],['# of Temporary Shelter Under  Construction]]+Table_Shelter[[#This Row],['# of Permanent House Under Construction]]),0),0)</f>
        <v>0</v>
      </c>
      <c r="Q58" s="108"/>
      <c r="R58" s="175"/>
      <c r="S58" s="175" t="str">
        <f>IFERROR(VLOOKUP(Table_Shelter[[#This Row],[CampName]],CL,2,0),"")</f>
        <v>MMR001CMP126</v>
      </c>
      <c r="T58" s="175" t="str">
        <f>IFERROR(VLOOKUP(Table_Shelter[[#This Row],[CampName]],CL,3,0),"")</f>
        <v>Open</v>
      </c>
      <c r="U58" s="265">
        <f>IFERROR(Table_Shelter[[#This Row],[HH Covered]]/VLOOKUP(Table_Shelter[[#This Row],[CampName]],CL,5,0),"")</f>
        <v>0</v>
      </c>
      <c r="V58" s="265" t="s">
        <v>1304</v>
      </c>
      <c r="W58" s="175"/>
    </row>
    <row r="59" spans="1:23" ht="15" customHeight="1" x14ac:dyDescent="0.25">
      <c r="A59" s="580">
        <v>42422</v>
      </c>
      <c r="B59" s="173" t="s">
        <v>453</v>
      </c>
      <c r="C59" s="173"/>
      <c r="D59" s="176" t="s">
        <v>380</v>
      </c>
      <c r="E59" s="345" t="s">
        <v>310</v>
      </c>
      <c r="F59" s="173" t="s">
        <v>355</v>
      </c>
      <c r="G59" s="107">
        <v>1</v>
      </c>
      <c r="H59" s="109"/>
      <c r="I59" s="109"/>
      <c r="J59" s="109">
        <v>66</v>
      </c>
      <c r="K59" s="109">
        <v>66</v>
      </c>
      <c r="L59" s="175"/>
      <c r="M59" s="175"/>
      <c r="N59" s="175"/>
      <c r="O59" s="175"/>
      <c r="P59" s="108">
        <f>IF(Table_Shelter[[#This Row],[Status]]="Open",IF(V59="NO",Table_Shelter[[#This Row],[HH per Shelter]]*(Table_Shelter[[#This Row],['# of Temporary Shelter Units Built]]+Table_Shelter[[#This Row],['# of Temporary Shelter Under  Construction]]+Table_Shelter[[#This Row],['# of Permanent House Under Construction]]),0),0)</f>
        <v>0</v>
      </c>
      <c r="Q59" s="108"/>
      <c r="R59" s="175"/>
      <c r="S59" s="175" t="str">
        <f>IFERROR(VLOOKUP(Table_Shelter[[#This Row],[CampName]],CL,2,0),"")</f>
        <v>MMR001CMP160</v>
      </c>
      <c r="T59" s="175" t="str">
        <f>IFERROR(VLOOKUP(Table_Shelter[[#This Row],[CampName]],CL,3,0),"")</f>
        <v>Open</v>
      </c>
      <c r="U59" s="265">
        <f>IFERROR(Table_Shelter[[#This Row],[HH Covered]]/VLOOKUP(Table_Shelter[[#This Row],[CampName]],CL,5,0),"")</f>
        <v>0</v>
      </c>
      <c r="V59" s="265" t="s">
        <v>1304</v>
      </c>
      <c r="W59" s="175"/>
    </row>
    <row r="60" spans="1:23" ht="15" customHeight="1" x14ac:dyDescent="0.25">
      <c r="A60" s="580">
        <v>42422</v>
      </c>
      <c r="B60" s="173" t="s">
        <v>848</v>
      </c>
      <c r="C60" s="173"/>
      <c r="D60" s="173" t="s">
        <v>380</v>
      </c>
      <c r="E60" s="345" t="s">
        <v>173</v>
      </c>
      <c r="F60" s="173" t="s">
        <v>1277</v>
      </c>
      <c r="G60" s="107">
        <v>1</v>
      </c>
      <c r="H60" s="107"/>
      <c r="I60" s="107"/>
      <c r="J60" s="107">
        <v>40</v>
      </c>
      <c r="K60" s="107">
        <v>40</v>
      </c>
      <c r="L60" s="173"/>
      <c r="M60" s="173"/>
      <c r="N60" s="173"/>
      <c r="O60" s="173"/>
      <c r="P60" s="149">
        <f>IF(Table_Shelter[[#This Row],[Status]]="Open",IF(V60="NO",Table_Shelter[[#This Row],[HH per Shelter]]*(Table_Shelter[[#This Row],['# of Temporary Shelter Units Built]]+Table_Shelter[[#This Row],['# of Temporary Shelter Under  Construction]]+Table_Shelter[[#This Row],['# of Permanent House Under Construction]]),0),0)</f>
        <v>40</v>
      </c>
      <c r="Q60" s="106"/>
      <c r="R60" s="173"/>
      <c r="S60" s="174" t="str">
        <f>IFERROR(VLOOKUP(Table_Shelter[[#This Row],[CampName]],CL,2,0),"")</f>
        <v>MMR001CMP236</v>
      </c>
      <c r="T60" s="174" t="str">
        <f>IFERROR(VLOOKUP(Table_Shelter[[#This Row],[CampName]],CL,3,0),"")</f>
        <v>Open</v>
      </c>
      <c r="U60" s="265">
        <f>IFERROR(Table_Shelter[[#This Row],[HH Covered]]/VLOOKUP(Table_Shelter[[#This Row],[CampName]],CL,5,0),"")</f>
        <v>1.4285714285714286</v>
      </c>
      <c r="V60" s="265" t="s">
        <v>1305</v>
      </c>
      <c r="W60" s="175"/>
    </row>
    <row r="61" spans="1:23" ht="15" customHeight="1" x14ac:dyDescent="0.25">
      <c r="A61" s="647">
        <v>42416</v>
      </c>
      <c r="B61" s="173" t="s">
        <v>452</v>
      </c>
      <c r="C61" s="173" t="s">
        <v>460</v>
      </c>
      <c r="D61" s="173" t="s">
        <v>380</v>
      </c>
      <c r="E61" s="345" t="s">
        <v>237</v>
      </c>
      <c r="F61" s="173" t="s">
        <v>243</v>
      </c>
      <c r="G61" s="107">
        <v>1</v>
      </c>
      <c r="H61" s="107"/>
      <c r="I61" s="107"/>
      <c r="J61" s="107"/>
      <c r="K61" s="107"/>
      <c r="L61" s="173"/>
      <c r="M61" s="173"/>
      <c r="N61" s="173"/>
      <c r="O61" s="173"/>
      <c r="P61" s="149">
        <f>IF(Table_Shelter[[#This Row],[Status]]="Open",IF(V61="NO",Table_Shelter[[#This Row],[HH per Shelter]]*(Table_Shelter[[#This Row],['# of Temporary Shelter Units Built]]+Table_Shelter[[#This Row],['# of Temporary Shelter Under  Construction]]+Table_Shelter[[#This Row],['# of Permanent House Under Construction]]),0),0)</f>
        <v>0</v>
      </c>
      <c r="Q61" s="106">
        <v>13</v>
      </c>
      <c r="R61" s="106">
        <v>13</v>
      </c>
      <c r="S61" s="174" t="str">
        <f>IFERROR(VLOOKUP(Table_Shelter[[#This Row],[CampName]],CL,2,0),"")</f>
        <v>MMR001CMP012</v>
      </c>
      <c r="T61" s="174" t="str">
        <f>IFERROR(VLOOKUP(Table_Shelter[[#This Row],[CampName]],CL,3,0),"")</f>
        <v>Open</v>
      </c>
      <c r="U61" s="265">
        <f>IFERROR(Table_Shelter[[#This Row],[HH Covered]]/VLOOKUP(Table_Shelter[[#This Row],[CampName]],CL,5,0),"")</f>
        <v>0</v>
      </c>
      <c r="V61" s="265" t="s">
        <v>1305</v>
      </c>
      <c r="W61" s="175" t="s">
        <v>1322</v>
      </c>
    </row>
    <row r="62" spans="1:23" ht="15" customHeight="1" x14ac:dyDescent="0.25">
      <c r="A62" s="647">
        <v>42416</v>
      </c>
      <c r="B62" s="173" t="s">
        <v>452</v>
      </c>
      <c r="C62" s="173" t="s">
        <v>460</v>
      </c>
      <c r="D62" s="173" t="s">
        <v>380</v>
      </c>
      <c r="E62" s="345" t="s">
        <v>237</v>
      </c>
      <c r="F62" s="482" t="s">
        <v>285</v>
      </c>
      <c r="G62" s="107">
        <v>1</v>
      </c>
      <c r="H62" s="107"/>
      <c r="I62" s="107"/>
      <c r="J62" s="107"/>
      <c r="K62" s="107"/>
      <c r="L62" s="173"/>
      <c r="M62" s="173"/>
      <c r="N62" s="173"/>
      <c r="O62" s="173"/>
      <c r="P62" s="149">
        <f>IF(Table_Shelter[[#This Row],[Status]]="Open",IF(V62="NO",Table_Shelter[[#This Row],[HH per Shelter]]*(Table_Shelter[[#This Row],['# of Temporary Shelter Units Built]]+Table_Shelter[[#This Row],['# of Temporary Shelter Under  Construction]]+Table_Shelter[[#This Row],['# of Permanent House Under Construction]]),0),0)</f>
        <v>0</v>
      </c>
      <c r="Q62" s="106">
        <v>5</v>
      </c>
      <c r="R62" s="106">
        <v>5</v>
      </c>
      <c r="S62" s="174" t="str">
        <f>IFERROR(VLOOKUP(Table_Shelter[[#This Row],[CampName]],CL,2,0),"")</f>
        <v>MMR001CMP014</v>
      </c>
      <c r="T62" s="174" t="str">
        <f>IFERROR(VLOOKUP(Table_Shelter[[#This Row],[CampName]],CL,3,0),"")</f>
        <v>Open</v>
      </c>
      <c r="U62" s="265">
        <f>IFERROR(Table_Shelter[[#This Row],[HH Covered]]/VLOOKUP(Table_Shelter[[#This Row],[CampName]],CL,5,0),"")</f>
        <v>0</v>
      </c>
      <c r="V62" s="175" t="s">
        <v>1305</v>
      </c>
      <c r="W62" s="16"/>
    </row>
    <row r="63" spans="1:23" ht="15" customHeight="1" x14ac:dyDescent="0.25">
      <c r="A63" s="580">
        <v>42416</v>
      </c>
      <c r="B63" s="173" t="s">
        <v>452</v>
      </c>
      <c r="C63" s="173" t="s">
        <v>506</v>
      </c>
      <c r="D63" s="173" t="s">
        <v>380</v>
      </c>
      <c r="E63" s="345" t="s">
        <v>527</v>
      </c>
      <c r="F63" s="173" t="s">
        <v>120</v>
      </c>
      <c r="G63" s="148">
        <v>1</v>
      </c>
      <c r="H63" s="148"/>
      <c r="I63" s="148"/>
      <c r="J63" s="148">
        <v>12</v>
      </c>
      <c r="K63" s="148">
        <v>12</v>
      </c>
      <c r="L63" s="174"/>
      <c r="M63" s="174"/>
      <c r="N63" s="174"/>
      <c r="O63" s="174"/>
      <c r="P63" s="149">
        <f>IF(Table_Shelter[[#This Row],[Status]]="Open",IF(V63="NO",Table_Shelter[[#This Row],[HH per Shelter]]*(Table_Shelter[[#This Row],['# of Temporary Shelter Units Built]]+Table_Shelter[[#This Row],['# of Temporary Shelter Under  Construction]]+Table_Shelter[[#This Row],['# of Permanent House Under Construction]]),0),0)</f>
        <v>12</v>
      </c>
      <c r="Q63" s="149"/>
      <c r="R63" s="174"/>
      <c r="S63" s="174" t="str">
        <f>IFERROR(VLOOKUP(Table_Shelter[[#This Row],[CampName]],CL,2,0),"")</f>
        <v>MMR001CMP168</v>
      </c>
      <c r="T63" s="174" t="str">
        <f>IFERROR(VLOOKUP(Table_Shelter[[#This Row],[CampName]],CL,3,0),"")</f>
        <v>Open</v>
      </c>
      <c r="U63" s="265">
        <f>IFERROR(Table_Shelter[[#This Row],[HH Covered]]/VLOOKUP(Table_Shelter[[#This Row],[CampName]],CL,5,0),"")</f>
        <v>0.16666666666666666</v>
      </c>
      <c r="V63" s="265" t="s">
        <v>1305</v>
      </c>
      <c r="W63" s="175"/>
    </row>
    <row r="64" spans="1:23" ht="15" customHeight="1" x14ac:dyDescent="0.25">
      <c r="A64" s="580">
        <v>42416</v>
      </c>
      <c r="B64" s="173" t="s">
        <v>452</v>
      </c>
      <c r="C64" s="173" t="s">
        <v>505</v>
      </c>
      <c r="D64" s="173" t="s">
        <v>380</v>
      </c>
      <c r="E64" s="345" t="s">
        <v>527</v>
      </c>
      <c r="F64" s="173" t="s">
        <v>41</v>
      </c>
      <c r="G64" s="107">
        <v>1</v>
      </c>
      <c r="H64" s="107"/>
      <c r="I64" s="107"/>
      <c r="J64" s="107">
        <v>15</v>
      </c>
      <c r="K64" s="107">
        <v>15</v>
      </c>
      <c r="L64" s="173"/>
      <c r="M64" s="173"/>
      <c r="N64" s="173"/>
      <c r="O64" s="173"/>
      <c r="P64" s="149">
        <f>IF(Table_Shelter[[#This Row],[Status]]="Open",IF(V64="NO",Table_Shelter[[#This Row],[HH per Shelter]]*(Table_Shelter[[#This Row],['# of Temporary Shelter Units Built]]+Table_Shelter[[#This Row],['# of Temporary Shelter Under  Construction]]+Table_Shelter[[#This Row],['# of Permanent House Under Construction]]),0),0)</f>
        <v>15</v>
      </c>
      <c r="Q64" s="106"/>
      <c r="R64" s="173"/>
      <c r="S64" s="174" t="str">
        <f>IFERROR(VLOOKUP(Table_Shelter[[#This Row],[CampName]],CL,2,0),"")</f>
        <v>MMR001CMP176</v>
      </c>
      <c r="T64" s="174" t="str">
        <f>IFERROR(VLOOKUP(Table_Shelter[[#This Row],[CampName]],CL,3,0),"")</f>
        <v>Open</v>
      </c>
      <c r="U64" s="265">
        <f>IFERROR(Table_Shelter[[#This Row],[HH Covered]]/VLOOKUP(Table_Shelter[[#This Row],[CampName]],CL,5,0),"")</f>
        <v>0.22388059701492538</v>
      </c>
      <c r="V64" s="265" t="s">
        <v>1305</v>
      </c>
      <c r="W64" s="175"/>
    </row>
    <row r="65" spans="1:23" ht="15" customHeight="1" x14ac:dyDescent="0.25">
      <c r="A65" s="580">
        <v>42416</v>
      </c>
      <c r="B65" s="173" t="s">
        <v>452</v>
      </c>
      <c r="C65" s="173" t="s">
        <v>506</v>
      </c>
      <c r="D65" s="176" t="s">
        <v>380</v>
      </c>
      <c r="E65" s="345" t="s">
        <v>185</v>
      </c>
      <c r="F65" s="173" t="s">
        <v>192</v>
      </c>
      <c r="G65" s="107">
        <v>1</v>
      </c>
      <c r="H65" s="107"/>
      <c r="I65" s="107"/>
      <c r="J65" s="107">
        <v>82</v>
      </c>
      <c r="K65" s="107">
        <v>82</v>
      </c>
      <c r="L65" s="173"/>
      <c r="M65" s="173"/>
      <c r="N65" s="173"/>
      <c r="O65" s="173"/>
      <c r="P65" s="149">
        <f>IF(Table_Shelter[[#This Row],[Status]]="Open",IF(V65="NO",Table_Shelter[[#This Row],[HH per Shelter]]*(Table_Shelter[[#This Row],['# of Temporary Shelter Units Built]]+Table_Shelter[[#This Row],['# of Temporary Shelter Under  Construction]]+Table_Shelter[[#This Row],['# of Permanent House Under Construction]]),0),0)</f>
        <v>82</v>
      </c>
      <c r="Q65" s="106"/>
      <c r="R65" s="173"/>
      <c r="S65" s="174" t="str">
        <f>IFERROR(VLOOKUP(Table_Shelter[[#This Row],[CampName]],CL,2,0),"")</f>
        <v>MMR001CMP123</v>
      </c>
      <c r="T65" s="174" t="str">
        <f>IFERROR(VLOOKUP(Table_Shelter[[#This Row],[CampName]],CL,3,0),"")</f>
        <v>Open</v>
      </c>
      <c r="U65" s="265">
        <f>IFERROR(Table_Shelter[[#This Row],[HH Covered]]/VLOOKUP(Table_Shelter[[#This Row],[CampName]],CL,5,0),"")</f>
        <v>0.75229357798165142</v>
      </c>
      <c r="V65" s="265" t="s">
        <v>1305</v>
      </c>
      <c r="W65" s="175"/>
    </row>
    <row r="66" spans="1:23" ht="15" customHeight="1" x14ac:dyDescent="0.25">
      <c r="A66" s="811">
        <v>42416</v>
      </c>
      <c r="B66" s="174" t="s">
        <v>452</v>
      </c>
      <c r="C66" s="173" t="s">
        <v>506</v>
      </c>
      <c r="D66" s="173" t="s">
        <v>380</v>
      </c>
      <c r="E66" s="345" t="s">
        <v>185</v>
      </c>
      <c r="F66" s="173" t="s">
        <v>194</v>
      </c>
      <c r="G66" s="107">
        <v>1</v>
      </c>
      <c r="H66" s="107"/>
      <c r="I66" s="107"/>
      <c r="J66" s="107"/>
      <c r="K66" s="107"/>
      <c r="L66" s="173"/>
      <c r="M66" s="173"/>
      <c r="N66" s="173"/>
      <c r="O66" s="173"/>
      <c r="P66" s="149">
        <f>IF(Table_Shelter[[#This Row],[Status]]="Open",IF(V66="NO",Table_Shelter[[#This Row],[HH per Shelter]]*(Table_Shelter[[#This Row],['# of Temporary Shelter Units Built]]+Table_Shelter[[#This Row],['# of Temporary Shelter Under  Construction]]+Table_Shelter[[#This Row],['# of Permanent House Under Construction]]),0),0)</f>
        <v>0</v>
      </c>
      <c r="Q66" s="106">
        <v>338</v>
      </c>
      <c r="R66" s="106">
        <v>338</v>
      </c>
      <c r="S66" s="174" t="str">
        <f>IFERROR(VLOOKUP(Table_Shelter[[#This Row],[CampName]],CL,2,0),"")</f>
        <v>MMR001CMP122</v>
      </c>
      <c r="T66" s="174" t="str">
        <f>IFERROR(VLOOKUP(Table_Shelter[[#This Row],[CampName]],CL,3,0),"")</f>
        <v>Open</v>
      </c>
      <c r="U66" s="265">
        <f>IFERROR(Table_Shelter[[#This Row],[HH Covered]]/VLOOKUP(Table_Shelter[[#This Row],[CampName]],CL,5,0),"")</f>
        <v>0</v>
      </c>
      <c r="V66" s="265" t="s">
        <v>1305</v>
      </c>
      <c r="W66" s="175"/>
    </row>
    <row r="67" spans="1:23" ht="15" customHeight="1" x14ac:dyDescent="0.25">
      <c r="A67" s="811">
        <v>42416</v>
      </c>
      <c r="B67" s="174" t="s">
        <v>452</v>
      </c>
      <c r="C67" s="173" t="s">
        <v>506</v>
      </c>
      <c r="D67" s="173" t="s">
        <v>380</v>
      </c>
      <c r="E67" s="345" t="s">
        <v>185</v>
      </c>
      <c r="F67" s="173" t="s">
        <v>196</v>
      </c>
      <c r="G67" s="107">
        <v>1</v>
      </c>
      <c r="H67" s="107"/>
      <c r="I67" s="107"/>
      <c r="J67" s="107"/>
      <c r="K67" s="107"/>
      <c r="L67" s="173"/>
      <c r="M67" s="173"/>
      <c r="N67" s="173"/>
      <c r="O67" s="173"/>
      <c r="P67" s="149">
        <f>IF(Table_Shelter[[#This Row],[Status]]="Open",IF(V67="NO",Table_Shelter[[#This Row],[HH per Shelter]]*(Table_Shelter[[#This Row],['# of Temporary Shelter Units Built]]+Table_Shelter[[#This Row],['# of Temporary Shelter Under  Construction]]+Table_Shelter[[#This Row],['# of Permanent House Under Construction]]),0),0)</f>
        <v>0</v>
      </c>
      <c r="Q67" s="106">
        <v>220</v>
      </c>
      <c r="R67" s="106">
        <v>220</v>
      </c>
      <c r="S67" s="174" t="str">
        <f>IFERROR(VLOOKUP(Table_Shelter[[#This Row],[CampName]],CL,2,0),"")</f>
        <v>MMR001CMP121</v>
      </c>
      <c r="T67" s="174" t="str">
        <f>IFERROR(VLOOKUP(Table_Shelter[[#This Row],[CampName]],CL,3,0),"")</f>
        <v>Open</v>
      </c>
      <c r="U67" s="265">
        <f>IFERROR(Table_Shelter[[#This Row],[HH Covered]]/VLOOKUP(Table_Shelter[[#This Row],[CampName]],CL,5,0),"")</f>
        <v>0</v>
      </c>
      <c r="V67" s="265" t="s">
        <v>1305</v>
      </c>
      <c r="W67" s="175"/>
    </row>
    <row r="68" spans="1:23" ht="15" customHeight="1" x14ac:dyDescent="0.25">
      <c r="A68" s="580">
        <v>42416</v>
      </c>
      <c r="B68" s="173" t="s">
        <v>452</v>
      </c>
      <c r="C68" s="173" t="s">
        <v>505</v>
      </c>
      <c r="D68" s="176" t="s">
        <v>380</v>
      </c>
      <c r="E68" s="345" t="s">
        <v>5</v>
      </c>
      <c r="F68" s="173" t="s">
        <v>18</v>
      </c>
      <c r="G68" s="107">
        <v>1</v>
      </c>
      <c r="H68" s="107"/>
      <c r="I68" s="107"/>
      <c r="J68" s="107">
        <v>15</v>
      </c>
      <c r="K68" s="107">
        <v>15</v>
      </c>
      <c r="L68" s="173"/>
      <c r="M68" s="173"/>
      <c r="N68" s="173"/>
      <c r="O68" s="173"/>
      <c r="P68" s="149">
        <f>IF(Table_Shelter[[#This Row],[Status]]="Open",IF(V68="NO",Table_Shelter[[#This Row],[HH per Shelter]]*(Table_Shelter[[#This Row],['# of Temporary Shelter Units Built]]+Table_Shelter[[#This Row],['# of Temporary Shelter Under  Construction]]+Table_Shelter[[#This Row],['# of Permanent House Under Construction]]),0),0)</f>
        <v>15</v>
      </c>
      <c r="Q68" s="106"/>
      <c r="R68" s="173"/>
      <c r="S68" s="174" t="str">
        <f>IFERROR(VLOOKUP(Table_Shelter[[#This Row],[CampName]],CL,2,0),"")</f>
        <v>MMR001CMP049</v>
      </c>
      <c r="T68" s="174" t="str">
        <f>IFERROR(VLOOKUP(Table_Shelter[[#This Row],[CampName]],CL,3,0),"")</f>
        <v>Open</v>
      </c>
      <c r="U68" s="265">
        <f>IFERROR(Table_Shelter[[#This Row],[HH Covered]]/VLOOKUP(Table_Shelter[[#This Row],[CampName]],CL,5,0),"")</f>
        <v>0.12931034482758622</v>
      </c>
      <c r="V68" s="265" t="s">
        <v>1305</v>
      </c>
      <c r="W68" s="175"/>
    </row>
    <row r="69" spans="1:23" ht="15" customHeight="1" x14ac:dyDescent="0.25">
      <c r="A69" s="580">
        <v>42416</v>
      </c>
      <c r="B69" s="173" t="s">
        <v>848</v>
      </c>
      <c r="C69" s="173"/>
      <c r="D69" s="176" t="s">
        <v>380</v>
      </c>
      <c r="E69" s="345" t="s">
        <v>300</v>
      </c>
      <c r="F69" s="173" t="s">
        <v>1260</v>
      </c>
      <c r="G69" s="107">
        <v>1</v>
      </c>
      <c r="H69" s="109"/>
      <c r="I69" s="109"/>
      <c r="J69" s="109">
        <v>60</v>
      </c>
      <c r="K69" s="109">
        <v>60</v>
      </c>
      <c r="L69" s="175"/>
      <c r="M69" s="175"/>
      <c r="N69" s="175"/>
      <c r="O69" s="175"/>
      <c r="P69" s="108">
        <f>IF(Table_Shelter[[#This Row],[Status]]="Open",IF(V69="NO",Table_Shelter[[#This Row],[HH per Shelter]]*(Table_Shelter[[#This Row],['# of Temporary Shelter Units Built]]+Table_Shelter[[#This Row],['# of Temporary Shelter Under  Construction]]+Table_Shelter[[#This Row],['# of Permanent House Under Construction]]),0),0)</f>
        <v>60</v>
      </c>
      <c r="Q69" s="108"/>
      <c r="R69" s="175"/>
      <c r="S69" s="175" t="str">
        <f>IFERROR(VLOOKUP(Table_Shelter[[#This Row],[CampName]],CL,2,0),"")</f>
        <v>MMR001CMP234</v>
      </c>
      <c r="T69" s="175" t="str">
        <f>IFERROR(VLOOKUP(Table_Shelter[[#This Row],[CampName]],CL,3,0),"")</f>
        <v>Open</v>
      </c>
      <c r="U69" s="265">
        <f>IFERROR(Table_Shelter[[#This Row],[HH Covered]]/VLOOKUP(Table_Shelter[[#This Row],[CampName]],CL,5,0),"")</f>
        <v>1.0169491525423728</v>
      </c>
      <c r="V69" s="265" t="s">
        <v>1305</v>
      </c>
      <c r="W69" s="175"/>
    </row>
    <row r="70" spans="1:23" ht="15" customHeight="1" x14ac:dyDescent="0.25">
      <c r="A70" s="580">
        <v>42416</v>
      </c>
      <c r="B70" s="173" t="s">
        <v>846</v>
      </c>
      <c r="C70" s="173"/>
      <c r="D70" s="176" t="s">
        <v>553</v>
      </c>
      <c r="E70" s="345" t="s">
        <v>289</v>
      </c>
      <c r="F70" s="173" t="s">
        <v>1055</v>
      </c>
      <c r="G70" s="107">
        <v>1</v>
      </c>
      <c r="H70" s="109"/>
      <c r="I70" s="109"/>
      <c r="J70" s="109">
        <v>25</v>
      </c>
      <c r="K70" s="109">
        <v>25</v>
      </c>
      <c r="L70" s="175"/>
      <c r="M70" s="175"/>
      <c r="N70" s="175"/>
      <c r="O70" s="175"/>
      <c r="P70" s="108">
        <f>IF(Table_Shelter[[#This Row],[Status]]="Open",IF(V70="NO",Table_Shelter[[#This Row],[HH per Shelter]]*(Table_Shelter[[#This Row],['# of Temporary Shelter Units Built]]+Table_Shelter[[#This Row],['# of Temporary Shelter Under  Construction]]+Table_Shelter[[#This Row],['# of Permanent House Under Construction]]),0),0)</f>
        <v>25</v>
      </c>
      <c r="Q70" s="108"/>
      <c r="R70" s="175"/>
      <c r="S70" s="175" t="str">
        <f>IFERROR(VLOOKUP(Table_Shelter[[#This Row],[CampName]],CL,2,0),"")</f>
        <v>MMR015CMP214</v>
      </c>
      <c r="T70" s="175" t="str">
        <f>IFERROR(VLOOKUP(Table_Shelter[[#This Row],[CampName]],CL,3,0),"")</f>
        <v>Open</v>
      </c>
      <c r="U70" s="265">
        <f>IFERROR(Table_Shelter[[#This Row],[HH Covered]]/VLOOKUP(Table_Shelter[[#This Row],[CampName]],CL,5,0),"")</f>
        <v>0.67567567567567566</v>
      </c>
      <c r="V70" s="175" t="s">
        <v>1305</v>
      </c>
      <c r="W70" s="16"/>
    </row>
    <row r="71" spans="1:23" ht="15" customHeight="1" x14ac:dyDescent="0.25">
      <c r="A71" s="580">
        <v>42416</v>
      </c>
      <c r="B71" s="173" t="s">
        <v>846</v>
      </c>
      <c r="C71" s="173"/>
      <c r="D71" s="176" t="s">
        <v>553</v>
      </c>
      <c r="E71" s="345" t="s">
        <v>230</v>
      </c>
      <c r="F71" s="173" t="s">
        <v>361</v>
      </c>
      <c r="G71" s="107">
        <v>1</v>
      </c>
      <c r="H71" s="109"/>
      <c r="I71" s="109"/>
      <c r="J71" s="109">
        <v>9</v>
      </c>
      <c r="K71" s="109">
        <v>9</v>
      </c>
      <c r="L71" s="175"/>
      <c r="M71" s="175"/>
      <c r="N71" s="175"/>
      <c r="O71" s="175"/>
      <c r="P71" s="108">
        <f>IF(Table_Shelter[[#This Row],[Status]]="Open",IF(V71="NO",Table_Shelter[[#This Row],[HH per Shelter]]*(Table_Shelter[[#This Row],['# of Temporary Shelter Units Built]]+Table_Shelter[[#This Row],['# of Temporary Shelter Under  Construction]]+Table_Shelter[[#This Row],['# of Permanent House Under Construction]]),0),0)</f>
        <v>0</v>
      </c>
      <c r="Q71" s="108"/>
      <c r="R71" s="175"/>
      <c r="S71" s="175" t="str">
        <f>IFERROR(VLOOKUP(Table_Shelter[[#This Row],[CampName]],CL,2,0),"")</f>
        <v>MMR015CMP139</v>
      </c>
      <c r="T71" s="175" t="str">
        <f>IFERROR(VLOOKUP(Table_Shelter[[#This Row],[CampName]],CL,3,0),"")</f>
        <v>Closed</v>
      </c>
      <c r="U71" s="265" t="str">
        <f>IFERROR(Table_Shelter[[#This Row],[HH Covered]]/VLOOKUP(Table_Shelter[[#This Row],[CampName]],CL,5,0),"")</f>
        <v/>
      </c>
      <c r="V71" s="175" t="s">
        <v>1305</v>
      </c>
      <c r="W71" s="16"/>
    </row>
    <row r="72" spans="1:23" ht="15" customHeight="1" x14ac:dyDescent="0.25">
      <c r="A72" s="580">
        <v>42416</v>
      </c>
      <c r="B72" s="173" t="s">
        <v>846</v>
      </c>
      <c r="C72" s="173"/>
      <c r="D72" s="180" t="s">
        <v>553</v>
      </c>
      <c r="E72" s="181" t="s">
        <v>779</v>
      </c>
      <c r="F72" s="107" t="s">
        <v>1275</v>
      </c>
      <c r="G72" s="107">
        <v>1</v>
      </c>
      <c r="H72" s="109"/>
      <c r="I72" s="109"/>
      <c r="J72" s="109">
        <v>25</v>
      </c>
      <c r="K72" s="109">
        <v>25</v>
      </c>
      <c r="L72" s="109"/>
      <c r="M72" s="109"/>
      <c r="N72" s="109"/>
      <c r="O72" s="109"/>
      <c r="P72" s="108">
        <f>IF(Table_Shelter[[#This Row],[Status]]="Open",IF(V72="NO",Table_Shelter[[#This Row],[HH per Shelter]]*(Table_Shelter[[#This Row],['# of Temporary Shelter Units Built]]+Table_Shelter[[#This Row],['# of Temporary Shelter Under  Construction]]+Table_Shelter[[#This Row],['# of Permanent House Under Construction]]),0),0)</f>
        <v>25</v>
      </c>
      <c r="Q72" s="108"/>
      <c r="R72" s="108"/>
      <c r="S72" s="108" t="str">
        <f>IFERROR(VLOOKUP(Table_Shelter[[#This Row],[CampName]],CL,2,0),"")</f>
        <v>MMR015CMP218</v>
      </c>
      <c r="T72" s="108" t="str">
        <f>IFERROR(VLOOKUP(Table_Shelter[[#This Row],[CampName]],CL,3,0),"")</f>
        <v>Open</v>
      </c>
      <c r="U72" s="266">
        <f>IFERROR(Table_Shelter[[#This Row],[HH Covered]]/VLOOKUP(Table_Shelter[[#This Row],[CampName]],CL,5,0),"")</f>
        <v>0.83333333333333337</v>
      </c>
      <c r="V72" s="585" t="s">
        <v>1305</v>
      </c>
      <c r="W72" s="16"/>
    </row>
    <row r="73" spans="1:23" ht="15" customHeight="1" x14ac:dyDescent="0.25">
      <c r="A73" s="580">
        <v>42416</v>
      </c>
      <c r="B73" s="173" t="s">
        <v>846</v>
      </c>
      <c r="C73" s="173"/>
      <c r="D73" s="176" t="s">
        <v>553</v>
      </c>
      <c r="E73" s="345" t="s">
        <v>289</v>
      </c>
      <c r="F73" s="173" t="s">
        <v>1067</v>
      </c>
      <c r="G73" s="107">
        <v>1</v>
      </c>
      <c r="H73" s="109"/>
      <c r="I73" s="109"/>
      <c r="J73" s="109">
        <v>36</v>
      </c>
      <c r="K73" s="109">
        <v>36</v>
      </c>
      <c r="L73" s="175"/>
      <c r="M73" s="175"/>
      <c r="N73" s="175"/>
      <c r="O73" s="175"/>
      <c r="P73" s="108">
        <f>IF(Table_Shelter[[#This Row],[Status]]="Open",IF(V73="NO",Table_Shelter[[#This Row],[HH per Shelter]]*(Table_Shelter[[#This Row],['# of Temporary Shelter Units Built]]+Table_Shelter[[#This Row],['# of Temporary Shelter Under  Construction]]+Table_Shelter[[#This Row],['# of Permanent House Under Construction]]),0),0)</f>
        <v>36</v>
      </c>
      <c r="Q73" s="108"/>
      <c r="R73" s="175"/>
      <c r="S73" s="175" t="str">
        <f>IFERROR(VLOOKUP(Table_Shelter[[#This Row],[CampName]],CL,2,0),"")</f>
        <v>MMR015CMP215</v>
      </c>
      <c r="T73" s="175" t="str">
        <f>IFERROR(VLOOKUP(Table_Shelter[[#This Row],[CampName]],CL,3,0),"")</f>
        <v>Open</v>
      </c>
      <c r="U73" s="265">
        <f>IFERROR(Table_Shelter[[#This Row],[HH Covered]]/VLOOKUP(Table_Shelter[[#This Row],[CampName]],CL,5,0),"")</f>
        <v>0.2975206611570248</v>
      </c>
      <c r="V73" s="265" t="s">
        <v>1305</v>
      </c>
      <c r="W73" s="175"/>
    </row>
    <row r="74" spans="1:23" ht="15" customHeight="1" x14ac:dyDescent="0.25">
      <c r="A74" s="580">
        <v>42416</v>
      </c>
      <c r="B74" s="173" t="s">
        <v>452</v>
      </c>
      <c r="C74" s="173" t="s">
        <v>506</v>
      </c>
      <c r="D74" s="176" t="s">
        <v>380</v>
      </c>
      <c r="E74" s="345" t="s">
        <v>237</v>
      </c>
      <c r="F74" s="173" t="s">
        <v>273</v>
      </c>
      <c r="G74" s="107">
        <v>1</v>
      </c>
      <c r="H74" s="109"/>
      <c r="I74" s="109"/>
      <c r="J74" s="109">
        <v>14</v>
      </c>
      <c r="K74" s="109">
        <v>14</v>
      </c>
      <c r="L74" s="175"/>
      <c r="M74" s="175"/>
      <c r="N74" s="175"/>
      <c r="O74" s="175"/>
      <c r="P74" s="108">
        <f>IF(Table_Shelter[[#This Row],[Status]]="Open",IF(V74="NO",Table_Shelter[[#This Row],[HH per Shelter]]*(Table_Shelter[[#This Row],['# of Temporary Shelter Units Built]]+Table_Shelter[[#This Row],['# of Temporary Shelter Under  Construction]]+Table_Shelter[[#This Row],['# of Permanent House Under Construction]]),0),0)</f>
        <v>14</v>
      </c>
      <c r="Q74" s="108"/>
      <c r="R74" s="175"/>
      <c r="S74" s="175" t="str">
        <f>IFERROR(VLOOKUP(Table_Shelter[[#This Row],[CampName]],CL,2,0),"")</f>
        <v>MMR001CMP162</v>
      </c>
      <c r="T74" s="175" t="str">
        <f>IFERROR(VLOOKUP(Table_Shelter[[#This Row],[CampName]],CL,3,0),"")</f>
        <v>Open</v>
      </c>
      <c r="U74" s="265">
        <f>IFERROR(Table_Shelter[[#This Row],[HH Covered]]/VLOOKUP(Table_Shelter[[#This Row],[CampName]],CL,5,0),"")</f>
        <v>0.30434782608695654</v>
      </c>
      <c r="V74" s="265" t="s">
        <v>1305</v>
      </c>
      <c r="W74" s="175"/>
    </row>
    <row r="75" spans="1:23" ht="15" customHeight="1" x14ac:dyDescent="0.25">
      <c r="A75" s="580">
        <v>42416</v>
      </c>
      <c r="B75" s="173" t="s">
        <v>848</v>
      </c>
      <c r="C75" s="173"/>
      <c r="D75" s="176" t="s">
        <v>380</v>
      </c>
      <c r="E75" s="345" t="s">
        <v>310</v>
      </c>
      <c r="F75" s="173" t="s">
        <v>347</v>
      </c>
      <c r="G75" s="107">
        <v>1</v>
      </c>
      <c r="H75" s="109"/>
      <c r="I75" s="109"/>
      <c r="J75" s="109">
        <v>73</v>
      </c>
      <c r="K75" s="109">
        <v>73</v>
      </c>
      <c r="L75" s="175"/>
      <c r="M75" s="175"/>
      <c r="N75" s="175"/>
      <c r="O75" s="175"/>
      <c r="P75" s="108">
        <f>IF(Table_Shelter[[#This Row],[Status]]="Open",IF(V75="NO",Table_Shelter[[#This Row],[HH per Shelter]]*(Table_Shelter[[#This Row],['# of Temporary Shelter Units Built]]+Table_Shelter[[#This Row],['# of Temporary Shelter Under  Construction]]+Table_Shelter[[#This Row],['# of Permanent House Under Construction]]),0),0)</f>
        <v>73</v>
      </c>
      <c r="Q75" s="108"/>
      <c r="R75" s="108"/>
      <c r="S75" s="108" t="str">
        <f>IFERROR(VLOOKUP(Table_Shelter[[#This Row],[CampName]],CL,2,0),"")</f>
        <v>MMR001CMP041</v>
      </c>
      <c r="T75" s="108" t="str">
        <f>IFERROR(VLOOKUP(Table_Shelter[[#This Row],[CampName]],CL,3,0),"")</f>
        <v>Open</v>
      </c>
      <c r="U75" s="265">
        <f>IFERROR(Table_Shelter[[#This Row],[HH Covered]]/VLOOKUP(Table_Shelter[[#This Row],[CampName]],CL,5,0),"")</f>
        <v>0.40109890109890112</v>
      </c>
      <c r="V75" s="108" t="s">
        <v>1305</v>
      </c>
      <c r="W75" s="16"/>
    </row>
    <row r="76" spans="1:23" ht="15" customHeight="1" x14ac:dyDescent="0.25">
      <c r="A76" s="580">
        <v>42416</v>
      </c>
      <c r="B76" s="173" t="s">
        <v>452</v>
      </c>
      <c r="C76" s="173" t="s">
        <v>505</v>
      </c>
      <c r="D76" s="176" t="s">
        <v>380</v>
      </c>
      <c r="E76" s="345" t="s">
        <v>237</v>
      </c>
      <c r="F76" s="173" t="s">
        <v>1244</v>
      </c>
      <c r="G76" s="107">
        <v>1</v>
      </c>
      <c r="H76" s="109"/>
      <c r="I76" s="109"/>
      <c r="J76" s="109">
        <v>10</v>
      </c>
      <c r="K76" s="109">
        <v>10</v>
      </c>
      <c r="L76" s="175"/>
      <c r="M76" s="175"/>
      <c r="N76" s="175"/>
      <c r="O76" s="175"/>
      <c r="P76" s="108">
        <f>IF(Table_Shelter[[#This Row],[Status]]="Open",IF(V76="NO",Table_Shelter[[#This Row],[HH per Shelter]]*(Table_Shelter[[#This Row],['# of Temporary Shelter Units Built]]+Table_Shelter[[#This Row],['# of Temporary Shelter Under  Construction]]+Table_Shelter[[#This Row],['# of Permanent House Under Construction]]),0),0)</f>
        <v>10</v>
      </c>
      <c r="Q76" s="108"/>
      <c r="R76" s="175"/>
      <c r="S76" s="175" t="str">
        <f>IFERROR(VLOOKUP(Table_Shelter[[#This Row],[CampName]],CL,2,0),"")</f>
        <v>MMR001CMP023</v>
      </c>
      <c r="T76" s="175" t="str">
        <f>IFERROR(VLOOKUP(Table_Shelter[[#This Row],[CampName]],CL,3,0),"")</f>
        <v>Open</v>
      </c>
      <c r="U76" s="265">
        <f>IFERROR(Table_Shelter[[#This Row],[HH Covered]]/VLOOKUP(Table_Shelter[[#This Row],[CampName]],CL,5,0),"")</f>
        <v>0.18518518518518517</v>
      </c>
      <c r="V76" s="265" t="s">
        <v>1305</v>
      </c>
      <c r="W76" s="175"/>
    </row>
    <row r="77" spans="1:23" ht="15" customHeight="1" x14ac:dyDescent="0.25">
      <c r="A77" s="580">
        <v>42416</v>
      </c>
      <c r="B77" s="173" t="s">
        <v>846</v>
      </c>
      <c r="C77" s="173"/>
      <c r="D77" s="176" t="s">
        <v>553</v>
      </c>
      <c r="E77" s="345" t="s">
        <v>146</v>
      </c>
      <c r="F77" s="173" t="s">
        <v>373</v>
      </c>
      <c r="G77" s="107">
        <v>1</v>
      </c>
      <c r="H77" s="109"/>
      <c r="I77" s="109"/>
      <c r="J77" s="109">
        <v>16</v>
      </c>
      <c r="K77" s="109">
        <v>16</v>
      </c>
      <c r="L77" s="175"/>
      <c r="M77" s="175"/>
      <c r="N77" s="175"/>
      <c r="O77" s="175"/>
      <c r="P77" s="108">
        <f>IF(Table_Shelter[[#This Row],[Status]]="Open",IF(V77="NO",Table_Shelter[[#This Row],[HH per Shelter]]*(Table_Shelter[[#This Row],['# of Temporary Shelter Units Built]]+Table_Shelter[[#This Row],['# of Temporary Shelter Under  Construction]]+Table_Shelter[[#This Row],['# of Permanent House Under Construction]]),0),0)</f>
        <v>16</v>
      </c>
      <c r="Q77" s="108"/>
      <c r="R77" s="175"/>
      <c r="S77" s="175" t="str">
        <f>IFERROR(VLOOKUP(Table_Shelter[[#This Row],[CampName]],CL,2,0),"")</f>
        <v>MMR015CMP020</v>
      </c>
      <c r="T77" s="175" t="str">
        <f>IFERROR(VLOOKUP(Table_Shelter[[#This Row],[CampName]],CL,3,0),"")</f>
        <v>Open</v>
      </c>
      <c r="U77" s="265">
        <f>IFERROR(Table_Shelter[[#This Row],[HH Covered]]/VLOOKUP(Table_Shelter[[#This Row],[CampName]],CL,5,0),"")</f>
        <v>8.4656084656084651E-2</v>
      </c>
      <c r="V77" s="175" t="s">
        <v>1305</v>
      </c>
      <c r="W77" s="16"/>
    </row>
    <row r="78" spans="1:23" ht="15" customHeight="1" x14ac:dyDescent="0.25">
      <c r="A78" s="811">
        <v>42416</v>
      </c>
      <c r="B78" s="173" t="s">
        <v>452</v>
      </c>
      <c r="C78" s="173" t="s">
        <v>460</v>
      </c>
      <c r="D78" s="176" t="s">
        <v>380</v>
      </c>
      <c r="E78" s="345" t="s">
        <v>237</v>
      </c>
      <c r="F78" s="173" t="s">
        <v>277</v>
      </c>
      <c r="G78" s="107">
        <v>1</v>
      </c>
      <c r="H78" s="109"/>
      <c r="I78" s="109"/>
      <c r="J78" s="109"/>
      <c r="K78" s="109"/>
      <c r="L78" s="175"/>
      <c r="M78" s="175"/>
      <c r="N78" s="175"/>
      <c r="O78" s="175"/>
      <c r="P78" s="108">
        <f>IF(Table_Shelter[[#This Row],[Status]]="Open",IF(V78="NO",Table_Shelter[[#This Row],[HH per Shelter]]*(Table_Shelter[[#This Row],['# of Temporary Shelter Units Built]]+Table_Shelter[[#This Row],['# of Temporary Shelter Under  Construction]]+Table_Shelter[[#This Row],['# of Permanent House Under Construction]]),0),0)</f>
        <v>0</v>
      </c>
      <c r="Q78" s="108">
        <v>30</v>
      </c>
      <c r="R78" s="108">
        <v>30</v>
      </c>
      <c r="S78" s="175" t="str">
        <f>IFERROR(VLOOKUP(Table_Shelter[[#This Row],[CampName]],CL,2,0),"")</f>
        <v>MMR001CMP006</v>
      </c>
      <c r="T78" s="175" t="str">
        <f>IFERROR(VLOOKUP(Table_Shelter[[#This Row],[CampName]],CL,3,0),"")</f>
        <v>Open</v>
      </c>
      <c r="U78" s="265">
        <f>IFERROR(Table_Shelter[[#This Row],[HH Covered]]/VLOOKUP(Table_Shelter[[#This Row],[CampName]],CL,5,0),"")</f>
        <v>0</v>
      </c>
      <c r="V78" s="175" t="s">
        <v>1305</v>
      </c>
      <c r="W78" s="16"/>
    </row>
    <row r="79" spans="1:23" ht="15" customHeight="1" x14ac:dyDescent="0.25">
      <c r="A79" s="811">
        <v>42416</v>
      </c>
      <c r="B79" s="173" t="s">
        <v>452</v>
      </c>
      <c r="C79" s="173" t="s">
        <v>460</v>
      </c>
      <c r="D79" s="176" t="s">
        <v>380</v>
      </c>
      <c r="E79" s="345" t="s">
        <v>237</v>
      </c>
      <c r="F79" s="173" t="s">
        <v>281</v>
      </c>
      <c r="G79" s="107">
        <v>1</v>
      </c>
      <c r="H79" s="109"/>
      <c r="I79" s="109"/>
      <c r="J79" s="109"/>
      <c r="K79" s="109"/>
      <c r="L79" s="175"/>
      <c r="M79" s="175"/>
      <c r="N79" s="175"/>
      <c r="O79" s="175"/>
      <c r="P79" s="108">
        <f>IF(Table_Shelter[[#This Row],[Status]]="Open",IF(V79="NO",Table_Shelter[[#This Row],[HH per Shelter]]*(Table_Shelter[[#This Row],['# of Temporary Shelter Units Built]]+Table_Shelter[[#This Row],['# of Temporary Shelter Under  Construction]]+Table_Shelter[[#This Row],['# of Permanent House Under Construction]]),0),0)</f>
        <v>0</v>
      </c>
      <c r="Q79" s="108">
        <v>46</v>
      </c>
      <c r="R79" s="108">
        <v>46</v>
      </c>
      <c r="S79" s="175" t="str">
        <f>IFERROR(VLOOKUP(Table_Shelter[[#This Row],[CampName]],CL,2,0),"")</f>
        <v>MMR001CMP009</v>
      </c>
      <c r="T79" s="175" t="str">
        <f>IFERROR(VLOOKUP(Table_Shelter[[#This Row],[CampName]],CL,3,0),"")</f>
        <v>Open</v>
      </c>
      <c r="U79" s="265">
        <f>IFERROR(Table_Shelter[[#This Row],[HH Covered]]/VLOOKUP(Table_Shelter[[#This Row],[CampName]],CL,5,0),"")</f>
        <v>0</v>
      </c>
      <c r="V79" s="265" t="s">
        <v>1305</v>
      </c>
      <c r="W79" s="175"/>
    </row>
    <row r="80" spans="1:23" ht="15" customHeight="1" x14ac:dyDescent="0.25">
      <c r="A80" s="647">
        <v>42416</v>
      </c>
      <c r="B80" s="173" t="s">
        <v>452</v>
      </c>
      <c r="C80" s="173" t="s">
        <v>460</v>
      </c>
      <c r="D80" s="176" t="s">
        <v>380</v>
      </c>
      <c r="E80" s="345" t="s">
        <v>237</v>
      </c>
      <c r="F80" s="173" t="s">
        <v>238</v>
      </c>
      <c r="G80" s="107">
        <v>1</v>
      </c>
      <c r="H80" s="109"/>
      <c r="I80" s="109"/>
      <c r="J80" s="109"/>
      <c r="K80" s="109"/>
      <c r="L80" s="175"/>
      <c r="M80" s="175"/>
      <c r="N80" s="175"/>
      <c r="O80" s="175"/>
      <c r="P80" s="108">
        <f>IF(Table_Shelter[[#This Row],[Status]]="Open",IF(V80="NO",Table_Shelter[[#This Row],[HH per Shelter]]*(Table_Shelter[[#This Row],['# of Temporary Shelter Units Built]]+Table_Shelter[[#This Row],['# of Temporary Shelter Under  Construction]]+Table_Shelter[[#This Row],['# of Permanent House Under Construction]]),0),0)</f>
        <v>0</v>
      </c>
      <c r="Q80" s="108">
        <v>37</v>
      </c>
      <c r="R80" s="108">
        <v>37</v>
      </c>
      <c r="S80" s="175" t="str">
        <f>IFERROR(VLOOKUP(Table_Shelter[[#This Row],[CampName]],CL,2,0),"")</f>
        <v>MMR001CMP001</v>
      </c>
      <c r="T80" s="175" t="str">
        <f>IFERROR(VLOOKUP(Table_Shelter[[#This Row],[CampName]],CL,3,0),"")</f>
        <v>Open</v>
      </c>
      <c r="U80" s="265">
        <f>IFERROR(Table_Shelter[[#This Row],[HH Covered]]/VLOOKUP(Table_Shelter[[#This Row],[CampName]],CL,5,0),"")</f>
        <v>0</v>
      </c>
      <c r="V80" s="175" t="s">
        <v>1305</v>
      </c>
      <c r="W80" s="16"/>
    </row>
    <row r="81" spans="1:23" ht="15" customHeight="1" x14ac:dyDescent="0.25">
      <c r="A81" s="647">
        <v>42416</v>
      </c>
      <c r="B81" s="173" t="s">
        <v>452</v>
      </c>
      <c r="C81" s="173" t="s">
        <v>460</v>
      </c>
      <c r="D81" s="176" t="s">
        <v>380</v>
      </c>
      <c r="E81" s="345" t="s">
        <v>310</v>
      </c>
      <c r="F81" s="173" t="s">
        <v>1245</v>
      </c>
      <c r="G81" s="107">
        <v>1</v>
      </c>
      <c r="H81" s="109"/>
      <c r="I81" s="109"/>
      <c r="J81" s="109"/>
      <c r="K81" s="109"/>
      <c r="L81" s="175"/>
      <c r="M81" s="175"/>
      <c r="N81" s="175"/>
      <c r="O81" s="175"/>
      <c r="P81" s="108">
        <f>IF(Table_Shelter[[#This Row],[Status]]="Open",IF(V81="NO",Table_Shelter[[#This Row],[HH per Shelter]]*(Table_Shelter[[#This Row],['# of Temporary Shelter Units Built]]+Table_Shelter[[#This Row],['# of Temporary Shelter Under  Construction]]+Table_Shelter[[#This Row],['# of Permanent House Under Construction]]),0),0)</f>
        <v>0</v>
      </c>
      <c r="Q81" s="108">
        <v>8</v>
      </c>
      <c r="R81" s="108">
        <v>8</v>
      </c>
      <c r="S81" s="175" t="str">
        <f>IFERROR(VLOOKUP(Table_Shelter[[#This Row],[CampName]],CL,2,0),"")</f>
        <v>MMR001CMP111</v>
      </c>
      <c r="T81" s="175" t="str">
        <f>IFERROR(VLOOKUP(Table_Shelter[[#This Row],[CampName]],CL,3,0),"")</f>
        <v>Open</v>
      </c>
      <c r="U81" s="265">
        <f>IFERROR(Table_Shelter[[#This Row],[HH Covered]]/VLOOKUP(Table_Shelter[[#This Row],[CampName]],CL,5,0),"")</f>
        <v>0</v>
      </c>
      <c r="V81" s="175" t="s">
        <v>1305</v>
      </c>
      <c r="W81" s="16"/>
    </row>
    <row r="82" spans="1:23" ht="15" customHeight="1" x14ac:dyDescent="0.25">
      <c r="A82" s="647">
        <v>42003</v>
      </c>
      <c r="B82" s="173" t="s">
        <v>452</v>
      </c>
      <c r="C82" s="173" t="s">
        <v>460</v>
      </c>
      <c r="D82" s="176" t="s">
        <v>380</v>
      </c>
      <c r="E82" s="345" t="s">
        <v>310</v>
      </c>
      <c r="F82" s="173" t="s">
        <v>347</v>
      </c>
      <c r="G82" s="107">
        <v>1</v>
      </c>
      <c r="H82" s="109">
        <v>90</v>
      </c>
      <c r="I82" s="109"/>
      <c r="J82" s="109"/>
      <c r="K82" s="109"/>
      <c r="L82" s="175"/>
      <c r="M82" s="175"/>
      <c r="N82" s="175"/>
      <c r="O82" s="175"/>
      <c r="P82" s="108">
        <f>IF(Table_Shelter[[#This Row],[Status]]="Open",IF(V82="NO",Table_Shelter[[#This Row],[HH per Shelter]]*(Table_Shelter[[#This Row],['# of Temporary Shelter Units Built]]+Table_Shelter[[#This Row],['# of Temporary Shelter Under  Construction]]+Table_Shelter[[#This Row],['# of Permanent House Under Construction]]),0),0)</f>
        <v>0</v>
      </c>
      <c r="Q82" s="108"/>
      <c r="R82" s="175"/>
      <c r="S82" s="175" t="str">
        <f>IFERROR(VLOOKUP(Table_Shelter[[#This Row],[CampName]],CL,2,0),"")</f>
        <v>MMR001CMP041</v>
      </c>
      <c r="T82" s="175" t="str">
        <f>IFERROR(VLOOKUP(Table_Shelter[[#This Row],[CampName]],CL,3,0),"")</f>
        <v>Open</v>
      </c>
      <c r="U82" s="265">
        <f>IFERROR(Table_Shelter[[#This Row],[HH Covered]]/VLOOKUP(Table_Shelter[[#This Row],[CampName]],CL,5,0),"")</f>
        <v>0</v>
      </c>
      <c r="V82" s="265" t="s">
        <v>1305</v>
      </c>
      <c r="W82" s="175"/>
    </row>
    <row r="83" spans="1:23" ht="15" customHeight="1" x14ac:dyDescent="0.25">
      <c r="A83" s="580">
        <v>41974</v>
      </c>
      <c r="B83" s="173" t="s">
        <v>452</v>
      </c>
      <c r="C83" s="173" t="s">
        <v>460</v>
      </c>
      <c r="D83" s="173" t="s">
        <v>380</v>
      </c>
      <c r="E83" s="345" t="s">
        <v>151</v>
      </c>
      <c r="F83" s="173" t="s">
        <v>188</v>
      </c>
      <c r="G83" s="107">
        <v>1</v>
      </c>
      <c r="H83" s="107"/>
      <c r="I83" s="107"/>
      <c r="J83" s="107">
        <v>90</v>
      </c>
      <c r="K83" s="107">
        <v>90</v>
      </c>
      <c r="L83" s="173"/>
      <c r="M83" s="173"/>
      <c r="N83" s="173"/>
      <c r="O83" s="173"/>
      <c r="P83" s="149">
        <f>IF(Table_Shelter[[#This Row],[Status]]="Open",IF(V83="NO",Table_Shelter[[#This Row],[HH per Shelter]]*(Table_Shelter[[#This Row],['# of Temporary Shelter Units Built]]+Table_Shelter[[#This Row],['# of Temporary Shelter Under  Construction]]+Table_Shelter[[#This Row],['# of Permanent House Under Construction]]),0),0)</f>
        <v>90</v>
      </c>
      <c r="Q83" s="106"/>
      <c r="R83" s="173"/>
      <c r="S83" s="174" t="str">
        <f>IFERROR(VLOOKUP(Table_Shelter[[#This Row],[CampName]],CL,2,0),"")</f>
        <v>MMR001CMP129</v>
      </c>
      <c r="T83" s="174" t="str">
        <f>IFERROR(VLOOKUP(Table_Shelter[[#This Row],[CampName]],CL,3,0),"")</f>
        <v>Open</v>
      </c>
      <c r="U83" s="265">
        <f>IFERROR(Table_Shelter[[#This Row],[HH Covered]]/VLOOKUP(Table_Shelter[[#This Row],[CampName]],CL,5,0),"")</f>
        <v>0.21531100478468901</v>
      </c>
      <c r="V83" s="265" t="s">
        <v>1305</v>
      </c>
      <c r="W83" s="175"/>
    </row>
    <row r="84" spans="1:23" ht="15" customHeight="1" x14ac:dyDescent="0.25">
      <c r="A84" s="580">
        <v>41974</v>
      </c>
      <c r="B84" s="173" t="s">
        <v>452</v>
      </c>
      <c r="C84" s="173" t="s">
        <v>460</v>
      </c>
      <c r="D84" s="173" t="s">
        <v>380</v>
      </c>
      <c r="E84" s="345" t="s">
        <v>151</v>
      </c>
      <c r="F84" s="173" t="s">
        <v>1034</v>
      </c>
      <c r="G84" s="107">
        <v>1</v>
      </c>
      <c r="H84" s="107"/>
      <c r="I84" s="107"/>
      <c r="J84" s="107">
        <v>120</v>
      </c>
      <c r="K84" s="107">
        <v>120</v>
      </c>
      <c r="L84" s="173"/>
      <c r="M84" s="173"/>
      <c r="N84" s="173"/>
      <c r="O84" s="173"/>
      <c r="P84" s="149">
        <f>IF(Table_Shelter[[#This Row],[Status]]="Open",IF(V84="NO",Table_Shelter[[#This Row],[HH per Shelter]]*(Table_Shelter[[#This Row],['# of Temporary Shelter Units Built]]+Table_Shelter[[#This Row],['# of Temporary Shelter Under  Construction]]+Table_Shelter[[#This Row],['# of Permanent House Under Construction]]),0),0)</f>
        <v>0</v>
      </c>
      <c r="Q84" s="106"/>
      <c r="R84" s="173"/>
      <c r="S84" s="174" t="str">
        <f>IFERROR(VLOOKUP(Table_Shelter[[#This Row],[CampName]],CL,2,0),"")</f>
        <v>MMR001CMP226</v>
      </c>
      <c r="T84" s="174" t="str">
        <f>IFERROR(VLOOKUP(Table_Shelter[[#This Row],[CampName]],CL,3,0),"")</f>
        <v>Closed</v>
      </c>
      <c r="U84" s="265" t="str">
        <f>IFERROR(Table_Shelter[[#This Row],[HH Covered]]/VLOOKUP(Table_Shelter[[#This Row],[CampName]],CL,5,0),"")</f>
        <v/>
      </c>
      <c r="V84" s="265" t="s">
        <v>1305</v>
      </c>
      <c r="W84" s="175"/>
    </row>
    <row r="85" spans="1:23" ht="15" customHeight="1" x14ac:dyDescent="0.25">
      <c r="A85" s="580">
        <v>41974</v>
      </c>
      <c r="B85" s="173" t="s">
        <v>452</v>
      </c>
      <c r="C85" s="173" t="s">
        <v>460</v>
      </c>
      <c r="D85" s="173" t="s">
        <v>380</v>
      </c>
      <c r="E85" s="345" t="s">
        <v>151</v>
      </c>
      <c r="F85" s="173" t="s">
        <v>198</v>
      </c>
      <c r="G85" s="107">
        <v>1</v>
      </c>
      <c r="H85" s="107"/>
      <c r="I85" s="107"/>
      <c r="J85" s="107">
        <v>118</v>
      </c>
      <c r="K85" s="107">
        <v>118</v>
      </c>
      <c r="L85" s="173"/>
      <c r="M85" s="173"/>
      <c r="N85" s="173"/>
      <c r="O85" s="173"/>
      <c r="P85" s="149">
        <f>IF(Table_Shelter[[#This Row],[Status]]="Open",IF(V85="NO",Table_Shelter[[#This Row],[HH per Shelter]]*(Table_Shelter[[#This Row],['# of Temporary Shelter Units Built]]+Table_Shelter[[#This Row],['# of Temporary Shelter Under  Construction]]+Table_Shelter[[#This Row],['# of Permanent House Under Construction]]),0),0)</f>
        <v>118</v>
      </c>
      <c r="Q85" s="106"/>
      <c r="R85" s="173"/>
      <c r="S85" s="174" t="str">
        <f>IFERROR(VLOOKUP(Table_Shelter[[#This Row],[CampName]],CL,2,0),"")</f>
        <v>MMR001CMP128</v>
      </c>
      <c r="T85" s="174" t="str">
        <f>IFERROR(VLOOKUP(Table_Shelter[[#This Row],[CampName]],CL,3,0),"")</f>
        <v>Open</v>
      </c>
      <c r="U85" s="265">
        <f>IFERROR(Table_Shelter[[#This Row],[HH Covered]]/VLOOKUP(Table_Shelter[[#This Row],[CampName]],CL,5,0),"")</f>
        <v>0.21572212065813529</v>
      </c>
      <c r="V85" s="265" t="s">
        <v>1305</v>
      </c>
      <c r="W85" s="175"/>
    </row>
    <row r="86" spans="1:23" ht="15" customHeight="1" x14ac:dyDescent="0.25">
      <c r="A86" s="580">
        <v>41974</v>
      </c>
      <c r="B86" s="173" t="s">
        <v>452</v>
      </c>
      <c r="C86" s="173" t="s">
        <v>505</v>
      </c>
      <c r="D86" s="180" t="s">
        <v>380</v>
      </c>
      <c r="E86" s="345" t="s">
        <v>527</v>
      </c>
      <c r="F86" s="173" t="s">
        <v>41</v>
      </c>
      <c r="G86" s="107">
        <v>1</v>
      </c>
      <c r="H86" s="107"/>
      <c r="I86" s="107"/>
      <c r="J86" s="107">
        <v>15</v>
      </c>
      <c r="K86" s="107">
        <v>15</v>
      </c>
      <c r="L86" s="173"/>
      <c r="M86" s="173"/>
      <c r="N86" s="173"/>
      <c r="O86" s="173"/>
      <c r="P86" s="108">
        <f>IF(Table_Shelter[[#This Row],[Status]]="Open",IF(V86="NO",Table_Shelter[[#This Row],[HH per Shelter]]*(Table_Shelter[[#This Row],['# of Temporary Shelter Units Built]]+Table_Shelter[[#This Row],['# of Temporary Shelter Under  Construction]]+Table_Shelter[[#This Row],['# of Permanent House Under Construction]]),0),0)</f>
        <v>15</v>
      </c>
      <c r="Q86" s="106"/>
      <c r="R86" s="106"/>
      <c r="S86" s="108" t="str">
        <f>IFERROR(VLOOKUP(Table_Shelter[[#This Row],[CampName]],CL,2,0),"")</f>
        <v>MMR001CMP176</v>
      </c>
      <c r="T86" s="108" t="str">
        <f>IFERROR(VLOOKUP(Table_Shelter[[#This Row],[CampName]],CL,3,0),"")</f>
        <v>Open</v>
      </c>
      <c r="U86" s="265">
        <f>IFERROR(Table_Shelter[[#This Row],[HH Covered]]/VLOOKUP(Table_Shelter[[#This Row],[CampName]],CL,5,0),"")</f>
        <v>0.22388059701492538</v>
      </c>
      <c r="V86" s="265" t="s">
        <v>1305</v>
      </c>
      <c r="W86" s="108"/>
    </row>
    <row r="87" spans="1:23" ht="15" customHeight="1" x14ac:dyDescent="0.25">
      <c r="A87" s="580">
        <v>41974</v>
      </c>
      <c r="B87" s="173" t="s">
        <v>452</v>
      </c>
      <c r="C87" s="173" t="s">
        <v>505</v>
      </c>
      <c r="D87" s="173" t="s">
        <v>380</v>
      </c>
      <c r="E87" s="345" t="s">
        <v>527</v>
      </c>
      <c r="F87" s="173" t="s">
        <v>43</v>
      </c>
      <c r="G87" s="107">
        <v>1</v>
      </c>
      <c r="H87" s="107"/>
      <c r="I87" s="107"/>
      <c r="J87" s="107">
        <v>5</v>
      </c>
      <c r="K87" s="107">
        <v>5</v>
      </c>
      <c r="L87" s="173"/>
      <c r="M87" s="173"/>
      <c r="N87" s="173"/>
      <c r="O87" s="173"/>
      <c r="P87" s="108">
        <f>IF(Table_Shelter[[#This Row],[Status]]="Open",IF(V87="NO",Table_Shelter[[#This Row],[HH per Shelter]]*(Table_Shelter[[#This Row],['# of Temporary Shelter Units Built]]+Table_Shelter[[#This Row],['# of Temporary Shelter Under  Construction]]+Table_Shelter[[#This Row],['# of Permanent House Under Construction]]),0),0)</f>
        <v>5</v>
      </c>
      <c r="Q87" s="106"/>
      <c r="R87" s="106"/>
      <c r="S87" s="108" t="str">
        <f>IFERROR(VLOOKUP(Table_Shelter[[#This Row],[CampName]],CL,2,0),"")</f>
        <v>MMR001CMP190</v>
      </c>
      <c r="T87" s="108" t="str">
        <f>IFERROR(VLOOKUP(Table_Shelter[[#This Row],[CampName]],CL,3,0),"")</f>
        <v>Open</v>
      </c>
      <c r="U87" s="265">
        <f>IFERROR(Table_Shelter[[#This Row],[HH Covered]]/VLOOKUP(Table_Shelter[[#This Row],[CampName]],CL,5,0),"")</f>
        <v>0.35714285714285715</v>
      </c>
      <c r="V87" s="265" t="s">
        <v>1305</v>
      </c>
      <c r="W87" s="108"/>
    </row>
    <row r="88" spans="1:23" ht="15" customHeight="1" x14ac:dyDescent="0.25">
      <c r="A88" s="580">
        <v>41974</v>
      </c>
      <c r="B88" s="173" t="s">
        <v>452</v>
      </c>
      <c r="C88" s="173" t="s">
        <v>505</v>
      </c>
      <c r="D88" s="176" t="s">
        <v>380</v>
      </c>
      <c r="E88" s="345" t="s">
        <v>527</v>
      </c>
      <c r="F88" s="173" t="s">
        <v>58</v>
      </c>
      <c r="G88" s="107">
        <v>1</v>
      </c>
      <c r="H88" s="107"/>
      <c r="I88" s="107"/>
      <c r="J88" s="107">
        <v>5</v>
      </c>
      <c r="K88" s="107">
        <v>5</v>
      </c>
      <c r="L88" s="173"/>
      <c r="M88" s="173"/>
      <c r="N88" s="173"/>
      <c r="O88" s="173"/>
      <c r="P88" s="108">
        <f>IF(Table_Shelter[[#This Row],[Status]]="Open",IF(V88="NO",Table_Shelter[[#This Row],[HH per Shelter]]*(Table_Shelter[[#This Row],['# of Temporary Shelter Units Built]]+Table_Shelter[[#This Row],['# of Temporary Shelter Under  Construction]]+Table_Shelter[[#This Row],['# of Permanent House Under Construction]]),0),0)</f>
        <v>0</v>
      </c>
      <c r="Q88" s="106"/>
      <c r="R88" s="106"/>
      <c r="S88" s="108" t="str">
        <f>IFERROR(VLOOKUP(Table_Shelter[[#This Row],[CampName]],CL,2,0),"")</f>
        <v>MMR001CMP188</v>
      </c>
      <c r="T88" s="108" t="str">
        <f>IFERROR(VLOOKUP(Table_Shelter[[#This Row],[CampName]],CL,3,0),"")</f>
        <v>Closed</v>
      </c>
      <c r="U88" s="265" t="str">
        <f>IFERROR(Table_Shelter[[#This Row],[HH Covered]]/VLOOKUP(Table_Shelter[[#This Row],[CampName]],CL,5,0),"")</f>
        <v/>
      </c>
      <c r="V88" s="265" t="s">
        <v>1305</v>
      </c>
      <c r="W88" s="108"/>
    </row>
    <row r="89" spans="1:23" ht="15" customHeight="1" x14ac:dyDescent="0.25">
      <c r="A89" s="811">
        <v>41974</v>
      </c>
      <c r="B89" s="175" t="s">
        <v>452</v>
      </c>
      <c r="C89" s="175" t="s">
        <v>505</v>
      </c>
      <c r="D89" s="175" t="s">
        <v>380</v>
      </c>
      <c r="E89" s="179" t="s">
        <v>527</v>
      </c>
      <c r="F89" s="175" t="s">
        <v>72</v>
      </c>
      <c r="G89" s="109">
        <v>1</v>
      </c>
      <c r="H89" s="109"/>
      <c r="I89" s="109"/>
      <c r="J89" s="109">
        <v>2</v>
      </c>
      <c r="K89" s="109">
        <v>2</v>
      </c>
      <c r="L89" s="175"/>
      <c r="M89" s="175"/>
      <c r="N89" s="175"/>
      <c r="O89" s="175"/>
      <c r="P89" s="108">
        <f>IF(Table_Shelter[[#This Row],[Status]]="Open",IF(V89="NO",Table_Shelter[[#This Row],[HH per Shelter]]*(Table_Shelter[[#This Row],['# of Temporary Shelter Units Built]]+Table_Shelter[[#This Row],['# of Temporary Shelter Under  Construction]]+Table_Shelter[[#This Row],['# of Permanent House Under Construction]]),0),0)</f>
        <v>2</v>
      </c>
      <c r="Q89" s="108"/>
      <c r="R89" s="108"/>
      <c r="S89" s="108" t="str">
        <f>IFERROR(VLOOKUP(Table_Shelter[[#This Row],[CampName]],CL,2,0),"")</f>
        <v>MMR001CMP109</v>
      </c>
      <c r="T89" s="108" t="str">
        <f>IFERROR(VLOOKUP(Table_Shelter[[#This Row],[CampName]],CL,3,0),"")</f>
        <v>Open</v>
      </c>
      <c r="U89" s="265">
        <f>IFERROR(Table_Shelter[[#This Row],[HH Covered]]/VLOOKUP(Table_Shelter[[#This Row],[CampName]],CL,5,0),"")</f>
        <v>0.33333333333333331</v>
      </c>
      <c r="V89" s="265" t="s">
        <v>1305</v>
      </c>
      <c r="W89" s="108"/>
    </row>
    <row r="90" spans="1:23" ht="15" customHeight="1" x14ac:dyDescent="0.25">
      <c r="A90" s="580">
        <v>41974</v>
      </c>
      <c r="B90" s="173" t="s">
        <v>452</v>
      </c>
      <c r="C90" s="173" t="s">
        <v>505</v>
      </c>
      <c r="D90" s="173" t="s">
        <v>380</v>
      </c>
      <c r="E90" s="345" t="s">
        <v>27</v>
      </c>
      <c r="F90" s="173" t="s">
        <v>1103</v>
      </c>
      <c r="G90" s="107">
        <v>1</v>
      </c>
      <c r="H90" s="107"/>
      <c r="I90" s="107"/>
      <c r="J90" s="107">
        <v>5</v>
      </c>
      <c r="K90" s="107">
        <v>5</v>
      </c>
      <c r="L90" s="173"/>
      <c r="M90" s="173"/>
      <c r="N90" s="173"/>
      <c r="O90" s="173"/>
      <c r="P90" s="149">
        <f>IF(Table_Shelter[[#This Row],[Status]]="Open",IF(V90="NO",Table_Shelter[[#This Row],[HH per Shelter]]*(Table_Shelter[[#This Row],['# of Temporary Shelter Units Built]]+Table_Shelter[[#This Row],['# of Temporary Shelter Under  Construction]]+Table_Shelter[[#This Row],['# of Permanent House Under Construction]]),0),0)</f>
        <v>5</v>
      </c>
      <c r="Q90" s="106"/>
      <c r="R90" s="173"/>
      <c r="S90" s="174" t="str">
        <f>IFERROR(VLOOKUP(Table_Shelter[[#This Row],[CampName]],CL,2,0),"")</f>
        <v>MMR001CMP042</v>
      </c>
      <c r="T90" s="174" t="str">
        <f>IFERROR(VLOOKUP(Table_Shelter[[#This Row],[CampName]],CL,3,0),"")</f>
        <v>Open</v>
      </c>
      <c r="U90" s="265">
        <f>IFERROR(Table_Shelter[[#This Row],[HH Covered]]/VLOOKUP(Table_Shelter[[#This Row],[CampName]],CL,5,0),"")</f>
        <v>4.5454545454545456E-2</v>
      </c>
      <c r="V90" s="265" t="s">
        <v>1305</v>
      </c>
      <c r="W90" s="175"/>
    </row>
    <row r="91" spans="1:23" ht="15" customHeight="1" x14ac:dyDescent="0.25">
      <c r="A91" s="811">
        <v>41974</v>
      </c>
      <c r="B91" s="175" t="s">
        <v>452</v>
      </c>
      <c r="C91" s="175" t="s">
        <v>505</v>
      </c>
      <c r="D91" s="175" t="s">
        <v>380</v>
      </c>
      <c r="E91" s="179" t="s">
        <v>527</v>
      </c>
      <c r="F91" s="175" t="s">
        <v>76</v>
      </c>
      <c r="G91" s="109">
        <v>1</v>
      </c>
      <c r="H91" s="109"/>
      <c r="I91" s="109"/>
      <c r="J91" s="109">
        <v>45</v>
      </c>
      <c r="K91" s="109">
        <v>45</v>
      </c>
      <c r="L91" s="175"/>
      <c r="M91" s="175"/>
      <c r="N91" s="175"/>
      <c r="O91" s="175"/>
      <c r="P91" s="149">
        <f>IF(Table_Shelter[[#This Row],[Status]]="Open",IF(V91="NO",Table_Shelter[[#This Row],[HH per Shelter]]*(Table_Shelter[[#This Row],['# of Temporary Shelter Units Built]]+Table_Shelter[[#This Row],['# of Temporary Shelter Under  Construction]]+Table_Shelter[[#This Row],['# of Permanent House Under Construction]]),0),0)</f>
        <v>45</v>
      </c>
      <c r="Q91" s="108"/>
      <c r="R91" s="175"/>
      <c r="S91" s="174" t="str">
        <f>IFERROR(VLOOKUP(Table_Shelter[[#This Row],[CampName]],CL,2,0),"")</f>
        <v>MMR001CMP174</v>
      </c>
      <c r="T91" s="174" t="str">
        <f>IFERROR(VLOOKUP(Table_Shelter[[#This Row],[CampName]],CL,3,0),"")</f>
        <v>Open</v>
      </c>
      <c r="U91" s="265">
        <f>IFERROR(Table_Shelter[[#This Row],[HH Covered]]/VLOOKUP(Table_Shelter[[#This Row],[CampName]],CL,5,0),"")</f>
        <v>0.68181818181818177</v>
      </c>
      <c r="V91" s="265" t="s">
        <v>1305</v>
      </c>
      <c r="W91" s="175"/>
    </row>
    <row r="92" spans="1:23" ht="15" customHeight="1" x14ac:dyDescent="0.25">
      <c r="A92" s="811">
        <v>41974</v>
      </c>
      <c r="B92" s="175" t="s">
        <v>452</v>
      </c>
      <c r="C92" s="175" t="s">
        <v>506</v>
      </c>
      <c r="D92" s="175" t="s">
        <v>380</v>
      </c>
      <c r="E92" s="179" t="s">
        <v>185</v>
      </c>
      <c r="F92" s="175" t="s">
        <v>194</v>
      </c>
      <c r="G92" s="109">
        <v>1</v>
      </c>
      <c r="H92" s="109"/>
      <c r="I92" s="109"/>
      <c r="J92" s="109">
        <v>280</v>
      </c>
      <c r="K92" s="109">
        <v>280</v>
      </c>
      <c r="L92" s="175"/>
      <c r="M92" s="175"/>
      <c r="N92" s="175"/>
      <c r="O92" s="175"/>
      <c r="P92" s="149">
        <f>IF(Table_Shelter[[#This Row],[Status]]="Open",IF(V92="NO",Table_Shelter[[#This Row],[HH per Shelter]]*(Table_Shelter[[#This Row],['# of Temporary Shelter Units Built]]+Table_Shelter[[#This Row],['# of Temporary Shelter Under  Construction]]+Table_Shelter[[#This Row],['# of Permanent House Under Construction]]),0),0)</f>
        <v>280</v>
      </c>
      <c r="Q92" s="108"/>
      <c r="R92" s="175"/>
      <c r="S92" s="174" t="str">
        <f>IFERROR(VLOOKUP(Table_Shelter[[#This Row],[CampName]],CL,2,0),"")</f>
        <v>MMR001CMP122</v>
      </c>
      <c r="T92" s="174" t="str">
        <f>IFERROR(VLOOKUP(Table_Shelter[[#This Row],[CampName]],CL,3,0),"")</f>
        <v>Open</v>
      </c>
      <c r="U92" s="265">
        <f>IFERROR(Table_Shelter[[#This Row],[HH Covered]]/VLOOKUP(Table_Shelter[[#This Row],[CampName]],CL,5,0),"")</f>
        <v>0.43681747269890797</v>
      </c>
      <c r="V92" s="265" t="s">
        <v>1305</v>
      </c>
      <c r="W92" s="175"/>
    </row>
    <row r="93" spans="1:23" ht="15" customHeight="1" x14ac:dyDescent="0.25">
      <c r="A93" s="580">
        <v>41974</v>
      </c>
      <c r="B93" s="173" t="s">
        <v>452</v>
      </c>
      <c r="C93" s="173" t="s">
        <v>506</v>
      </c>
      <c r="D93" s="173" t="s">
        <v>380</v>
      </c>
      <c r="E93" s="345" t="s">
        <v>185</v>
      </c>
      <c r="F93" s="173" t="s">
        <v>196</v>
      </c>
      <c r="G93" s="107">
        <v>1</v>
      </c>
      <c r="H93" s="107"/>
      <c r="I93" s="107"/>
      <c r="J93" s="107">
        <v>278</v>
      </c>
      <c r="K93" s="107">
        <v>278</v>
      </c>
      <c r="L93" s="173"/>
      <c r="M93" s="173"/>
      <c r="N93" s="173"/>
      <c r="O93" s="173"/>
      <c r="P93" s="149">
        <f>IF(Table_Shelter[[#This Row],[Status]]="Open",IF(V93="NO",Table_Shelter[[#This Row],[HH per Shelter]]*(Table_Shelter[[#This Row],['# of Temporary Shelter Units Built]]+Table_Shelter[[#This Row],['# of Temporary Shelter Under  Construction]]+Table_Shelter[[#This Row],['# of Permanent House Under Construction]]),0),0)</f>
        <v>278</v>
      </c>
      <c r="Q93" s="106"/>
      <c r="R93" s="173"/>
      <c r="S93" s="174" t="str">
        <f>IFERROR(VLOOKUP(Table_Shelter[[#This Row],[CampName]],CL,2,0),"")</f>
        <v>MMR001CMP121</v>
      </c>
      <c r="T93" s="174" t="str">
        <f>IFERROR(VLOOKUP(Table_Shelter[[#This Row],[CampName]],CL,3,0),"")</f>
        <v>Open</v>
      </c>
      <c r="U93" s="265">
        <f>IFERROR(Table_Shelter[[#This Row],[HH Covered]]/VLOOKUP(Table_Shelter[[#This Row],[CampName]],CL,5,0),"")</f>
        <v>0.16858702243784113</v>
      </c>
      <c r="V93" s="265" t="s">
        <v>1305</v>
      </c>
      <c r="W93" s="175"/>
    </row>
    <row r="94" spans="1:23" ht="15" customHeight="1" x14ac:dyDescent="0.25">
      <c r="A94" s="647">
        <v>41974</v>
      </c>
      <c r="B94" s="175" t="s">
        <v>452</v>
      </c>
      <c r="C94" s="175" t="s">
        <v>505</v>
      </c>
      <c r="D94" s="175" t="s">
        <v>380</v>
      </c>
      <c r="E94" s="179" t="s">
        <v>27</v>
      </c>
      <c r="F94" s="175" t="s">
        <v>365</v>
      </c>
      <c r="G94" s="109">
        <v>1</v>
      </c>
      <c r="H94" s="109"/>
      <c r="I94" s="109"/>
      <c r="J94" s="109">
        <v>35</v>
      </c>
      <c r="K94" s="109">
        <v>35</v>
      </c>
      <c r="L94" s="175"/>
      <c r="M94" s="175"/>
      <c r="N94" s="175"/>
      <c r="O94" s="175"/>
      <c r="P94" s="108">
        <f>IF(Table_Shelter[[#This Row],[Status]]="Open",IF(V94="NO",Table_Shelter[[#This Row],[HH per Shelter]]*(Table_Shelter[[#This Row],['# of Temporary Shelter Units Built]]+Table_Shelter[[#This Row],['# of Temporary Shelter Under  Construction]]+Table_Shelter[[#This Row],['# of Permanent House Under Construction]]),0),0)</f>
        <v>35</v>
      </c>
      <c r="Q94" s="108"/>
      <c r="R94" s="108"/>
      <c r="S94" s="108" t="str">
        <f>IFERROR(VLOOKUP(Table_Shelter[[#This Row],[CampName]],CL,2,0),"")</f>
        <v>MMR001CMP195</v>
      </c>
      <c r="T94" s="108" t="str">
        <f>IFERROR(VLOOKUP(Table_Shelter[[#This Row],[CampName]],CL,3,0),"")</f>
        <v>Open</v>
      </c>
      <c r="U94" s="265">
        <f>IFERROR(Table_Shelter[[#This Row],[HH Covered]]/VLOOKUP(Table_Shelter[[#This Row],[CampName]],CL,5,0),"")</f>
        <v>0.24475524475524477</v>
      </c>
      <c r="V94" s="265" t="s">
        <v>1305</v>
      </c>
      <c r="W94" s="108"/>
    </row>
    <row r="95" spans="1:23" ht="15" customHeight="1" x14ac:dyDescent="0.25">
      <c r="A95" s="580">
        <v>41974</v>
      </c>
      <c r="B95" s="173" t="s">
        <v>452</v>
      </c>
      <c r="C95" s="173" t="s">
        <v>505</v>
      </c>
      <c r="D95" s="173" t="s">
        <v>380</v>
      </c>
      <c r="E95" s="345" t="s">
        <v>527</v>
      </c>
      <c r="F95" s="173" t="s">
        <v>90</v>
      </c>
      <c r="G95" s="107">
        <v>1</v>
      </c>
      <c r="H95" s="107"/>
      <c r="I95" s="107"/>
      <c r="J95" s="107">
        <v>5</v>
      </c>
      <c r="K95" s="107">
        <v>5</v>
      </c>
      <c r="L95" s="173"/>
      <c r="M95" s="173"/>
      <c r="N95" s="173"/>
      <c r="O95" s="173"/>
      <c r="P95" s="108">
        <f>IF(Table_Shelter[[#This Row],[Status]]="Open",IF(V95="NO",Table_Shelter[[#This Row],[HH per Shelter]]*(Table_Shelter[[#This Row],['# of Temporary Shelter Units Built]]+Table_Shelter[[#This Row],['# of Temporary Shelter Under  Construction]]+Table_Shelter[[#This Row],['# of Permanent House Under Construction]]),0),0)</f>
        <v>5</v>
      </c>
      <c r="Q95" s="106"/>
      <c r="R95" s="106"/>
      <c r="S95" s="108" t="str">
        <f>IFERROR(VLOOKUP(Table_Shelter[[#This Row],[CampName]],CL,2,0),"")</f>
        <v>MMR001CMP181</v>
      </c>
      <c r="T95" s="108" t="str">
        <f>IFERROR(VLOOKUP(Table_Shelter[[#This Row],[CampName]],CL,3,0),"")</f>
        <v>Open</v>
      </c>
      <c r="U95" s="265">
        <f>IFERROR(Table_Shelter[[#This Row],[HH Covered]]/VLOOKUP(Table_Shelter[[#This Row],[CampName]],CL,5,0),"")</f>
        <v>0.2</v>
      </c>
      <c r="V95" s="265" t="s">
        <v>1305</v>
      </c>
      <c r="W95" s="108"/>
    </row>
    <row r="96" spans="1:23" ht="15" customHeight="1" x14ac:dyDescent="0.25">
      <c r="A96" s="580">
        <v>41974</v>
      </c>
      <c r="B96" s="173" t="s">
        <v>452</v>
      </c>
      <c r="C96" s="173" t="s">
        <v>505</v>
      </c>
      <c r="D96" s="173" t="s">
        <v>380</v>
      </c>
      <c r="E96" s="345" t="s">
        <v>527</v>
      </c>
      <c r="F96" s="173" t="s">
        <v>92</v>
      </c>
      <c r="G96" s="107">
        <v>1</v>
      </c>
      <c r="H96" s="107"/>
      <c r="I96" s="107"/>
      <c r="J96" s="107">
        <v>15</v>
      </c>
      <c r="K96" s="107">
        <v>15</v>
      </c>
      <c r="L96" s="173"/>
      <c r="M96" s="173"/>
      <c r="N96" s="173"/>
      <c r="O96" s="173"/>
      <c r="P96" s="149">
        <f>IF(Table_Shelter[[#This Row],[Status]]="Open",IF(V96="NO",Table_Shelter[[#This Row],[HH per Shelter]]*(Table_Shelter[[#This Row],['# of Temporary Shelter Units Built]]+Table_Shelter[[#This Row],['# of Temporary Shelter Under  Construction]]+Table_Shelter[[#This Row],['# of Permanent House Under Construction]]),0),0)</f>
        <v>15</v>
      </c>
      <c r="Q96" s="106"/>
      <c r="R96" s="173"/>
      <c r="S96" s="174" t="str">
        <f>IFERROR(VLOOKUP(Table_Shelter[[#This Row],[CampName]],CL,2,0),"")</f>
        <v>MMR001CMP167</v>
      </c>
      <c r="T96" s="174" t="str">
        <f>IFERROR(VLOOKUP(Table_Shelter[[#This Row],[CampName]],CL,3,0),"")</f>
        <v>Open</v>
      </c>
      <c r="U96" s="265">
        <f>IFERROR(Table_Shelter[[#This Row],[HH Covered]]/VLOOKUP(Table_Shelter[[#This Row],[CampName]],CL,5,0),"")</f>
        <v>1</v>
      </c>
      <c r="V96" s="265" t="s">
        <v>1305</v>
      </c>
      <c r="W96" s="175"/>
    </row>
    <row r="97" spans="1:118" s="147" customFormat="1" ht="15" customHeight="1" x14ac:dyDescent="0.25">
      <c r="A97" s="811">
        <v>41974</v>
      </c>
      <c r="B97" s="175" t="s">
        <v>452</v>
      </c>
      <c r="C97" s="175" t="s">
        <v>505</v>
      </c>
      <c r="D97" s="175" t="s">
        <v>380</v>
      </c>
      <c r="E97" s="179" t="s">
        <v>5</v>
      </c>
      <c r="F97" s="175" t="s">
        <v>18</v>
      </c>
      <c r="G97" s="109">
        <v>1</v>
      </c>
      <c r="H97" s="109"/>
      <c r="I97" s="109"/>
      <c r="J97" s="109">
        <v>15</v>
      </c>
      <c r="K97" s="109">
        <v>15</v>
      </c>
      <c r="L97" s="175"/>
      <c r="M97" s="175"/>
      <c r="N97" s="175"/>
      <c r="O97" s="175"/>
      <c r="P97" s="149">
        <f>IF(Table_Shelter[[#This Row],[Status]]="Open",IF(V97="NO",Table_Shelter[[#This Row],[HH per Shelter]]*(Table_Shelter[[#This Row],['# of Temporary Shelter Units Built]]+Table_Shelter[[#This Row],['# of Temporary Shelter Under  Construction]]+Table_Shelter[[#This Row],['# of Permanent House Under Construction]]),0),0)</f>
        <v>15</v>
      </c>
      <c r="Q97" s="108">
        <v>8</v>
      </c>
      <c r="R97" s="175"/>
      <c r="S97" s="174" t="str">
        <f>IFERROR(VLOOKUP(Table_Shelter[[#This Row],[CampName]],CL,2,0),"")</f>
        <v>MMR001CMP049</v>
      </c>
      <c r="T97" s="174" t="str">
        <f>IFERROR(VLOOKUP(Table_Shelter[[#This Row],[CampName]],CL,3,0),"")</f>
        <v>Open</v>
      </c>
      <c r="U97" s="265">
        <f>IFERROR(Table_Shelter[[#This Row],[HH Covered]]/VLOOKUP(Table_Shelter[[#This Row],[CampName]],CL,5,0),"")</f>
        <v>0.12931034482758622</v>
      </c>
      <c r="V97" s="265" t="s">
        <v>1305</v>
      </c>
      <c r="W97" s="175"/>
      <c r="X97" s="444"/>
      <c r="Y97" s="444"/>
      <c r="Z97" s="444"/>
      <c r="AA97" s="444"/>
      <c r="AB97" s="444"/>
      <c r="AC97" s="444"/>
      <c r="AD97" s="444"/>
      <c r="AE97" s="444"/>
      <c r="AF97" s="444"/>
      <c r="AG97" s="444"/>
      <c r="AH97" s="444"/>
      <c r="AI97" s="444"/>
      <c r="AJ97" s="444"/>
      <c r="AK97" s="444"/>
      <c r="AL97" s="444"/>
      <c r="AM97" s="444"/>
      <c r="AN97" s="444"/>
      <c r="AO97" s="444"/>
      <c r="AP97" s="444"/>
      <c r="AQ97" s="444"/>
      <c r="AR97" s="444"/>
      <c r="AS97" s="444"/>
      <c r="AT97" s="444"/>
      <c r="AU97" s="444"/>
      <c r="AV97" s="444"/>
      <c r="AW97" s="444"/>
      <c r="AX97" s="444"/>
      <c r="AY97" s="444"/>
      <c r="AZ97" s="444"/>
      <c r="BA97" s="444"/>
      <c r="BB97" s="444"/>
      <c r="BC97" s="444"/>
      <c r="BD97" s="444"/>
      <c r="BE97" s="444"/>
      <c r="BF97" s="444"/>
      <c r="BG97" s="444"/>
      <c r="BH97" s="444"/>
      <c r="BI97" s="444"/>
      <c r="BJ97" s="444"/>
      <c r="BK97" s="444"/>
      <c r="BL97" s="444"/>
      <c r="BM97" s="444"/>
      <c r="BN97" s="444"/>
      <c r="BO97" s="444"/>
      <c r="BP97" s="444"/>
      <c r="BQ97" s="444"/>
      <c r="BR97" s="444"/>
      <c r="BS97" s="444"/>
      <c r="BT97" s="444"/>
      <c r="BU97" s="444"/>
      <c r="BV97" s="444"/>
      <c r="BW97" s="444"/>
      <c r="BX97" s="444"/>
      <c r="BY97" s="444"/>
      <c r="BZ97" s="444"/>
      <c r="CA97" s="444"/>
      <c r="CB97" s="444"/>
      <c r="CC97" s="444"/>
      <c r="CD97" s="444"/>
      <c r="CE97" s="444"/>
      <c r="CF97" s="44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row>
    <row r="98" spans="1:118" s="147" customFormat="1" ht="15" customHeight="1" x14ac:dyDescent="0.25">
      <c r="A98" s="811">
        <v>41974</v>
      </c>
      <c r="B98" s="173" t="s">
        <v>846</v>
      </c>
      <c r="C98" s="173"/>
      <c r="D98" s="176" t="s">
        <v>553</v>
      </c>
      <c r="E98" s="345" t="s">
        <v>230</v>
      </c>
      <c r="F98" s="173" t="s">
        <v>1053</v>
      </c>
      <c r="G98" s="107">
        <v>1</v>
      </c>
      <c r="H98" s="109"/>
      <c r="I98" s="109"/>
      <c r="J98" s="109">
        <v>44</v>
      </c>
      <c r="K98" s="109">
        <v>44</v>
      </c>
      <c r="L98" s="175"/>
      <c r="M98" s="175"/>
      <c r="N98" s="175"/>
      <c r="O98" s="175"/>
      <c r="P98" s="108">
        <f>IF(Table_Shelter[[#This Row],[Status]]="Open",IF(V98="NO",Table_Shelter[[#This Row],[HH per Shelter]]*(Table_Shelter[[#This Row],['# of Temporary Shelter Units Built]]+Table_Shelter[[#This Row],['# of Temporary Shelter Under  Construction]]+Table_Shelter[[#This Row],['# of Permanent House Under Construction]]),0),0)</f>
        <v>44</v>
      </c>
      <c r="Q98" s="108"/>
      <c r="R98" s="175"/>
      <c r="S98" s="175" t="str">
        <f>IFERROR(VLOOKUP(Table_Shelter[[#This Row],[CampName]],CL,2,0),"")</f>
        <v>MMR015CMP213</v>
      </c>
      <c r="T98" s="175" t="str">
        <f>IFERROR(VLOOKUP(Table_Shelter[[#This Row],[CampName]],CL,3,0),"")</f>
        <v>Open</v>
      </c>
      <c r="U98" s="265">
        <f>IFERROR(Table_Shelter[[#This Row],[HH Covered]]/VLOOKUP(Table_Shelter[[#This Row],[CampName]],CL,5,0),"")</f>
        <v>0.86274509803921573</v>
      </c>
      <c r="V98" s="265" t="s">
        <v>1305</v>
      </c>
      <c r="W98" s="175"/>
      <c r="X98" s="444"/>
      <c r="Y98" s="444"/>
      <c r="Z98" s="444"/>
      <c r="AA98" s="444"/>
      <c r="AB98" s="444"/>
      <c r="AC98" s="444"/>
      <c r="AD98" s="444"/>
      <c r="AE98" s="444"/>
      <c r="AF98" s="444"/>
      <c r="AG98" s="444"/>
      <c r="AH98" s="444"/>
      <c r="AI98" s="444"/>
      <c r="AJ98" s="444"/>
      <c r="AK98" s="444"/>
      <c r="AL98" s="444"/>
      <c r="AM98" s="444"/>
      <c r="AN98" s="444"/>
      <c r="AO98" s="444"/>
      <c r="AP98" s="444"/>
      <c r="AQ98" s="444"/>
      <c r="AR98" s="444"/>
      <c r="AS98" s="444"/>
      <c r="AT98" s="444"/>
      <c r="AU98" s="444"/>
      <c r="AV98" s="444"/>
      <c r="AW98" s="444"/>
      <c r="AX98" s="444"/>
      <c r="AY98" s="444"/>
      <c r="AZ98" s="444"/>
      <c r="BA98" s="444"/>
      <c r="BB98" s="444"/>
      <c r="BC98" s="444"/>
      <c r="BD98" s="444"/>
      <c r="BE98" s="444"/>
      <c r="BF98" s="444"/>
      <c r="BG98" s="444"/>
      <c r="BH98" s="444"/>
      <c r="BI98" s="444"/>
      <c r="BJ98" s="444"/>
      <c r="BK98" s="444"/>
      <c r="BL98" s="444"/>
      <c r="BM98" s="444"/>
      <c r="BN98" s="444"/>
      <c r="BO98" s="444"/>
      <c r="BP98" s="444"/>
      <c r="BQ98" s="444"/>
      <c r="BR98" s="444"/>
      <c r="BS98" s="444"/>
      <c r="BT98" s="444"/>
      <c r="BU98" s="444"/>
      <c r="BV98" s="444"/>
      <c r="BW98" s="444"/>
      <c r="BX98" s="444"/>
      <c r="BY98" s="444"/>
      <c r="BZ98" s="444"/>
      <c r="CA98" s="444"/>
      <c r="CB98" s="444"/>
      <c r="CC98" s="444"/>
      <c r="CD98" s="444"/>
      <c r="CE98" s="444"/>
      <c r="CF98" s="44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s="147" customFormat="1" ht="15" customHeight="1" x14ac:dyDescent="0.25">
      <c r="A99" s="811">
        <v>41974</v>
      </c>
      <c r="B99" s="173" t="s">
        <v>452</v>
      </c>
      <c r="C99" s="173" t="s">
        <v>505</v>
      </c>
      <c r="D99" s="176" t="s">
        <v>380</v>
      </c>
      <c r="E99" s="345" t="s">
        <v>527</v>
      </c>
      <c r="F99" s="173" t="s">
        <v>611</v>
      </c>
      <c r="G99" s="107">
        <v>1</v>
      </c>
      <c r="H99" s="109"/>
      <c r="I99" s="109"/>
      <c r="J99" s="109">
        <v>5</v>
      </c>
      <c r="K99" s="109">
        <v>5</v>
      </c>
      <c r="L99" s="175"/>
      <c r="M99" s="175"/>
      <c r="N99" s="175"/>
      <c r="O99" s="175"/>
      <c r="P99" s="108">
        <f>IF(Table_Shelter[[#This Row],[Status]]="Open",IF(V99="NO",Table_Shelter[[#This Row],[HH per Shelter]]*(Table_Shelter[[#This Row],['# of Temporary Shelter Units Built]]+Table_Shelter[[#This Row],['# of Temporary Shelter Under  Construction]]+Table_Shelter[[#This Row],['# of Permanent House Under Construction]]),0),0)</f>
        <v>5</v>
      </c>
      <c r="Q99" s="108"/>
      <c r="R99" s="108"/>
      <c r="S99" s="108" t="str">
        <f>IFERROR(VLOOKUP(Table_Shelter[[#This Row],[CampName]],CL,2,0),"")</f>
        <v>MMR001CMP192</v>
      </c>
      <c r="T99" s="108" t="str">
        <f>IFERROR(VLOOKUP(Table_Shelter[[#This Row],[CampName]],CL,3,0),"")</f>
        <v>Open</v>
      </c>
      <c r="U99" s="265">
        <f>IFERROR(Table_Shelter[[#This Row],[HH Covered]]/VLOOKUP(Table_Shelter[[#This Row],[CampName]],CL,5,0),"")</f>
        <v>0.41666666666666669</v>
      </c>
      <c r="V99" s="265" t="s">
        <v>1305</v>
      </c>
      <c r="W99" s="108"/>
      <c r="X99" s="444"/>
      <c r="Y99" s="444"/>
      <c r="Z99" s="444"/>
      <c r="AA99" s="444"/>
      <c r="AB99" s="444"/>
      <c r="AC99" s="444"/>
      <c r="AD99" s="444"/>
      <c r="AE99" s="444"/>
      <c r="AF99" s="444"/>
      <c r="AG99" s="444"/>
      <c r="AH99" s="444"/>
      <c r="AI99" s="444"/>
      <c r="AJ99" s="444"/>
      <c r="AK99" s="444"/>
      <c r="AL99" s="444"/>
      <c r="AM99" s="444"/>
      <c r="AN99" s="444"/>
      <c r="AO99" s="444"/>
      <c r="AP99" s="444"/>
      <c r="AQ99" s="444"/>
      <c r="AR99" s="444"/>
      <c r="AS99" s="444"/>
      <c r="AT99" s="444"/>
      <c r="AU99" s="444"/>
      <c r="AV99" s="444"/>
      <c r="AW99" s="444"/>
      <c r="AX99" s="444"/>
      <c r="AY99" s="444"/>
      <c r="AZ99" s="444"/>
      <c r="BA99" s="444"/>
      <c r="BB99" s="444"/>
      <c r="BC99" s="444"/>
      <c r="BD99" s="444"/>
      <c r="BE99" s="444"/>
      <c r="BF99" s="444"/>
      <c r="BG99" s="444"/>
      <c r="BH99" s="444"/>
      <c r="BI99" s="444"/>
      <c r="BJ99" s="444"/>
      <c r="BK99" s="444"/>
      <c r="BL99" s="444"/>
      <c r="BM99" s="444"/>
      <c r="BN99" s="444"/>
      <c r="BO99" s="444"/>
      <c r="BP99" s="444"/>
      <c r="BQ99" s="444"/>
      <c r="BR99" s="444"/>
      <c r="BS99" s="444"/>
      <c r="BT99" s="444"/>
      <c r="BU99" s="444"/>
      <c r="BV99" s="444"/>
      <c r="BW99" s="444"/>
      <c r="BX99" s="444"/>
      <c r="BY99" s="444"/>
      <c r="BZ99" s="444"/>
      <c r="CA99" s="444"/>
      <c r="CB99" s="444"/>
      <c r="CC99" s="444"/>
      <c r="CD99" s="444"/>
      <c r="CE99" s="444"/>
      <c r="CF99" s="44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ht="15" customHeight="1" x14ac:dyDescent="0.25">
      <c r="A100" s="811">
        <v>41974</v>
      </c>
      <c r="B100" s="173" t="s">
        <v>452</v>
      </c>
      <c r="C100" s="173" t="s">
        <v>505</v>
      </c>
      <c r="D100" s="176" t="s">
        <v>380</v>
      </c>
      <c r="E100" s="345" t="s">
        <v>310</v>
      </c>
      <c r="F100" s="173" t="s">
        <v>344</v>
      </c>
      <c r="G100" s="107">
        <v>1</v>
      </c>
      <c r="H100" s="109"/>
      <c r="I100" s="109"/>
      <c r="J100" s="109">
        <v>9</v>
      </c>
      <c r="K100" s="109">
        <v>9</v>
      </c>
      <c r="L100" s="175"/>
      <c r="M100" s="175"/>
      <c r="N100" s="175"/>
      <c r="O100" s="175"/>
      <c r="P100" s="108">
        <f>IF(Table_Shelter[[#This Row],[Status]]="Open",IF(V100="NO",Table_Shelter[[#This Row],[HH per Shelter]]*(Table_Shelter[[#This Row],['# of Temporary Shelter Units Built]]+Table_Shelter[[#This Row],['# of Temporary Shelter Under  Construction]]+Table_Shelter[[#This Row],['# of Permanent House Under Construction]]),0),0)</f>
        <v>9</v>
      </c>
      <c r="Q100" s="108"/>
      <c r="R100" s="108"/>
      <c r="S100" s="108" t="str">
        <f>IFERROR(VLOOKUP(Table_Shelter[[#This Row],[CampName]],CL,2,0),"")</f>
        <v>MMR001CMP033</v>
      </c>
      <c r="T100" s="108" t="str">
        <f>IFERROR(VLOOKUP(Table_Shelter[[#This Row],[CampName]],CL,3,0),"")</f>
        <v>Open</v>
      </c>
      <c r="U100" s="265">
        <f>IFERROR(Table_Shelter[[#This Row],[HH Covered]]/VLOOKUP(Table_Shelter[[#This Row],[CampName]],CL,5,0),"")</f>
        <v>0.5</v>
      </c>
      <c r="V100" s="265" t="s">
        <v>1305</v>
      </c>
      <c r="W100" s="108"/>
    </row>
    <row r="101" spans="1:118" ht="15" customHeight="1" x14ac:dyDescent="0.25">
      <c r="A101" s="811">
        <v>41974</v>
      </c>
      <c r="B101" s="173" t="s">
        <v>453</v>
      </c>
      <c r="C101" s="173"/>
      <c r="D101" s="176" t="s">
        <v>380</v>
      </c>
      <c r="E101" s="345" t="s">
        <v>185</v>
      </c>
      <c r="F101" s="173" t="s">
        <v>219</v>
      </c>
      <c r="G101" s="107">
        <v>1</v>
      </c>
      <c r="H101" s="109"/>
      <c r="I101" s="109"/>
      <c r="J101" s="109">
        <v>394</v>
      </c>
      <c r="K101" s="109">
        <v>140</v>
      </c>
      <c r="L101" s="175"/>
      <c r="M101" s="175"/>
      <c r="N101" s="175"/>
      <c r="O101" s="175"/>
      <c r="P101" s="108">
        <f>IF(Table_Shelter[[#This Row],[Status]]="Open",IF(V101="NO",Table_Shelter[[#This Row],[HH per Shelter]]*(Table_Shelter[[#This Row],['# of Temporary Shelter Units Built]]+Table_Shelter[[#This Row],['# of Temporary Shelter Under  Construction]]+Table_Shelter[[#This Row],['# of Permanent House Under Construction]]),0),0)</f>
        <v>140</v>
      </c>
      <c r="Q101" s="108"/>
      <c r="R101" s="175"/>
      <c r="S101" s="175" t="str">
        <f>IFERROR(VLOOKUP(Table_Shelter[[#This Row],[CampName]],CL,2,0),"")</f>
        <v>MMR001CMP126</v>
      </c>
      <c r="T101" s="175" t="str">
        <f>IFERROR(VLOOKUP(Table_Shelter[[#This Row],[CampName]],CL,3,0),"")</f>
        <v>Open</v>
      </c>
      <c r="U101" s="265">
        <f>IFERROR(Table_Shelter[[#This Row],[HH Covered]]/VLOOKUP(Table_Shelter[[#This Row],[CampName]],CL,5,0),"")</f>
        <v>0.23372287145242071</v>
      </c>
      <c r="V101" s="265" t="s">
        <v>1305</v>
      </c>
      <c r="W101" s="175"/>
    </row>
    <row r="102" spans="1:118" ht="15" customHeight="1" x14ac:dyDescent="0.25">
      <c r="A102" s="811">
        <v>41974</v>
      </c>
      <c r="B102" s="173" t="s">
        <v>452</v>
      </c>
      <c r="C102" s="173" t="s">
        <v>505</v>
      </c>
      <c r="D102" s="176" t="s">
        <v>380</v>
      </c>
      <c r="E102" s="345" t="s">
        <v>310</v>
      </c>
      <c r="F102" s="173" t="s">
        <v>318</v>
      </c>
      <c r="G102" s="107">
        <v>1</v>
      </c>
      <c r="H102" s="109"/>
      <c r="I102" s="109"/>
      <c r="J102" s="109">
        <v>21</v>
      </c>
      <c r="K102" s="109">
        <v>21</v>
      </c>
      <c r="L102" s="175"/>
      <c r="M102" s="175"/>
      <c r="N102" s="175"/>
      <c r="O102" s="175"/>
      <c r="P102" s="108">
        <f>IF(Table_Shelter[[#This Row],[Status]]="Open",IF(V102="NO",Table_Shelter[[#This Row],[HH per Shelter]]*(Table_Shelter[[#This Row],['# of Temporary Shelter Units Built]]+Table_Shelter[[#This Row],['# of Temporary Shelter Under  Construction]]+Table_Shelter[[#This Row],['# of Permanent House Under Construction]]),0),0)</f>
        <v>21</v>
      </c>
      <c r="Q102" s="108"/>
      <c r="R102" s="108"/>
      <c r="S102" s="108" t="str">
        <f>IFERROR(VLOOKUP(Table_Shelter[[#This Row],[CampName]],CL,2,0),"")</f>
        <v>MMR001CMP032</v>
      </c>
      <c r="T102" s="108" t="str">
        <f>IFERROR(VLOOKUP(Table_Shelter[[#This Row],[CampName]],CL,3,0),"")</f>
        <v>Open</v>
      </c>
      <c r="U102" s="265">
        <f>IFERROR(Table_Shelter[[#This Row],[HH Covered]]/VLOOKUP(Table_Shelter[[#This Row],[CampName]],CL,5,0),"")</f>
        <v>0.23076923076923078</v>
      </c>
      <c r="V102" s="265" t="s">
        <v>1305</v>
      </c>
      <c r="W102" s="108"/>
    </row>
    <row r="103" spans="1:118" ht="15" customHeight="1" x14ac:dyDescent="0.25">
      <c r="A103" s="811">
        <v>41974</v>
      </c>
      <c r="B103" s="173" t="s">
        <v>452</v>
      </c>
      <c r="C103" s="173" t="s">
        <v>505</v>
      </c>
      <c r="D103" s="176" t="s">
        <v>380</v>
      </c>
      <c r="E103" s="345" t="s">
        <v>237</v>
      </c>
      <c r="F103" s="173" t="s">
        <v>1244</v>
      </c>
      <c r="G103" s="107">
        <v>1</v>
      </c>
      <c r="H103" s="109"/>
      <c r="I103" s="109"/>
      <c r="J103" s="109">
        <v>5</v>
      </c>
      <c r="K103" s="109">
        <v>5</v>
      </c>
      <c r="L103" s="175"/>
      <c r="M103" s="175"/>
      <c r="N103" s="175"/>
      <c r="O103" s="175"/>
      <c r="P103" s="108">
        <f>IF(Table_Shelter[[#This Row],[Status]]="Open",IF(V103="NO",Table_Shelter[[#This Row],[HH per Shelter]]*(Table_Shelter[[#This Row],['# of Temporary Shelter Units Built]]+Table_Shelter[[#This Row],['# of Temporary Shelter Under  Construction]]+Table_Shelter[[#This Row],['# of Permanent House Under Construction]]),0),0)</f>
        <v>5</v>
      </c>
      <c r="Q103" s="108"/>
      <c r="R103" s="108"/>
      <c r="S103" s="108" t="str">
        <f>IFERROR(VLOOKUP(Table_Shelter[[#This Row],[CampName]],CL,2,0),"")</f>
        <v>MMR001CMP023</v>
      </c>
      <c r="T103" s="108" t="str">
        <f>IFERROR(VLOOKUP(Table_Shelter[[#This Row],[CampName]],CL,3,0),"")</f>
        <v>Open</v>
      </c>
      <c r="U103" s="265">
        <f>IFERROR(Table_Shelter[[#This Row],[HH Covered]]/VLOOKUP(Table_Shelter[[#This Row],[CampName]],CL,5,0),"")</f>
        <v>9.2592592592592587E-2</v>
      </c>
      <c r="V103" s="265" t="s">
        <v>1305</v>
      </c>
      <c r="W103" s="108"/>
    </row>
    <row r="104" spans="1:118" ht="15" customHeight="1" x14ac:dyDescent="0.25">
      <c r="A104" s="811">
        <v>41974</v>
      </c>
      <c r="B104" s="173" t="s">
        <v>452</v>
      </c>
      <c r="C104" s="173" t="s">
        <v>505</v>
      </c>
      <c r="D104" s="176" t="s">
        <v>380</v>
      </c>
      <c r="E104" s="345" t="s">
        <v>310</v>
      </c>
      <c r="F104" s="173" t="s">
        <v>349</v>
      </c>
      <c r="G104" s="107">
        <v>1</v>
      </c>
      <c r="H104" s="109"/>
      <c r="I104" s="109"/>
      <c r="J104" s="109">
        <v>5</v>
      </c>
      <c r="K104" s="109">
        <v>5</v>
      </c>
      <c r="L104" s="175"/>
      <c r="M104" s="175"/>
      <c r="N104" s="175"/>
      <c r="O104" s="175"/>
      <c r="P104" s="108">
        <f>IF(Table_Shelter[[#This Row],[Status]]="Open",IF(V104="NO",Table_Shelter[[#This Row],[HH per Shelter]]*(Table_Shelter[[#This Row],['# of Temporary Shelter Units Built]]+Table_Shelter[[#This Row],['# of Temporary Shelter Under  Construction]]+Table_Shelter[[#This Row],['# of Permanent House Under Construction]]),0),0)</f>
        <v>5</v>
      </c>
      <c r="Q104" s="108"/>
      <c r="R104" s="108"/>
      <c r="S104" s="108" t="str">
        <f>IFERROR(VLOOKUP(Table_Shelter[[#This Row],[CampName]],CL,2,0),"")</f>
        <v>MMR001CMP037</v>
      </c>
      <c r="T104" s="108" t="str">
        <f>IFERROR(VLOOKUP(Table_Shelter[[#This Row],[CampName]],CL,3,0),"")</f>
        <v>Open</v>
      </c>
      <c r="U104" s="265">
        <f>IFERROR(Table_Shelter[[#This Row],[HH Covered]]/VLOOKUP(Table_Shelter[[#This Row],[CampName]],CL,5,0),"")</f>
        <v>0.11363636363636363</v>
      </c>
      <c r="V104" s="265" t="s">
        <v>1305</v>
      </c>
      <c r="W104" s="108"/>
    </row>
    <row r="105" spans="1:118" ht="15" customHeight="1" x14ac:dyDescent="0.25">
      <c r="A105" s="580">
        <v>41974</v>
      </c>
      <c r="B105" s="173" t="s">
        <v>452</v>
      </c>
      <c r="C105" s="173" t="s">
        <v>460</v>
      </c>
      <c r="D105" s="173" t="s">
        <v>380</v>
      </c>
      <c r="E105" s="345" t="s">
        <v>185</v>
      </c>
      <c r="F105" s="173" t="s">
        <v>223</v>
      </c>
      <c r="G105" s="107">
        <v>1</v>
      </c>
      <c r="H105" s="107"/>
      <c r="I105" s="107"/>
      <c r="J105" s="107">
        <v>21</v>
      </c>
      <c r="K105" s="107">
        <v>21</v>
      </c>
      <c r="L105" s="173"/>
      <c r="M105" s="173"/>
      <c r="N105" s="173"/>
      <c r="O105" s="173"/>
      <c r="P105" s="149">
        <f>IF(Table_Shelter[[#This Row],[Status]]="Open",IF(V105="NO",Table_Shelter[[#This Row],[HH per Shelter]]*(Table_Shelter[[#This Row],['# of Temporary Shelter Units Built]]+Table_Shelter[[#This Row],['# of Temporary Shelter Under  Construction]]+Table_Shelter[[#This Row],['# of Permanent House Under Construction]]),0),0)</f>
        <v>21</v>
      </c>
      <c r="Q105" s="106"/>
      <c r="R105" s="173"/>
      <c r="S105" s="174" t="str">
        <f>IFERROR(VLOOKUP(Table_Shelter[[#This Row],[CampName]],CL,2,0),"")</f>
        <v>MMR001CMP069</v>
      </c>
      <c r="T105" s="174" t="str">
        <f>IFERROR(VLOOKUP(Table_Shelter[[#This Row],[CampName]],CL,3,0),"")</f>
        <v>Open</v>
      </c>
      <c r="U105" s="265">
        <f>IFERROR(Table_Shelter[[#This Row],[HH Covered]]/VLOOKUP(Table_Shelter[[#This Row],[CampName]],CL,5,0),"")</f>
        <v>0.14189189189189189</v>
      </c>
      <c r="V105" s="265" t="s">
        <v>1305</v>
      </c>
      <c r="W105" s="175"/>
    </row>
    <row r="106" spans="1:118" ht="15" customHeight="1" x14ac:dyDescent="0.25">
      <c r="A106" s="580">
        <v>41809</v>
      </c>
      <c r="B106" s="173" t="s">
        <v>453</v>
      </c>
      <c r="C106" s="173" t="s">
        <v>505</v>
      </c>
      <c r="D106" s="173" t="s">
        <v>380</v>
      </c>
      <c r="E106" s="345" t="s">
        <v>310</v>
      </c>
      <c r="F106" s="173" t="s">
        <v>313</v>
      </c>
      <c r="G106" s="107">
        <v>1</v>
      </c>
      <c r="H106" s="107"/>
      <c r="I106" s="107"/>
      <c r="J106" s="107">
        <v>50</v>
      </c>
      <c r="K106" s="107">
        <v>55</v>
      </c>
      <c r="L106" s="173"/>
      <c r="M106" s="173"/>
      <c r="N106" s="173"/>
      <c r="O106" s="173"/>
      <c r="P106" s="149">
        <f>IF(Table_Shelter[[#This Row],[Status]]="Open",IF(V106="NO",Table_Shelter[[#This Row],[HH per Shelter]]*(Table_Shelter[[#This Row],['# of Temporary Shelter Units Built]]+Table_Shelter[[#This Row],['# of Temporary Shelter Under  Construction]]+Table_Shelter[[#This Row],['# of Permanent House Under Construction]]),0),0)</f>
        <v>55</v>
      </c>
      <c r="Q106" s="106"/>
      <c r="R106" s="173"/>
      <c r="S106" s="174" t="str">
        <f>IFERROR(VLOOKUP(Table_Shelter[[#This Row],[CampName]],CL,2,0),"")</f>
        <v>MMR001CMP028</v>
      </c>
      <c r="T106" s="174" t="str">
        <f>IFERROR(VLOOKUP(Table_Shelter[[#This Row],[CampName]],CL,3,0),"")</f>
        <v>Open</v>
      </c>
      <c r="U106" s="265">
        <f>IFERROR(Table_Shelter[[#This Row],[HH Covered]]/VLOOKUP(Table_Shelter[[#This Row],[CampName]],CL,5,0),"")</f>
        <v>0.55555555555555558</v>
      </c>
      <c r="V106" s="265" t="s">
        <v>1305</v>
      </c>
      <c r="W106" s="175"/>
    </row>
    <row r="107" spans="1:118" ht="15" customHeight="1" x14ac:dyDescent="0.25">
      <c r="A107" s="580">
        <v>41809</v>
      </c>
      <c r="B107" s="173" t="s">
        <v>452</v>
      </c>
      <c r="C107" s="173" t="s">
        <v>459</v>
      </c>
      <c r="D107" s="173" t="s">
        <v>380</v>
      </c>
      <c r="E107" s="345" t="s">
        <v>185</v>
      </c>
      <c r="F107" s="173" t="s">
        <v>202</v>
      </c>
      <c r="G107" s="107">
        <v>1</v>
      </c>
      <c r="H107" s="107"/>
      <c r="I107" s="107"/>
      <c r="J107" s="107">
        <v>80</v>
      </c>
      <c r="K107" s="107">
        <v>80</v>
      </c>
      <c r="L107" s="173"/>
      <c r="M107" s="173"/>
      <c r="N107" s="173"/>
      <c r="O107" s="173"/>
      <c r="P107" s="149">
        <f>IF(Table_Shelter[[#This Row],[Status]]="Open",IF(V107="NO",Table_Shelter[[#This Row],[HH per Shelter]]*(Table_Shelter[[#This Row],['# of Temporary Shelter Units Built]]+Table_Shelter[[#This Row],['# of Temporary Shelter Under  Construction]]+Table_Shelter[[#This Row],['# of Permanent House Under Construction]]),0),0)</f>
        <v>80</v>
      </c>
      <c r="Q107" s="106"/>
      <c r="R107" s="173"/>
      <c r="S107" s="174" t="str">
        <f>IFERROR(VLOOKUP(Table_Shelter[[#This Row],[CampName]],CL,2,0),"")</f>
        <v>MMR001CMP062</v>
      </c>
      <c r="T107" s="174" t="str">
        <f>IFERROR(VLOOKUP(Table_Shelter[[#This Row],[CampName]],CL,3,0),"")</f>
        <v>Open</v>
      </c>
      <c r="U107" s="265">
        <f>IFERROR(Table_Shelter[[#This Row],[HH Covered]]/VLOOKUP(Table_Shelter[[#This Row],[CampName]],CL,5,0),"")</f>
        <v>0.30188679245283018</v>
      </c>
      <c r="V107" s="265" t="s">
        <v>1305</v>
      </c>
      <c r="W107" s="175"/>
    </row>
    <row r="108" spans="1:118" ht="15" customHeight="1" x14ac:dyDescent="0.25">
      <c r="A108" s="811">
        <v>41809</v>
      </c>
      <c r="B108" s="175" t="s">
        <v>846</v>
      </c>
      <c r="C108" s="175"/>
      <c r="D108" s="175" t="s">
        <v>380</v>
      </c>
      <c r="E108" s="179" t="s">
        <v>151</v>
      </c>
      <c r="F108" s="175" t="s">
        <v>152</v>
      </c>
      <c r="G108" s="109">
        <v>1</v>
      </c>
      <c r="H108" s="109"/>
      <c r="I108" s="109"/>
      <c r="J108" s="109">
        <v>56</v>
      </c>
      <c r="K108" s="109">
        <v>60</v>
      </c>
      <c r="L108" s="175"/>
      <c r="M108" s="175"/>
      <c r="N108" s="175"/>
      <c r="O108" s="175"/>
      <c r="P108" s="149">
        <f>IF(Table_Shelter[[#This Row],[Status]]="Open",IF(V108="NO",Table_Shelter[[#This Row],[HH per Shelter]]*(Table_Shelter[[#This Row],['# of Temporary Shelter Units Built]]+Table_Shelter[[#This Row],['# of Temporary Shelter Under  Construction]]+Table_Shelter[[#This Row],['# of Permanent House Under Construction]]),0),0)</f>
        <v>60</v>
      </c>
      <c r="Q108" s="108"/>
      <c r="R108" s="175"/>
      <c r="S108" s="174" t="str">
        <f>IFERROR(VLOOKUP(Table_Shelter[[#This Row],[CampName]],CL,2,0),"")</f>
        <v>MMR001CMP066</v>
      </c>
      <c r="T108" s="174" t="str">
        <f>IFERROR(VLOOKUP(Table_Shelter[[#This Row],[CampName]],CL,3,0),"")</f>
        <v>Open</v>
      </c>
      <c r="U108" s="265">
        <f>IFERROR(Table_Shelter[[#This Row],[HH Covered]]/VLOOKUP(Table_Shelter[[#This Row],[CampName]],CL,5,0),"")</f>
        <v>0.30769230769230771</v>
      </c>
      <c r="V108" s="265" t="s">
        <v>1305</v>
      </c>
      <c r="W108" s="175"/>
    </row>
    <row r="109" spans="1:118" ht="15" customHeight="1" x14ac:dyDescent="0.25">
      <c r="A109" s="811">
        <v>41791</v>
      </c>
      <c r="B109" s="175" t="s">
        <v>452</v>
      </c>
      <c r="C109" s="175" t="s">
        <v>506</v>
      </c>
      <c r="D109" s="175" t="s">
        <v>380</v>
      </c>
      <c r="E109" s="179" t="s">
        <v>151</v>
      </c>
      <c r="F109" s="175" t="s">
        <v>188</v>
      </c>
      <c r="G109" s="109">
        <v>1</v>
      </c>
      <c r="H109" s="109"/>
      <c r="I109" s="109"/>
      <c r="J109" s="109">
        <v>100</v>
      </c>
      <c r="K109" s="109">
        <v>100</v>
      </c>
      <c r="L109" s="175"/>
      <c r="M109" s="175"/>
      <c r="N109" s="175"/>
      <c r="O109" s="175"/>
      <c r="P109" s="149">
        <f>IF(Table_Shelter[[#This Row],[Status]]="Open",IF(V109="NO",Table_Shelter[[#This Row],[HH per Shelter]]*(Table_Shelter[[#This Row],['# of Temporary Shelter Units Built]]+Table_Shelter[[#This Row],['# of Temporary Shelter Under  Construction]]+Table_Shelter[[#This Row],['# of Permanent House Under Construction]]),0),0)</f>
        <v>100</v>
      </c>
      <c r="Q109" s="108"/>
      <c r="R109" s="175"/>
      <c r="S109" s="174" t="str">
        <f>IFERROR(VLOOKUP(Table_Shelter[[#This Row],[CampName]],CL,2,0),"")</f>
        <v>MMR001CMP129</v>
      </c>
      <c r="T109" s="174" t="str">
        <f>IFERROR(VLOOKUP(Table_Shelter[[#This Row],[CampName]],CL,3,0),"")</f>
        <v>Open</v>
      </c>
      <c r="U109" s="265">
        <f>IFERROR(Table_Shelter[[#This Row],[HH Covered]]/VLOOKUP(Table_Shelter[[#This Row],[CampName]],CL,5,0),"")</f>
        <v>0.23923444976076555</v>
      </c>
      <c r="V109" s="265" t="s">
        <v>1305</v>
      </c>
      <c r="W109" s="175"/>
    </row>
    <row r="110" spans="1:118" ht="15" customHeight="1" x14ac:dyDescent="0.25">
      <c r="A110" s="811">
        <v>41791</v>
      </c>
      <c r="B110" s="107" t="s">
        <v>452</v>
      </c>
      <c r="C110" s="107" t="s">
        <v>505</v>
      </c>
      <c r="D110" s="180" t="s">
        <v>380</v>
      </c>
      <c r="E110" s="181" t="s">
        <v>527</v>
      </c>
      <c r="F110" s="107" t="s">
        <v>76</v>
      </c>
      <c r="G110" s="107">
        <v>1</v>
      </c>
      <c r="H110" s="109"/>
      <c r="I110" s="109"/>
      <c r="J110" s="109">
        <v>20</v>
      </c>
      <c r="K110" s="109">
        <v>20</v>
      </c>
      <c r="L110" s="109"/>
      <c r="M110" s="109"/>
      <c r="N110" s="109"/>
      <c r="O110" s="109"/>
      <c r="P110" s="108">
        <f>IF(Table_Shelter[[#This Row],[Status]]="Open",IF(V110="NO",Table_Shelter[[#This Row],[HH per Shelter]]*(Table_Shelter[[#This Row],['# of Temporary Shelter Units Built]]+Table_Shelter[[#This Row],['# of Temporary Shelter Under  Construction]]+Table_Shelter[[#This Row],['# of Permanent House Under Construction]]),0),0)</f>
        <v>20</v>
      </c>
      <c r="Q110" s="108"/>
      <c r="R110" s="108"/>
      <c r="S110" s="108" t="str">
        <f>IFERROR(VLOOKUP(Table_Shelter[[#This Row],[CampName]],CL,2,0),"")</f>
        <v>MMR001CMP174</v>
      </c>
      <c r="T110" s="108" t="str">
        <f>IFERROR(VLOOKUP(Table_Shelter[[#This Row],[CampName]],CL,3,0),"")</f>
        <v>Open</v>
      </c>
      <c r="U110" s="266">
        <f>IFERROR(Table_Shelter[[#This Row],[HH Covered]]/VLOOKUP(Table_Shelter[[#This Row],[CampName]],CL,5,0),"")</f>
        <v>0.30303030303030304</v>
      </c>
      <c r="V110" s="265" t="s">
        <v>1305</v>
      </c>
      <c r="W110" s="108"/>
    </row>
    <row r="111" spans="1:118" ht="15" customHeight="1" x14ac:dyDescent="0.25">
      <c r="A111" s="811">
        <v>41791</v>
      </c>
      <c r="B111" s="107" t="s">
        <v>452</v>
      </c>
      <c r="C111" s="107" t="s">
        <v>505</v>
      </c>
      <c r="D111" s="180" t="s">
        <v>380</v>
      </c>
      <c r="E111" s="181" t="s">
        <v>27</v>
      </c>
      <c r="F111" s="107" t="s">
        <v>365</v>
      </c>
      <c r="G111" s="107">
        <v>1</v>
      </c>
      <c r="H111" s="109"/>
      <c r="I111" s="109"/>
      <c r="J111" s="109">
        <v>5</v>
      </c>
      <c r="K111" s="109">
        <v>5</v>
      </c>
      <c r="L111" s="109"/>
      <c r="M111" s="109"/>
      <c r="N111" s="109"/>
      <c r="O111" s="109"/>
      <c r="P111" s="108">
        <f>IF(Table_Shelter[[#This Row],[Status]]="Open",IF(V111="NO",Table_Shelter[[#This Row],[HH per Shelter]]*(Table_Shelter[[#This Row],['# of Temporary Shelter Units Built]]+Table_Shelter[[#This Row],['# of Temporary Shelter Under  Construction]]+Table_Shelter[[#This Row],['# of Permanent House Under Construction]]),0),0)</f>
        <v>5</v>
      </c>
      <c r="Q111" s="108"/>
      <c r="R111" s="108"/>
      <c r="S111" s="108" t="str">
        <f>IFERROR(VLOOKUP(Table_Shelter[[#This Row],[CampName]],CL,2,0),"")</f>
        <v>MMR001CMP195</v>
      </c>
      <c r="T111" s="108" t="str">
        <f>IFERROR(VLOOKUP(Table_Shelter[[#This Row],[CampName]],CL,3,0),"")</f>
        <v>Open</v>
      </c>
      <c r="U111" s="266">
        <f>IFERROR(Table_Shelter[[#This Row],[HH Covered]]/VLOOKUP(Table_Shelter[[#This Row],[CampName]],CL,5,0),"")</f>
        <v>3.4965034965034968E-2</v>
      </c>
      <c r="V111" s="265" t="s">
        <v>1305</v>
      </c>
      <c r="W111" s="108"/>
    </row>
    <row r="112" spans="1:118" ht="15" customHeight="1" x14ac:dyDescent="0.25">
      <c r="A112" s="811">
        <v>41791</v>
      </c>
      <c r="B112" s="107" t="s">
        <v>452</v>
      </c>
      <c r="C112" s="107" t="s">
        <v>505</v>
      </c>
      <c r="D112" s="180" t="s">
        <v>380</v>
      </c>
      <c r="E112" s="181" t="s">
        <v>527</v>
      </c>
      <c r="F112" s="107" t="s">
        <v>90</v>
      </c>
      <c r="G112" s="107">
        <v>1</v>
      </c>
      <c r="H112" s="109"/>
      <c r="I112" s="109"/>
      <c r="J112" s="109">
        <v>2</v>
      </c>
      <c r="K112" s="109">
        <v>2</v>
      </c>
      <c r="L112" s="109"/>
      <c r="M112" s="109"/>
      <c r="N112" s="109"/>
      <c r="O112" s="109"/>
      <c r="P112" s="108">
        <f>IF(Table_Shelter[[#This Row],[Status]]="Open",IF(V112="NO",Table_Shelter[[#This Row],[HH per Shelter]]*(Table_Shelter[[#This Row],['# of Temporary Shelter Units Built]]+Table_Shelter[[#This Row],['# of Temporary Shelter Under  Construction]]+Table_Shelter[[#This Row],['# of Permanent House Under Construction]]),0),0)</f>
        <v>2</v>
      </c>
      <c r="Q112" s="108"/>
      <c r="R112" s="108"/>
      <c r="S112" s="108" t="str">
        <f>IFERROR(VLOOKUP(Table_Shelter[[#This Row],[CampName]],CL,2,0),"")</f>
        <v>MMR001CMP181</v>
      </c>
      <c r="T112" s="108" t="str">
        <f>IFERROR(VLOOKUP(Table_Shelter[[#This Row],[CampName]],CL,3,0),"")</f>
        <v>Open</v>
      </c>
      <c r="U112" s="266">
        <f>IFERROR(Table_Shelter[[#This Row],[HH Covered]]/VLOOKUP(Table_Shelter[[#This Row],[CampName]],CL,5,0),"")</f>
        <v>0.08</v>
      </c>
      <c r="V112" s="265" t="s">
        <v>1305</v>
      </c>
      <c r="W112" s="108"/>
    </row>
    <row r="113" spans="1:118" ht="15" customHeight="1" x14ac:dyDescent="0.25">
      <c r="A113" s="811">
        <v>41791</v>
      </c>
      <c r="B113" s="107" t="s">
        <v>452</v>
      </c>
      <c r="C113" s="107" t="s">
        <v>505</v>
      </c>
      <c r="D113" s="180" t="s">
        <v>380</v>
      </c>
      <c r="E113" s="181" t="s">
        <v>237</v>
      </c>
      <c r="F113" s="107" t="s">
        <v>263</v>
      </c>
      <c r="G113" s="107">
        <v>1</v>
      </c>
      <c r="H113" s="109"/>
      <c r="I113" s="109"/>
      <c r="J113" s="109">
        <v>5</v>
      </c>
      <c r="K113" s="109">
        <v>5</v>
      </c>
      <c r="L113" s="109"/>
      <c r="M113" s="109"/>
      <c r="N113" s="109"/>
      <c r="O113" s="109"/>
      <c r="P113" s="108">
        <f>IF(Table_Shelter[[#This Row],[Status]]="Open",IF(V113="NO",Table_Shelter[[#This Row],[HH per Shelter]]*(Table_Shelter[[#This Row],['# of Temporary Shelter Units Built]]+Table_Shelter[[#This Row],['# of Temporary Shelter Under  Construction]]+Table_Shelter[[#This Row],['# of Permanent House Under Construction]]),0),0)</f>
        <v>5</v>
      </c>
      <c r="Q113" s="108"/>
      <c r="R113" s="108"/>
      <c r="S113" s="108" t="str">
        <f>IFERROR(VLOOKUP(Table_Shelter[[#This Row],[CampName]],CL,2,0),"")</f>
        <v>MMR001CMP020</v>
      </c>
      <c r="T113" s="108" t="str">
        <f>IFERROR(VLOOKUP(Table_Shelter[[#This Row],[CampName]],CL,3,0),"")</f>
        <v>Open</v>
      </c>
      <c r="U113" s="266">
        <f>IFERROR(Table_Shelter[[#This Row],[HH Covered]]/VLOOKUP(Table_Shelter[[#This Row],[CampName]],CL,5,0),"")</f>
        <v>0.23809523809523808</v>
      </c>
      <c r="V113" s="265" t="s">
        <v>1305</v>
      </c>
      <c r="W113" s="108"/>
    </row>
    <row r="114" spans="1:118" ht="15" customHeight="1" x14ac:dyDescent="0.25">
      <c r="A114" s="811">
        <v>41791</v>
      </c>
      <c r="B114" s="107" t="s">
        <v>452</v>
      </c>
      <c r="C114" s="107" t="s">
        <v>505</v>
      </c>
      <c r="D114" s="180" t="s">
        <v>380</v>
      </c>
      <c r="E114" s="181" t="s">
        <v>5</v>
      </c>
      <c r="F114" s="107" t="s">
        <v>8</v>
      </c>
      <c r="G114" s="107">
        <v>1</v>
      </c>
      <c r="H114" s="109"/>
      <c r="I114" s="109"/>
      <c r="J114" s="109">
        <v>5</v>
      </c>
      <c r="K114" s="109">
        <v>5</v>
      </c>
      <c r="L114" s="109"/>
      <c r="M114" s="109"/>
      <c r="N114" s="109"/>
      <c r="O114" s="109"/>
      <c r="P114" s="108">
        <f>IF(Table_Shelter[[#This Row],[Status]]="Open",IF(V114="NO",Table_Shelter[[#This Row],[HH per Shelter]]*(Table_Shelter[[#This Row],['# of Temporary Shelter Units Built]]+Table_Shelter[[#This Row],['# of Temporary Shelter Under  Construction]]+Table_Shelter[[#This Row],['# of Permanent House Under Construction]]),0),0)</f>
        <v>5</v>
      </c>
      <c r="Q114" s="108"/>
      <c r="R114" s="108"/>
      <c r="S114" s="108" t="str">
        <f>IFERROR(VLOOKUP(Table_Shelter[[#This Row],[CampName]],CL,2,0),"")</f>
        <v>MMR001CMP051</v>
      </c>
      <c r="T114" s="108" t="str">
        <f>IFERROR(VLOOKUP(Table_Shelter[[#This Row],[CampName]],CL,3,0),"")</f>
        <v>Open</v>
      </c>
      <c r="U114" s="266">
        <f>IFERROR(Table_Shelter[[#This Row],[HH Covered]]/VLOOKUP(Table_Shelter[[#This Row],[CampName]],CL,5,0),"")</f>
        <v>0.35714285714285715</v>
      </c>
      <c r="V114" s="265" t="s">
        <v>1305</v>
      </c>
      <c r="W114" s="108"/>
    </row>
    <row r="115" spans="1:118" ht="15" customHeight="1" x14ac:dyDescent="0.25">
      <c r="A115" s="811">
        <v>41791</v>
      </c>
      <c r="B115" s="107" t="s">
        <v>452</v>
      </c>
      <c r="C115" s="107" t="s">
        <v>505</v>
      </c>
      <c r="D115" s="180" t="s">
        <v>380</v>
      </c>
      <c r="E115" s="181" t="s">
        <v>310</v>
      </c>
      <c r="F115" s="107" t="s">
        <v>338</v>
      </c>
      <c r="G115" s="107">
        <v>1</v>
      </c>
      <c r="H115" s="109"/>
      <c r="I115" s="109"/>
      <c r="J115" s="109">
        <v>3</v>
      </c>
      <c r="K115" s="109">
        <v>3</v>
      </c>
      <c r="L115" s="109"/>
      <c r="M115" s="109"/>
      <c r="N115" s="109"/>
      <c r="O115" s="109"/>
      <c r="P115" s="108">
        <f>IF(Table_Shelter[[#This Row],[Status]]="Open",IF(V115="NO",Table_Shelter[[#This Row],[HH per Shelter]]*(Table_Shelter[[#This Row],['# of Temporary Shelter Units Built]]+Table_Shelter[[#This Row],['# of Temporary Shelter Under  Construction]]+Table_Shelter[[#This Row],['# of Permanent House Under Construction]]),0),0)</f>
        <v>3</v>
      </c>
      <c r="Q115" s="108"/>
      <c r="R115" s="108"/>
      <c r="S115" s="108" t="str">
        <f>IFERROR(VLOOKUP(Table_Shelter[[#This Row],[CampName]],CL,2,0),"")</f>
        <v>MMR001CMP030</v>
      </c>
      <c r="T115" s="108" t="str">
        <f>IFERROR(VLOOKUP(Table_Shelter[[#This Row],[CampName]],CL,3,0),"")</f>
        <v>Open</v>
      </c>
      <c r="U115" s="266">
        <f>IFERROR(Table_Shelter[[#This Row],[HH Covered]]/VLOOKUP(Table_Shelter[[#This Row],[CampName]],CL,5,0),"")</f>
        <v>9.6774193548387094E-2</v>
      </c>
      <c r="V115" s="265" t="s">
        <v>1305</v>
      </c>
      <c r="W115" s="108"/>
    </row>
    <row r="116" spans="1:118" ht="15" customHeight="1" x14ac:dyDescent="0.25">
      <c r="A116" s="647">
        <v>41791</v>
      </c>
      <c r="B116" s="107" t="s">
        <v>452</v>
      </c>
      <c r="C116" s="107" t="s">
        <v>505</v>
      </c>
      <c r="D116" s="180" t="s">
        <v>380</v>
      </c>
      <c r="E116" s="181" t="s">
        <v>237</v>
      </c>
      <c r="F116" s="107" t="s">
        <v>1244</v>
      </c>
      <c r="G116" s="107">
        <v>1</v>
      </c>
      <c r="H116" s="109"/>
      <c r="I116" s="109"/>
      <c r="J116" s="109">
        <v>10</v>
      </c>
      <c r="K116" s="109">
        <v>10</v>
      </c>
      <c r="L116" s="109"/>
      <c r="M116" s="109"/>
      <c r="N116" s="109"/>
      <c r="O116" s="109"/>
      <c r="P116" s="108">
        <f>IF(Table_Shelter[[#This Row],[Status]]="Open",IF(V116="NO",Table_Shelter[[#This Row],[HH per Shelter]]*(Table_Shelter[[#This Row],['# of Temporary Shelter Units Built]]+Table_Shelter[[#This Row],['# of Temporary Shelter Under  Construction]]+Table_Shelter[[#This Row],['# of Permanent House Under Construction]]),0),0)</f>
        <v>10</v>
      </c>
      <c r="Q116" s="108"/>
      <c r="R116" s="108"/>
      <c r="S116" s="108" t="str">
        <f>IFERROR(VLOOKUP(Table_Shelter[[#This Row],[CampName]],CL,2,0),"")</f>
        <v>MMR001CMP023</v>
      </c>
      <c r="T116" s="108" t="str">
        <f>IFERROR(VLOOKUP(Table_Shelter[[#This Row],[CampName]],CL,3,0),"")</f>
        <v>Open</v>
      </c>
      <c r="U116" s="266">
        <f>IFERROR(Table_Shelter[[#This Row],[HH Covered]]/VLOOKUP(Table_Shelter[[#This Row],[CampName]],CL,5,0),"")</f>
        <v>0.18518518518518517</v>
      </c>
      <c r="V116" s="265" t="s">
        <v>1305</v>
      </c>
      <c r="W116" s="108"/>
    </row>
    <row r="117" spans="1:118" ht="15" customHeight="1" x14ac:dyDescent="0.25">
      <c r="A117" s="580">
        <v>41791</v>
      </c>
      <c r="B117" s="173" t="s">
        <v>452</v>
      </c>
      <c r="C117" s="173" t="s">
        <v>460</v>
      </c>
      <c r="D117" s="176" t="s">
        <v>380</v>
      </c>
      <c r="E117" s="345" t="s">
        <v>185</v>
      </c>
      <c r="F117" s="173" t="s">
        <v>190</v>
      </c>
      <c r="G117" s="107">
        <v>1</v>
      </c>
      <c r="H117" s="107"/>
      <c r="I117" s="107"/>
      <c r="J117" s="107">
        <v>25</v>
      </c>
      <c r="K117" s="107">
        <v>25</v>
      </c>
      <c r="L117" s="173"/>
      <c r="M117" s="173"/>
      <c r="N117" s="173"/>
      <c r="O117" s="173"/>
      <c r="P117" s="149">
        <f>IF(Table_Shelter[[#This Row],[Status]]="Open",IF(V117="NO",Table_Shelter[[#This Row],[HH per Shelter]]*(Table_Shelter[[#This Row],['# of Temporary Shelter Units Built]]+Table_Shelter[[#This Row],['# of Temporary Shelter Under  Construction]]+Table_Shelter[[#This Row],['# of Permanent House Under Construction]]),0),0)</f>
        <v>25</v>
      </c>
      <c r="Q117" s="106"/>
      <c r="R117" s="173"/>
      <c r="S117" s="174" t="str">
        <f>IFERROR(VLOOKUP(Table_Shelter[[#This Row],[CampName]],CL,2,0),"")</f>
        <v>MMR001CMP070</v>
      </c>
      <c r="T117" s="174" t="str">
        <f>IFERROR(VLOOKUP(Table_Shelter[[#This Row],[CampName]],CL,3,0),"")</f>
        <v>Open</v>
      </c>
      <c r="U117" s="265">
        <f>IFERROR(Table_Shelter[[#This Row],[HH Covered]]/VLOOKUP(Table_Shelter[[#This Row],[CampName]],CL,5,0),"")</f>
        <v>0.12886597938144329</v>
      </c>
      <c r="V117" s="265" t="s">
        <v>1305</v>
      </c>
      <c r="W117" s="175"/>
    </row>
    <row r="118" spans="1:118" ht="15" customHeight="1" x14ac:dyDescent="0.25">
      <c r="A118" s="811">
        <v>41791</v>
      </c>
      <c r="B118" s="175" t="s">
        <v>452</v>
      </c>
      <c r="C118" s="175" t="s">
        <v>460</v>
      </c>
      <c r="D118" s="175" t="s">
        <v>380</v>
      </c>
      <c r="E118" s="179" t="s">
        <v>151</v>
      </c>
      <c r="F118" s="175" t="s">
        <v>885</v>
      </c>
      <c r="G118" s="109">
        <v>1</v>
      </c>
      <c r="H118" s="109"/>
      <c r="I118" s="109"/>
      <c r="J118" s="109">
        <v>60</v>
      </c>
      <c r="K118" s="109">
        <v>60</v>
      </c>
      <c r="L118" s="175"/>
      <c r="M118" s="175"/>
      <c r="N118" s="175"/>
      <c r="O118" s="175"/>
      <c r="P118" s="149">
        <f>IF(Table_Shelter[[#This Row],[Status]]="Open",IF(V118="NO",Table_Shelter[[#This Row],[HH per Shelter]]*(Table_Shelter[[#This Row],['# of Temporary Shelter Units Built]]+Table_Shelter[[#This Row],['# of Temporary Shelter Under  Construction]]+Table_Shelter[[#This Row],['# of Permanent House Under Construction]]),0),0)</f>
        <v>60</v>
      </c>
      <c r="Q118" s="108"/>
      <c r="R118" s="175"/>
      <c r="S118" s="174" t="str">
        <f>IFERROR(VLOOKUP(Table_Shelter[[#This Row],[CampName]],CL,2,0),"")</f>
        <v>MMR001CMP218</v>
      </c>
      <c r="T118" s="174" t="str">
        <f>IFERROR(VLOOKUP(Table_Shelter[[#This Row],[CampName]],CL,3,0),"")</f>
        <v>Open</v>
      </c>
      <c r="U118" s="265">
        <f>IFERROR(Table_Shelter[[#This Row],[HH Covered]]/VLOOKUP(Table_Shelter[[#This Row],[CampName]],CL,5,0),"")</f>
        <v>0.15424164524421594</v>
      </c>
      <c r="V118" s="265" t="s">
        <v>1305</v>
      </c>
      <c r="W118" s="175"/>
    </row>
    <row r="119" spans="1:118" ht="15" customHeight="1" x14ac:dyDescent="0.25">
      <c r="A119" s="580">
        <v>41791</v>
      </c>
      <c r="B119" s="173" t="s">
        <v>452</v>
      </c>
      <c r="C119" s="173" t="s">
        <v>460</v>
      </c>
      <c r="D119" s="173" t="s">
        <v>380</v>
      </c>
      <c r="E119" s="345" t="s">
        <v>151</v>
      </c>
      <c r="F119" s="173" t="s">
        <v>152</v>
      </c>
      <c r="G119" s="107">
        <v>1</v>
      </c>
      <c r="H119" s="107"/>
      <c r="I119" s="107"/>
      <c r="J119" s="107">
        <v>15</v>
      </c>
      <c r="K119" s="107">
        <v>15</v>
      </c>
      <c r="L119" s="173"/>
      <c r="M119" s="173"/>
      <c r="N119" s="173"/>
      <c r="O119" s="173"/>
      <c r="P119" s="108">
        <f>IF(Table_Shelter[[#This Row],[Status]]="Open",IF(V119="NO",Table_Shelter[[#This Row],[HH per Shelter]]*(Table_Shelter[[#This Row],['# of Temporary Shelter Units Built]]+Table_Shelter[[#This Row],['# of Temporary Shelter Under  Construction]]+Table_Shelter[[#This Row],['# of Permanent House Under Construction]]),0),0)</f>
        <v>15</v>
      </c>
      <c r="Q119" s="106"/>
      <c r="R119" s="106"/>
      <c r="S119" s="108" t="str">
        <f>IFERROR(VLOOKUP(Table_Shelter[[#This Row],[CampName]],CL,2,0),"")</f>
        <v>MMR001CMP066</v>
      </c>
      <c r="T119" s="108" t="str">
        <f>IFERROR(VLOOKUP(Table_Shelter[[#This Row],[CampName]],CL,3,0),"")</f>
        <v>Open</v>
      </c>
      <c r="U119" s="265">
        <f>IFERROR(Table_Shelter[[#This Row],[HH Covered]]/VLOOKUP(Table_Shelter[[#This Row],[CampName]],CL,5,0),"")</f>
        <v>7.6923076923076927E-2</v>
      </c>
      <c r="V119" s="265" t="s">
        <v>1305</v>
      </c>
      <c r="W119" s="108"/>
    </row>
    <row r="120" spans="1:118" ht="15" customHeight="1" x14ac:dyDescent="0.25">
      <c r="A120" s="647">
        <v>41791</v>
      </c>
      <c r="B120" s="173" t="s">
        <v>452</v>
      </c>
      <c r="C120" s="173" t="s">
        <v>460</v>
      </c>
      <c r="D120" s="176" t="s">
        <v>380</v>
      </c>
      <c r="E120" s="345" t="s">
        <v>185</v>
      </c>
      <c r="F120" s="173" t="s">
        <v>209</v>
      </c>
      <c r="G120" s="107">
        <v>1</v>
      </c>
      <c r="H120" s="109"/>
      <c r="I120" s="109"/>
      <c r="J120" s="109">
        <v>10</v>
      </c>
      <c r="K120" s="109">
        <v>10</v>
      </c>
      <c r="L120" s="175"/>
      <c r="M120" s="175"/>
      <c r="N120" s="175"/>
      <c r="O120" s="175"/>
      <c r="P120" s="108">
        <f>IF(Table_Shelter[[#This Row],[Status]]="Open",IF(V120="NO",Table_Shelter[[#This Row],[HH per Shelter]]*(Table_Shelter[[#This Row],['# of Temporary Shelter Units Built]]+Table_Shelter[[#This Row],['# of Temporary Shelter Under  Construction]]+Table_Shelter[[#This Row],['# of Permanent House Under Construction]]),0),0)</f>
        <v>10</v>
      </c>
      <c r="Q120" s="108"/>
      <c r="R120" s="108"/>
      <c r="S120" s="108" t="str">
        <f>IFERROR(VLOOKUP(Table_Shelter[[#This Row],[CampName]],CL,2,0),"")</f>
        <v>MMR001CMP056</v>
      </c>
      <c r="T120" s="108" t="str">
        <f>IFERROR(VLOOKUP(Table_Shelter[[#This Row],[CampName]],CL,3,0),"")</f>
        <v>Open</v>
      </c>
      <c r="U120" s="265">
        <f>IFERROR(Table_Shelter[[#This Row],[HH Covered]]/VLOOKUP(Table_Shelter[[#This Row],[CampName]],CL,5,0),"")</f>
        <v>2.5839793281653745E-2</v>
      </c>
      <c r="V120" s="265" t="s">
        <v>1305</v>
      </c>
      <c r="W120" s="108"/>
    </row>
    <row r="121" spans="1:118" ht="15" customHeight="1" x14ac:dyDescent="0.25">
      <c r="A121" s="811">
        <v>41791</v>
      </c>
      <c r="B121" s="173" t="s">
        <v>452</v>
      </c>
      <c r="C121" s="173" t="s">
        <v>460</v>
      </c>
      <c r="D121" s="176" t="s">
        <v>380</v>
      </c>
      <c r="E121" s="345" t="s">
        <v>5</v>
      </c>
      <c r="F121" s="173" t="s">
        <v>366</v>
      </c>
      <c r="G121" s="107">
        <v>1</v>
      </c>
      <c r="H121" s="109"/>
      <c r="I121" s="109"/>
      <c r="J121" s="109">
        <v>10</v>
      </c>
      <c r="K121" s="109">
        <v>10</v>
      </c>
      <c r="L121" s="175"/>
      <c r="M121" s="175"/>
      <c r="N121" s="175"/>
      <c r="O121" s="175"/>
      <c r="P121" s="108">
        <f>IF(Table_Shelter[[#This Row],[Status]]="Open",IF(V121="NO",Table_Shelter[[#This Row],[HH per Shelter]]*(Table_Shelter[[#This Row],['# of Temporary Shelter Units Built]]+Table_Shelter[[#This Row],['# of Temporary Shelter Under  Construction]]+Table_Shelter[[#This Row],['# of Permanent House Under Construction]]),0),0)</f>
        <v>10</v>
      </c>
      <c r="Q121" s="108"/>
      <c r="R121" s="108"/>
      <c r="S121" s="108" t="str">
        <f>IFERROR(VLOOKUP(Table_Shelter[[#This Row],[CampName]],CL,2,0),"")</f>
        <v>MMR001CMP193</v>
      </c>
      <c r="T121" s="108" t="str">
        <f>IFERROR(VLOOKUP(Table_Shelter[[#This Row],[CampName]],CL,3,0),"")</f>
        <v>Open</v>
      </c>
      <c r="U121" s="265">
        <f>IFERROR(Table_Shelter[[#This Row],[HH Covered]]/VLOOKUP(Table_Shelter[[#This Row],[CampName]],CL,5,0),"")</f>
        <v>6.535947712418301E-2</v>
      </c>
      <c r="V121" s="265" t="s">
        <v>1305</v>
      </c>
      <c r="W121" s="108"/>
    </row>
    <row r="122" spans="1:118" ht="15" customHeight="1" x14ac:dyDescent="0.25">
      <c r="A122" s="647">
        <v>41770</v>
      </c>
      <c r="B122" s="173" t="s">
        <v>452</v>
      </c>
      <c r="C122" s="173"/>
      <c r="D122" s="176" t="s">
        <v>553</v>
      </c>
      <c r="E122" s="345" t="s">
        <v>230</v>
      </c>
      <c r="F122" s="173" t="s">
        <v>1053</v>
      </c>
      <c r="G122" s="107">
        <v>1</v>
      </c>
      <c r="H122" s="109">
        <v>110</v>
      </c>
      <c r="I122" s="109">
        <v>110</v>
      </c>
      <c r="J122" s="109"/>
      <c r="K122" s="109"/>
      <c r="L122" s="175"/>
      <c r="M122" s="175"/>
      <c r="N122" s="175"/>
      <c r="O122" s="175"/>
      <c r="P122" s="108">
        <f>IF(Table_Shelter[[#This Row],[Status]]="Open",IF(V122="NO",Table_Shelter[[#This Row],[HH per Shelter]]*(Table_Shelter[[#This Row],['# of Temporary Shelter Units Built]]+Table_Shelter[[#This Row],['# of Temporary Shelter Under  Construction]]+Table_Shelter[[#This Row],['# of Permanent House Under Construction]]),0),0)</f>
        <v>0</v>
      </c>
      <c r="Q122" s="108"/>
      <c r="R122" s="175"/>
      <c r="S122" s="175" t="str">
        <f>IFERROR(VLOOKUP(Table_Shelter[[#This Row],[CampName]],CL,2,0),"")</f>
        <v>MMR015CMP213</v>
      </c>
      <c r="T122" s="175" t="str">
        <f>IFERROR(VLOOKUP(Table_Shelter[[#This Row],[CampName]],CL,3,0),"")</f>
        <v>Open</v>
      </c>
      <c r="U122" s="265">
        <f>IFERROR(Table_Shelter[[#This Row],[HH Covered]]/VLOOKUP(Table_Shelter[[#This Row],[CampName]],CL,5,0),"")</f>
        <v>0</v>
      </c>
      <c r="V122" s="265" t="s">
        <v>1305</v>
      </c>
      <c r="W122" s="175"/>
    </row>
    <row r="123" spans="1:118" ht="15" customHeight="1" x14ac:dyDescent="0.25">
      <c r="A123" s="580">
        <v>41749</v>
      </c>
      <c r="B123" s="173" t="s">
        <v>452</v>
      </c>
      <c r="C123" s="173"/>
      <c r="D123" s="173" t="s">
        <v>380</v>
      </c>
      <c r="E123" s="345" t="s">
        <v>151</v>
      </c>
      <c r="F123" s="173" t="s">
        <v>876</v>
      </c>
      <c r="G123" s="107">
        <v>1</v>
      </c>
      <c r="H123" s="107">
        <v>200</v>
      </c>
      <c r="I123" s="107">
        <v>200</v>
      </c>
      <c r="J123" s="107"/>
      <c r="K123" s="107"/>
      <c r="L123" s="173"/>
      <c r="M123" s="173"/>
      <c r="N123" s="173"/>
      <c r="O123" s="173"/>
      <c r="P123" s="149">
        <f>IF(Table_Shelter[[#This Row],[Status]]="Open",IF(V123="NO",Table_Shelter[[#This Row],[HH per Shelter]]*(Table_Shelter[[#This Row],['# of Temporary Shelter Units Built]]+Table_Shelter[[#This Row],['# of Temporary Shelter Under  Construction]]+Table_Shelter[[#This Row],['# of Permanent House Under Construction]]),0),0)</f>
        <v>0</v>
      </c>
      <c r="Q123" s="106"/>
      <c r="R123" s="173"/>
      <c r="S123" s="174" t="str">
        <f>IFERROR(VLOOKUP(Table_Shelter[[#This Row],[CampName]],CL,2,0),"")</f>
        <v>MMR001CMP212</v>
      </c>
      <c r="T123" s="174" t="str">
        <f>IFERROR(VLOOKUP(Table_Shelter[[#This Row],[CampName]],CL,3,0),"")</f>
        <v>Closed</v>
      </c>
      <c r="U123" s="265" t="str">
        <f>IFERROR(Table_Shelter[[#This Row],[HH Covered]]/VLOOKUP(Table_Shelter[[#This Row],[CampName]],CL,5,0),"")</f>
        <v/>
      </c>
      <c r="V123" s="265" t="s">
        <v>1305</v>
      </c>
      <c r="W123" s="175"/>
    </row>
    <row r="124" spans="1:118" s="147" customFormat="1" ht="15" customHeight="1" x14ac:dyDescent="0.25">
      <c r="A124" s="811">
        <v>41748</v>
      </c>
      <c r="B124" s="175" t="s">
        <v>452</v>
      </c>
      <c r="C124" s="175"/>
      <c r="D124" s="175" t="s">
        <v>380</v>
      </c>
      <c r="E124" s="179" t="s">
        <v>151</v>
      </c>
      <c r="F124" s="175" t="s">
        <v>154</v>
      </c>
      <c r="G124" s="109">
        <v>1</v>
      </c>
      <c r="H124" s="109">
        <v>200</v>
      </c>
      <c r="I124" s="109">
        <v>200</v>
      </c>
      <c r="J124" s="109"/>
      <c r="K124" s="109"/>
      <c r="L124" s="175"/>
      <c r="M124" s="175"/>
      <c r="N124" s="175"/>
      <c r="O124" s="175"/>
      <c r="P124" s="149">
        <f>IF(Table_Shelter[[#This Row],[Status]]="Open",IF(V124="NO",Table_Shelter[[#This Row],[HH per Shelter]]*(Table_Shelter[[#This Row],['# of Temporary Shelter Units Built]]+Table_Shelter[[#This Row],['# of Temporary Shelter Under  Construction]]+Table_Shelter[[#This Row],['# of Permanent House Under Construction]]),0),0)</f>
        <v>0</v>
      </c>
      <c r="Q124" s="108"/>
      <c r="R124" s="175"/>
      <c r="S124" s="174" t="str">
        <f>IFERROR(VLOOKUP(Table_Shelter[[#This Row],[CampName]],CL,2,0),"")</f>
        <v>MMR001CMP132</v>
      </c>
      <c r="T124" s="174" t="str">
        <f>IFERROR(VLOOKUP(Table_Shelter[[#This Row],[CampName]],CL,3,0),"")</f>
        <v>Open</v>
      </c>
      <c r="U124" s="265">
        <f>IFERROR(Table_Shelter[[#This Row],[HH Covered]]/VLOOKUP(Table_Shelter[[#This Row],[CampName]],CL,5,0),"")</f>
        <v>0</v>
      </c>
      <c r="V124" s="265" t="s">
        <v>1305</v>
      </c>
      <c r="W124" s="175"/>
      <c r="X124" s="444"/>
      <c r="Y124" s="444"/>
      <c r="Z124" s="444"/>
      <c r="AA124" s="444"/>
      <c r="AB124" s="444"/>
      <c r="AC124" s="444"/>
      <c r="AD124" s="444"/>
      <c r="AE124" s="444"/>
      <c r="AF124" s="444"/>
      <c r="AG124" s="444"/>
      <c r="AH124" s="444"/>
      <c r="AI124" s="444"/>
      <c r="AJ124" s="444"/>
      <c r="AK124" s="444"/>
      <c r="AL124" s="444"/>
      <c r="AM124" s="444"/>
      <c r="AN124" s="444"/>
      <c r="AO124" s="444"/>
      <c r="AP124" s="444"/>
      <c r="AQ124" s="444"/>
      <c r="AR124" s="444"/>
      <c r="AS124" s="444"/>
      <c r="AT124" s="444"/>
      <c r="AU124" s="444"/>
      <c r="AV124" s="444"/>
      <c r="AW124" s="444"/>
      <c r="AX124" s="444"/>
      <c r="AY124" s="444"/>
      <c r="AZ124" s="444"/>
      <c r="BA124" s="444"/>
      <c r="BB124" s="444"/>
      <c r="BC124" s="444"/>
      <c r="BD124" s="444"/>
      <c r="BE124" s="444"/>
      <c r="BF124" s="444"/>
      <c r="BG124" s="444"/>
      <c r="BH124" s="444"/>
      <c r="BI124" s="444"/>
      <c r="BJ124" s="444"/>
      <c r="BK124" s="444"/>
      <c r="BL124" s="444"/>
      <c r="BM124" s="444"/>
      <c r="BN124" s="444"/>
      <c r="BO124" s="444"/>
      <c r="BP124" s="444"/>
      <c r="BQ124" s="444"/>
      <c r="BR124" s="444"/>
      <c r="BS124" s="444"/>
      <c r="BT124" s="444"/>
      <c r="BU124" s="444"/>
      <c r="BV124" s="444"/>
      <c r="BW124" s="444"/>
      <c r="BX124" s="444"/>
      <c r="BY124" s="444"/>
      <c r="BZ124" s="444"/>
      <c r="CA124" s="444"/>
      <c r="CB124" s="444"/>
      <c r="CC124" s="444"/>
      <c r="CD124" s="444"/>
      <c r="CE124" s="444"/>
      <c r="CF124" s="44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row>
    <row r="125" spans="1:118" ht="15" customHeight="1" x14ac:dyDescent="0.25">
      <c r="A125" s="577">
        <v>41609</v>
      </c>
      <c r="B125" s="174" t="s">
        <v>452</v>
      </c>
      <c r="C125" s="174" t="s">
        <v>460</v>
      </c>
      <c r="D125" s="174" t="s">
        <v>380</v>
      </c>
      <c r="E125" s="178" t="s">
        <v>527</v>
      </c>
      <c r="F125" s="174" t="s">
        <v>62</v>
      </c>
      <c r="G125" s="148">
        <v>1</v>
      </c>
      <c r="H125" s="148"/>
      <c r="I125" s="148"/>
      <c r="J125" s="148">
        <v>20</v>
      </c>
      <c r="K125" s="148">
        <v>20</v>
      </c>
      <c r="L125" s="174"/>
      <c r="M125" s="174"/>
      <c r="N125" s="174"/>
      <c r="O125" s="174"/>
      <c r="P125" s="149">
        <f>IF(Table_Shelter[[#This Row],[Status]]="Open",IF(V125="NO",Table_Shelter[[#This Row],[HH per Shelter]]*(Table_Shelter[[#This Row],['# of Temporary Shelter Units Built]]+Table_Shelter[[#This Row],['# of Temporary Shelter Under  Construction]]+Table_Shelter[[#This Row],['# of Permanent House Under Construction]]),0),0)</f>
        <v>20</v>
      </c>
      <c r="Q125" s="149"/>
      <c r="R125" s="174"/>
      <c r="S125" s="174" t="str">
        <f>IFERROR(VLOOKUP(Table_Shelter[[#This Row],[CampName]],CL,2,0),"")</f>
        <v>MMR001CMP179</v>
      </c>
      <c r="T125" s="174" t="str">
        <f>IFERROR(VLOOKUP(Table_Shelter[[#This Row],[CampName]],CL,3,0),"")</f>
        <v>Open</v>
      </c>
      <c r="U125" s="265">
        <f>IFERROR(Table_Shelter[[#This Row],[HH Covered]]/VLOOKUP(Table_Shelter[[#This Row],[CampName]],CL,5,0),"")</f>
        <v>0.29850746268656714</v>
      </c>
      <c r="V125" s="265" t="s">
        <v>1305</v>
      </c>
      <c r="W125" s="175"/>
    </row>
    <row r="126" spans="1:118" ht="15" customHeight="1" x14ac:dyDescent="0.25">
      <c r="A126" s="580">
        <v>41609</v>
      </c>
      <c r="B126" s="173" t="s">
        <v>452</v>
      </c>
      <c r="C126" s="173" t="s">
        <v>505</v>
      </c>
      <c r="D126" s="173" t="s">
        <v>380</v>
      </c>
      <c r="E126" s="345" t="s">
        <v>527</v>
      </c>
      <c r="F126" s="173" t="s">
        <v>41</v>
      </c>
      <c r="G126" s="107">
        <v>1</v>
      </c>
      <c r="H126" s="107"/>
      <c r="I126" s="107"/>
      <c r="J126" s="107">
        <v>25</v>
      </c>
      <c r="K126" s="107">
        <v>25</v>
      </c>
      <c r="L126" s="173"/>
      <c r="M126" s="173"/>
      <c r="N126" s="173"/>
      <c r="O126" s="173"/>
      <c r="P126" s="149">
        <f>IF(Table_Shelter[[#This Row],[Status]]="Open",IF(V126="NO",Table_Shelter[[#This Row],[HH per Shelter]]*(Table_Shelter[[#This Row],['# of Temporary Shelter Units Built]]+Table_Shelter[[#This Row],['# of Temporary Shelter Under  Construction]]+Table_Shelter[[#This Row],['# of Permanent House Under Construction]]),0),0)</f>
        <v>25</v>
      </c>
      <c r="Q126" s="106"/>
      <c r="R126" s="173"/>
      <c r="S126" s="174" t="str">
        <f>IFERROR(VLOOKUP(Table_Shelter[[#This Row],[CampName]],CL,2,0),"")</f>
        <v>MMR001CMP176</v>
      </c>
      <c r="T126" s="174" t="str">
        <f>IFERROR(VLOOKUP(Table_Shelter[[#This Row],[CampName]],CL,3,0),"")</f>
        <v>Open</v>
      </c>
      <c r="U126" s="265">
        <f>IFERROR(Table_Shelter[[#This Row],[HH Covered]]/VLOOKUP(Table_Shelter[[#This Row],[CampName]],CL,5,0),"")</f>
        <v>0.37313432835820898</v>
      </c>
      <c r="V126" s="265" t="s">
        <v>1305</v>
      </c>
      <c r="W126" s="175"/>
    </row>
    <row r="127" spans="1:118" ht="15" customHeight="1" x14ac:dyDescent="0.25">
      <c r="A127" s="580">
        <v>41609</v>
      </c>
      <c r="B127" s="173" t="s">
        <v>452</v>
      </c>
      <c r="C127" s="173" t="s">
        <v>505</v>
      </c>
      <c r="D127" s="173" t="s">
        <v>380</v>
      </c>
      <c r="E127" s="345" t="s">
        <v>527</v>
      </c>
      <c r="F127" s="173" t="s">
        <v>43</v>
      </c>
      <c r="G127" s="107">
        <v>1</v>
      </c>
      <c r="H127" s="107"/>
      <c r="I127" s="107"/>
      <c r="J127" s="107">
        <v>5</v>
      </c>
      <c r="K127" s="107">
        <v>5</v>
      </c>
      <c r="L127" s="173"/>
      <c r="M127" s="173"/>
      <c r="N127" s="173"/>
      <c r="O127" s="173"/>
      <c r="P127" s="149">
        <f>IF(Table_Shelter[[#This Row],[Status]]="Open",IF(V127="NO",Table_Shelter[[#This Row],[HH per Shelter]]*(Table_Shelter[[#This Row],['# of Temporary Shelter Units Built]]+Table_Shelter[[#This Row],['# of Temporary Shelter Under  Construction]]+Table_Shelter[[#This Row],['# of Permanent House Under Construction]]),0),0)</f>
        <v>5</v>
      </c>
      <c r="Q127" s="106"/>
      <c r="R127" s="173"/>
      <c r="S127" s="174" t="str">
        <f>IFERROR(VLOOKUP(Table_Shelter[[#This Row],[CampName]],CL,2,0),"")</f>
        <v>MMR001CMP190</v>
      </c>
      <c r="T127" s="174" t="str">
        <f>IFERROR(VLOOKUP(Table_Shelter[[#This Row],[CampName]],CL,3,0),"")</f>
        <v>Open</v>
      </c>
      <c r="U127" s="265">
        <f>IFERROR(Table_Shelter[[#This Row],[HH Covered]]/VLOOKUP(Table_Shelter[[#This Row],[CampName]],CL,5,0),"")</f>
        <v>0.35714285714285715</v>
      </c>
      <c r="V127" s="265" t="s">
        <v>1305</v>
      </c>
      <c r="W127" s="175"/>
    </row>
    <row r="128" spans="1:118" ht="15" customHeight="1" x14ac:dyDescent="0.25">
      <c r="A128" s="580">
        <v>41609</v>
      </c>
      <c r="B128" s="173" t="s">
        <v>452</v>
      </c>
      <c r="C128" s="173" t="s">
        <v>460</v>
      </c>
      <c r="D128" s="173" t="s">
        <v>380</v>
      </c>
      <c r="E128" s="345" t="s">
        <v>527</v>
      </c>
      <c r="F128" s="173" t="s">
        <v>52</v>
      </c>
      <c r="G128" s="107">
        <v>1</v>
      </c>
      <c r="H128" s="107"/>
      <c r="I128" s="107"/>
      <c r="J128" s="107">
        <v>20</v>
      </c>
      <c r="K128" s="107">
        <v>20</v>
      </c>
      <c r="L128" s="173"/>
      <c r="M128" s="173"/>
      <c r="N128" s="173"/>
      <c r="O128" s="173"/>
      <c r="P128" s="149">
        <f>IF(Table_Shelter[[#This Row],[Status]]="Open",IF(V128="NO",Table_Shelter[[#This Row],[HH per Shelter]]*(Table_Shelter[[#This Row],['# of Temporary Shelter Units Built]]+Table_Shelter[[#This Row],['# of Temporary Shelter Under  Construction]]+Table_Shelter[[#This Row],['# of Permanent House Under Construction]]),0),0)</f>
        <v>20</v>
      </c>
      <c r="Q128" s="106"/>
      <c r="R128" s="173"/>
      <c r="S128" s="174" t="str">
        <f>IFERROR(VLOOKUP(Table_Shelter[[#This Row],[CampName]],CL,2,0),"")</f>
        <v>MMR001CMP169</v>
      </c>
      <c r="T128" s="174" t="str">
        <f>IFERROR(VLOOKUP(Table_Shelter[[#This Row],[CampName]],CL,3,0),"")</f>
        <v>Open</v>
      </c>
      <c r="U128" s="265">
        <f>IFERROR(Table_Shelter[[#This Row],[HH Covered]]/VLOOKUP(Table_Shelter[[#This Row],[CampName]],CL,5,0),"")</f>
        <v>0.52631578947368418</v>
      </c>
      <c r="V128" s="265" t="s">
        <v>1305</v>
      </c>
      <c r="W128" s="175"/>
    </row>
    <row r="129" spans="1:23" ht="15" customHeight="1" x14ac:dyDescent="0.25">
      <c r="A129" s="580">
        <v>41609</v>
      </c>
      <c r="B129" s="173" t="s">
        <v>452</v>
      </c>
      <c r="C129" s="173" t="s">
        <v>505</v>
      </c>
      <c r="D129" s="173" t="s">
        <v>380</v>
      </c>
      <c r="E129" s="345" t="s">
        <v>527</v>
      </c>
      <c r="F129" s="173" t="s">
        <v>58</v>
      </c>
      <c r="G129" s="107">
        <v>1</v>
      </c>
      <c r="H129" s="107"/>
      <c r="I129" s="107"/>
      <c r="J129" s="107">
        <v>10</v>
      </c>
      <c r="K129" s="107">
        <v>10</v>
      </c>
      <c r="L129" s="173"/>
      <c r="M129" s="173"/>
      <c r="N129" s="173"/>
      <c r="O129" s="173"/>
      <c r="P129" s="149">
        <f>IF(Table_Shelter[[#This Row],[Status]]="Open",IF(V129="NO",Table_Shelter[[#This Row],[HH per Shelter]]*(Table_Shelter[[#This Row],['# of Temporary Shelter Units Built]]+Table_Shelter[[#This Row],['# of Temporary Shelter Under  Construction]]+Table_Shelter[[#This Row],['# of Permanent House Under Construction]]),0),0)</f>
        <v>0</v>
      </c>
      <c r="Q129" s="106"/>
      <c r="R129" s="173"/>
      <c r="S129" s="174" t="str">
        <f>IFERROR(VLOOKUP(Table_Shelter[[#This Row],[CampName]],CL,2,0),"")</f>
        <v>MMR001CMP188</v>
      </c>
      <c r="T129" s="174" t="str">
        <f>IFERROR(VLOOKUP(Table_Shelter[[#This Row],[CampName]],CL,3,0),"")</f>
        <v>Closed</v>
      </c>
      <c r="U129" s="265" t="str">
        <f>IFERROR(Table_Shelter[[#This Row],[HH Covered]]/VLOOKUP(Table_Shelter[[#This Row],[CampName]],CL,5,0),"")</f>
        <v/>
      </c>
      <c r="V129" s="265" t="s">
        <v>1305</v>
      </c>
      <c r="W129" s="175"/>
    </row>
    <row r="130" spans="1:23" ht="15" customHeight="1" x14ac:dyDescent="0.25">
      <c r="A130" s="580">
        <v>41609</v>
      </c>
      <c r="B130" s="175" t="s">
        <v>452</v>
      </c>
      <c r="C130" s="175" t="s">
        <v>506</v>
      </c>
      <c r="D130" s="177" t="s">
        <v>380</v>
      </c>
      <c r="E130" s="179" t="s">
        <v>310</v>
      </c>
      <c r="F130" s="175" t="s">
        <v>334</v>
      </c>
      <c r="G130" s="109">
        <v>1</v>
      </c>
      <c r="H130" s="109"/>
      <c r="I130" s="109"/>
      <c r="J130" s="109">
        <v>35</v>
      </c>
      <c r="K130" s="109">
        <v>35</v>
      </c>
      <c r="L130" s="175"/>
      <c r="M130" s="175"/>
      <c r="N130" s="175"/>
      <c r="O130" s="175"/>
      <c r="P130" s="108">
        <f>IF(Table_Shelter[[#This Row],[Status]]="Open",IF(V130="NO",Table_Shelter[[#This Row],[HH per Shelter]]*(Table_Shelter[[#This Row],['# of Temporary Shelter Units Built]]+Table_Shelter[[#This Row],['# of Temporary Shelter Under  Construction]]+Table_Shelter[[#This Row],['# of Permanent House Under Construction]]),0),0)</f>
        <v>35</v>
      </c>
      <c r="Q130" s="108"/>
      <c r="R130" s="108"/>
      <c r="S130" s="108" t="str">
        <f>IFERROR(VLOOKUP(Table_Shelter[[#This Row],[CampName]],CL,2,0),"")</f>
        <v>MMR001CMP113</v>
      </c>
      <c r="T130" s="108" t="str">
        <f>IFERROR(VLOOKUP(Table_Shelter[[#This Row],[CampName]],CL,3,0),"")</f>
        <v>Open</v>
      </c>
      <c r="U130" s="265">
        <f>IFERROR(Table_Shelter[[#This Row],[HH Covered]]/VLOOKUP(Table_Shelter[[#This Row],[CampName]],CL,5,0),"")</f>
        <v>0.21739130434782608</v>
      </c>
      <c r="V130" s="265" t="s">
        <v>1305</v>
      </c>
      <c r="W130" s="108"/>
    </row>
    <row r="131" spans="1:23" ht="15" customHeight="1" x14ac:dyDescent="0.25">
      <c r="A131" s="811">
        <v>41609</v>
      </c>
      <c r="B131" s="175" t="s">
        <v>452</v>
      </c>
      <c r="C131" s="175" t="s">
        <v>505</v>
      </c>
      <c r="D131" s="175" t="s">
        <v>380</v>
      </c>
      <c r="E131" s="179" t="s">
        <v>527</v>
      </c>
      <c r="F131" s="175" t="s">
        <v>72</v>
      </c>
      <c r="G131" s="109">
        <v>1</v>
      </c>
      <c r="H131" s="109"/>
      <c r="I131" s="109"/>
      <c r="J131" s="109">
        <v>4</v>
      </c>
      <c r="K131" s="109">
        <v>4</v>
      </c>
      <c r="L131" s="175"/>
      <c r="M131" s="175"/>
      <c r="N131" s="175"/>
      <c r="O131" s="175"/>
      <c r="P131" s="149">
        <f>IF(Table_Shelter[[#This Row],[Status]]="Open",IF(V131="NO",Table_Shelter[[#This Row],[HH per Shelter]]*(Table_Shelter[[#This Row],['# of Temporary Shelter Units Built]]+Table_Shelter[[#This Row],['# of Temporary Shelter Under  Construction]]+Table_Shelter[[#This Row],['# of Permanent House Under Construction]]),0),0)</f>
        <v>4</v>
      </c>
      <c r="Q131" s="108"/>
      <c r="R131" s="175"/>
      <c r="S131" s="174" t="str">
        <f>IFERROR(VLOOKUP(Table_Shelter[[#This Row],[CampName]],CL,2,0),"")</f>
        <v>MMR001CMP109</v>
      </c>
      <c r="T131" s="174" t="str">
        <f>IFERROR(VLOOKUP(Table_Shelter[[#This Row],[CampName]],CL,3,0),"")</f>
        <v>Open</v>
      </c>
      <c r="U131" s="265">
        <f>IFERROR(Table_Shelter[[#This Row],[HH Covered]]/VLOOKUP(Table_Shelter[[#This Row],[CampName]],CL,5,0),"")</f>
        <v>0.66666666666666663</v>
      </c>
      <c r="V131" s="265" t="s">
        <v>1305</v>
      </c>
      <c r="W131" s="175"/>
    </row>
    <row r="132" spans="1:23" ht="15" customHeight="1" x14ac:dyDescent="0.25">
      <c r="A132" s="580">
        <v>41609</v>
      </c>
      <c r="B132" s="173" t="s">
        <v>452</v>
      </c>
      <c r="C132" s="173" t="s">
        <v>505</v>
      </c>
      <c r="D132" s="173" t="s">
        <v>380</v>
      </c>
      <c r="E132" s="345" t="s">
        <v>310</v>
      </c>
      <c r="F132" s="173" t="s">
        <v>313</v>
      </c>
      <c r="G132" s="107">
        <v>1</v>
      </c>
      <c r="H132" s="107"/>
      <c r="I132" s="107"/>
      <c r="J132" s="107">
        <v>5</v>
      </c>
      <c r="K132" s="107">
        <v>5</v>
      </c>
      <c r="L132" s="173"/>
      <c r="M132" s="173"/>
      <c r="N132" s="173"/>
      <c r="O132" s="173"/>
      <c r="P132" s="108">
        <f>IF(Table_Shelter[[#This Row],[Status]]="Open",IF(V132="NO",Table_Shelter[[#This Row],[HH per Shelter]]*(Table_Shelter[[#This Row],['# of Temporary Shelter Units Built]]+Table_Shelter[[#This Row],['# of Temporary Shelter Under  Construction]]+Table_Shelter[[#This Row],['# of Permanent House Under Construction]]),0),0)</f>
        <v>5</v>
      </c>
      <c r="Q132" s="106"/>
      <c r="R132" s="106"/>
      <c r="S132" s="108" t="str">
        <f>IFERROR(VLOOKUP(Table_Shelter[[#This Row],[CampName]],CL,2,0),"")</f>
        <v>MMR001CMP028</v>
      </c>
      <c r="T132" s="108" t="str">
        <f>IFERROR(VLOOKUP(Table_Shelter[[#This Row],[CampName]],CL,3,0),"")</f>
        <v>Open</v>
      </c>
      <c r="U132" s="265">
        <f>IFERROR(Table_Shelter[[#This Row],[HH Covered]]/VLOOKUP(Table_Shelter[[#This Row],[CampName]],CL,5,0),"")</f>
        <v>5.0505050505050504E-2</v>
      </c>
      <c r="V132" s="265" t="s">
        <v>1305</v>
      </c>
      <c r="W132" s="108"/>
    </row>
    <row r="133" spans="1:23" ht="15" customHeight="1" x14ac:dyDescent="0.25">
      <c r="A133" s="647">
        <v>41609</v>
      </c>
      <c r="B133" s="107" t="s">
        <v>452</v>
      </c>
      <c r="C133" s="107" t="s">
        <v>505</v>
      </c>
      <c r="D133" s="180" t="s">
        <v>380</v>
      </c>
      <c r="E133" s="181" t="s">
        <v>527</v>
      </c>
      <c r="F133" s="107" t="s">
        <v>44</v>
      </c>
      <c r="G133" s="107">
        <v>1</v>
      </c>
      <c r="H133" s="109"/>
      <c r="I133" s="109"/>
      <c r="J133" s="109">
        <v>10</v>
      </c>
      <c r="K133" s="109">
        <v>10</v>
      </c>
      <c r="L133" s="109"/>
      <c r="M133" s="109"/>
      <c r="N133" s="109"/>
      <c r="O133" s="109"/>
      <c r="P133" s="108">
        <f>IF(Table_Shelter[[#This Row],[Status]]="Open",IF(V133="NO",Table_Shelter[[#This Row],[HH per Shelter]]*(Table_Shelter[[#This Row],['# of Temporary Shelter Units Built]]+Table_Shelter[[#This Row],['# of Temporary Shelter Under  Construction]]+Table_Shelter[[#This Row],['# of Permanent House Under Construction]]),0),0)</f>
        <v>10</v>
      </c>
      <c r="Q133" s="108"/>
      <c r="R133" s="108"/>
      <c r="S133" s="108" t="str">
        <f>IFERROR(VLOOKUP(Table_Shelter[[#This Row],[CampName]],CL,2,0),"")</f>
        <v>MMR001CMP191</v>
      </c>
      <c r="T133" s="108" t="str">
        <f>IFERROR(VLOOKUP(Table_Shelter[[#This Row],[CampName]],CL,3,0),"")</f>
        <v>Open</v>
      </c>
      <c r="U133" s="266">
        <f>IFERROR(Table_Shelter[[#This Row],[HH Covered]]/VLOOKUP(Table_Shelter[[#This Row],[CampName]],CL,5,0),"")</f>
        <v>2</v>
      </c>
      <c r="V133" s="265" t="s">
        <v>1305</v>
      </c>
      <c r="W133" s="108"/>
    </row>
    <row r="134" spans="1:23" ht="15" customHeight="1" x14ac:dyDescent="0.25">
      <c r="A134" s="580">
        <v>41609</v>
      </c>
      <c r="B134" s="173" t="s">
        <v>452</v>
      </c>
      <c r="C134" s="173" t="s">
        <v>459</v>
      </c>
      <c r="D134" s="173" t="s">
        <v>380</v>
      </c>
      <c r="E134" s="345" t="s">
        <v>151</v>
      </c>
      <c r="F134" s="173" t="s">
        <v>516</v>
      </c>
      <c r="G134" s="107">
        <v>1</v>
      </c>
      <c r="H134" s="107"/>
      <c r="I134" s="107"/>
      <c r="J134" s="107">
        <v>60</v>
      </c>
      <c r="K134" s="107">
        <v>60</v>
      </c>
      <c r="L134" s="173"/>
      <c r="M134" s="173"/>
      <c r="N134" s="173"/>
      <c r="O134" s="173"/>
      <c r="P134" s="149">
        <f>IF(Table_Shelter[[#This Row],[Status]]="Open",IF(V134="NO",Table_Shelter[[#This Row],[HH per Shelter]]*(Table_Shelter[[#This Row],['# of Temporary Shelter Units Built]]+Table_Shelter[[#This Row],['# of Temporary Shelter Under  Construction]]+Table_Shelter[[#This Row],['# of Permanent House Under Construction]]),0),0)</f>
        <v>0</v>
      </c>
      <c r="Q134" s="106"/>
      <c r="R134" s="173"/>
      <c r="S134" s="174" t="str">
        <f>IFERROR(VLOOKUP(Table_Shelter[[#This Row],[CampName]],CL,2,0),"")</f>
        <v>MMR001CMP202</v>
      </c>
      <c r="T134" s="174" t="str">
        <f>IFERROR(VLOOKUP(Table_Shelter[[#This Row],[CampName]],CL,3,0),"")</f>
        <v>Closed</v>
      </c>
      <c r="U134" s="265" t="str">
        <f>IFERROR(Table_Shelter[[#This Row],[HH Covered]]/VLOOKUP(Table_Shelter[[#This Row],[CampName]],CL,5,0),"")</f>
        <v/>
      </c>
      <c r="V134" s="265" t="s">
        <v>1305</v>
      </c>
      <c r="W134" s="175"/>
    </row>
    <row r="135" spans="1:23" ht="15" customHeight="1" x14ac:dyDescent="0.25">
      <c r="A135" s="580">
        <v>41609</v>
      </c>
      <c r="B135" s="173" t="s">
        <v>452</v>
      </c>
      <c r="C135" s="173" t="s">
        <v>505</v>
      </c>
      <c r="D135" s="173" t="s">
        <v>380</v>
      </c>
      <c r="E135" s="345" t="s">
        <v>527</v>
      </c>
      <c r="F135" s="173" t="s">
        <v>90</v>
      </c>
      <c r="G135" s="107">
        <v>1</v>
      </c>
      <c r="H135" s="107"/>
      <c r="I135" s="107"/>
      <c r="J135" s="107">
        <v>18</v>
      </c>
      <c r="K135" s="107">
        <v>18</v>
      </c>
      <c r="L135" s="173"/>
      <c r="M135" s="173"/>
      <c r="N135" s="173"/>
      <c r="O135" s="173"/>
      <c r="P135" s="149">
        <f>IF(Table_Shelter[[#This Row],[Status]]="Open",IF(V135="NO",Table_Shelter[[#This Row],[HH per Shelter]]*(Table_Shelter[[#This Row],['# of Temporary Shelter Units Built]]+Table_Shelter[[#This Row],['# of Temporary Shelter Under  Construction]]+Table_Shelter[[#This Row],['# of Permanent House Under Construction]]),0),0)</f>
        <v>18</v>
      </c>
      <c r="Q135" s="106"/>
      <c r="R135" s="173"/>
      <c r="S135" s="174" t="str">
        <f>IFERROR(VLOOKUP(Table_Shelter[[#This Row],[CampName]],CL,2,0),"")</f>
        <v>MMR001CMP181</v>
      </c>
      <c r="T135" s="174" t="str">
        <f>IFERROR(VLOOKUP(Table_Shelter[[#This Row],[CampName]],CL,3,0),"")</f>
        <v>Open</v>
      </c>
      <c r="U135" s="265">
        <f>IFERROR(Table_Shelter[[#This Row],[HH Covered]]/VLOOKUP(Table_Shelter[[#This Row],[CampName]],CL,5,0),"")</f>
        <v>0.72</v>
      </c>
      <c r="V135" s="265" t="s">
        <v>1305</v>
      </c>
      <c r="W135" s="175"/>
    </row>
    <row r="136" spans="1:23" ht="15" customHeight="1" x14ac:dyDescent="0.25">
      <c r="A136" s="580">
        <v>41609</v>
      </c>
      <c r="B136" s="175" t="s">
        <v>452</v>
      </c>
      <c r="C136" s="175" t="s">
        <v>505</v>
      </c>
      <c r="D136" s="175" t="s">
        <v>380</v>
      </c>
      <c r="E136" s="179" t="s">
        <v>5</v>
      </c>
      <c r="F136" s="175" t="s">
        <v>18</v>
      </c>
      <c r="G136" s="109">
        <v>1</v>
      </c>
      <c r="H136" s="107"/>
      <c r="I136" s="107"/>
      <c r="J136" s="107">
        <v>10</v>
      </c>
      <c r="K136" s="107">
        <v>10</v>
      </c>
      <c r="L136" s="173"/>
      <c r="M136" s="173"/>
      <c r="N136" s="173"/>
      <c r="O136" s="173"/>
      <c r="P136" s="108">
        <f>IF(Table_Shelter[[#This Row],[Status]]="Open",IF(V136="NO",Table_Shelter[[#This Row],[HH per Shelter]]*(Table_Shelter[[#This Row],['# of Temporary Shelter Units Built]]+Table_Shelter[[#This Row],['# of Temporary Shelter Under  Construction]]+Table_Shelter[[#This Row],['# of Permanent House Under Construction]]),0),0)</f>
        <v>10</v>
      </c>
      <c r="Q136" s="106"/>
      <c r="R136" s="106"/>
      <c r="S136" s="108" t="str">
        <f>IFERROR(VLOOKUP(Table_Shelter[[#This Row],[CampName]],CL,2,0),"")</f>
        <v>MMR001CMP049</v>
      </c>
      <c r="T136" s="108" t="str">
        <f>IFERROR(VLOOKUP(Table_Shelter[[#This Row],[CampName]],CL,3,0),"")</f>
        <v>Open</v>
      </c>
      <c r="U136" s="265">
        <f>IFERROR(Table_Shelter[[#This Row],[HH Covered]]/VLOOKUP(Table_Shelter[[#This Row],[CampName]],CL,5,0),"")</f>
        <v>8.6206896551724144E-2</v>
      </c>
      <c r="V136" s="265" t="s">
        <v>1305</v>
      </c>
      <c r="W136" s="108"/>
    </row>
    <row r="137" spans="1:23" ht="15" customHeight="1" x14ac:dyDescent="0.25">
      <c r="A137" s="580">
        <v>41609</v>
      </c>
      <c r="B137" s="173" t="s">
        <v>452</v>
      </c>
      <c r="C137" s="173" t="s">
        <v>505</v>
      </c>
      <c r="D137" s="173" t="s">
        <v>380</v>
      </c>
      <c r="E137" s="345" t="s">
        <v>310</v>
      </c>
      <c r="F137" s="173" t="s">
        <v>328</v>
      </c>
      <c r="G137" s="107">
        <v>1</v>
      </c>
      <c r="H137" s="107"/>
      <c r="I137" s="107"/>
      <c r="J137" s="107">
        <v>35</v>
      </c>
      <c r="K137" s="107">
        <v>35</v>
      </c>
      <c r="L137" s="173"/>
      <c r="M137" s="173"/>
      <c r="N137" s="173"/>
      <c r="O137" s="173"/>
      <c r="P137" s="108">
        <f>IF(Table_Shelter[[#This Row],[Status]]="Open",IF(V137="NO",Table_Shelter[[#This Row],[HH per Shelter]]*(Table_Shelter[[#This Row],['# of Temporary Shelter Units Built]]+Table_Shelter[[#This Row],['# of Temporary Shelter Under  Construction]]+Table_Shelter[[#This Row],['# of Permanent House Under Construction]]),0),0)</f>
        <v>35</v>
      </c>
      <c r="Q137" s="106"/>
      <c r="R137" s="106"/>
      <c r="S137" s="108" t="str">
        <f>IFERROR(VLOOKUP(Table_Shelter[[#This Row],[CampName]],CL,2,0),"")</f>
        <v>MMR001CMP031</v>
      </c>
      <c r="T137" s="108" t="str">
        <f>IFERROR(VLOOKUP(Table_Shelter[[#This Row],[CampName]],CL,3,0),"")</f>
        <v>Open</v>
      </c>
      <c r="U137" s="265">
        <f>IFERROR(Table_Shelter[[#This Row],[HH Covered]]/VLOOKUP(Table_Shelter[[#This Row],[CampName]],CL,5,0),"")</f>
        <v>0.2348993288590604</v>
      </c>
      <c r="V137" s="265" t="s">
        <v>1305</v>
      </c>
      <c r="W137" s="108"/>
    </row>
    <row r="138" spans="1:23" ht="15" customHeight="1" x14ac:dyDescent="0.25">
      <c r="A138" s="583">
        <v>41609</v>
      </c>
      <c r="B138" s="107" t="s">
        <v>452</v>
      </c>
      <c r="C138" s="107" t="s">
        <v>506</v>
      </c>
      <c r="D138" s="180" t="s">
        <v>553</v>
      </c>
      <c r="E138" s="181" t="s">
        <v>166</v>
      </c>
      <c r="F138" s="107" t="s">
        <v>822</v>
      </c>
      <c r="G138" s="107">
        <v>1</v>
      </c>
      <c r="H138" s="109"/>
      <c r="I138" s="109"/>
      <c r="J138" s="109">
        <v>30</v>
      </c>
      <c r="K138" s="109">
        <v>30</v>
      </c>
      <c r="L138" s="109"/>
      <c r="M138" s="109"/>
      <c r="N138" s="109"/>
      <c r="O138" s="109"/>
      <c r="P138" s="108">
        <f>IF(Table_Shelter[[#This Row],[Status]]="Open",IF(V138="NO",Table_Shelter[[#This Row],[HH per Shelter]]*(Table_Shelter[[#This Row],['# of Temporary Shelter Units Built]]+Table_Shelter[[#This Row],['# of Temporary Shelter Under  Construction]]+Table_Shelter[[#This Row],['# of Permanent House Under Construction]]),0),0)</f>
        <v>30</v>
      </c>
      <c r="Q138" s="108"/>
      <c r="R138" s="108"/>
      <c r="S138" s="108" t="str">
        <f>IFERROR(VLOOKUP(Table_Shelter[[#This Row],[CampName]],CL,2,0),"")</f>
        <v>MMR015CMP209</v>
      </c>
      <c r="T138" s="108" t="str">
        <f>IFERROR(VLOOKUP(Table_Shelter[[#This Row],[CampName]],CL,3,0),"")</f>
        <v>Open</v>
      </c>
      <c r="U138" s="266">
        <f>IFERROR(Table_Shelter[[#This Row],[HH Covered]]/VLOOKUP(Table_Shelter[[#This Row],[CampName]],CL,5,0),"")</f>
        <v>1.0344827586206897</v>
      </c>
      <c r="V138" s="265" t="s">
        <v>1305</v>
      </c>
      <c r="W138" s="108"/>
    </row>
    <row r="139" spans="1:23" ht="15" customHeight="1" x14ac:dyDescent="0.25">
      <c r="A139" s="580">
        <v>41609</v>
      </c>
      <c r="B139" s="173" t="s">
        <v>452</v>
      </c>
      <c r="C139" s="173" t="s">
        <v>505</v>
      </c>
      <c r="D139" s="173" t="s">
        <v>380</v>
      </c>
      <c r="E139" s="345" t="s">
        <v>237</v>
      </c>
      <c r="F139" s="173" t="s">
        <v>265</v>
      </c>
      <c r="G139" s="107">
        <v>1</v>
      </c>
      <c r="H139" s="107"/>
      <c r="I139" s="107"/>
      <c r="J139" s="107">
        <v>15</v>
      </c>
      <c r="K139" s="107">
        <v>15</v>
      </c>
      <c r="L139" s="173"/>
      <c r="M139" s="173"/>
      <c r="N139" s="173"/>
      <c r="O139" s="173"/>
      <c r="P139" s="108">
        <f>IF(Table_Shelter[[#This Row],[Status]]="Open",IF(V139="NO",Table_Shelter[[#This Row],[HH per Shelter]]*(Table_Shelter[[#This Row],['# of Temporary Shelter Units Built]]+Table_Shelter[[#This Row],['# of Temporary Shelter Under  Construction]]+Table_Shelter[[#This Row],['# of Permanent House Under Construction]]),0),0)</f>
        <v>15</v>
      </c>
      <c r="Q139" s="106"/>
      <c r="R139" s="106"/>
      <c r="S139" s="108" t="str">
        <f>IFERROR(VLOOKUP(Table_Shelter[[#This Row],[CampName]],CL,2,0),"")</f>
        <v>MMR001CMP021</v>
      </c>
      <c r="T139" s="108" t="str">
        <f>IFERROR(VLOOKUP(Table_Shelter[[#This Row],[CampName]],CL,3,0),"")</f>
        <v>Open</v>
      </c>
      <c r="U139" s="265">
        <f>IFERROR(Table_Shelter[[#This Row],[HH Covered]]/VLOOKUP(Table_Shelter[[#This Row],[CampName]],CL,5,0),"")</f>
        <v>1.0714285714285714</v>
      </c>
      <c r="V139" s="265" t="s">
        <v>1305</v>
      </c>
      <c r="W139" s="108"/>
    </row>
    <row r="140" spans="1:23" ht="15" customHeight="1" x14ac:dyDescent="0.25">
      <c r="A140" s="647">
        <v>41609</v>
      </c>
      <c r="B140" s="174" t="s">
        <v>452</v>
      </c>
      <c r="C140" s="174" t="s">
        <v>505</v>
      </c>
      <c r="D140" s="174" t="s">
        <v>380</v>
      </c>
      <c r="E140" s="178" t="s">
        <v>527</v>
      </c>
      <c r="F140" s="174" t="s">
        <v>100</v>
      </c>
      <c r="G140" s="148">
        <v>1</v>
      </c>
      <c r="H140" s="109"/>
      <c r="I140" s="109"/>
      <c r="J140" s="109">
        <v>5</v>
      </c>
      <c r="K140" s="109">
        <v>5</v>
      </c>
      <c r="L140" s="175"/>
      <c r="M140" s="175"/>
      <c r="N140" s="175"/>
      <c r="O140" s="175"/>
      <c r="P140" s="108">
        <f>IF(Table_Shelter[[#This Row],[Status]]="Open",IF(V140="NO",Table_Shelter[[#This Row],[HH per Shelter]]*(Table_Shelter[[#This Row],['# of Temporary Shelter Units Built]]+Table_Shelter[[#This Row],['# of Temporary Shelter Under  Construction]]+Table_Shelter[[#This Row],['# of Permanent House Under Construction]]),0),0)</f>
        <v>5</v>
      </c>
      <c r="Q140" s="108"/>
      <c r="R140" s="108"/>
      <c r="S140" s="108" t="str">
        <f>IFERROR(VLOOKUP(Table_Shelter[[#This Row],[CampName]],CL,2,0),"")</f>
        <v>MMR001CMP091</v>
      </c>
      <c r="T140" s="108" t="str">
        <f>IFERROR(VLOOKUP(Table_Shelter[[#This Row],[CampName]],CL,3,0),"")</f>
        <v>Open</v>
      </c>
      <c r="U140" s="265">
        <f>IFERROR(Table_Shelter[[#This Row],[HH Covered]]/VLOOKUP(Table_Shelter[[#This Row],[CampName]],CL,5,0),"")</f>
        <v>1.25</v>
      </c>
      <c r="V140" s="265" t="s">
        <v>1305</v>
      </c>
      <c r="W140" s="108"/>
    </row>
    <row r="141" spans="1:23" ht="15" customHeight="1" x14ac:dyDescent="0.25">
      <c r="A141" s="647">
        <v>41609</v>
      </c>
      <c r="B141" s="173" t="s">
        <v>452</v>
      </c>
      <c r="C141" s="173"/>
      <c r="D141" s="176" t="s">
        <v>380</v>
      </c>
      <c r="E141" s="345" t="s">
        <v>185</v>
      </c>
      <c r="F141" s="173" t="s">
        <v>209</v>
      </c>
      <c r="G141" s="107">
        <v>1</v>
      </c>
      <c r="H141" s="109"/>
      <c r="I141" s="109"/>
      <c r="J141" s="109">
        <v>50</v>
      </c>
      <c r="K141" s="109">
        <v>50</v>
      </c>
      <c r="L141" s="175"/>
      <c r="M141" s="175"/>
      <c r="N141" s="175"/>
      <c r="O141" s="175"/>
      <c r="P141" s="108">
        <f>IF(Table_Shelter[[#This Row],[Status]]="Open",IF(V141="NO",Table_Shelter[[#This Row],[HH per Shelter]]*(Table_Shelter[[#This Row],['# of Temporary Shelter Units Built]]+Table_Shelter[[#This Row],['# of Temporary Shelter Under  Construction]]+Table_Shelter[[#This Row],['# of Permanent House Under Construction]]),0),0)</f>
        <v>50</v>
      </c>
      <c r="Q141" s="108"/>
      <c r="R141" s="175"/>
      <c r="S141" s="175" t="str">
        <f>IFERROR(VLOOKUP(Table_Shelter[[#This Row],[CampName]],CL,2,0),"")</f>
        <v>MMR001CMP056</v>
      </c>
      <c r="T141" s="175" t="str">
        <f>IFERROR(VLOOKUP(Table_Shelter[[#This Row],[CampName]],CL,3,0),"")</f>
        <v>Open</v>
      </c>
      <c r="U141" s="265">
        <f>IFERROR(Table_Shelter[[#This Row],[HH Covered]]/VLOOKUP(Table_Shelter[[#This Row],[CampName]],CL,5,0),"")</f>
        <v>0.12919896640826872</v>
      </c>
      <c r="V141" s="265" t="s">
        <v>1305</v>
      </c>
      <c r="W141" s="175"/>
    </row>
    <row r="142" spans="1:23" ht="15" customHeight="1" x14ac:dyDescent="0.25">
      <c r="A142" s="647">
        <v>41609</v>
      </c>
      <c r="B142" s="173" t="s">
        <v>452</v>
      </c>
      <c r="C142" s="173" t="s">
        <v>505</v>
      </c>
      <c r="D142" s="176" t="s">
        <v>380</v>
      </c>
      <c r="E142" s="345" t="s">
        <v>5</v>
      </c>
      <c r="F142" s="173" t="s">
        <v>8</v>
      </c>
      <c r="G142" s="107">
        <v>1</v>
      </c>
      <c r="H142" s="109"/>
      <c r="I142" s="109"/>
      <c r="J142" s="109">
        <v>13</v>
      </c>
      <c r="K142" s="109">
        <v>13</v>
      </c>
      <c r="L142" s="175"/>
      <c r="M142" s="175"/>
      <c r="N142" s="175"/>
      <c r="O142" s="175"/>
      <c r="P142" s="108">
        <f>IF(Table_Shelter[[#This Row],[Status]]="Open",IF(V142="NO",Table_Shelter[[#This Row],[HH per Shelter]]*(Table_Shelter[[#This Row],['# of Temporary Shelter Units Built]]+Table_Shelter[[#This Row],['# of Temporary Shelter Under  Construction]]+Table_Shelter[[#This Row],['# of Permanent House Under Construction]]),0),0)</f>
        <v>13</v>
      </c>
      <c r="Q142" s="108"/>
      <c r="R142" s="175"/>
      <c r="S142" s="175" t="str">
        <f>IFERROR(VLOOKUP(Table_Shelter[[#This Row],[CampName]],CL,2,0),"")</f>
        <v>MMR001CMP051</v>
      </c>
      <c r="T142" s="175" t="str">
        <f>IFERROR(VLOOKUP(Table_Shelter[[#This Row],[CampName]],CL,3,0),"")</f>
        <v>Open</v>
      </c>
      <c r="U142" s="265">
        <f>IFERROR(Table_Shelter[[#This Row],[HH Covered]]/VLOOKUP(Table_Shelter[[#This Row],[CampName]],CL,5,0),"")</f>
        <v>0.9285714285714286</v>
      </c>
      <c r="V142" s="265" t="s">
        <v>1305</v>
      </c>
      <c r="W142" s="175"/>
    </row>
    <row r="143" spans="1:23" ht="15" customHeight="1" x14ac:dyDescent="0.25">
      <c r="A143" s="579">
        <v>41609</v>
      </c>
      <c r="B143" s="173" t="s">
        <v>452</v>
      </c>
      <c r="C143" s="173" t="s">
        <v>505</v>
      </c>
      <c r="D143" s="176" t="s">
        <v>380</v>
      </c>
      <c r="E143" s="345" t="s">
        <v>527</v>
      </c>
      <c r="F143" s="173" t="s">
        <v>611</v>
      </c>
      <c r="G143" s="107">
        <v>1</v>
      </c>
      <c r="H143" s="109"/>
      <c r="I143" s="109"/>
      <c r="J143" s="109">
        <v>10</v>
      </c>
      <c r="K143" s="109">
        <v>10</v>
      </c>
      <c r="L143" s="175"/>
      <c r="M143" s="175"/>
      <c r="N143" s="175"/>
      <c r="O143" s="175"/>
      <c r="P143" s="108">
        <f>IF(Table_Shelter[[#This Row],[Status]]="Open",IF(V143="NO",Table_Shelter[[#This Row],[HH per Shelter]]*(Table_Shelter[[#This Row],['# of Temporary Shelter Units Built]]+Table_Shelter[[#This Row],['# of Temporary Shelter Under  Construction]]+Table_Shelter[[#This Row],['# of Permanent House Under Construction]]),0),0)</f>
        <v>10</v>
      </c>
      <c r="Q143" s="108"/>
      <c r="R143" s="175"/>
      <c r="S143" s="175" t="str">
        <f>IFERROR(VLOOKUP(Table_Shelter[[#This Row],[CampName]],CL,2,0),"")</f>
        <v>MMR001CMP192</v>
      </c>
      <c r="T143" s="175" t="str">
        <f>IFERROR(VLOOKUP(Table_Shelter[[#This Row],[CampName]],CL,3,0),"")</f>
        <v>Open</v>
      </c>
      <c r="U143" s="265">
        <f>IFERROR(Table_Shelter[[#This Row],[HH Covered]]/VLOOKUP(Table_Shelter[[#This Row],[CampName]],CL,5,0),"")</f>
        <v>0.83333333333333337</v>
      </c>
      <c r="V143" s="265" t="s">
        <v>1305</v>
      </c>
      <c r="W143" s="175"/>
    </row>
    <row r="144" spans="1:23" ht="15" customHeight="1" x14ac:dyDescent="0.25">
      <c r="A144" s="647">
        <v>41609</v>
      </c>
      <c r="B144" s="173" t="s">
        <v>452</v>
      </c>
      <c r="C144" s="173" t="s">
        <v>505</v>
      </c>
      <c r="D144" s="176" t="s">
        <v>380</v>
      </c>
      <c r="E144" s="345" t="s">
        <v>310</v>
      </c>
      <c r="F144" s="173" t="s">
        <v>344</v>
      </c>
      <c r="G144" s="107">
        <v>1</v>
      </c>
      <c r="H144" s="109"/>
      <c r="I144" s="109"/>
      <c r="J144" s="109">
        <v>10</v>
      </c>
      <c r="K144" s="109">
        <v>10</v>
      </c>
      <c r="L144" s="175"/>
      <c r="M144" s="175"/>
      <c r="N144" s="175"/>
      <c r="O144" s="175"/>
      <c r="P144" s="108">
        <f>IF(Table_Shelter[[#This Row],[Status]]="Open",IF(V144="NO",Table_Shelter[[#This Row],[HH per Shelter]]*(Table_Shelter[[#This Row],['# of Temporary Shelter Units Built]]+Table_Shelter[[#This Row],['# of Temporary Shelter Under  Construction]]+Table_Shelter[[#This Row],['# of Permanent House Under Construction]]),0),0)</f>
        <v>10</v>
      </c>
      <c r="Q144" s="108"/>
      <c r="R144" s="175"/>
      <c r="S144" s="175" t="str">
        <f>IFERROR(VLOOKUP(Table_Shelter[[#This Row],[CampName]],CL,2,0),"")</f>
        <v>MMR001CMP033</v>
      </c>
      <c r="T144" s="175" t="str">
        <f>IFERROR(VLOOKUP(Table_Shelter[[#This Row],[CampName]],CL,3,0),"")</f>
        <v>Open</v>
      </c>
      <c r="U144" s="265">
        <f>IFERROR(Table_Shelter[[#This Row],[HH Covered]]/VLOOKUP(Table_Shelter[[#This Row],[CampName]],CL,5,0),"")</f>
        <v>0.55555555555555558</v>
      </c>
      <c r="V144" s="265" t="s">
        <v>1305</v>
      </c>
      <c r="W144" s="175"/>
    </row>
    <row r="145" spans="1:23" ht="15" customHeight="1" x14ac:dyDescent="0.25">
      <c r="A145" s="811">
        <v>41609</v>
      </c>
      <c r="B145" s="173" t="s">
        <v>452</v>
      </c>
      <c r="C145" s="173" t="s">
        <v>505</v>
      </c>
      <c r="D145" s="176" t="s">
        <v>380</v>
      </c>
      <c r="E145" s="345" t="s">
        <v>527</v>
      </c>
      <c r="F145" s="173" t="s">
        <v>110</v>
      </c>
      <c r="G145" s="107">
        <v>1</v>
      </c>
      <c r="H145" s="109"/>
      <c r="I145" s="109"/>
      <c r="J145" s="109">
        <v>40</v>
      </c>
      <c r="K145" s="109">
        <v>40</v>
      </c>
      <c r="L145" s="175"/>
      <c r="M145" s="175"/>
      <c r="N145" s="175"/>
      <c r="O145" s="175"/>
      <c r="P145" s="108">
        <f>IF(Table_Shelter[[#This Row],[Status]]="Open",IF(V145="NO",Table_Shelter[[#This Row],[HH per Shelter]]*(Table_Shelter[[#This Row],['# of Temporary Shelter Units Built]]+Table_Shelter[[#This Row],['# of Temporary Shelter Under  Construction]]+Table_Shelter[[#This Row],['# of Permanent House Under Construction]]),0),0)</f>
        <v>0</v>
      </c>
      <c r="Q145" s="108"/>
      <c r="R145" s="108"/>
      <c r="S145" s="108" t="str">
        <f>IFERROR(VLOOKUP(Table_Shelter[[#This Row],[CampName]],CL,2,0),"")</f>
        <v>MMR001CMP082</v>
      </c>
      <c r="T145" s="108" t="str">
        <f>IFERROR(VLOOKUP(Table_Shelter[[#This Row],[CampName]],CL,3,0),"")</f>
        <v>Closed</v>
      </c>
      <c r="U145" s="265" t="str">
        <f>IFERROR(Table_Shelter[[#This Row],[HH Covered]]/VLOOKUP(Table_Shelter[[#This Row],[CampName]],CL,5,0),"")</f>
        <v/>
      </c>
      <c r="V145" s="265" t="s">
        <v>1305</v>
      </c>
      <c r="W145" s="108"/>
    </row>
    <row r="146" spans="1:23" ht="15" customHeight="1" x14ac:dyDescent="0.25">
      <c r="A146" s="811">
        <v>41609</v>
      </c>
      <c r="B146" s="173" t="s">
        <v>452</v>
      </c>
      <c r="C146" s="173" t="s">
        <v>505</v>
      </c>
      <c r="D146" s="176" t="s">
        <v>380</v>
      </c>
      <c r="E146" s="345" t="s">
        <v>185</v>
      </c>
      <c r="F146" s="173" t="s">
        <v>217</v>
      </c>
      <c r="G146" s="107">
        <v>1</v>
      </c>
      <c r="H146" s="109"/>
      <c r="I146" s="109"/>
      <c r="J146" s="109">
        <v>4</v>
      </c>
      <c r="K146" s="109">
        <v>4</v>
      </c>
      <c r="L146" s="175"/>
      <c r="M146" s="175"/>
      <c r="N146" s="175"/>
      <c r="O146" s="175"/>
      <c r="P146" s="108">
        <f>IF(Table_Shelter[[#This Row],[Status]]="Open",IF(V146="NO",Table_Shelter[[#This Row],[HH per Shelter]]*(Table_Shelter[[#This Row],['# of Temporary Shelter Units Built]]+Table_Shelter[[#This Row],['# of Temporary Shelter Under  Construction]]+Table_Shelter[[#This Row],['# of Permanent House Under Construction]]),0),0)</f>
        <v>0</v>
      </c>
      <c r="Q146" s="108">
        <v>5</v>
      </c>
      <c r="R146" s="175"/>
      <c r="S146" s="175" t="str">
        <f>IFERROR(VLOOKUP(Table_Shelter[[#This Row],[CampName]],CL,2,0),"")</f>
        <v>MMR001CMP059</v>
      </c>
      <c r="T146" s="175" t="str">
        <f>IFERROR(VLOOKUP(Table_Shelter[[#This Row],[CampName]],CL,3,0),"")</f>
        <v>Closed</v>
      </c>
      <c r="U146" s="265" t="str">
        <f>IFERROR(Table_Shelter[[#This Row],[HH Covered]]/VLOOKUP(Table_Shelter[[#This Row],[CampName]],CL,5,0),"")</f>
        <v/>
      </c>
      <c r="V146" s="265" t="s">
        <v>1305</v>
      </c>
      <c r="W146" s="175"/>
    </row>
    <row r="147" spans="1:23" ht="15" customHeight="1" x14ac:dyDescent="0.25">
      <c r="A147" s="647">
        <v>41609</v>
      </c>
      <c r="B147" s="173" t="s">
        <v>452</v>
      </c>
      <c r="C147" s="173" t="s">
        <v>505</v>
      </c>
      <c r="D147" s="176" t="s">
        <v>380</v>
      </c>
      <c r="E147" s="345" t="s">
        <v>310</v>
      </c>
      <c r="F147" s="173" t="s">
        <v>318</v>
      </c>
      <c r="G147" s="107">
        <v>1</v>
      </c>
      <c r="H147" s="109"/>
      <c r="I147" s="109"/>
      <c r="J147" s="109">
        <v>10</v>
      </c>
      <c r="K147" s="109">
        <v>10</v>
      </c>
      <c r="L147" s="175"/>
      <c r="M147" s="175"/>
      <c r="N147" s="175"/>
      <c r="O147" s="175"/>
      <c r="P147" s="108">
        <f>IF(Table_Shelter[[#This Row],[Status]]="Open",IF(V147="NO",Table_Shelter[[#This Row],[HH per Shelter]]*(Table_Shelter[[#This Row],['# of Temporary Shelter Units Built]]+Table_Shelter[[#This Row],['# of Temporary Shelter Under  Construction]]+Table_Shelter[[#This Row],['# of Permanent House Under Construction]]),0),0)</f>
        <v>10</v>
      </c>
      <c r="Q147" s="108"/>
      <c r="R147" s="108"/>
      <c r="S147" s="108" t="str">
        <f>IFERROR(VLOOKUP(Table_Shelter[[#This Row],[CampName]],CL,2,0),"")</f>
        <v>MMR001CMP032</v>
      </c>
      <c r="T147" s="108" t="str">
        <f>IFERROR(VLOOKUP(Table_Shelter[[#This Row],[CampName]],CL,3,0),"")</f>
        <v>Open</v>
      </c>
      <c r="U147" s="265">
        <f>IFERROR(Table_Shelter[[#This Row],[HH Covered]]/VLOOKUP(Table_Shelter[[#This Row],[CampName]],CL,5,0),"")</f>
        <v>0.10989010989010989</v>
      </c>
      <c r="V147" s="265" t="s">
        <v>1305</v>
      </c>
      <c r="W147" s="108"/>
    </row>
    <row r="148" spans="1:23" ht="15" customHeight="1" x14ac:dyDescent="0.25">
      <c r="A148" s="647">
        <v>41609</v>
      </c>
      <c r="B148" s="173" t="s">
        <v>452</v>
      </c>
      <c r="C148" s="173" t="s">
        <v>505</v>
      </c>
      <c r="D148" s="176" t="s">
        <v>380</v>
      </c>
      <c r="E148" s="345" t="s">
        <v>310</v>
      </c>
      <c r="F148" s="173" t="s">
        <v>338</v>
      </c>
      <c r="G148" s="107">
        <v>1</v>
      </c>
      <c r="H148" s="109"/>
      <c r="I148" s="109"/>
      <c r="J148" s="109">
        <v>10</v>
      </c>
      <c r="K148" s="109">
        <v>10</v>
      </c>
      <c r="L148" s="175"/>
      <c r="M148" s="175"/>
      <c r="N148" s="175"/>
      <c r="O148" s="175"/>
      <c r="P148" s="108">
        <f>IF(Table_Shelter[[#This Row],[Status]]="Open",IF(V148="NO",Table_Shelter[[#This Row],[HH per Shelter]]*(Table_Shelter[[#This Row],['# of Temporary Shelter Units Built]]+Table_Shelter[[#This Row],['# of Temporary Shelter Under  Construction]]+Table_Shelter[[#This Row],['# of Permanent House Under Construction]]),0),0)</f>
        <v>10</v>
      </c>
      <c r="Q148" s="108"/>
      <c r="R148" s="108"/>
      <c r="S148" s="108" t="str">
        <f>IFERROR(VLOOKUP(Table_Shelter[[#This Row],[CampName]],CL,2,0),"")</f>
        <v>MMR001CMP030</v>
      </c>
      <c r="T148" s="108" t="str">
        <f>IFERROR(VLOOKUP(Table_Shelter[[#This Row],[CampName]],CL,3,0),"")</f>
        <v>Open</v>
      </c>
      <c r="U148" s="265">
        <f>IFERROR(Table_Shelter[[#This Row],[HH Covered]]/VLOOKUP(Table_Shelter[[#This Row],[CampName]],CL,5,0),"")</f>
        <v>0.32258064516129031</v>
      </c>
      <c r="V148" s="265" t="s">
        <v>1305</v>
      </c>
      <c r="W148" s="108"/>
    </row>
    <row r="149" spans="1:23" ht="15" customHeight="1" x14ac:dyDescent="0.25">
      <c r="A149" s="647">
        <v>41609</v>
      </c>
      <c r="B149" s="173" t="s">
        <v>452</v>
      </c>
      <c r="C149" s="173" t="s">
        <v>505</v>
      </c>
      <c r="D149" s="176" t="s">
        <v>380</v>
      </c>
      <c r="E149" s="345" t="s">
        <v>527</v>
      </c>
      <c r="F149" s="173" t="s">
        <v>118</v>
      </c>
      <c r="G149" s="107">
        <v>1</v>
      </c>
      <c r="H149" s="109"/>
      <c r="I149" s="109"/>
      <c r="J149" s="109">
        <v>10</v>
      </c>
      <c r="K149" s="109">
        <v>10</v>
      </c>
      <c r="L149" s="175"/>
      <c r="M149" s="175"/>
      <c r="N149" s="175"/>
      <c r="O149" s="175"/>
      <c r="P149" s="108">
        <f>IF(Table_Shelter[[#This Row],[Status]]="Open",IF(V149="NO",Table_Shelter[[#This Row],[HH per Shelter]]*(Table_Shelter[[#This Row],['# of Temporary Shelter Units Built]]+Table_Shelter[[#This Row],['# of Temporary Shelter Under  Construction]]+Table_Shelter[[#This Row],['# of Permanent House Under Construction]]),0),0)</f>
        <v>10</v>
      </c>
      <c r="Q149" s="108"/>
      <c r="R149" s="175"/>
      <c r="S149" s="175" t="str">
        <f>IFERROR(VLOOKUP(Table_Shelter[[#This Row],[CampName]],CL,2,0),"")</f>
        <v>MMR001CMP182</v>
      </c>
      <c r="T149" s="175" t="str">
        <f>IFERROR(VLOOKUP(Table_Shelter[[#This Row],[CampName]],CL,3,0),"")</f>
        <v>Open</v>
      </c>
      <c r="U149" s="265">
        <f>IFERROR(Table_Shelter[[#This Row],[HH Covered]]/VLOOKUP(Table_Shelter[[#This Row],[CampName]],CL,5,0),"")</f>
        <v>1</v>
      </c>
      <c r="V149" s="265" t="s">
        <v>1305</v>
      </c>
      <c r="W149" s="175"/>
    </row>
    <row r="150" spans="1:23" ht="15" customHeight="1" x14ac:dyDescent="0.25">
      <c r="A150" s="580">
        <v>41609</v>
      </c>
      <c r="B150" s="173" t="s">
        <v>452</v>
      </c>
      <c r="C150" s="173" t="s">
        <v>460</v>
      </c>
      <c r="D150" s="173" t="s">
        <v>380</v>
      </c>
      <c r="E150" s="345" t="s">
        <v>237</v>
      </c>
      <c r="F150" s="173" t="s">
        <v>253</v>
      </c>
      <c r="G150" s="107">
        <v>1</v>
      </c>
      <c r="H150" s="107"/>
      <c r="I150" s="107"/>
      <c r="J150" s="107">
        <v>30</v>
      </c>
      <c r="K150" s="107">
        <v>30</v>
      </c>
      <c r="L150" s="173"/>
      <c r="M150" s="173"/>
      <c r="N150" s="173"/>
      <c r="O150" s="173"/>
      <c r="P150" s="149">
        <f>IF(Table_Shelter[[#This Row],[Status]]="Open",IF(V150="NO",Table_Shelter[[#This Row],[HH per Shelter]]*(Table_Shelter[[#This Row],['# of Temporary Shelter Units Built]]+Table_Shelter[[#This Row],['# of Temporary Shelter Under  Construction]]+Table_Shelter[[#This Row],['# of Permanent House Under Construction]]),0),0)</f>
        <v>30</v>
      </c>
      <c r="Q150" s="106"/>
      <c r="R150" s="173"/>
      <c r="S150" s="174" t="str">
        <f>IFERROR(VLOOKUP(Table_Shelter[[#This Row],[CampName]],CL,2,0),"")</f>
        <v>MMR001CMP018</v>
      </c>
      <c r="T150" s="174" t="str">
        <f>IFERROR(VLOOKUP(Table_Shelter[[#This Row],[CampName]],CL,3,0),"")</f>
        <v>Open</v>
      </c>
      <c r="U150" s="265">
        <f>IFERROR(Table_Shelter[[#This Row],[HH Covered]]/VLOOKUP(Table_Shelter[[#This Row],[CampName]],CL,5,0),"")</f>
        <v>0.14634146341463414</v>
      </c>
      <c r="V150" s="265" t="s">
        <v>1305</v>
      </c>
      <c r="W150" s="175"/>
    </row>
    <row r="151" spans="1:23" ht="15" customHeight="1" x14ac:dyDescent="0.25">
      <c r="A151" s="647">
        <v>41609</v>
      </c>
      <c r="B151" s="173" t="s">
        <v>452</v>
      </c>
      <c r="C151" s="173" t="s">
        <v>505</v>
      </c>
      <c r="D151" s="176" t="s">
        <v>380</v>
      </c>
      <c r="E151" s="345" t="s">
        <v>5</v>
      </c>
      <c r="F151" s="173" t="s">
        <v>24</v>
      </c>
      <c r="G151" s="107">
        <v>1</v>
      </c>
      <c r="H151" s="109"/>
      <c r="I151" s="109"/>
      <c r="J151" s="109">
        <v>15</v>
      </c>
      <c r="K151" s="109">
        <v>15</v>
      </c>
      <c r="L151" s="175"/>
      <c r="M151" s="175"/>
      <c r="N151" s="175"/>
      <c r="O151" s="175"/>
      <c r="P151" s="108">
        <f>IF(Table_Shelter[[#This Row],[Status]]="Open",IF(V151="NO",Table_Shelter[[#This Row],[HH per Shelter]]*(Table_Shelter[[#This Row],['# of Temporary Shelter Units Built]]+Table_Shelter[[#This Row],['# of Temporary Shelter Under  Construction]]+Table_Shelter[[#This Row],['# of Permanent House Under Construction]]),0),0)</f>
        <v>15</v>
      </c>
      <c r="Q151" s="108">
        <v>10</v>
      </c>
      <c r="R151" s="175"/>
      <c r="S151" s="175" t="str">
        <f>IFERROR(VLOOKUP(Table_Shelter[[#This Row],[CampName]],CL,2,0),"")</f>
        <v>MMR001CMP055</v>
      </c>
      <c r="T151" s="175" t="str">
        <f>IFERROR(VLOOKUP(Table_Shelter[[#This Row],[CampName]],CL,3,0),"")</f>
        <v>Open</v>
      </c>
      <c r="U151" s="265">
        <f>IFERROR(Table_Shelter[[#This Row],[HH Covered]]/VLOOKUP(Table_Shelter[[#This Row],[CampName]],CL,5,0),"")</f>
        <v>0.7142857142857143</v>
      </c>
      <c r="V151" s="265" t="s">
        <v>1305</v>
      </c>
      <c r="W151" s="175"/>
    </row>
    <row r="152" spans="1:23" ht="15" customHeight="1" x14ac:dyDescent="0.25">
      <c r="A152" s="647">
        <v>41609</v>
      </c>
      <c r="B152" s="173" t="s">
        <v>452</v>
      </c>
      <c r="C152" s="173" t="s">
        <v>505</v>
      </c>
      <c r="D152" s="176" t="s">
        <v>380</v>
      </c>
      <c r="E152" s="345" t="s">
        <v>237</v>
      </c>
      <c r="F152" s="173" t="s">
        <v>1244</v>
      </c>
      <c r="G152" s="107">
        <v>1</v>
      </c>
      <c r="H152" s="109"/>
      <c r="I152" s="109"/>
      <c r="J152" s="109">
        <v>30</v>
      </c>
      <c r="K152" s="109">
        <v>30</v>
      </c>
      <c r="L152" s="175"/>
      <c r="M152" s="175"/>
      <c r="N152" s="175"/>
      <c r="O152" s="175"/>
      <c r="P152" s="108">
        <f>IF(Table_Shelter[[#This Row],[Status]]="Open",IF(V152="NO",Table_Shelter[[#This Row],[HH per Shelter]]*(Table_Shelter[[#This Row],['# of Temporary Shelter Units Built]]+Table_Shelter[[#This Row],['# of Temporary Shelter Under  Construction]]+Table_Shelter[[#This Row],['# of Permanent House Under Construction]]),0),0)</f>
        <v>30</v>
      </c>
      <c r="Q152" s="108"/>
      <c r="R152" s="108"/>
      <c r="S152" s="108" t="str">
        <f>IFERROR(VLOOKUP(Table_Shelter[[#This Row],[CampName]],CL,2,0),"")</f>
        <v>MMR001CMP023</v>
      </c>
      <c r="T152" s="108" t="str">
        <f>IFERROR(VLOOKUP(Table_Shelter[[#This Row],[CampName]],CL,3,0),"")</f>
        <v>Open</v>
      </c>
      <c r="U152" s="265">
        <f>IFERROR(Table_Shelter[[#This Row],[HH Covered]]/VLOOKUP(Table_Shelter[[#This Row],[CampName]],CL,5,0),"")</f>
        <v>0.55555555555555558</v>
      </c>
      <c r="V152" s="265" t="s">
        <v>1305</v>
      </c>
      <c r="W152" s="108"/>
    </row>
    <row r="153" spans="1:23" ht="15" customHeight="1" x14ac:dyDescent="0.25">
      <c r="A153" s="647">
        <v>41609</v>
      </c>
      <c r="B153" s="173" t="s">
        <v>452</v>
      </c>
      <c r="C153" s="173" t="s">
        <v>505</v>
      </c>
      <c r="D153" s="176" t="s">
        <v>380</v>
      </c>
      <c r="E153" s="345" t="s">
        <v>310</v>
      </c>
      <c r="F153" s="173" t="s">
        <v>349</v>
      </c>
      <c r="G153" s="107">
        <v>1</v>
      </c>
      <c r="H153" s="109"/>
      <c r="I153" s="109"/>
      <c r="J153" s="109">
        <v>5</v>
      </c>
      <c r="K153" s="109">
        <v>5</v>
      </c>
      <c r="L153" s="175"/>
      <c r="M153" s="175"/>
      <c r="N153" s="175"/>
      <c r="O153" s="175"/>
      <c r="P153" s="108">
        <f>IF(Table_Shelter[[#This Row],[Status]]="Open",IF(V153="NO",Table_Shelter[[#This Row],[HH per Shelter]]*(Table_Shelter[[#This Row],['# of Temporary Shelter Units Built]]+Table_Shelter[[#This Row],['# of Temporary Shelter Under  Construction]]+Table_Shelter[[#This Row],['# of Permanent House Under Construction]]),0),0)</f>
        <v>5</v>
      </c>
      <c r="Q153" s="108"/>
      <c r="R153" s="108"/>
      <c r="S153" s="108" t="str">
        <f>IFERROR(VLOOKUP(Table_Shelter[[#This Row],[CampName]],CL,2,0),"")</f>
        <v>MMR001CMP037</v>
      </c>
      <c r="T153" s="108" t="str">
        <f>IFERROR(VLOOKUP(Table_Shelter[[#This Row],[CampName]],CL,3,0),"")</f>
        <v>Open</v>
      </c>
      <c r="U153" s="265">
        <f>IFERROR(Table_Shelter[[#This Row],[HH Covered]]/VLOOKUP(Table_Shelter[[#This Row],[CampName]],CL,5,0),"")</f>
        <v>0.11363636363636363</v>
      </c>
      <c r="V153" s="265" t="s">
        <v>1305</v>
      </c>
      <c r="W153" s="108"/>
    </row>
    <row r="154" spans="1:23" ht="15" customHeight="1" x14ac:dyDescent="0.25">
      <c r="A154" s="647">
        <v>41609</v>
      </c>
      <c r="B154" s="173" t="s">
        <v>452</v>
      </c>
      <c r="C154" s="173" t="s">
        <v>505</v>
      </c>
      <c r="D154" s="176" t="s">
        <v>380</v>
      </c>
      <c r="E154" s="345" t="s">
        <v>310</v>
      </c>
      <c r="F154" s="173" t="s">
        <v>316</v>
      </c>
      <c r="G154" s="107">
        <v>1</v>
      </c>
      <c r="H154" s="109"/>
      <c r="I154" s="109"/>
      <c r="J154" s="109">
        <v>6</v>
      </c>
      <c r="K154" s="109">
        <v>6</v>
      </c>
      <c r="L154" s="175"/>
      <c r="M154" s="175"/>
      <c r="N154" s="175"/>
      <c r="O154" s="175"/>
      <c r="P154" s="108">
        <f>IF(Table_Shelter[[#This Row],[Status]]="Open",IF(V154="NO",Table_Shelter[[#This Row],[HH per Shelter]]*(Table_Shelter[[#This Row],['# of Temporary Shelter Units Built]]+Table_Shelter[[#This Row],['# of Temporary Shelter Under  Construction]]+Table_Shelter[[#This Row],['# of Permanent House Under Construction]]),0),0)</f>
        <v>6</v>
      </c>
      <c r="Q154" s="108"/>
      <c r="R154" s="108"/>
      <c r="S154" s="108" t="str">
        <f>IFERROR(VLOOKUP(Table_Shelter[[#This Row],[CampName]],CL,2,0),"")</f>
        <v>MMR001CMP038</v>
      </c>
      <c r="T154" s="108" t="str">
        <f>IFERROR(VLOOKUP(Table_Shelter[[#This Row],[CampName]],CL,3,0),"")</f>
        <v>Open</v>
      </c>
      <c r="U154" s="265">
        <f>IFERROR(Table_Shelter[[#This Row],[HH Covered]]/VLOOKUP(Table_Shelter[[#This Row],[CampName]],CL,5,0),"")</f>
        <v>8.5714285714285715E-2</v>
      </c>
      <c r="V154" s="265" t="s">
        <v>1305</v>
      </c>
      <c r="W154" s="108"/>
    </row>
    <row r="155" spans="1:23" ht="15" customHeight="1" x14ac:dyDescent="0.25">
      <c r="A155" s="647">
        <v>41609</v>
      </c>
      <c r="B155" s="173" t="s">
        <v>452</v>
      </c>
      <c r="C155" s="173" t="s">
        <v>506</v>
      </c>
      <c r="D155" s="176" t="s">
        <v>380</v>
      </c>
      <c r="E155" s="345" t="s">
        <v>310</v>
      </c>
      <c r="F155" s="173" t="s">
        <v>353</v>
      </c>
      <c r="G155" s="107">
        <v>1</v>
      </c>
      <c r="H155" s="109"/>
      <c r="I155" s="109"/>
      <c r="J155" s="109">
        <v>160</v>
      </c>
      <c r="K155" s="109">
        <v>160</v>
      </c>
      <c r="L155" s="175"/>
      <c r="M155" s="175"/>
      <c r="N155" s="175"/>
      <c r="O155" s="175"/>
      <c r="P155" s="108">
        <f>IF(Table_Shelter[[#This Row],[Status]]="Open",IF(V155="NO",Table_Shelter[[#This Row],[HH per Shelter]]*(Table_Shelter[[#This Row],['# of Temporary Shelter Units Built]]+Table_Shelter[[#This Row],['# of Temporary Shelter Under  Construction]]+Table_Shelter[[#This Row],['# of Permanent House Under Construction]]),0),0)</f>
        <v>160</v>
      </c>
      <c r="Q155" s="108"/>
      <c r="R155" s="175"/>
      <c r="S155" s="175" t="str">
        <f>IFERROR(VLOOKUP(Table_Shelter[[#This Row],[CampName]],CL,2,0),"")</f>
        <v>MMR001CMP116</v>
      </c>
      <c r="T155" s="175" t="str">
        <f>IFERROR(VLOOKUP(Table_Shelter[[#This Row],[CampName]],CL,3,0),"")</f>
        <v>Open</v>
      </c>
      <c r="U155" s="265">
        <f>IFERROR(Table_Shelter[[#This Row],[HH Covered]]/VLOOKUP(Table_Shelter[[#This Row],[CampName]],CL,5,0),"")</f>
        <v>0.11670313639679067</v>
      </c>
      <c r="V155" s="265" t="s">
        <v>1305</v>
      </c>
      <c r="W155" s="175"/>
    </row>
    <row r="156" spans="1:23" ht="15" customHeight="1" x14ac:dyDescent="0.25">
      <c r="A156" s="647">
        <v>41609</v>
      </c>
      <c r="B156" s="173" t="s">
        <v>452</v>
      </c>
      <c r="C156" s="173"/>
      <c r="D156" s="176" t="s">
        <v>380</v>
      </c>
      <c r="E156" s="345" t="s">
        <v>5</v>
      </c>
      <c r="F156" s="173" t="s">
        <v>26</v>
      </c>
      <c r="G156" s="107">
        <v>1</v>
      </c>
      <c r="H156" s="109"/>
      <c r="I156" s="109"/>
      <c r="J156" s="109">
        <v>5</v>
      </c>
      <c r="K156" s="109">
        <v>5</v>
      </c>
      <c r="L156" s="175"/>
      <c r="M156" s="175"/>
      <c r="N156" s="175"/>
      <c r="O156" s="175"/>
      <c r="P156" s="108">
        <f>IF(Table_Shelter[[#This Row],[Status]]="Open",IF(V156="NO",Table_Shelter[[#This Row],[HH per Shelter]]*(Table_Shelter[[#This Row],['# of Temporary Shelter Units Built]]+Table_Shelter[[#This Row],['# of Temporary Shelter Under  Construction]]+Table_Shelter[[#This Row],['# of Permanent House Under Construction]]),0),0)</f>
        <v>5</v>
      </c>
      <c r="Q156" s="108"/>
      <c r="R156" s="108"/>
      <c r="S156" s="108" t="str">
        <f>IFERROR(VLOOKUP(Table_Shelter[[#This Row],[CampName]],CL,2,0),"")</f>
        <v>MMR001CMP053</v>
      </c>
      <c r="T156" s="108" t="str">
        <f>IFERROR(VLOOKUP(Table_Shelter[[#This Row],[CampName]],CL,3,0),"")</f>
        <v>Open</v>
      </c>
      <c r="U156" s="265">
        <f>IFERROR(Table_Shelter[[#This Row],[HH Covered]]/VLOOKUP(Table_Shelter[[#This Row],[CampName]],CL,5,0),"")</f>
        <v>0.33333333333333331</v>
      </c>
      <c r="V156" s="265" t="s">
        <v>1305</v>
      </c>
      <c r="W156" s="108"/>
    </row>
    <row r="157" spans="1:23" ht="15" customHeight="1" x14ac:dyDescent="0.25">
      <c r="A157" s="580">
        <v>41609</v>
      </c>
      <c r="B157" s="173" t="s">
        <v>452</v>
      </c>
      <c r="C157" s="173" t="s">
        <v>460</v>
      </c>
      <c r="D157" s="173" t="s">
        <v>553</v>
      </c>
      <c r="E157" s="345" t="s">
        <v>166</v>
      </c>
      <c r="F157" s="173" t="s">
        <v>167</v>
      </c>
      <c r="G157" s="107">
        <v>1</v>
      </c>
      <c r="H157" s="107"/>
      <c r="I157" s="107"/>
      <c r="J157" s="107">
        <v>10</v>
      </c>
      <c r="K157" s="107">
        <v>10</v>
      </c>
      <c r="L157" s="173"/>
      <c r="M157" s="173"/>
      <c r="N157" s="173"/>
      <c r="O157" s="173"/>
      <c r="P157" s="108">
        <f>IF(Table_Shelter[[#This Row],[Status]]="Open",IF(V157="NO",Table_Shelter[[#This Row],[HH per Shelter]]*(Table_Shelter[[#This Row],['# of Temporary Shelter Units Built]]+Table_Shelter[[#This Row],['# of Temporary Shelter Under  Construction]]+Table_Shelter[[#This Row],['# of Permanent House Under Construction]]),0),0)</f>
        <v>10</v>
      </c>
      <c r="Q157" s="106"/>
      <c r="R157" s="106"/>
      <c r="S157" s="108" t="str">
        <f>IFERROR(VLOOKUP(Table_Shelter[[#This Row],[CampName]],CL,2,0),"")</f>
        <v>MMR015CMP009</v>
      </c>
      <c r="T157" s="108" t="str">
        <f>IFERROR(VLOOKUP(Table_Shelter[[#This Row],[CampName]],CL,3,0),"")</f>
        <v>Open</v>
      </c>
      <c r="U157" s="265">
        <f>IFERROR(Table_Shelter[[#This Row],[HH Covered]]/VLOOKUP(Table_Shelter[[#This Row],[CampName]],CL,5,0),"")</f>
        <v>0.27777777777777779</v>
      </c>
      <c r="V157" s="265" t="s">
        <v>1305</v>
      </c>
      <c r="W157" s="108"/>
    </row>
    <row r="158" spans="1:23" ht="15" customHeight="1" x14ac:dyDescent="0.25">
      <c r="A158" s="580">
        <v>41609</v>
      </c>
      <c r="B158" s="173" t="s">
        <v>452</v>
      </c>
      <c r="C158" s="173" t="s">
        <v>460</v>
      </c>
      <c r="D158" s="173" t="s">
        <v>380</v>
      </c>
      <c r="E158" s="345" t="s">
        <v>151</v>
      </c>
      <c r="F158" s="173" t="s">
        <v>152</v>
      </c>
      <c r="G158" s="107">
        <v>1</v>
      </c>
      <c r="H158" s="107"/>
      <c r="I158" s="107"/>
      <c r="J158" s="107">
        <v>20</v>
      </c>
      <c r="K158" s="107">
        <v>20</v>
      </c>
      <c r="L158" s="173"/>
      <c r="M158" s="173"/>
      <c r="N158" s="173"/>
      <c r="O158" s="173"/>
      <c r="P158" s="149">
        <f>IF(Table_Shelter[[#This Row],[Status]]="Open",IF(V158="NO",Table_Shelter[[#This Row],[HH per Shelter]]*(Table_Shelter[[#This Row],['# of Temporary Shelter Units Built]]+Table_Shelter[[#This Row],['# of Temporary Shelter Under  Construction]]+Table_Shelter[[#This Row],['# of Permanent House Under Construction]]),0),0)</f>
        <v>20</v>
      </c>
      <c r="Q158" s="106"/>
      <c r="R158" s="173"/>
      <c r="S158" s="174" t="str">
        <f>IFERROR(VLOOKUP(Table_Shelter[[#This Row],[CampName]],CL,2,0),"")</f>
        <v>MMR001CMP066</v>
      </c>
      <c r="T158" s="174" t="str">
        <f>IFERROR(VLOOKUP(Table_Shelter[[#This Row],[CampName]],CL,3,0),"")</f>
        <v>Open</v>
      </c>
      <c r="U158" s="265">
        <f>IFERROR(Table_Shelter[[#This Row],[HH Covered]]/VLOOKUP(Table_Shelter[[#This Row],[CampName]],CL,5,0),"")</f>
        <v>0.10256410256410256</v>
      </c>
      <c r="V158" s="265" t="s">
        <v>1305</v>
      </c>
      <c r="W158" s="175"/>
    </row>
    <row r="159" spans="1:23" ht="15" customHeight="1" x14ac:dyDescent="0.25">
      <c r="A159" s="647">
        <v>41609</v>
      </c>
      <c r="B159" s="107" t="s">
        <v>452</v>
      </c>
      <c r="C159" s="107" t="s">
        <v>460</v>
      </c>
      <c r="D159" s="180" t="s">
        <v>553</v>
      </c>
      <c r="E159" s="181" t="s">
        <v>146</v>
      </c>
      <c r="F159" s="107" t="s">
        <v>371</v>
      </c>
      <c r="G159" s="107">
        <v>1</v>
      </c>
      <c r="H159" s="109"/>
      <c r="I159" s="109"/>
      <c r="J159" s="109">
        <v>5</v>
      </c>
      <c r="K159" s="109">
        <v>5</v>
      </c>
      <c r="L159" s="109"/>
      <c r="M159" s="109"/>
      <c r="N159" s="109"/>
      <c r="O159" s="109"/>
      <c r="P159" s="108">
        <f>IF(Table_Shelter[[#This Row],[Status]]="Open",IF(V159="NO",Table_Shelter[[#This Row],[HH per Shelter]]*(Table_Shelter[[#This Row],['# of Temporary Shelter Units Built]]+Table_Shelter[[#This Row],['# of Temporary Shelter Under  Construction]]+Table_Shelter[[#This Row],['# of Permanent House Under Construction]]),0),0)</f>
        <v>5</v>
      </c>
      <c r="Q159" s="108"/>
      <c r="R159" s="108"/>
      <c r="S159" s="108" t="str">
        <f>IFERROR(VLOOKUP(Table_Shelter[[#This Row],[CampName]],CL,2,0),"")</f>
        <v>MMR015CMP006</v>
      </c>
      <c r="T159" s="108" t="str">
        <f>IFERROR(VLOOKUP(Table_Shelter[[#This Row],[CampName]],CL,3,0),"")</f>
        <v>Open</v>
      </c>
      <c r="U159" s="266">
        <f>IFERROR(Table_Shelter[[#This Row],[HH Covered]]/VLOOKUP(Table_Shelter[[#This Row],[CampName]],CL,5,0),"")</f>
        <v>0.10869565217391304</v>
      </c>
      <c r="V159" s="265" t="s">
        <v>1305</v>
      </c>
      <c r="W159" s="108"/>
    </row>
    <row r="160" spans="1:23" ht="15" customHeight="1" x14ac:dyDescent="0.25">
      <c r="A160" s="811">
        <v>41609</v>
      </c>
      <c r="B160" s="173" t="s">
        <v>452</v>
      </c>
      <c r="C160" s="173" t="s">
        <v>460</v>
      </c>
      <c r="D160" s="176" t="s">
        <v>380</v>
      </c>
      <c r="E160" s="345" t="s">
        <v>310</v>
      </c>
      <c r="F160" s="173" t="s">
        <v>1243</v>
      </c>
      <c r="G160" s="107">
        <v>1</v>
      </c>
      <c r="H160" s="109"/>
      <c r="I160" s="109"/>
      <c r="J160" s="109">
        <v>11</v>
      </c>
      <c r="K160" s="109">
        <v>11</v>
      </c>
      <c r="L160" s="175"/>
      <c r="M160" s="175"/>
      <c r="N160" s="175"/>
      <c r="O160" s="175"/>
      <c r="P160" s="108">
        <f>IF(Table_Shelter[[#This Row],[Status]]="Open",IF(V160="NO",Table_Shelter[[#This Row],[HH per Shelter]]*(Table_Shelter[[#This Row],['# of Temporary Shelter Units Built]]+Table_Shelter[[#This Row],['# of Temporary Shelter Under  Construction]]+Table_Shelter[[#This Row],['# of Permanent House Under Construction]]),0),0)</f>
        <v>11</v>
      </c>
      <c r="Q160" s="108"/>
      <c r="R160" s="108"/>
      <c r="S160" s="108" t="str">
        <f>IFERROR(VLOOKUP(Table_Shelter[[#This Row],[CampName]],CL,2,0),"")</f>
        <v>MMR001CMP120</v>
      </c>
      <c r="T160" s="108" t="str">
        <f>IFERROR(VLOOKUP(Table_Shelter[[#This Row],[CampName]],CL,3,0),"")</f>
        <v>Open</v>
      </c>
      <c r="U160" s="265">
        <f>IFERROR(Table_Shelter[[#This Row],[HH Covered]]/VLOOKUP(Table_Shelter[[#This Row],[CampName]],CL,5,0),"")</f>
        <v>6.3218390804597707E-2</v>
      </c>
      <c r="V160" s="265" t="s">
        <v>1305</v>
      </c>
      <c r="W160" s="108"/>
    </row>
    <row r="161" spans="1:23" ht="15" customHeight="1" x14ac:dyDescent="0.25">
      <c r="A161" s="811">
        <v>41609</v>
      </c>
      <c r="B161" s="173" t="s">
        <v>452</v>
      </c>
      <c r="C161" s="173" t="s">
        <v>460</v>
      </c>
      <c r="D161" s="176" t="s">
        <v>380</v>
      </c>
      <c r="E161" s="345" t="s">
        <v>5</v>
      </c>
      <c r="F161" s="173" t="s">
        <v>366</v>
      </c>
      <c r="G161" s="107">
        <v>1</v>
      </c>
      <c r="H161" s="109"/>
      <c r="I161" s="109"/>
      <c r="J161" s="109">
        <v>50</v>
      </c>
      <c r="K161" s="109">
        <v>50</v>
      </c>
      <c r="L161" s="175"/>
      <c r="M161" s="175"/>
      <c r="N161" s="175"/>
      <c r="O161" s="175"/>
      <c r="P161" s="108">
        <f>IF(Table_Shelter[[#This Row],[Status]]="Open",IF(V161="NO",Table_Shelter[[#This Row],[HH per Shelter]]*(Table_Shelter[[#This Row],['# of Temporary Shelter Units Built]]+Table_Shelter[[#This Row],['# of Temporary Shelter Under  Construction]]+Table_Shelter[[#This Row],['# of Permanent House Under Construction]]),0),0)</f>
        <v>50</v>
      </c>
      <c r="Q161" s="108"/>
      <c r="R161" s="175"/>
      <c r="S161" s="175" t="str">
        <f>IFERROR(VLOOKUP(Table_Shelter[[#This Row],[CampName]],CL,2,0),"")</f>
        <v>MMR001CMP193</v>
      </c>
      <c r="T161" s="175" t="str">
        <f>IFERROR(VLOOKUP(Table_Shelter[[#This Row],[CampName]],CL,3,0),"")</f>
        <v>Open</v>
      </c>
      <c r="U161" s="265">
        <f>IFERROR(Table_Shelter[[#This Row],[HH Covered]]/VLOOKUP(Table_Shelter[[#This Row],[CampName]],CL,5,0),"")</f>
        <v>0.32679738562091504</v>
      </c>
      <c r="V161" s="265" t="s">
        <v>1305</v>
      </c>
      <c r="W161" s="175"/>
    </row>
    <row r="162" spans="1:23" ht="15" customHeight="1" x14ac:dyDescent="0.25">
      <c r="A162" s="811">
        <v>41609</v>
      </c>
      <c r="B162" s="173" t="s">
        <v>452</v>
      </c>
      <c r="C162" s="173" t="s">
        <v>460</v>
      </c>
      <c r="D162" s="176" t="s">
        <v>380</v>
      </c>
      <c r="E162" s="345" t="s">
        <v>5</v>
      </c>
      <c r="F162" s="173" t="s">
        <v>22</v>
      </c>
      <c r="G162" s="107">
        <v>1</v>
      </c>
      <c r="H162" s="109"/>
      <c r="I162" s="109"/>
      <c r="J162" s="109">
        <v>30</v>
      </c>
      <c r="K162" s="109">
        <v>30</v>
      </c>
      <c r="L162" s="175"/>
      <c r="M162" s="175"/>
      <c r="N162" s="175"/>
      <c r="O162" s="175"/>
      <c r="P162" s="108">
        <f>IF(Table_Shelter[[#This Row],[Status]]="Open",IF(V162="NO",Table_Shelter[[#This Row],[HH per Shelter]]*(Table_Shelter[[#This Row],['# of Temporary Shelter Units Built]]+Table_Shelter[[#This Row],['# of Temporary Shelter Under  Construction]]+Table_Shelter[[#This Row],['# of Permanent House Under Construction]]),0),0)</f>
        <v>30</v>
      </c>
      <c r="Q162" s="108"/>
      <c r="R162" s="175"/>
      <c r="S162" s="175" t="str">
        <f>IFERROR(VLOOKUP(Table_Shelter[[#This Row],[CampName]],CL,2,0),"")</f>
        <v>MMR001CMP047</v>
      </c>
      <c r="T162" s="175" t="str">
        <f>IFERROR(VLOOKUP(Table_Shelter[[#This Row],[CampName]],CL,3,0),"")</f>
        <v>Open</v>
      </c>
      <c r="U162" s="265">
        <f>IFERROR(Table_Shelter[[#This Row],[HH Covered]]/VLOOKUP(Table_Shelter[[#This Row],[CampName]],CL,5,0),"")</f>
        <v>4.7923322683706068E-2</v>
      </c>
      <c r="V162" s="265" t="s">
        <v>1305</v>
      </c>
      <c r="W162" s="175"/>
    </row>
    <row r="163" spans="1:23" ht="15" customHeight="1" x14ac:dyDescent="0.25">
      <c r="A163" s="647">
        <v>41609</v>
      </c>
      <c r="B163" s="173" t="s">
        <v>452</v>
      </c>
      <c r="C163" s="173" t="s">
        <v>460</v>
      </c>
      <c r="D163" s="176" t="s">
        <v>380</v>
      </c>
      <c r="E163" s="345" t="s">
        <v>527</v>
      </c>
      <c r="F163" s="173" t="s">
        <v>124</v>
      </c>
      <c r="G163" s="107">
        <v>1</v>
      </c>
      <c r="H163" s="109"/>
      <c r="I163" s="109"/>
      <c r="J163" s="109">
        <v>5</v>
      </c>
      <c r="K163" s="109">
        <v>5</v>
      </c>
      <c r="L163" s="175"/>
      <c r="M163" s="175"/>
      <c r="N163" s="175"/>
      <c r="O163" s="175"/>
      <c r="P163" s="108">
        <f>IF(Table_Shelter[[#This Row],[Status]]="Open",IF(V163="NO",Table_Shelter[[#This Row],[HH per Shelter]]*(Table_Shelter[[#This Row],['# of Temporary Shelter Units Built]]+Table_Shelter[[#This Row],['# of Temporary Shelter Under  Construction]]+Table_Shelter[[#This Row],['# of Permanent House Under Construction]]),0),0)</f>
        <v>5</v>
      </c>
      <c r="Q163" s="108"/>
      <c r="R163" s="175"/>
      <c r="S163" s="175" t="str">
        <f>IFERROR(VLOOKUP(Table_Shelter[[#This Row],[CampName]],CL,2,0),"")</f>
        <v>MMR001CMP183</v>
      </c>
      <c r="T163" s="175" t="str">
        <f>IFERROR(VLOOKUP(Table_Shelter[[#This Row],[CampName]],CL,3,0),"")</f>
        <v>Open</v>
      </c>
      <c r="U163" s="265">
        <f>IFERROR(Table_Shelter[[#This Row],[HH Covered]]/VLOOKUP(Table_Shelter[[#This Row],[CampName]],CL,5,0),"")</f>
        <v>0.625</v>
      </c>
      <c r="V163" s="265" t="s">
        <v>1305</v>
      </c>
      <c r="W163" s="175"/>
    </row>
    <row r="164" spans="1:23" ht="15" customHeight="1" x14ac:dyDescent="0.25">
      <c r="A164" s="811">
        <v>41609</v>
      </c>
      <c r="B164" s="173" t="s">
        <v>452</v>
      </c>
      <c r="C164" s="173" t="s">
        <v>460</v>
      </c>
      <c r="D164" s="176" t="s">
        <v>380</v>
      </c>
      <c r="E164" s="345" t="s">
        <v>310</v>
      </c>
      <c r="F164" s="173" t="s">
        <v>347</v>
      </c>
      <c r="G164" s="107">
        <v>1</v>
      </c>
      <c r="H164" s="109"/>
      <c r="I164" s="109"/>
      <c r="J164" s="109">
        <v>18</v>
      </c>
      <c r="K164" s="109">
        <v>18</v>
      </c>
      <c r="L164" s="175"/>
      <c r="M164" s="175"/>
      <c r="N164" s="175"/>
      <c r="O164" s="175"/>
      <c r="P164" s="108">
        <f>IF(Table_Shelter[[#This Row],[Status]]="Open",IF(V164="NO",Table_Shelter[[#This Row],[HH per Shelter]]*(Table_Shelter[[#This Row],['# of Temporary Shelter Units Built]]+Table_Shelter[[#This Row],['# of Temporary Shelter Under  Construction]]+Table_Shelter[[#This Row],['# of Permanent House Under Construction]]),0),0)</f>
        <v>18</v>
      </c>
      <c r="Q164" s="108"/>
      <c r="R164" s="108"/>
      <c r="S164" s="108" t="str">
        <f>IFERROR(VLOOKUP(Table_Shelter[[#This Row],[CampName]],CL,2,0),"")</f>
        <v>MMR001CMP041</v>
      </c>
      <c r="T164" s="108" t="str">
        <f>IFERROR(VLOOKUP(Table_Shelter[[#This Row],[CampName]],CL,3,0),"")</f>
        <v>Open</v>
      </c>
      <c r="U164" s="265">
        <f>IFERROR(Table_Shelter[[#This Row],[HH Covered]]/VLOOKUP(Table_Shelter[[#This Row],[CampName]],CL,5,0),"")</f>
        <v>9.8901098901098897E-2</v>
      </c>
      <c r="V164" s="265" t="s">
        <v>1305</v>
      </c>
      <c r="W164" s="108"/>
    </row>
    <row r="165" spans="1:23" ht="15" customHeight="1" x14ac:dyDescent="0.25">
      <c r="A165" s="811">
        <v>41609</v>
      </c>
      <c r="B165" s="173" t="s">
        <v>452</v>
      </c>
      <c r="C165" s="173" t="s">
        <v>460</v>
      </c>
      <c r="D165" s="176" t="s">
        <v>380</v>
      </c>
      <c r="E165" s="345" t="s">
        <v>527</v>
      </c>
      <c r="F165" s="173" t="s">
        <v>126</v>
      </c>
      <c r="G165" s="107">
        <v>1</v>
      </c>
      <c r="H165" s="109"/>
      <c r="I165" s="109"/>
      <c r="J165" s="109">
        <v>15</v>
      </c>
      <c r="K165" s="109">
        <v>15</v>
      </c>
      <c r="L165" s="175"/>
      <c r="M165" s="175"/>
      <c r="N165" s="175"/>
      <c r="O165" s="175"/>
      <c r="P165" s="108">
        <f>IF(Table_Shelter[[#This Row],[Status]]="Open",IF(V165="NO",Table_Shelter[[#This Row],[HH per Shelter]]*(Table_Shelter[[#This Row],['# of Temporary Shelter Units Built]]+Table_Shelter[[#This Row],['# of Temporary Shelter Under  Construction]]+Table_Shelter[[#This Row],['# of Permanent House Under Construction]]),0),0)</f>
        <v>15</v>
      </c>
      <c r="Q165" s="108"/>
      <c r="R165" s="175"/>
      <c r="S165" s="175" t="str">
        <f>IFERROR(VLOOKUP(Table_Shelter[[#This Row],[CampName]],CL,2,0),"")</f>
        <v>MMR001CMP184</v>
      </c>
      <c r="T165" s="175" t="str">
        <f>IFERROR(VLOOKUP(Table_Shelter[[#This Row],[CampName]],CL,3,0),"")</f>
        <v>Open</v>
      </c>
      <c r="U165" s="265">
        <f>IFERROR(Table_Shelter[[#This Row],[HH Covered]]/VLOOKUP(Table_Shelter[[#This Row],[CampName]],CL,5,0),"")</f>
        <v>0.42857142857142855</v>
      </c>
      <c r="V165" s="265" t="s">
        <v>1305</v>
      </c>
      <c r="W165" s="175"/>
    </row>
    <row r="166" spans="1:23" ht="15" customHeight="1" x14ac:dyDescent="0.25">
      <c r="A166" s="811">
        <v>41609</v>
      </c>
      <c r="B166" s="173" t="s">
        <v>452</v>
      </c>
      <c r="C166" s="173" t="s">
        <v>460</v>
      </c>
      <c r="D166" s="176" t="s">
        <v>380</v>
      </c>
      <c r="E166" s="345" t="s">
        <v>310</v>
      </c>
      <c r="F166" s="173" t="s">
        <v>1245</v>
      </c>
      <c r="G166" s="107">
        <v>1</v>
      </c>
      <c r="H166" s="109"/>
      <c r="I166" s="109"/>
      <c r="J166" s="109">
        <v>76</v>
      </c>
      <c r="K166" s="109">
        <v>76</v>
      </c>
      <c r="L166" s="175"/>
      <c r="M166" s="175"/>
      <c r="N166" s="175"/>
      <c r="O166" s="175"/>
      <c r="P166" s="108">
        <f>IF(Table_Shelter[[#This Row],[Status]]="Open",IF(V166="NO",Table_Shelter[[#This Row],[HH per Shelter]]*(Table_Shelter[[#This Row],['# of Temporary Shelter Units Built]]+Table_Shelter[[#This Row],['# of Temporary Shelter Under  Construction]]+Table_Shelter[[#This Row],['# of Permanent House Under Construction]]),0),0)</f>
        <v>76</v>
      </c>
      <c r="Q166" s="108"/>
      <c r="R166" s="108"/>
      <c r="S166" s="108" t="str">
        <f>IFERROR(VLOOKUP(Table_Shelter[[#This Row],[CampName]],CL,2,0),"")</f>
        <v>MMR001CMP111</v>
      </c>
      <c r="T166" s="108" t="str">
        <f>IFERROR(VLOOKUP(Table_Shelter[[#This Row],[CampName]],CL,3,0),"")</f>
        <v>Open</v>
      </c>
      <c r="U166" s="265">
        <f>IFERROR(Table_Shelter[[#This Row],[HH Covered]]/VLOOKUP(Table_Shelter[[#This Row],[CampName]],CL,5,0),"")</f>
        <v>0.18811881188118812</v>
      </c>
      <c r="V166" s="265" t="s">
        <v>1305</v>
      </c>
      <c r="W166" s="108"/>
    </row>
    <row r="167" spans="1:23" ht="15" customHeight="1" x14ac:dyDescent="0.25">
      <c r="A167" s="811"/>
      <c r="B167" s="175" t="s">
        <v>452</v>
      </c>
      <c r="C167" s="175" t="s">
        <v>460</v>
      </c>
      <c r="D167" s="175" t="s">
        <v>553</v>
      </c>
      <c r="E167" s="179" t="s">
        <v>166</v>
      </c>
      <c r="F167" s="175" t="s">
        <v>169</v>
      </c>
      <c r="G167" s="109">
        <v>1</v>
      </c>
      <c r="H167" s="109"/>
      <c r="I167" s="109"/>
      <c r="J167" s="109">
        <v>10</v>
      </c>
      <c r="K167" s="109">
        <v>10</v>
      </c>
      <c r="L167" s="175"/>
      <c r="M167" s="175"/>
      <c r="N167" s="175"/>
      <c r="O167" s="175"/>
      <c r="P167" s="149">
        <f>IF(Table_Shelter[[#This Row],[Status]]="Open",IF(V167="NO",Table_Shelter[[#This Row],[HH per Shelter]]*(Table_Shelter[[#This Row],['# of Temporary Shelter Units Built]]+Table_Shelter[[#This Row],['# of Temporary Shelter Under  Construction]]+Table_Shelter[[#This Row],['# of Permanent House Under Construction]]),0),0)</f>
        <v>0</v>
      </c>
      <c r="Q167" s="108"/>
      <c r="R167" s="175"/>
      <c r="S167" s="174" t="str">
        <f>IFERROR(VLOOKUP(Table_Shelter[[#This Row],[CampName]],CL,2,0),"")</f>
        <v>MMR015CMP010</v>
      </c>
      <c r="T167" s="174" t="str">
        <f>IFERROR(VLOOKUP(Table_Shelter[[#This Row],[CampName]],CL,3,0),"")</f>
        <v>Closed</v>
      </c>
      <c r="U167" s="265" t="str">
        <f>IFERROR(Table_Shelter[[#This Row],[HH Covered]]/VLOOKUP(Table_Shelter[[#This Row],[CampName]],CL,5,0),"")</f>
        <v/>
      </c>
      <c r="V167" s="265" t="s">
        <v>1305</v>
      </c>
      <c r="W167" s="175"/>
    </row>
    <row r="168" spans="1:23" ht="15" customHeight="1" x14ac:dyDescent="0.25">
      <c r="A168" s="578"/>
      <c r="B168" s="173" t="s">
        <v>570</v>
      </c>
      <c r="C168" s="173" t="s">
        <v>460</v>
      </c>
      <c r="D168" s="176" t="s">
        <v>380</v>
      </c>
      <c r="E168" s="345" t="s">
        <v>237</v>
      </c>
      <c r="F168" s="173" t="s">
        <v>253</v>
      </c>
      <c r="G168" s="107">
        <v>1</v>
      </c>
      <c r="H168" s="107"/>
      <c r="I168" s="107"/>
      <c r="J168" s="107">
        <v>60</v>
      </c>
      <c r="K168" s="107">
        <v>60</v>
      </c>
      <c r="L168" s="173"/>
      <c r="M168" s="173"/>
      <c r="N168" s="173"/>
      <c r="O168" s="173"/>
      <c r="P168" s="149">
        <f>IF(Table_Shelter[[#This Row],[Status]]="Open",IF(V168="NO",Table_Shelter[[#This Row],[HH per Shelter]]*(Table_Shelter[[#This Row],['# of Temporary Shelter Units Built]]+Table_Shelter[[#This Row],['# of Temporary Shelter Under  Construction]]+Table_Shelter[[#This Row],['# of Permanent House Under Construction]]),0),0)</f>
        <v>60</v>
      </c>
      <c r="Q168" s="106"/>
      <c r="R168" s="173"/>
      <c r="S168" s="174" t="str">
        <f>IFERROR(VLOOKUP(Table_Shelter[[#This Row],[CampName]],CL,2,0),"")</f>
        <v>MMR001CMP018</v>
      </c>
      <c r="T168" s="174" t="str">
        <f>IFERROR(VLOOKUP(Table_Shelter[[#This Row],[CampName]],CL,3,0),"")</f>
        <v>Open</v>
      </c>
      <c r="U168" s="265">
        <f>IFERROR(Table_Shelter[[#This Row],[HH Covered]]/VLOOKUP(Table_Shelter[[#This Row],[CampName]],CL,5,0),"")</f>
        <v>0.29268292682926828</v>
      </c>
      <c r="V168" s="265" t="s">
        <v>1305</v>
      </c>
      <c r="W168" s="175"/>
    </row>
    <row r="169" spans="1:23" ht="15" customHeight="1" x14ac:dyDescent="0.25">
      <c r="A169" s="811"/>
      <c r="B169" s="107" t="s">
        <v>452</v>
      </c>
      <c r="C169" s="107" t="s">
        <v>460</v>
      </c>
      <c r="D169" s="180" t="s">
        <v>380</v>
      </c>
      <c r="E169" s="181" t="s">
        <v>527</v>
      </c>
      <c r="F169" s="107" t="s">
        <v>1120</v>
      </c>
      <c r="G169" s="107">
        <v>1</v>
      </c>
      <c r="H169" s="109"/>
      <c r="I169" s="109"/>
      <c r="J169" s="109">
        <v>50</v>
      </c>
      <c r="K169" s="109">
        <v>50</v>
      </c>
      <c r="L169" s="109"/>
      <c r="M169" s="109"/>
      <c r="N169" s="109"/>
      <c r="O169" s="109"/>
      <c r="P169" s="108">
        <f>IF(Table_Shelter[[#This Row],[Status]]="Open",IF(V169="NO",Table_Shelter[[#This Row],[HH per Shelter]]*(Table_Shelter[[#This Row],['# of Temporary Shelter Units Built]]+Table_Shelter[[#This Row],['# of Temporary Shelter Under  Construction]]+Table_Shelter[[#This Row],['# of Permanent House Under Construction]]),0),0)</f>
        <v>50</v>
      </c>
      <c r="Q169" s="108"/>
      <c r="R169" s="108"/>
      <c r="S169" s="108" t="str">
        <f>IFERROR(VLOOKUP(Table_Shelter[[#This Row],[CampName]],CL,2,0),"")</f>
        <v>MMR001CMP231</v>
      </c>
      <c r="T169" s="108" t="str">
        <f>IFERROR(VLOOKUP(Table_Shelter[[#This Row],[CampName]],CL,3,0),"")</f>
        <v>Open</v>
      </c>
      <c r="U169" s="266">
        <f>IFERROR(Table_Shelter[[#This Row],[HH Covered]]/VLOOKUP(Table_Shelter[[#This Row],[CampName]],CL,5,0),"")</f>
        <v>0.96153846153846156</v>
      </c>
      <c r="V169" s="265" t="s">
        <v>1305</v>
      </c>
      <c r="W169" s="108"/>
    </row>
    <row r="170" spans="1:23" ht="15" customHeight="1" x14ac:dyDescent="0.25">
      <c r="A170" s="578"/>
      <c r="B170" s="173" t="s">
        <v>452</v>
      </c>
      <c r="C170" s="173" t="s">
        <v>460</v>
      </c>
      <c r="D170" s="173" t="s">
        <v>380</v>
      </c>
      <c r="E170" s="345" t="s">
        <v>237</v>
      </c>
      <c r="F170" s="173" t="s">
        <v>257</v>
      </c>
      <c r="G170" s="107">
        <v>1</v>
      </c>
      <c r="H170" s="107"/>
      <c r="I170" s="107"/>
      <c r="J170" s="107">
        <v>5</v>
      </c>
      <c r="K170" s="107">
        <v>5</v>
      </c>
      <c r="L170" s="173"/>
      <c r="M170" s="173"/>
      <c r="N170" s="173"/>
      <c r="O170" s="173"/>
      <c r="P170" s="149">
        <f>IF(Table_Shelter[[#This Row],[Status]]="Open",IF(V170="NO",Table_Shelter[[#This Row],[HH per Shelter]]*(Table_Shelter[[#This Row],['# of Temporary Shelter Units Built]]+Table_Shelter[[#This Row],['# of Temporary Shelter Under  Construction]]+Table_Shelter[[#This Row],['# of Permanent House Under Construction]]),0),0)</f>
        <v>5</v>
      </c>
      <c r="Q170" s="106"/>
      <c r="R170" s="173"/>
      <c r="S170" s="174" t="str">
        <f>IFERROR(VLOOKUP(Table_Shelter[[#This Row],[CampName]],CL,2,0),"")</f>
        <v>MMR001CMP013</v>
      </c>
      <c r="T170" s="174" t="str">
        <f>IFERROR(VLOOKUP(Table_Shelter[[#This Row],[CampName]],CL,3,0),"")</f>
        <v>Open</v>
      </c>
      <c r="U170" s="265">
        <f>IFERROR(Table_Shelter[[#This Row],[HH Covered]]/VLOOKUP(Table_Shelter[[#This Row],[CampName]],CL,5,0),"")</f>
        <v>0.10416666666666667</v>
      </c>
      <c r="V170" s="265" t="s">
        <v>1305</v>
      </c>
      <c r="W170" s="175"/>
    </row>
    <row r="171" spans="1:23" ht="15" customHeight="1" x14ac:dyDescent="0.25">
      <c r="A171" s="578"/>
      <c r="B171" s="173" t="s">
        <v>452</v>
      </c>
      <c r="C171" s="173" t="s">
        <v>460</v>
      </c>
      <c r="D171" s="173" t="s">
        <v>380</v>
      </c>
      <c r="E171" s="345" t="s">
        <v>173</v>
      </c>
      <c r="F171" s="173" t="s">
        <v>174</v>
      </c>
      <c r="G171" s="107">
        <v>1</v>
      </c>
      <c r="H171" s="107"/>
      <c r="I171" s="107"/>
      <c r="J171" s="107">
        <v>15</v>
      </c>
      <c r="K171" s="107">
        <v>15</v>
      </c>
      <c r="L171" s="173"/>
      <c r="M171" s="173"/>
      <c r="N171" s="173"/>
      <c r="O171" s="173"/>
      <c r="P171" s="149">
        <f>IF(Table_Shelter[[#This Row],[Status]]="Open",IF(V171="NO",Table_Shelter[[#This Row],[HH per Shelter]]*(Table_Shelter[[#This Row],['# of Temporary Shelter Units Built]]+Table_Shelter[[#This Row],['# of Temporary Shelter Under  Construction]]+Table_Shelter[[#This Row],['# of Permanent House Under Construction]]),0),0)</f>
        <v>15</v>
      </c>
      <c r="Q171" s="106"/>
      <c r="R171" s="173"/>
      <c r="S171" s="174" t="str">
        <f>IFERROR(VLOOKUP(Table_Shelter[[#This Row],[CampName]],CL,2,0),"")</f>
        <v>MMR001CMP078</v>
      </c>
      <c r="T171" s="174" t="str">
        <f>IFERROR(VLOOKUP(Table_Shelter[[#This Row],[CampName]],CL,3,0),"")</f>
        <v>Open</v>
      </c>
      <c r="U171" s="265">
        <f>IFERROR(Table_Shelter[[#This Row],[HH Covered]]/VLOOKUP(Table_Shelter[[#This Row],[CampName]],CL,5,0),"")</f>
        <v>1.1538461538461537</v>
      </c>
      <c r="V171" s="265" t="s">
        <v>1305</v>
      </c>
      <c r="W171" s="175"/>
    </row>
    <row r="172" spans="1:23" ht="15" customHeight="1" x14ac:dyDescent="0.25">
      <c r="A172" s="580"/>
      <c r="B172" s="173" t="s">
        <v>847</v>
      </c>
      <c r="C172" s="173" t="s">
        <v>460</v>
      </c>
      <c r="D172" s="176" t="s">
        <v>380</v>
      </c>
      <c r="E172" s="345" t="s">
        <v>237</v>
      </c>
      <c r="F172" s="173" t="s">
        <v>240</v>
      </c>
      <c r="G172" s="107">
        <v>1</v>
      </c>
      <c r="H172" s="107"/>
      <c r="I172" s="107"/>
      <c r="J172" s="107">
        <v>9</v>
      </c>
      <c r="K172" s="107">
        <v>9</v>
      </c>
      <c r="L172" s="173"/>
      <c r="M172" s="173"/>
      <c r="N172" s="173"/>
      <c r="O172" s="173"/>
      <c r="P172" s="149">
        <f>IF(Table_Shelter[[#This Row],[Status]]="Open",IF(V172="NO",Table_Shelter[[#This Row],[HH per Shelter]]*(Table_Shelter[[#This Row],['# of Temporary Shelter Units Built]]+Table_Shelter[[#This Row],['# of Temporary Shelter Under  Construction]]+Table_Shelter[[#This Row],['# of Permanent House Under Construction]]),0),0)</f>
        <v>9</v>
      </c>
      <c r="Q172" s="106"/>
      <c r="R172" s="173"/>
      <c r="S172" s="174" t="str">
        <f>IFERROR(VLOOKUP(Table_Shelter[[#This Row],[CampName]],CL,2,0),"")</f>
        <v>MMR001CMP015</v>
      </c>
      <c r="T172" s="174" t="str">
        <f>IFERROR(VLOOKUP(Table_Shelter[[#This Row],[CampName]],CL,3,0),"")</f>
        <v>Open</v>
      </c>
      <c r="U172" s="265">
        <f>IFERROR(Table_Shelter[[#This Row],[HH Covered]]/VLOOKUP(Table_Shelter[[#This Row],[CampName]],CL,5,0),"")</f>
        <v>0.3</v>
      </c>
      <c r="V172" s="265" t="s">
        <v>1305</v>
      </c>
      <c r="W172" s="175"/>
    </row>
    <row r="173" spans="1:23" ht="15" customHeight="1" x14ac:dyDescent="0.25">
      <c r="A173" s="580"/>
      <c r="B173" s="173" t="s">
        <v>570</v>
      </c>
      <c r="C173" s="173" t="s">
        <v>460</v>
      </c>
      <c r="D173" s="173" t="s">
        <v>380</v>
      </c>
      <c r="E173" s="345" t="s">
        <v>237</v>
      </c>
      <c r="F173" s="173" t="s">
        <v>240</v>
      </c>
      <c r="G173" s="107">
        <v>1</v>
      </c>
      <c r="H173" s="107"/>
      <c r="I173" s="107"/>
      <c r="J173" s="107">
        <v>5</v>
      </c>
      <c r="K173" s="107">
        <v>5</v>
      </c>
      <c r="L173" s="173"/>
      <c r="M173" s="173"/>
      <c r="N173" s="173"/>
      <c r="O173" s="173"/>
      <c r="P173" s="149">
        <f>IF(Table_Shelter[[#This Row],[Status]]="Open",IF(V173="NO",Table_Shelter[[#This Row],[HH per Shelter]]*(Table_Shelter[[#This Row],['# of Temporary Shelter Units Built]]+Table_Shelter[[#This Row],['# of Temporary Shelter Under  Construction]]+Table_Shelter[[#This Row],['# of Permanent House Under Construction]]),0),0)</f>
        <v>5</v>
      </c>
      <c r="Q173" s="106"/>
      <c r="R173" s="173"/>
      <c r="S173" s="174" t="str">
        <f>IFERROR(VLOOKUP(Table_Shelter[[#This Row],[CampName]],CL,2,0),"")</f>
        <v>MMR001CMP015</v>
      </c>
      <c r="T173" s="174" t="str">
        <f>IFERROR(VLOOKUP(Table_Shelter[[#This Row],[CampName]],CL,3,0),"")</f>
        <v>Open</v>
      </c>
      <c r="U173" s="265">
        <f>IFERROR(Table_Shelter[[#This Row],[HH Covered]]/VLOOKUP(Table_Shelter[[#This Row],[CampName]],CL,5,0),"")</f>
        <v>0.16666666666666666</v>
      </c>
      <c r="V173" s="265" t="s">
        <v>1305</v>
      </c>
      <c r="W173" s="175"/>
    </row>
    <row r="174" spans="1:23" ht="15" customHeight="1" x14ac:dyDescent="0.25">
      <c r="A174" s="578"/>
      <c r="B174" s="173" t="s">
        <v>452</v>
      </c>
      <c r="C174" s="173" t="s">
        <v>460</v>
      </c>
      <c r="D174" s="173" t="s">
        <v>380</v>
      </c>
      <c r="E174" s="345" t="s">
        <v>237</v>
      </c>
      <c r="F174" s="173" t="s">
        <v>240</v>
      </c>
      <c r="G174" s="107">
        <v>1</v>
      </c>
      <c r="H174" s="107"/>
      <c r="I174" s="107"/>
      <c r="J174" s="107">
        <v>10</v>
      </c>
      <c r="K174" s="107">
        <v>10</v>
      </c>
      <c r="L174" s="173"/>
      <c r="M174" s="173"/>
      <c r="N174" s="173"/>
      <c r="O174" s="173"/>
      <c r="P174" s="149">
        <f>IF(Table_Shelter[[#This Row],[Status]]="Open",IF(V174="NO",Table_Shelter[[#This Row],[HH per Shelter]]*(Table_Shelter[[#This Row],['# of Temporary Shelter Units Built]]+Table_Shelter[[#This Row],['# of Temporary Shelter Under  Construction]]+Table_Shelter[[#This Row],['# of Permanent House Under Construction]]),0),0)</f>
        <v>10</v>
      </c>
      <c r="Q174" s="106"/>
      <c r="R174" s="173"/>
      <c r="S174" s="174" t="str">
        <f>IFERROR(VLOOKUP(Table_Shelter[[#This Row],[CampName]],CL,2,0),"")</f>
        <v>MMR001CMP015</v>
      </c>
      <c r="T174" s="174" t="str">
        <f>IFERROR(VLOOKUP(Table_Shelter[[#This Row],[CampName]],CL,3,0),"")</f>
        <v>Open</v>
      </c>
      <c r="U174" s="265">
        <f>IFERROR(Table_Shelter[[#This Row],[HH Covered]]/VLOOKUP(Table_Shelter[[#This Row],[CampName]],CL,5,0),"")</f>
        <v>0.33333333333333331</v>
      </c>
      <c r="V174" s="265" t="s">
        <v>1305</v>
      </c>
      <c r="W174" s="175"/>
    </row>
    <row r="175" spans="1:23" ht="15" customHeight="1" x14ac:dyDescent="0.25">
      <c r="A175" s="578"/>
      <c r="B175" s="173" t="s">
        <v>570</v>
      </c>
      <c r="C175" s="173" t="s">
        <v>460</v>
      </c>
      <c r="D175" s="173" t="s">
        <v>380</v>
      </c>
      <c r="E175" s="345" t="s">
        <v>237</v>
      </c>
      <c r="F175" s="173" t="s">
        <v>285</v>
      </c>
      <c r="G175" s="107">
        <v>1</v>
      </c>
      <c r="H175" s="107"/>
      <c r="I175" s="107"/>
      <c r="J175" s="107">
        <v>60</v>
      </c>
      <c r="K175" s="107">
        <v>60</v>
      </c>
      <c r="L175" s="173"/>
      <c r="M175" s="173"/>
      <c r="N175" s="173"/>
      <c r="O175" s="173"/>
      <c r="P175" s="149">
        <f>IF(Table_Shelter[[#This Row],[Status]]="Open",IF(V175="NO",Table_Shelter[[#This Row],[HH per Shelter]]*(Table_Shelter[[#This Row],['# of Temporary Shelter Units Built]]+Table_Shelter[[#This Row],['# of Temporary Shelter Under  Construction]]+Table_Shelter[[#This Row],['# of Permanent House Under Construction]]),0),0)</f>
        <v>60</v>
      </c>
      <c r="Q175" s="106"/>
      <c r="R175" s="173"/>
      <c r="S175" s="174" t="str">
        <f>IFERROR(VLOOKUP(Table_Shelter[[#This Row],[CampName]],CL,2,0),"")</f>
        <v>MMR001CMP014</v>
      </c>
      <c r="T175" s="174" t="str">
        <f>IFERROR(VLOOKUP(Table_Shelter[[#This Row],[CampName]],CL,3,0),"")</f>
        <v>Open</v>
      </c>
      <c r="U175" s="265">
        <f>IFERROR(Table_Shelter[[#This Row],[HH Covered]]/VLOOKUP(Table_Shelter[[#This Row],[CampName]],CL,5,0),"")</f>
        <v>0.70588235294117652</v>
      </c>
      <c r="V175" s="265" t="s">
        <v>1305</v>
      </c>
      <c r="W175" s="175"/>
    </row>
    <row r="176" spans="1:23" ht="15" customHeight="1" x14ac:dyDescent="0.25">
      <c r="A176" s="578"/>
      <c r="B176" s="173" t="s">
        <v>452</v>
      </c>
      <c r="C176" s="173" t="s">
        <v>460</v>
      </c>
      <c r="D176" s="173" t="s">
        <v>380</v>
      </c>
      <c r="E176" s="345" t="s">
        <v>237</v>
      </c>
      <c r="F176" s="173" t="s">
        <v>285</v>
      </c>
      <c r="G176" s="107">
        <v>1</v>
      </c>
      <c r="H176" s="107"/>
      <c r="I176" s="107"/>
      <c r="J176" s="107">
        <v>60</v>
      </c>
      <c r="K176" s="107">
        <v>60</v>
      </c>
      <c r="L176" s="173"/>
      <c r="M176" s="173"/>
      <c r="N176" s="173"/>
      <c r="O176" s="173"/>
      <c r="P176" s="149">
        <f>IF(Table_Shelter[[#This Row],[Status]]="Open",IF(V176="NO",Table_Shelter[[#This Row],[HH per Shelter]]*(Table_Shelter[[#This Row],['# of Temporary Shelter Units Built]]+Table_Shelter[[#This Row],['# of Temporary Shelter Under  Construction]]+Table_Shelter[[#This Row],['# of Permanent House Under Construction]]),0),0)</f>
        <v>60</v>
      </c>
      <c r="Q176" s="106"/>
      <c r="R176" s="173"/>
      <c r="S176" s="174" t="str">
        <f>IFERROR(VLOOKUP(Table_Shelter[[#This Row],[CampName]],CL,2,0),"")</f>
        <v>MMR001CMP014</v>
      </c>
      <c r="T176" s="174" t="str">
        <f>IFERROR(VLOOKUP(Table_Shelter[[#This Row],[CampName]],CL,3,0),"")</f>
        <v>Open</v>
      </c>
      <c r="U176" s="265">
        <f>IFERROR(Table_Shelter[[#This Row],[HH Covered]]/VLOOKUP(Table_Shelter[[#This Row],[CampName]],CL,5,0),"")</f>
        <v>0.70588235294117652</v>
      </c>
      <c r="V176" s="265" t="s">
        <v>1305</v>
      </c>
      <c r="W176" s="175"/>
    </row>
    <row r="177" spans="1:23" ht="15" customHeight="1" x14ac:dyDescent="0.25">
      <c r="A177" s="647"/>
      <c r="B177" s="173" t="s">
        <v>452</v>
      </c>
      <c r="C177" s="173" t="s">
        <v>460</v>
      </c>
      <c r="D177" s="180" t="s">
        <v>380</v>
      </c>
      <c r="E177" s="345" t="s">
        <v>185</v>
      </c>
      <c r="F177" s="173" t="s">
        <v>186</v>
      </c>
      <c r="G177" s="107">
        <v>1</v>
      </c>
      <c r="H177" s="109"/>
      <c r="I177" s="109"/>
      <c r="J177" s="109">
        <v>27</v>
      </c>
      <c r="K177" s="109">
        <v>27</v>
      </c>
      <c r="L177" s="175"/>
      <c r="M177" s="175"/>
      <c r="N177" s="175"/>
      <c r="O177" s="175"/>
      <c r="P177" s="108">
        <f>IF(Table_Shelter[[#This Row],[Status]]="Open",IF(V177="NO",Table_Shelter[[#This Row],[HH per Shelter]]*(Table_Shelter[[#This Row],['# of Temporary Shelter Units Built]]+Table_Shelter[[#This Row],['# of Temporary Shelter Under  Construction]]+Table_Shelter[[#This Row],['# of Permanent House Under Construction]]),0),0)</f>
        <v>27</v>
      </c>
      <c r="Q177" s="108"/>
      <c r="R177" s="108"/>
      <c r="S177" s="108" t="str">
        <f>IFERROR(VLOOKUP(Table_Shelter[[#This Row],[CampName]],CL,2,0),"")</f>
        <v>MMR001CMP071</v>
      </c>
      <c r="T177" s="108" t="str">
        <f>IFERROR(VLOOKUP(Table_Shelter[[#This Row],[CampName]],CL,3,0),"")</f>
        <v>Open</v>
      </c>
      <c r="U177" s="265">
        <f>IFERROR(Table_Shelter[[#This Row],[HH Covered]]/VLOOKUP(Table_Shelter[[#This Row],[CampName]],CL,5,0),"")</f>
        <v>0.67500000000000004</v>
      </c>
      <c r="V177" s="265" t="s">
        <v>1305</v>
      </c>
      <c r="W177" s="108"/>
    </row>
    <row r="178" spans="1:23" ht="15" customHeight="1" x14ac:dyDescent="0.25">
      <c r="A178" s="577"/>
      <c r="B178" s="174" t="s">
        <v>570</v>
      </c>
      <c r="C178" s="174" t="s">
        <v>460</v>
      </c>
      <c r="D178" s="174" t="s">
        <v>380</v>
      </c>
      <c r="E178" s="178" t="s">
        <v>310</v>
      </c>
      <c r="F178" s="174" t="s">
        <v>324</v>
      </c>
      <c r="G178" s="148">
        <v>1</v>
      </c>
      <c r="H178" s="148"/>
      <c r="I178" s="148"/>
      <c r="J178" s="148">
        <v>50</v>
      </c>
      <c r="K178" s="148">
        <v>50</v>
      </c>
      <c r="L178" s="174"/>
      <c r="M178" s="174"/>
      <c r="N178" s="174"/>
      <c r="O178" s="174"/>
      <c r="P178" s="149">
        <f>IF(Table_Shelter[[#This Row],[Status]]="Open",IF(V178="NO",Table_Shelter[[#This Row],[HH per Shelter]]*(Table_Shelter[[#This Row],['# of Temporary Shelter Units Built]]+Table_Shelter[[#This Row],['# of Temporary Shelter Under  Construction]]+Table_Shelter[[#This Row],['# of Permanent House Under Construction]]),0),0)</f>
        <v>50</v>
      </c>
      <c r="Q178" s="149"/>
      <c r="R178" s="174"/>
      <c r="S178" s="174" t="str">
        <f>IFERROR(VLOOKUP(Table_Shelter[[#This Row],[CampName]],CL,2,0),"")</f>
        <v>MMR001CMP040</v>
      </c>
      <c r="T178" s="174" t="str">
        <f>IFERROR(VLOOKUP(Table_Shelter[[#This Row],[CampName]],CL,3,0),"")</f>
        <v>Open</v>
      </c>
      <c r="U178" s="265">
        <f>IFERROR(Table_Shelter[[#This Row],[HH Covered]]/VLOOKUP(Table_Shelter[[#This Row],[CampName]],CL,5,0),"")</f>
        <v>0.10615711252653928</v>
      </c>
      <c r="V178" s="265" t="s">
        <v>1305</v>
      </c>
      <c r="W178" s="175"/>
    </row>
    <row r="179" spans="1:23" ht="15" customHeight="1" x14ac:dyDescent="0.25">
      <c r="A179" s="577"/>
      <c r="B179" s="174" t="s">
        <v>452</v>
      </c>
      <c r="C179" s="174" t="s">
        <v>460</v>
      </c>
      <c r="D179" s="174" t="s">
        <v>380</v>
      </c>
      <c r="E179" s="178" t="s">
        <v>310</v>
      </c>
      <c r="F179" s="174" t="s">
        <v>324</v>
      </c>
      <c r="G179" s="148">
        <v>1</v>
      </c>
      <c r="H179" s="148"/>
      <c r="I179" s="148"/>
      <c r="J179" s="148">
        <v>400</v>
      </c>
      <c r="K179" s="148">
        <v>400</v>
      </c>
      <c r="L179" s="174"/>
      <c r="M179" s="174"/>
      <c r="N179" s="174"/>
      <c r="O179" s="174"/>
      <c r="P179" s="149">
        <f>IF(Table_Shelter[[#This Row],[Status]]="Open",IF(V179="NO",Table_Shelter[[#This Row],[HH per Shelter]]*(Table_Shelter[[#This Row],['# of Temporary Shelter Units Built]]+Table_Shelter[[#This Row],['# of Temporary Shelter Under  Construction]]+Table_Shelter[[#This Row],['# of Permanent House Under Construction]]),0),0)</f>
        <v>400</v>
      </c>
      <c r="Q179" s="149"/>
      <c r="R179" s="174"/>
      <c r="S179" s="174" t="str">
        <f>IFERROR(VLOOKUP(Table_Shelter[[#This Row],[CampName]],CL,2,0),"")</f>
        <v>MMR001CMP040</v>
      </c>
      <c r="T179" s="174" t="str">
        <f>IFERROR(VLOOKUP(Table_Shelter[[#This Row],[CampName]],CL,3,0),"")</f>
        <v>Open</v>
      </c>
      <c r="U179" s="265">
        <f>IFERROR(Table_Shelter[[#This Row],[HH Covered]]/VLOOKUP(Table_Shelter[[#This Row],[CampName]],CL,5,0),"")</f>
        <v>0.84925690021231426</v>
      </c>
      <c r="V179" s="265" t="s">
        <v>1305</v>
      </c>
      <c r="W179" s="175"/>
    </row>
    <row r="180" spans="1:23" ht="15" customHeight="1" x14ac:dyDescent="0.25">
      <c r="A180" s="577"/>
      <c r="B180" s="174" t="s">
        <v>850</v>
      </c>
      <c r="C180" s="174" t="s">
        <v>460</v>
      </c>
      <c r="D180" s="174" t="s">
        <v>380</v>
      </c>
      <c r="E180" s="178" t="s">
        <v>310</v>
      </c>
      <c r="F180" s="174" t="s">
        <v>324</v>
      </c>
      <c r="G180" s="148">
        <v>1</v>
      </c>
      <c r="H180" s="148"/>
      <c r="I180" s="148"/>
      <c r="J180" s="148">
        <v>10</v>
      </c>
      <c r="K180" s="148">
        <v>10</v>
      </c>
      <c r="L180" s="174"/>
      <c r="M180" s="174"/>
      <c r="N180" s="174"/>
      <c r="O180" s="174"/>
      <c r="P180" s="149">
        <f>IF(Table_Shelter[[#This Row],[Status]]="Open",IF(V180="NO",Table_Shelter[[#This Row],[HH per Shelter]]*(Table_Shelter[[#This Row],['# of Temporary Shelter Units Built]]+Table_Shelter[[#This Row],['# of Temporary Shelter Under  Construction]]+Table_Shelter[[#This Row],['# of Permanent House Under Construction]]),0),0)</f>
        <v>10</v>
      </c>
      <c r="Q180" s="149"/>
      <c r="R180" s="174"/>
      <c r="S180" s="174" t="str">
        <f>IFERROR(VLOOKUP(Table_Shelter[[#This Row],[CampName]],CL,2,0),"")</f>
        <v>MMR001CMP040</v>
      </c>
      <c r="T180" s="174" t="str">
        <f>IFERROR(VLOOKUP(Table_Shelter[[#This Row],[CampName]],CL,3,0),"")</f>
        <v>Open</v>
      </c>
      <c r="U180" s="265">
        <f>IFERROR(Table_Shelter[[#This Row],[HH Covered]]/VLOOKUP(Table_Shelter[[#This Row],[CampName]],CL,5,0),"")</f>
        <v>2.1231422505307854E-2</v>
      </c>
      <c r="V180" s="265" t="s">
        <v>1305</v>
      </c>
      <c r="W180" s="175"/>
    </row>
    <row r="181" spans="1:23" ht="15" customHeight="1" x14ac:dyDescent="0.25">
      <c r="A181" s="811"/>
      <c r="B181" s="175" t="s">
        <v>452</v>
      </c>
      <c r="C181" s="175" t="s">
        <v>460</v>
      </c>
      <c r="D181" s="175" t="s">
        <v>380</v>
      </c>
      <c r="E181" s="179" t="s">
        <v>310</v>
      </c>
      <c r="F181" s="175" t="s">
        <v>326</v>
      </c>
      <c r="G181" s="109">
        <v>1</v>
      </c>
      <c r="H181" s="109"/>
      <c r="I181" s="109"/>
      <c r="J181" s="109">
        <v>30</v>
      </c>
      <c r="K181" s="109">
        <v>30</v>
      </c>
      <c r="L181" s="175"/>
      <c r="M181" s="175"/>
      <c r="N181" s="175"/>
      <c r="O181" s="175"/>
      <c r="P181" s="149">
        <f>IF(Table_Shelter[[#This Row],[Status]]="Open",IF(V181="NO",Table_Shelter[[#This Row],[HH per Shelter]]*(Table_Shelter[[#This Row],['# of Temporary Shelter Units Built]]+Table_Shelter[[#This Row],['# of Temporary Shelter Under  Construction]]+Table_Shelter[[#This Row],['# of Permanent House Under Construction]]),0),0)</f>
        <v>30</v>
      </c>
      <c r="Q181" s="108"/>
      <c r="R181" s="175"/>
      <c r="S181" s="174" t="str">
        <f>IFERROR(VLOOKUP(Table_Shelter[[#This Row],[CampName]],CL,2,0),"")</f>
        <v>MMR001CMP039</v>
      </c>
      <c r="T181" s="174" t="str">
        <f>IFERROR(VLOOKUP(Table_Shelter[[#This Row],[CampName]],CL,3,0),"")</f>
        <v>Open</v>
      </c>
      <c r="U181" s="265">
        <f>IFERROR(Table_Shelter[[#This Row],[HH Covered]]/VLOOKUP(Table_Shelter[[#This Row],[CampName]],CL,5,0),"")</f>
        <v>0.66666666666666663</v>
      </c>
      <c r="V181" s="265" t="s">
        <v>1305</v>
      </c>
      <c r="W181" s="175"/>
    </row>
    <row r="182" spans="1:23" ht="15" customHeight="1" x14ac:dyDescent="0.25">
      <c r="A182" s="811"/>
      <c r="B182" s="175" t="s">
        <v>847</v>
      </c>
      <c r="C182" s="175" t="s">
        <v>460</v>
      </c>
      <c r="D182" s="175" t="s">
        <v>380</v>
      </c>
      <c r="E182" s="179" t="s">
        <v>151</v>
      </c>
      <c r="F182" s="175" t="s">
        <v>885</v>
      </c>
      <c r="G182" s="109">
        <v>1</v>
      </c>
      <c r="H182" s="109"/>
      <c r="I182" s="109"/>
      <c r="J182" s="109">
        <v>20</v>
      </c>
      <c r="K182" s="109">
        <v>20</v>
      </c>
      <c r="L182" s="175"/>
      <c r="M182" s="175"/>
      <c r="N182" s="175"/>
      <c r="O182" s="175"/>
      <c r="P182" s="149">
        <f>IF(Table_Shelter[[#This Row],[Status]]="Open",IF(V182="NO",Table_Shelter[[#This Row],[HH per Shelter]]*(Table_Shelter[[#This Row],['# of Temporary Shelter Units Built]]+Table_Shelter[[#This Row],['# of Temporary Shelter Under  Construction]]+Table_Shelter[[#This Row],['# of Permanent House Under Construction]]),0),0)</f>
        <v>20</v>
      </c>
      <c r="Q182" s="108"/>
      <c r="R182" s="175"/>
      <c r="S182" s="174" t="str">
        <f>IFERROR(VLOOKUP(Table_Shelter[[#This Row],[CampName]],CL,2,0),"")</f>
        <v>MMR001CMP218</v>
      </c>
      <c r="T182" s="174" t="str">
        <f>IFERROR(VLOOKUP(Table_Shelter[[#This Row],[CampName]],CL,3,0),"")</f>
        <v>Open</v>
      </c>
      <c r="U182" s="265">
        <f>IFERROR(Table_Shelter[[#This Row],[HH Covered]]/VLOOKUP(Table_Shelter[[#This Row],[CampName]],CL,5,0),"")</f>
        <v>5.1413881748071981E-2</v>
      </c>
      <c r="V182" s="265" t="s">
        <v>1305</v>
      </c>
      <c r="W182" s="175"/>
    </row>
    <row r="183" spans="1:23" ht="15" customHeight="1" x14ac:dyDescent="0.25">
      <c r="A183" s="811"/>
      <c r="B183" s="175" t="s">
        <v>452</v>
      </c>
      <c r="C183" s="175" t="s">
        <v>460</v>
      </c>
      <c r="D183" s="175" t="s">
        <v>380</v>
      </c>
      <c r="E183" s="179" t="s">
        <v>237</v>
      </c>
      <c r="F183" s="175" t="s">
        <v>259</v>
      </c>
      <c r="G183" s="109">
        <v>1</v>
      </c>
      <c r="H183" s="109"/>
      <c r="I183" s="109"/>
      <c r="J183" s="109">
        <v>20</v>
      </c>
      <c r="K183" s="109">
        <v>20</v>
      </c>
      <c r="L183" s="175"/>
      <c r="M183" s="175"/>
      <c r="N183" s="175"/>
      <c r="O183" s="175"/>
      <c r="P183" s="149">
        <f>IF(Table_Shelter[[#This Row],[Status]]="Open",IF(V183="NO",Table_Shelter[[#This Row],[HH per Shelter]]*(Table_Shelter[[#This Row],['# of Temporary Shelter Units Built]]+Table_Shelter[[#This Row],['# of Temporary Shelter Under  Construction]]+Table_Shelter[[#This Row],['# of Permanent House Under Construction]]),0),0)</f>
        <v>20</v>
      </c>
      <c r="Q183" s="108"/>
      <c r="R183" s="175"/>
      <c r="S183" s="174" t="str">
        <f>IFERROR(VLOOKUP(Table_Shelter[[#This Row],[CampName]],CL,2,0),"")</f>
        <v>MMR001CMP016</v>
      </c>
      <c r="T183" s="174" t="str">
        <f>IFERROR(VLOOKUP(Table_Shelter[[#This Row],[CampName]],CL,3,0),"")</f>
        <v>Open</v>
      </c>
      <c r="U183" s="265">
        <f>IFERROR(Table_Shelter[[#This Row],[HH Covered]]/VLOOKUP(Table_Shelter[[#This Row],[CampName]],CL,5,0),"")</f>
        <v>0.32786885245901637</v>
      </c>
      <c r="V183" s="265" t="s">
        <v>1305</v>
      </c>
      <c r="W183" s="175"/>
    </row>
    <row r="184" spans="1:23" ht="15" customHeight="1" x14ac:dyDescent="0.25">
      <c r="A184" s="580"/>
      <c r="B184" s="173" t="s">
        <v>452</v>
      </c>
      <c r="C184" s="173" t="s">
        <v>460</v>
      </c>
      <c r="D184" s="173" t="s">
        <v>380</v>
      </c>
      <c r="E184" s="345" t="s">
        <v>237</v>
      </c>
      <c r="F184" s="173" t="s">
        <v>261</v>
      </c>
      <c r="G184" s="107">
        <v>1</v>
      </c>
      <c r="H184" s="107"/>
      <c r="I184" s="107"/>
      <c r="J184" s="107">
        <v>60</v>
      </c>
      <c r="K184" s="107">
        <v>60</v>
      </c>
      <c r="L184" s="173"/>
      <c r="M184" s="173"/>
      <c r="N184" s="173"/>
      <c r="O184" s="173"/>
      <c r="P184" s="149">
        <f>IF(Table_Shelter[[#This Row],[Status]]="Open",IF(V184="NO",Table_Shelter[[#This Row],[HH per Shelter]]*(Table_Shelter[[#This Row],['# of Temporary Shelter Units Built]]+Table_Shelter[[#This Row],['# of Temporary Shelter Under  Construction]]+Table_Shelter[[#This Row],['# of Permanent House Under Construction]]),0),0)</f>
        <v>60</v>
      </c>
      <c r="Q184" s="106"/>
      <c r="R184" s="173"/>
      <c r="S184" s="174" t="str">
        <f>IFERROR(VLOOKUP(Table_Shelter[[#This Row],[CampName]],CL,2,0),"")</f>
        <v>MMR001CMP008</v>
      </c>
      <c r="T184" s="174" t="str">
        <f>IFERROR(VLOOKUP(Table_Shelter[[#This Row],[CampName]],CL,3,0),"")</f>
        <v>Open</v>
      </c>
      <c r="U184" s="265">
        <f>IFERROR(Table_Shelter[[#This Row],[HH Covered]]/VLOOKUP(Table_Shelter[[#This Row],[CampName]],CL,5,0),"")</f>
        <v>0.59405940594059403</v>
      </c>
      <c r="V184" s="265" t="s">
        <v>1305</v>
      </c>
      <c r="W184" s="175"/>
    </row>
    <row r="185" spans="1:23" ht="15" customHeight="1" x14ac:dyDescent="0.25">
      <c r="A185" s="580"/>
      <c r="B185" s="173" t="s">
        <v>453</v>
      </c>
      <c r="C185" s="173" t="s">
        <v>460</v>
      </c>
      <c r="D185" s="173" t="s">
        <v>380</v>
      </c>
      <c r="E185" s="345" t="s">
        <v>151</v>
      </c>
      <c r="F185" s="173" t="s">
        <v>160</v>
      </c>
      <c r="G185" s="107">
        <v>1</v>
      </c>
      <c r="H185" s="107"/>
      <c r="I185" s="107"/>
      <c r="J185" s="107">
        <v>39</v>
      </c>
      <c r="K185" s="107">
        <v>39</v>
      </c>
      <c r="L185" s="173"/>
      <c r="M185" s="173"/>
      <c r="N185" s="173"/>
      <c r="O185" s="173"/>
      <c r="P185" s="149">
        <f>IF(Table_Shelter[[#This Row],[Status]]="Open",IF(V185="NO",Table_Shelter[[#This Row],[HH per Shelter]]*(Table_Shelter[[#This Row],['# of Temporary Shelter Units Built]]+Table_Shelter[[#This Row],['# of Temporary Shelter Under  Construction]]+Table_Shelter[[#This Row],['# of Permanent House Under Construction]]),0),0)</f>
        <v>39</v>
      </c>
      <c r="Q185" s="106"/>
      <c r="R185" s="173"/>
      <c r="S185" s="174" t="str">
        <f>IFERROR(VLOOKUP(Table_Shelter[[#This Row],[CampName]],CL,2,0),"")</f>
        <v>MMR001CMP133</v>
      </c>
      <c r="T185" s="174" t="str">
        <f>IFERROR(VLOOKUP(Table_Shelter[[#This Row],[CampName]],CL,3,0),"")</f>
        <v>Open</v>
      </c>
      <c r="U185" s="265">
        <f>IFERROR(Table_Shelter[[#This Row],[HH Covered]]/VLOOKUP(Table_Shelter[[#This Row],[CampName]],CL,5,0),"")</f>
        <v>0.3644859813084112</v>
      </c>
      <c r="V185" s="265" t="s">
        <v>1305</v>
      </c>
      <c r="W185" s="175"/>
    </row>
    <row r="186" spans="1:23" ht="15" customHeight="1" x14ac:dyDescent="0.25">
      <c r="A186" s="580"/>
      <c r="B186" s="173" t="s">
        <v>452</v>
      </c>
      <c r="C186" s="173" t="s">
        <v>460</v>
      </c>
      <c r="D186" s="180" t="s">
        <v>380</v>
      </c>
      <c r="E186" s="345" t="s">
        <v>151</v>
      </c>
      <c r="F186" s="173" t="s">
        <v>160</v>
      </c>
      <c r="G186" s="107">
        <v>1</v>
      </c>
      <c r="H186" s="107"/>
      <c r="I186" s="107"/>
      <c r="J186" s="107">
        <v>20</v>
      </c>
      <c r="K186" s="107">
        <v>20</v>
      </c>
      <c r="L186" s="173"/>
      <c r="M186" s="173"/>
      <c r="N186" s="173"/>
      <c r="O186" s="173"/>
      <c r="P186" s="108">
        <f>IF(Table_Shelter[[#This Row],[Status]]="Open",IF(V186="NO",Table_Shelter[[#This Row],[HH per Shelter]]*(Table_Shelter[[#This Row],['# of Temporary Shelter Units Built]]+Table_Shelter[[#This Row],['# of Temporary Shelter Under  Construction]]+Table_Shelter[[#This Row],['# of Permanent House Under Construction]]),0),0)</f>
        <v>20</v>
      </c>
      <c r="Q186" s="106"/>
      <c r="R186" s="106"/>
      <c r="S186" s="108" t="str">
        <f>IFERROR(VLOOKUP(Table_Shelter[[#This Row],[CampName]],CL,2,0),"")</f>
        <v>MMR001CMP133</v>
      </c>
      <c r="T186" s="108" t="str">
        <f>IFERROR(VLOOKUP(Table_Shelter[[#This Row],[CampName]],CL,3,0),"")</f>
        <v>Open</v>
      </c>
      <c r="U186" s="265">
        <f>IFERROR(Table_Shelter[[#This Row],[HH Covered]]/VLOOKUP(Table_Shelter[[#This Row],[CampName]],CL,5,0),"")</f>
        <v>0.18691588785046728</v>
      </c>
      <c r="V186" s="265" t="s">
        <v>1305</v>
      </c>
      <c r="W186" s="108"/>
    </row>
    <row r="187" spans="1:23" ht="15" customHeight="1" x14ac:dyDescent="0.25">
      <c r="A187" s="580"/>
      <c r="B187" s="173" t="s">
        <v>452</v>
      </c>
      <c r="C187" s="173" t="s">
        <v>460</v>
      </c>
      <c r="D187" s="173" t="s">
        <v>553</v>
      </c>
      <c r="E187" s="345" t="s">
        <v>166</v>
      </c>
      <c r="F187" s="173" t="s">
        <v>167</v>
      </c>
      <c r="G187" s="107">
        <v>1</v>
      </c>
      <c r="H187" s="107"/>
      <c r="I187" s="107"/>
      <c r="J187" s="107">
        <v>30</v>
      </c>
      <c r="K187" s="107">
        <v>30</v>
      </c>
      <c r="L187" s="173"/>
      <c r="M187" s="173"/>
      <c r="N187" s="173"/>
      <c r="O187" s="173"/>
      <c r="P187" s="149">
        <f>IF(Table_Shelter[[#This Row],[Status]]="Open",IF(V187="NO",Table_Shelter[[#This Row],[HH per Shelter]]*(Table_Shelter[[#This Row],['# of Temporary Shelter Units Built]]+Table_Shelter[[#This Row],['# of Temporary Shelter Under  Construction]]+Table_Shelter[[#This Row],['# of Permanent House Under Construction]]),0),0)</f>
        <v>30</v>
      </c>
      <c r="Q187" s="106"/>
      <c r="R187" s="173"/>
      <c r="S187" s="174" t="str">
        <f>IFERROR(VLOOKUP(Table_Shelter[[#This Row],[CampName]],CL,2,0),"")</f>
        <v>MMR015CMP009</v>
      </c>
      <c r="T187" s="174" t="str">
        <f>IFERROR(VLOOKUP(Table_Shelter[[#This Row],[CampName]],CL,3,0),"")</f>
        <v>Open</v>
      </c>
      <c r="U187" s="265">
        <f>IFERROR(Table_Shelter[[#This Row],[HH Covered]]/VLOOKUP(Table_Shelter[[#This Row],[CampName]],CL,5,0),"")</f>
        <v>0.83333333333333337</v>
      </c>
      <c r="V187" s="265" t="s">
        <v>1305</v>
      </c>
      <c r="W187" s="175"/>
    </row>
    <row r="188" spans="1:23" ht="15" customHeight="1" x14ac:dyDescent="0.25">
      <c r="A188" s="578"/>
      <c r="B188" s="173" t="s">
        <v>452</v>
      </c>
      <c r="C188" s="173" t="s">
        <v>460</v>
      </c>
      <c r="D188" s="173" t="s">
        <v>380</v>
      </c>
      <c r="E188" s="345" t="s">
        <v>173</v>
      </c>
      <c r="F188" s="173" t="s">
        <v>176</v>
      </c>
      <c r="G188" s="107">
        <v>1</v>
      </c>
      <c r="H188" s="107"/>
      <c r="I188" s="107"/>
      <c r="J188" s="107">
        <v>10</v>
      </c>
      <c r="K188" s="107">
        <v>10</v>
      </c>
      <c r="L188" s="173"/>
      <c r="M188" s="173"/>
      <c r="N188" s="173"/>
      <c r="O188" s="173"/>
      <c r="P188" s="149">
        <f>IF(Table_Shelter[[#This Row],[Status]]="Open",IF(V188="NO",Table_Shelter[[#This Row],[HH per Shelter]]*(Table_Shelter[[#This Row],['# of Temporary Shelter Units Built]]+Table_Shelter[[#This Row],['# of Temporary Shelter Under  Construction]]+Table_Shelter[[#This Row],['# of Permanent House Under Construction]]),0),0)</f>
        <v>10</v>
      </c>
      <c r="Q188" s="106"/>
      <c r="R188" s="173"/>
      <c r="S188" s="174" t="str">
        <f>IFERROR(VLOOKUP(Table_Shelter[[#This Row],[CampName]],CL,2,0),"")</f>
        <v>MMR001CMP077</v>
      </c>
      <c r="T188" s="174" t="str">
        <f>IFERROR(VLOOKUP(Table_Shelter[[#This Row],[CampName]],CL,3,0),"")</f>
        <v>Open</v>
      </c>
      <c r="U188" s="265">
        <f>IFERROR(Table_Shelter[[#This Row],[HH Covered]]/VLOOKUP(Table_Shelter[[#This Row],[CampName]],CL,5,0),"")</f>
        <v>0.66666666666666663</v>
      </c>
      <c r="V188" s="265" t="s">
        <v>1305</v>
      </c>
      <c r="W188" s="175"/>
    </row>
    <row r="189" spans="1:23" ht="15" customHeight="1" x14ac:dyDescent="0.25">
      <c r="A189" s="811"/>
      <c r="B189" s="173" t="s">
        <v>452</v>
      </c>
      <c r="C189" s="173" t="s">
        <v>460</v>
      </c>
      <c r="D189" s="176" t="s">
        <v>380</v>
      </c>
      <c r="E189" s="345" t="s">
        <v>185</v>
      </c>
      <c r="F189" s="173" t="s">
        <v>209</v>
      </c>
      <c r="G189" s="107">
        <v>1</v>
      </c>
      <c r="H189" s="109"/>
      <c r="I189" s="109"/>
      <c r="J189" s="109">
        <v>40</v>
      </c>
      <c r="K189" s="109">
        <v>40</v>
      </c>
      <c r="L189" s="175"/>
      <c r="M189" s="175"/>
      <c r="N189" s="175"/>
      <c r="O189" s="175"/>
      <c r="P189" s="108">
        <f>IF(Table_Shelter[[#This Row],[Status]]="Open",IF(V189="NO",Table_Shelter[[#This Row],[HH per Shelter]]*(Table_Shelter[[#This Row],['# of Temporary Shelter Units Built]]+Table_Shelter[[#This Row],['# of Temporary Shelter Under  Construction]]+Table_Shelter[[#This Row],['# of Permanent House Under Construction]]),0),0)</f>
        <v>40</v>
      </c>
      <c r="Q189" s="108"/>
      <c r="R189" s="175"/>
      <c r="S189" s="175" t="str">
        <f>IFERROR(VLOOKUP(Table_Shelter[[#This Row],[CampName]],CL,2,0),"")</f>
        <v>MMR001CMP056</v>
      </c>
      <c r="T189" s="175" t="str">
        <f>IFERROR(VLOOKUP(Table_Shelter[[#This Row],[CampName]],CL,3,0),"")</f>
        <v>Open</v>
      </c>
      <c r="U189" s="265">
        <f>IFERROR(Table_Shelter[[#This Row],[HH Covered]]/VLOOKUP(Table_Shelter[[#This Row],[CampName]],CL,5,0),"")</f>
        <v>0.10335917312661498</v>
      </c>
      <c r="V189" s="265" t="s">
        <v>1305</v>
      </c>
      <c r="W189" s="175"/>
    </row>
    <row r="190" spans="1:23" ht="15" customHeight="1" x14ac:dyDescent="0.25">
      <c r="A190" s="811"/>
      <c r="B190" s="173" t="s">
        <v>452</v>
      </c>
      <c r="C190" s="173" t="s">
        <v>460</v>
      </c>
      <c r="D190" s="176" t="s">
        <v>553</v>
      </c>
      <c r="E190" s="345" t="s">
        <v>230</v>
      </c>
      <c r="F190" s="173" t="s">
        <v>235</v>
      </c>
      <c r="G190" s="107">
        <v>1</v>
      </c>
      <c r="H190" s="109"/>
      <c r="I190" s="109"/>
      <c r="J190" s="109">
        <v>10</v>
      </c>
      <c r="K190" s="109">
        <v>10</v>
      </c>
      <c r="L190" s="175"/>
      <c r="M190" s="175"/>
      <c r="N190" s="175"/>
      <c r="O190" s="175"/>
      <c r="P190" s="108">
        <f>IF(Table_Shelter[[#This Row],[Status]]="Open",IF(V190="NO",Table_Shelter[[#This Row],[HH per Shelter]]*(Table_Shelter[[#This Row],['# of Temporary Shelter Units Built]]+Table_Shelter[[#This Row],['# of Temporary Shelter Under  Construction]]+Table_Shelter[[#This Row],['# of Permanent House Under Construction]]),0),0)</f>
        <v>0</v>
      </c>
      <c r="Q190" s="108"/>
      <c r="R190" s="175"/>
      <c r="S190" s="175" t="str">
        <f>IFERROR(VLOOKUP(Table_Shelter[[#This Row],[CampName]],CL,2,0),"")</f>
        <v>MMR015CMP005</v>
      </c>
      <c r="T190" s="175" t="str">
        <f>IFERROR(VLOOKUP(Table_Shelter[[#This Row],[CampName]],CL,3,0),"")</f>
        <v>Closed</v>
      </c>
      <c r="U190" s="265" t="str">
        <f>IFERROR(Table_Shelter[[#This Row],[HH Covered]]/VLOOKUP(Table_Shelter[[#This Row],[CampName]],CL,5,0),"")</f>
        <v/>
      </c>
      <c r="V190" s="265" t="s">
        <v>1305</v>
      </c>
      <c r="W190" s="175"/>
    </row>
    <row r="191" spans="1:23" ht="15" customHeight="1" x14ac:dyDescent="0.25">
      <c r="A191" s="647"/>
      <c r="B191" s="173" t="s">
        <v>453</v>
      </c>
      <c r="C191" s="173" t="s">
        <v>460</v>
      </c>
      <c r="D191" s="176" t="s">
        <v>553</v>
      </c>
      <c r="E191" s="345" t="s">
        <v>289</v>
      </c>
      <c r="F191" s="173" t="s">
        <v>292</v>
      </c>
      <c r="G191" s="107">
        <v>1</v>
      </c>
      <c r="H191" s="109"/>
      <c r="I191" s="109"/>
      <c r="J191" s="109">
        <v>78</v>
      </c>
      <c r="K191" s="109">
        <v>78</v>
      </c>
      <c r="L191" s="175"/>
      <c r="M191" s="175"/>
      <c r="N191" s="175"/>
      <c r="O191" s="175"/>
      <c r="P191" s="108">
        <f>IF(Table_Shelter[[#This Row],[Status]]="Open",IF(V191="NO",Table_Shelter[[#This Row],[HH per Shelter]]*(Table_Shelter[[#This Row],['# of Temporary Shelter Units Built]]+Table_Shelter[[#This Row],['# of Temporary Shelter Under  Construction]]+Table_Shelter[[#This Row],['# of Permanent House Under Construction]]),0),0)</f>
        <v>78</v>
      </c>
      <c r="Q191" s="108"/>
      <c r="R191" s="175"/>
      <c r="S191" s="175" t="str">
        <f>IFERROR(VLOOKUP(Table_Shelter[[#This Row],[CampName]],CL,2,0),"")</f>
        <v>MMR015CMP004</v>
      </c>
      <c r="T191" s="175" t="str">
        <f>IFERROR(VLOOKUP(Table_Shelter[[#This Row],[CampName]],CL,3,0),"")</f>
        <v>Open</v>
      </c>
      <c r="U191" s="265">
        <f>IFERROR(Table_Shelter[[#This Row],[HH Covered]]/VLOOKUP(Table_Shelter[[#This Row],[CampName]],CL,5,0),"")</f>
        <v>1.04</v>
      </c>
      <c r="V191" s="265" t="s">
        <v>1305</v>
      </c>
      <c r="W191" s="175"/>
    </row>
    <row r="192" spans="1:23" ht="15" customHeight="1" x14ac:dyDescent="0.25">
      <c r="A192" s="577"/>
      <c r="B192" s="173" t="s">
        <v>862</v>
      </c>
      <c r="C192" s="173"/>
      <c r="D192" s="176" t="s">
        <v>380</v>
      </c>
      <c r="E192" s="345" t="s">
        <v>527</v>
      </c>
      <c r="F192" s="173" t="s">
        <v>62</v>
      </c>
      <c r="G192" s="107">
        <v>1</v>
      </c>
      <c r="H192" s="148">
        <v>25</v>
      </c>
      <c r="I192" s="148">
        <v>25</v>
      </c>
      <c r="J192" s="148"/>
      <c r="K192" s="148"/>
      <c r="L192" s="174"/>
      <c r="M192" s="174"/>
      <c r="N192" s="174"/>
      <c r="O192" s="174"/>
      <c r="P192" s="149">
        <f>IF(Table_Shelter[[#This Row],[Status]]="Open",IF(V192="NO",Table_Shelter[[#This Row],[HH per Shelter]]*(Table_Shelter[[#This Row],['# of Temporary Shelter Units Built]]+Table_Shelter[[#This Row],['# of Temporary Shelter Under  Construction]]+Table_Shelter[[#This Row],['# of Permanent House Under Construction]]),0),0)</f>
        <v>0</v>
      </c>
      <c r="Q192" s="149"/>
      <c r="R192" s="174"/>
      <c r="S192" s="174" t="str">
        <f>IFERROR(VLOOKUP(Table_Shelter[[#This Row],[CampName]],CL,2,0),"")</f>
        <v>MMR001CMP179</v>
      </c>
      <c r="T192" s="174" t="str">
        <f>IFERROR(VLOOKUP(Table_Shelter[[#This Row],[CampName]],CL,3,0),"")</f>
        <v>Open</v>
      </c>
      <c r="U192" s="265">
        <f>IFERROR(Table_Shelter[[#This Row],[HH Covered]]/VLOOKUP(Table_Shelter[[#This Row],[CampName]],CL,5,0),"")</f>
        <v>0</v>
      </c>
      <c r="V192" s="265" t="s">
        <v>1305</v>
      </c>
      <c r="W192" s="175"/>
    </row>
    <row r="193" spans="1:23" ht="15" customHeight="1" x14ac:dyDescent="0.25">
      <c r="A193" s="580"/>
      <c r="B193" s="173" t="s">
        <v>452</v>
      </c>
      <c r="C193" s="173" t="s">
        <v>506</v>
      </c>
      <c r="D193" s="173" t="s">
        <v>380</v>
      </c>
      <c r="E193" s="345" t="s">
        <v>527</v>
      </c>
      <c r="F193" s="173" t="s">
        <v>62</v>
      </c>
      <c r="G193" s="107">
        <v>1</v>
      </c>
      <c r="H193" s="107"/>
      <c r="I193" s="107"/>
      <c r="J193" s="107"/>
      <c r="K193" s="107"/>
      <c r="L193" s="173"/>
      <c r="M193" s="173"/>
      <c r="N193" s="173"/>
      <c r="O193" s="173"/>
      <c r="P193" s="149">
        <f>IF(Table_Shelter[[#This Row],[Status]]="Open",IF(V193="NO",Table_Shelter[[#This Row],[HH per Shelter]]*(Table_Shelter[[#This Row],['# of Temporary Shelter Units Built]]+Table_Shelter[[#This Row],['# of Temporary Shelter Under  Construction]]+Table_Shelter[[#This Row],['# of Permanent House Under Construction]]),0),0)</f>
        <v>0</v>
      </c>
      <c r="Q193" s="106">
        <v>44</v>
      </c>
      <c r="R193" s="173"/>
      <c r="S193" s="174" t="str">
        <f>IFERROR(VLOOKUP(Table_Shelter[[#This Row],[CampName]],CL,2,0),"")</f>
        <v>MMR001CMP179</v>
      </c>
      <c r="T193" s="174" t="str">
        <f>IFERROR(VLOOKUP(Table_Shelter[[#This Row],[CampName]],CL,3,0),"")</f>
        <v>Open</v>
      </c>
      <c r="U193" s="265">
        <f>IFERROR(Table_Shelter[[#This Row],[HH Covered]]/VLOOKUP(Table_Shelter[[#This Row],[CampName]],CL,5,0),"")</f>
        <v>0</v>
      </c>
      <c r="V193" s="265" t="s">
        <v>1305</v>
      </c>
      <c r="W193" s="175"/>
    </row>
    <row r="194" spans="1:23" ht="15" customHeight="1" x14ac:dyDescent="0.25">
      <c r="A194" s="578"/>
      <c r="B194" s="173" t="s">
        <v>572</v>
      </c>
      <c r="C194" s="173" t="s">
        <v>459</v>
      </c>
      <c r="D194" s="173" t="s">
        <v>380</v>
      </c>
      <c r="E194" s="345" t="s">
        <v>5</v>
      </c>
      <c r="F194" s="173" t="s">
        <v>6</v>
      </c>
      <c r="G194" s="107">
        <v>1</v>
      </c>
      <c r="H194" s="107"/>
      <c r="I194" s="107"/>
      <c r="J194" s="107">
        <v>6</v>
      </c>
      <c r="K194" s="107">
        <v>6</v>
      </c>
      <c r="L194" s="173"/>
      <c r="M194" s="173"/>
      <c r="N194" s="173"/>
      <c r="O194" s="173"/>
      <c r="P194" s="149">
        <f>IF(Table_Shelter[[#This Row],[Status]]="Open",IF(V194="NO",Table_Shelter[[#This Row],[HH per Shelter]]*(Table_Shelter[[#This Row],['# of Temporary Shelter Units Built]]+Table_Shelter[[#This Row],['# of Temporary Shelter Under  Construction]]+Table_Shelter[[#This Row],['# of Permanent House Under Construction]]),0),0)</f>
        <v>6</v>
      </c>
      <c r="Q194" s="106"/>
      <c r="R194" s="173"/>
      <c r="S194" s="174" t="str">
        <f>IFERROR(VLOOKUP(Table_Shelter[[#This Row],[CampName]],CL,2,0),"")</f>
        <v>MMR001CMP050</v>
      </c>
      <c r="T194" s="174" t="str">
        <f>IFERROR(VLOOKUP(Table_Shelter[[#This Row],[CampName]],CL,3,0),"")</f>
        <v>Open</v>
      </c>
      <c r="U194" s="265">
        <f>IFERROR(Table_Shelter[[#This Row],[HH Covered]]/VLOOKUP(Table_Shelter[[#This Row],[CampName]],CL,5,0),"")</f>
        <v>2.3346303501945526E-2</v>
      </c>
      <c r="V194" s="265" t="s">
        <v>1305</v>
      </c>
      <c r="W194" s="175"/>
    </row>
    <row r="195" spans="1:23" ht="15" customHeight="1" x14ac:dyDescent="0.25">
      <c r="A195" s="811"/>
      <c r="B195" s="175" t="s">
        <v>452</v>
      </c>
      <c r="C195" s="175" t="s">
        <v>459</v>
      </c>
      <c r="D195" s="175" t="s">
        <v>380</v>
      </c>
      <c r="E195" s="179" t="s">
        <v>5</v>
      </c>
      <c r="F195" s="175" t="s">
        <v>6</v>
      </c>
      <c r="G195" s="109">
        <v>1</v>
      </c>
      <c r="H195" s="109"/>
      <c r="I195" s="109"/>
      <c r="J195" s="109">
        <v>144</v>
      </c>
      <c r="K195" s="109">
        <v>144</v>
      </c>
      <c r="L195" s="175"/>
      <c r="M195" s="175"/>
      <c r="N195" s="175"/>
      <c r="O195" s="175"/>
      <c r="P195" s="149">
        <f>IF(Table_Shelter[[#This Row],[Status]]="Open",IF(V195="NO",Table_Shelter[[#This Row],[HH per Shelter]]*(Table_Shelter[[#This Row],['# of Temporary Shelter Units Built]]+Table_Shelter[[#This Row],['# of Temporary Shelter Under  Construction]]+Table_Shelter[[#This Row],['# of Permanent House Under Construction]]),0),0)</f>
        <v>144</v>
      </c>
      <c r="Q195" s="108"/>
      <c r="R195" s="175"/>
      <c r="S195" s="174" t="str">
        <f>IFERROR(VLOOKUP(Table_Shelter[[#This Row],[CampName]],CL,2,0),"")</f>
        <v>MMR001CMP050</v>
      </c>
      <c r="T195" s="174" t="str">
        <f>IFERROR(VLOOKUP(Table_Shelter[[#This Row],[CampName]],CL,3,0),"")</f>
        <v>Open</v>
      </c>
      <c r="U195" s="265">
        <f>IFERROR(Table_Shelter[[#This Row],[HH Covered]]/VLOOKUP(Table_Shelter[[#This Row],[CampName]],CL,5,0),"")</f>
        <v>0.56031128404669261</v>
      </c>
      <c r="V195" s="265" t="s">
        <v>1305</v>
      </c>
      <c r="W195" s="175"/>
    </row>
    <row r="196" spans="1:23" ht="15" customHeight="1" x14ac:dyDescent="0.25">
      <c r="A196" s="580"/>
      <c r="B196" s="173" t="s">
        <v>452</v>
      </c>
      <c r="C196" s="173"/>
      <c r="D196" s="173" t="s">
        <v>380</v>
      </c>
      <c r="E196" s="345" t="s">
        <v>5</v>
      </c>
      <c r="F196" s="173" t="s">
        <v>6</v>
      </c>
      <c r="G196" s="107">
        <v>1</v>
      </c>
      <c r="H196" s="107"/>
      <c r="I196" s="107"/>
      <c r="J196" s="107">
        <v>20</v>
      </c>
      <c r="K196" s="107">
        <v>20</v>
      </c>
      <c r="L196" s="173"/>
      <c r="M196" s="173"/>
      <c r="N196" s="173"/>
      <c r="O196" s="173"/>
      <c r="P196" s="149">
        <f>IF(Table_Shelter[[#This Row],[Status]]="Open",IF(V196="NO",Table_Shelter[[#This Row],[HH per Shelter]]*(Table_Shelter[[#This Row],['# of Temporary Shelter Units Built]]+Table_Shelter[[#This Row],['# of Temporary Shelter Under  Construction]]+Table_Shelter[[#This Row],['# of Permanent House Under Construction]]),0),0)</f>
        <v>20</v>
      </c>
      <c r="Q196" s="106"/>
      <c r="R196" s="173"/>
      <c r="S196" s="174" t="str">
        <f>IFERROR(VLOOKUP(Table_Shelter[[#This Row],[CampName]],CL,2,0),"")</f>
        <v>MMR001CMP050</v>
      </c>
      <c r="T196" s="174" t="str">
        <f>IFERROR(VLOOKUP(Table_Shelter[[#This Row],[CampName]],CL,3,0),"")</f>
        <v>Open</v>
      </c>
      <c r="U196" s="265">
        <f>IFERROR(Table_Shelter[[#This Row],[HH Covered]]/VLOOKUP(Table_Shelter[[#This Row],[CampName]],CL,5,0),"")</f>
        <v>7.7821011673151752E-2</v>
      </c>
      <c r="V196" s="265" t="s">
        <v>1305</v>
      </c>
      <c r="W196" s="175"/>
    </row>
    <row r="197" spans="1:23" ht="15" customHeight="1" x14ac:dyDescent="0.25">
      <c r="A197" s="580"/>
      <c r="B197" s="173" t="s">
        <v>862</v>
      </c>
      <c r="C197" s="173"/>
      <c r="D197" s="176" t="s">
        <v>380</v>
      </c>
      <c r="E197" s="345" t="s">
        <v>527</v>
      </c>
      <c r="F197" s="173" t="s">
        <v>41</v>
      </c>
      <c r="G197" s="107">
        <v>1</v>
      </c>
      <c r="H197" s="107">
        <v>10</v>
      </c>
      <c r="I197" s="107">
        <v>10</v>
      </c>
      <c r="J197" s="107"/>
      <c r="K197" s="107"/>
      <c r="L197" s="173"/>
      <c r="M197" s="173"/>
      <c r="N197" s="173"/>
      <c r="O197" s="173"/>
      <c r="P197" s="149">
        <f>IF(Table_Shelter[[#This Row],[Status]]="Open",IF(V197="NO",Table_Shelter[[#This Row],[HH per Shelter]]*(Table_Shelter[[#This Row],['# of Temporary Shelter Units Built]]+Table_Shelter[[#This Row],['# of Temporary Shelter Under  Construction]]+Table_Shelter[[#This Row],['# of Permanent House Under Construction]]),0),0)</f>
        <v>0</v>
      </c>
      <c r="Q197" s="106"/>
      <c r="R197" s="173"/>
      <c r="S197" s="174" t="str">
        <f>IFERROR(VLOOKUP(Table_Shelter[[#This Row],[CampName]],CL,2,0),"")</f>
        <v>MMR001CMP176</v>
      </c>
      <c r="T197" s="174" t="str">
        <f>IFERROR(VLOOKUP(Table_Shelter[[#This Row],[CampName]],CL,3,0),"")</f>
        <v>Open</v>
      </c>
      <c r="U197" s="265">
        <f>IFERROR(Table_Shelter[[#This Row],[HH Covered]]/VLOOKUP(Table_Shelter[[#This Row],[CampName]],CL,5,0),"")</f>
        <v>0</v>
      </c>
      <c r="V197" s="265" t="s">
        <v>1305</v>
      </c>
      <c r="W197" s="175"/>
    </row>
    <row r="198" spans="1:23" ht="15" customHeight="1" x14ac:dyDescent="0.25">
      <c r="A198" s="580"/>
      <c r="B198" s="173" t="s">
        <v>452</v>
      </c>
      <c r="C198" s="173" t="s">
        <v>505</v>
      </c>
      <c r="D198" s="180" t="s">
        <v>380</v>
      </c>
      <c r="E198" s="345" t="s">
        <v>527</v>
      </c>
      <c r="F198" s="173" t="s">
        <v>41</v>
      </c>
      <c r="G198" s="107">
        <v>1</v>
      </c>
      <c r="H198" s="107"/>
      <c r="I198" s="107"/>
      <c r="J198" s="107">
        <v>5</v>
      </c>
      <c r="K198" s="107">
        <v>5</v>
      </c>
      <c r="L198" s="173"/>
      <c r="M198" s="173"/>
      <c r="N198" s="173"/>
      <c r="O198" s="173"/>
      <c r="P198" s="108">
        <f>IF(Table_Shelter[[#This Row],[Status]]="Open",IF(V198="NO",Table_Shelter[[#This Row],[HH per Shelter]]*(Table_Shelter[[#This Row],['# of Temporary Shelter Units Built]]+Table_Shelter[[#This Row],['# of Temporary Shelter Under  Construction]]+Table_Shelter[[#This Row],['# of Permanent House Under Construction]]),0),0)</f>
        <v>5</v>
      </c>
      <c r="Q198" s="106"/>
      <c r="R198" s="106"/>
      <c r="S198" s="108" t="str">
        <f>IFERROR(VLOOKUP(Table_Shelter[[#This Row],[CampName]],CL,2,0),"")</f>
        <v>MMR001CMP176</v>
      </c>
      <c r="T198" s="108" t="str">
        <f>IFERROR(VLOOKUP(Table_Shelter[[#This Row],[CampName]],CL,3,0),"")</f>
        <v>Open</v>
      </c>
      <c r="U198" s="265">
        <f>IFERROR(Table_Shelter[[#This Row],[HH Covered]]/VLOOKUP(Table_Shelter[[#This Row],[CampName]],CL,5,0),"")</f>
        <v>7.4626865671641784E-2</v>
      </c>
      <c r="V198" s="265" t="s">
        <v>1305</v>
      </c>
      <c r="W198" s="108"/>
    </row>
    <row r="199" spans="1:23" ht="15" customHeight="1" x14ac:dyDescent="0.25">
      <c r="A199" s="580"/>
      <c r="B199" s="173" t="s">
        <v>452</v>
      </c>
      <c r="C199" s="173" t="s">
        <v>459</v>
      </c>
      <c r="D199" s="173" t="s">
        <v>380</v>
      </c>
      <c r="E199" s="345" t="s">
        <v>5</v>
      </c>
      <c r="F199" s="173" t="s">
        <v>512</v>
      </c>
      <c r="G199" s="107">
        <v>1</v>
      </c>
      <c r="H199" s="107"/>
      <c r="I199" s="107"/>
      <c r="J199" s="107">
        <v>32</v>
      </c>
      <c r="K199" s="107">
        <v>32</v>
      </c>
      <c r="L199" s="173"/>
      <c r="M199" s="173"/>
      <c r="N199" s="173"/>
      <c r="O199" s="173"/>
      <c r="P199" s="149">
        <f>IF(Table_Shelter[[#This Row],[Status]]="Open",IF(V199="NO",Table_Shelter[[#This Row],[HH per Shelter]]*(Table_Shelter[[#This Row],['# of Temporary Shelter Units Built]]+Table_Shelter[[#This Row],['# of Temporary Shelter Under  Construction]]+Table_Shelter[[#This Row],['# of Permanent House Under Construction]]),0),0)</f>
        <v>32</v>
      </c>
      <c r="Q199" s="106"/>
      <c r="R199" s="173"/>
      <c r="S199" s="174" t="str">
        <f>IFERROR(VLOOKUP(Table_Shelter[[#This Row],[CampName]],CL,2,0),"")</f>
        <v>MMR001CMP194</v>
      </c>
      <c r="T199" s="174" t="str">
        <f>IFERROR(VLOOKUP(Table_Shelter[[#This Row],[CampName]],CL,3,0),"")</f>
        <v>Open</v>
      </c>
      <c r="U199" s="265">
        <f>IFERROR(Table_Shelter[[#This Row],[HH Covered]]/VLOOKUP(Table_Shelter[[#This Row],[CampName]],CL,5,0),"")</f>
        <v>2.6666666666666665</v>
      </c>
      <c r="V199" s="265" t="s">
        <v>1305</v>
      </c>
      <c r="W199" s="175"/>
    </row>
    <row r="200" spans="1:23" ht="15" customHeight="1" x14ac:dyDescent="0.25">
      <c r="A200" s="580"/>
      <c r="B200" s="173" t="s">
        <v>452</v>
      </c>
      <c r="C200" s="173"/>
      <c r="D200" s="173" t="s">
        <v>380</v>
      </c>
      <c r="E200" s="345" t="s">
        <v>5</v>
      </c>
      <c r="F200" s="173" t="s">
        <v>512</v>
      </c>
      <c r="G200" s="107">
        <v>1</v>
      </c>
      <c r="H200" s="107"/>
      <c r="I200" s="107"/>
      <c r="J200" s="107">
        <v>10</v>
      </c>
      <c r="K200" s="107">
        <v>10</v>
      </c>
      <c r="L200" s="173"/>
      <c r="M200" s="173"/>
      <c r="N200" s="173"/>
      <c r="O200" s="173"/>
      <c r="P200" s="149">
        <f>IF(Table_Shelter[[#This Row],[Status]]="Open",IF(V200="NO",Table_Shelter[[#This Row],[HH per Shelter]]*(Table_Shelter[[#This Row],['# of Temporary Shelter Units Built]]+Table_Shelter[[#This Row],['# of Temporary Shelter Under  Construction]]+Table_Shelter[[#This Row],['# of Permanent House Under Construction]]),0),0)</f>
        <v>10</v>
      </c>
      <c r="Q200" s="106"/>
      <c r="R200" s="173"/>
      <c r="S200" s="174" t="str">
        <f>IFERROR(VLOOKUP(Table_Shelter[[#This Row],[CampName]],CL,2,0),"")</f>
        <v>MMR001CMP194</v>
      </c>
      <c r="T200" s="174" t="str">
        <f>IFERROR(VLOOKUP(Table_Shelter[[#This Row],[CampName]],CL,3,0),"")</f>
        <v>Open</v>
      </c>
      <c r="U200" s="265">
        <f>IFERROR(Table_Shelter[[#This Row],[HH Covered]]/VLOOKUP(Table_Shelter[[#This Row],[CampName]],CL,5,0),"")</f>
        <v>0.83333333333333337</v>
      </c>
      <c r="V200" s="265" t="s">
        <v>1305</v>
      </c>
      <c r="W200" s="175"/>
    </row>
    <row r="201" spans="1:23" ht="15" customHeight="1" x14ac:dyDescent="0.25">
      <c r="A201" s="580"/>
      <c r="B201" s="173" t="s">
        <v>862</v>
      </c>
      <c r="C201" s="173"/>
      <c r="D201" s="173" t="s">
        <v>380</v>
      </c>
      <c r="E201" s="345" t="s">
        <v>527</v>
      </c>
      <c r="F201" s="173" t="s">
        <v>52</v>
      </c>
      <c r="G201" s="107">
        <v>1</v>
      </c>
      <c r="H201" s="107">
        <v>10</v>
      </c>
      <c r="I201" s="107">
        <v>10</v>
      </c>
      <c r="J201" s="107"/>
      <c r="K201" s="107"/>
      <c r="L201" s="173"/>
      <c r="M201" s="173"/>
      <c r="N201" s="173"/>
      <c r="O201" s="173"/>
      <c r="P201" s="149">
        <f>IF(Table_Shelter[[#This Row],[Status]]="Open",IF(V201="NO",Table_Shelter[[#This Row],[HH per Shelter]]*(Table_Shelter[[#This Row],['# of Temporary Shelter Units Built]]+Table_Shelter[[#This Row],['# of Temporary Shelter Under  Construction]]+Table_Shelter[[#This Row],['# of Permanent House Under Construction]]),0),0)</f>
        <v>0</v>
      </c>
      <c r="Q201" s="106"/>
      <c r="R201" s="173"/>
      <c r="S201" s="174" t="str">
        <f>IFERROR(VLOOKUP(Table_Shelter[[#This Row],[CampName]],CL,2,0),"")</f>
        <v>MMR001CMP169</v>
      </c>
      <c r="T201" s="174" t="str">
        <f>IFERROR(VLOOKUP(Table_Shelter[[#This Row],[CampName]],CL,3,0),"")</f>
        <v>Open</v>
      </c>
      <c r="U201" s="265">
        <f>IFERROR(Table_Shelter[[#This Row],[HH Covered]]/VLOOKUP(Table_Shelter[[#This Row],[CampName]],CL,5,0),"")</f>
        <v>0</v>
      </c>
      <c r="V201" s="265" t="s">
        <v>1305</v>
      </c>
      <c r="W201" s="175"/>
    </row>
    <row r="202" spans="1:23" ht="15" customHeight="1" x14ac:dyDescent="0.25">
      <c r="A202" s="580"/>
      <c r="B202" s="173"/>
      <c r="C202" s="173"/>
      <c r="D202" s="176" t="s">
        <v>380</v>
      </c>
      <c r="E202" s="345" t="s">
        <v>527</v>
      </c>
      <c r="F202" s="173" t="s">
        <v>58</v>
      </c>
      <c r="G202" s="107">
        <v>1</v>
      </c>
      <c r="H202" s="107"/>
      <c r="I202" s="107"/>
      <c r="J202" s="107">
        <v>10</v>
      </c>
      <c r="K202" s="107">
        <v>10</v>
      </c>
      <c r="L202" s="173"/>
      <c r="M202" s="173"/>
      <c r="N202" s="173"/>
      <c r="O202" s="173"/>
      <c r="P202" s="149">
        <f>IF(Table_Shelter[[#This Row],[Status]]="Open",IF(V202="NO",Table_Shelter[[#This Row],[HH per Shelter]]*(Table_Shelter[[#This Row],['# of Temporary Shelter Units Built]]+Table_Shelter[[#This Row],['# of Temporary Shelter Under  Construction]]+Table_Shelter[[#This Row],['# of Permanent House Under Construction]]),0),0)</f>
        <v>0</v>
      </c>
      <c r="Q202" s="106"/>
      <c r="R202" s="173"/>
      <c r="S202" s="174" t="str">
        <f>IFERROR(VLOOKUP(Table_Shelter[[#This Row],[CampName]],CL,2,0),"")</f>
        <v>MMR001CMP188</v>
      </c>
      <c r="T202" s="174" t="str">
        <f>IFERROR(VLOOKUP(Table_Shelter[[#This Row],[CampName]],CL,3,0),"")</f>
        <v>Closed</v>
      </c>
      <c r="U202" s="265" t="str">
        <f>IFERROR(Table_Shelter[[#This Row],[HH Covered]]/VLOOKUP(Table_Shelter[[#This Row],[CampName]],CL,5,0),"")</f>
        <v/>
      </c>
      <c r="V202" s="265" t="s">
        <v>1305</v>
      </c>
      <c r="W202" s="175"/>
    </row>
    <row r="203" spans="1:23" ht="15" customHeight="1" x14ac:dyDescent="0.25">
      <c r="A203" s="580"/>
      <c r="B203" s="173" t="s">
        <v>862</v>
      </c>
      <c r="C203" s="173"/>
      <c r="D203" s="173" t="s">
        <v>380</v>
      </c>
      <c r="E203" s="345" t="s">
        <v>310</v>
      </c>
      <c r="F203" s="173" t="s">
        <v>334</v>
      </c>
      <c r="G203" s="107">
        <v>1</v>
      </c>
      <c r="H203" s="107">
        <v>41</v>
      </c>
      <c r="I203" s="107">
        <v>41</v>
      </c>
      <c r="J203" s="107"/>
      <c r="K203" s="107"/>
      <c r="L203" s="173"/>
      <c r="M203" s="173"/>
      <c r="N203" s="173"/>
      <c r="O203" s="173"/>
      <c r="P203" s="149">
        <f>IF(Table_Shelter[[#This Row],[Status]]="Open",IF(V203="NO",Table_Shelter[[#This Row],[HH per Shelter]]*(Table_Shelter[[#This Row],['# of Temporary Shelter Units Built]]+Table_Shelter[[#This Row],['# of Temporary Shelter Under  Construction]]+Table_Shelter[[#This Row],['# of Permanent House Under Construction]]),0),0)</f>
        <v>0</v>
      </c>
      <c r="Q203" s="106"/>
      <c r="R203" s="173"/>
      <c r="S203" s="174" t="str">
        <f>IFERROR(VLOOKUP(Table_Shelter[[#This Row],[CampName]],CL,2,0),"")</f>
        <v>MMR001CMP113</v>
      </c>
      <c r="T203" s="174" t="str">
        <f>IFERROR(VLOOKUP(Table_Shelter[[#This Row],[CampName]],CL,3,0),"")</f>
        <v>Open</v>
      </c>
      <c r="U203" s="265">
        <f>IFERROR(Table_Shelter[[#This Row],[HH Covered]]/VLOOKUP(Table_Shelter[[#This Row],[CampName]],CL,5,0),"")</f>
        <v>0</v>
      </c>
      <c r="V203" s="265" t="s">
        <v>1305</v>
      </c>
      <c r="W203" s="175"/>
    </row>
    <row r="204" spans="1:23" ht="15" customHeight="1" x14ac:dyDescent="0.25">
      <c r="A204" s="580"/>
      <c r="B204" s="175" t="s">
        <v>452</v>
      </c>
      <c r="C204" s="175" t="s">
        <v>506</v>
      </c>
      <c r="D204" s="177" t="s">
        <v>380</v>
      </c>
      <c r="E204" s="179" t="s">
        <v>310</v>
      </c>
      <c r="F204" s="175" t="s">
        <v>334</v>
      </c>
      <c r="G204" s="109">
        <v>1</v>
      </c>
      <c r="H204" s="109"/>
      <c r="I204" s="109"/>
      <c r="J204" s="109">
        <v>202</v>
      </c>
      <c r="K204" s="109">
        <v>202</v>
      </c>
      <c r="L204" s="175"/>
      <c r="M204" s="175"/>
      <c r="N204" s="175"/>
      <c r="O204" s="175"/>
      <c r="P204" s="149">
        <f>IF(Table_Shelter[[#This Row],[Status]]="Open",IF(V204="NO",Table_Shelter[[#This Row],[HH per Shelter]]*(Table_Shelter[[#This Row],['# of Temporary Shelter Units Built]]+Table_Shelter[[#This Row],['# of Temporary Shelter Under  Construction]]+Table_Shelter[[#This Row],['# of Permanent House Under Construction]]),0),0)</f>
        <v>202</v>
      </c>
      <c r="Q204" s="108"/>
      <c r="R204" s="175"/>
      <c r="S204" s="174" t="str">
        <f>IFERROR(VLOOKUP(Table_Shelter[[#This Row],[CampName]],CL,2,0),"")</f>
        <v>MMR001CMP113</v>
      </c>
      <c r="T204" s="174" t="str">
        <f>IFERROR(VLOOKUP(Table_Shelter[[#This Row],[CampName]],CL,3,0),"")</f>
        <v>Open</v>
      </c>
      <c r="U204" s="265">
        <f>IFERROR(Table_Shelter[[#This Row],[HH Covered]]/VLOOKUP(Table_Shelter[[#This Row],[CampName]],CL,5,0),"")</f>
        <v>1.2546583850931676</v>
      </c>
      <c r="V204" s="265" t="s">
        <v>1305</v>
      </c>
      <c r="W204" s="175"/>
    </row>
    <row r="205" spans="1:23" ht="15" customHeight="1" x14ac:dyDescent="0.25">
      <c r="A205" s="580"/>
      <c r="B205" s="173" t="s">
        <v>452</v>
      </c>
      <c r="C205" s="173"/>
      <c r="D205" s="173" t="s">
        <v>380</v>
      </c>
      <c r="E205" s="345" t="s">
        <v>151</v>
      </c>
      <c r="F205" s="173" t="s">
        <v>188</v>
      </c>
      <c r="G205" s="107">
        <v>1</v>
      </c>
      <c r="H205" s="107"/>
      <c r="I205" s="107"/>
      <c r="J205" s="109">
        <v>150</v>
      </c>
      <c r="K205" s="107"/>
      <c r="L205" s="173"/>
      <c r="M205" s="173"/>
      <c r="N205" s="173"/>
      <c r="O205" s="173"/>
      <c r="P205" s="149">
        <f>IF(Table_Shelter[[#This Row],[Status]]="Open",IF(V205="NO",Table_Shelter[[#This Row],[HH per Shelter]]*(Table_Shelter[[#This Row],['# of Temporary Shelter Units Built]]+Table_Shelter[[#This Row],['# of Temporary Shelter Under  Construction]]+Table_Shelter[[#This Row],['# of Permanent House Under Construction]]),0),0)</f>
        <v>0</v>
      </c>
      <c r="Q205" s="106"/>
      <c r="R205" s="173"/>
      <c r="S205" s="174" t="str">
        <f>IFERROR(VLOOKUP(Table_Shelter[[#This Row],[CampName]],CL,2,0),"")</f>
        <v>MMR001CMP129</v>
      </c>
      <c r="T205" s="174" t="str">
        <f>IFERROR(VLOOKUP(Table_Shelter[[#This Row],[CampName]],CL,3,0),"")</f>
        <v>Open</v>
      </c>
      <c r="U205" s="265">
        <f>IFERROR(Table_Shelter[[#This Row],[HH Covered]]/VLOOKUP(Table_Shelter[[#This Row],[CampName]],CL,5,0),"")</f>
        <v>0</v>
      </c>
      <c r="V205" s="265" t="s">
        <v>1305</v>
      </c>
      <c r="W205" s="175"/>
    </row>
    <row r="206" spans="1:23" ht="15" customHeight="1" x14ac:dyDescent="0.25">
      <c r="A206" s="580"/>
      <c r="B206" s="173" t="s">
        <v>453</v>
      </c>
      <c r="C206" s="173" t="s">
        <v>505</v>
      </c>
      <c r="D206" s="173" t="s">
        <v>380</v>
      </c>
      <c r="E206" s="345" t="s">
        <v>27</v>
      </c>
      <c r="F206" s="173" t="s">
        <v>28</v>
      </c>
      <c r="G206" s="107">
        <v>1</v>
      </c>
      <c r="H206" s="107"/>
      <c r="I206" s="107"/>
      <c r="J206" s="107">
        <v>82</v>
      </c>
      <c r="K206" s="107">
        <v>82</v>
      </c>
      <c r="L206" s="173"/>
      <c r="M206" s="173"/>
      <c r="N206" s="173"/>
      <c r="O206" s="173"/>
      <c r="P206" s="149">
        <f>IF(Table_Shelter[[#This Row],[Status]]="Open",IF(V206="NO",Table_Shelter[[#This Row],[HH per Shelter]]*(Table_Shelter[[#This Row],['# of Temporary Shelter Units Built]]+Table_Shelter[[#This Row],['# of Temporary Shelter Under  Construction]]+Table_Shelter[[#This Row],['# of Permanent House Under Construction]]),0),0)</f>
        <v>82</v>
      </c>
      <c r="Q206" s="106"/>
      <c r="R206" s="173"/>
      <c r="S206" s="174" t="str">
        <f>IFERROR(VLOOKUP(Table_Shelter[[#This Row],[CampName]],CL,2,0),"")</f>
        <v>MMR001CMP042</v>
      </c>
      <c r="T206" s="174" t="str">
        <f>IFERROR(VLOOKUP(Table_Shelter[[#This Row],[CampName]],CL,3,0),"")</f>
        <v>Open</v>
      </c>
      <c r="U206" s="265">
        <f>IFERROR(Table_Shelter[[#This Row],[HH Covered]]/VLOOKUP(Table_Shelter[[#This Row],[CampName]],CL,5,0),"")</f>
        <v>0.74545454545454548</v>
      </c>
      <c r="V206" s="265" t="s">
        <v>1305</v>
      </c>
      <c r="W206" s="175"/>
    </row>
    <row r="207" spans="1:23" ht="15" customHeight="1" x14ac:dyDescent="0.25">
      <c r="A207" s="580"/>
      <c r="B207" s="173" t="s">
        <v>452</v>
      </c>
      <c r="C207" s="173" t="s">
        <v>505</v>
      </c>
      <c r="D207" s="180" t="s">
        <v>380</v>
      </c>
      <c r="E207" s="345" t="s">
        <v>27</v>
      </c>
      <c r="F207" s="173" t="s">
        <v>1103</v>
      </c>
      <c r="G207" s="107">
        <v>1</v>
      </c>
      <c r="H207" s="107"/>
      <c r="I207" s="107"/>
      <c r="J207" s="107">
        <v>20</v>
      </c>
      <c r="K207" s="107">
        <v>20</v>
      </c>
      <c r="L207" s="173"/>
      <c r="M207" s="173"/>
      <c r="N207" s="173"/>
      <c r="O207" s="173"/>
      <c r="P207" s="108">
        <f>IF(Table_Shelter[[#This Row],[Status]]="Open",IF(V207="NO",Table_Shelter[[#This Row],[HH per Shelter]]*(Table_Shelter[[#This Row],['# of Temporary Shelter Units Built]]+Table_Shelter[[#This Row],['# of Temporary Shelter Under  Construction]]+Table_Shelter[[#This Row],['# of Permanent House Under Construction]]),0),0)</f>
        <v>20</v>
      </c>
      <c r="Q207" s="106"/>
      <c r="R207" s="106"/>
      <c r="S207" s="108" t="str">
        <f>IFERROR(VLOOKUP(Table_Shelter[[#This Row],[CampName]],CL,2,0),"")</f>
        <v>MMR001CMP042</v>
      </c>
      <c r="T207" s="108" t="str">
        <f>IFERROR(VLOOKUP(Table_Shelter[[#This Row],[CampName]],CL,3,0),"")</f>
        <v>Open</v>
      </c>
      <c r="U207" s="265">
        <f>IFERROR(Table_Shelter[[#This Row],[HH Covered]]/VLOOKUP(Table_Shelter[[#This Row],[CampName]],CL,5,0),"")</f>
        <v>0.18181818181818182</v>
      </c>
      <c r="V207" s="265" t="s">
        <v>1305</v>
      </c>
      <c r="W207" s="108"/>
    </row>
    <row r="208" spans="1:23" ht="15" customHeight="1" x14ac:dyDescent="0.25">
      <c r="A208" s="580"/>
      <c r="B208" s="173" t="s">
        <v>862</v>
      </c>
      <c r="C208" s="173"/>
      <c r="D208" s="173" t="s">
        <v>380</v>
      </c>
      <c r="E208" s="345" t="s">
        <v>527</v>
      </c>
      <c r="F208" s="173" t="s">
        <v>76</v>
      </c>
      <c r="G208" s="107">
        <v>1</v>
      </c>
      <c r="H208" s="107">
        <v>5</v>
      </c>
      <c r="I208" s="107">
        <v>5</v>
      </c>
      <c r="J208" s="107"/>
      <c r="K208" s="107"/>
      <c r="L208" s="173"/>
      <c r="M208" s="173"/>
      <c r="N208" s="173"/>
      <c r="O208" s="173"/>
      <c r="P208" s="149">
        <f>IF(Table_Shelter[[#This Row],[Status]]="Open",IF(V208="NO",Table_Shelter[[#This Row],[HH per Shelter]]*(Table_Shelter[[#This Row],['# of Temporary Shelter Units Built]]+Table_Shelter[[#This Row],['# of Temporary Shelter Under  Construction]]+Table_Shelter[[#This Row],['# of Permanent House Under Construction]]),0),0)</f>
        <v>0</v>
      </c>
      <c r="Q208" s="106"/>
      <c r="R208" s="173"/>
      <c r="S208" s="174" t="str">
        <f>IFERROR(VLOOKUP(Table_Shelter[[#This Row],[CampName]],CL,2,0),"")</f>
        <v>MMR001CMP174</v>
      </c>
      <c r="T208" s="174" t="str">
        <f>IFERROR(VLOOKUP(Table_Shelter[[#This Row],[CampName]],CL,3,0),"")</f>
        <v>Open</v>
      </c>
      <c r="U208" s="265">
        <f>IFERROR(Table_Shelter[[#This Row],[HH Covered]]/VLOOKUP(Table_Shelter[[#This Row],[CampName]],CL,5,0),"")</f>
        <v>0</v>
      </c>
      <c r="V208" s="265" t="s">
        <v>1305</v>
      </c>
      <c r="W208" s="175"/>
    </row>
    <row r="209" spans="1:23" ht="15" customHeight="1" x14ac:dyDescent="0.25">
      <c r="A209" s="647"/>
      <c r="B209" s="107" t="s">
        <v>452</v>
      </c>
      <c r="C209" s="107" t="s">
        <v>505</v>
      </c>
      <c r="D209" s="180" t="s">
        <v>380</v>
      </c>
      <c r="E209" s="181" t="s">
        <v>527</v>
      </c>
      <c r="F209" s="107" t="s">
        <v>76</v>
      </c>
      <c r="G209" s="107">
        <v>1</v>
      </c>
      <c r="H209" s="109"/>
      <c r="I209" s="109"/>
      <c r="J209" s="109">
        <v>10</v>
      </c>
      <c r="K209" s="109">
        <v>10</v>
      </c>
      <c r="L209" s="109"/>
      <c r="M209" s="109"/>
      <c r="N209" s="109"/>
      <c r="O209" s="109"/>
      <c r="P209" s="108">
        <f>IF(Table_Shelter[[#This Row],[Status]]="Open",IF(V209="NO",Table_Shelter[[#This Row],[HH per Shelter]]*(Table_Shelter[[#This Row],['# of Temporary Shelter Units Built]]+Table_Shelter[[#This Row],['# of Temporary Shelter Under  Construction]]+Table_Shelter[[#This Row],['# of Permanent House Under Construction]]),0),0)</f>
        <v>10</v>
      </c>
      <c r="Q209" s="108"/>
      <c r="R209" s="108"/>
      <c r="S209" s="108" t="str">
        <f>IFERROR(VLOOKUP(Table_Shelter[[#This Row],[CampName]],CL,2,0),"")</f>
        <v>MMR001CMP174</v>
      </c>
      <c r="T209" s="108" t="str">
        <f>IFERROR(VLOOKUP(Table_Shelter[[#This Row],[CampName]],CL,3,0),"")</f>
        <v>Open</v>
      </c>
      <c r="U209" s="266">
        <f>IFERROR(Table_Shelter[[#This Row],[HH Covered]]/VLOOKUP(Table_Shelter[[#This Row],[CampName]],CL,5,0),"")</f>
        <v>0.15151515151515152</v>
      </c>
      <c r="V209" s="265" t="s">
        <v>1305</v>
      </c>
      <c r="W209" s="108"/>
    </row>
    <row r="210" spans="1:23" ht="15" customHeight="1" x14ac:dyDescent="0.25">
      <c r="A210" s="580"/>
      <c r="B210" s="173" t="s">
        <v>452</v>
      </c>
      <c r="C210" s="173"/>
      <c r="D210" s="173" t="s">
        <v>380</v>
      </c>
      <c r="E210" s="345" t="s">
        <v>237</v>
      </c>
      <c r="F210" s="173" t="s">
        <v>243</v>
      </c>
      <c r="G210" s="107">
        <v>1</v>
      </c>
      <c r="H210" s="107"/>
      <c r="I210" s="107"/>
      <c r="J210" s="107">
        <v>3</v>
      </c>
      <c r="K210" s="107">
        <v>3</v>
      </c>
      <c r="L210" s="173"/>
      <c r="M210" s="173"/>
      <c r="N210" s="173"/>
      <c r="O210" s="173"/>
      <c r="P210" s="149">
        <f>IF(Table_Shelter[[#This Row],[Status]]="Open",IF(V210="NO",Table_Shelter[[#This Row],[HH per Shelter]]*(Table_Shelter[[#This Row],['# of Temporary Shelter Units Built]]+Table_Shelter[[#This Row],['# of Temporary Shelter Under  Construction]]+Table_Shelter[[#This Row],['# of Permanent House Under Construction]]),0),0)</f>
        <v>3</v>
      </c>
      <c r="Q210" s="106"/>
      <c r="R210" s="173"/>
      <c r="S210" s="174" t="str">
        <f>IFERROR(VLOOKUP(Table_Shelter[[#This Row],[CampName]],CL,2,0),"")</f>
        <v>MMR001CMP012</v>
      </c>
      <c r="T210" s="174" t="str">
        <f>IFERROR(VLOOKUP(Table_Shelter[[#This Row],[CampName]],CL,3,0),"")</f>
        <v>Open</v>
      </c>
      <c r="U210" s="265">
        <f>IFERROR(Table_Shelter[[#This Row],[HH Covered]]/VLOOKUP(Table_Shelter[[#This Row],[CampName]],CL,5,0),"")</f>
        <v>0.5</v>
      </c>
      <c r="V210" s="265" t="s">
        <v>1305</v>
      </c>
      <c r="W210" s="175"/>
    </row>
    <row r="211" spans="1:23" ht="15" customHeight="1" x14ac:dyDescent="0.25">
      <c r="A211" s="580"/>
      <c r="B211" s="173" t="s">
        <v>452</v>
      </c>
      <c r="C211" s="173"/>
      <c r="D211" s="173" t="s">
        <v>380</v>
      </c>
      <c r="E211" s="345" t="s">
        <v>237</v>
      </c>
      <c r="F211" s="173" t="s">
        <v>245</v>
      </c>
      <c r="G211" s="107">
        <v>1</v>
      </c>
      <c r="H211" s="107"/>
      <c r="I211" s="107"/>
      <c r="J211" s="107">
        <v>6</v>
      </c>
      <c r="K211" s="107">
        <v>6</v>
      </c>
      <c r="L211" s="173"/>
      <c r="M211" s="173"/>
      <c r="N211" s="173"/>
      <c r="O211" s="173"/>
      <c r="P211" s="149">
        <f>IF(Table_Shelter[[#This Row],[Status]]="Open",IF(V211="NO",Table_Shelter[[#This Row],[HH per Shelter]]*(Table_Shelter[[#This Row],['# of Temporary Shelter Units Built]]+Table_Shelter[[#This Row],['# of Temporary Shelter Under  Construction]]+Table_Shelter[[#This Row],['# of Permanent House Under Construction]]),0),0)</f>
        <v>6</v>
      </c>
      <c r="Q211" s="106"/>
      <c r="R211" s="173"/>
      <c r="S211" s="174" t="str">
        <f>IFERROR(VLOOKUP(Table_Shelter[[#This Row],[CampName]],CL,2,0),"")</f>
        <v>MMR001CMP010</v>
      </c>
      <c r="T211" s="174" t="str">
        <f>IFERROR(VLOOKUP(Table_Shelter[[#This Row],[CampName]],CL,3,0),"")</f>
        <v>Open</v>
      </c>
      <c r="U211" s="265">
        <f>IFERROR(Table_Shelter[[#This Row],[HH Covered]]/VLOOKUP(Table_Shelter[[#This Row],[CampName]],CL,5,0),"")</f>
        <v>1</v>
      </c>
      <c r="V211" s="265" t="s">
        <v>1305</v>
      </c>
      <c r="W211" s="175"/>
    </row>
    <row r="212" spans="1:23" ht="15" customHeight="1" x14ac:dyDescent="0.25">
      <c r="A212" s="580"/>
      <c r="B212" s="173" t="s">
        <v>452</v>
      </c>
      <c r="C212" s="173"/>
      <c r="D212" s="173" t="s">
        <v>380</v>
      </c>
      <c r="E212" s="345" t="s">
        <v>237</v>
      </c>
      <c r="F212" s="173" t="s">
        <v>247</v>
      </c>
      <c r="G212" s="107">
        <v>1</v>
      </c>
      <c r="H212" s="107"/>
      <c r="I212" s="107"/>
      <c r="J212" s="109">
        <v>3</v>
      </c>
      <c r="K212" s="107">
        <v>3</v>
      </c>
      <c r="L212" s="173"/>
      <c r="M212" s="173"/>
      <c r="N212" s="173"/>
      <c r="O212" s="173"/>
      <c r="P212" s="149">
        <f>IF(Table_Shelter[[#This Row],[Status]]="Open",IF(V212="NO",Table_Shelter[[#This Row],[HH per Shelter]]*(Table_Shelter[[#This Row],['# of Temporary Shelter Units Built]]+Table_Shelter[[#This Row],['# of Temporary Shelter Under  Construction]]+Table_Shelter[[#This Row],['# of Permanent House Under Construction]]),0),0)</f>
        <v>3</v>
      </c>
      <c r="Q212" s="106"/>
      <c r="R212" s="173"/>
      <c r="S212" s="174" t="str">
        <f>IFERROR(VLOOKUP(Table_Shelter[[#This Row],[CampName]],CL,2,0),"")</f>
        <v>MMR001CMP011</v>
      </c>
      <c r="T212" s="174" t="str">
        <f>IFERROR(VLOOKUP(Table_Shelter[[#This Row],[CampName]],CL,3,0),"")</f>
        <v>Open</v>
      </c>
      <c r="U212" s="265">
        <f>IFERROR(Table_Shelter[[#This Row],[HH Covered]]/VLOOKUP(Table_Shelter[[#This Row],[CampName]],CL,5,0),"")</f>
        <v>0.15</v>
      </c>
      <c r="V212" s="265" t="s">
        <v>1305</v>
      </c>
      <c r="W212" s="175"/>
    </row>
    <row r="213" spans="1:23" ht="15" customHeight="1" x14ac:dyDescent="0.25">
      <c r="A213" s="580"/>
      <c r="B213" s="173" t="s">
        <v>452</v>
      </c>
      <c r="C213" s="173" t="s">
        <v>506</v>
      </c>
      <c r="D213" s="176" t="s">
        <v>380</v>
      </c>
      <c r="E213" s="345" t="s">
        <v>185</v>
      </c>
      <c r="F213" s="173" t="s">
        <v>192</v>
      </c>
      <c r="G213" s="107">
        <v>1</v>
      </c>
      <c r="H213" s="107"/>
      <c r="I213" s="107"/>
      <c r="J213" s="107">
        <v>123</v>
      </c>
      <c r="K213" s="107">
        <v>123</v>
      </c>
      <c r="L213" s="173"/>
      <c r="M213" s="173"/>
      <c r="N213" s="173"/>
      <c r="O213" s="173"/>
      <c r="P213" s="149">
        <f>IF(Table_Shelter[[#This Row],[Status]]="Open",IF(V213="NO",Table_Shelter[[#This Row],[HH per Shelter]]*(Table_Shelter[[#This Row],['# of Temporary Shelter Units Built]]+Table_Shelter[[#This Row],['# of Temporary Shelter Under  Construction]]+Table_Shelter[[#This Row],['# of Permanent House Under Construction]]),0),0)</f>
        <v>123</v>
      </c>
      <c r="Q213" s="106"/>
      <c r="R213" s="173"/>
      <c r="S213" s="174" t="str">
        <f>IFERROR(VLOOKUP(Table_Shelter[[#This Row],[CampName]],CL,2,0),"")</f>
        <v>MMR001CMP123</v>
      </c>
      <c r="T213" s="174" t="str">
        <f>IFERROR(VLOOKUP(Table_Shelter[[#This Row],[CampName]],CL,3,0),"")</f>
        <v>Open</v>
      </c>
      <c r="U213" s="265">
        <f>IFERROR(Table_Shelter[[#This Row],[HH Covered]]/VLOOKUP(Table_Shelter[[#This Row],[CampName]],CL,5,0),"")</f>
        <v>1.128440366972477</v>
      </c>
      <c r="V213" s="265" t="s">
        <v>1305</v>
      </c>
      <c r="W213" s="175"/>
    </row>
    <row r="214" spans="1:23" ht="15" customHeight="1" x14ac:dyDescent="0.25">
      <c r="A214" s="580"/>
      <c r="B214" s="173" t="s">
        <v>452</v>
      </c>
      <c r="C214" s="173" t="s">
        <v>505</v>
      </c>
      <c r="D214" s="173" t="s">
        <v>380</v>
      </c>
      <c r="E214" s="345" t="s">
        <v>310</v>
      </c>
      <c r="F214" s="173" t="s">
        <v>313</v>
      </c>
      <c r="G214" s="107">
        <v>1</v>
      </c>
      <c r="H214" s="107"/>
      <c r="I214" s="107"/>
      <c r="J214" s="107">
        <v>45</v>
      </c>
      <c r="K214" s="107">
        <v>45</v>
      </c>
      <c r="L214" s="173"/>
      <c r="M214" s="173"/>
      <c r="N214" s="173"/>
      <c r="O214" s="173"/>
      <c r="P214" s="149">
        <f>IF(Table_Shelter[[#This Row],[Status]]="Open",IF(V214="NO",Table_Shelter[[#This Row],[HH per Shelter]]*(Table_Shelter[[#This Row],['# of Temporary Shelter Units Built]]+Table_Shelter[[#This Row],['# of Temporary Shelter Under  Construction]]+Table_Shelter[[#This Row],['# of Permanent House Under Construction]]),0),0)</f>
        <v>45</v>
      </c>
      <c r="Q214" s="106"/>
      <c r="R214" s="173"/>
      <c r="S214" s="174" t="str">
        <f>IFERROR(VLOOKUP(Table_Shelter[[#This Row],[CampName]],CL,2,0),"")</f>
        <v>MMR001CMP028</v>
      </c>
      <c r="T214" s="174" t="str">
        <f>IFERROR(VLOOKUP(Table_Shelter[[#This Row],[CampName]],CL,3,0),"")</f>
        <v>Open</v>
      </c>
      <c r="U214" s="265">
        <f>IFERROR(Table_Shelter[[#This Row],[HH Covered]]/VLOOKUP(Table_Shelter[[#This Row],[CampName]],CL,5,0),"")</f>
        <v>0.45454545454545453</v>
      </c>
      <c r="V214" s="265" t="s">
        <v>1305</v>
      </c>
      <c r="W214" s="175"/>
    </row>
    <row r="215" spans="1:23" ht="15" customHeight="1" x14ac:dyDescent="0.25">
      <c r="A215" s="580"/>
      <c r="B215" s="173" t="s">
        <v>453</v>
      </c>
      <c r="C215" s="173" t="s">
        <v>505</v>
      </c>
      <c r="D215" s="173" t="s">
        <v>380</v>
      </c>
      <c r="E215" s="345" t="s">
        <v>310</v>
      </c>
      <c r="F215" s="173" t="s">
        <v>336</v>
      </c>
      <c r="G215" s="107">
        <v>1</v>
      </c>
      <c r="H215" s="107"/>
      <c r="I215" s="107"/>
      <c r="J215" s="107">
        <v>100</v>
      </c>
      <c r="K215" s="107">
        <v>100</v>
      </c>
      <c r="L215" s="173"/>
      <c r="M215" s="173"/>
      <c r="N215" s="173"/>
      <c r="O215" s="173"/>
      <c r="P215" s="149">
        <f>IF(Table_Shelter[[#This Row],[Status]]="Open",IF(V215="NO",Table_Shelter[[#This Row],[HH per Shelter]]*(Table_Shelter[[#This Row],['# of Temporary Shelter Units Built]]+Table_Shelter[[#This Row],['# of Temporary Shelter Under  Construction]]+Table_Shelter[[#This Row],['# of Permanent House Under Construction]]),0),0)</f>
        <v>100</v>
      </c>
      <c r="Q215" s="106"/>
      <c r="R215" s="173"/>
      <c r="S215" s="174" t="str">
        <f>IFERROR(VLOOKUP(Table_Shelter[[#This Row],[CampName]],CL,2,0),"")</f>
        <v>MMR001CMP115</v>
      </c>
      <c r="T215" s="174" t="str">
        <f>IFERROR(VLOOKUP(Table_Shelter[[#This Row],[CampName]],CL,3,0),"")</f>
        <v>Open</v>
      </c>
      <c r="U215" s="265">
        <f>IFERROR(Table_Shelter[[#This Row],[HH Covered]]/VLOOKUP(Table_Shelter[[#This Row],[CampName]],CL,5,0),"")</f>
        <v>2.5</v>
      </c>
      <c r="V215" s="265" t="s">
        <v>1305</v>
      </c>
      <c r="W215" s="175"/>
    </row>
    <row r="216" spans="1:23" ht="15" customHeight="1" x14ac:dyDescent="0.25">
      <c r="A216" s="580"/>
      <c r="B216" s="173" t="s">
        <v>862</v>
      </c>
      <c r="C216" s="173"/>
      <c r="D216" s="173" t="s">
        <v>380</v>
      </c>
      <c r="E216" s="345" t="s">
        <v>527</v>
      </c>
      <c r="F216" s="173" t="s">
        <v>44</v>
      </c>
      <c r="G216" s="107">
        <v>1</v>
      </c>
      <c r="H216" s="107">
        <v>20</v>
      </c>
      <c r="I216" s="107">
        <v>20</v>
      </c>
      <c r="J216" s="107"/>
      <c r="K216" s="107"/>
      <c r="L216" s="173"/>
      <c r="M216" s="173"/>
      <c r="N216" s="173"/>
      <c r="O216" s="173"/>
      <c r="P216" s="149">
        <f>IF(Table_Shelter[[#This Row],[Status]]="Open",IF(V216="NO",Table_Shelter[[#This Row],[HH per Shelter]]*(Table_Shelter[[#This Row],['# of Temporary Shelter Units Built]]+Table_Shelter[[#This Row],['# of Temporary Shelter Under  Construction]]+Table_Shelter[[#This Row],['# of Permanent House Under Construction]]),0),0)</f>
        <v>0</v>
      </c>
      <c r="Q216" s="106"/>
      <c r="R216" s="173"/>
      <c r="S216" s="174" t="str">
        <f>IFERROR(VLOOKUP(Table_Shelter[[#This Row],[CampName]],CL,2,0),"")</f>
        <v>MMR001CMP191</v>
      </c>
      <c r="T216" s="174" t="str">
        <f>IFERROR(VLOOKUP(Table_Shelter[[#This Row],[CampName]],CL,3,0),"")</f>
        <v>Open</v>
      </c>
      <c r="U216" s="265">
        <f>IFERROR(Table_Shelter[[#This Row],[HH Covered]]/VLOOKUP(Table_Shelter[[#This Row],[CampName]],CL,5,0),"")</f>
        <v>0</v>
      </c>
      <c r="V216" s="265" t="s">
        <v>1305</v>
      </c>
      <c r="W216" s="175"/>
    </row>
    <row r="217" spans="1:23" ht="15" customHeight="1" x14ac:dyDescent="0.25">
      <c r="A217" s="580"/>
      <c r="B217" s="173" t="s">
        <v>452</v>
      </c>
      <c r="C217" s="173" t="s">
        <v>505</v>
      </c>
      <c r="D217" s="176" t="s">
        <v>380</v>
      </c>
      <c r="E217" s="345" t="s">
        <v>527</v>
      </c>
      <c r="F217" s="173" t="s">
        <v>44</v>
      </c>
      <c r="G217" s="107">
        <v>1</v>
      </c>
      <c r="H217" s="107"/>
      <c r="I217" s="107"/>
      <c r="J217" s="107">
        <v>5</v>
      </c>
      <c r="K217" s="107">
        <v>5</v>
      </c>
      <c r="L217" s="173"/>
      <c r="M217" s="173"/>
      <c r="N217" s="173"/>
      <c r="O217" s="173"/>
      <c r="P217" s="149">
        <f>IF(Table_Shelter[[#This Row],[Status]]="Open",IF(V217="NO",Table_Shelter[[#This Row],[HH per Shelter]]*(Table_Shelter[[#This Row],['# of Temporary Shelter Units Built]]+Table_Shelter[[#This Row],['# of Temporary Shelter Under  Construction]]+Table_Shelter[[#This Row],['# of Permanent House Under Construction]]),0),0)</f>
        <v>5</v>
      </c>
      <c r="Q217" s="106"/>
      <c r="R217" s="173"/>
      <c r="S217" s="174" t="str">
        <f>IFERROR(VLOOKUP(Table_Shelter[[#This Row],[CampName]],CL,2,0),"")</f>
        <v>MMR001CMP191</v>
      </c>
      <c r="T217" s="174" t="str">
        <f>IFERROR(VLOOKUP(Table_Shelter[[#This Row],[CampName]],CL,3,0),"")</f>
        <v>Open</v>
      </c>
      <c r="U217" s="265">
        <f>IFERROR(Table_Shelter[[#This Row],[HH Covered]]/VLOOKUP(Table_Shelter[[#This Row],[CampName]],CL,5,0),"")</f>
        <v>1</v>
      </c>
      <c r="V217" s="265" t="s">
        <v>1305</v>
      </c>
      <c r="W217" s="175"/>
    </row>
    <row r="218" spans="1:23" ht="15" customHeight="1" x14ac:dyDescent="0.25">
      <c r="A218" s="647"/>
      <c r="B218" s="173" t="s">
        <v>452</v>
      </c>
      <c r="C218" s="173" t="s">
        <v>460</v>
      </c>
      <c r="D218" s="176" t="s">
        <v>553</v>
      </c>
      <c r="E218" s="345" t="s">
        <v>289</v>
      </c>
      <c r="F218" s="173" t="s">
        <v>292</v>
      </c>
      <c r="G218" s="107">
        <v>1</v>
      </c>
      <c r="H218" s="109"/>
      <c r="I218" s="109"/>
      <c r="J218" s="109">
        <v>20</v>
      </c>
      <c r="K218" s="109">
        <v>20</v>
      </c>
      <c r="L218" s="175"/>
      <c r="M218" s="175"/>
      <c r="N218" s="175"/>
      <c r="O218" s="175"/>
      <c r="P218" s="108">
        <f>IF(Table_Shelter[[#This Row],[Status]]="Open",IF(V218="NO",Table_Shelter[[#This Row],[HH per Shelter]]*(Table_Shelter[[#This Row],['# of Temporary Shelter Units Built]]+Table_Shelter[[#This Row],['# of Temporary Shelter Under  Construction]]+Table_Shelter[[#This Row],['# of Permanent House Under Construction]]),0),0)</f>
        <v>20</v>
      </c>
      <c r="Q218" s="108"/>
      <c r="R218" s="175"/>
      <c r="S218" s="175" t="str">
        <f>IFERROR(VLOOKUP(Table_Shelter[[#This Row],[CampName]],CL,2,0),"")</f>
        <v>MMR015CMP004</v>
      </c>
      <c r="T218" s="175" t="str">
        <f>IFERROR(VLOOKUP(Table_Shelter[[#This Row],[CampName]],CL,3,0),"")</f>
        <v>Open</v>
      </c>
      <c r="U218" s="265">
        <f>IFERROR(Table_Shelter[[#This Row],[HH Covered]]/VLOOKUP(Table_Shelter[[#This Row],[CampName]],CL,5,0),"")</f>
        <v>0.26666666666666666</v>
      </c>
      <c r="V218" s="265" t="s">
        <v>1305</v>
      </c>
      <c r="W218" s="175"/>
    </row>
    <row r="219" spans="1:23" ht="15" customHeight="1" x14ac:dyDescent="0.25">
      <c r="A219" s="580"/>
      <c r="B219" s="173" t="s">
        <v>453</v>
      </c>
      <c r="C219" s="173" t="s">
        <v>506</v>
      </c>
      <c r="D219" s="176" t="s">
        <v>380</v>
      </c>
      <c r="E219" s="345" t="s">
        <v>185</v>
      </c>
      <c r="F219" s="173" t="s">
        <v>194</v>
      </c>
      <c r="G219" s="107">
        <v>1</v>
      </c>
      <c r="H219" s="107"/>
      <c r="I219" s="107"/>
      <c r="J219" s="107">
        <v>338</v>
      </c>
      <c r="K219" s="107">
        <v>338</v>
      </c>
      <c r="L219" s="173"/>
      <c r="M219" s="173"/>
      <c r="N219" s="173"/>
      <c r="O219" s="173"/>
      <c r="P219" s="149">
        <f>IF(Table_Shelter[[#This Row],[Status]]="Open",IF(V219="NO",Table_Shelter[[#This Row],[HH per Shelter]]*(Table_Shelter[[#This Row],['# of Temporary Shelter Units Built]]+Table_Shelter[[#This Row],['# of Temporary Shelter Under  Construction]]+Table_Shelter[[#This Row],['# of Permanent House Under Construction]]),0),0)</f>
        <v>338</v>
      </c>
      <c r="Q219" s="106"/>
      <c r="R219" s="173"/>
      <c r="S219" s="174" t="str">
        <f>IFERROR(VLOOKUP(Table_Shelter[[#This Row],[CampName]],CL,2,0),"")</f>
        <v>MMR001CMP122</v>
      </c>
      <c r="T219" s="174" t="str">
        <f>IFERROR(VLOOKUP(Table_Shelter[[#This Row],[CampName]],CL,3,0),"")</f>
        <v>Open</v>
      </c>
      <c r="U219" s="265">
        <f>IFERROR(Table_Shelter[[#This Row],[HH Covered]]/VLOOKUP(Table_Shelter[[#This Row],[CampName]],CL,5,0),"")</f>
        <v>0.5273010920436817</v>
      </c>
      <c r="V219" s="265" t="s">
        <v>1305</v>
      </c>
      <c r="W219" s="175"/>
    </row>
    <row r="220" spans="1:23" ht="15" customHeight="1" x14ac:dyDescent="0.25">
      <c r="A220" s="580"/>
      <c r="B220" s="173" t="s">
        <v>846</v>
      </c>
      <c r="C220" s="173"/>
      <c r="D220" s="173" t="s">
        <v>380</v>
      </c>
      <c r="E220" s="345" t="s">
        <v>5</v>
      </c>
      <c r="F220" s="173" t="s">
        <v>14</v>
      </c>
      <c r="G220" s="107">
        <v>1</v>
      </c>
      <c r="H220" s="107"/>
      <c r="I220" s="107"/>
      <c r="J220" s="107">
        <v>38</v>
      </c>
      <c r="K220" s="107">
        <v>38</v>
      </c>
      <c r="L220" s="173"/>
      <c r="M220" s="173"/>
      <c r="N220" s="173"/>
      <c r="O220" s="173"/>
      <c r="P220" s="149">
        <f>IF(Table_Shelter[[#This Row],[Status]]="Open",IF(V220="NO",Table_Shelter[[#This Row],[HH per Shelter]]*(Table_Shelter[[#This Row],['# of Temporary Shelter Units Built]]+Table_Shelter[[#This Row],['# of Temporary Shelter Under  Construction]]+Table_Shelter[[#This Row],['# of Permanent House Under Construction]]),0),0)</f>
        <v>38</v>
      </c>
      <c r="Q220" s="106"/>
      <c r="R220" s="173"/>
      <c r="S220" s="174" t="str">
        <f>IFERROR(VLOOKUP(Table_Shelter[[#This Row],[CampName]],CL,2,0),"")</f>
        <v>MMR001CMP052</v>
      </c>
      <c r="T220" s="174" t="str">
        <f>IFERROR(VLOOKUP(Table_Shelter[[#This Row],[CampName]],CL,3,0),"")</f>
        <v>Open</v>
      </c>
      <c r="U220" s="265">
        <f>IFERROR(Table_Shelter[[#This Row],[HH Covered]]/VLOOKUP(Table_Shelter[[#This Row],[CampName]],CL,5,0),"")</f>
        <v>1</v>
      </c>
      <c r="V220" s="265" t="s">
        <v>1305</v>
      </c>
      <c r="W220" s="175"/>
    </row>
    <row r="221" spans="1:23" ht="15" customHeight="1" x14ac:dyDescent="0.25">
      <c r="A221" s="580"/>
      <c r="B221" s="173" t="s">
        <v>452</v>
      </c>
      <c r="C221" s="173"/>
      <c r="D221" s="173" t="s">
        <v>380</v>
      </c>
      <c r="E221" s="345" t="s">
        <v>5</v>
      </c>
      <c r="F221" s="173" t="s">
        <v>14</v>
      </c>
      <c r="G221" s="107">
        <v>1</v>
      </c>
      <c r="H221" s="107"/>
      <c r="I221" s="107"/>
      <c r="J221" s="107">
        <v>5</v>
      </c>
      <c r="K221" s="107"/>
      <c r="L221" s="173"/>
      <c r="M221" s="173"/>
      <c r="N221" s="173"/>
      <c r="O221" s="173"/>
      <c r="P221" s="149">
        <f>IF(Table_Shelter[[#This Row],[Status]]="Open",IF(V221="NO",Table_Shelter[[#This Row],[HH per Shelter]]*(Table_Shelter[[#This Row],['# of Temporary Shelter Units Built]]+Table_Shelter[[#This Row],['# of Temporary Shelter Under  Construction]]+Table_Shelter[[#This Row],['# of Permanent House Under Construction]]),0),0)</f>
        <v>0</v>
      </c>
      <c r="Q221" s="106"/>
      <c r="R221" s="173"/>
      <c r="S221" s="174" t="str">
        <f>IFERROR(VLOOKUP(Table_Shelter[[#This Row],[CampName]],CL,2,0),"")</f>
        <v>MMR001CMP052</v>
      </c>
      <c r="T221" s="174" t="str">
        <f>IFERROR(VLOOKUP(Table_Shelter[[#This Row],[CampName]],CL,3,0),"")</f>
        <v>Open</v>
      </c>
      <c r="U221" s="265">
        <f>IFERROR(Table_Shelter[[#This Row],[HH Covered]]/VLOOKUP(Table_Shelter[[#This Row],[CampName]],CL,5,0),"")</f>
        <v>0</v>
      </c>
      <c r="V221" s="265" t="s">
        <v>1305</v>
      </c>
      <c r="W221" s="175"/>
    </row>
    <row r="222" spans="1:23" ht="15" customHeight="1" x14ac:dyDescent="0.25">
      <c r="A222" s="580"/>
      <c r="B222" s="173" t="s">
        <v>847</v>
      </c>
      <c r="C222" s="173" t="s">
        <v>506</v>
      </c>
      <c r="D222" s="173" t="s">
        <v>380</v>
      </c>
      <c r="E222" s="345" t="s">
        <v>237</v>
      </c>
      <c r="F222" s="173" t="s">
        <v>253</v>
      </c>
      <c r="G222" s="107">
        <v>1</v>
      </c>
      <c r="H222" s="107"/>
      <c r="I222" s="107"/>
      <c r="J222" s="107">
        <v>20</v>
      </c>
      <c r="K222" s="107">
        <v>20</v>
      </c>
      <c r="L222" s="173"/>
      <c r="M222" s="173"/>
      <c r="N222" s="173"/>
      <c r="O222" s="173"/>
      <c r="P222" s="149">
        <f>IF(Table_Shelter[[#This Row],[Status]]="Open",IF(V222="NO",Table_Shelter[[#This Row],[HH per Shelter]]*(Table_Shelter[[#This Row],['# of Temporary Shelter Units Built]]+Table_Shelter[[#This Row],['# of Temporary Shelter Under  Construction]]+Table_Shelter[[#This Row],['# of Permanent House Under Construction]]),0),0)</f>
        <v>20</v>
      </c>
      <c r="Q222" s="106"/>
      <c r="R222" s="173"/>
      <c r="S222" s="174" t="str">
        <f>IFERROR(VLOOKUP(Table_Shelter[[#This Row],[CampName]],CL,2,0),"")</f>
        <v>MMR001CMP018</v>
      </c>
      <c r="T222" s="174" t="str">
        <f>IFERROR(VLOOKUP(Table_Shelter[[#This Row],[CampName]],CL,3,0),"")</f>
        <v>Open</v>
      </c>
      <c r="U222" s="265">
        <f>IFERROR(Table_Shelter[[#This Row],[HH Covered]]/VLOOKUP(Table_Shelter[[#This Row],[CampName]],CL,5,0),"")</f>
        <v>9.7560975609756101E-2</v>
      </c>
      <c r="V222" s="265" t="s">
        <v>1305</v>
      </c>
      <c r="W222" s="175"/>
    </row>
    <row r="223" spans="1:23" ht="15" customHeight="1" x14ac:dyDescent="0.25">
      <c r="A223" s="647"/>
      <c r="B223" s="173" t="s">
        <v>453</v>
      </c>
      <c r="C223" s="173" t="s">
        <v>460</v>
      </c>
      <c r="D223" s="176" t="s">
        <v>553</v>
      </c>
      <c r="E223" s="345" t="s">
        <v>289</v>
      </c>
      <c r="F223" s="173" t="s">
        <v>290</v>
      </c>
      <c r="G223" s="107">
        <v>1</v>
      </c>
      <c r="H223" s="109"/>
      <c r="I223" s="109"/>
      <c r="J223" s="109">
        <v>30</v>
      </c>
      <c r="K223" s="109">
        <v>30</v>
      </c>
      <c r="L223" s="175"/>
      <c r="M223" s="175"/>
      <c r="N223" s="175"/>
      <c r="O223" s="175"/>
      <c r="P223" s="108">
        <f>IF(Table_Shelter[[#This Row],[Status]]="Open",IF(V223="NO",Table_Shelter[[#This Row],[HH per Shelter]]*(Table_Shelter[[#This Row],['# of Temporary Shelter Units Built]]+Table_Shelter[[#This Row],['# of Temporary Shelter Under  Construction]]+Table_Shelter[[#This Row],['# of Permanent House Under Construction]]),0),0)</f>
        <v>30</v>
      </c>
      <c r="Q223" s="108"/>
      <c r="R223" s="175"/>
      <c r="S223" s="175" t="str">
        <f>IFERROR(VLOOKUP(Table_Shelter[[#This Row],[CampName]],CL,2,0),"")</f>
        <v>MMR015CMP001</v>
      </c>
      <c r="T223" s="175" t="str">
        <f>IFERROR(VLOOKUP(Table_Shelter[[#This Row],[CampName]],CL,3,0),"")</f>
        <v>Open</v>
      </c>
      <c r="U223" s="265">
        <f>IFERROR(Table_Shelter[[#This Row],[HH Covered]]/VLOOKUP(Table_Shelter[[#This Row],[CampName]],CL,5,0),"")</f>
        <v>0.43478260869565216</v>
      </c>
      <c r="V223" s="265" t="s">
        <v>1305</v>
      </c>
      <c r="W223" s="175"/>
    </row>
    <row r="224" spans="1:23" ht="15" customHeight="1" x14ac:dyDescent="0.25">
      <c r="A224" s="580"/>
      <c r="B224" s="173" t="s">
        <v>452</v>
      </c>
      <c r="C224" s="173"/>
      <c r="D224" s="173" t="s">
        <v>380</v>
      </c>
      <c r="E224" s="345" t="s">
        <v>237</v>
      </c>
      <c r="F224" s="173" t="s">
        <v>253</v>
      </c>
      <c r="G224" s="107">
        <v>1</v>
      </c>
      <c r="H224" s="107"/>
      <c r="I224" s="107"/>
      <c r="J224" s="107">
        <v>50</v>
      </c>
      <c r="K224" s="107">
        <v>50</v>
      </c>
      <c r="L224" s="173"/>
      <c r="M224" s="173"/>
      <c r="N224" s="173"/>
      <c r="O224" s="173"/>
      <c r="P224" s="149">
        <f>IF(Table_Shelter[[#This Row],[Status]]="Open",IF(V224="NO",Table_Shelter[[#This Row],[HH per Shelter]]*(Table_Shelter[[#This Row],['# of Temporary Shelter Units Built]]+Table_Shelter[[#This Row],['# of Temporary Shelter Under  Construction]]+Table_Shelter[[#This Row],['# of Permanent House Under Construction]]),0),0)</f>
        <v>50</v>
      </c>
      <c r="Q224" s="106"/>
      <c r="R224" s="173"/>
      <c r="S224" s="174" t="str">
        <f>IFERROR(VLOOKUP(Table_Shelter[[#This Row],[CampName]],CL,2,0),"")</f>
        <v>MMR001CMP018</v>
      </c>
      <c r="T224" s="174" t="str">
        <f>IFERROR(VLOOKUP(Table_Shelter[[#This Row],[CampName]],CL,3,0),"")</f>
        <v>Open</v>
      </c>
      <c r="U224" s="265">
        <f>IFERROR(Table_Shelter[[#This Row],[HH Covered]]/VLOOKUP(Table_Shelter[[#This Row],[CampName]],CL,5,0),"")</f>
        <v>0.24390243902439024</v>
      </c>
      <c r="V224" s="265" t="s">
        <v>1305</v>
      </c>
      <c r="W224" s="175"/>
    </row>
    <row r="225" spans="1:23" ht="15" customHeight="1" x14ac:dyDescent="0.25">
      <c r="A225" s="580"/>
      <c r="B225" s="173" t="s">
        <v>592</v>
      </c>
      <c r="C225" s="173" t="s">
        <v>506</v>
      </c>
      <c r="D225" s="173" t="s">
        <v>380</v>
      </c>
      <c r="E225" s="345" t="s">
        <v>237</v>
      </c>
      <c r="F225" s="173" t="s">
        <v>255</v>
      </c>
      <c r="G225" s="107">
        <v>1</v>
      </c>
      <c r="H225" s="107"/>
      <c r="I225" s="107"/>
      <c r="J225" s="107">
        <v>60</v>
      </c>
      <c r="K225" s="107">
        <v>60</v>
      </c>
      <c r="L225" s="173"/>
      <c r="M225" s="173"/>
      <c r="N225" s="173"/>
      <c r="O225" s="173"/>
      <c r="P225" s="149">
        <f>IF(Table_Shelter[[#This Row],[Status]]="Open",IF(V225="NO",Table_Shelter[[#This Row],[HH per Shelter]]*(Table_Shelter[[#This Row],['# of Temporary Shelter Units Built]]+Table_Shelter[[#This Row],['# of Temporary Shelter Under  Construction]]+Table_Shelter[[#This Row],['# of Permanent House Under Construction]]),0),0)</f>
        <v>60</v>
      </c>
      <c r="Q225" s="106"/>
      <c r="R225" s="173"/>
      <c r="S225" s="174" t="str">
        <f>IFERROR(VLOOKUP(Table_Shelter[[#This Row],[CampName]],CL,2,0),"")</f>
        <v>MMR001CMP019</v>
      </c>
      <c r="T225" s="174" t="str">
        <f>IFERROR(VLOOKUP(Table_Shelter[[#This Row],[CampName]],CL,3,0),"")</f>
        <v>Open</v>
      </c>
      <c r="U225" s="265">
        <f>IFERROR(Table_Shelter[[#This Row],[HH Covered]]/VLOOKUP(Table_Shelter[[#This Row],[CampName]],CL,5,0),"")</f>
        <v>0.60606060606060608</v>
      </c>
      <c r="V225" s="265" t="s">
        <v>1305</v>
      </c>
      <c r="W225" s="175"/>
    </row>
    <row r="226" spans="1:23" ht="15" customHeight="1" x14ac:dyDescent="0.25">
      <c r="A226" s="580"/>
      <c r="B226" s="173" t="s">
        <v>452</v>
      </c>
      <c r="C226" s="173" t="s">
        <v>506</v>
      </c>
      <c r="D226" s="173" t="s">
        <v>380</v>
      </c>
      <c r="E226" s="345" t="s">
        <v>237</v>
      </c>
      <c r="F226" s="173" t="s">
        <v>255</v>
      </c>
      <c r="G226" s="107">
        <v>1</v>
      </c>
      <c r="H226" s="107"/>
      <c r="I226" s="107"/>
      <c r="J226" s="107">
        <v>20</v>
      </c>
      <c r="K226" s="107">
        <v>20</v>
      </c>
      <c r="L226" s="173"/>
      <c r="M226" s="173"/>
      <c r="N226" s="173"/>
      <c r="O226" s="173"/>
      <c r="P226" s="149">
        <f>IF(Table_Shelter[[#This Row],[Status]]="Open",IF(V226="NO",Table_Shelter[[#This Row],[HH per Shelter]]*(Table_Shelter[[#This Row],['# of Temporary Shelter Units Built]]+Table_Shelter[[#This Row],['# of Temporary Shelter Under  Construction]]+Table_Shelter[[#This Row],['# of Permanent House Under Construction]]),0),0)</f>
        <v>20</v>
      </c>
      <c r="Q226" s="106"/>
      <c r="R226" s="173"/>
      <c r="S226" s="174" t="str">
        <f>IFERROR(VLOOKUP(Table_Shelter[[#This Row],[CampName]],CL,2,0),"")</f>
        <v>MMR001CMP019</v>
      </c>
      <c r="T226" s="174" t="str">
        <f>IFERROR(VLOOKUP(Table_Shelter[[#This Row],[CampName]],CL,3,0),"")</f>
        <v>Open</v>
      </c>
      <c r="U226" s="265">
        <f>IFERROR(Table_Shelter[[#This Row],[HH Covered]]/VLOOKUP(Table_Shelter[[#This Row],[CampName]],CL,5,0),"")</f>
        <v>0.20202020202020202</v>
      </c>
      <c r="V226" s="265" t="s">
        <v>1305</v>
      </c>
      <c r="W226" s="175"/>
    </row>
    <row r="227" spans="1:23" ht="15" customHeight="1" x14ac:dyDescent="0.25">
      <c r="A227" s="580"/>
      <c r="B227" s="173" t="s">
        <v>453</v>
      </c>
      <c r="C227" s="173" t="s">
        <v>506</v>
      </c>
      <c r="D227" s="176" t="s">
        <v>380</v>
      </c>
      <c r="E227" s="345" t="s">
        <v>185</v>
      </c>
      <c r="F227" s="173" t="s">
        <v>196</v>
      </c>
      <c r="G227" s="107">
        <v>1</v>
      </c>
      <c r="H227" s="107"/>
      <c r="I227" s="107"/>
      <c r="J227" s="107">
        <v>700</v>
      </c>
      <c r="K227" s="107">
        <v>700</v>
      </c>
      <c r="L227" s="173"/>
      <c r="M227" s="173"/>
      <c r="N227" s="173"/>
      <c r="O227" s="173"/>
      <c r="P227" s="149">
        <f>IF(Table_Shelter[[#This Row],[Status]]="Open",IF(V227="NO",Table_Shelter[[#This Row],[HH per Shelter]]*(Table_Shelter[[#This Row],['# of Temporary Shelter Units Built]]+Table_Shelter[[#This Row],['# of Temporary Shelter Under  Construction]]+Table_Shelter[[#This Row],['# of Permanent House Under Construction]]),0),0)</f>
        <v>700</v>
      </c>
      <c r="Q227" s="106"/>
      <c r="R227" s="173"/>
      <c r="S227" s="174" t="str">
        <f>IFERROR(VLOOKUP(Table_Shelter[[#This Row],[CampName]],CL,2,0),"")</f>
        <v>MMR001CMP121</v>
      </c>
      <c r="T227" s="174" t="str">
        <f>IFERROR(VLOOKUP(Table_Shelter[[#This Row],[CampName]],CL,3,0),"")</f>
        <v>Open</v>
      </c>
      <c r="U227" s="265">
        <f>IFERROR(Table_Shelter[[#This Row],[HH Covered]]/VLOOKUP(Table_Shelter[[#This Row],[CampName]],CL,5,0),"")</f>
        <v>0.42449969678593086</v>
      </c>
      <c r="V227" s="265" t="s">
        <v>1305</v>
      </c>
      <c r="W227" s="175"/>
    </row>
    <row r="228" spans="1:23" ht="15" customHeight="1" x14ac:dyDescent="0.25">
      <c r="A228" s="580"/>
      <c r="B228" s="173" t="s">
        <v>452</v>
      </c>
      <c r="C228" s="173" t="s">
        <v>459</v>
      </c>
      <c r="D228" s="176" t="s">
        <v>380</v>
      </c>
      <c r="E228" s="345" t="s">
        <v>185</v>
      </c>
      <c r="F228" s="173" t="s">
        <v>196</v>
      </c>
      <c r="G228" s="107">
        <v>1</v>
      </c>
      <c r="H228" s="107"/>
      <c r="I228" s="107"/>
      <c r="J228" s="107">
        <v>217</v>
      </c>
      <c r="K228" s="107">
        <v>217</v>
      </c>
      <c r="L228" s="173"/>
      <c r="M228" s="173"/>
      <c r="N228" s="173"/>
      <c r="O228" s="173"/>
      <c r="P228" s="149">
        <f>IF(Table_Shelter[[#This Row],[Status]]="Open",IF(V228="NO",Table_Shelter[[#This Row],[HH per Shelter]]*(Table_Shelter[[#This Row],['# of Temporary Shelter Units Built]]+Table_Shelter[[#This Row],['# of Temporary Shelter Under  Construction]]+Table_Shelter[[#This Row],['# of Permanent House Under Construction]]),0),0)</f>
        <v>217</v>
      </c>
      <c r="Q228" s="106"/>
      <c r="R228" s="173"/>
      <c r="S228" s="174" t="str">
        <f>IFERROR(VLOOKUP(Table_Shelter[[#This Row],[CampName]],CL,2,0),"")</f>
        <v>MMR001CMP121</v>
      </c>
      <c r="T228" s="174" t="str">
        <f>IFERROR(VLOOKUP(Table_Shelter[[#This Row],[CampName]],CL,3,0),"")</f>
        <v>Open</v>
      </c>
      <c r="U228" s="265">
        <f>IFERROR(Table_Shelter[[#This Row],[HH Covered]]/VLOOKUP(Table_Shelter[[#This Row],[CampName]],CL,5,0),"")</f>
        <v>0.13159490600363857</v>
      </c>
      <c r="V228" s="265" t="s">
        <v>1305</v>
      </c>
      <c r="W228" s="175"/>
    </row>
    <row r="229" spans="1:23" ht="15" customHeight="1" x14ac:dyDescent="0.25">
      <c r="A229" s="580"/>
      <c r="B229" s="173" t="s">
        <v>1097</v>
      </c>
      <c r="C229" s="173" t="s">
        <v>944</v>
      </c>
      <c r="D229" s="176" t="s">
        <v>553</v>
      </c>
      <c r="E229" s="345" t="s">
        <v>146</v>
      </c>
      <c r="F229" s="173" t="s">
        <v>372</v>
      </c>
      <c r="G229" s="107">
        <v>1</v>
      </c>
      <c r="H229" s="107"/>
      <c r="I229" s="107"/>
      <c r="J229" s="107">
        <v>121</v>
      </c>
      <c r="K229" s="107">
        <v>121</v>
      </c>
      <c r="L229" s="173"/>
      <c r="M229" s="173"/>
      <c r="N229" s="173"/>
      <c r="O229" s="173"/>
      <c r="P229" s="149">
        <f>IF(Table_Shelter[[#This Row],[Status]]="Open",IF(V229="NO",Table_Shelter[[#This Row],[HH per Shelter]]*(Table_Shelter[[#This Row],['# of Temporary Shelter Units Built]]+Table_Shelter[[#This Row],['# of Temporary Shelter Under  Construction]]+Table_Shelter[[#This Row],['# of Permanent House Under Construction]]),0),0)</f>
        <v>121</v>
      </c>
      <c r="Q229" s="106"/>
      <c r="R229" s="173"/>
      <c r="S229" s="174" t="str">
        <f>IFERROR(VLOOKUP(Table_Shelter[[#This Row],[CampName]],CL,2,0),"")</f>
        <v>MMR015CMP015</v>
      </c>
      <c r="T229" s="174" t="str">
        <f>IFERROR(VLOOKUP(Table_Shelter[[#This Row],[CampName]],CL,3,0),"")</f>
        <v>Open</v>
      </c>
      <c r="U229" s="265">
        <f>IFERROR(Table_Shelter[[#This Row],[HH Covered]]/VLOOKUP(Table_Shelter[[#This Row],[CampName]],CL,5,0),"")</f>
        <v>1.375</v>
      </c>
      <c r="V229" s="265" t="s">
        <v>1305</v>
      </c>
      <c r="W229" s="175"/>
    </row>
    <row r="230" spans="1:23" ht="15" customHeight="1" x14ac:dyDescent="0.25">
      <c r="A230" s="647"/>
      <c r="B230" s="173" t="s">
        <v>452</v>
      </c>
      <c r="C230" s="173" t="s">
        <v>460</v>
      </c>
      <c r="D230" s="176" t="s">
        <v>553</v>
      </c>
      <c r="E230" s="345" t="s">
        <v>146</v>
      </c>
      <c r="F230" s="173" t="s">
        <v>149</v>
      </c>
      <c r="G230" s="107">
        <v>1</v>
      </c>
      <c r="H230" s="109"/>
      <c r="I230" s="109"/>
      <c r="J230" s="109">
        <v>20</v>
      </c>
      <c r="K230" s="109">
        <v>20</v>
      </c>
      <c r="L230" s="175"/>
      <c r="M230" s="175"/>
      <c r="N230" s="175"/>
      <c r="O230" s="175"/>
      <c r="P230" s="108">
        <f>IF(Table_Shelter[[#This Row],[Status]]="Open",IF(V230="NO",Table_Shelter[[#This Row],[HH per Shelter]]*(Table_Shelter[[#This Row],['# of Temporary Shelter Units Built]]+Table_Shelter[[#This Row],['# of Temporary Shelter Under  Construction]]+Table_Shelter[[#This Row],['# of Permanent House Under Construction]]),0),0)</f>
        <v>20</v>
      </c>
      <c r="Q230" s="108"/>
      <c r="R230" s="175"/>
      <c r="S230" s="175" t="str">
        <f>IFERROR(VLOOKUP(Table_Shelter[[#This Row],[CampName]],CL,2,0),"")</f>
        <v>MMR015CMP007</v>
      </c>
      <c r="T230" s="175" t="str">
        <f>IFERROR(VLOOKUP(Table_Shelter[[#This Row],[CampName]],CL,3,0),"")</f>
        <v>Open</v>
      </c>
      <c r="U230" s="265">
        <f>IFERROR(Table_Shelter[[#This Row],[HH Covered]]/VLOOKUP(Table_Shelter[[#This Row],[CampName]],CL,5,0),"")</f>
        <v>0.3125</v>
      </c>
      <c r="V230" s="265" t="s">
        <v>1305</v>
      </c>
      <c r="W230" s="175"/>
    </row>
    <row r="231" spans="1:23" ht="15" customHeight="1" x14ac:dyDescent="0.25">
      <c r="A231" s="578"/>
      <c r="B231" s="173" t="s">
        <v>846</v>
      </c>
      <c r="C231" s="173"/>
      <c r="D231" s="173" t="s">
        <v>553</v>
      </c>
      <c r="E231" s="345" t="s">
        <v>146</v>
      </c>
      <c r="F231" s="173" t="s">
        <v>369</v>
      </c>
      <c r="G231" s="107">
        <v>1</v>
      </c>
      <c r="H231" s="107"/>
      <c r="I231" s="107"/>
      <c r="J231" s="107">
        <v>80</v>
      </c>
      <c r="K231" s="107">
        <v>80</v>
      </c>
      <c r="L231" s="173"/>
      <c r="M231" s="173"/>
      <c r="N231" s="173"/>
      <c r="O231" s="173"/>
      <c r="P231" s="149">
        <f>IF(Table_Shelter[[#This Row],[Status]]="Open",IF(V231="NO",Table_Shelter[[#This Row],[HH per Shelter]]*(Table_Shelter[[#This Row],['# of Temporary Shelter Units Built]]+Table_Shelter[[#This Row],['# of Temporary Shelter Under  Construction]]+Table_Shelter[[#This Row],['# of Permanent House Under Construction]]),0),0)</f>
        <v>80</v>
      </c>
      <c r="Q231" s="106"/>
      <c r="R231" s="173"/>
      <c r="S231" s="174" t="str">
        <f>IFERROR(VLOOKUP(Table_Shelter[[#This Row],[CampName]],CL,2,0),"")</f>
        <v>MMR015CMP016</v>
      </c>
      <c r="T231" s="174" t="str">
        <f>IFERROR(VLOOKUP(Table_Shelter[[#This Row],[CampName]],CL,3,0),"")</f>
        <v>Open</v>
      </c>
      <c r="U231" s="265">
        <f>IFERROR(Table_Shelter[[#This Row],[HH Covered]]/VLOOKUP(Table_Shelter[[#This Row],[CampName]],CL,5,0),"")</f>
        <v>1.3333333333333333</v>
      </c>
      <c r="V231" s="265" t="s">
        <v>1305</v>
      </c>
      <c r="W231" s="175"/>
    </row>
    <row r="232" spans="1:23" ht="15" customHeight="1" x14ac:dyDescent="0.25">
      <c r="A232" s="647"/>
      <c r="B232" s="175" t="s">
        <v>846</v>
      </c>
      <c r="C232" s="175"/>
      <c r="D232" s="175" t="s">
        <v>553</v>
      </c>
      <c r="E232" s="179" t="s">
        <v>146</v>
      </c>
      <c r="F232" s="175" t="s">
        <v>370</v>
      </c>
      <c r="G232" s="109">
        <v>1</v>
      </c>
      <c r="H232" s="109"/>
      <c r="I232" s="109"/>
      <c r="J232" s="109">
        <v>48</v>
      </c>
      <c r="K232" s="109">
        <v>48</v>
      </c>
      <c r="L232" s="175"/>
      <c r="M232" s="175"/>
      <c r="N232" s="175"/>
      <c r="O232" s="175"/>
      <c r="P232" s="149">
        <f>IF(Table_Shelter[[#This Row],[Status]]="Open",IF(V232="NO",Table_Shelter[[#This Row],[HH per Shelter]]*(Table_Shelter[[#This Row],['# of Temporary Shelter Units Built]]+Table_Shelter[[#This Row],['# of Temporary Shelter Under  Construction]]+Table_Shelter[[#This Row],['# of Permanent House Under Construction]]),0),0)</f>
        <v>48</v>
      </c>
      <c r="Q232" s="108"/>
      <c r="R232" s="175"/>
      <c r="S232" s="174" t="str">
        <f>IFERROR(VLOOKUP(Table_Shelter[[#This Row],[CampName]],CL,2,0),"")</f>
        <v>MMR015CMP017</v>
      </c>
      <c r="T232" s="174" t="str">
        <f>IFERROR(VLOOKUP(Table_Shelter[[#This Row],[CampName]],CL,3,0),"")</f>
        <v>Open</v>
      </c>
      <c r="U232" s="265">
        <f>IFERROR(Table_Shelter[[#This Row],[HH Covered]]/VLOOKUP(Table_Shelter[[#This Row],[CampName]],CL,5,0),"")</f>
        <v>1.6</v>
      </c>
      <c r="V232" s="265" t="s">
        <v>1305</v>
      </c>
      <c r="W232" s="175"/>
    </row>
    <row r="233" spans="1:23" ht="15" customHeight="1" x14ac:dyDescent="0.25">
      <c r="A233" s="647"/>
      <c r="B233" s="107" t="s">
        <v>452</v>
      </c>
      <c r="C233" s="107" t="s">
        <v>460</v>
      </c>
      <c r="D233" s="180" t="s">
        <v>553</v>
      </c>
      <c r="E233" s="181" t="s">
        <v>779</v>
      </c>
      <c r="F233" s="107" t="s">
        <v>1275</v>
      </c>
      <c r="G233" s="107">
        <v>1</v>
      </c>
      <c r="H233" s="109"/>
      <c r="I233" s="109"/>
      <c r="J233" s="109">
        <v>10</v>
      </c>
      <c r="K233" s="109">
        <v>10</v>
      </c>
      <c r="L233" s="109"/>
      <c r="M233" s="109"/>
      <c r="N233" s="109"/>
      <c r="O233" s="109"/>
      <c r="P233" s="108">
        <f>IF(Table_Shelter[[#This Row],[Status]]="Open",IF(V233="NO",Table_Shelter[[#This Row],[HH per Shelter]]*(Table_Shelter[[#This Row],['# of Temporary Shelter Units Built]]+Table_Shelter[[#This Row],['# of Temporary Shelter Under  Construction]]+Table_Shelter[[#This Row],['# of Permanent House Under Construction]]),0),0)</f>
        <v>10</v>
      </c>
      <c r="Q233" s="108"/>
      <c r="R233" s="108"/>
      <c r="S233" s="108" t="str">
        <f>IFERROR(VLOOKUP(Table_Shelter[[#This Row],[CampName]],CL,2,0),"")</f>
        <v>MMR015CMP218</v>
      </c>
      <c r="T233" s="108" t="str">
        <f>IFERROR(VLOOKUP(Table_Shelter[[#This Row],[CampName]],CL,3,0),"")</f>
        <v>Open</v>
      </c>
      <c r="U233" s="266">
        <f>IFERROR(Table_Shelter[[#This Row],[HH Covered]]/VLOOKUP(Table_Shelter[[#This Row],[CampName]],CL,5,0),"")</f>
        <v>0.33333333333333331</v>
      </c>
      <c r="V233" s="265" t="s">
        <v>1305</v>
      </c>
      <c r="W233" s="108"/>
    </row>
    <row r="234" spans="1:23" ht="15" customHeight="1" x14ac:dyDescent="0.25">
      <c r="A234" s="647"/>
      <c r="B234" s="173" t="s">
        <v>452</v>
      </c>
      <c r="C234" s="173" t="s">
        <v>460</v>
      </c>
      <c r="D234" s="176" t="s">
        <v>553</v>
      </c>
      <c r="E234" s="345" t="s">
        <v>298</v>
      </c>
      <c r="F234" s="173" t="s">
        <v>821</v>
      </c>
      <c r="G234" s="107">
        <v>1</v>
      </c>
      <c r="H234" s="109"/>
      <c r="I234" s="109"/>
      <c r="J234" s="109">
        <v>10</v>
      </c>
      <c r="K234" s="109">
        <v>10</v>
      </c>
      <c r="L234" s="175"/>
      <c r="M234" s="175"/>
      <c r="N234" s="175"/>
      <c r="O234" s="175"/>
      <c r="P234" s="108">
        <f>IF(Table_Shelter[[#This Row],[Status]]="Open",IF(V234="NO",Table_Shelter[[#This Row],[HH per Shelter]]*(Table_Shelter[[#This Row],['# of Temporary Shelter Units Built]]+Table_Shelter[[#This Row],['# of Temporary Shelter Under  Construction]]+Table_Shelter[[#This Row],['# of Permanent House Under Construction]]),0),0)</f>
        <v>10</v>
      </c>
      <c r="Q234" s="108"/>
      <c r="R234" s="175"/>
      <c r="S234" s="175" t="str">
        <f>IFERROR(VLOOKUP(Table_Shelter[[#This Row],[CampName]],CL,2,0),"")</f>
        <v>MMR015CMP014</v>
      </c>
      <c r="T234" s="175" t="str">
        <f>IFERROR(VLOOKUP(Table_Shelter[[#This Row],[CampName]],CL,3,0),"")</f>
        <v>Open</v>
      </c>
      <c r="U234" s="265">
        <f>IFERROR(Table_Shelter[[#This Row],[HH Covered]]/VLOOKUP(Table_Shelter[[#This Row],[CampName]],CL,5,0),"")</f>
        <v>1.25</v>
      </c>
      <c r="V234" s="265" t="s">
        <v>1305</v>
      </c>
      <c r="W234" s="175"/>
    </row>
    <row r="235" spans="1:23" ht="15" customHeight="1" x14ac:dyDescent="0.25">
      <c r="A235" s="580"/>
      <c r="B235" s="173" t="s">
        <v>592</v>
      </c>
      <c r="C235" s="173" t="s">
        <v>459</v>
      </c>
      <c r="D235" s="173" t="s">
        <v>380</v>
      </c>
      <c r="E235" s="345" t="s">
        <v>151</v>
      </c>
      <c r="F235" s="173" t="s">
        <v>516</v>
      </c>
      <c r="G235" s="107">
        <v>1</v>
      </c>
      <c r="H235" s="107"/>
      <c r="I235" s="107"/>
      <c r="J235" s="107">
        <v>100</v>
      </c>
      <c r="K235" s="107">
        <v>100</v>
      </c>
      <c r="L235" s="173"/>
      <c r="M235" s="173"/>
      <c r="N235" s="173"/>
      <c r="O235" s="173"/>
      <c r="P235" s="149">
        <f>IF(Table_Shelter[[#This Row],[Status]]="Open",IF(V235="NO",Table_Shelter[[#This Row],[HH per Shelter]]*(Table_Shelter[[#This Row],['# of Temporary Shelter Units Built]]+Table_Shelter[[#This Row],['# of Temporary Shelter Under  Construction]]+Table_Shelter[[#This Row],['# of Permanent House Under Construction]]),0),0)</f>
        <v>0</v>
      </c>
      <c r="Q235" s="106"/>
      <c r="R235" s="173"/>
      <c r="S235" s="174" t="str">
        <f>IFERROR(VLOOKUP(Table_Shelter[[#This Row],[CampName]],CL,2,0),"")</f>
        <v>MMR001CMP202</v>
      </c>
      <c r="T235" s="174" t="str">
        <f>IFERROR(VLOOKUP(Table_Shelter[[#This Row],[CampName]],CL,3,0),"")</f>
        <v>Closed</v>
      </c>
      <c r="U235" s="265" t="str">
        <f>IFERROR(Table_Shelter[[#This Row],[HH Covered]]/VLOOKUP(Table_Shelter[[#This Row],[CampName]],CL,5,0),"")</f>
        <v/>
      </c>
      <c r="V235" s="265" t="s">
        <v>1305</v>
      </c>
      <c r="W235" s="175"/>
    </row>
    <row r="236" spans="1:23" ht="15" customHeight="1" x14ac:dyDescent="0.25">
      <c r="A236" s="580"/>
      <c r="B236" s="173" t="s">
        <v>572</v>
      </c>
      <c r="C236" s="173"/>
      <c r="D236" s="173" t="s">
        <v>380</v>
      </c>
      <c r="E236" s="345" t="s">
        <v>151</v>
      </c>
      <c r="F236" s="173" t="s">
        <v>198</v>
      </c>
      <c r="G236" s="107">
        <v>1</v>
      </c>
      <c r="H236" s="107"/>
      <c r="I236" s="107"/>
      <c r="J236" s="107">
        <v>26</v>
      </c>
      <c r="K236" s="107">
        <v>26</v>
      </c>
      <c r="L236" s="173"/>
      <c r="M236" s="173"/>
      <c r="N236" s="173"/>
      <c r="O236" s="173"/>
      <c r="P236" s="149">
        <f>IF(Table_Shelter[[#This Row],[Status]]="Open",IF(V236="NO",Table_Shelter[[#This Row],[HH per Shelter]]*(Table_Shelter[[#This Row],['# of Temporary Shelter Units Built]]+Table_Shelter[[#This Row],['# of Temporary Shelter Under  Construction]]+Table_Shelter[[#This Row],['# of Permanent House Under Construction]]),0),0)</f>
        <v>26</v>
      </c>
      <c r="Q236" s="106"/>
      <c r="R236" s="173"/>
      <c r="S236" s="174" t="str">
        <f>IFERROR(VLOOKUP(Table_Shelter[[#This Row],[CampName]],CL,2,0),"")</f>
        <v>MMR001CMP128</v>
      </c>
      <c r="T236" s="174" t="str">
        <f>IFERROR(VLOOKUP(Table_Shelter[[#This Row],[CampName]],CL,3,0),"")</f>
        <v>Open</v>
      </c>
      <c r="U236" s="265">
        <f>IFERROR(Table_Shelter[[#This Row],[HH Covered]]/VLOOKUP(Table_Shelter[[#This Row],[CampName]],CL,5,0),"")</f>
        <v>4.7531992687385741E-2</v>
      </c>
      <c r="V236" s="265" t="s">
        <v>1305</v>
      </c>
      <c r="W236" s="175"/>
    </row>
    <row r="237" spans="1:23" ht="15" customHeight="1" x14ac:dyDescent="0.25">
      <c r="A237" s="580"/>
      <c r="B237" s="173" t="s">
        <v>452</v>
      </c>
      <c r="C237" s="173" t="s">
        <v>459</v>
      </c>
      <c r="D237" s="173" t="s">
        <v>380</v>
      </c>
      <c r="E237" s="345" t="s">
        <v>151</v>
      </c>
      <c r="F237" s="173" t="s">
        <v>198</v>
      </c>
      <c r="G237" s="107">
        <v>1</v>
      </c>
      <c r="H237" s="107"/>
      <c r="I237" s="107"/>
      <c r="J237" s="107">
        <v>350</v>
      </c>
      <c r="K237" s="107">
        <v>350</v>
      </c>
      <c r="L237" s="173"/>
      <c r="M237" s="173"/>
      <c r="N237" s="173"/>
      <c r="O237" s="173"/>
      <c r="P237" s="149">
        <f>IF(Table_Shelter[[#This Row],[Status]]="Open",IF(V237="NO",Table_Shelter[[#This Row],[HH per Shelter]]*(Table_Shelter[[#This Row],['# of Temporary Shelter Units Built]]+Table_Shelter[[#This Row],['# of Temporary Shelter Under  Construction]]+Table_Shelter[[#This Row],['# of Permanent House Under Construction]]),0),0)</f>
        <v>350</v>
      </c>
      <c r="Q237" s="106"/>
      <c r="R237" s="173"/>
      <c r="S237" s="174" t="str">
        <f>IFERROR(VLOOKUP(Table_Shelter[[#This Row],[CampName]],CL,2,0),"")</f>
        <v>MMR001CMP128</v>
      </c>
      <c r="T237" s="174" t="str">
        <f>IFERROR(VLOOKUP(Table_Shelter[[#This Row],[CampName]],CL,3,0),"")</f>
        <v>Open</v>
      </c>
      <c r="U237" s="265">
        <f>IFERROR(Table_Shelter[[#This Row],[HH Covered]]/VLOOKUP(Table_Shelter[[#This Row],[CampName]],CL,5,0),"")</f>
        <v>0.63985374771480807</v>
      </c>
      <c r="V237" s="265" t="s">
        <v>1305</v>
      </c>
      <c r="W237" s="175"/>
    </row>
    <row r="238" spans="1:23" ht="15" customHeight="1" x14ac:dyDescent="0.25">
      <c r="A238" s="580"/>
      <c r="B238" s="173" t="s">
        <v>452</v>
      </c>
      <c r="C238" s="173"/>
      <c r="D238" s="173" t="s">
        <v>380</v>
      </c>
      <c r="E238" s="345" t="s">
        <v>151</v>
      </c>
      <c r="F238" s="173" t="s">
        <v>198</v>
      </c>
      <c r="G238" s="107">
        <v>1</v>
      </c>
      <c r="H238" s="107"/>
      <c r="I238" s="107"/>
      <c r="J238" s="107">
        <v>150</v>
      </c>
      <c r="K238" s="107"/>
      <c r="L238" s="173"/>
      <c r="M238" s="173"/>
      <c r="N238" s="173"/>
      <c r="O238" s="173"/>
      <c r="P238" s="149">
        <f>IF(Table_Shelter[[#This Row],[Status]]="Open",IF(V238="NO",Table_Shelter[[#This Row],[HH per Shelter]]*(Table_Shelter[[#This Row],['# of Temporary Shelter Units Built]]+Table_Shelter[[#This Row],['# of Temporary Shelter Under  Construction]]+Table_Shelter[[#This Row],['# of Permanent House Under Construction]]),0),0)</f>
        <v>0</v>
      </c>
      <c r="Q238" s="106"/>
      <c r="R238" s="173"/>
      <c r="S238" s="174" t="str">
        <f>IFERROR(VLOOKUP(Table_Shelter[[#This Row],[CampName]],CL,2,0),"")</f>
        <v>MMR001CMP128</v>
      </c>
      <c r="T238" s="174" t="str">
        <f>IFERROR(VLOOKUP(Table_Shelter[[#This Row],[CampName]],CL,3,0),"")</f>
        <v>Open</v>
      </c>
      <c r="U238" s="265">
        <f>IFERROR(Table_Shelter[[#This Row],[HH Covered]]/VLOOKUP(Table_Shelter[[#This Row],[CampName]],CL,5,0),"")</f>
        <v>0</v>
      </c>
      <c r="V238" s="265" t="s">
        <v>1305</v>
      </c>
      <c r="W238" s="175"/>
    </row>
    <row r="239" spans="1:23" ht="15" customHeight="1" x14ac:dyDescent="0.25">
      <c r="A239" s="647"/>
      <c r="B239" s="173" t="s">
        <v>452</v>
      </c>
      <c r="C239" s="173" t="s">
        <v>460</v>
      </c>
      <c r="D239" s="176" t="s">
        <v>380</v>
      </c>
      <c r="E239" s="345" t="s">
        <v>527</v>
      </c>
      <c r="F239" s="173" t="s">
        <v>108</v>
      </c>
      <c r="G239" s="107">
        <v>1</v>
      </c>
      <c r="H239" s="109"/>
      <c r="I239" s="109"/>
      <c r="J239" s="109">
        <v>40</v>
      </c>
      <c r="K239" s="109">
        <v>40</v>
      </c>
      <c r="L239" s="175"/>
      <c r="M239" s="175"/>
      <c r="N239" s="175"/>
      <c r="O239" s="175"/>
      <c r="P239" s="108">
        <f>IF(Table_Shelter[[#This Row],[Status]]="Open",IF(V239="NO",Table_Shelter[[#This Row],[HH per Shelter]]*(Table_Shelter[[#This Row],['# of Temporary Shelter Units Built]]+Table_Shelter[[#This Row],['# of Temporary Shelter Under  Construction]]+Table_Shelter[[#This Row],['# of Permanent House Under Construction]]),0),0)</f>
        <v>40</v>
      </c>
      <c r="Q239" s="108"/>
      <c r="R239" s="175"/>
      <c r="S239" s="175" t="str">
        <f>IFERROR(VLOOKUP(Table_Shelter[[#This Row],[CampName]],CL,2,0),"")</f>
        <v>MMR001CMP103</v>
      </c>
      <c r="T239" s="175" t="str">
        <f>IFERROR(VLOOKUP(Table_Shelter[[#This Row],[CampName]],CL,3,0),"")</f>
        <v>Open</v>
      </c>
      <c r="U239" s="265">
        <f>IFERROR(Table_Shelter[[#This Row],[HH Covered]]/VLOOKUP(Table_Shelter[[#This Row],[CampName]],CL,5,0),"")</f>
        <v>0.78431372549019607</v>
      </c>
      <c r="V239" s="265" t="s">
        <v>1305</v>
      </c>
      <c r="W239" s="175"/>
    </row>
    <row r="240" spans="1:23" ht="15" customHeight="1" x14ac:dyDescent="0.25">
      <c r="A240" s="647"/>
      <c r="B240" s="173" t="s">
        <v>452</v>
      </c>
      <c r="C240" s="173" t="s">
        <v>460</v>
      </c>
      <c r="D240" s="176" t="s">
        <v>380</v>
      </c>
      <c r="E240" s="345" t="s">
        <v>173</v>
      </c>
      <c r="F240" s="173" t="s">
        <v>178</v>
      </c>
      <c r="G240" s="107">
        <v>1</v>
      </c>
      <c r="H240" s="109"/>
      <c r="I240" s="109"/>
      <c r="J240" s="109">
        <v>15</v>
      </c>
      <c r="K240" s="109">
        <v>15</v>
      </c>
      <c r="L240" s="175"/>
      <c r="M240" s="175"/>
      <c r="N240" s="175"/>
      <c r="O240" s="175"/>
      <c r="P240" s="108">
        <f>IF(Table_Shelter[[#This Row],[Status]]="Open",IF(V240="NO",Table_Shelter[[#This Row],[HH per Shelter]]*(Table_Shelter[[#This Row],['# of Temporary Shelter Units Built]]+Table_Shelter[[#This Row],['# of Temporary Shelter Under  Construction]]+Table_Shelter[[#This Row],['# of Permanent House Under Construction]]),0),0)</f>
        <v>15</v>
      </c>
      <c r="Q240" s="108"/>
      <c r="R240" s="175"/>
      <c r="S240" s="175" t="str">
        <f>IFERROR(VLOOKUP(Table_Shelter[[#This Row],[CampName]],CL,2,0),"")</f>
        <v>MMR001CMP079</v>
      </c>
      <c r="T240" s="175" t="str">
        <f>IFERROR(VLOOKUP(Table_Shelter[[#This Row],[CampName]],CL,3,0),"")</f>
        <v>Open</v>
      </c>
      <c r="U240" s="265">
        <f>IFERROR(Table_Shelter[[#This Row],[HH Covered]]/VLOOKUP(Table_Shelter[[#This Row],[CampName]],CL,5,0),"")</f>
        <v>1.25</v>
      </c>
      <c r="V240" s="265" t="s">
        <v>1305</v>
      </c>
      <c r="W240" s="175"/>
    </row>
    <row r="241" spans="1:23" ht="15" customHeight="1" x14ac:dyDescent="0.25">
      <c r="A241" s="647"/>
      <c r="B241" s="173" t="s">
        <v>570</v>
      </c>
      <c r="C241" s="173" t="s">
        <v>460</v>
      </c>
      <c r="D241" s="176" t="s">
        <v>380</v>
      </c>
      <c r="E241" s="345" t="s">
        <v>180</v>
      </c>
      <c r="F241" s="173" t="s">
        <v>287</v>
      </c>
      <c r="G241" s="107">
        <v>1</v>
      </c>
      <c r="H241" s="109"/>
      <c r="I241" s="109"/>
      <c r="J241" s="109">
        <v>10</v>
      </c>
      <c r="K241" s="109">
        <v>10</v>
      </c>
      <c r="L241" s="175"/>
      <c r="M241" s="175"/>
      <c r="N241" s="175"/>
      <c r="O241" s="175"/>
      <c r="P241" s="108">
        <f>IF(Table_Shelter[[#This Row],[Status]]="Open",IF(V241="NO",Table_Shelter[[#This Row],[HH per Shelter]]*(Table_Shelter[[#This Row],['# of Temporary Shelter Units Built]]+Table_Shelter[[#This Row],['# of Temporary Shelter Under  Construction]]+Table_Shelter[[#This Row],['# of Permanent House Under Construction]]),0),0)</f>
        <v>10</v>
      </c>
      <c r="Q241" s="108"/>
      <c r="R241" s="175"/>
      <c r="S241" s="175" t="str">
        <f>IFERROR(VLOOKUP(Table_Shelter[[#This Row],[CampName]],CL,2,0),"")</f>
        <v>MMR001CMP152</v>
      </c>
      <c r="T241" s="175" t="str">
        <f>IFERROR(VLOOKUP(Table_Shelter[[#This Row],[CampName]],CL,3,0),"")</f>
        <v>Open</v>
      </c>
      <c r="U241" s="265">
        <f>IFERROR(Table_Shelter[[#This Row],[HH Covered]]/VLOOKUP(Table_Shelter[[#This Row],[CampName]],CL,5,0),"")</f>
        <v>0.52631578947368418</v>
      </c>
      <c r="V241" s="265" t="s">
        <v>1305</v>
      </c>
      <c r="W241" s="175"/>
    </row>
    <row r="242" spans="1:23" ht="15" customHeight="1" x14ac:dyDescent="0.25">
      <c r="A242" s="811"/>
      <c r="B242" s="173" t="s">
        <v>452</v>
      </c>
      <c r="C242" s="173" t="s">
        <v>460</v>
      </c>
      <c r="D242" s="176" t="s">
        <v>380</v>
      </c>
      <c r="E242" s="345" t="s">
        <v>180</v>
      </c>
      <c r="F242" s="173" t="s">
        <v>287</v>
      </c>
      <c r="G242" s="107">
        <v>1</v>
      </c>
      <c r="H242" s="109"/>
      <c r="I242" s="109"/>
      <c r="J242" s="109">
        <v>20</v>
      </c>
      <c r="K242" s="109">
        <v>20</v>
      </c>
      <c r="L242" s="175"/>
      <c r="M242" s="175"/>
      <c r="N242" s="175"/>
      <c r="O242" s="175"/>
      <c r="P242" s="108">
        <f>IF(Table_Shelter[[#This Row],[Status]]="Open",IF(V242="NO",Table_Shelter[[#This Row],[HH per Shelter]]*(Table_Shelter[[#This Row],['# of Temporary Shelter Units Built]]+Table_Shelter[[#This Row],['# of Temporary Shelter Under  Construction]]+Table_Shelter[[#This Row],['# of Permanent House Under Construction]]),0),0)</f>
        <v>20</v>
      </c>
      <c r="Q242" s="108"/>
      <c r="R242" s="175"/>
      <c r="S242" s="175" t="str">
        <f>IFERROR(VLOOKUP(Table_Shelter[[#This Row],[CampName]],CL,2,0),"")</f>
        <v>MMR001CMP152</v>
      </c>
      <c r="T242" s="175" t="str">
        <f>IFERROR(VLOOKUP(Table_Shelter[[#This Row],[CampName]],CL,3,0),"")</f>
        <v>Open</v>
      </c>
      <c r="U242" s="265">
        <f>IFERROR(Table_Shelter[[#This Row],[HH Covered]]/VLOOKUP(Table_Shelter[[#This Row],[CampName]],CL,5,0),"")</f>
        <v>1.0526315789473684</v>
      </c>
      <c r="V242" s="265" t="s">
        <v>1305</v>
      </c>
      <c r="W242" s="175"/>
    </row>
    <row r="243" spans="1:23" ht="15" customHeight="1" x14ac:dyDescent="0.25">
      <c r="A243" s="811"/>
      <c r="B243" s="173" t="s">
        <v>452</v>
      </c>
      <c r="C243" s="173" t="s">
        <v>460</v>
      </c>
      <c r="D243" s="180" t="s">
        <v>380</v>
      </c>
      <c r="E243" s="345" t="s">
        <v>527</v>
      </c>
      <c r="F243" s="173" t="s">
        <v>110</v>
      </c>
      <c r="G243" s="107">
        <v>1</v>
      </c>
      <c r="H243" s="109"/>
      <c r="I243" s="109"/>
      <c r="J243" s="109">
        <v>15</v>
      </c>
      <c r="K243" s="109">
        <v>15</v>
      </c>
      <c r="L243" s="175"/>
      <c r="M243" s="175"/>
      <c r="N243" s="175"/>
      <c r="O243" s="175"/>
      <c r="P243" s="108">
        <f>IF(Table_Shelter[[#This Row],[Status]]="Open",IF(V243="NO",Table_Shelter[[#This Row],[HH per Shelter]]*(Table_Shelter[[#This Row],['# of Temporary Shelter Units Built]]+Table_Shelter[[#This Row],['# of Temporary Shelter Under  Construction]]+Table_Shelter[[#This Row],['# of Permanent House Under Construction]]),0),0)</f>
        <v>0</v>
      </c>
      <c r="Q243" s="108"/>
      <c r="R243" s="108"/>
      <c r="S243" s="108" t="str">
        <f>IFERROR(VLOOKUP(Table_Shelter[[#This Row],[CampName]],CL,2,0),"")</f>
        <v>MMR001CMP082</v>
      </c>
      <c r="T243" s="108" t="str">
        <f>IFERROR(VLOOKUP(Table_Shelter[[#This Row],[CampName]],CL,3,0),"")</f>
        <v>Closed</v>
      </c>
      <c r="U243" s="265" t="str">
        <f>IFERROR(Table_Shelter[[#This Row],[HH Covered]]/VLOOKUP(Table_Shelter[[#This Row],[CampName]],CL,5,0),"")</f>
        <v/>
      </c>
      <c r="V243" s="265" t="s">
        <v>1305</v>
      </c>
      <c r="W243" s="108"/>
    </row>
    <row r="244" spans="1:23" ht="15" customHeight="1" x14ac:dyDescent="0.25">
      <c r="A244" s="580"/>
      <c r="B244" s="173" t="s">
        <v>452</v>
      </c>
      <c r="C244" s="173"/>
      <c r="D244" s="173" t="s">
        <v>380</v>
      </c>
      <c r="E244" s="345" t="s">
        <v>237</v>
      </c>
      <c r="F244" s="173" t="s">
        <v>285</v>
      </c>
      <c r="G244" s="107">
        <v>1</v>
      </c>
      <c r="H244" s="107"/>
      <c r="I244" s="107"/>
      <c r="J244" s="107">
        <v>5</v>
      </c>
      <c r="K244" s="107">
        <v>5</v>
      </c>
      <c r="L244" s="173"/>
      <c r="M244" s="173"/>
      <c r="N244" s="173"/>
      <c r="O244" s="173"/>
      <c r="P244" s="149">
        <f>IF(Table_Shelter[[#This Row],[Status]]="Open",IF(V244="NO",Table_Shelter[[#This Row],[HH per Shelter]]*(Table_Shelter[[#This Row],['# of Temporary Shelter Units Built]]+Table_Shelter[[#This Row],['# of Temporary Shelter Under  Construction]]+Table_Shelter[[#This Row],['# of Permanent House Under Construction]]),0),0)</f>
        <v>5</v>
      </c>
      <c r="Q244" s="106"/>
      <c r="R244" s="173"/>
      <c r="S244" s="174" t="str">
        <f>IFERROR(VLOOKUP(Table_Shelter[[#This Row],[CampName]],CL,2,0),"")</f>
        <v>MMR001CMP014</v>
      </c>
      <c r="T244" s="174" t="str">
        <f>IFERROR(VLOOKUP(Table_Shelter[[#This Row],[CampName]],CL,3,0),"")</f>
        <v>Open</v>
      </c>
      <c r="U244" s="265">
        <f>IFERROR(Table_Shelter[[#This Row],[HH Covered]]/VLOOKUP(Table_Shelter[[#This Row],[CampName]],CL,5,0),"")</f>
        <v>5.8823529411764705E-2</v>
      </c>
      <c r="V244" s="265" t="s">
        <v>1305</v>
      </c>
      <c r="W244" s="175"/>
    </row>
    <row r="245" spans="1:23" ht="15" customHeight="1" x14ac:dyDescent="0.25">
      <c r="A245" s="811"/>
      <c r="B245" s="175" t="s">
        <v>452</v>
      </c>
      <c r="C245" s="175" t="s">
        <v>505</v>
      </c>
      <c r="D245" s="175" t="s">
        <v>380</v>
      </c>
      <c r="E245" s="179" t="s">
        <v>27</v>
      </c>
      <c r="F245" s="175" t="s">
        <v>365</v>
      </c>
      <c r="G245" s="109">
        <v>1</v>
      </c>
      <c r="H245" s="109"/>
      <c r="I245" s="109"/>
      <c r="J245" s="109">
        <v>33</v>
      </c>
      <c r="K245" s="109">
        <v>33</v>
      </c>
      <c r="L245" s="175"/>
      <c r="M245" s="175"/>
      <c r="N245" s="175"/>
      <c r="O245" s="175"/>
      <c r="P245" s="149">
        <f>IF(Table_Shelter[[#This Row],[Status]]="Open",IF(V245="NO",Table_Shelter[[#This Row],[HH per Shelter]]*(Table_Shelter[[#This Row],['# of Temporary Shelter Units Built]]+Table_Shelter[[#This Row],['# of Temporary Shelter Under  Construction]]+Table_Shelter[[#This Row],['# of Permanent House Under Construction]]),0),0)</f>
        <v>33</v>
      </c>
      <c r="Q245" s="108"/>
      <c r="R245" s="175"/>
      <c r="S245" s="174" t="str">
        <f>IFERROR(VLOOKUP(Table_Shelter[[#This Row],[CampName]],CL,2,0),"")</f>
        <v>MMR001CMP195</v>
      </c>
      <c r="T245" s="174" t="str">
        <f>IFERROR(VLOOKUP(Table_Shelter[[#This Row],[CampName]],CL,3,0),"")</f>
        <v>Open</v>
      </c>
      <c r="U245" s="265">
        <f>IFERROR(Table_Shelter[[#This Row],[HH Covered]]/VLOOKUP(Table_Shelter[[#This Row],[CampName]],CL,5,0),"")</f>
        <v>0.23076923076923078</v>
      </c>
      <c r="V245" s="265" t="s">
        <v>1305</v>
      </c>
      <c r="W245" s="175"/>
    </row>
    <row r="246" spans="1:23" ht="15" customHeight="1" x14ac:dyDescent="0.25">
      <c r="A246" s="580"/>
      <c r="B246" s="173" t="s">
        <v>846</v>
      </c>
      <c r="C246" s="173"/>
      <c r="D246" s="176" t="s">
        <v>380</v>
      </c>
      <c r="E246" s="345" t="s">
        <v>5</v>
      </c>
      <c r="F246" s="173" t="s">
        <v>18</v>
      </c>
      <c r="G246" s="107">
        <v>1</v>
      </c>
      <c r="H246" s="107"/>
      <c r="I246" s="107"/>
      <c r="J246" s="107">
        <v>12</v>
      </c>
      <c r="K246" s="107">
        <v>12</v>
      </c>
      <c r="L246" s="173"/>
      <c r="M246" s="173"/>
      <c r="N246" s="173"/>
      <c r="O246" s="173"/>
      <c r="P246" s="149">
        <f>IF(Table_Shelter[[#This Row],[Status]]="Open",IF(V246="NO",Table_Shelter[[#This Row],[HH per Shelter]]*(Table_Shelter[[#This Row],['# of Temporary Shelter Units Built]]+Table_Shelter[[#This Row],['# of Temporary Shelter Under  Construction]]+Table_Shelter[[#This Row],['# of Permanent House Under Construction]]),0),0)</f>
        <v>12</v>
      </c>
      <c r="Q246" s="106"/>
      <c r="R246" s="173"/>
      <c r="S246" s="174" t="str">
        <f>IFERROR(VLOOKUP(Table_Shelter[[#This Row],[CampName]],CL,2,0),"")</f>
        <v>MMR001CMP049</v>
      </c>
      <c r="T246" s="174" t="str">
        <f>IFERROR(VLOOKUP(Table_Shelter[[#This Row],[CampName]],CL,3,0),"")</f>
        <v>Open</v>
      </c>
      <c r="U246" s="265">
        <f>IFERROR(Table_Shelter[[#This Row],[HH Covered]]/VLOOKUP(Table_Shelter[[#This Row],[CampName]],CL,5,0),"")</f>
        <v>0.10344827586206896</v>
      </c>
      <c r="V246" s="265" t="s">
        <v>1305</v>
      </c>
      <c r="W246" s="175"/>
    </row>
    <row r="247" spans="1:23" ht="15" customHeight="1" x14ac:dyDescent="0.25">
      <c r="A247" s="580"/>
      <c r="B247" s="173" t="s">
        <v>452</v>
      </c>
      <c r="C247" s="173" t="s">
        <v>846</v>
      </c>
      <c r="D247" s="176" t="s">
        <v>380</v>
      </c>
      <c r="E247" s="345" t="s">
        <v>5</v>
      </c>
      <c r="F247" s="173" t="s">
        <v>18</v>
      </c>
      <c r="G247" s="107">
        <v>1</v>
      </c>
      <c r="H247" s="107"/>
      <c r="I247" s="107"/>
      <c r="J247" s="107">
        <v>30</v>
      </c>
      <c r="K247" s="107">
        <v>30</v>
      </c>
      <c r="L247" s="173"/>
      <c r="M247" s="173"/>
      <c r="N247" s="173"/>
      <c r="O247" s="173"/>
      <c r="P247" s="149">
        <f>IF(Table_Shelter[[#This Row],[Status]]="Open",IF(V247="NO",Table_Shelter[[#This Row],[HH per Shelter]]*(Table_Shelter[[#This Row],['# of Temporary Shelter Units Built]]+Table_Shelter[[#This Row],['# of Temporary Shelter Under  Construction]]+Table_Shelter[[#This Row],['# of Permanent House Under Construction]]),0),0)</f>
        <v>30</v>
      </c>
      <c r="Q247" s="106"/>
      <c r="R247" s="173"/>
      <c r="S247" s="174" t="str">
        <f>IFERROR(VLOOKUP(Table_Shelter[[#This Row],[CampName]],CL,2,0),"")</f>
        <v>MMR001CMP049</v>
      </c>
      <c r="T247" s="174" t="str">
        <f>IFERROR(VLOOKUP(Table_Shelter[[#This Row],[CampName]],CL,3,0),"")</f>
        <v>Open</v>
      </c>
      <c r="U247" s="265">
        <f>IFERROR(Table_Shelter[[#This Row],[HH Covered]]/VLOOKUP(Table_Shelter[[#This Row],[CampName]],CL,5,0),"")</f>
        <v>0.25862068965517243</v>
      </c>
      <c r="V247" s="265" t="s">
        <v>1305</v>
      </c>
      <c r="W247" s="175"/>
    </row>
    <row r="248" spans="1:23" ht="15" customHeight="1" x14ac:dyDescent="0.25">
      <c r="A248" s="647"/>
      <c r="B248" s="175" t="s">
        <v>452</v>
      </c>
      <c r="C248" s="175"/>
      <c r="D248" s="175" t="s">
        <v>380</v>
      </c>
      <c r="E248" s="179" t="s">
        <v>5</v>
      </c>
      <c r="F248" s="175" t="s">
        <v>18</v>
      </c>
      <c r="G248" s="109">
        <v>1</v>
      </c>
      <c r="H248" s="109"/>
      <c r="I248" s="109"/>
      <c r="J248" s="109">
        <v>15</v>
      </c>
      <c r="K248" s="109">
        <v>15</v>
      </c>
      <c r="L248" s="175"/>
      <c r="M248" s="175"/>
      <c r="N248" s="175"/>
      <c r="O248" s="175"/>
      <c r="P248" s="149">
        <f>IF(Table_Shelter[[#This Row],[Status]]="Open",IF(V248="NO",Table_Shelter[[#This Row],[HH per Shelter]]*(Table_Shelter[[#This Row],['# of Temporary Shelter Units Built]]+Table_Shelter[[#This Row],['# of Temporary Shelter Under  Construction]]+Table_Shelter[[#This Row],['# of Permanent House Under Construction]]),0),0)</f>
        <v>15</v>
      </c>
      <c r="Q248" s="108"/>
      <c r="R248" s="175"/>
      <c r="S248" s="174" t="str">
        <f>IFERROR(VLOOKUP(Table_Shelter[[#This Row],[CampName]],CL,2,0),"")</f>
        <v>MMR001CMP049</v>
      </c>
      <c r="T248" s="174" t="str">
        <f>IFERROR(VLOOKUP(Table_Shelter[[#This Row],[CampName]],CL,3,0),"")</f>
        <v>Open</v>
      </c>
      <c r="U248" s="265">
        <f>IFERROR(Table_Shelter[[#This Row],[HH Covered]]/VLOOKUP(Table_Shelter[[#This Row],[CampName]],CL,5,0),"")</f>
        <v>0.12931034482758622</v>
      </c>
      <c r="V248" s="265" t="s">
        <v>1305</v>
      </c>
      <c r="W248" s="175"/>
    </row>
    <row r="249" spans="1:23" ht="15" customHeight="1" x14ac:dyDescent="0.25">
      <c r="A249" s="811"/>
      <c r="B249" s="173" t="s">
        <v>452</v>
      </c>
      <c r="C249" s="173" t="s">
        <v>505</v>
      </c>
      <c r="D249" s="180" t="s">
        <v>380</v>
      </c>
      <c r="E249" s="345" t="s">
        <v>5</v>
      </c>
      <c r="F249" s="173" t="s">
        <v>18</v>
      </c>
      <c r="G249" s="107">
        <v>1</v>
      </c>
      <c r="H249" s="109"/>
      <c r="I249" s="109"/>
      <c r="J249" s="109">
        <v>5</v>
      </c>
      <c r="K249" s="109">
        <v>5</v>
      </c>
      <c r="L249" s="175"/>
      <c r="M249" s="175"/>
      <c r="N249" s="175"/>
      <c r="O249" s="175"/>
      <c r="P249" s="108">
        <f>IF(Table_Shelter[[#This Row],[Status]]="Open",IF(V249="NO",Table_Shelter[[#This Row],[HH per Shelter]]*(Table_Shelter[[#This Row],['# of Temporary Shelter Units Built]]+Table_Shelter[[#This Row],['# of Temporary Shelter Under  Construction]]+Table_Shelter[[#This Row],['# of Permanent House Under Construction]]),0),0)</f>
        <v>5</v>
      </c>
      <c r="Q249" s="108"/>
      <c r="R249" s="108"/>
      <c r="S249" s="108" t="str">
        <f>IFERROR(VLOOKUP(Table_Shelter[[#This Row],[CampName]],CL,2,0),"")</f>
        <v>MMR001CMP049</v>
      </c>
      <c r="T249" s="108" t="str">
        <f>IFERROR(VLOOKUP(Table_Shelter[[#This Row],[CampName]],CL,3,0),"")</f>
        <v>Open</v>
      </c>
      <c r="U249" s="265">
        <f>IFERROR(Table_Shelter[[#This Row],[HH Covered]]/VLOOKUP(Table_Shelter[[#This Row],[CampName]],CL,5,0),"")</f>
        <v>4.3103448275862072E-2</v>
      </c>
      <c r="V249" s="265" t="s">
        <v>1305</v>
      </c>
      <c r="W249" s="108"/>
    </row>
    <row r="250" spans="1:23" ht="15" customHeight="1" x14ac:dyDescent="0.25">
      <c r="A250" s="811"/>
      <c r="B250" s="175" t="s">
        <v>452</v>
      </c>
      <c r="C250" s="175"/>
      <c r="D250" s="175" t="s">
        <v>380</v>
      </c>
      <c r="E250" s="179" t="s">
        <v>185</v>
      </c>
      <c r="F250" s="175" t="s">
        <v>186</v>
      </c>
      <c r="G250" s="109">
        <v>1</v>
      </c>
      <c r="H250" s="109"/>
      <c r="I250" s="109"/>
      <c r="J250" s="109">
        <v>12</v>
      </c>
      <c r="K250" s="109">
        <v>12</v>
      </c>
      <c r="L250" s="175"/>
      <c r="M250" s="175"/>
      <c r="N250" s="175"/>
      <c r="O250" s="175"/>
      <c r="P250" s="149">
        <f>IF(Table_Shelter[[#This Row],[Status]]="Open",IF(V250="NO",Table_Shelter[[#This Row],[HH per Shelter]]*(Table_Shelter[[#This Row],['# of Temporary Shelter Units Built]]+Table_Shelter[[#This Row],['# of Temporary Shelter Under  Construction]]+Table_Shelter[[#This Row],['# of Permanent House Under Construction]]),0),0)</f>
        <v>12</v>
      </c>
      <c r="Q250" s="108"/>
      <c r="R250" s="175"/>
      <c r="S250" s="174" t="str">
        <f>IFERROR(VLOOKUP(Table_Shelter[[#This Row],[CampName]],CL,2,0),"")</f>
        <v>MMR001CMP071</v>
      </c>
      <c r="T250" s="174" t="str">
        <f>IFERROR(VLOOKUP(Table_Shelter[[#This Row],[CampName]],CL,3,0),"")</f>
        <v>Open</v>
      </c>
      <c r="U250" s="265">
        <f>IFERROR(Table_Shelter[[#This Row],[HH Covered]]/VLOOKUP(Table_Shelter[[#This Row],[CampName]],CL,5,0),"")</f>
        <v>0.3</v>
      </c>
      <c r="V250" s="265" t="s">
        <v>1305</v>
      </c>
      <c r="W250" s="175"/>
    </row>
    <row r="251" spans="1:23" ht="15" customHeight="1" x14ac:dyDescent="0.25">
      <c r="A251" s="811"/>
      <c r="B251" s="173" t="s">
        <v>848</v>
      </c>
      <c r="C251" s="173" t="s">
        <v>460</v>
      </c>
      <c r="D251" s="176" t="s">
        <v>380</v>
      </c>
      <c r="E251" s="345" t="s">
        <v>237</v>
      </c>
      <c r="F251" s="173" t="s">
        <v>269</v>
      </c>
      <c r="G251" s="107">
        <v>1</v>
      </c>
      <c r="H251" s="109"/>
      <c r="I251" s="109"/>
      <c r="J251" s="109">
        <v>32</v>
      </c>
      <c r="K251" s="109">
        <v>32</v>
      </c>
      <c r="L251" s="175"/>
      <c r="M251" s="175"/>
      <c r="N251" s="175"/>
      <c r="O251" s="175"/>
      <c r="P251" s="108">
        <f>IF(Table_Shelter[[#This Row],[Status]]="Open",IF(V251="NO",Table_Shelter[[#This Row],[HH per Shelter]]*(Table_Shelter[[#This Row],['# of Temporary Shelter Units Built]]+Table_Shelter[[#This Row],['# of Temporary Shelter Under  Construction]]+Table_Shelter[[#This Row],['# of Permanent House Under Construction]]),0),0)</f>
        <v>32</v>
      </c>
      <c r="Q251" s="108"/>
      <c r="R251" s="175"/>
      <c r="S251" s="175" t="str">
        <f>IFERROR(VLOOKUP(Table_Shelter[[#This Row],[CampName]],CL,2,0),"")</f>
        <v>MMR001CMP002</v>
      </c>
      <c r="T251" s="175" t="str">
        <f>IFERROR(VLOOKUP(Table_Shelter[[#This Row],[CampName]],CL,3,0),"")</f>
        <v>Open</v>
      </c>
      <c r="U251" s="265">
        <f>IFERROR(Table_Shelter[[#This Row],[HH Covered]]/VLOOKUP(Table_Shelter[[#This Row],[CampName]],CL,5,0),"")</f>
        <v>0.47761194029850745</v>
      </c>
      <c r="V251" s="265" t="s">
        <v>1305</v>
      </c>
      <c r="W251" s="175"/>
    </row>
    <row r="252" spans="1:23" ht="15" customHeight="1" x14ac:dyDescent="0.25">
      <c r="A252" s="580"/>
      <c r="B252" s="173" t="s">
        <v>592</v>
      </c>
      <c r="C252" s="173"/>
      <c r="D252" s="176" t="s">
        <v>380</v>
      </c>
      <c r="E252" s="345" t="s">
        <v>185</v>
      </c>
      <c r="F252" s="173" t="s">
        <v>223</v>
      </c>
      <c r="G252" s="107">
        <v>1</v>
      </c>
      <c r="H252" s="107"/>
      <c r="I252" s="107"/>
      <c r="J252" s="107">
        <v>40</v>
      </c>
      <c r="K252" s="107">
        <v>40</v>
      </c>
      <c r="L252" s="173"/>
      <c r="M252" s="173"/>
      <c r="N252" s="173"/>
      <c r="O252" s="173"/>
      <c r="P252" s="149">
        <f>IF(Table_Shelter[[#This Row],[Status]]="Open",IF(V252="NO",Table_Shelter[[#This Row],[HH per Shelter]]*(Table_Shelter[[#This Row],['# of Temporary Shelter Units Built]]+Table_Shelter[[#This Row],['# of Temporary Shelter Under  Construction]]+Table_Shelter[[#This Row],['# of Permanent House Under Construction]]),0),0)</f>
        <v>40</v>
      </c>
      <c r="Q252" s="106"/>
      <c r="R252" s="173"/>
      <c r="S252" s="174" t="str">
        <f>IFERROR(VLOOKUP(Table_Shelter[[#This Row],[CampName]],CL,2,0),"")</f>
        <v>MMR001CMP069</v>
      </c>
      <c r="T252" s="174" t="str">
        <f>IFERROR(VLOOKUP(Table_Shelter[[#This Row],[CampName]],CL,3,0),"")</f>
        <v>Open</v>
      </c>
      <c r="U252" s="265">
        <f>IFERROR(Table_Shelter[[#This Row],[HH Covered]]/VLOOKUP(Table_Shelter[[#This Row],[CampName]],CL,5,0),"")</f>
        <v>0.27027027027027029</v>
      </c>
      <c r="V252" s="265" t="s">
        <v>1305</v>
      </c>
      <c r="W252" s="175"/>
    </row>
    <row r="253" spans="1:23" ht="15" customHeight="1" x14ac:dyDescent="0.25">
      <c r="A253" s="580"/>
      <c r="B253" s="173" t="s">
        <v>452</v>
      </c>
      <c r="C253" s="173"/>
      <c r="D253" s="173" t="s">
        <v>380</v>
      </c>
      <c r="E253" s="345" t="s">
        <v>185</v>
      </c>
      <c r="F253" s="173" t="s">
        <v>223</v>
      </c>
      <c r="G253" s="107">
        <v>1</v>
      </c>
      <c r="H253" s="107"/>
      <c r="I253" s="107"/>
      <c r="J253" s="107">
        <v>6</v>
      </c>
      <c r="K253" s="107">
        <v>6</v>
      </c>
      <c r="L253" s="173"/>
      <c r="M253" s="173"/>
      <c r="N253" s="173"/>
      <c r="O253" s="173"/>
      <c r="P253" s="149">
        <f>IF(Table_Shelter[[#This Row],[Status]]="Open",IF(V253="NO",Table_Shelter[[#This Row],[HH per Shelter]]*(Table_Shelter[[#This Row],['# of Temporary Shelter Units Built]]+Table_Shelter[[#This Row],['# of Temporary Shelter Under  Construction]]+Table_Shelter[[#This Row],['# of Permanent House Under Construction]]),0),0)</f>
        <v>6</v>
      </c>
      <c r="Q253" s="106"/>
      <c r="R253" s="173"/>
      <c r="S253" s="174" t="str">
        <f>IFERROR(VLOOKUP(Table_Shelter[[#This Row],[CampName]],CL,2,0),"")</f>
        <v>MMR001CMP069</v>
      </c>
      <c r="T253" s="174" t="str">
        <f>IFERROR(VLOOKUP(Table_Shelter[[#This Row],[CampName]],CL,3,0),"")</f>
        <v>Open</v>
      </c>
      <c r="U253" s="265">
        <f>IFERROR(Table_Shelter[[#This Row],[HH Covered]]/VLOOKUP(Table_Shelter[[#This Row],[CampName]],CL,5,0),"")</f>
        <v>4.0540540540540543E-2</v>
      </c>
      <c r="V253" s="265" t="s">
        <v>1305</v>
      </c>
      <c r="W253" s="175"/>
    </row>
    <row r="254" spans="1:23" ht="15" customHeight="1" x14ac:dyDescent="0.25">
      <c r="A254" s="580"/>
      <c r="B254" s="173" t="s">
        <v>452</v>
      </c>
      <c r="C254" s="173"/>
      <c r="D254" s="173" t="s">
        <v>380</v>
      </c>
      <c r="E254" s="345" t="s">
        <v>185</v>
      </c>
      <c r="F254" s="173" t="s">
        <v>190</v>
      </c>
      <c r="G254" s="107">
        <v>1</v>
      </c>
      <c r="H254" s="107"/>
      <c r="I254" s="107"/>
      <c r="J254" s="107">
        <v>5</v>
      </c>
      <c r="K254" s="107">
        <v>57</v>
      </c>
      <c r="L254" s="173"/>
      <c r="M254" s="173"/>
      <c r="N254" s="173"/>
      <c r="O254" s="173"/>
      <c r="P254" s="149">
        <f>IF(Table_Shelter[[#This Row],[Status]]="Open",IF(V254="NO",Table_Shelter[[#This Row],[HH per Shelter]]*(Table_Shelter[[#This Row],['# of Temporary Shelter Units Built]]+Table_Shelter[[#This Row],['# of Temporary Shelter Under  Construction]]+Table_Shelter[[#This Row],['# of Permanent House Under Construction]]),0),0)</f>
        <v>57</v>
      </c>
      <c r="Q254" s="106"/>
      <c r="R254" s="173"/>
      <c r="S254" s="174" t="str">
        <f>IFERROR(VLOOKUP(Table_Shelter[[#This Row],[CampName]],CL,2,0),"")</f>
        <v>MMR001CMP070</v>
      </c>
      <c r="T254" s="174" t="str">
        <f>IFERROR(VLOOKUP(Table_Shelter[[#This Row],[CampName]],CL,3,0),"")</f>
        <v>Open</v>
      </c>
      <c r="U254" s="265">
        <f>IFERROR(Table_Shelter[[#This Row],[HH Covered]]/VLOOKUP(Table_Shelter[[#This Row],[CampName]],CL,5,0),"")</f>
        <v>0.29381443298969073</v>
      </c>
      <c r="V254" s="265" t="s">
        <v>1305</v>
      </c>
      <c r="W254" s="175"/>
    </row>
    <row r="255" spans="1:23" ht="15" customHeight="1" x14ac:dyDescent="0.25">
      <c r="A255" s="811"/>
      <c r="B255" s="175" t="s">
        <v>592</v>
      </c>
      <c r="C255" s="175" t="s">
        <v>459</v>
      </c>
      <c r="D255" s="175" t="s">
        <v>380</v>
      </c>
      <c r="E255" s="179" t="s">
        <v>151</v>
      </c>
      <c r="F255" s="175" t="s">
        <v>158</v>
      </c>
      <c r="G255" s="109">
        <v>1</v>
      </c>
      <c r="H255" s="109"/>
      <c r="I255" s="109"/>
      <c r="J255" s="109">
        <v>100</v>
      </c>
      <c r="K255" s="109">
        <v>100</v>
      </c>
      <c r="L255" s="175"/>
      <c r="M255" s="175"/>
      <c r="N255" s="175"/>
      <c r="O255" s="175"/>
      <c r="P255" s="149">
        <f>IF(Table_Shelter[[#This Row],[Status]]="Open",IF(V255="NO",Table_Shelter[[#This Row],[HH per Shelter]]*(Table_Shelter[[#This Row],['# of Temporary Shelter Units Built]]+Table_Shelter[[#This Row],['# of Temporary Shelter Under  Construction]]+Table_Shelter[[#This Row],['# of Permanent House Under Construction]]),0),0)</f>
        <v>0</v>
      </c>
      <c r="Q255" s="108"/>
      <c r="R255" s="175"/>
      <c r="S255" s="174" t="str">
        <f>IFERROR(VLOOKUP(Table_Shelter[[#This Row],[CampName]],CL,2,0),"")</f>
        <v>MMR001CMP135</v>
      </c>
      <c r="T255" s="174" t="str">
        <f>IFERROR(VLOOKUP(Table_Shelter[[#This Row],[CampName]],CL,3,0),"")</f>
        <v>Closed</v>
      </c>
      <c r="U255" s="265" t="str">
        <f>IFERROR(Table_Shelter[[#This Row],[HH Covered]]/VLOOKUP(Table_Shelter[[#This Row],[CampName]],CL,5,0),"")</f>
        <v/>
      </c>
      <c r="V255" s="265" t="s">
        <v>1305</v>
      </c>
      <c r="W255" s="175"/>
    </row>
    <row r="256" spans="1:23" ht="15" customHeight="1" x14ac:dyDescent="0.25">
      <c r="A256" s="580"/>
      <c r="B256" s="173" t="s">
        <v>452</v>
      </c>
      <c r="C256" s="173" t="s">
        <v>505</v>
      </c>
      <c r="D256" s="173" t="s">
        <v>380</v>
      </c>
      <c r="E256" s="345" t="s">
        <v>310</v>
      </c>
      <c r="F256" s="173" t="s">
        <v>320</v>
      </c>
      <c r="G256" s="107">
        <v>1</v>
      </c>
      <c r="H256" s="107"/>
      <c r="I256" s="107"/>
      <c r="J256" s="107">
        <v>25</v>
      </c>
      <c r="K256" s="107">
        <v>25</v>
      </c>
      <c r="L256" s="173"/>
      <c r="M256" s="173"/>
      <c r="N256" s="173"/>
      <c r="O256" s="173"/>
      <c r="P256" s="149">
        <f>IF(Table_Shelter[[#This Row],[Status]]="Open",IF(V256="NO",Table_Shelter[[#This Row],[HH per Shelter]]*(Table_Shelter[[#This Row],['# of Temporary Shelter Units Built]]+Table_Shelter[[#This Row],['# of Temporary Shelter Under  Construction]]+Table_Shelter[[#This Row],['# of Permanent House Under Construction]]),0),0)</f>
        <v>25</v>
      </c>
      <c r="Q256" s="106"/>
      <c r="R256" s="173"/>
      <c r="S256" s="174" t="str">
        <f>IFERROR(VLOOKUP(Table_Shelter[[#This Row],[CampName]],CL,2,0),"")</f>
        <v>MMR001CMP027</v>
      </c>
      <c r="T256" s="174" t="str">
        <f>IFERROR(VLOOKUP(Table_Shelter[[#This Row],[CampName]],CL,3,0),"")</f>
        <v>Open</v>
      </c>
      <c r="U256" s="265">
        <f>IFERROR(Table_Shelter[[#This Row],[HH Covered]]/VLOOKUP(Table_Shelter[[#This Row],[CampName]],CL,5,0),"")</f>
        <v>0.92592592592592593</v>
      </c>
      <c r="V256" s="265" t="s">
        <v>1305</v>
      </c>
      <c r="W256" s="175"/>
    </row>
    <row r="257" spans="1:23" ht="15" customHeight="1" x14ac:dyDescent="0.25">
      <c r="A257" s="580"/>
      <c r="B257" s="173" t="s">
        <v>453</v>
      </c>
      <c r="C257" s="173" t="s">
        <v>506</v>
      </c>
      <c r="D257" s="176" t="s">
        <v>380</v>
      </c>
      <c r="E257" s="345" t="s">
        <v>310</v>
      </c>
      <c r="F257" s="173" t="s">
        <v>322</v>
      </c>
      <c r="G257" s="107">
        <v>1</v>
      </c>
      <c r="H257" s="107"/>
      <c r="I257" s="107"/>
      <c r="J257" s="109">
        <v>604</v>
      </c>
      <c r="K257" s="107">
        <v>604</v>
      </c>
      <c r="L257" s="173"/>
      <c r="M257" s="173"/>
      <c r="N257" s="173"/>
      <c r="O257" s="173"/>
      <c r="P257" s="149">
        <f>IF(Table_Shelter[[#This Row],[Status]]="Open",IF(V257="NO",Table_Shelter[[#This Row],[HH per Shelter]]*(Table_Shelter[[#This Row],['# of Temporary Shelter Units Built]]+Table_Shelter[[#This Row],['# of Temporary Shelter Under  Construction]]+Table_Shelter[[#This Row],['# of Permanent House Under Construction]]),0),0)</f>
        <v>604</v>
      </c>
      <c r="Q257" s="106"/>
      <c r="R257" s="173"/>
      <c r="S257" s="174" t="str">
        <f>IFERROR(VLOOKUP(Table_Shelter[[#This Row],[CampName]],CL,2,0),"")</f>
        <v>MMR001CMP119</v>
      </c>
      <c r="T257" s="174" t="str">
        <f>IFERROR(VLOOKUP(Table_Shelter[[#This Row],[CampName]],CL,3,0),"")</f>
        <v>Open</v>
      </c>
      <c r="U257" s="265">
        <f>IFERROR(Table_Shelter[[#This Row],[HH Covered]]/VLOOKUP(Table_Shelter[[#This Row],[CampName]],CL,5,0),"")</f>
        <v>1.0324786324786326</v>
      </c>
      <c r="V257" s="265" t="s">
        <v>1305</v>
      </c>
      <c r="W257" s="175"/>
    </row>
    <row r="258" spans="1:23" ht="15" customHeight="1" x14ac:dyDescent="0.25">
      <c r="A258" s="580"/>
      <c r="B258" s="173"/>
      <c r="C258" s="173"/>
      <c r="D258" s="173" t="s">
        <v>380</v>
      </c>
      <c r="E258" s="345" t="s">
        <v>185</v>
      </c>
      <c r="F258" s="173" t="s">
        <v>200</v>
      </c>
      <c r="G258" s="107">
        <v>1</v>
      </c>
      <c r="H258" s="107"/>
      <c r="I258" s="107"/>
      <c r="J258" s="107">
        <v>92</v>
      </c>
      <c r="K258" s="107">
        <v>92</v>
      </c>
      <c r="L258" s="173"/>
      <c r="M258" s="173"/>
      <c r="N258" s="173"/>
      <c r="O258" s="173"/>
      <c r="P258" s="149">
        <f>IF(Table_Shelter[[#This Row],[Status]]="Open",IF(V258="NO",Table_Shelter[[#This Row],[HH per Shelter]]*(Table_Shelter[[#This Row],['# of Temporary Shelter Units Built]]+Table_Shelter[[#This Row],['# of Temporary Shelter Under  Construction]]+Table_Shelter[[#This Row],['# of Permanent House Under Construction]]),0),0)</f>
        <v>92</v>
      </c>
      <c r="Q258" s="106"/>
      <c r="R258" s="173"/>
      <c r="S258" s="174" t="str">
        <f>IFERROR(VLOOKUP(Table_Shelter[[#This Row],[CampName]],CL,2,0),"")</f>
        <v>MMR001CMP064</v>
      </c>
      <c r="T258" s="174" t="str">
        <f>IFERROR(VLOOKUP(Table_Shelter[[#This Row],[CampName]],CL,3,0),"")</f>
        <v>Open</v>
      </c>
      <c r="U258" s="265">
        <f>IFERROR(Table_Shelter[[#This Row],[HH Covered]]/VLOOKUP(Table_Shelter[[#This Row],[CampName]],CL,5,0),"")</f>
        <v>46</v>
      </c>
      <c r="V258" s="265" t="s">
        <v>1305</v>
      </c>
      <c r="W258" s="175"/>
    </row>
    <row r="259" spans="1:23" ht="15" customHeight="1" x14ac:dyDescent="0.25">
      <c r="A259" s="580"/>
      <c r="B259" s="173" t="s">
        <v>452</v>
      </c>
      <c r="C259" s="173" t="s">
        <v>505</v>
      </c>
      <c r="D259" s="173" t="s">
        <v>380</v>
      </c>
      <c r="E259" s="345" t="s">
        <v>310</v>
      </c>
      <c r="F259" s="173" t="s">
        <v>328</v>
      </c>
      <c r="G259" s="107">
        <v>1</v>
      </c>
      <c r="H259" s="107"/>
      <c r="I259" s="107"/>
      <c r="J259" s="107">
        <v>54</v>
      </c>
      <c r="K259" s="107">
        <v>54</v>
      </c>
      <c r="L259" s="173"/>
      <c r="M259" s="173"/>
      <c r="N259" s="173"/>
      <c r="O259" s="173"/>
      <c r="P259" s="149">
        <f>IF(Table_Shelter[[#This Row],[Status]]="Open",IF(V259="NO",Table_Shelter[[#This Row],[HH per Shelter]]*(Table_Shelter[[#This Row],['# of Temporary Shelter Units Built]]+Table_Shelter[[#This Row],['# of Temporary Shelter Under  Construction]]+Table_Shelter[[#This Row],['# of Permanent House Under Construction]]),0),0)</f>
        <v>54</v>
      </c>
      <c r="Q259" s="106"/>
      <c r="R259" s="173"/>
      <c r="S259" s="174" t="str">
        <f>IFERROR(VLOOKUP(Table_Shelter[[#This Row],[CampName]],CL,2,0),"")</f>
        <v>MMR001CMP031</v>
      </c>
      <c r="T259" s="174" t="str">
        <f>IFERROR(VLOOKUP(Table_Shelter[[#This Row],[CampName]],CL,3,0),"")</f>
        <v>Open</v>
      </c>
      <c r="U259" s="265">
        <f>IFERROR(Table_Shelter[[#This Row],[HH Covered]]/VLOOKUP(Table_Shelter[[#This Row],[CampName]],CL,5,0),"")</f>
        <v>0.36241610738255031</v>
      </c>
      <c r="V259" s="265" t="s">
        <v>1305</v>
      </c>
      <c r="W259" s="175"/>
    </row>
    <row r="260" spans="1:23" ht="15" customHeight="1" x14ac:dyDescent="0.25">
      <c r="A260" s="580"/>
      <c r="B260" s="173" t="s">
        <v>569</v>
      </c>
      <c r="C260" s="173"/>
      <c r="D260" s="173" t="s">
        <v>380</v>
      </c>
      <c r="E260" s="345" t="s">
        <v>310</v>
      </c>
      <c r="F260" s="173" t="s">
        <v>328</v>
      </c>
      <c r="G260" s="107">
        <v>1</v>
      </c>
      <c r="H260" s="107"/>
      <c r="I260" s="107"/>
      <c r="J260" s="107">
        <v>18</v>
      </c>
      <c r="K260" s="107">
        <v>18</v>
      </c>
      <c r="L260" s="173"/>
      <c r="M260" s="173"/>
      <c r="N260" s="173"/>
      <c r="O260" s="173"/>
      <c r="P260" s="149">
        <f>IF(Table_Shelter[[#This Row],[Status]]="Open",IF(V260="NO",Table_Shelter[[#This Row],[HH per Shelter]]*(Table_Shelter[[#This Row],['# of Temporary Shelter Units Built]]+Table_Shelter[[#This Row],['# of Temporary Shelter Under  Construction]]+Table_Shelter[[#This Row],['# of Permanent House Under Construction]]),0),0)</f>
        <v>18</v>
      </c>
      <c r="Q260" s="106"/>
      <c r="R260" s="173"/>
      <c r="S260" s="174" t="str">
        <f>IFERROR(VLOOKUP(Table_Shelter[[#This Row],[CampName]],CL,2,0),"")</f>
        <v>MMR001CMP031</v>
      </c>
      <c r="T260" s="174" t="str">
        <f>IFERROR(VLOOKUP(Table_Shelter[[#This Row],[CampName]],CL,3,0),"")</f>
        <v>Open</v>
      </c>
      <c r="U260" s="265">
        <f>IFERROR(Table_Shelter[[#This Row],[HH Covered]]/VLOOKUP(Table_Shelter[[#This Row],[CampName]],CL,5,0),"")</f>
        <v>0.12080536912751678</v>
      </c>
      <c r="V260" s="265" t="s">
        <v>1305</v>
      </c>
      <c r="W260" s="175"/>
    </row>
    <row r="261" spans="1:23" ht="15" customHeight="1" x14ac:dyDescent="0.25">
      <c r="A261" s="579"/>
      <c r="B261" s="175" t="s">
        <v>453</v>
      </c>
      <c r="C261" s="175" t="s">
        <v>506</v>
      </c>
      <c r="D261" s="177" t="s">
        <v>380</v>
      </c>
      <c r="E261" s="179" t="s">
        <v>310</v>
      </c>
      <c r="F261" s="175" t="s">
        <v>330</v>
      </c>
      <c r="G261" s="109">
        <v>1</v>
      </c>
      <c r="H261" s="109"/>
      <c r="I261" s="109"/>
      <c r="J261" s="109">
        <v>12</v>
      </c>
      <c r="K261" s="107">
        <v>12</v>
      </c>
      <c r="L261" s="175"/>
      <c r="M261" s="175"/>
      <c r="N261" s="175"/>
      <c r="O261" s="175"/>
      <c r="P261" s="149">
        <f>IF(Table_Shelter[[#This Row],[Status]]="Open",IF(V261="NO",Table_Shelter[[#This Row],[HH per Shelter]]*(Table_Shelter[[#This Row],['# of Temporary Shelter Units Built]]+Table_Shelter[[#This Row],['# of Temporary Shelter Under  Construction]]+Table_Shelter[[#This Row],['# of Permanent House Under Construction]]),0),0)</f>
        <v>12</v>
      </c>
      <c r="Q261" s="108"/>
      <c r="R261" s="175"/>
      <c r="S261" s="174" t="str">
        <f>IFERROR(VLOOKUP(Table_Shelter[[#This Row],[CampName]],CL,2,0),"")</f>
        <v>MMR001CMP029</v>
      </c>
      <c r="T261" s="174" t="str">
        <f>IFERROR(VLOOKUP(Table_Shelter[[#This Row],[CampName]],CL,3,0),"")</f>
        <v>Open</v>
      </c>
      <c r="U261" s="265">
        <f>IFERROR(Table_Shelter[[#This Row],[HH Covered]]/VLOOKUP(Table_Shelter[[#This Row],[CampName]],CL,5,0),"")</f>
        <v>5.3811659192825115E-2</v>
      </c>
      <c r="V261" s="265" t="s">
        <v>1305</v>
      </c>
      <c r="W261" s="175"/>
    </row>
    <row r="262" spans="1:23" ht="15" customHeight="1" x14ac:dyDescent="0.25">
      <c r="A262" s="579"/>
      <c r="B262" s="175" t="s">
        <v>452</v>
      </c>
      <c r="C262" s="175" t="s">
        <v>506</v>
      </c>
      <c r="D262" s="175" t="s">
        <v>380</v>
      </c>
      <c r="E262" s="179" t="s">
        <v>310</v>
      </c>
      <c r="F262" s="175" t="s">
        <v>330</v>
      </c>
      <c r="G262" s="109">
        <v>1</v>
      </c>
      <c r="H262" s="109"/>
      <c r="I262" s="109"/>
      <c r="J262" s="109">
        <v>78</v>
      </c>
      <c r="K262" s="109">
        <v>78</v>
      </c>
      <c r="L262" s="175"/>
      <c r="M262" s="175"/>
      <c r="N262" s="175"/>
      <c r="O262" s="175"/>
      <c r="P262" s="149">
        <f>IF(Table_Shelter[[#This Row],[Status]]="Open",IF(V262="NO",Table_Shelter[[#This Row],[HH per Shelter]]*(Table_Shelter[[#This Row],['# of Temporary Shelter Units Built]]+Table_Shelter[[#This Row],['# of Temporary Shelter Under  Construction]]+Table_Shelter[[#This Row],['# of Permanent House Under Construction]]),0),0)</f>
        <v>78</v>
      </c>
      <c r="Q262" s="108">
        <v>138</v>
      </c>
      <c r="R262" s="175"/>
      <c r="S262" s="174" t="str">
        <f>IFERROR(VLOOKUP(Table_Shelter[[#This Row],[CampName]],CL,2,0),"")</f>
        <v>MMR001CMP029</v>
      </c>
      <c r="T262" s="174" t="str">
        <f>IFERROR(VLOOKUP(Table_Shelter[[#This Row],[CampName]],CL,3,0),"")</f>
        <v>Open</v>
      </c>
      <c r="U262" s="265">
        <f>IFERROR(Table_Shelter[[#This Row],[HH Covered]]/VLOOKUP(Table_Shelter[[#This Row],[CampName]],CL,5,0),"")</f>
        <v>0.34977578475336324</v>
      </c>
      <c r="V262" s="265" t="s">
        <v>1305</v>
      </c>
      <c r="W262" s="175"/>
    </row>
    <row r="263" spans="1:23" ht="15" customHeight="1" x14ac:dyDescent="0.25">
      <c r="A263" s="580"/>
      <c r="B263" s="173" t="s">
        <v>452</v>
      </c>
      <c r="C263" s="173"/>
      <c r="D263" s="173" t="s">
        <v>380</v>
      </c>
      <c r="E263" s="345" t="s">
        <v>310</v>
      </c>
      <c r="F263" s="173" t="s">
        <v>330</v>
      </c>
      <c r="G263" s="107">
        <v>1</v>
      </c>
      <c r="H263" s="107"/>
      <c r="I263" s="107"/>
      <c r="J263" s="107">
        <v>120</v>
      </c>
      <c r="K263" s="107">
        <v>120</v>
      </c>
      <c r="L263" s="173"/>
      <c r="M263" s="173"/>
      <c r="N263" s="173"/>
      <c r="O263" s="173"/>
      <c r="P263" s="149">
        <f>IF(Table_Shelter[[#This Row],[Status]]="Open",IF(V263="NO",Table_Shelter[[#This Row],[HH per Shelter]]*(Table_Shelter[[#This Row],['# of Temporary Shelter Units Built]]+Table_Shelter[[#This Row],['# of Temporary Shelter Under  Construction]]+Table_Shelter[[#This Row],['# of Permanent House Under Construction]]),0),0)</f>
        <v>120</v>
      </c>
      <c r="Q263" s="106"/>
      <c r="R263" s="173"/>
      <c r="S263" s="174" t="str">
        <f>IFERROR(VLOOKUP(Table_Shelter[[#This Row],[CampName]],CL,2,0),"")</f>
        <v>MMR001CMP029</v>
      </c>
      <c r="T263" s="174" t="str">
        <f>IFERROR(VLOOKUP(Table_Shelter[[#This Row],[CampName]],CL,3,0),"")</f>
        <v>Open</v>
      </c>
      <c r="U263" s="265">
        <f>IFERROR(Table_Shelter[[#This Row],[HH Covered]]/VLOOKUP(Table_Shelter[[#This Row],[CampName]],CL,5,0),"")</f>
        <v>0.53811659192825112</v>
      </c>
      <c r="V263" s="265" t="s">
        <v>1305</v>
      </c>
      <c r="W263" s="175"/>
    </row>
    <row r="264" spans="1:23" ht="15" customHeight="1" x14ac:dyDescent="0.25">
      <c r="A264" s="579"/>
      <c r="B264" s="173" t="s">
        <v>452</v>
      </c>
      <c r="C264" s="173" t="s">
        <v>460</v>
      </c>
      <c r="D264" s="176" t="s">
        <v>380</v>
      </c>
      <c r="E264" s="345" t="s">
        <v>237</v>
      </c>
      <c r="F264" s="173" t="s">
        <v>269</v>
      </c>
      <c r="G264" s="107">
        <v>1</v>
      </c>
      <c r="H264" s="109"/>
      <c r="I264" s="109"/>
      <c r="J264" s="109">
        <v>20</v>
      </c>
      <c r="K264" s="109">
        <v>20</v>
      </c>
      <c r="L264" s="175"/>
      <c r="M264" s="175"/>
      <c r="N264" s="175"/>
      <c r="O264" s="175"/>
      <c r="P264" s="108">
        <f>IF(Table_Shelter[[#This Row],[Status]]="Open",IF(V264="NO",Table_Shelter[[#This Row],[HH per Shelter]]*(Table_Shelter[[#This Row],['# of Temporary Shelter Units Built]]+Table_Shelter[[#This Row],['# of Temporary Shelter Under  Construction]]+Table_Shelter[[#This Row],['# of Permanent House Under Construction]]),0),0)</f>
        <v>20</v>
      </c>
      <c r="Q264" s="108"/>
      <c r="R264" s="175"/>
      <c r="S264" s="175" t="str">
        <f>IFERROR(VLOOKUP(Table_Shelter[[#This Row],[CampName]],CL,2,0),"")</f>
        <v>MMR001CMP002</v>
      </c>
      <c r="T264" s="175" t="str">
        <f>IFERROR(VLOOKUP(Table_Shelter[[#This Row],[CampName]],CL,3,0),"")</f>
        <v>Open</v>
      </c>
      <c r="U264" s="265">
        <f>IFERROR(Table_Shelter[[#This Row],[HH Covered]]/VLOOKUP(Table_Shelter[[#This Row],[CampName]],CL,5,0),"")</f>
        <v>0.29850746268656714</v>
      </c>
      <c r="V264" s="265" t="s">
        <v>1305</v>
      </c>
      <c r="W264" s="175"/>
    </row>
    <row r="265" spans="1:23" ht="15" customHeight="1" x14ac:dyDescent="0.25">
      <c r="A265" s="579"/>
      <c r="B265" s="175" t="s">
        <v>569</v>
      </c>
      <c r="C265" s="175"/>
      <c r="D265" s="175" t="s">
        <v>380</v>
      </c>
      <c r="E265" s="179" t="s">
        <v>310</v>
      </c>
      <c r="F265" s="175" t="s">
        <v>326</v>
      </c>
      <c r="G265" s="109">
        <v>1</v>
      </c>
      <c r="H265" s="109"/>
      <c r="I265" s="109"/>
      <c r="J265" s="109">
        <v>10</v>
      </c>
      <c r="K265" s="109">
        <v>10</v>
      </c>
      <c r="L265" s="175"/>
      <c r="M265" s="175"/>
      <c r="N265" s="175"/>
      <c r="O265" s="175"/>
      <c r="P265" s="149">
        <f>IF(Table_Shelter[[#This Row],[Status]]="Open",IF(V265="NO",Table_Shelter[[#This Row],[HH per Shelter]]*(Table_Shelter[[#This Row],['# of Temporary Shelter Units Built]]+Table_Shelter[[#This Row],['# of Temporary Shelter Under  Construction]]+Table_Shelter[[#This Row],['# of Permanent House Under Construction]]),0),0)</f>
        <v>10</v>
      </c>
      <c r="Q265" s="108"/>
      <c r="R265" s="175"/>
      <c r="S265" s="174" t="str">
        <f>IFERROR(VLOOKUP(Table_Shelter[[#This Row],[CampName]],CL,2,0),"")</f>
        <v>MMR001CMP039</v>
      </c>
      <c r="T265" s="174" t="str">
        <f>IFERROR(VLOOKUP(Table_Shelter[[#This Row],[CampName]],CL,3,0),"")</f>
        <v>Open</v>
      </c>
      <c r="U265" s="265">
        <f>IFERROR(Table_Shelter[[#This Row],[HH Covered]]/VLOOKUP(Table_Shelter[[#This Row],[CampName]],CL,5,0),"")</f>
        <v>0.22222222222222221</v>
      </c>
      <c r="V265" s="265" t="s">
        <v>1305</v>
      </c>
      <c r="W265" s="175"/>
    </row>
    <row r="266" spans="1:23" ht="15" customHeight="1" x14ac:dyDescent="0.25">
      <c r="A266" s="579"/>
      <c r="B266" s="173" t="s">
        <v>452</v>
      </c>
      <c r="C266" s="173" t="s">
        <v>460</v>
      </c>
      <c r="D266" s="176" t="s">
        <v>380</v>
      </c>
      <c r="E266" s="345" t="s">
        <v>310</v>
      </c>
      <c r="F266" s="173" t="s">
        <v>1243</v>
      </c>
      <c r="G266" s="107">
        <v>1</v>
      </c>
      <c r="H266" s="109"/>
      <c r="I266" s="109"/>
      <c r="J266" s="109">
        <v>24</v>
      </c>
      <c r="K266" s="109">
        <v>24</v>
      </c>
      <c r="L266" s="175"/>
      <c r="M266" s="175"/>
      <c r="N266" s="175"/>
      <c r="O266" s="175"/>
      <c r="P266" s="108">
        <f>IF(Table_Shelter[[#This Row],[Status]]="Open",IF(V266="NO",Table_Shelter[[#This Row],[HH per Shelter]]*(Table_Shelter[[#This Row],['# of Temporary Shelter Units Built]]+Table_Shelter[[#This Row],['# of Temporary Shelter Under  Construction]]+Table_Shelter[[#This Row],['# of Permanent House Under Construction]]),0),0)</f>
        <v>24</v>
      </c>
      <c r="Q266" s="108"/>
      <c r="R266" s="175"/>
      <c r="S266" s="175" t="str">
        <f>IFERROR(VLOOKUP(Table_Shelter[[#This Row],[CampName]],CL,2,0),"")</f>
        <v>MMR001CMP120</v>
      </c>
      <c r="T266" s="175" t="str">
        <f>IFERROR(VLOOKUP(Table_Shelter[[#This Row],[CampName]],CL,3,0),"")</f>
        <v>Open</v>
      </c>
      <c r="U266" s="265">
        <f>IFERROR(Table_Shelter[[#This Row],[HH Covered]]/VLOOKUP(Table_Shelter[[#This Row],[CampName]],CL,5,0),"")</f>
        <v>0.13793103448275862</v>
      </c>
      <c r="V266" s="265" t="s">
        <v>1305</v>
      </c>
      <c r="W266" s="175"/>
    </row>
    <row r="267" spans="1:23" ht="15" customHeight="1" x14ac:dyDescent="0.25">
      <c r="A267" s="579"/>
      <c r="B267" s="175" t="s">
        <v>453</v>
      </c>
      <c r="C267" s="175"/>
      <c r="D267" s="175" t="s">
        <v>380</v>
      </c>
      <c r="E267" s="179" t="s">
        <v>151</v>
      </c>
      <c r="F267" s="175" t="s">
        <v>885</v>
      </c>
      <c r="G267" s="109">
        <v>1</v>
      </c>
      <c r="H267" s="109"/>
      <c r="I267" s="109"/>
      <c r="J267" s="109">
        <v>144</v>
      </c>
      <c r="K267" s="109">
        <v>144</v>
      </c>
      <c r="L267" s="175"/>
      <c r="M267" s="175"/>
      <c r="N267" s="175"/>
      <c r="O267" s="175"/>
      <c r="P267" s="149">
        <f>IF(Table_Shelter[[#This Row],[Status]]="Open",IF(V267="NO",Table_Shelter[[#This Row],[HH per Shelter]]*(Table_Shelter[[#This Row],['# of Temporary Shelter Units Built]]+Table_Shelter[[#This Row],['# of Temporary Shelter Under  Construction]]+Table_Shelter[[#This Row],['# of Permanent House Under Construction]]),0),0)</f>
        <v>144</v>
      </c>
      <c r="Q267" s="108"/>
      <c r="R267" s="175"/>
      <c r="S267" s="174" t="str">
        <f>IFERROR(VLOOKUP(Table_Shelter[[#This Row],[CampName]],CL,2,0),"")</f>
        <v>MMR001CMP218</v>
      </c>
      <c r="T267" s="174" t="str">
        <f>IFERROR(VLOOKUP(Table_Shelter[[#This Row],[CampName]],CL,3,0),"")</f>
        <v>Open</v>
      </c>
      <c r="U267" s="265">
        <f>IFERROR(Table_Shelter[[#This Row],[HH Covered]]/VLOOKUP(Table_Shelter[[#This Row],[CampName]],CL,5,0),"")</f>
        <v>0.37017994858611825</v>
      </c>
      <c r="V267" s="265" t="s">
        <v>1305</v>
      </c>
      <c r="W267" s="175"/>
    </row>
    <row r="268" spans="1:23" ht="15" customHeight="1" x14ac:dyDescent="0.25">
      <c r="A268" s="579"/>
      <c r="B268" s="175" t="s">
        <v>1099</v>
      </c>
      <c r="C268" s="175"/>
      <c r="D268" s="175" t="s">
        <v>380</v>
      </c>
      <c r="E268" s="179" t="s">
        <v>151</v>
      </c>
      <c r="F268" s="175" t="s">
        <v>942</v>
      </c>
      <c r="G268" s="109">
        <v>1</v>
      </c>
      <c r="H268" s="109"/>
      <c r="I268" s="109"/>
      <c r="J268" s="109">
        <v>20</v>
      </c>
      <c r="K268" s="109">
        <v>20</v>
      </c>
      <c r="L268" s="175"/>
      <c r="M268" s="175"/>
      <c r="N268" s="175"/>
      <c r="O268" s="175"/>
      <c r="P268" s="149">
        <f>IF(Table_Shelter[[#This Row],[Status]]="Open",IF(V268="NO",Table_Shelter[[#This Row],[HH per Shelter]]*(Table_Shelter[[#This Row],['# of Temporary Shelter Units Built]]+Table_Shelter[[#This Row],['# of Temporary Shelter Under  Construction]]+Table_Shelter[[#This Row],['# of Permanent House Under Construction]]),0),0)</f>
        <v>20</v>
      </c>
      <c r="Q268" s="108"/>
      <c r="R268" s="175"/>
      <c r="S268" s="174" t="str">
        <f>IFERROR(VLOOKUP(Table_Shelter[[#This Row],[CampName]],CL,2,0),"")</f>
        <v>MMR001CMP223</v>
      </c>
      <c r="T268" s="174" t="str">
        <f>IFERROR(VLOOKUP(Table_Shelter[[#This Row],[CampName]],CL,3,0),"")</f>
        <v>Open</v>
      </c>
      <c r="U268" s="265">
        <f>IFERROR(Table_Shelter[[#This Row],[HH Covered]]/VLOOKUP(Table_Shelter[[#This Row],[CampName]],CL,5,0),"")</f>
        <v>0.11976047904191617</v>
      </c>
      <c r="V268" s="265" t="s">
        <v>1305</v>
      </c>
      <c r="W268" s="175"/>
    </row>
    <row r="269" spans="1:23" ht="15" customHeight="1" x14ac:dyDescent="0.25">
      <c r="A269" s="579"/>
      <c r="B269" s="175"/>
      <c r="C269" s="175"/>
      <c r="D269" s="175" t="s">
        <v>380</v>
      </c>
      <c r="E269" s="179" t="s">
        <v>151</v>
      </c>
      <c r="F269" s="175" t="s">
        <v>942</v>
      </c>
      <c r="G269" s="109">
        <v>1</v>
      </c>
      <c r="H269" s="109"/>
      <c r="I269" s="109"/>
      <c r="J269" s="109">
        <v>30</v>
      </c>
      <c r="K269" s="109">
        <v>30</v>
      </c>
      <c r="L269" s="175"/>
      <c r="M269" s="175"/>
      <c r="N269" s="175"/>
      <c r="O269" s="175"/>
      <c r="P269" s="149">
        <f>IF(Table_Shelter[[#This Row],[Status]]="Open",IF(V269="NO",Table_Shelter[[#This Row],[HH per Shelter]]*(Table_Shelter[[#This Row],['# of Temporary Shelter Units Built]]+Table_Shelter[[#This Row],['# of Temporary Shelter Under  Construction]]+Table_Shelter[[#This Row],['# of Permanent House Under Construction]]),0),0)</f>
        <v>30</v>
      </c>
      <c r="Q269" s="108"/>
      <c r="R269" s="175"/>
      <c r="S269" s="174" t="str">
        <f>IFERROR(VLOOKUP(Table_Shelter[[#This Row],[CampName]],CL,2,0),"")</f>
        <v>MMR001CMP223</v>
      </c>
      <c r="T269" s="174" t="str">
        <f>IFERROR(VLOOKUP(Table_Shelter[[#This Row],[CampName]],CL,3,0),"")</f>
        <v>Open</v>
      </c>
      <c r="U269" s="265">
        <f>IFERROR(Table_Shelter[[#This Row],[HH Covered]]/VLOOKUP(Table_Shelter[[#This Row],[CampName]],CL,5,0),"")</f>
        <v>0.17964071856287425</v>
      </c>
      <c r="V269" s="265" t="s">
        <v>1305</v>
      </c>
      <c r="W269" s="175"/>
    </row>
    <row r="270" spans="1:23" ht="15" customHeight="1" x14ac:dyDescent="0.25">
      <c r="A270" s="580"/>
      <c r="B270" s="173" t="s">
        <v>846</v>
      </c>
      <c r="C270" s="173"/>
      <c r="D270" s="173" t="s">
        <v>380</v>
      </c>
      <c r="E270" s="345" t="s">
        <v>185</v>
      </c>
      <c r="F270" s="173" t="s">
        <v>202</v>
      </c>
      <c r="G270" s="107">
        <v>1</v>
      </c>
      <c r="H270" s="107"/>
      <c r="I270" s="107"/>
      <c r="J270" s="107">
        <v>18</v>
      </c>
      <c r="K270" s="107">
        <v>18</v>
      </c>
      <c r="L270" s="173"/>
      <c r="M270" s="173"/>
      <c r="N270" s="173"/>
      <c r="O270" s="173"/>
      <c r="P270" s="149">
        <f>IF(Table_Shelter[[#This Row],[Status]]="Open",IF(V270="NO",Table_Shelter[[#This Row],[HH per Shelter]]*(Table_Shelter[[#This Row],['# of Temporary Shelter Units Built]]+Table_Shelter[[#This Row],['# of Temporary Shelter Under  Construction]]+Table_Shelter[[#This Row],['# of Permanent House Under Construction]]),0),0)</f>
        <v>18</v>
      </c>
      <c r="Q270" s="106"/>
      <c r="R270" s="173"/>
      <c r="S270" s="174" t="str">
        <f>IFERROR(VLOOKUP(Table_Shelter[[#This Row],[CampName]],CL,2,0),"")</f>
        <v>MMR001CMP062</v>
      </c>
      <c r="T270" s="174" t="str">
        <f>IFERROR(VLOOKUP(Table_Shelter[[#This Row],[CampName]],CL,3,0),"")</f>
        <v>Open</v>
      </c>
      <c r="U270" s="265">
        <f>IFERROR(Table_Shelter[[#This Row],[HH Covered]]/VLOOKUP(Table_Shelter[[#This Row],[CampName]],CL,5,0),"")</f>
        <v>6.7924528301886791E-2</v>
      </c>
      <c r="V270" s="265" t="s">
        <v>1305</v>
      </c>
      <c r="W270" s="175"/>
    </row>
    <row r="271" spans="1:23" ht="15" customHeight="1" x14ac:dyDescent="0.25">
      <c r="A271" s="580"/>
      <c r="B271" s="173" t="s">
        <v>452</v>
      </c>
      <c r="C271" s="173"/>
      <c r="D271" s="173" t="s">
        <v>380</v>
      </c>
      <c r="E271" s="345" t="s">
        <v>185</v>
      </c>
      <c r="F271" s="173" t="s">
        <v>202</v>
      </c>
      <c r="G271" s="107">
        <v>1</v>
      </c>
      <c r="H271" s="107"/>
      <c r="I271" s="107"/>
      <c r="J271" s="107">
        <v>55</v>
      </c>
      <c r="K271" s="107">
        <v>55</v>
      </c>
      <c r="L271" s="173"/>
      <c r="M271" s="173"/>
      <c r="N271" s="173"/>
      <c r="O271" s="173"/>
      <c r="P271" s="149">
        <f>IF(Table_Shelter[[#This Row],[Status]]="Open",IF(V271="NO",Table_Shelter[[#This Row],[HH per Shelter]]*(Table_Shelter[[#This Row],['# of Temporary Shelter Units Built]]+Table_Shelter[[#This Row],['# of Temporary Shelter Under  Construction]]+Table_Shelter[[#This Row],['# of Permanent House Under Construction]]),0),0)</f>
        <v>55</v>
      </c>
      <c r="Q271" s="106"/>
      <c r="R271" s="173"/>
      <c r="S271" s="174" t="str">
        <f>IFERROR(VLOOKUP(Table_Shelter[[#This Row],[CampName]],CL,2,0),"")</f>
        <v>MMR001CMP062</v>
      </c>
      <c r="T271" s="174" t="str">
        <f>IFERROR(VLOOKUP(Table_Shelter[[#This Row],[CampName]],CL,3,0),"")</f>
        <v>Open</v>
      </c>
      <c r="U271" s="265">
        <f>IFERROR(Table_Shelter[[#This Row],[HH Covered]]/VLOOKUP(Table_Shelter[[#This Row],[CampName]],CL,5,0),"")</f>
        <v>0.20754716981132076</v>
      </c>
      <c r="V271" s="265" t="s">
        <v>1305</v>
      </c>
      <c r="W271" s="175"/>
    </row>
    <row r="272" spans="1:23" ht="15" customHeight="1" x14ac:dyDescent="0.25">
      <c r="A272" s="580"/>
      <c r="B272" s="173" t="s">
        <v>452</v>
      </c>
      <c r="C272" s="173"/>
      <c r="D272" s="173" t="s">
        <v>380</v>
      </c>
      <c r="E272" s="345" t="s">
        <v>237</v>
      </c>
      <c r="F272" s="173" t="s">
        <v>261</v>
      </c>
      <c r="G272" s="107">
        <v>1</v>
      </c>
      <c r="H272" s="107"/>
      <c r="I272" s="107"/>
      <c r="J272" s="107">
        <v>20</v>
      </c>
      <c r="K272" s="107">
        <v>20</v>
      </c>
      <c r="L272" s="173"/>
      <c r="M272" s="173"/>
      <c r="N272" s="173"/>
      <c r="O272" s="173"/>
      <c r="P272" s="149">
        <f>IF(Table_Shelter[[#This Row],[Status]]="Open",IF(V272="NO",Table_Shelter[[#This Row],[HH per Shelter]]*(Table_Shelter[[#This Row],['# of Temporary Shelter Units Built]]+Table_Shelter[[#This Row],['# of Temporary Shelter Under  Construction]]+Table_Shelter[[#This Row],['# of Permanent House Under Construction]]),0),0)</f>
        <v>20</v>
      </c>
      <c r="Q272" s="106"/>
      <c r="R272" s="173"/>
      <c r="S272" s="174" t="str">
        <f>IFERROR(VLOOKUP(Table_Shelter[[#This Row],[CampName]],CL,2,0),"")</f>
        <v>MMR001CMP008</v>
      </c>
      <c r="T272" s="174" t="str">
        <f>IFERROR(VLOOKUP(Table_Shelter[[#This Row],[CampName]],CL,3,0),"")</f>
        <v>Open</v>
      </c>
      <c r="U272" s="265">
        <f>IFERROR(Table_Shelter[[#This Row],[HH Covered]]/VLOOKUP(Table_Shelter[[#This Row],[CampName]],CL,5,0),"")</f>
        <v>0.19801980198019803</v>
      </c>
      <c r="V272" s="265" t="s">
        <v>1305</v>
      </c>
      <c r="W272" s="175"/>
    </row>
    <row r="273" spans="1:23" ht="15" customHeight="1" x14ac:dyDescent="0.25">
      <c r="A273" s="580"/>
      <c r="B273" s="173" t="s">
        <v>846</v>
      </c>
      <c r="C273" s="173"/>
      <c r="D273" s="173" t="s">
        <v>380</v>
      </c>
      <c r="E273" s="345" t="s">
        <v>151</v>
      </c>
      <c r="F273" s="173" t="s">
        <v>160</v>
      </c>
      <c r="G273" s="107">
        <v>1</v>
      </c>
      <c r="H273" s="107"/>
      <c r="I273" s="107"/>
      <c r="J273" s="107">
        <v>15</v>
      </c>
      <c r="K273" s="107">
        <v>15</v>
      </c>
      <c r="L273" s="173"/>
      <c r="M273" s="173"/>
      <c r="N273" s="173"/>
      <c r="O273" s="173"/>
      <c r="P273" s="149">
        <f>IF(Table_Shelter[[#This Row],[Status]]="Open",IF(V273="NO",Table_Shelter[[#This Row],[HH per Shelter]]*(Table_Shelter[[#This Row],['# of Temporary Shelter Units Built]]+Table_Shelter[[#This Row],['# of Temporary Shelter Under  Construction]]+Table_Shelter[[#This Row],['# of Permanent House Under Construction]]),0),0)</f>
        <v>15</v>
      </c>
      <c r="Q273" s="106"/>
      <c r="R273" s="173"/>
      <c r="S273" s="174" t="str">
        <f>IFERROR(VLOOKUP(Table_Shelter[[#This Row],[CampName]],CL,2,0),"")</f>
        <v>MMR001CMP133</v>
      </c>
      <c r="T273" s="174" t="str">
        <f>IFERROR(VLOOKUP(Table_Shelter[[#This Row],[CampName]],CL,3,0),"")</f>
        <v>Open</v>
      </c>
      <c r="U273" s="265">
        <f>IFERROR(Table_Shelter[[#This Row],[HH Covered]]/VLOOKUP(Table_Shelter[[#This Row],[CampName]],CL,5,0),"")</f>
        <v>0.14018691588785046</v>
      </c>
      <c r="V273" s="265" t="s">
        <v>1305</v>
      </c>
      <c r="W273" s="175"/>
    </row>
    <row r="274" spans="1:23" ht="15" customHeight="1" x14ac:dyDescent="0.25">
      <c r="A274" s="579"/>
      <c r="B274" s="173" t="s">
        <v>847</v>
      </c>
      <c r="C274" s="173" t="s">
        <v>460</v>
      </c>
      <c r="D274" s="176" t="s">
        <v>380</v>
      </c>
      <c r="E274" s="345" t="s">
        <v>310</v>
      </c>
      <c r="F274" s="173" t="s">
        <v>342</v>
      </c>
      <c r="G274" s="107">
        <v>1</v>
      </c>
      <c r="H274" s="109"/>
      <c r="I274" s="109"/>
      <c r="J274" s="109">
        <v>8</v>
      </c>
      <c r="K274" s="109">
        <v>8</v>
      </c>
      <c r="L274" s="175"/>
      <c r="M274" s="175"/>
      <c r="N274" s="175"/>
      <c r="O274" s="175"/>
      <c r="P274" s="108">
        <f>IF(Table_Shelter[[#This Row],[Status]]="Open",IF(V274="NO",Table_Shelter[[#This Row],[HH per Shelter]]*(Table_Shelter[[#This Row],['# of Temporary Shelter Units Built]]+Table_Shelter[[#This Row],['# of Temporary Shelter Under  Construction]]+Table_Shelter[[#This Row],['# of Permanent House Under Construction]]),0),0)</f>
        <v>8</v>
      </c>
      <c r="Q274" s="108"/>
      <c r="R274" s="175"/>
      <c r="S274" s="175" t="str">
        <f>IFERROR(VLOOKUP(Table_Shelter[[#This Row],[CampName]],CL,2,0),"")</f>
        <v>MMR001CMP025</v>
      </c>
      <c r="T274" s="175" t="str">
        <f>IFERROR(VLOOKUP(Table_Shelter[[#This Row],[CampName]],CL,3,0),"")</f>
        <v>Open</v>
      </c>
      <c r="U274" s="265">
        <f>IFERROR(Table_Shelter[[#This Row],[HH Covered]]/VLOOKUP(Table_Shelter[[#This Row],[CampName]],CL,5,0),"")</f>
        <v>0.125</v>
      </c>
      <c r="V274" s="265" t="s">
        <v>1305</v>
      </c>
      <c r="W274" s="175"/>
    </row>
    <row r="275" spans="1:23" ht="15" customHeight="1" x14ac:dyDescent="0.25">
      <c r="A275" s="580"/>
      <c r="B275" s="173" t="s">
        <v>452</v>
      </c>
      <c r="C275" s="173" t="s">
        <v>459</v>
      </c>
      <c r="D275" s="173" t="s">
        <v>380</v>
      </c>
      <c r="E275" s="345" t="s">
        <v>151</v>
      </c>
      <c r="F275" s="173" t="s">
        <v>154</v>
      </c>
      <c r="G275" s="107">
        <v>1</v>
      </c>
      <c r="H275" s="107"/>
      <c r="I275" s="107"/>
      <c r="J275" s="107">
        <v>200</v>
      </c>
      <c r="K275" s="107">
        <v>200</v>
      </c>
      <c r="L275" s="173"/>
      <c r="M275" s="173"/>
      <c r="N275" s="173"/>
      <c r="O275" s="173"/>
      <c r="P275" s="149">
        <f>IF(Table_Shelter[[#This Row],[Status]]="Open",IF(V275="NO",Table_Shelter[[#This Row],[HH per Shelter]]*(Table_Shelter[[#This Row],['# of Temporary Shelter Units Built]]+Table_Shelter[[#This Row],['# of Temporary Shelter Under  Construction]]+Table_Shelter[[#This Row],['# of Permanent House Under Construction]]),0),0)</f>
        <v>200</v>
      </c>
      <c r="Q275" s="106"/>
      <c r="R275" s="173"/>
      <c r="S275" s="174" t="str">
        <f>IFERROR(VLOOKUP(Table_Shelter[[#This Row],[CampName]],CL,2,0),"")</f>
        <v>MMR001CMP132</v>
      </c>
      <c r="T275" s="174" t="str">
        <f>IFERROR(VLOOKUP(Table_Shelter[[#This Row],[CampName]],CL,3,0),"")</f>
        <v>Open</v>
      </c>
      <c r="U275" s="265">
        <f>IFERROR(Table_Shelter[[#This Row],[HH Covered]]/VLOOKUP(Table_Shelter[[#This Row],[CampName]],CL,5,0),"")</f>
        <v>0.41666666666666669</v>
      </c>
      <c r="V275" s="265" t="s">
        <v>1305</v>
      </c>
      <c r="W275" s="175"/>
    </row>
    <row r="276" spans="1:23" ht="15" customHeight="1" x14ac:dyDescent="0.25">
      <c r="A276" s="580"/>
      <c r="B276" s="173" t="s">
        <v>846</v>
      </c>
      <c r="C276" s="173"/>
      <c r="D276" s="173" t="s">
        <v>380</v>
      </c>
      <c r="E276" s="345" t="s">
        <v>185</v>
      </c>
      <c r="F276" s="173" t="s">
        <v>207</v>
      </c>
      <c r="G276" s="107">
        <v>1</v>
      </c>
      <c r="H276" s="107"/>
      <c r="I276" s="107"/>
      <c r="J276" s="107">
        <v>6</v>
      </c>
      <c r="K276" s="107">
        <v>6</v>
      </c>
      <c r="L276" s="173"/>
      <c r="M276" s="173"/>
      <c r="N276" s="173"/>
      <c r="O276" s="173"/>
      <c r="P276" s="149">
        <f>IF(Table_Shelter[[#This Row],[Status]]="Open",IF(V276="NO",Table_Shelter[[#This Row],[HH per Shelter]]*(Table_Shelter[[#This Row],['# of Temporary Shelter Units Built]]+Table_Shelter[[#This Row],['# of Temporary Shelter Under  Construction]]+Table_Shelter[[#This Row],['# of Permanent House Under Construction]]),0),0)</f>
        <v>0</v>
      </c>
      <c r="Q276" s="106"/>
      <c r="R276" s="173"/>
      <c r="S276" s="174" t="str">
        <f>IFERROR(VLOOKUP(Table_Shelter[[#This Row],[CampName]],CL,2,0),"")</f>
        <v>MMR001CMP058</v>
      </c>
      <c r="T276" s="174" t="str">
        <f>IFERROR(VLOOKUP(Table_Shelter[[#This Row],[CampName]],CL,3,0),"")</f>
        <v>Closed</v>
      </c>
      <c r="U276" s="265" t="str">
        <f>IFERROR(Table_Shelter[[#This Row],[HH Covered]]/VLOOKUP(Table_Shelter[[#This Row],[CampName]],CL,5,0),"")</f>
        <v/>
      </c>
      <c r="V276" s="265" t="s">
        <v>1305</v>
      </c>
      <c r="W276" s="175"/>
    </row>
    <row r="277" spans="1:23" ht="15" customHeight="1" x14ac:dyDescent="0.25">
      <c r="A277" s="580"/>
      <c r="B277" s="173" t="s">
        <v>452</v>
      </c>
      <c r="C277" s="173" t="s">
        <v>505</v>
      </c>
      <c r="D277" s="173" t="s">
        <v>380</v>
      </c>
      <c r="E277" s="345" t="s">
        <v>185</v>
      </c>
      <c r="F277" s="173" t="s">
        <v>207</v>
      </c>
      <c r="G277" s="107">
        <v>1</v>
      </c>
      <c r="H277" s="107"/>
      <c r="I277" s="107"/>
      <c r="J277" s="107"/>
      <c r="K277" s="107"/>
      <c r="L277" s="173"/>
      <c r="M277" s="173"/>
      <c r="N277" s="173"/>
      <c r="O277" s="173"/>
      <c r="P277" s="149">
        <f>IF(Table_Shelter[[#This Row],[Status]]="Open",IF(V277="NO",Table_Shelter[[#This Row],[HH per Shelter]]*(Table_Shelter[[#This Row],['# of Temporary Shelter Units Built]]+Table_Shelter[[#This Row],['# of Temporary Shelter Under  Construction]]+Table_Shelter[[#This Row],['# of Permanent House Under Construction]]),0),0)</f>
        <v>0</v>
      </c>
      <c r="Q277" s="106">
        <v>5</v>
      </c>
      <c r="R277" s="173"/>
      <c r="S277" s="174" t="str">
        <f>IFERROR(VLOOKUP(Table_Shelter[[#This Row],[CampName]],CL,2,0),"")</f>
        <v>MMR001CMP058</v>
      </c>
      <c r="T277" s="174" t="str">
        <f>IFERROR(VLOOKUP(Table_Shelter[[#This Row],[CampName]],CL,3,0),"")</f>
        <v>Closed</v>
      </c>
      <c r="U277" s="265" t="str">
        <f>IFERROR(Table_Shelter[[#This Row],[HH Covered]]/VLOOKUP(Table_Shelter[[#This Row],[CampName]],CL,5,0),"")</f>
        <v/>
      </c>
      <c r="V277" s="265" t="s">
        <v>1305</v>
      </c>
      <c r="W277" s="175"/>
    </row>
    <row r="278" spans="1:23" ht="15" customHeight="1" x14ac:dyDescent="0.25">
      <c r="A278" s="579"/>
      <c r="B278" s="173" t="s">
        <v>452</v>
      </c>
      <c r="C278" s="173" t="s">
        <v>460</v>
      </c>
      <c r="D278" s="176" t="s">
        <v>380</v>
      </c>
      <c r="E278" s="345" t="s">
        <v>310</v>
      </c>
      <c r="F278" s="173" t="s">
        <v>342</v>
      </c>
      <c r="G278" s="107">
        <v>1</v>
      </c>
      <c r="H278" s="109"/>
      <c r="I278" s="109"/>
      <c r="J278" s="109">
        <v>10</v>
      </c>
      <c r="K278" s="109">
        <v>10</v>
      </c>
      <c r="L278" s="175"/>
      <c r="M278" s="175"/>
      <c r="N278" s="175"/>
      <c r="O278" s="175"/>
      <c r="P278" s="108">
        <f>IF(Table_Shelter[[#This Row],[Status]]="Open",IF(V278="NO",Table_Shelter[[#This Row],[HH per Shelter]]*(Table_Shelter[[#This Row],['# of Temporary Shelter Units Built]]+Table_Shelter[[#This Row],['# of Temporary Shelter Under  Construction]]+Table_Shelter[[#This Row],['# of Permanent House Under Construction]]),0),0)</f>
        <v>10</v>
      </c>
      <c r="Q278" s="108"/>
      <c r="R278" s="175"/>
      <c r="S278" s="175" t="str">
        <f>IFERROR(VLOOKUP(Table_Shelter[[#This Row],[CampName]],CL,2,0),"")</f>
        <v>MMR001CMP025</v>
      </c>
      <c r="T278" s="175" t="str">
        <f>IFERROR(VLOOKUP(Table_Shelter[[#This Row],[CampName]],CL,3,0),"")</f>
        <v>Open</v>
      </c>
      <c r="U278" s="265">
        <f>IFERROR(Table_Shelter[[#This Row],[HH Covered]]/VLOOKUP(Table_Shelter[[#This Row],[CampName]],CL,5,0),"")</f>
        <v>0.15625</v>
      </c>
      <c r="V278" s="265" t="s">
        <v>1305</v>
      </c>
      <c r="W278" s="175"/>
    </row>
    <row r="279" spans="1:23" ht="15" customHeight="1" x14ac:dyDescent="0.25">
      <c r="A279" s="580"/>
      <c r="B279" s="173" t="s">
        <v>452</v>
      </c>
      <c r="C279" s="173"/>
      <c r="D279" s="173" t="s">
        <v>380</v>
      </c>
      <c r="E279" s="345" t="s">
        <v>151</v>
      </c>
      <c r="F279" s="173" t="s">
        <v>152</v>
      </c>
      <c r="G279" s="107">
        <v>1</v>
      </c>
      <c r="H279" s="107"/>
      <c r="I279" s="107"/>
      <c r="J279" s="107">
        <v>41</v>
      </c>
      <c r="K279" s="107">
        <v>10</v>
      </c>
      <c r="L279" s="173"/>
      <c r="M279" s="173"/>
      <c r="N279" s="173"/>
      <c r="O279" s="173"/>
      <c r="P279" s="149">
        <f>IF(Table_Shelter[[#This Row],[Status]]="Open",IF(V279="NO",Table_Shelter[[#This Row],[HH per Shelter]]*(Table_Shelter[[#This Row],['# of Temporary Shelter Units Built]]+Table_Shelter[[#This Row],['# of Temporary Shelter Under  Construction]]+Table_Shelter[[#This Row],['# of Permanent House Under Construction]]),0),0)</f>
        <v>10</v>
      </c>
      <c r="Q279" s="106"/>
      <c r="R279" s="173"/>
      <c r="S279" s="174" t="str">
        <f>IFERROR(VLOOKUP(Table_Shelter[[#This Row],[CampName]],CL,2,0),"")</f>
        <v>MMR001CMP066</v>
      </c>
      <c r="T279" s="174" t="str">
        <f>IFERROR(VLOOKUP(Table_Shelter[[#This Row],[CampName]],CL,3,0),"")</f>
        <v>Open</v>
      </c>
      <c r="U279" s="265">
        <f>IFERROR(Table_Shelter[[#This Row],[HH Covered]]/VLOOKUP(Table_Shelter[[#This Row],[CampName]],CL,5,0),"")</f>
        <v>5.128205128205128E-2</v>
      </c>
      <c r="V279" s="265" t="s">
        <v>1305</v>
      </c>
      <c r="W279" s="175"/>
    </row>
    <row r="280" spans="1:23" ht="15" customHeight="1" x14ac:dyDescent="0.25">
      <c r="A280" s="580"/>
      <c r="B280" s="173" t="s">
        <v>847</v>
      </c>
      <c r="C280" s="173" t="s">
        <v>847</v>
      </c>
      <c r="D280" s="173" t="s">
        <v>380</v>
      </c>
      <c r="E280" s="345" t="s">
        <v>527</v>
      </c>
      <c r="F280" s="173" t="s">
        <v>54</v>
      </c>
      <c r="G280" s="107">
        <v>1</v>
      </c>
      <c r="H280" s="107"/>
      <c r="I280" s="107"/>
      <c r="J280" s="107">
        <v>10</v>
      </c>
      <c r="K280" s="107">
        <v>10</v>
      </c>
      <c r="L280" s="173"/>
      <c r="M280" s="173"/>
      <c r="N280" s="173"/>
      <c r="O280" s="173"/>
      <c r="P280" s="149">
        <f>IF(Table_Shelter[[#This Row],[Status]]="Open",IF(V280="NO",Table_Shelter[[#This Row],[HH per Shelter]]*(Table_Shelter[[#This Row],['# of Temporary Shelter Units Built]]+Table_Shelter[[#This Row],['# of Temporary Shelter Under  Construction]]+Table_Shelter[[#This Row],['# of Permanent House Under Construction]]),0),0)</f>
        <v>0</v>
      </c>
      <c r="Q280" s="106"/>
      <c r="R280" s="173"/>
      <c r="S280" s="174" t="str">
        <f>IFERROR(VLOOKUP(Table_Shelter[[#This Row],[CampName]],CL,2,0),"")</f>
        <v>MMR001CMP094</v>
      </c>
      <c r="T280" s="174" t="str">
        <f>IFERROR(VLOOKUP(Table_Shelter[[#This Row],[CampName]],CL,3,0),"")</f>
        <v>Closed</v>
      </c>
      <c r="U280" s="265" t="str">
        <f>IFERROR(Table_Shelter[[#This Row],[HH Covered]]/VLOOKUP(Table_Shelter[[#This Row],[CampName]],CL,5,0),"")</f>
        <v/>
      </c>
      <c r="V280" s="265" t="s">
        <v>1305</v>
      </c>
      <c r="W280" s="175"/>
    </row>
    <row r="281" spans="1:23" ht="15" customHeight="1" x14ac:dyDescent="0.25">
      <c r="A281" s="580"/>
      <c r="B281" s="173" t="s">
        <v>452</v>
      </c>
      <c r="C281" s="173" t="s">
        <v>505</v>
      </c>
      <c r="D281" s="173" t="s">
        <v>380</v>
      </c>
      <c r="E281" s="345" t="s">
        <v>527</v>
      </c>
      <c r="F281" s="173" t="s">
        <v>54</v>
      </c>
      <c r="G281" s="107">
        <v>1</v>
      </c>
      <c r="H281" s="107"/>
      <c r="I281" s="107"/>
      <c r="J281" s="107">
        <v>10</v>
      </c>
      <c r="K281" s="107">
        <v>10</v>
      </c>
      <c r="L281" s="173"/>
      <c r="M281" s="173"/>
      <c r="N281" s="173"/>
      <c r="O281" s="173"/>
      <c r="P281" s="149">
        <f>IF(Table_Shelter[[#This Row],[Status]]="Open",IF(V281="NO",Table_Shelter[[#This Row],[HH per Shelter]]*(Table_Shelter[[#This Row],['# of Temporary Shelter Units Built]]+Table_Shelter[[#This Row],['# of Temporary Shelter Under  Construction]]+Table_Shelter[[#This Row],['# of Permanent House Under Construction]]),0),0)</f>
        <v>0</v>
      </c>
      <c r="Q281" s="106"/>
      <c r="R281" s="173"/>
      <c r="S281" s="174" t="str">
        <f>IFERROR(VLOOKUP(Table_Shelter[[#This Row],[CampName]],CL,2,0),"")</f>
        <v>MMR001CMP094</v>
      </c>
      <c r="T281" s="174" t="str">
        <f>IFERROR(VLOOKUP(Table_Shelter[[#This Row],[CampName]],CL,3,0),"")</f>
        <v>Closed</v>
      </c>
      <c r="U281" s="265" t="str">
        <f>IFERROR(Table_Shelter[[#This Row],[HH Covered]]/VLOOKUP(Table_Shelter[[#This Row],[CampName]],CL,5,0),"")</f>
        <v/>
      </c>
      <c r="V281" s="265" t="s">
        <v>1305</v>
      </c>
      <c r="W281" s="175"/>
    </row>
    <row r="282" spans="1:23" ht="15" customHeight="1" x14ac:dyDescent="0.25">
      <c r="A282" s="579"/>
      <c r="B282" s="175" t="s">
        <v>452</v>
      </c>
      <c r="C282" s="175" t="s">
        <v>505</v>
      </c>
      <c r="D282" s="175" t="s">
        <v>380</v>
      </c>
      <c r="E282" s="179" t="s">
        <v>237</v>
      </c>
      <c r="F282" s="175" t="s">
        <v>263</v>
      </c>
      <c r="G282" s="109">
        <v>1</v>
      </c>
      <c r="H282" s="109"/>
      <c r="I282" s="109"/>
      <c r="J282" s="109">
        <v>27</v>
      </c>
      <c r="K282" s="109">
        <v>27</v>
      </c>
      <c r="L282" s="175"/>
      <c r="M282" s="175"/>
      <c r="N282" s="175"/>
      <c r="O282" s="175"/>
      <c r="P282" s="149">
        <f>IF(Table_Shelter[[#This Row],[Status]]="Open",IF(V282="NO",Table_Shelter[[#This Row],[HH per Shelter]]*(Table_Shelter[[#This Row],['# of Temporary Shelter Units Built]]+Table_Shelter[[#This Row],['# of Temporary Shelter Under  Construction]]+Table_Shelter[[#This Row],['# of Permanent House Under Construction]]),0),0)</f>
        <v>27</v>
      </c>
      <c r="Q282" s="108"/>
      <c r="R282" s="175"/>
      <c r="S282" s="174" t="str">
        <f>IFERROR(VLOOKUP(Table_Shelter[[#This Row],[CampName]],CL,2,0),"")</f>
        <v>MMR001CMP020</v>
      </c>
      <c r="T282" s="174" t="str">
        <f>IFERROR(VLOOKUP(Table_Shelter[[#This Row],[CampName]],CL,3,0),"")</f>
        <v>Open</v>
      </c>
      <c r="U282" s="265">
        <f>IFERROR(Table_Shelter[[#This Row],[HH Covered]]/VLOOKUP(Table_Shelter[[#This Row],[CampName]],CL,5,0),"")</f>
        <v>1.2857142857142858</v>
      </c>
      <c r="V282" s="265" t="s">
        <v>1305</v>
      </c>
      <c r="W282" s="175"/>
    </row>
    <row r="283" spans="1:23" ht="15" customHeight="1" x14ac:dyDescent="0.25">
      <c r="A283" s="580"/>
      <c r="B283" s="173" t="s">
        <v>452</v>
      </c>
      <c r="C283" s="173" t="s">
        <v>505</v>
      </c>
      <c r="D283" s="173" t="s">
        <v>380</v>
      </c>
      <c r="E283" s="345" t="s">
        <v>237</v>
      </c>
      <c r="F283" s="173" t="s">
        <v>265</v>
      </c>
      <c r="G283" s="107">
        <v>1</v>
      </c>
      <c r="H283" s="107"/>
      <c r="I283" s="107"/>
      <c r="J283" s="107">
        <v>4</v>
      </c>
      <c r="K283" s="107">
        <v>4</v>
      </c>
      <c r="L283" s="173"/>
      <c r="M283" s="173"/>
      <c r="N283" s="173"/>
      <c r="O283" s="173"/>
      <c r="P283" s="149">
        <f>IF(Table_Shelter[[#This Row],[Status]]="Open",IF(V283="NO",Table_Shelter[[#This Row],[HH per Shelter]]*(Table_Shelter[[#This Row],['# of Temporary Shelter Units Built]]+Table_Shelter[[#This Row],['# of Temporary Shelter Under  Construction]]+Table_Shelter[[#This Row],['# of Permanent House Under Construction]]),0),0)</f>
        <v>4</v>
      </c>
      <c r="Q283" s="106"/>
      <c r="R283" s="173"/>
      <c r="S283" s="174" t="str">
        <f>IFERROR(VLOOKUP(Table_Shelter[[#This Row],[CampName]],CL,2,0),"")</f>
        <v>MMR001CMP021</v>
      </c>
      <c r="T283" s="174" t="str">
        <f>IFERROR(VLOOKUP(Table_Shelter[[#This Row],[CampName]],CL,3,0),"")</f>
        <v>Open</v>
      </c>
      <c r="U283" s="265">
        <f>IFERROR(Table_Shelter[[#This Row],[HH Covered]]/VLOOKUP(Table_Shelter[[#This Row],[CampName]],CL,5,0),"")</f>
        <v>0.2857142857142857</v>
      </c>
      <c r="V283" s="265" t="s">
        <v>1305</v>
      </c>
      <c r="W283" s="175"/>
    </row>
    <row r="284" spans="1:23" ht="15" customHeight="1" x14ac:dyDescent="0.25">
      <c r="A284" s="577"/>
      <c r="B284" s="174" t="s">
        <v>452</v>
      </c>
      <c r="C284" s="174" t="s">
        <v>505</v>
      </c>
      <c r="D284" s="174" t="s">
        <v>380</v>
      </c>
      <c r="E284" s="178" t="s">
        <v>527</v>
      </c>
      <c r="F284" s="174" t="s">
        <v>100</v>
      </c>
      <c r="G284" s="148">
        <v>1</v>
      </c>
      <c r="H284" s="148"/>
      <c r="I284" s="148"/>
      <c r="J284" s="148">
        <v>5</v>
      </c>
      <c r="K284" s="148">
        <v>5</v>
      </c>
      <c r="L284" s="174"/>
      <c r="M284" s="174"/>
      <c r="N284" s="174"/>
      <c r="O284" s="174"/>
      <c r="P284" s="149">
        <f>IF(Table_Shelter[[#This Row],[Status]]="Open",IF(V284="NO",Table_Shelter[[#This Row],[HH per Shelter]]*(Table_Shelter[[#This Row],['# of Temporary Shelter Units Built]]+Table_Shelter[[#This Row],['# of Temporary Shelter Under  Construction]]+Table_Shelter[[#This Row],['# of Permanent House Under Construction]]),0),0)</f>
        <v>5</v>
      </c>
      <c r="Q284" s="149"/>
      <c r="R284" s="174"/>
      <c r="S284" s="174" t="str">
        <f>IFERROR(VLOOKUP(Table_Shelter[[#This Row],[CampName]],CL,2,0),"")</f>
        <v>MMR001CMP091</v>
      </c>
      <c r="T284" s="174" t="str">
        <f>IFERROR(VLOOKUP(Table_Shelter[[#This Row],[CampName]],CL,3,0),"")</f>
        <v>Open</v>
      </c>
      <c r="U284" s="265">
        <f>IFERROR(Table_Shelter[[#This Row],[HH Covered]]/VLOOKUP(Table_Shelter[[#This Row],[CampName]],CL,5,0),"")</f>
        <v>1.25</v>
      </c>
      <c r="V284" s="265" t="s">
        <v>1305</v>
      </c>
      <c r="W284" s="175"/>
    </row>
    <row r="285" spans="1:23" ht="15" customHeight="1" x14ac:dyDescent="0.25">
      <c r="A285" s="577"/>
      <c r="B285" s="174" t="s">
        <v>1097</v>
      </c>
      <c r="C285" s="174" t="s">
        <v>944</v>
      </c>
      <c r="D285" s="174" t="s">
        <v>553</v>
      </c>
      <c r="E285" s="178" t="s">
        <v>146</v>
      </c>
      <c r="F285" s="174" t="s">
        <v>368</v>
      </c>
      <c r="G285" s="148">
        <v>1</v>
      </c>
      <c r="H285" s="148"/>
      <c r="I285" s="148"/>
      <c r="J285" s="148">
        <v>63</v>
      </c>
      <c r="K285" s="148">
        <v>63</v>
      </c>
      <c r="L285" s="174"/>
      <c r="M285" s="174"/>
      <c r="N285" s="174"/>
      <c r="O285" s="174"/>
      <c r="P285" s="149">
        <f>IF(Table_Shelter[[#This Row],[Status]]="Open",IF(V285="NO",Table_Shelter[[#This Row],[HH per Shelter]]*(Table_Shelter[[#This Row],['# of Temporary Shelter Units Built]]+Table_Shelter[[#This Row],['# of Temporary Shelter Under  Construction]]+Table_Shelter[[#This Row],['# of Permanent House Under Construction]]),0),0)</f>
        <v>63</v>
      </c>
      <c r="Q285" s="149"/>
      <c r="R285" s="174"/>
      <c r="S285" s="174" t="str">
        <f>IFERROR(VLOOKUP(Table_Shelter[[#This Row],[CampName]],CL,2,0),"")</f>
        <v>MMR015CMP018</v>
      </c>
      <c r="T285" s="174" t="str">
        <f>IFERROR(VLOOKUP(Table_Shelter[[#This Row],[CampName]],CL,3,0),"")</f>
        <v>Open</v>
      </c>
      <c r="U285" s="265">
        <f>IFERROR(Table_Shelter[[#This Row],[HH Covered]]/VLOOKUP(Table_Shelter[[#This Row],[CampName]],CL,5,0),"")</f>
        <v>0.91304347826086951</v>
      </c>
      <c r="V285" s="265" t="s">
        <v>1305</v>
      </c>
      <c r="W285" s="175"/>
    </row>
    <row r="286" spans="1:23" ht="15" customHeight="1" x14ac:dyDescent="0.25">
      <c r="A286" s="579"/>
      <c r="B286" s="173" t="s">
        <v>847</v>
      </c>
      <c r="C286" s="173" t="s">
        <v>846</v>
      </c>
      <c r="D286" s="176" t="s">
        <v>380</v>
      </c>
      <c r="E286" s="345" t="s">
        <v>185</v>
      </c>
      <c r="F286" s="173" t="s">
        <v>209</v>
      </c>
      <c r="G286" s="107">
        <v>1</v>
      </c>
      <c r="H286" s="109"/>
      <c r="I286" s="109"/>
      <c r="J286" s="109">
        <v>32</v>
      </c>
      <c r="K286" s="109">
        <v>32</v>
      </c>
      <c r="L286" s="175"/>
      <c r="M286" s="175"/>
      <c r="N286" s="175"/>
      <c r="O286" s="175"/>
      <c r="P286" s="108">
        <f>IF(Table_Shelter[[#This Row],[Status]]="Open",IF(V286="NO",Table_Shelter[[#This Row],[HH per Shelter]]*(Table_Shelter[[#This Row],['# of Temporary Shelter Units Built]]+Table_Shelter[[#This Row],['# of Temporary Shelter Under  Construction]]+Table_Shelter[[#This Row],['# of Permanent House Under Construction]]),0),0)</f>
        <v>32</v>
      </c>
      <c r="Q286" s="108"/>
      <c r="R286" s="175"/>
      <c r="S286" s="175" t="str">
        <f>IFERROR(VLOOKUP(Table_Shelter[[#This Row],[CampName]],CL,2,0),"")</f>
        <v>MMR001CMP056</v>
      </c>
      <c r="T286" s="175" t="str">
        <f>IFERROR(VLOOKUP(Table_Shelter[[#This Row],[CampName]],CL,3,0),"")</f>
        <v>Open</v>
      </c>
      <c r="U286" s="265">
        <f>IFERROR(Table_Shelter[[#This Row],[HH Covered]]/VLOOKUP(Table_Shelter[[#This Row],[CampName]],CL,5,0),"")</f>
        <v>8.2687338501291993E-2</v>
      </c>
      <c r="V286" s="265" t="s">
        <v>1305</v>
      </c>
      <c r="W286" s="175"/>
    </row>
    <row r="287" spans="1:23" ht="15" customHeight="1" x14ac:dyDescent="0.25">
      <c r="A287" s="579"/>
      <c r="B287" s="173" t="s">
        <v>846</v>
      </c>
      <c r="C287" s="173"/>
      <c r="D287" s="176" t="s">
        <v>380</v>
      </c>
      <c r="E287" s="345" t="s">
        <v>185</v>
      </c>
      <c r="F287" s="173" t="s">
        <v>209</v>
      </c>
      <c r="G287" s="107">
        <v>1</v>
      </c>
      <c r="H287" s="109"/>
      <c r="I287" s="109"/>
      <c r="J287" s="109">
        <v>144</v>
      </c>
      <c r="K287" s="109">
        <v>144</v>
      </c>
      <c r="L287" s="175"/>
      <c r="M287" s="175"/>
      <c r="N287" s="175"/>
      <c r="O287" s="175"/>
      <c r="P287" s="108">
        <f>IF(Table_Shelter[[#This Row],[Status]]="Open",IF(V287="NO",Table_Shelter[[#This Row],[HH per Shelter]]*(Table_Shelter[[#This Row],['# of Temporary Shelter Units Built]]+Table_Shelter[[#This Row],['# of Temporary Shelter Under  Construction]]+Table_Shelter[[#This Row],['# of Permanent House Under Construction]]),0),0)</f>
        <v>144</v>
      </c>
      <c r="Q287" s="108"/>
      <c r="R287" s="175"/>
      <c r="S287" s="175" t="str">
        <f>IFERROR(VLOOKUP(Table_Shelter[[#This Row],[CampName]],CL,2,0),"")</f>
        <v>MMR001CMP056</v>
      </c>
      <c r="T287" s="175" t="str">
        <f>IFERROR(VLOOKUP(Table_Shelter[[#This Row],[CampName]],CL,3,0),"")</f>
        <v>Open</v>
      </c>
      <c r="U287" s="265">
        <f>IFERROR(Table_Shelter[[#This Row],[HH Covered]]/VLOOKUP(Table_Shelter[[#This Row],[CampName]],CL,5,0),"")</f>
        <v>0.37209302325581395</v>
      </c>
      <c r="V287" s="265" t="s">
        <v>1305</v>
      </c>
      <c r="W287" s="175"/>
    </row>
    <row r="288" spans="1:23" ht="15" customHeight="1" x14ac:dyDescent="0.25">
      <c r="A288" s="579"/>
      <c r="B288" s="173" t="s">
        <v>592</v>
      </c>
      <c r="C288" s="173" t="s">
        <v>459</v>
      </c>
      <c r="D288" s="176" t="s">
        <v>380</v>
      </c>
      <c r="E288" s="345" t="s">
        <v>185</v>
      </c>
      <c r="F288" s="173" t="s">
        <v>211</v>
      </c>
      <c r="G288" s="107">
        <v>1</v>
      </c>
      <c r="H288" s="109"/>
      <c r="I288" s="109"/>
      <c r="J288" s="109">
        <v>92</v>
      </c>
      <c r="K288" s="109">
        <v>92</v>
      </c>
      <c r="L288" s="175"/>
      <c r="M288" s="175"/>
      <c r="N288" s="175"/>
      <c r="O288" s="175"/>
      <c r="P288" s="108">
        <f>IF(Table_Shelter[[#This Row],[Status]]="Open",IF(V288="NO",Table_Shelter[[#This Row],[HH per Shelter]]*(Table_Shelter[[#This Row],['# of Temporary Shelter Units Built]]+Table_Shelter[[#This Row],['# of Temporary Shelter Under  Construction]]+Table_Shelter[[#This Row],['# of Permanent House Under Construction]]),0),0)</f>
        <v>0</v>
      </c>
      <c r="Q288" s="108"/>
      <c r="R288" s="175"/>
      <c r="S288" s="175" t="str">
        <f>IFERROR(VLOOKUP(Table_Shelter[[#This Row],[CampName]],CL,2,0),"")</f>
        <v>MMR001CMP057</v>
      </c>
      <c r="T288" s="175" t="str">
        <f>IFERROR(VLOOKUP(Table_Shelter[[#This Row],[CampName]],CL,3,0),"")</f>
        <v>Closed</v>
      </c>
      <c r="U288" s="265" t="str">
        <f>IFERROR(Table_Shelter[[#This Row],[HH Covered]]/VLOOKUP(Table_Shelter[[#This Row],[CampName]],CL,5,0),"")</f>
        <v/>
      </c>
      <c r="V288" s="265" t="s">
        <v>1305</v>
      </c>
      <c r="W288" s="175"/>
    </row>
    <row r="289" spans="1:23" ht="15" customHeight="1" x14ac:dyDescent="0.25">
      <c r="A289" s="579"/>
      <c r="B289" s="173" t="s">
        <v>592</v>
      </c>
      <c r="C289" s="173" t="s">
        <v>459</v>
      </c>
      <c r="D289" s="176" t="s">
        <v>380</v>
      </c>
      <c r="E289" s="345" t="s">
        <v>151</v>
      </c>
      <c r="F289" s="173" t="s">
        <v>518</v>
      </c>
      <c r="G289" s="107">
        <v>1</v>
      </c>
      <c r="H289" s="109"/>
      <c r="I289" s="109"/>
      <c r="J289" s="109">
        <v>24</v>
      </c>
      <c r="K289" s="109">
        <v>24</v>
      </c>
      <c r="L289" s="175"/>
      <c r="M289" s="175"/>
      <c r="N289" s="175"/>
      <c r="O289" s="175"/>
      <c r="P289" s="108">
        <f>IF(Table_Shelter[[#This Row],[Status]]="Open",IF(V289="NO",Table_Shelter[[#This Row],[HH per Shelter]]*(Table_Shelter[[#This Row],['# of Temporary Shelter Units Built]]+Table_Shelter[[#This Row],['# of Temporary Shelter Under  Construction]]+Table_Shelter[[#This Row],['# of Permanent House Under Construction]]),0),0)</f>
        <v>0</v>
      </c>
      <c r="Q289" s="108"/>
      <c r="R289" s="175"/>
      <c r="S289" s="175" t="str">
        <f>IFERROR(VLOOKUP(Table_Shelter[[#This Row],[CampName]],CL,2,0),"")</f>
        <v>MMR001CMP203</v>
      </c>
      <c r="T289" s="175" t="str">
        <f>IFERROR(VLOOKUP(Table_Shelter[[#This Row],[CampName]],CL,3,0),"")</f>
        <v>Closed</v>
      </c>
      <c r="U289" s="265" t="str">
        <f>IFERROR(Table_Shelter[[#This Row],[HH Covered]]/VLOOKUP(Table_Shelter[[#This Row],[CampName]],CL,5,0),"")</f>
        <v/>
      </c>
      <c r="V289" s="265" t="s">
        <v>1305</v>
      </c>
      <c r="W289" s="175"/>
    </row>
    <row r="290" spans="1:23" ht="15" customHeight="1" x14ac:dyDescent="0.25">
      <c r="A290" s="579"/>
      <c r="B290" s="173" t="s">
        <v>846</v>
      </c>
      <c r="C290" s="654"/>
      <c r="D290" s="176" t="s">
        <v>553</v>
      </c>
      <c r="E290" s="345" t="s">
        <v>230</v>
      </c>
      <c r="F290" s="173" t="s">
        <v>1063</v>
      </c>
      <c r="G290" s="107">
        <v>1</v>
      </c>
      <c r="H290" s="109"/>
      <c r="I290" s="109"/>
      <c r="J290" s="109">
        <v>20</v>
      </c>
      <c r="K290" s="109">
        <v>20</v>
      </c>
      <c r="L290" s="175"/>
      <c r="M290" s="175"/>
      <c r="N290" s="175"/>
      <c r="O290" s="175"/>
      <c r="P290" s="108">
        <f>IF(Table_Shelter[[#This Row],[Status]]="Open",IF(V290="NO",Table_Shelter[[#This Row],[HH per Shelter]]*(Table_Shelter[[#This Row],['# of Temporary Shelter Units Built]]+Table_Shelter[[#This Row],['# of Temporary Shelter Under  Construction]]+Table_Shelter[[#This Row],['# of Permanent House Under Construction]]),0),0)</f>
        <v>20</v>
      </c>
      <c r="Q290" s="108"/>
      <c r="R290" s="175"/>
      <c r="S290" s="175" t="str">
        <f>IFERROR(VLOOKUP(Table_Shelter[[#This Row],[CampName]],CL,2,0),"")</f>
        <v>MMR015CMP216</v>
      </c>
      <c r="T290" s="175" t="str">
        <f>IFERROR(VLOOKUP(Table_Shelter[[#This Row],[CampName]],CL,3,0),"")</f>
        <v>Open</v>
      </c>
      <c r="U290" s="265">
        <f>IFERROR(Table_Shelter[[#This Row],[HH Covered]]/VLOOKUP(Table_Shelter[[#This Row],[CampName]],CL,5,0),"")</f>
        <v>0.8</v>
      </c>
      <c r="V290" s="265" t="s">
        <v>1305</v>
      </c>
      <c r="W290" s="175"/>
    </row>
    <row r="291" spans="1:23" ht="15" customHeight="1" x14ac:dyDescent="0.25">
      <c r="A291" s="579"/>
      <c r="B291" s="173" t="s">
        <v>452</v>
      </c>
      <c r="C291" s="173" t="s">
        <v>1262</v>
      </c>
      <c r="D291" s="180" t="s">
        <v>553</v>
      </c>
      <c r="E291" s="345" t="s">
        <v>230</v>
      </c>
      <c r="F291" s="173" t="s">
        <v>1063</v>
      </c>
      <c r="G291" s="107">
        <v>1</v>
      </c>
      <c r="H291" s="109"/>
      <c r="I291" s="109"/>
      <c r="J291" s="109">
        <v>10</v>
      </c>
      <c r="K291" s="109">
        <v>10</v>
      </c>
      <c r="L291" s="175"/>
      <c r="M291" s="175"/>
      <c r="N291" s="175"/>
      <c r="O291" s="175"/>
      <c r="P291" s="108">
        <f>IF(Table_Shelter[[#This Row],[Status]]="Open",IF(V291="NO",Table_Shelter[[#This Row],[HH per Shelter]]*(Table_Shelter[[#This Row],['# of Temporary Shelter Units Built]]+Table_Shelter[[#This Row],['# of Temporary Shelter Under  Construction]]+Table_Shelter[[#This Row],['# of Permanent House Under Construction]]),0),0)</f>
        <v>10</v>
      </c>
      <c r="Q291" s="108"/>
      <c r="R291" s="108"/>
      <c r="S291" s="108" t="str">
        <f>IFERROR(VLOOKUP(Table_Shelter[[#This Row],[CampName]],CL,2,0),"")</f>
        <v>MMR015CMP216</v>
      </c>
      <c r="T291" s="108" t="str">
        <f>IFERROR(VLOOKUP(Table_Shelter[[#This Row],[CampName]],CL,3,0),"")</f>
        <v>Open</v>
      </c>
      <c r="U291" s="265">
        <f>IFERROR(Table_Shelter[[#This Row],[HH Covered]]/VLOOKUP(Table_Shelter[[#This Row],[CampName]],CL,5,0),"")</f>
        <v>0.4</v>
      </c>
      <c r="V291" s="265" t="s">
        <v>1305</v>
      </c>
      <c r="W291" s="108"/>
    </row>
    <row r="292" spans="1:23" ht="15" customHeight="1" x14ac:dyDescent="0.25">
      <c r="A292" s="579"/>
      <c r="B292" s="173" t="s">
        <v>846</v>
      </c>
      <c r="C292" s="173"/>
      <c r="D292" s="176" t="s">
        <v>553</v>
      </c>
      <c r="E292" s="345" t="s">
        <v>289</v>
      </c>
      <c r="F292" s="173" t="s">
        <v>1055</v>
      </c>
      <c r="G292" s="107">
        <v>1</v>
      </c>
      <c r="H292" s="109"/>
      <c r="I292" s="109"/>
      <c r="J292" s="109">
        <v>24</v>
      </c>
      <c r="K292" s="109">
        <v>12</v>
      </c>
      <c r="L292" s="175"/>
      <c r="M292" s="175"/>
      <c r="N292" s="175"/>
      <c r="O292" s="175"/>
      <c r="P292" s="108">
        <f>IF(Table_Shelter[[#This Row],[Status]]="Open",IF(V292="NO",Table_Shelter[[#This Row],[HH per Shelter]]*(Table_Shelter[[#This Row],['# of Temporary Shelter Units Built]]+Table_Shelter[[#This Row],['# of Temporary Shelter Under  Construction]]+Table_Shelter[[#This Row],['# of Permanent House Under Construction]]),0),0)</f>
        <v>12</v>
      </c>
      <c r="Q292" s="108"/>
      <c r="R292" s="175"/>
      <c r="S292" s="175" t="str">
        <f>IFERROR(VLOOKUP(Table_Shelter[[#This Row],[CampName]],CL,2,0),"")</f>
        <v>MMR015CMP214</v>
      </c>
      <c r="T292" s="175" t="str">
        <f>IFERROR(VLOOKUP(Table_Shelter[[#This Row],[CampName]],CL,3,0),"")</f>
        <v>Open</v>
      </c>
      <c r="U292" s="265">
        <f>IFERROR(Table_Shelter[[#This Row],[HH Covered]]/VLOOKUP(Table_Shelter[[#This Row],[CampName]],CL,5,0),"")</f>
        <v>0.32432432432432434</v>
      </c>
      <c r="V292" s="265" t="s">
        <v>1305</v>
      </c>
      <c r="W292" s="175"/>
    </row>
    <row r="293" spans="1:23" ht="15" customHeight="1" x14ac:dyDescent="0.25">
      <c r="A293" s="579"/>
      <c r="B293" s="173" t="s">
        <v>452</v>
      </c>
      <c r="C293" s="173" t="s">
        <v>460</v>
      </c>
      <c r="D293" s="176" t="s">
        <v>380</v>
      </c>
      <c r="E293" s="345" t="s">
        <v>237</v>
      </c>
      <c r="F293" s="173" t="s">
        <v>277</v>
      </c>
      <c r="G293" s="107">
        <v>1</v>
      </c>
      <c r="H293" s="109"/>
      <c r="I293" s="109"/>
      <c r="J293" s="109">
        <v>10</v>
      </c>
      <c r="K293" s="109">
        <v>10</v>
      </c>
      <c r="L293" s="175"/>
      <c r="M293" s="175"/>
      <c r="N293" s="175"/>
      <c r="O293" s="175"/>
      <c r="P293" s="108">
        <f>IF(Table_Shelter[[#This Row],[Status]]="Open",IF(V293="NO",Table_Shelter[[#This Row],[HH per Shelter]]*(Table_Shelter[[#This Row],['# of Temporary Shelter Units Built]]+Table_Shelter[[#This Row],['# of Temporary Shelter Under  Construction]]+Table_Shelter[[#This Row],['# of Permanent House Under Construction]]),0),0)</f>
        <v>10</v>
      </c>
      <c r="Q293" s="108"/>
      <c r="R293" s="175"/>
      <c r="S293" s="175" t="str">
        <f>IFERROR(VLOOKUP(Table_Shelter[[#This Row],[CampName]],CL,2,0),"")</f>
        <v>MMR001CMP006</v>
      </c>
      <c r="T293" s="175" t="str">
        <f>IFERROR(VLOOKUP(Table_Shelter[[#This Row],[CampName]],CL,3,0),"")</f>
        <v>Open</v>
      </c>
      <c r="U293" s="265">
        <f>IFERROR(Table_Shelter[[#This Row],[HH Covered]]/VLOOKUP(Table_Shelter[[#This Row],[CampName]],CL,5,0),"")</f>
        <v>0.1111111111111111</v>
      </c>
      <c r="V293" s="265" t="s">
        <v>1305</v>
      </c>
      <c r="W293" s="175"/>
    </row>
    <row r="294" spans="1:23" ht="15" customHeight="1" x14ac:dyDescent="0.25">
      <c r="A294" s="579"/>
      <c r="B294" s="173" t="s">
        <v>452</v>
      </c>
      <c r="C294" s="173" t="s">
        <v>846</v>
      </c>
      <c r="D294" s="176" t="s">
        <v>553</v>
      </c>
      <c r="E294" s="345" t="s">
        <v>146</v>
      </c>
      <c r="F294" s="173" t="s">
        <v>149</v>
      </c>
      <c r="G294" s="107">
        <v>1</v>
      </c>
      <c r="H294" s="109"/>
      <c r="I294" s="109"/>
      <c r="J294" s="109">
        <v>6</v>
      </c>
      <c r="K294" s="109">
        <v>6</v>
      </c>
      <c r="L294" s="175"/>
      <c r="M294" s="175"/>
      <c r="N294" s="175"/>
      <c r="O294" s="175"/>
      <c r="P294" s="108">
        <f>IF(Table_Shelter[[#This Row],[Status]]="Open",IF(V294="NO",Table_Shelter[[#This Row],[HH per Shelter]]*(Table_Shelter[[#This Row],['# of Temporary Shelter Units Built]]+Table_Shelter[[#This Row],['# of Temporary Shelter Under  Construction]]+Table_Shelter[[#This Row],['# of Permanent House Under Construction]]),0),0)</f>
        <v>6</v>
      </c>
      <c r="Q294" s="108"/>
      <c r="R294" s="175"/>
      <c r="S294" s="175" t="str">
        <f>IFERROR(VLOOKUP(Table_Shelter[[#This Row],[CampName]],CL,2,0),"")</f>
        <v>MMR015CMP007</v>
      </c>
      <c r="T294" s="175" t="str">
        <f>IFERROR(VLOOKUP(Table_Shelter[[#This Row],[CampName]],CL,3,0),"")</f>
        <v>Open</v>
      </c>
      <c r="U294" s="265">
        <f>IFERROR(Table_Shelter[[#This Row],[HH Covered]]/VLOOKUP(Table_Shelter[[#This Row],[CampName]],CL,5,0),"")</f>
        <v>9.375E-2</v>
      </c>
      <c r="V294" s="265" t="s">
        <v>1305</v>
      </c>
      <c r="W294" s="175"/>
    </row>
    <row r="295" spans="1:23" ht="15" customHeight="1" x14ac:dyDescent="0.25">
      <c r="A295" s="579"/>
      <c r="B295" s="173" t="s">
        <v>452</v>
      </c>
      <c r="C295" s="173" t="s">
        <v>459</v>
      </c>
      <c r="D295" s="176" t="s">
        <v>380</v>
      </c>
      <c r="E295" s="345" t="s">
        <v>151</v>
      </c>
      <c r="F295" s="173" t="s">
        <v>865</v>
      </c>
      <c r="G295" s="107">
        <v>1</v>
      </c>
      <c r="H295" s="109"/>
      <c r="I295" s="109"/>
      <c r="J295" s="109">
        <v>36</v>
      </c>
      <c r="K295" s="109">
        <v>36</v>
      </c>
      <c r="L295" s="175"/>
      <c r="M295" s="175"/>
      <c r="N295" s="175"/>
      <c r="O295" s="175"/>
      <c r="P295" s="108">
        <f>IF(Table_Shelter[[#This Row],[Status]]="Open",IF(V295="NO",Table_Shelter[[#This Row],[HH per Shelter]]*(Table_Shelter[[#This Row],['# of Temporary Shelter Units Built]]+Table_Shelter[[#This Row],['# of Temporary Shelter Under  Construction]]+Table_Shelter[[#This Row],['# of Permanent House Under Construction]]),0),0)</f>
        <v>0</v>
      </c>
      <c r="Q295" s="108"/>
      <c r="R295" s="175"/>
      <c r="S295" s="175" t="str">
        <f>IFERROR(VLOOKUP(Table_Shelter[[#This Row],[CampName]],CL,2,0),"")</f>
        <v>MMR001CMP204</v>
      </c>
      <c r="T295" s="175" t="str">
        <f>IFERROR(VLOOKUP(Table_Shelter[[#This Row],[CampName]],CL,3,0),"")</f>
        <v>Closed</v>
      </c>
      <c r="U295" s="265" t="str">
        <f>IFERROR(Table_Shelter[[#This Row],[HH Covered]]/VLOOKUP(Table_Shelter[[#This Row],[CampName]],CL,5,0),"")</f>
        <v/>
      </c>
      <c r="V295" s="265" t="s">
        <v>1305</v>
      </c>
      <c r="W295" s="175"/>
    </row>
    <row r="296" spans="1:23" ht="15" customHeight="1" x14ac:dyDescent="0.25">
      <c r="A296" s="811"/>
      <c r="B296" s="173" t="s">
        <v>862</v>
      </c>
      <c r="C296" s="173"/>
      <c r="D296" s="176" t="s">
        <v>380</v>
      </c>
      <c r="E296" s="345" t="s">
        <v>527</v>
      </c>
      <c r="F296" s="173" t="s">
        <v>611</v>
      </c>
      <c r="G296" s="107">
        <v>1</v>
      </c>
      <c r="H296" s="109">
        <v>8</v>
      </c>
      <c r="I296" s="109">
        <v>8</v>
      </c>
      <c r="J296" s="109"/>
      <c r="K296" s="109"/>
      <c r="L296" s="175"/>
      <c r="M296" s="175"/>
      <c r="N296" s="175"/>
      <c r="O296" s="175"/>
      <c r="P296" s="108">
        <f>IF(Table_Shelter[[#This Row],[Status]]="Open",IF(V296="NO",Table_Shelter[[#This Row],[HH per Shelter]]*(Table_Shelter[[#This Row],['# of Temporary Shelter Units Built]]+Table_Shelter[[#This Row],['# of Temporary Shelter Under  Construction]]+Table_Shelter[[#This Row],['# of Permanent House Under Construction]]),0),0)</f>
        <v>0</v>
      </c>
      <c r="Q296" s="108"/>
      <c r="R296" s="175"/>
      <c r="S296" s="175" t="str">
        <f>IFERROR(VLOOKUP(Table_Shelter[[#This Row],[CampName]],CL,2,0),"")</f>
        <v>MMR001CMP192</v>
      </c>
      <c r="T296" s="175" t="str">
        <f>IFERROR(VLOOKUP(Table_Shelter[[#This Row],[CampName]],CL,3,0),"")</f>
        <v>Open</v>
      </c>
      <c r="U296" s="265">
        <f>IFERROR(Table_Shelter[[#This Row],[HH Covered]]/VLOOKUP(Table_Shelter[[#This Row],[CampName]],CL,5,0),"")</f>
        <v>0</v>
      </c>
      <c r="V296" s="265" t="s">
        <v>1305</v>
      </c>
      <c r="W296" s="175"/>
    </row>
    <row r="297" spans="1:23" ht="15" customHeight="1" x14ac:dyDescent="0.25">
      <c r="A297" s="579"/>
      <c r="B297" s="173" t="s">
        <v>846</v>
      </c>
      <c r="C297" s="173"/>
      <c r="D297" s="176" t="s">
        <v>553</v>
      </c>
      <c r="E297" s="345" t="s">
        <v>289</v>
      </c>
      <c r="F297" s="173" t="s">
        <v>1067</v>
      </c>
      <c r="G297" s="107">
        <v>1</v>
      </c>
      <c r="H297" s="109"/>
      <c r="I297" s="109"/>
      <c r="J297" s="109">
        <v>50</v>
      </c>
      <c r="K297" s="109">
        <v>36</v>
      </c>
      <c r="L297" s="175"/>
      <c r="M297" s="175"/>
      <c r="N297" s="175"/>
      <c r="O297" s="175"/>
      <c r="P297" s="108">
        <f>IF(Table_Shelter[[#This Row],[Status]]="Open",IF(V297="NO",Table_Shelter[[#This Row],[HH per Shelter]]*(Table_Shelter[[#This Row],['# of Temporary Shelter Units Built]]+Table_Shelter[[#This Row],['# of Temporary Shelter Under  Construction]]+Table_Shelter[[#This Row],['# of Permanent House Under Construction]]),0),0)</f>
        <v>36</v>
      </c>
      <c r="Q297" s="108"/>
      <c r="R297" s="175"/>
      <c r="S297" s="175" t="str">
        <f>IFERROR(VLOOKUP(Table_Shelter[[#This Row],[CampName]],CL,2,0),"")</f>
        <v>MMR015CMP215</v>
      </c>
      <c r="T297" s="175" t="str">
        <f>IFERROR(VLOOKUP(Table_Shelter[[#This Row],[CampName]],CL,3,0),"")</f>
        <v>Open</v>
      </c>
      <c r="U297" s="265">
        <f>IFERROR(Table_Shelter[[#This Row],[HH Covered]]/VLOOKUP(Table_Shelter[[#This Row],[CampName]],CL,5,0),"")</f>
        <v>0.2975206611570248</v>
      </c>
      <c r="V297" s="265" t="s">
        <v>1305</v>
      </c>
      <c r="W297" s="175"/>
    </row>
    <row r="298" spans="1:23" ht="15" customHeight="1" x14ac:dyDescent="0.25">
      <c r="A298" s="579"/>
      <c r="B298" s="173" t="s">
        <v>862</v>
      </c>
      <c r="C298" s="173"/>
      <c r="D298" s="176" t="s">
        <v>380</v>
      </c>
      <c r="E298" s="345" t="s">
        <v>237</v>
      </c>
      <c r="F298" s="173" t="s">
        <v>271</v>
      </c>
      <c r="G298" s="107">
        <v>1</v>
      </c>
      <c r="H298" s="109">
        <v>1</v>
      </c>
      <c r="I298" s="109">
        <v>1</v>
      </c>
      <c r="J298" s="109"/>
      <c r="K298" s="109"/>
      <c r="L298" s="175"/>
      <c r="M298" s="175"/>
      <c r="N298" s="175"/>
      <c r="O298" s="175"/>
      <c r="P298" s="108">
        <f>IF(Table_Shelter[[#This Row],[Status]]="Open",IF(V298="NO",Table_Shelter[[#This Row],[HH per Shelter]]*(Table_Shelter[[#This Row],['# of Temporary Shelter Units Built]]+Table_Shelter[[#This Row],['# of Temporary Shelter Under  Construction]]+Table_Shelter[[#This Row],['# of Permanent House Under Construction]]),0),0)</f>
        <v>0</v>
      </c>
      <c r="Q298" s="108"/>
      <c r="R298" s="175"/>
      <c r="S298" s="175" t="str">
        <f>IFERROR(VLOOKUP(Table_Shelter[[#This Row],[CampName]],CL,2,0),"")</f>
        <v>MMR001CMP024</v>
      </c>
      <c r="T298" s="175" t="str">
        <f>IFERROR(VLOOKUP(Table_Shelter[[#This Row],[CampName]],CL,3,0),"")</f>
        <v>Open</v>
      </c>
      <c r="U298" s="265">
        <f>IFERROR(Table_Shelter[[#This Row],[HH Covered]]/VLOOKUP(Table_Shelter[[#This Row],[CampName]],CL,5,0),"")</f>
        <v>0</v>
      </c>
      <c r="V298" s="265" t="s">
        <v>1305</v>
      </c>
      <c r="W298" s="175"/>
    </row>
    <row r="299" spans="1:23" ht="15" customHeight="1" x14ac:dyDescent="0.25">
      <c r="A299" s="579"/>
      <c r="B299" s="173" t="s">
        <v>453</v>
      </c>
      <c r="C299" s="173" t="s">
        <v>506</v>
      </c>
      <c r="D299" s="176" t="s">
        <v>380</v>
      </c>
      <c r="E299" s="345" t="s">
        <v>237</v>
      </c>
      <c r="F299" s="173" t="s">
        <v>271</v>
      </c>
      <c r="G299" s="107">
        <v>1</v>
      </c>
      <c r="H299" s="109"/>
      <c r="I299" s="109"/>
      <c r="J299" s="109">
        <v>46</v>
      </c>
      <c r="K299" s="109">
        <v>46</v>
      </c>
      <c r="L299" s="175"/>
      <c r="M299" s="175"/>
      <c r="N299" s="175"/>
      <c r="O299" s="175"/>
      <c r="P299" s="108">
        <f>IF(Table_Shelter[[#This Row],[Status]]="Open",IF(V299="NO",Table_Shelter[[#This Row],[HH per Shelter]]*(Table_Shelter[[#This Row],['# of Temporary Shelter Units Built]]+Table_Shelter[[#This Row],['# of Temporary Shelter Under  Construction]]+Table_Shelter[[#This Row],['# of Permanent House Under Construction]]),0),0)</f>
        <v>46</v>
      </c>
      <c r="Q299" s="108"/>
      <c r="R299" s="175"/>
      <c r="S299" s="175" t="str">
        <f>IFERROR(VLOOKUP(Table_Shelter[[#This Row],[CampName]],CL,2,0),"")</f>
        <v>MMR001CMP024</v>
      </c>
      <c r="T299" s="175" t="str">
        <f>IFERROR(VLOOKUP(Table_Shelter[[#This Row],[CampName]],CL,3,0),"")</f>
        <v>Open</v>
      </c>
      <c r="U299" s="265">
        <f>IFERROR(Table_Shelter[[#This Row],[HH Covered]]/VLOOKUP(Table_Shelter[[#This Row],[CampName]],CL,5,0),"")</f>
        <v>0.67647058823529416</v>
      </c>
      <c r="V299" s="265" t="s">
        <v>1305</v>
      </c>
      <c r="W299" s="175"/>
    </row>
    <row r="300" spans="1:23" ht="15" customHeight="1" x14ac:dyDescent="0.25">
      <c r="A300" s="579"/>
      <c r="B300" s="173" t="s">
        <v>452</v>
      </c>
      <c r="C300" s="173" t="s">
        <v>506</v>
      </c>
      <c r="D300" s="176" t="s">
        <v>380</v>
      </c>
      <c r="E300" s="345" t="s">
        <v>237</v>
      </c>
      <c r="F300" s="173" t="s">
        <v>271</v>
      </c>
      <c r="G300" s="107">
        <v>1</v>
      </c>
      <c r="H300" s="109"/>
      <c r="I300" s="109"/>
      <c r="J300" s="109">
        <v>21</v>
      </c>
      <c r="K300" s="109">
        <v>21</v>
      </c>
      <c r="L300" s="175"/>
      <c r="M300" s="175"/>
      <c r="N300" s="175"/>
      <c r="O300" s="175"/>
      <c r="P300" s="108">
        <f>IF(Table_Shelter[[#This Row],[Status]]="Open",IF(V300="NO",Table_Shelter[[#This Row],[HH per Shelter]]*(Table_Shelter[[#This Row],['# of Temporary Shelter Units Built]]+Table_Shelter[[#This Row],['# of Temporary Shelter Under  Construction]]+Table_Shelter[[#This Row],['# of Permanent House Under Construction]]),0),0)</f>
        <v>21</v>
      </c>
      <c r="Q300" s="108">
        <v>21</v>
      </c>
      <c r="R300" s="175"/>
      <c r="S300" s="175" t="str">
        <f>IFERROR(VLOOKUP(Table_Shelter[[#This Row],[CampName]],CL,2,0),"")</f>
        <v>MMR001CMP024</v>
      </c>
      <c r="T300" s="175" t="str">
        <f>IFERROR(VLOOKUP(Table_Shelter[[#This Row],[CampName]],CL,3,0),"")</f>
        <v>Open</v>
      </c>
      <c r="U300" s="265">
        <f>IFERROR(Table_Shelter[[#This Row],[HH Covered]]/VLOOKUP(Table_Shelter[[#This Row],[CampName]],CL,5,0),"")</f>
        <v>0.30882352941176472</v>
      </c>
      <c r="V300" s="265" t="s">
        <v>1305</v>
      </c>
      <c r="W300" s="175"/>
    </row>
    <row r="301" spans="1:23" ht="15" customHeight="1" x14ac:dyDescent="0.25">
      <c r="A301" s="579"/>
      <c r="B301" s="173" t="s">
        <v>452</v>
      </c>
      <c r="C301" s="173"/>
      <c r="D301" s="176" t="s">
        <v>380</v>
      </c>
      <c r="E301" s="345" t="s">
        <v>5</v>
      </c>
      <c r="F301" s="173" t="s">
        <v>20</v>
      </c>
      <c r="G301" s="107">
        <v>1</v>
      </c>
      <c r="H301" s="109"/>
      <c r="I301" s="109"/>
      <c r="J301" s="109">
        <v>10</v>
      </c>
      <c r="K301" s="109">
        <v>10</v>
      </c>
      <c r="L301" s="175"/>
      <c r="M301" s="175"/>
      <c r="N301" s="175"/>
      <c r="O301" s="175"/>
      <c r="P301" s="108">
        <f>IF(Table_Shelter[[#This Row],[Status]]="Open",IF(V301="NO",Table_Shelter[[#This Row],[HH per Shelter]]*(Table_Shelter[[#This Row],['# of Temporary Shelter Units Built]]+Table_Shelter[[#This Row],['# of Temporary Shelter Under  Construction]]+Table_Shelter[[#This Row],['# of Permanent House Under Construction]]),0),0)</f>
        <v>10</v>
      </c>
      <c r="Q301" s="108"/>
      <c r="R301" s="175"/>
      <c r="S301" s="175" t="str">
        <f>IFERROR(VLOOKUP(Table_Shelter[[#This Row],[CampName]],CL,2,0),"")</f>
        <v>MMR001CMP054</v>
      </c>
      <c r="T301" s="175" t="str">
        <f>IFERROR(VLOOKUP(Table_Shelter[[#This Row],[CampName]],CL,3,0),"")</f>
        <v>Open</v>
      </c>
      <c r="U301" s="265">
        <f>IFERROR(Table_Shelter[[#This Row],[HH Covered]]/VLOOKUP(Table_Shelter[[#This Row],[CampName]],CL,5,0),"")</f>
        <v>0.47619047619047616</v>
      </c>
      <c r="V301" s="265" t="s">
        <v>1305</v>
      </c>
      <c r="W301" s="175"/>
    </row>
    <row r="302" spans="1:23" ht="15" customHeight="1" x14ac:dyDescent="0.25">
      <c r="A302" s="811"/>
      <c r="B302" s="173" t="s">
        <v>452</v>
      </c>
      <c r="C302" s="173" t="s">
        <v>505</v>
      </c>
      <c r="D302" s="180" t="s">
        <v>380</v>
      </c>
      <c r="E302" s="345" t="s">
        <v>527</v>
      </c>
      <c r="F302" s="173" t="s">
        <v>108</v>
      </c>
      <c r="G302" s="107">
        <v>1</v>
      </c>
      <c r="H302" s="109"/>
      <c r="I302" s="109"/>
      <c r="J302" s="109">
        <v>15</v>
      </c>
      <c r="K302" s="109">
        <v>15</v>
      </c>
      <c r="L302" s="175"/>
      <c r="M302" s="175"/>
      <c r="N302" s="175"/>
      <c r="O302" s="175"/>
      <c r="P302" s="108">
        <f>IF(Table_Shelter[[#This Row],[Status]]="Open",IF(V302="NO",Table_Shelter[[#This Row],[HH per Shelter]]*(Table_Shelter[[#This Row],['# of Temporary Shelter Units Built]]+Table_Shelter[[#This Row],['# of Temporary Shelter Under  Construction]]+Table_Shelter[[#This Row],['# of Permanent House Under Construction]]),0),0)</f>
        <v>15</v>
      </c>
      <c r="Q302" s="108"/>
      <c r="R302" s="108"/>
      <c r="S302" s="108" t="str">
        <f>IFERROR(VLOOKUP(Table_Shelter[[#This Row],[CampName]],CL,2,0),"")</f>
        <v>MMR001CMP103</v>
      </c>
      <c r="T302" s="108" t="str">
        <f>IFERROR(VLOOKUP(Table_Shelter[[#This Row],[CampName]],CL,3,0),"")</f>
        <v>Open</v>
      </c>
      <c r="U302" s="265">
        <f>IFERROR(Table_Shelter[[#This Row],[HH Covered]]/VLOOKUP(Table_Shelter[[#This Row],[CampName]],CL,5,0),"")</f>
        <v>0.29411764705882354</v>
      </c>
      <c r="V302" s="265" t="s">
        <v>1305</v>
      </c>
      <c r="W302" s="108"/>
    </row>
    <row r="303" spans="1:23" ht="15" customHeight="1" x14ac:dyDescent="0.25">
      <c r="A303" s="579"/>
      <c r="B303" s="173" t="s">
        <v>452</v>
      </c>
      <c r="C303" s="173" t="s">
        <v>460</v>
      </c>
      <c r="D303" s="176" t="s">
        <v>380</v>
      </c>
      <c r="E303" s="345" t="s">
        <v>310</v>
      </c>
      <c r="F303" s="173" t="s">
        <v>347</v>
      </c>
      <c r="G303" s="107">
        <v>1</v>
      </c>
      <c r="H303" s="109"/>
      <c r="I303" s="109"/>
      <c r="J303" s="109">
        <v>170</v>
      </c>
      <c r="K303" s="109">
        <v>170</v>
      </c>
      <c r="L303" s="175"/>
      <c r="M303" s="175"/>
      <c r="N303" s="175"/>
      <c r="O303" s="175"/>
      <c r="P303" s="108">
        <f>IF(Table_Shelter[[#This Row],[Status]]="Open",IF(V303="NO",Table_Shelter[[#This Row],[HH per Shelter]]*(Table_Shelter[[#This Row],['# of Temporary Shelter Units Built]]+Table_Shelter[[#This Row],['# of Temporary Shelter Under  Construction]]+Table_Shelter[[#This Row],['# of Permanent House Under Construction]]),0),0)</f>
        <v>170</v>
      </c>
      <c r="Q303" s="108"/>
      <c r="R303" s="175"/>
      <c r="S303" s="175" t="str">
        <f>IFERROR(VLOOKUP(Table_Shelter[[#This Row],[CampName]],CL,2,0),"")</f>
        <v>MMR001CMP041</v>
      </c>
      <c r="T303" s="175" t="str">
        <f>IFERROR(VLOOKUP(Table_Shelter[[#This Row],[CampName]],CL,3,0),"")</f>
        <v>Open</v>
      </c>
      <c r="U303" s="265">
        <f>IFERROR(Table_Shelter[[#This Row],[HH Covered]]/VLOOKUP(Table_Shelter[[#This Row],[CampName]],CL,5,0),"")</f>
        <v>0.93406593406593408</v>
      </c>
      <c r="V303" s="265" t="s">
        <v>1305</v>
      </c>
      <c r="W303" s="175"/>
    </row>
    <row r="304" spans="1:23" ht="15" customHeight="1" x14ac:dyDescent="0.25">
      <c r="A304" s="579"/>
      <c r="B304" s="173" t="s">
        <v>452</v>
      </c>
      <c r="C304" s="173" t="s">
        <v>460</v>
      </c>
      <c r="D304" s="176" t="s">
        <v>380</v>
      </c>
      <c r="E304" s="345" t="s">
        <v>237</v>
      </c>
      <c r="F304" s="173" t="s">
        <v>281</v>
      </c>
      <c r="G304" s="107">
        <v>1</v>
      </c>
      <c r="H304" s="109"/>
      <c r="I304" s="109"/>
      <c r="J304" s="109">
        <v>50</v>
      </c>
      <c r="K304" s="109">
        <v>50</v>
      </c>
      <c r="L304" s="175"/>
      <c r="M304" s="175"/>
      <c r="N304" s="175"/>
      <c r="O304" s="175"/>
      <c r="P304" s="108">
        <f>IF(Table_Shelter[[#This Row],[Status]]="Open",IF(V304="NO",Table_Shelter[[#This Row],[HH per Shelter]]*(Table_Shelter[[#This Row],['# of Temporary Shelter Units Built]]+Table_Shelter[[#This Row],['# of Temporary Shelter Under  Construction]]+Table_Shelter[[#This Row],['# of Permanent House Under Construction]]),0),0)</f>
        <v>50</v>
      </c>
      <c r="Q304" s="108"/>
      <c r="R304" s="175"/>
      <c r="S304" s="175" t="str">
        <f>IFERROR(VLOOKUP(Table_Shelter[[#This Row],[CampName]],CL,2,0),"")</f>
        <v>MMR001CMP009</v>
      </c>
      <c r="T304" s="175" t="str">
        <f>IFERROR(VLOOKUP(Table_Shelter[[#This Row],[CampName]],CL,3,0),"")</f>
        <v>Open</v>
      </c>
      <c r="U304" s="265">
        <f>IFERROR(Table_Shelter[[#This Row],[HH Covered]]/VLOOKUP(Table_Shelter[[#This Row],[CampName]],CL,5,0),"")</f>
        <v>0.5617977528089888</v>
      </c>
      <c r="V304" s="265" t="s">
        <v>1305</v>
      </c>
      <c r="W304" s="175"/>
    </row>
    <row r="305" spans="1:23" ht="15" customHeight="1" x14ac:dyDescent="0.25">
      <c r="A305" s="579"/>
      <c r="B305" s="173" t="s">
        <v>862</v>
      </c>
      <c r="C305" s="173"/>
      <c r="D305" s="176" t="s">
        <v>380</v>
      </c>
      <c r="E305" s="345" t="s">
        <v>527</v>
      </c>
      <c r="F305" s="173" t="s">
        <v>110</v>
      </c>
      <c r="G305" s="107">
        <v>1</v>
      </c>
      <c r="H305" s="109">
        <v>50</v>
      </c>
      <c r="I305" s="109">
        <v>50</v>
      </c>
      <c r="J305" s="109"/>
      <c r="K305" s="109"/>
      <c r="L305" s="175"/>
      <c r="M305" s="175"/>
      <c r="N305" s="175"/>
      <c r="O305" s="175"/>
      <c r="P305" s="108">
        <f>IF(Table_Shelter[[#This Row],[Status]]="Open",IF(V305="NO",Table_Shelter[[#This Row],[HH per Shelter]]*(Table_Shelter[[#This Row],['# of Temporary Shelter Units Built]]+Table_Shelter[[#This Row],['# of Temporary Shelter Under  Construction]]+Table_Shelter[[#This Row],['# of Permanent House Under Construction]]),0),0)</f>
        <v>0</v>
      </c>
      <c r="Q305" s="108"/>
      <c r="R305" s="175"/>
      <c r="S305" s="175" t="str">
        <f>IFERROR(VLOOKUP(Table_Shelter[[#This Row],[CampName]],CL,2,0),"")</f>
        <v>MMR001CMP082</v>
      </c>
      <c r="T305" s="175" t="str">
        <f>IFERROR(VLOOKUP(Table_Shelter[[#This Row],[CampName]],CL,3,0),"")</f>
        <v>Closed</v>
      </c>
      <c r="U305" s="265" t="str">
        <f>IFERROR(Table_Shelter[[#This Row],[HH Covered]]/VLOOKUP(Table_Shelter[[#This Row],[CampName]],CL,5,0),"")</f>
        <v/>
      </c>
      <c r="V305" s="265" t="s">
        <v>1305</v>
      </c>
      <c r="W305" s="175"/>
    </row>
    <row r="306" spans="1:23" ht="15" customHeight="1" x14ac:dyDescent="0.25">
      <c r="A306" s="579"/>
      <c r="B306" s="173" t="s">
        <v>452</v>
      </c>
      <c r="C306" s="173" t="s">
        <v>505</v>
      </c>
      <c r="D306" s="176" t="s">
        <v>380</v>
      </c>
      <c r="E306" s="345" t="s">
        <v>527</v>
      </c>
      <c r="F306" s="173" t="s">
        <v>110</v>
      </c>
      <c r="G306" s="107">
        <v>1</v>
      </c>
      <c r="H306" s="109"/>
      <c r="I306" s="109"/>
      <c r="J306" s="109">
        <v>20</v>
      </c>
      <c r="K306" s="109">
        <v>20</v>
      </c>
      <c r="L306" s="175"/>
      <c r="M306" s="175"/>
      <c r="N306" s="175"/>
      <c r="O306" s="175"/>
      <c r="P306" s="108">
        <f>IF(Table_Shelter[[#This Row],[Status]]="Open",IF(V306="NO",Table_Shelter[[#This Row],[HH per Shelter]]*(Table_Shelter[[#This Row],['# of Temporary Shelter Units Built]]+Table_Shelter[[#This Row],['# of Temporary Shelter Under  Construction]]+Table_Shelter[[#This Row],['# of Permanent House Under Construction]]),0),0)</f>
        <v>0</v>
      </c>
      <c r="Q306" s="108"/>
      <c r="R306" s="175"/>
      <c r="S306" s="175" t="str">
        <f>IFERROR(VLOOKUP(Table_Shelter[[#This Row],[CampName]],CL,2,0),"")</f>
        <v>MMR001CMP082</v>
      </c>
      <c r="T306" s="175" t="str">
        <f>IFERROR(VLOOKUP(Table_Shelter[[#This Row],[CampName]],CL,3,0),"")</f>
        <v>Closed</v>
      </c>
      <c r="U306" s="265" t="str">
        <f>IFERROR(Table_Shelter[[#This Row],[HH Covered]]/VLOOKUP(Table_Shelter[[#This Row],[CampName]],CL,5,0),"")</f>
        <v/>
      </c>
      <c r="V306" s="265" t="s">
        <v>1305</v>
      </c>
      <c r="W306" s="175"/>
    </row>
    <row r="307" spans="1:23" ht="15" customHeight="1" x14ac:dyDescent="0.25">
      <c r="A307" s="579"/>
      <c r="B307" s="173" t="s">
        <v>592</v>
      </c>
      <c r="C307" s="173" t="s">
        <v>459</v>
      </c>
      <c r="D307" s="176" t="s">
        <v>380</v>
      </c>
      <c r="E307" s="345" t="s">
        <v>185</v>
      </c>
      <c r="F307" s="173" t="s">
        <v>215</v>
      </c>
      <c r="G307" s="107">
        <v>1</v>
      </c>
      <c r="H307" s="109"/>
      <c r="I307" s="109"/>
      <c r="J307" s="109">
        <v>100</v>
      </c>
      <c r="K307" s="109">
        <v>100</v>
      </c>
      <c r="L307" s="175"/>
      <c r="M307" s="175"/>
      <c r="N307" s="175"/>
      <c r="O307" s="175"/>
      <c r="P307" s="108">
        <f>IF(Table_Shelter[[#This Row],[Status]]="Open",IF(V307="NO",Table_Shelter[[#This Row],[HH per Shelter]]*(Table_Shelter[[#This Row],['# of Temporary Shelter Units Built]]+Table_Shelter[[#This Row],['# of Temporary Shelter Under  Construction]]+Table_Shelter[[#This Row],['# of Permanent House Under Construction]]),0),0)</f>
        <v>100</v>
      </c>
      <c r="Q307" s="108"/>
      <c r="R307" s="175"/>
      <c r="S307" s="175" t="str">
        <f>IFERROR(VLOOKUP(Table_Shelter[[#This Row],[CampName]],CL,2,0),"")</f>
        <v>MMR001CMP131</v>
      </c>
      <c r="T307" s="175" t="str">
        <f>IFERROR(VLOOKUP(Table_Shelter[[#This Row],[CampName]],CL,3,0),"")</f>
        <v>Open</v>
      </c>
      <c r="U307" s="265">
        <f>IFERROR(Table_Shelter[[#This Row],[HH Covered]]/VLOOKUP(Table_Shelter[[#This Row],[CampName]],CL,5,0),"")</f>
        <v>0.28169014084507044</v>
      </c>
      <c r="V307" s="265" t="s">
        <v>1305</v>
      </c>
      <c r="W307" s="175"/>
    </row>
    <row r="308" spans="1:23" ht="15" customHeight="1" x14ac:dyDescent="0.25">
      <c r="A308" s="579"/>
      <c r="B308" s="173" t="s">
        <v>901</v>
      </c>
      <c r="C308" s="173" t="s">
        <v>459</v>
      </c>
      <c r="D308" s="176" t="s">
        <v>380</v>
      </c>
      <c r="E308" s="345" t="s">
        <v>185</v>
      </c>
      <c r="F308" s="173" t="s">
        <v>215</v>
      </c>
      <c r="G308" s="107">
        <v>1</v>
      </c>
      <c r="H308" s="109"/>
      <c r="I308" s="109"/>
      <c r="J308" s="109">
        <v>350</v>
      </c>
      <c r="K308" s="109">
        <v>350</v>
      </c>
      <c r="L308" s="175"/>
      <c r="M308" s="175"/>
      <c r="N308" s="175"/>
      <c r="O308" s="175"/>
      <c r="P308" s="108">
        <f>IF(Table_Shelter[[#This Row],[Status]]="Open",IF(V308="NO",Table_Shelter[[#This Row],[HH per Shelter]]*(Table_Shelter[[#This Row],['# of Temporary Shelter Units Built]]+Table_Shelter[[#This Row],['# of Temporary Shelter Under  Construction]]+Table_Shelter[[#This Row],['# of Permanent House Under Construction]]),0),0)</f>
        <v>350</v>
      </c>
      <c r="Q308" s="108"/>
      <c r="R308" s="175"/>
      <c r="S308" s="175" t="str">
        <f>IFERROR(VLOOKUP(Table_Shelter[[#This Row],[CampName]],CL,2,0),"")</f>
        <v>MMR001CMP131</v>
      </c>
      <c r="T308" s="175" t="str">
        <f>IFERROR(VLOOKUP(Table_Shelter[[#This Row],[CampName]],CL,3,0),"")</f>
        <v>Open</v>
      </c>
      <c r="U308" s="265">
        <f>IFERROR(Table_Shelter[[#This Row],[HH Covered]]/VLOOKUP(Table_Shelter[[#This Row],[CampName]],CL,5,0),"")</f>
        <v>0.9859154929577465</v>
      </c>
      <c r="V308" s="265" t="s">
        <v>1305</v>
      </c>
      <c r="W308" s="175"/>
    </row>
    <row r="309" spans="1:23" ht="15" customHeight="1" x14ac:dyDescent="0.25">
      <c r="A309" s="579"/>
      <c r="B309" s="173" t="s">
        <v>846</v>
      </c>
      <c r="C309" s="173"/>
      <c r="D309" s="176" t="s">
        <v>380</v>
      </c>
      <c r="E309" s="345" t="s">
        <v>185</v>
      </c>
      <c r="F309" s="173" t="s">
        <v>217</v>
      </c>
      <c r="G309" s="107">
        <v>1</v>
      </c>
      <c r="H309" s="109"/>
      <c r="I309" s="109"/>
      <c r="J309" s="109">
        <v>18</v>
      </c>
      <c r="K309" s="109">
        <v>18</v>
      </c>
      <c r="L309" s="175"/>
      <c r="M309" s="175"/>
      <c r="N309" s="175"/>
      <c r="O309" s="175"/>
      <c r="P309" s="108">
        <f>IF(Table_Shelter[[#This Row],[Status]]="Open",IF(V309="NO",Table_Shelter[[#This Row],[HH per Shelter]]*(Table_Shelter[[#This Row],['# of Temporary Shelter Units Built]]+Table_Shelter[[#This Row],['# of Temporary Shelter Under  Construction]]+Table_Shelter[[#This Row],['# of Permanent House Under Construction]]),0),0)</f>
        <v>0</v>
      </c>
      <c r="Q309" s="108"/>
      <c r="R309" s="175"/>
      <c r="S309" s="175" t="str">
        <f>IFERROR(VLOOKUP(Table_Shelter[[#This Row],[CampName]],CL,2,0),"")</f>
        <v>MMR001CMP059</v>
      </c>
      <c r="T309" s="175" t="str">
        <f>IFERROR(VLOOKUP(Table_Shelter[[#This Row],[CampName]],CL,3,0),"")</f>
        <v>Closed</v>
      </c>
      <c r="U309" s="265" t="str">
        <f>IFERROR(Table_Shelter[[#This Row],[HH Covered]]/VLOOKUP(Table_Shelter[[#This Row],[CampName]],CL,5,0),"")</f>
        <v/>
      </c>
      <c r="V309" s="265" t="s">
        <v>1305</v>
      </c>
      <c r="W309" s="175"/>
    </row>
    <row r="310" spans="1:23" ht="15" customHeight="1" x14ac:dyDescent="0.25">
      <c r="A310" s="579"/>
      <c r="B310" s="173" t="s">
        <v>452</v>
      </c>
      <c r="C310" s="173"/>
      <c r="D310" s="176" t="s">
        <v>380</v>
      </c>
      <c r="E310" s="345" t="s">
        <v>185</v>
      </c>
      <c r="F310" s="173" t="s">
        <v>217</v>
      </c>
      <c r="G310" s="107">
        <v>1</v>
      </c>
      <c r="H310" s="109"/>
      <c r="I310" s="109"/>
      <c r="J310" s="109">
        <v>9</v>
      </c>
      <c r="K310" s="109">
        <v>9</v>
      </c>
      <c r="L310" s="175"/>
      <c r="M310" s="175"/>
      <c r="N310" s="175"/>
      <c r="O310" s="175"/>
      <c r="P310" s="108">
        <f>IF(Table_Shelter[[#This Row],[Status]]="Open",IF(V310="NO",Table_Shelter[[#This Row],[HH per Shelter]]*(Table_Shelter[[#This Row],['# of Temporary Shelter Units Built]]+Table_Shelter[[#This Row],['# of Temporary Shelter Under  Construction]]+Table_Shelter[[#This Row],['# of Permanent House Under Construction]]),0),0)</f>
        <v>0</v>
      </c>
      <c r="Q310" s="108"/>
      <c r="R310" s="175"/>
      <c r="S310" s="175" t="str">
        <f>IFERROR(VLOOKUP(Table_Shelter[[#This Row],[CampName]],CL,2,0),"")</f>
        <v>MMR001CMP059</v>
      </c>
      <c r="T310" s="175" t="str">
        <f>IFERROR(VLOOKUP(Table_Shelter[[#This Row],[CampName]],CL,3,0),"")</f>
        <v>Closed</v>
      </c>
      <c r="U310" s="265" t="str">
        <f>IFERROR(Table_Shelter[[#This Row],[HH Covered]]/VLOOKUP(Table_Shelter[[#This Row],[CampName]],CL,5,0),"")</f>
        <v/>
      </c>
      <c r="V310" s="265" t="s">
        <v>1305</v>
      </c>
      <c r="W310" s="175"/>
    </row>
    <row r="311" spans="1:23" ht="15" customHeight="1" x14ac:dyDescent="0.25">
      <c r="A311" s="811"/>
      <c r="B311" s="173" t="s">
        <v>452</v>
      </c>
      <c r="C311" s="173" t="s">
        <v>460</v>
      </c>
      <c r="D311" s="176" t="s">
        <v>380</v>
      </c>
      <c r="E311" s="345" t="s">
        <v>237</v>
      </c>
      <c r="F311" s="173" t="s">
        <v>238</v>
      </c>
      <c r="G311" s="107">
        <v>1</v>
      </c>
      <c r="H311" s="109"/>
      <c r="I311" s="109"/>
      <c r="J311" s="109">
        <v>60</v>
      </c>
      <c r="K311" s="109">
        <v>60</v>
      </c>
      <c r="L311" s="175"/>
      <c r="M311" s="175"/>
      <c r="N311" s="175"/>
      <c r="O311" s="175"/>
      <c r="P311" s="108">
        <f>IF(Table_Shelter[[#This Row],[Status]]="Open",IF(V311="NO",Table_Shelter[[#This Row],[HH per Shelter]]*(Table_Shelter[[#This Row],['# of Temporary Shelter Units Built]]+Table_Shelter[[#This Row],['# of Temporary Shelter Under  Construction]]+Table_Shelter[[#This Row],['# of Permanent House Under Construction]]),0),0)</f>
        <v>60</v>
      </c>
      <c r="Q311" s="108"/>
      <c r="R311" s="175"/>
      <c r="S311" s="175" t="str">
        <f>IFERROR(VLOOKUP(Table_Shelter[[#This Row],[CampName]],CL,2,0),"")</f>
        <v>MMR001CMP001</v>
      </c>
      <c r="T311" s="175" t="str">
        <f>IFERROR(VLOOKUP(Table_Shelter[[#This Row],[CampName]],CL,3,0),"")</f>
        <v>Open</v>
      </c>
      <c r="U311" s="265">
        <f>IFERROR(Table_Shelter[[#This Row],[HH Covered]]/VLOOKUP(Table_Shelter[[#This Row],[CampName]],CL,5,0),"")</f>
        <v>1.1538461538461537</v>
      </c>
      <c r="V311" s="265" t="s">
        <v>1305</v>
      </c>
      <c r="W311" s="175"/>
    </row>
    <row r="312" spans="1:23" ht="15" customHeight="1" x14ac:dyDescent="0.25">
      <c r="A312" s="579"/>
      <c r="B312" s="173" t="s">
        <v>452</v>
      </c>
      <c r="C312" s="173"/>
      <c r="D312" s="176" t="s">
        <v>380</v>
      </c>
      <c r="E312" s="345" t="s">
        <v>185</v>
      </c>
      <c r="F312" s="173" t="s">
        <v>229</v>
      </c>
      <c r="G312" s="107">
        <v>1</v>
      </c>
      <c r="H312" s="109"/>
      <c r="I312" s="109"/>
      <c r="J312" s="109">
        <v>45</v>
      </c>
      <c r="K312" s="109">
        <v>45</v>
      </c>
      <c r="L312" s="175"/>
      <c r="M312" s="175"/>
      <c r="N312" s="175"/>
      <c r="O312" s="175"/>
      <c r="P312" s="108">
        <f>IF(Table_Shelter[[#This Row],[Status]]="Open",IF(V312="NO",Table_Shelter[[#This Row],[HH per Shelter]]*(Table_Shelter[[#This Row],['# of Temporary Shelter Units Built]]+Table_Shelter[[#This Row],['# of Temporary Shelter Under  Construction]]+Table_Shelter[[#This Row],['# of Permanent House Under Construction]]),0),0)</f>
        <v>45</v>
      </c>
      <c r="Q312" s="108"/>
      <c r="R312" s="175"/>
      <c r="S312" s="175" t="str">
        <f>IFERROR(VLOOKUP(Table_Shelter[[#This Row],[CampName]],CL,2,0),"")</f>
        <v>MMR001CMP072</v>
      </c>
      <c r="T312" s="175" t="str">
        <f>IFERROR(VLOOKUP(Table_Shelter[[#This Row],[CampName]],CL,3,0),"")</f>
        <v>Open</v>
      </c>
      <c r="U312" s="265">
        <f>IFERROR(Table_Shelter[[#This Row],[HH Covered]]/VLOOKUP(Table_Shelter[[#This Row],[CampName]],CL,5,0),"")</f>
        <v>0.91836734693877553</v>
      </c>
      <c r="V312" s="265" t="s">
        <v>1305</v>
      </c>
      <c r="W312" s="175"/>
    </row>
    <row r="313" spans="1:23" ht="15" customHeight="1" x14ac:dyDescent="0.25">
      <c r="A313" s="579"/>
      <c r="B313" s="173" t="s">
        <v>592</v>
      </c>
      <c r="C313" s="173" t="s">
        <v>506</v>
      </c>
      <c r="D313" s="176" t="s">
        <v>380</v>
      </c>
      <c r="E313" s="345" t="s">
        <v>237</v>
      </c>
      <c r="F313" s="173" t="s">
        <v>273</v>
      </c>
      <c r="G313" s="107">
        <v>1</v>
      </c>
      <c r="H313" s="109"/>
      <c r="I313" s="109"/>
      <c r="J313" s="109">
        <v>30</v>
      </c>
      <c r="K313" s="109">
        <v>30</v>
      </c>
      <c r="L313" s="175"/>
      <c r="M313" s="175"/>
      <c r="N313" s="175"/>
      <c r="O313" s="175"/>
      <c r="P313" s="108">
        <f>IF(Table_Shelter[[#This Row],[Status]]="Open",IF(V313="NO",Table_Shelter[[#This Row],[HH per Shelter]]*(Table_Shelter[[#This Row],['# of Temporary Shelter Units Built]]+Table_Shelter[[#This Row],['# of Temporary Shelter Under  Construction]]+Table_Shelter[[#This Row],['# of Permanent House Under Construction]]),0),0)</f>
        <v>30</v>
      </c>
      <c r="Q313" s="108"/>
      <c r="R313" s="175"/>
      <c r="S313" s="175" t="str">
        <f>IFERROR(VLOOKUP(Table_Shelter[[#This Row],[CampName]],CL,2,0),"")</f>
        <v>MMR001CMP162</v>
      </c>
      <c r="T313" s="175" t="str">
        <f>IFERROR(VLOOKUP(Table_Shelter[[#This Row],[CampName]],CL,3,0),"")</f>
        <v>Open</v>
      </c>
      <c r="U313" s="265">
        <f>IFERROR(Table_Shelter[[#This Row],[HH Covered]]/VLOOKUP(Table_Shelter[[#This Row],[CampName]],CL,5,0),"")</f>
        <v>0.65217391304347827</v>
      </c>
      <c r="V313" s="265" t="s">
        <v>1305</v>
      </c>
      <c r="W313" s="175"/>
    </row>
    <row r="314" spans="1:23" ht="15" customHeight="1" x14ac:dyDescent="0.25">
      <c r="A314" s="579"/>
      <c r="B314" s="173" t="s">
        <v>592</v>
      </c>
      <c r="C314" s="173" t="s">
        <v>572</v>
      </c>
      <c r="D314" s="176" t="s">
        <v>380</v>
      </c>
      <c r="E314" s="345" t="s">
        <v>185</v>
      </c>
      <c r="F314" s="173" t="s">
        <v>219</v>
      </c>
      <c r="G314" s="107">
        <v>1</v>
      </c>
      <c r="H314" s="109"/>
      <c r="I314" s="109"/>
      <c r="J314" s="109">
        <v>447</v>
      </c>
      <c r="K314" s="109">
        <v>447</v>
      </c>
      <c r="L314" s="175"/>
      <c r="M314" s="175"/>
      <c r="N314" s="175"/>
      <c r="O314" s="175"/>
      <c r="P314" s="108">
        <f>IF(Table_Shelter[[#This Row],[Status]]="Open",IF(V314="NO",Table_Shelter[[#This Row],[HH per Shelter]]*(Table_Shelter[[#This Row],['# of Temporary Shelter Units Built]]+Table_Shelter[[#This Row],['# of Temporary Shelter Under  Construction]]+Table_Shelter[[#This Row],['# of Permanent House Under Construction]]),0),0)</f>
        <v>447</v>
      </c>
      <c r="Q314" s="108"/>
      <c r="R314" s="175"/>
      <c r="S314" s="175" t="str">
        <f>IFERROR(VLOOKUP(Table_Shelter[[#This Row],[CampName]],CL,2,0),"")</f>
        <v>MMR001CMP126</v>
      </c>
      <c r="T314" s="175" t="str">
        <f>IFERROR(VLOOKUP(Table_Shelter[[#This Row],[CampName]],CL,3,0),"")</f>
        <v>Open</v>
      </c>
      <c r="U314" s="265">
        <f>IFERROR(Table_Shelter[[#This Row],[HH Covered]]/VLOOKUP(Table_Shelter[[#This Row],[CampName]],CL,5,0),"")</f>
        <v>0.74624373956594325</v>
      </c>
      <c r="V314" s="265" t="s">
        <v>1305</v>
      </c>
      <c r="W314" s="175"/>
    </row>
    <row r="315" spans="1:23" ht="15" customHeight="1" x14ac:dyDescent="0.25">
      <c r="A315" s="579"/>
      <c r="B315" s="173" t="s">
        <v>452</v>
      </c>
      <c r="C315" s="173" t="s">
        <v>459</v>
      </c>
      <c r="D315" s="176" t="s">
        <v>380</v>
      </c>
      <c r="E315" s="345" t="s">
        <v>185</v>
      </c>
      <c r="F315" s="173" t="s">
        <v>219</v>
      </c>
      <c r="G315" s="107">
        <v>1</v>
      </c>
      <c r="H315" s="109"/>
      <c r="I315" s="109"/>
      <c r="J315" s="109">
        <v>130</v>
      </c>
      <c r="K315" s="109">
        <v>130</v>
      </c>
      <c r="L315" s="175"/>
      <c r="M315" s="175"/>
      <c r="N315" s="175"/>
      <c r="O315" s="175"/>
      <c r="P315" s="108">
        <f>IF(Table_Shelter[[#This Row],[Status]]="Open",IF(V315="NO",Table_Shelter[[#This Row],[HH per Shelter]]*(Table_Shelter[[#This Row],['# of Temporary Shelter Units Built]]+Table_Shelter[[#This Row],['# of Temporary Shelter Under  Construction]]+Table_Shelter[[#This Row],['# of Permanent House Under Construction]]),0),0)</f>
        <v>130</v>
      </c>
      <c r="Q315" s="108"/>
      <c r="R315" s="175"/>
      <c r="S315" s="175" t="str">
        <f>IFERROR(VLOOKUP(Table_Shelter[[#This Row],[CampName]],CL,2,0),"")</f>
        <v>MMR001CMP126</v>
      </c>
      <c r="T315" s="175" t="str">
        <f>IFERROR(VLOOKUP(Table_Shelter[[#This Row],[CampName]],CL,3,0),"")</f>
        <v>Open</v>
      </c>
      <c r="U315" s="265">
        <f>IFERROR(Table_Shelter[[#This Row],[HH Covered]]/VLOOKUP(Table_Shelter[[#This Row],[CampName]],CL,5,0),"")</f>
        <v>0.21702838063439064</v>
      </c>
      <c r="V315" s="265" t="s">
        <v>1305</v>
      </c>
      <c r="W315" s="175"/>
    </row>
    <row r="316" spans="1:23" ht="15" customHeight="1" x14ac:dyDescent="0.25">
      <c r="A316" s="579"/>
      <c r="B316" s="173" t="s">
        <v>846</v>
      </c>
      <c r="C316" s="173"/>
      <c r="D316" s="176" t="s">
        <v>380</v>
      </c>
      <c r="E316" s="345" t="s">
        <v>5</v>
      </c>
      <c r="F316" s="173" t="s">
        <v>366</v>
      </c>
      <c r="G316" s="107">
        <v>1</v>
      </c>
      <c r="H316" s="109"/>
      <c r="I316" s="109"/>
      <c r="J316" s="109">
        <v>36</v>
      </c>
      <c r="K316" s="109">
        <v>36</v>
      </c>
      <c r="L316" s="175"/>
      <c r="M316" s="175"/>
      <c r="N316" s="175"/>
      <c r="O316" s="175"/>
      <c r="P316" s="108">
        <f>IF(Table_Shelter[[#This Row],[Status]]="Open",IF(V316="NO",Table_Shelter[[#This Row],[HH per Shelter]]*(Table_Shelter[[#This Row],['# of Temporary Shelter Units Built]]+Table_Shelter[[#This Row],['# of Temporary Shelter Under  Construction]]+Table_Shelter[[#This Row],['# of Permanent House Under Construction]]),0),0)</f>
        <v>36</v>
      </c>
      <c r="Q316" s="108"/>
      <c r="R316" s="175"/>
      <c r="S316" s="175" t="str">
        <f>IFERROR(VLOOKUP(Table_Shelter[[#This Row],[CampName]],CL,2,0),"")</f>
        <v>MMR001CMP193</v>
      </c>
      <c r="T316" s="175" t="str">
        <f>IFERROR(VLOOKUP(Table_Shelter[[#This Row],[CampName]],CL,3,0),"")</f>
        <v>Open</v>
      </c>
      <c r="U316" s="265">
        <f>IFERROR(Table_Shelter[[#This Row],[HH Covered]]/VLOOKUP(Table_Shelter[[#This Row],[CampName]],CL,5,0),"")</f>
        <v>0.23529411764705882</v>
      </c>
      <c r="V316" s="265" t="s">
        <v>1305</v>
      </c>
      <c r="W316" s="175"/>
    </row>
    <row r="317" spans="1:23" ht="15" customHeight="1" x14ac:dyDescent="0.25">
      <c r="A317" s="579"/>
      <c r="B317" s="173" t="s">
        <v>452</v>
      </c>
      <c r="C317" s="173"/>
      <c r="D317" s="176" t="s">
        <v>380</v>
      </c>
      <c r="E317" s="345" t="s">
        <v>5</v>
      </c>
      <c r="F317" s="173" t="s">
        <v>366</v>
      </c>
      <c r="G317" s="107">
        <v>1</v>
      </c>
      <c r="H317" s="109"/>
      <c r="I317" s="109"/>
      <c r="J317" s="109">
        <v>30</v>
      </c>
      <c r="K317" s="109">
        <v>30</v>
      </c>
      <c r="L317" s="175"/>
      <c r="M317" s="175"/>
      <c r="N317" s="175"/>
      <c r="O317" s="175"/>
      <c r="P317" s="108">
        <f>IF(Table_Shelter[[#This Row],[Status]]="Open",IF(V317="NO",Table_Shelter[[#This Row],[HH per Shelter]]*(Table_Shelter[[#This Row],['# of Temporary Shelter Units Built]]+Table_Shelter[[#This Row],['# of Temporary Shelter Under  Construction]]+Table_Shelter[[#This Row],['# of Permanent House Under Construction]]),0),0)</f>
        <v>30</v>
      </c>
      <c r="Q317" s="108"/>
      <c r="R317" s="175"/>
      <c r="S317" s="175" t="str">
        <f>IFERROR(VLOOKUP(Table_Shelter[[#This Row],[CampName]],CL,2,0),"")</f>
        <v>MMR001CMP193</v>
      </c>
      <c r="T317" s="175" t="str">
        <f>IFERROR(VLOOKUP(Table_Shelter[[#This Row],[CampName]],CL,3,0),"")</f>
        <v>Open</v>
      </c>
      <c r="U317" s="265">
        <f>IFERROR(Table_Shelter[[#This Row],[HH Covered]]/VLOOKUP(Table_Shelter[[#This Row],[CampName]],CL,5,0),"")</f>
        <v>0.19607843137254902</v>
      </c>
      <c r="V317" s="265" t="s">
        <v>1305</v>
      </c>
      <c r="W317" s="175"/>
    </row>
    <row r="318" spans="1:23" ht="15" customHeight="1" x14ac:dyDescent="0.25">
      <c r="A318" s="579"/>
      <c r="B318" s="173" t="s">
        <v>862</v>
      </c>
      <c r="C318" s="173"/>
      <c r="D318" s="176" t="s">
        <v>380</v>
      </c>
      <c r="E318" s="345" t="s">
        <v>310</v>
      </c>
      <c r="F318" s="173" t="s">
        <v>355</v>
      </c>
      <c r="G318" s="107">
        <v>1</v>
      </c>
      <c r="H318" s="109">
        <v>207</v>
      </c>
      <c r="I318" s="109">
        <v>207</v>
      </c>
      <c r="J318" s="109"/>
      <c r="K318" s="109"/>
      <c r="L318" s="175"/>
      <c r="M318" s="175"/>
      <c r="N318" s="175"/>
      <c r="O318" s="175"/>
      <c r="P318" s="108">
        <f>IF(Table_Shelter[[#This Row],[Status]]="Open",IF(V318="NO",Table_Shelter[[#This Row],[HH per Shelter]]*(Table_Shelter[[#This Row],['# of Temporary Shelter Units Built]]+Table_Shelter[[#This Row],['# of Temporary Shelter Under  Construction]]+Table_Shelter[[#This Row],['# of Permanent House Under Construction]]),0),0)</f>
        <v>0</v>
      </c>
      <c r="Q318" s="108"/>
      <c r="R318" s="175"/>
      <c r="S318" s="175" t="str">
        <f>IFERROR(VLOOKUP(Table_Shelter[[#This Row],[CampName]],CL,2,0),"")</f>
        <v>MMR001CMP160</v>
      </c>
      <c r="T318" s="175" t="str">
        <f>IFERROR(VLOOKUP(Table_Shelter[[#This Row],[CampName]],CL,3,0),"")</f>
        <v>Open</v>
      </c>
      <c r="U318" s="265">
        <f>IFERROR(Table_Shelter[[#This Row],[HH Covered]]/VLOOKUP(Table_Shelter[[#This Row],[CampName]],CL,5,0),"")</f>
        <v>0</v>
      </c>
      <c r="V318" s="265" t="s">
        <v>1305</v>
      </c>
      <c r="W318" s="175"/>
    </row>
    <row r="319" spans="1:23" ht="15" customHeight="1" x14ac:dyDescent="0.25">
      <c r="A319" s="579"/>
      <c r="B319" s="173" t="s">
        <v>452</v>
      </c>
      <c r="C319" s="173" t="s">
        <v>505</v>
      </c>
      <c r="D319" s="176" t="s">
        <v>380</v>
      </c>
      <c r="E319" s="345" t="s">
        <v>310</v>
      </c>
      <c r="F319" s="173" t="s">
        <v>318</v>
      </c>
      <c r="G319" s="107">
        <v>1</v>
      </c>
      <c r="H319" s="109"/>
      <c r="I319" s="109"/>
      <c r="J319" s="109">
        <v>45</v>
      </c>
      <c r="K319" s="109">
        <v>45</v>
      </c>
      <c r="L319" s="175"/>
      <c r="M319" s="175"/>
      <c r="N319" s="175"/>
      <c r="O319" s="175"/>
      <c r="P319" s="108">
        <f>IF(Table_Shelter[[#This Row],[Status]]="Open",IF(V319="NO",Table_Shelter[[#This Row],[HH per Shelter]]*(Table_Shelter[[#This Row],['# of Temporary Shelter Units Built]]+Table_Shelter[[#This Row],['# of Temporary Shelter Under  Construction]]+Table_Shelter[[#This Row],['# of Permanent House Under Construction]]),0),0)</f>
        <v>45</v>
      </c>
      <c r="Q319" s="108">
        <v>10</v>
      </c>
      <c r="R319" s="175"/>
      <c r="S319" s="175" t="str">
        <f>IFERROR(VLOOKUP(Table_Shelter[[#This Row],[CampName]],CL,2,0),"")</f>
        <v>MMR001CMP032</v>
      </c>
      <c r="T319" s="175" t="str">
        <f>IFERROR(VLOOKUP(Table_Shelter[[#This Row],[CampName]],CL,3,0),"")</f>
        <v>Open</v>
      </c>
      <c r="U319" s="265">
        <f>IFERROR(Table_Shelter[[#This Row],[HH Covered]]/VLOOKUP(Table_Shelter[[#This Row],[CampName]],CL,5,0),"")</f>
        <v>0.49450549450549453</v>
      </c>
      <c r="V319" s="265" t="s">
        <v>1305</v>
      </c>
      <c r="W319" s="175"/>
    </row>
    <row r="320" spans="1:23" ht="15" customHeight="1" x14ac:dyDescent="0.25">
      <c r="A320" s="579"/>
      <c r="B320" s="173" t="s">
        <v>452</v>
      </c>
      <c r="C320" s="173"/>
      <c r="D320" s="176" t="s">
        <v>380</v>
      </c>
      <c r="E320" s="345" t="s">
        <v>310</v>
      </c>
      <c r="F320" s="173" t="s">
        <v>318</v>
      </c>
      <c r="G320" s="107">
        <v>1</v>
      </c>
      <c r="H320" s="109"/>
      <c r="I320" s="109"/>
      <c r="J320" s="109">
        <v>5</v>
      </c>
      <c r="K320" s="109">
        <v>5</v>
      </c>
      <c r="L320" s="175"/>
      <c r="M320" s="175"/>
      <c r="N320" s="175"/>
      <c r="O320" s="175"/>
      <c r="P320" s="108">
        <f>IF(Table_Shelter[[#This Row],[Status]]="Open",IF(V320="NO",Table_Shelter[[#This Row],[HH per Shelter]]*(Table_Shelter[[#This Row],['# of Temporary Shelter Units Built]]+Table_Shelter[[#This Row],['# of Temporary Shelter Under  Construction]]+Table_Shelter[[#This Row],['# of Permanent House Under Construction]]),0),0)</f>
        <v>5</v>
      </c>
      <c r="Q320" s="108"/>
      <c r="R320" s="175"/>
      <c r="S320" s="175" t="str">
        <f>IFERROR(VLOOKUP(Table_Shelter[[#This Row],[CampName]],CL,2,0),"")</f>
        <v>MMR001CMP032</v>
      </c>
      <c r="T320" s="175" t="str">
        <f>IFERROR(VLOOKUP(Table_Shelter[[#This Row],[CampName]],CL,3,0),"")</f>
        <v>Open</v>
      </c>
      <c r="U320" s="265">
        <f>IFERROR(Table_Shelter[[#This Row],[HH Covered]]/VLOOKUP(Table_Shelter[[#This Row],[CampName]],CL,5,0),"")</f>
        <v>5.4945054945054944E-2</v>
      </c>
      <c r="V320" s="265" t="s">
        <v>1305</v>
      </c>
      <c r="W320" s="175"/>
    </row>
    <row r="321" spans="1:23" ht="15" customHeight="1" x14ac:dyDescent="0.25">
      <c r="A321" s="579"/>
      <c r="B321" s="173" t="s">
        <v>569</v>
      </c>
      <c r="C321" s="173"/>
      <c r="D321" s="176" t="s">
        <v>380</v>
      </c>
      <c r="E321" s="345" t="s">
        <v>310</v>
      </c>
      <c r="F321" s="173" t="s">
        <v>318</v>
      </c>
      <c r="G321" s="107">
        <v>1</v>
      </c>
      <c r="H321" s="109"/>
      <c r="I321" s="109"/>
      <c r="J321" s="109">
        <v>10</v>
      </c>
      <c r="K321" s="109">
        <v>10</v>
      </c>
      <c r="L321" s="175"/>
      <c r="M321" s="175"/>
      <c r="N321" s="175"/>
      <c r="O321" s="175"/>
      <c r="P321" s="108">
        <f>IF(Table_Shelter[[#This Row],[Status]]="Open",IF(V321="NO",Table_Shelter[[#This Row],[HH per Shelter]]*(Table_Shelter[[#This Row],['# of Temporary Shelter Units Built]]+Table_Shelter[[#This Row],['# of Temporary Shelter Under  Construction]]+Table_Shelter[[#This Row],['# of Permanent House Under Construction]]),0),0)</f>
        <v>10</v>
      </c>
      <c r="Q321" s="108"/>
      <c r="R321" s="175"/>
      <c r="S321" s="175" t="str">
        <f>IFERROR(VLOOKUP(Table_Shelter[[#This Row],[CampName]],CL,2,0),"")</f>
        <v>MMR001CMP032</v>
      </c>
      <c r="T321" s="175" t="str">
        <f>IFERROR(VLOOKUP(Table_Shelter[[#This Row],[CampName]],CL,3,0),"")</f>
        <v>Open</v>
      </c>
      <c r="U321" s="265">
        <f>IFERROR(Table_Shelter[[#This Row],[HH Covered]]/VLOOKUP(Table_Shelter[[#This Row],[CampName]],CL,5,0),"")</f>
        <v>0.10989010989010989</v>
      </c>
      <c r="V321" s="265" t="s">
        <v>1305</v>
      </c>
      <c r="W321" s="175"/>
    </row>
    <row r="322" spans="1:23" ht="15" customHeight="1" x14ac:dyDescent="0.25">
      <c r="A322" s="579"/>
      <c r="B322" s="173" t="s">
        <v>452</v>
      </c>
      <c r="C322" s="173" t="s">
        <v>505</v>
      </c>
      <c r="D322" s="180" t="s">
        <v>380</v>
      </c>
      <c r="E322" s="345" t="s">
        <v>310</v>
      </c>
      <c r="F322" s="173" t="s">
        <v>318</v>
      </c>
      <c r="G322" s="107">
        <v>1</v>
      </c>
      <c r="H322" s="109"/>
      <c r="I322" s="109"/>
      <c r="J322" s="109">
        <v>5</v>
      </c>
      <c r="K322" s="109">
        <v>5</v>
      </c>
      <c r="L322" s="175"/>
      <c r="M322" s="175"/>
      <c r="N322" s="175"/>
      <c r="O322" s="175"/>
      <c r="P322" s="108">
        <f>IF(Table_Shelter[[#This Row],[Status]]="Open",IF(V322="NO",Table_Shelter[[#This Row],[HH per Shelter]]*(Table_Shelter[[#This Row],['# of Temporary Shelter Units Built]]+Table_Shelter[[#This Row],['# of Temporary Shelter Under  Construction]]+Table_Shelter[[#This Row],['# of Permanent House Under Construction]]),0),0)</f>
        <v>5</v>
      </c>
      <c r="Q322" s="108"/>
      <c r="R322" s="108"/>
      <c r="S322" s="108" t="str">
        <f>IFERROR(VLOOKUP(Table_Shelter[[#This Row],[CampName]],CL,2,0),"")</f>
        <v>MMR001CMP032</v>
      </c>
      <c r="T322" s="108" t="str">
        <f>IFERROR(VLOOKUP(Table_Shelter[[#This Row],[CampName]],CL,3,0),"")</f>
        <v>Open</v>
      </c>
      <c r="U322" s="265">
        <f>IFERROR(Table_Shelter[[#This Row],[HH Covered]]/VLOOKUP(Table_Shelter[[#This Row],[CampName]],CL,5,0),"")</f>
        <v>5.4945054945054944E-2</v>
      </c>
      <c r="V322" s="265" t="s">
        <v>1305</v>
      </c>
      <c r="W322" s="108"/>
    </row>
    <row r="323" spans="1:23" ht="15" customHeight="1" x14ac:dyDescent="0.25">
      <c r="A323" s="579"/>
      <c r="B323" s="173" t="s">
        <v>452</v>
      </c>
      <c r="C323" s="173" t="s">
        <v>460</v>
      </c>
      <c r="D323" s="176" t="s">
        <v>380</v>
      </c>
      <c r="E323" s="345" t="s">
        <v>237</v>
      </c>
      <c r="F323" s="173" t="s">
        <v>251</v>
      </c>
      <c r="G323" s="107">
        <v>1</v>
      </c>
      <c r="H323" s="109"/>
      <c r="I323" s="109"/>
      <c r="J323" s="109">
        <v>20</v>
      </c>
      <c r="K323" s="109">
        <v>20</v>
      </c>
      <c r="L323" s="175"/>
      <c r="M323" s="175"/>
      <c r="N323" s="175"/>
      <c r="O323" s="175"/>
      <c r="P323" s="108">
        <f>IF(Table_Shelter[[#This Row],[Status]]="Open",IF(V323="NO",Table_Shelter[[#This Row],[HH per Shelter]]*(Table_Shelter[[#This Row],['# of Temporary Shelter Units Built]]+Table_Shelter[[#This Row],['# of Temporary Shelter Under  Construction]]+Table_Shelter[[#This Row],['# of Permanent House Under Construction]]),0),0)</f>
        <v>20</v>
      </c>
      <c r="Q323" s="108"/>
      <c r="R323" s="175"/>
      <c r="S323" s="175" t="str">
        <f>IFERROR(VLOOKUP(Table_Shelter[[#This Row],[CampName]],CL,2,0),"")</f>
        <v>MMR001CMP003</v>
      </c>
      <c r="T323" s="175" t="str">
        <f>IFERROR(VLOOKUP(Table_Shelter[[#This Row],[CampName]],CL,3,0),"")</f>
        <v>Open</v>
      </c>
      <c r="U323" s="265">
        <f>IFERROR(Table_Shelter[[#This Row],[HH Covered]]/VLOOKUP(Table_Shelter[[#This Row],[CampName]],CL,5,0),"")</f>
        <v>0.625</v>
      </c>
      <c r="V323" s="265" t="s">
        <v>1305</v>
      </c>
      <c r="W323" s="175"/>
    </row>
    <row r="324" spans="1:23" ht="15" customHeight="1" x14ac:dyDescent="0.25">
      <c r="A324" s="579"/>
      <c r="B324" s="173" t="s">
        <v>452</v>
      </c>
      <c r="C324" s="173"/>
      <c r="D324" s="176" t="s">
        <v>380</v>
      </c>
      <c r="E324" s="345" t="s">
        <v>310</v>
      </c>
      <c r="F324" s="173" t="s">
        <v>342</v>
      </c>
      <c r="G324" s="107">
        <v>1</v>
      </c>
      <c r="H324" s="109"/>
      <c r="I324" s="109"/>
      <c r="J324" s="109">
        <v>20</v>
      </c>
      <c r="K324" s="109">
        <v>20</v>
      </c>
      <c r="L324" s="175"/>
      <c r="M324" s="175"/>
      <c r="N324" s="175"/>
      <c r="O324" s="175"/>
      <c r="P324" s="108">
        <f>IF(Table_Shelter[[#This Row],[Status]]="Open",IF(V324="NO",Table_Shelter[[#This Row],[HH per Shelter]]*(Table_Shelter[[#This Row],['# of Temporary Shelter Units Built]]+Table_Shelter[[#This Row],['# of Temporary Shelter Under  Construction]]+Table_Shelter[[#This Row],['# of Permanent House Under Construction]]),0),0)</f>
        <v>20</v>
      </c>
      <c r="Q324" s="108"/>
      <c r="R324" s="175"/>
      <c r="S324" s="175" t="str">
        <f>IFERROR(VLOOKUP(Table_Shelter[[#This Row],[CampName]],CL,2,0),"")</f>
        <v>MMR001CMP025</v>
      </c>
      <c r="T324" s="175" t="str">
        <f>IFERROR(VLOOKUP(Table_Shelter[[#This Row],[CampName]],CL,3,0),"")</f>
        <v>Open</v>
      </c>
      <c r="U324" s="265">
        <f>IFERROR(Table_Shelter[[#This Row],[HH Covered]]/VLOOKUP(Table_Shelter[[#This Row],[CampName]],CL,5,0),"")</f>
        <v>0.3125</v>
      </c>
      <c r="V324" s="265" t="s">
        <v>1305</v>
      </c>
      <c r="W324" s="175"/>
    </row>
    <row r="325" spans="1:23" ht="15" customHeight="1" x14ac:dyDescent="0.25">
      <c r="A325" s="579"/>
      <c r="B325" s="173" t="s">
        <v>452</v>
      </c>
      <c r="C325" s="173" t="s">
        <v>505</v>
      </c>
      <c r="D325" s="176" t="s">
        <v>380</v>
      </c>
      <c r="E325" s="345" t="s">
        <v>310</v>
      </c>
      <c r="F325" s="173" t="s">
        <v>338</v>
      </c>
      <c r="G325" s="107">
        <v>1</v>
      </c>
      <c r="H325" s="109"/>
      <c r="I325" s="109"/>
      <c r="J325" s="109">
        <v>23</v>
      </c>
      <c r="K325" s="109">
        <v>23</v>
      </c>
      <c r="L325" s="175"/>
      <c r="M325" s="175"/>
      <c r="N325" s="175"/>
      <c r="O325" s="175"/>
      <c r="P325" s="108">
        <f>IF(Table_Shelter[[#This Row],[Status]]="Open",IF(V325="NO",Table_Shelter[[#This Row],[HH per Shelter]]*(Table_Shelter[[#This Row],['# of Temporary Shelter Units Built]]+Table_Shelter[[#This Row],['# of Temporary Shelter Under  Construction]]+Table_Shelter[[#This Row],['# of Permanent House Under Construction]]),0),0)</f>
        <v>23</v>
      </c>
      <c r="Q325" s="108"/>
      <c r="R325" s="175"/>
      <c r="S325" s="175" t="str">
        <f>IFERROR(VLOOKUP(Table_Shelter[[#This Row],[CampName]],CL,2,0),"")</f>
        <v>MMR001CMP030</v>
      </c>
      <c r="T325" s="175" t="str">
        <f>IFERROR(VLOOKUP(Table_Shelter[[#This Row],[CampName]],CL,3,0),"")</f>
        <v>Open</v>
      </c>
      <c r="U325" s="265">
        <f>IFERROR(Table_Shelter[[#This Row],[HH Covered]]/VLOOKUP(Table_Shelter[[#This Row],[CampName]],CL,5,0),"")</f>
        <v>0.74193548387096775</v>
      </c>
      <c r="V325" s="265" t="s">
        <v>1305</v>
      </c>
      <c r="W325" s="175"/>
    </row>
    <row r="326" spans="1:23" ht="15" customHeight="1" x14ac:dyDescent="0.25">
      <c r="A326" s="579"/>
      <c r="B326" s="107" t="s">
        <v>452</v>
      </c>
      <c r="C326" s="107" t="s">
        <v>505</v>
      </c>
      <c r="D326" s="180" t="s">
        <v>380</v>
      </c>
      <c r="E326" s="181" t="s">
        <v>310</v>
      </c>
      <c r="F326" s="107" t="s">
        <v>338</v>
      </c>
      <c r="G326" s="107">
        <v>1</v>
      </c>
      <c r="H326" s="109"/>
      <c r="I326" s="109"/>
      <c r="J326" s="109">
        <v>3</v>
      </c>
      <c r="K326" s="109">
        <v>3</v>
      </c>
      <c r="L326" s="109"/>
      <c r="M326" s="109"/>
      <c r="N326" s="109"/>
      <c r="O326" s="109"/>
      <c r="P326" s="108">
        <f>IF(Table_Shelter[[#This Row],[Status]]="Open",IF(V326="NO",Table_Shelter[[#This Row],[HH per Shelter]]*(Table_Shelter[[#This Row],['# of Temporary Shelter Units Built]]+Table_Shelter[[#This Row],['# of Temporary Shelter Under  Construction]]+Table_Shelter[[#This Row],['# of Permanent House Under Construction]]),0),0)</f>
        <v>3</v>
      </c>
      <c r="Q326" s="108"/>
      <c r="R326" s="108"/>
      <c r="S326" s="108" t="str">
        <f>IFERROR(VLOOKUP(Table_Shelter[[#This Row],[CampName]],CL,2,0),"")</f>
        <v>MMR001CMP030</v>
      </c>
      <c r="T326" s="108" t="str">
        <f>IFERROR(VLOOKUP(Table_Shelter[[#This Row],[CampName]],CL,3,0),"")</f>
        <v>Open</v>
      </c>
      <c r="U326" s="266">
        <f>IFERROR(Table_Shelter[[#This Row],[HH Covered]]/VLOOKUP(Table_Shelter[[#This Row],[CampName]],CL,5,0),"")</f>
        <v>9.6774193548387094E-2</v>
      </c>
      <c r="V326" s="265" t="s">
        <v>1305</v>
      </c>
      <c r="W326" s="108"/>
    </row>
    <row r="327" spans="1:23" ht="15" customHeight="1" x14ac:dyDescent="0.25">
      <c r="A327" s="579"/>
      <c r="B327" s="173" t="s">
        <v>452</v>
      </c>
      <c r="C327" s="173" t="s">
        <v>505</v>
      </c>
      <c r="D327" s="176" t="s">
        <v>380</v>
      </c>
      <c r="E327" s="345" t="s">
        <v>310</v>
      </c>
      <c r="F327" s="173" t="s">
        <v>351</v>
      </c>
      <c r="G327" s="107">
        <v>1</v>
      </c>
      <c r="H327" s="109"/>
      <c r="I327" s="109"/>
      <c r="J327" s="109">
        <v>100</v>
      </c>
      <c r="K327" s="109">
        <v>100</v>
      </c>
      <c r="L327" s="175"/>
      <c r="M327" s="175"/>
      <c r="N327" s="175"/>
      <c r="O327" s="175"/>
      <c r="P327" s="108">
        <f>IF(Table_Shelter[[#This Row],[Status]]="Open",IF(V327="NO",Table_Shelter[[#This Row],[HH per Shelter]]*(Table_Shelter[[#This Row],['# of Temporary Shelter Units Built]]+Table_Shelter[[#This Row],['# of Temporary Shelter Under  Construction]]+Table_Shelter[[#This Row],['# of Permanent House Under Construction]]),0),0)</f>
        <v>100</v>
      </c>
      <c r="Q327" s="108">
        <v>15</v>
      </c>
      <c r="R327" s="175"/>
      <c r="S327" s="175" t="str">
        <f>IFERROR(VLOOKUP(Table_Shelter[[#This Row],[CampName]],CL,2,0),"")</f>
        <v>MMR001CMP026</v>
      </c>
      <c r="T327" s="175" t="str">
        <f>IFERROR(VLOOKUP(Table_Shelter[[#This Row],[CampName]],CL,3,0),"")</f>
        <v>Open</v>
      </c>
      <c r="U327" s="265">
        <f>IFERROR(Table_Shelter[[#This Row],[HH Covered]]/VLOOKUP(Table_Shelter[[#This Row],[CampName]],CL,5,0),"")</f>
        <v>1.1494252873563218</v>
      </c>
      <c r="V327" s="265" t="s">
        <v>1305</v>
      </c>
      <c r="W327" s="175"/>
    </row>
    <row r="328" spans="1:23" ht="15" customHeight="1" x14ac:dyDescent="0.25">
      <c r="A328" s="579"/>
      <c r="B328" s="173" t="s">
        <v>862</v>
      </c>
      <c r="C328" s="173"/>
      <c r="D328" s="176" t="s">
        <v>380</v>
      </c>
      <c r="E328" s="345" t="s">
        <v>527</v>
      </c>
      <c r="F328" s="173" t="s">
        <v>118</v>
      </c>
      <c r="G328" s="107">
        <v>1</v>
      </c>
      <c r="H328" s="109">
        <v>9</v>
      </c>
      <c r="I328" s="109">
        <v>9</v>
      </c>
      <c r="J328" s="109"/>
      <c r="K328" s="109"/>
      <c r="L328" s="175"/>
      <c r="M328" s="175"/>
      <c r="N328" s="175"/>
      <c r="O328" s="175"/>
      <c r="P328" s="108">
        <f>IF(Table_Shelter[[#This Row],[Status]]="Open",IF(V328="NO",Table_Shelter[[#This Row],[HH per Shelter]]*(Table_Shelter[[#This Row],['# of Temporary Shelter Units Built]]+Table_Shelter[[#This Row],['# of Temporary Shelter Under  Construction]]+Table_Shelter[[#This Row],['# of Permanent House Under Construction]]),0),0)</f>
        <v>0</v>
      </c>
      <c r="Q328" s="108"/>
      <c r="R328" s="175"/>
      <c r="S328" s="175" t="str">
        <f>IFERROR(VLOOKUP(Table_Shelter[[#This Row],[CampName]],CL,2,0),"")</f>
        <v>MMR001CMP182</v>
      </c>
      <c r="T328" s="175" t="str">
        <f>IFERROR(VLOOKUP(Table_Shelter[[#This Row],[CampName]],CL,3,0),"")</f>
        <v>Open</v>
      </c>
      <c r="U328" s="265">
        <f>IFERROR(Table_Shelter[[#This Row],[HH Covered]]/VLOOKUP(Table_Shelter[[#This Row],[CampName]],CL,5,0),"")</f>
        <v>0</v>
      </c>
      <c r="V328" s="265" t="s">
        <v>1305</v>
      </c>
      <c r="W328" s="175"/>
    </row>
    <row r="329" spans="1:23" ht="15" customHeight="1" x14ac:dyDescent="0.25">
      <c r="A329" s="579"/>
      <c r="B329" s="173" t="s">
        <v>847</v>
      </c>
      <c r="C329" s="173"/>
      <c r="D329" s="176" t="s">
        <v>380</v>
      </c>
      <c r="E329" s="345" t="s">
        <v>5</v>
      </c>
      <c r="F329" s="173" t="s">
        <v>22</v>
      </c>
      <c r="G329" s="107">
        <v>1</v>
      </c>
      <c r="H329" s="109"/>
      <c r="I329" s="109"/>
      <c r="J329" s="109">
        <v>162</v>
      </c>
      <c r="K329" s="109">
        <v>162</v>
      </c>
      <c r="L329" s="175"/>
      <c r="M329" s="175"/>
      <c r="N329" s="175"/>
      <c r="O329" s="175"/>
      <c r="P329" s="108">
        <f>IF(Table_Shelter[[#This Row],[Status]]="Open",IF(V329="NO",Table_Shelter[[#This Row],[HH per Shelter]]*(Table_Shelter[[#This Row],['# of Temporary Shelter Units Built]]+Table_Shelter[[#This Row],['# of Temporary Shelter Under  Construction]]+Table_Shelter[[#This Row],['# of Permanent House Under Construction]]),0),0)</f>
        <v>162</v>
      </c>
      <c r="Q329" s="108"/>
      <c r="R329" s="175"/>
      <c r="S329" s="175" t="str">
        <f>IFERROR(VLOOKUP(Table_Shelter[[#This Row],[CampName]],CL,2,0),"")</f>
        <v>MMR001CMP047</v>
      </c>
      <c r="T329" s="175" t="str">
        <f>IFERROR(VLOOKUP(Table_Shelter[[#This Row],[CampName]],CL,3,0),"")</f>
        <v>Open</v>
      </c>
      <c r="U329" s="265">
        <f>IFERROR(Table_Shelter[[#This Row],[HH Covered]]/VLOOKUP(Table_Shelter[[#This Row],[CampName]],CL,5,0),"")</f>
        <v>0.25878594249201275</v>
      </c>
      <c r="V329" s="265" t="s">
        <v>1305</v>
      </c>
      <c r="W329" s="175"/>
    </row>
    <row r="330" spans="1:23" ht="15" customHeight="1" x14ac:dyDescent="0.25">
      <c r="A330" s="579"/>
      <c r="B330" s="173" t="s">
        <v>846</v>
      </c>
      <c r="C330" s="173"/>
      <c r="D330" s="176" t="s">
        <v>380</v>
      </c>
      <c r="E330" s="345" t="s">
        <v>5</v>
      </c>
      <c r="F330" s="173" t="s">
        <v>22</v>
      </c>
      <c r="G330" s="107">
        <v>1</v>
      </c>
      <c r="H330" s="109"/>
      <c r="I330" s="109"/>
      <c r="J330" s="109">
        <v>163</v>
      </c>
      <c r="K330" s="109">
        <v>163</v>
      </c>
      <c r="L330" s="175"/>
      <c r="M330" s="175"/>
      <c r="N330" s="175"/>
      <c r="O330" s="175"/>
      <c r="P330" s="108">
        <f>IF(Table_Shelter[[#This Row],[Status]]="Open",IF(V330="NO",Table_Shelter[[#This Row],[HH per Shelter]]*(Table_Shelter[[#This Row],['# of Temporary Shelter Units Built]]+Table_Shelter[[#This Row],['# of Temporary Shelter Under  Construction]]+Table_Shelter[[#This Row],['# of Permanent House Under Construction]]),0),0)</f>
        <v>163</v>
      </c>
      <c r="Q330" s="108"/>
      <c r="R330" s="175"/>
      <c r="S330" s="175" t="str">
        <f>IFERROR(VLOOKUP(Table_Shelter[[#This Row],[CampName]],CL,2,0),"")</f>
        <v>MMR001CMP047</v>
      </c>
      <c r="T330" s="175" t="str">
        <f>IFERROR(VLOOKUP(Table_Shelter[[#This Row],[CampName]],CL,3,0),"")</f>
        <v>Open</v>
      </c>
      <c r="U330" s="265">
        <f>IFERROR(Table_Shelter[[#This Row],[HH Covered]]/VLOOKUP(Table_Shelter[[#This Row],[CampName]],CL,5,0),"")</f>
        <v>0.26038338658146964</v>
      </c>
      <c r="V330" s="265" t="s">
        <v>1305</v>
      </c>
      <c r="W330" s="175"/>
    </row>
    <row r="331" spans="1:23" ht="15" customHeight="1" x14ac:dyDescent="0.25">
      <c r="A331" s="579"/>
      <c r="B331" s="173" t="s">
        <v>452</v>
      </c>
      <c r="C331" s="173"/>
      <c r="D331" s="176" t="s">
        <v>380</v>
      </c>
      <c r="E331" s="345" t="s">
        <v>5</v>
      </c>
      <c r="F331" s="173" t="s">
        <v>22</v>
      </c>
      <c r="G331" s="107">
        <v>1</v>
      </c>
      <c r="H331" s="109"/>
      <c r="I331" s="109"/>
      <c r="J331" s="109">
        <v>70</v>
      </c>
      <c r="K331" s="109">
        <v>70</v>
      </c>
      <c r="L331" s="175"/>
      <c r="M331" s="175"/>
      <c r="N331" s="175"/>
      <c r="O331" s="175"/>
      <c r="P331" s="108">
        <f>IF(Table_Shelter[[#This Row],[Status]]="Open",IF(V331="NO",Table_Shelter[[#This Row],[HH per Shelter]]*(Table_Shelter[[#This Row],['# of Temporary Shelter Units Built]]+Table_Shelter[[#This Row],['# of Temporary Shelter Under  Construction]]+Table_Shelter[[#This Row],['# of Permanent House Under Construction]]),0),0)</f>
        <v>70</v>
      </c>
      <c r="Q331" s="108"/>
      <c r="R331" s="175"/>
      <c r="S331" s="175" t="str">
        <f>IFERROR(VLOOKUP(Table_Shelter[[#This Row],[CampName]],CL,2,0),"")</f>
        <v>MMR001CMP047</v>
      </c>
      <c r="T331" s="175" t="str">
        <f>IFERROR(VLOOKUP(Table_Shelter[[#This Row],[CampName]],CL,3,0),"")</f>
        <v>Open</v>
      </c>
      <c r="U331" s="265">
        <f>IFERROR(Table_Shelter[[#This Row],[HH Covered]]/VLOOKUP(Table_Shelter[[#This Row],[CampName]],CL,5,0),"")</f>
        <v>0.11182108626198083</v>
      </c>
      <c r="V331" s="265" t="s">
        <v>1305</v>
      </c>
      <c r="W331" s="175"/>
    </row>
    <row r="332" spans="1:23" ht="15" customHeight="1" x14ac:dyDescent="0.25">
      <c r="A332" s="579"/>
      <c r="B332" s="173" t="s">
        <v>862</v>
      </c>
      <c r="C332" s="173"/>
      <c r="D332" s="176" t="s">
        <v>380</v>
      </c>
      <c r="E332" s="345" t="s">
        <v>237</v>
      </c>
      <c r="F332" s="173" t="s">
        <v>898</v>
      </c>
      <c r="G332" s="107">
        <v>1</v>
      </c>
      <c r="H332" s="109">
        <v>1</v>
      </c>
      <c r="I332" s="109">
        <v>1</v>
      </c>
      <c r="J332" s="109"/>
      <c r="K332" s="109"/>
      <c r="L332" s="175"/>
      <c r="M332" s="175"/>
      <c r="N332" s="175"/>
      <c r="O332" s="175"/>
      <c r="P332" s="108">
        <f>IF(Table_Shelter[[#This Row],[Status]]="Open",IF(V332="NO",Table_Shelter[[#This Row],[HH per Shelter]]*(Table_Shelter[[#This Row],['# of Temporary Shelter Units Built]]+Table_Shelter[[#This Row],['# of Temporary Shelter Under  Construction]]+Table_Shelter[[#This Row],['# of Permanent House Under Construction]]),0),0)</f>
        <v>0</v>
      </c>
      <c r="Q332" s="108"/>
      <c r="R332" s="175"/>
      <c r="S332" s="175" t="str">
        <f>IFERROR(VLOOKUP(Table_Shelter[[#This Row],[CampName]],CL,2,0),"")</f>
        <v/>
      </c>
      <c r="T332" s="175" t="str">
        <f>IFERROR(VLOOKUP(Table_Shelter[[#This Row],[CampName]],CL,3,0),"")</f>
        <v/>
      </c>
      <c r="U332" s="265" t="str">
        <f>IFERROR(Table_Shelter[[#This Row],[HH Covered]]/VLOOKUP(Table_Shelter[[#This Row],[CampName]],CL,5,0),"")</f>
        <v/>
      </c>
      <c r="V332" s="265" t="s">
        <v>1305</v>
      </c>
      <c r="W332" s="175"/>
    </row>
    <row r="333" spans="1:23" ht="15" customHeight="1" x14ac:dyDescent="0.25">
      <c r="A333" s="647"/>
      <c r="B333" s="173" t="s">
        <v>862</v>
      </c>
      <c r="C333" s="173"/>
      <c r="D333" s="176" t="s">
        <v>380</v>
      </c>
      <c r="E333" s="345" t="s">
        <v>527</v>
      </c>
      <c r="F333" s="173" t="s">
        <v>124</v>
      </c>
      <c r="G333" s="107">
        <v>1</v>
      </c>
      <c r="H333" s="109">
        <v>7</v>
      </c>
      <c r="I333" s="109">
        <v>7</v>
      </c>
      <c r="J333" s="109"/>
      <c r="K333" s="109"/>
      <c r="L333" s="175"/>
      <c r="M333" s="175"/>
      <c r="N333" s="175"/>
      <c r="O333" s="175"/>
      <c r="P333" s="108">
        <f>IF(Table_Shelter[[#This Row],[Status]]="Open",IF(V333="NO",Table_Shelter[[#This Row],[HH per Shelter]]*(Table_Shelter[[#This Row],['# of Temporary Shelter Units Built]]+Table_Shelter[[#This Row],['# of Temporary Shelter Under  Construction]]+Table_Shelter[[#This Row],['# of Permanent House Under Construction]]),0),0)</f>
        <v>0</v>
      </c>
      <c r="Q333" s="108"/>
      <c r="R333" s="175"/>
      <c r="S333" s="175" t="str">
        <f>IFERROR(VLOOKUP(Table_Shelter[[#This Row],[CampName]],CL,2,0),"")</f>
        <v>MMR001CMP183</v>
      </c>
      <c r="T333" s="175" t="str">
        <f>IFERROR(VLOOKUP(Table_Shelter[[#This Row],[CampName]],CL,3,0),"")</f>
        <v>Open</v>
      </c>
      <c r="U333" s="265">
        <f>IFERROR(Table_Shelter[[#This Row],[HH Covered]]/VLOOKUP(Table_Shelter[[#This Row],[CampName]],CL,5,0),"")</f>
        <v>0</v>
      </c>
      <c r="V333" s="265" t="s">
        <v>1305</v>
      </c>
      <c r="W333" s="175"/>
    </row>
    <row r="334" spans="1:23" ht="15" customHeight="1" x14ac:dyDescent="0.25">
      <c r="A334" s="579"/>
      <c r="B334" s="173" t="s">
        <v>452</v>
      </c>
      <c r="C334" s="173"/>
      <c r="D334" s="176" t="s">
        <v>380</v>
      </c>
      <c r="E334" s="345" t="s">
        <v>185</v>
      </c>
      <c r="F334" s="173" t="s">
        <v>225</v>
      </c>
      <c r="G334" s="107">
        <v>1</v>
      </c>
      <c r="H334" s="109"/>
      <c r="I334" s="109"/>
      <c r="J334" s="109">
        <v>40</v>
      </c>
      <c r="K334" s="109">
        <v>40</v>
      </c>
      <c r="L334" s="175"/>
      <c r="M334" s="175"/>
      <c r="N334" s="175"/>
      <c r="O334" s="175"/>
      <c r="P334" s="108">
        <f>IF(Table_Shelter[[#This Row],[Status]]="Open",IF(V334="NO",Table_Shelter[[#This Row],[HH per Shelter]]*(Table_Shelter[[#This Row],['# of Temporary Shelter Units Built]]+Table_Shelter[[#This Row],['# of Temporary Shelter Under  Construction]]+Table_Shelter[[#This Row],['# of Permanent House Under Construction]]),0),0)</f>
        <v>40</v>
      </c>
      <c r="Q334" s="108"/>
      <c r="R334" s="175"/>
      <c r="S334" s="175" t="str">
        <f>IFERROR(VLOOKUP(Table_Shelter[[#This Row],[CampName]],CL,2,0),"")</f>
        <v>MMR001CMP073</v>
      </c>
      <c r="T334" s="175" t="str">
        <f>IFERROR(VLOOKUP(Table_Shelter[[#This Row],[CampName]],CL,3,0),"")</f>
        <v>Open</v>
      </c>
      <c r="U334" s="265">
        <f>IFERROR(Table_Shelter[[#This Row],[HH Covered]]/VLOOKUP(Table_Shelter[[#This Row],[CampName]],CL,5,0),"")</f>
        <v>0.97560975609756095</v>
      </c>
      <c r="V334" s="265" t="s">
        <v>1305</v>
      </c>
      <c r="W334" s="175"/>
    </row>
    <row r="335" spans="1:23" ht="15" customHeight="1" x14ac:dyDescent="0.25">
      <c r="A335" s="579"/>
      <c r="B335" s="173" t="s">
        <v>847</v>
      </c>
      <c r="C335" s="173" t="s">
        <v>505</v>
      </c>
      <c r="D335" s="176" t="s">
        <v>380</v>
      </c>
      <c r="E335" s="345" t="s">
        <v>237</v>
      </c>
      <c r="F335" s="173" t="s">
        <v>277</v>
      </c>
      <c r="G335" s="107">
        <v>1</v>
      </c>
      <c r="H335" s="109"/>
      <c r="I335" s="109"/>
      <c r="J335" s="109">
        <v>14</v>
      </c>
      <c r="K335" s="109">
        <v>14</v>
      </c>
      <c r="L335" s="175"/>
      <c r="M335" s="175"/>
      <c r="N335" s="175"/>
      <c r="O335" s="175"/>
      <c r="P335" s="108">
        <f>IF(Table_Shelter[[#This Row],[Status]]="Open",IF(V335="NO",Table_Shelter[[#This Row],[HH per Shelter]]*(Table_Shelter[[#This Row],['# of Temporary Shelter Units Built]]+Table_Shelter[[#This Row],['# of Temporary Shelter Under  Construction]]+Table_Shelter[[#This Row],['# of Permanent House Under Construction]]),0),0)</f>
        <v>14</v>
      </c>
      <c r="Q335" s="108"/>
      <c r="R335" s="175"/>
      <c r="S335" s="175" t="str">
        <f>IFERROR(VLOOKUP(Table_Shelter[[#This Row],[CampName]],CL,2,0),"")</f>
        <v>MMR001CMP006</v>
      </c>
      <c r="T335" s="175" t="str">
        <f>IFERROR(VLOOKUP(Table_Shelter[[#This Row],[CampName]],CL,3,0),"")</f>
        <v>Open</v>
      </c>
      <c r="U335" s="265">
        <f>IFERROR(Table_Shelter[[#This Row],[HH Covered]]/VLOOKUP(Table_Shelter[[#This Row],[CampName]],CL,5,0),"")</f>
        <v>0.15555555555555556</v>
      </c>
      <c r="V335" s="265" t="s">
        <v>1305</v>
      </c>
      <c r="W335" s="175"/>
    </row>
    <row r="336" spans="1:23" ht="15" customHeight="1" x14ac:dyDescent="0.25">
      <c r="A336" s="579"/>
      <c r="B336" s="173" t="s">
        <v>847</v>
      </c>
      <c r="C336" s="173" t="s">
        <v>460</v>
      </c>
      <c r="D336" s="176" t="s">
        <v>380</v>
      </c>
      <c r="E336" s="345" t="s">
        <v>237</v>
      </c>
      <c r="F336" s="173" t="s">
        <v>275</v>
      </c>
      <c r="G336" s="107">
        <v>1</v>
      </c>
      <c r="H336" s="109"/>
      <c r="I336" s="109"/>
      <c r="J336" s="109">
        <v>14</v>
      </c>
      <c r="K336" s="109">
        <v>14</v>
      </c>
      <c r="L336" s="175"/>
      <c r="M336" s="175"/>
      <c r="N336" s="175"/>
      <c r="O336" s="175"/>
      <c r="P336" s="108">
        <f>IF(Table_Shelter[[#This Row],[Status]]="Open",IF(V336="NO",Table_Shelter[[#This Row],[HH per Shelter]]*(Table_Shelter[[#This Row],['# of Temporary Shelter Units Built]]+Table_Shelter[[#This Row],['# of Temporary Shelter Under  Construction]]+Table_Shelter[[#This Row],['# of Permanent House Under Construction]]),0),0)</f>
        <v>14</v>
      </c>
      <c r="Q336" s="108"/>
      <c r="R336" s="175"/>
      <c r="S336" s="175" t="str">
        <f>IFERROR(VLOOKUP(Table_Shelter[[#This Row],[CampName]],CL,2,0),"")</f>
        <v>MMR001CMP005</v>
      </c>
      <c r="T336" s="175" t="str">
        <f>IFERROR(VLOOKUP(Table_Shelter[[#This Row],[CampName]],CL,3,0),"")</f>
        <v>Open</v>
      </c>
      <c r="U336" s="265">
        <f>IFERROR(Table_Shelter[[#This Row],[HH Covered]]/VLOOKUP(Table_Shelter[[#This Row],[CampName]],CL,5,0),"")</f>
        <v>0.30434782608695654</v>
      </c>
      <c r="V336" s="265" t="s">
        <v>1305</v>
      </c>
      <c r="W336" s="175"/>
    </row>
    <row r="337" spans="1:23" ht="15" customHeight="1" x14ac:dyDescent="0.25">
      <c r="A337" s="579"/>
      <c r="B337" s="173" t="s">
        <v>452</v>
      </c>
      <c r="C337" s="173"/>
      <c r="D337" s="176" t="s">
        <v>380</v>
      </c>
      <c r="E337" s="345" t="s">
        <v>237</v>
      </c>
      <c r="F337" s="173" t="s">
        <v>277</v>
      </c>
      <c r="G337" s="107">
        <v>1</v>
      </c>
      <c r="H337" s="109"/>
      <c r="I337" s="109"/>
      <c r="J337" s="109">
        <v>40</v>
      </c>
      <c r="K337" s="109">
        <v>40</v>
      </c>
      <c r="L337" s="175"/>
      <c r="M337" s="175"/>
      <c r="N337" s="175"/>
      <c r="O337" s="175"/>
      <c r="P337" s="108">
        <f>IF(Table_Shelter[[#This Row],[Status]]="Open",IF(V337="NO",Table_Shelter[[#This Row],[HH per Shelter]]*(Table_Shelter[[#This Row],['# of Temporary Shelter Units Built]]+Table_Shelter[[#This Row],['# of Temporary Shelter Under  Construction]]+Table_Shelter[[#This Row],['# of Permanent House Under Construction]]),0),0)</f>
        <v>40</v>
      </c>
      <c r="Q337" s="108"/>
      <c r="R337" s="175"/>
      <c r="S337" s="175" t="str">
        <f>IFERROR(VLOOKUP(Table_Shelter[[#This Row],[CampName]],CL,2,0),"")</f>
        <v>MMR001CMP006</v>
      </c>
      <c r="T337" s="175" t="str">
        <f>IFERROR(VLOOKUP(Table_Shelter[[#This Row],[CampName]],CL,3,0),"")</f>
        <v>Open</v>
      </c>
      <c r="U337" s="265">
        <f>IFERROR(Table_Shelter[[#This Row],[HH Covered]]/VLOOKUP(Table_Shelter[[#This Row],[CampName]],CL,5,0),"")</f>
        <v>0.44444444444444442</v>
      </c>
      <c r="V337" s="265" t="s">
        <v>1305</v>
      </c>
      <c r="W337" s="175"/>
    </row>
    <row r="338" spans="1:23" ht="15" customHeight="1" x14ac:dyDescent="0.25">
      <c r="A338" s="579"/>
      <c r="B338" s="173" t="s">
        <v>452</v>
      </c>
      <c r="C338" s="173" t="s">
        <v>460</v>
      </c>
      <c r="D338" s="176" t="s">
        <v>380</v>
      </c>
      <c r="E338" s="345" t="s">
        <v>237</v>
      </c>
      <c r="F338" s="173" t="s">
        <v>275</v>
      </c>
      <c r="G338" s="107">
        <v>1</v>
      </c>
      <c r="H338" s="109"/>
      <c r="I338" s="109"/>
      <c r="J338" s="109">
        <v>10</v>
      </c>
      <c r="K338" s="109">
        <v>10</v>
      </c>
      <c r="L338" s="175"/>
      <c r="M338" s="175"/>
      <c r="N338" s="175"/>
      <c r="O338" s="175"/>
      <c r="P338" s="108">
        <f>IF(Table_Shelter[[#This Row],[Status]]="Open",IF(V338="NO",Table_Shelter[[#This Row],[HH per Shelter]]*(Table_Shelter[[#This Row],['# of Temporary Shelter Units Built]]+Table_Shelter[[#This Row],['# of Temporary Shelter Under  Construction]]+Table_Shelter[[#This Row],['# of Permanent House Under Construction]]),0),0)</f>
        <v>10</v>
      </c>
      <c r="Q338" s="108"/>
      <c r="R338" s="175"/>
      <c r="S338" s="175" t="str">
        <f>IFERROR(VLOOKUP(Table_Shelter[[#This Row],[CampName]],CL,2,0),"")</f>
        <v>MMR001CMP005</v>
      </c>
      <c r="T338" s="175" t="str">
        <f>IFERROR(VLOOKUP(Table_Shelter[[#This Row],[CampName]],CL,3,0),"")</f>
        <v>Open</v>
      </c>
      <c r="U338" s="265">
        <f>IFERROR(Table_Shelter[[#This Row],[HH Covered]]/VLOOKUP(Table_Shelter[[#This Row],[CampName]],CL,5,0),"")</f>
        <v>0.21739130434782608</v>
      </c>
      <c r="V338" s="265" t="s">
        <v>1305</v>
      </c>
      <c r="W338" s="175"/>
    </row>
    <row r="339" spans="1:23" ht="15" customHeight="1" x14ac:dyDescent="0.25">
      <c r="A339" s="579"/>
      <c r="B339" s="173" t="s">
        <v>846</v>
      </c>
      <c r="C339" s="173"/>
      <c r="D339" s="176" t="s">
        <v>380</v>
      </c>
      <c r="E339" s="345" t="s">
        <v>302</v>
      </c>
      <c r="F339" s="173" t="s">
        <v>306</v>
      </c>
      <c r="G339" s="107">
        <v>1</v>
      </c>
      <c r="H339" s="109"/>
      <c r="I339" s="109"/>
      <c r="J339" s="109">
        <v>42</v>
      </c>
      <c r="K339" s="109">
        <v>42</v>
      </c>
      <c r="L339" s="175"/>
      <c r="M339" s="175"/>
      <c r="N339" s="175"/>
      <c r="O339" s="175"/>
      <c r="P339" s="108">
        <f>IF(Table_Shelter[[#This Row],[Status]]="Open",IF(V339="NO",Table_Shelter[[#This Row],[HH per Shelter]]*(Table_Shelter[[#This Row],['# of Temporary Shelter Units Built]]+Table_Shelter[[#This Row],['# of Temporary Shelter Under  Construction]]+Table_Shelter[[#This Row],['# of Permanent House Under Construction]]),0),0)</f>
        <v>42</v>
      </c>
      <c r="Q339" s="108"/>
      <c r="R339" s="175"/>
      <c r="S339" s="175" t="str">
        <f>IFERROR(VLOOKUP(Table_Shelter[[#This Row],[CampName]],CL,2,0),"")</f>
        <v>MMR001CMP067</v>
      </c>
      <c r="T339" s="175" t="str">
        <f>IFERROR(VLOOKUP(Table_Shelter[[#This Row],[CampName]],CL,3,0),"")</f>
        <v>Open</v>
      </c>
      <c r="U339" s="265">
        <f>IFERROR(Table_Shelter[[#This Row],[HH Covered]]/VLOOKUP(Table_Shelter[[#This Row],[CampName]],CL,5,0),"")</f>
        <v>0.48837209302325579</v>
      </c>
      <c r="V339" s="265" t="s">
        <v>1305</v>
      </c>
      <c r="W339" s="175"/>
    </row>
    <row r="340" spans="1:23" ht="15" customHeight="1" x14ac:dyDescent="0.25">
      <c r="A340" s="579"/>
      <c r="B340" s="173" t="s">
        <v>592</v>
      </c>
      <c r="C340" s="173" t="s">
        <v>459</v>
      </c>
      <c r="D340" s="176" t="s">
        <v>380</v>
      </c>
      <c r="E340" s="345" t="s">
        <v>302</v>
      </c>
      <c r="F340" s="173" t="s">
        <v>308</v>
      </c>
      <c r="G340" s="107">
        <v>1</v>
      </c>
      <c r="H340" s="109"/>
      <c r="I340" s="109"/>
      <c r="J340" s="109">
        <v>36</v>
      </c>
      <c r="K340" s="109">
        <v>36</v>
      </c>
      <c r="L340" s="175"/>
      <c r="M340" s="175"/>
      <c r="N340" s="175"/>
      <c r="O340" s="175"/>
      <c r="P340" s="108">
        <f>IF(Table_Shelter[[#This Row],[Status]]="Open",IF(V340="NO",Table_Shelter[[#This Row],[HH per Shelter]]*(Table_Shelter[[#This Row],['# of Temporary Shelter Units Built]]+Table_Shelter[[#This Row],['# of Temporary Shelter Under  Construction]]+Table_Shelter[[#This Row],['# of Permanent House Under Construction]]),0),0)</f>
        <v>36</v>
      </c>
      <c r="Q340" s="108"/>
      <c r="R340" s="175"/>
      <c r="S340" s="175" t="str">
        <f>IFERROR(VLOOKUP(Table_Shelter[[#This Row],[CampName]],CL,2,0),"")</f>
        <v>MMR001CMP068</v>
      </c>
      <c r="T340" s="175" t="str">
        <f>IFERROR(VLOOKUP(Table_Shelter[[#This Row],[CampName]],CL,3,0),"")</f>
        <v>Open</v>
      </c>
      <c r="U340" s="265">
        <f>IFERROR(Table_Shelter[[#This Row],[HH Covered]]/VLOOKUP(Table_Shelter[[#This Row],[CampName]],CL,5,0),"")</f>
        <v>1.125</v>
      </c>
      <c r="V340" s="265" t="s">
        <v>1305</v>
      </c>
      <c r="W340" s="175"/>
    </row>
    <row r="341" spans="1:23" ht="15" customHeight="1" x14ac:dyDescent="0.25">
      <c r="A341" s="579"/>
      <c r="B341" s="173" t="s">
        <v>452</v>
      </c>
      <c r="C341" s="173" t="s">
        <v>459</v>
      </c>
      <c r="D341" s="176" t="s">
        <v>380</v>
      </c>
      <c r="E341" s="345" t="s">
        <v>302</v>
      </c>
      <c r="F341" s="173" t="s">
        <v>308</v>
      </c>
      <c r="G341" s="107">
        <v>1</v>
      </c>
      <c r="H341" s="109"/>
      <c r="I341" s="109"/>
      <c r="J341" s="109">
        <v>10</v>
      </c>
      <c r="K341" s="109">
        <v>10</v>
      </c>
      <c r="L341" s="175"/>
      <c r="M341" s="175"/>
      <c r="N341" s="175"/>
      <c r="O341" s="175"/>
      <c r="P341" s="108">
        <f>IF(Table_Shelter[[#This Row],[Status]]="Open",IF(V341="NO",Table_Shelter[[#This Row],[HH per Shelter]]*(Table_Shelter[[#This Row],['# of Temporary Shelter Units Built]]+Table_Shelter[[#This Row],['# of Temporary Shelter Under  Construction]]+Table_Shelter[[#This Row],['# of Permanent House Under Construction]]),0),0)</f>
        <v>10</v>
      </c>
      <c r="Q341" s="108"/>
      <c r="R341" s="175"/>
      <c r="S341" s="175" t="str">
        <f>IFERROR(VLOOKUP(Table_Shelter[[#This Row],[CampName]],CL,2,0),"")</f>
        <v>MMR001CMP068</v>
      </c>
      <c r="T341" s="175" t="str">
        <f>IFERROR(VLOOKUP(Table_Shelter[[#This Row],[CampName]],CL,3,0),"")</f>
        <v>Open</v>
      </c>
      <c r="U341" s="265">
        <f>IFERROR(Table_Shelter[[#This Row],[HH Covered]]/VLOOKUP(Table_Shelter[[#This Row],[CampName]],CL,5,0),"")</f>
        <v>0.3125</v>
      </c>
      <c r="V341" s="265" t="s">
        <v>1305</v>
      </c>
      <c r="W341" s="175"/>
    </row>
    <row r="342" spans="1:23" ht="15" customHeight="1" x14ac:dyDescent="0.25">
      <c r="A342" s="811"/>
      <c r="B342" s="173" t="s">
        <v>452</v>
      </c>
      <c r="C342" s="173" t="s">
        <v>460</v>
      </c>
      <c r="D342" s="180" t="s">
        <v>380</v>
      </c>
      <c r="E342" s="181" t="s">
        <v>237</v>
      </c>
      <c r="F342" s="107" t="s">
        <v>275</v>
      </c>
      <c r="G342" s="107">
        <v>1</v>
      </c>
      <c r="H342" s="109"/>
      <c r="I342" s="109"/>
      <c r="J342" s="109">
        <v>8</v>
      </c>
      <c r="K342" s="109">
        <v>8</v>
      </c>
      <c r="L342" s="109"/>
      <c r="M342" s="109"/>
      <c r="N342" s="109"/>
      <c r="O342" s="109"/>
      <c r="P342" s="108">
        <f>IF(Table_Shelter[[#This Row],[Status]]="Open",IF(V342="NO",Table_Shelter[[#This Row],[HH per Shelter]]*(Table_Shelter[[#This Row],['# of Temporary Shelter Units Built]]+Table_Shelter[[#This Row],['# of Temporary Shelter Under  Construction]]+Table_Shelter[[#This Row],['# of Permanent House Under Construction]]),0),0)</f>
        <v>8</v>
      </c>
      <c r="Q342" s="108"/>
      <c r="R342" s="108"/>
      <c r="S342" s="108" t="str">
        <f>IFERROR(VLOOKUP(Table_Shelter[[#This Row],[CampName]],CL,2,0),"")</f>
        <v>MMR001CMP005</v>
      </c>
      <c r="T342" s="108" t="str">
        <f>IFERROR(VLOOKUP(Table_Shelter[[#This Row],[CampName]],CL,3,0),"")</f>
        <v>Open</v>
      </c>
      <c r="U342" s="266">
        <f>IFERROR(Table_Shelter[[#This Row],[HH Covered]]/VLOOKUP(Table_Shelter[[#This Row],[CampName]],CL,5,0),"")</f>
        <v>0.17391304347826086</v>
      </c>
      <c r="V342" s="265" t="s">
        <v>1305</v>
      </c>
      <c r="W342" s="108"/>
    </row>
    <row r="343" spans="1:23" ht="15" customHeight="1" x14ac:dyDescent="0.25">
      <c r="A343" s="579"/>
      <c r="B343" s="173" t="s">
        <v>592</v>
      </c>
      <c r="C343" s="173" t="s">
        <v>506</v>
      </c>
      <c r="D343" s="176" t="s">
        <v>380</v>
      </c>
      <c r="E343" s="345" t="s">
        <v>180</v>
      </c>
      <c r="F343" s="173" t="s">
        <v>181</v>
      </c>
      <c r="G343" s="107">
        <v>1</v>
      </c>
      <c r="H343" s="109"/>
      <c r="I343" s="109"/>
      <c r="J343" s="109">
        <v>12</v>
      </c>
      <c r="K343" s="109">
        <v>12</v>
      </c>
      <c r="L343" s="175"/>
      <c r="M343" s="175"/>
      <c r="N343" s="175"/>
      <c r="O343" s="175"/>
      <c r="P343" s="108">
        <f>IF(Table_Shelter[[#This Row],[Status]]="Open",IF(V343="NO",Table_Shelter[[#This Row],[HH per Shelter]]*(Table_Shelter[[#This Row],['# of Temporary Shelter Units Built]]+Table_Shelter[[#This Row],['# of Temporary Shelter Under  Construction]]+Table_Shelter[[#This Row],['# of Permanent House Under Construction]]),0),0)</f>
        <v>12</v>
      </c>
      <c r="Q343" s="108"/>
      <c r="R343" s="175"/>
      <c r="S343" s="175" t="str">
        <f>IFERROR(VLOOKUP(Table_Shelter[[#This Row],[CampName]],CL,2,0),"")</f>
        <v>MMR001CMP080</v>
      </c>
      <c r="T343" s="175" t="str">
        <f>IFERROR(VLOOKUP(Table_Shelter[[#This Row],[CampName]],CL,3,0),"")</f>
        <v>Open</v>
      </c>
      <c r="U343" s="265">
        <f>IFERROR(Table_Shelter[[#This Row],[HH Covered]]/VLOOKUP(Table_Shelter[[#This Row],[CampName]],CL,5,0),"")</f>
        <v>1</v>
      </c>
      <c r="V343" s="265" t="s">
        <v>1305</v>
      </c>
      <c r="W343" s="175"/>
    </row>
    <row r="344" spans="1:23" ht="15" customHeight="1" x14ac:dyDescent="0.25">
      <c r="A344" s="579"/>
      <c r="B344" s="173" t="s">
        <v>452</v>
      </c>
      <c r="C344" s="173"/>
      <c r="D344" s="176" t="s">
        <v>380</v>
      </c>
      <c r="E344" s="345" t="s">
        <v>5</v>
      </c>
      <c r="F344" s="173" t="s">
        <v>24</v>
      </c>
      <c r="G344" s="107">
        <v>1</v>
      </c>
      <c r="H344" s="109"/>
      <c r="I344" s="109"/>
      <c r="J344" s="109">
        <v>40</v>
      </c>
      <c r="K344" s="109">
        <v>40</v>
      </c>
      <c r="L344" s="175"/>
      <c r="M344" s="175"/>
      <c r="N344" s="175"/>
      <c r="O344" s="175"/>
      <c r="P344" s="108">
        <f>IF(Table_Shelter[[#This Row],[Status]]="Open",IF(V344="NO",Table_Shelter[[#This Row],[HH per Shelter]]*(Table_Shelter[[#This Row],['# of Temporary Shelter Units Built]]+Table_Shelter[[#This Row],['# of Temporary Shelter Under  Construction]]+Table_Shelter[[#This Row],['# of Permanent House Under Construction]]),0),0)</f>
        <v>40</v>
      </c>
      <c r="Q344" s="108"/>
      <c r="R344" s="175"/>
      <c r="S344" s="175" t="str">
        <f>IFERROR(VLOOKUP(Table_Shelter[[#This Row],[CampName]],CL,2,0),"")</f>
        <v>MMR001CMP055</v>
      </c>
      <c r="T344" s="175" t="str">
        <f>IFERROR(VLOOKUP(Table_Shelter[[#This Row],[CampName]],CL,3,0),"")</f>
        <v>Open</v>
      </c>
      <c r="U344" s="265">
        <f>IFERROR(Table_Shelter[[#This Row],[HH Covered]]/VLOOKUP(Table_Shelter[[#This Row],[CampName]],CL,5,0),"")</f>
        <v>1.9047619047619047</v>
      </c>
      <c r="V344" s="265" t="s">
        <v>1305</v>
      </c>
      <c r="W344" s="175"/>
    </row>
    <row r="345" spans="1:23" ht="15" customHeight="1" x14ac:dyDescent="0.25">
      <c r="A345" s="579"/>
      <c r="B345" s="173" t="s">
        <v>452</v>
      </c>
      <c r="C345" s="173" t="s">
        <v>460</v>
      </c>
      <c r="D345" s="176" t="s">
        <v>380</v>
      </c>
      <c r="E345" s="345" t="s">
        <v>310</v>
      </c>
      <c r="F345" s="173" t="s">
        <v>311</v>
      </c>
      <c r="G345" s="107">
        <v>1</v>
      </c>
      <c r="H345" s="109"/>
      <c r="I345" s="109"/>
      <c r="J345" s="109">
        <v>10</v>
      </c>
      <c r="K345" s="109">
        <v>10</v>
      </c>
      <c r="L345" s="175"/>
      <c r="M345" s="175"/>
      <c r="N345" s="175"/>
      <c r="O345" s="175"/>
      <c r="P345" s="108">
        <f>IF(Table_Shelter[[#This Row],[Status]]="Open",IF(V345="NO",Table_Shelter[[#This Row],[HH per Shelter]]*(Table_Shelter[[#This Row],['# of Temporary Shelter Units Built]]+Table_Shelter[[#This Row],['# of Temporary Shelter Under  Construction]]+Table_Shelter[[#This Row],['# of Permanent House Under Construction]]),0),0)</f>
        <v>0</v>
      </c>
      <c r="Q345" s="108"/>
      <c r="R345" s="175"/>
      <c r="S345" s="175" t="str">
        <f>IFERROR(VLOOKUP(Table_Shelter[[#This Row],[CampName]],CL,2,0),"")</f>
        <v>MMR001CMP036</v>
      </c>
      <c r="T345" s="175" t="str">
        <f>IFERROR(VLOOKUP(Table_Shelter[[#This Row],[CampName]],CL,3,0),"")</f>
        <v>Closed</v>
      </c>
      <c r="U345" s="265" t="str">
        <f>IFERROR(Table_Shelter[[#This Row],[HH Covered]]/VLOOKUP(Table_Shelter[[#This Row],[CampName]],CL,5,0),"")</f>
        <v/>
      </c>
      <c r="V345" s="265" t="s">
        <v>1305</v>
      </c>
      <c r="W345" s="175"/>
    </row>
    <row r="346" spans="1:23" ht="15" customHeight="1" x14ac:dyDescent="0.25">
      <c r="A346" s="579"/>
      <c r="B346" s="173" t="s">
        <v>849</v>
      </c>
      <c r="C346" s="173" t="s">
        <v>505</v>
      </c>
      <c r="D346" s="176" t="s">
        <v>380</v>
      </c>
      <c r="E346" s="345" t="s">
        <v>237</v>
      </c>
      <c r="F346" s="173" t="s">
        <v>1244</v>
      </c>
      <c r="G346" s="107">
        <v>1</v>
      </c>
      <c r="H346" s="109"/>
      <c r="I346" s="109"/>
      <c r="J346" s="109">
        <v>12</v>
      </c>
      <c r="K346" s="109">
        <v>12</v>
      </c>
      <c r="L346" s="175"/>
      <c r="M346" s="175"/>
      <c r="N346" s="175"/>
      <c r="O346" s="175"/>
      <c r="P346" s="108">
        <f>IF(Table_Shelter[[#This Row],[Status]]="Open",IF(V346="NO",Table_Shelter[[#This Row],[HH per Shelter]]*(Table_Shelter[[#This Row],['# of Temporary Shelter Units Built]]+Table_Shelter[[#This Row],['# of Temporary Shelter Under  Construction]]+Table_Shelter[[#This Row],['# of Permanent House Under Construction]]),0),0)</f>
        <v>12</v>
      </c>
      <c r="Q346" s="108"/>
      <c r="R346" s="175"/>
      <c r="S346" s="175" t="str">
        <f>IFERROR(VLOOKUP(Table_Shelter[[#This Row],[CampName]],CL,2,0),"")</f>
        <v>MMR001CMP023</v>
      </c>
      <c r="T346" s="175" t="str">
        <f>IFERROR(VLOOKUP(Table_Shelter[[#This Row],[CampName]],CL,3,0),"")</f>
        <v>Open</v>
      </c>
      <c r="U346" s="265">
        <f>IFERROR(Table_Shelter[[#This Row],[HH Covered]]/VLOOKUP(Table_Shelter[[#This Row],[CampName]],CL,5,0),"")</f>
        <v>0.22222222222222221</v>
      </c>
      <c r="V346" s="265" t="s">
        <v>1305</v>
      </c>
      <c r="W346" s="175"/>
    </row>
    <row r="347" spans="1:23" ht="15" customHeight="1" x14ac:dyDescent="0.25">
      <c r="A347" s="579"/>
      <c r="B347" s="173" t="s">
        <v>452</v>
      </c>
      <c r="C347" s="173" t="s">
        <v>505</v>
      </c>
      <c r="D347" s="176" t="s">
        <v>380</v>
      </c>
      <c r="E347" s="345" t="s">
        <v>237</v>
      </c>
      <c r="F347" s="173" t="s">
        <v>1244</v>
      </c>
      <c r="G347" s="107">
        <v>1</v>
      </c>
      <c r="H347" s="109"/>
      <c r="I347" s="109"/>
      <c r="J347" s="109">
        <v>40</v>
      </c>
      <c r="K347" s="109">
        <v>40</v>
      </c>
      <c r="L347" s="175"/>
      <c r="M347" s="175"/>
      <c r="N347" s="175"/>
      <c r="O347" s="175"/>
      <c r="P347" s="108">
        <f>IF(Table_Shelter[[#This Row],[Status]]="Open",IF(V347="NO",Table_Shelter[[#This Row],[HH per Shelter]]*(Table_Shelter[[#This Row],['# of Temporary Shelter Units Built]]+Table_Shelter[[#This Row],['# of Temporary Shelter Under  Construction]]+Table_Shelter[[#This Row],['# of Permanent House Under Construction]]),0),0)</f>
        <v>40</v>
      </c>
      <c r="Q347" s="108"/>
      <c r="R347" s="175"/>
      <c r="S347" s="175" t="str">
        <f>IFERROR(VLOOKUP(Table_Shelter[[#This Row],[CampName]],CL,2,0),"")</f>
        <v>MMR001CMP023</v>
      </c>
      <c r="T347" s="175" t="str">
        <f>IFERROR(VLOOKUP(Table_Shelter[[#This Row],[CampName]],CL,3,0),"")</f>
        <v>Open</v>
      </c>
      <c r="U347" s="265">
        <f>IFERROR(Table_Shelter[[#This Row],[HH Covered]]/VLOOKUP(Table_Shelter[[#This Row],[CampName]],CL,5,0),"")</f>
        <v>0.7407407407407407</v>
      </c>
      <c r="V347" s="265" t="s">
        <v>1305</v>
      </c>
      <c r="W347" s="175"/>
    </row>
    <row r="348" spans="1:23" ht="15" customHeight="1" x14ac:dyDescent="0.25">
      <c r="A348" s="579"/>
      <c r="B348" s="107" t="s">
        <v>452</v>
      </c>
      <c r="C348" s="107" t="s">
        <v>505</v>
      </c>
      <c r="D348" s="180" t="s">
        <v>380</v>
      </c>
      <c r="E348" s="181" t="s">
        <v>237</v>
      </c>
      <c r="F348" s="107" t="s">
        <v>1244</v>
      </c>
      <c r="G348" s="107">
        <v>1</v>
      </c>
      <c r="H348" s="109"/>
      <c r="I348" s="109"/>
      <c r="J348" s="109">
        <v>20</v>
      </c>
      <c r="K348" s="109">
        <v>20</v>
      </c>
      <c r="L348" s="109"/>
      <c r="M348" s="109"/>
      <c r="N348" s="109"/>
      <c r="O348" s="109"/>
      <c r="P348" s="108">
        <f>IF(Table_Shelter[[#This Row],[Status]]="Open",IF(V348="NO",Table_Shelter[[#This Row],[HH per Shelter]]*(Table_Shelter[[#This Row],['# of Temporary Shelter Units Built]]+Table_Shelter[[#This Row],['# of Temporary Shelter Under  Construction]]+Table_Shelter[[#This Row],['# of Permanent House Under Construction]]),0),0)</f>
        <v>20</v>
      </c>
      <c r="Q348" s="108"/>
      <c r="R348" s="108"/>
      <c r="S348" s="108" t="str">
        <f>IFERROR(VLOOKUP(Table_Shelter[[#This Row],[CampName]],CL,2,0),"")</f>
        <v>MMR001CMP023</v>
      </c>
      <c r="T348" s="108" t="str">
        <f>IFERROR(VLOOKUP(Table_Shelter[[#This Row],[CampName]],CL,3,0),"")</f>
        <v>Open</v>
      </c>
      <c r="U348" s="266">
        <f>IFERROR(Table_Shelter[[#This Row],[HH Covered]]/VLOOKUP(Table_Shelter[[#This Row],[CampName]],CL,5,0),"")</f>
        <v>0.37037037037037035</v>
      </c>
      <c r="V348" s="265" t="s">
        <v>1305</v>
      </c>
      <c r="W348" s="108"/>
    </row>
    <row r="349" spans="1:23" ht="15" customHeight="1" x14ac:dyDescent="0.25">
      <c r="A349" s="810"/>
      <c r="B349" s="654" t="s">
        <v>452</v>
      </c>
      <c r="C349" s="654" t="s">
        <v>505</v>
      </c>
      <c r="D349" s="655" t="s">
        <v>380</v>
      </c>
      <c r="E349" s="656" t="s">
        <v>237</v>
      </c>
      <c r="F349" s="654" t="s">
        <v>249</v>
      </c>
      <c r="G349" s="614">
        <v>1</v>
      </c>
      <c r="H349" s="615"/>
      <c r="I349" s="615"/>
      <c r="J349" s="615">
        <v>10</v>
      </c>
      <c r="K349" s="615">
        <v>10</v>
      </c>
      <c r="L349" s="657"/>
      <c r="M349" s="657"/>
      <c r="N349" s="657"/>
      <c r="O349" s="657"/>
      <c r="P349" s="108">
        <f>IF(Table_Shelter[[#This Row],[Status]]="Open",IF(V349="NO",Table_Shelter[[#This Row],[HH per Shelter]]*(Table_Shelter[[#This Row],['# of Temporary Shelter Units Built]]+Table_Shelter[[#This Row],['# of Temporary Shelter Under  Construction]]+Table_Shelter[[#This Row],['# of Permanent House Under Construction]]),0),0)</f>
        <v>10</v>
      </c>
      <c r="Q349" s="616"/>
      <c r="R349" s="657"/>
      <c r="S349" s="657" t="str">
        <f>IFERROR(VLOOKUP(Table_Shelter[[#This Row],[CampName]],CL,2,0),"")</f>
        <v>MMR001CMP004</v>
      </c>
      <c r="T349" s="175" t="str">
        <f>IFERROR(VLOOKUP(Table_Shelter[[#This Row],[CampName]],CL,3,0),"")</f>
        <v>Open</v>
      </c>
      <c r="U349" s="658">
        <f>IFERROR(Table_Shelter[[#This Row],[HH Covered]]/VLOOKUP(Table_Shelter[[#This Row],[CampName]],CL,5,0),"")</f>
        <v>2.5</v>
      </c>
      <c r="V349" s="658" t="s">
        <v>1305</v>
      </c>
      <c r="W349" s="657"/>
    </row>
    <row r="350" spans="1:23" ht="15" customHeight="1" x14ac:dyDescent="0.25">
      <c r="A350" s="647"/>
      <c r="B350" s="173" t="s">
        <v>452</v>
      </c>
      <c r="C350" s="173"/>
      <c r="D350" s="176" t="s">
        <v>380</v>
      </c>
      <c r="E350" s="345" t="s">
        <v>237</v>
      </c>
      <c r="F350" s="173" t="s">
        <v>249</v>
      </c>
      <c r="G350" s="107">
        <v>1</v>
      </c>
      <c r="H350" s="109"/>
      <c r="I350" s="109"/>
      <c r="J350" s="109">
        <v>5</v>
      </c>
      <c r="K350" s="109">
        <v>5</v>
      </c>
      <c r="L350" s="175"/>
      <c r="M350" s="175"/>
      <c r="N350" s="175"/>
      <c r="O350" s="175"/>
      <c r="P350" s="108">
        <f>IF(Table_Shelter[[#This Row],[Status]]="Open",IF(V350="NO",Table_Shelter[[#This Row],[HH per Shelter]]*(Table_Shelter[[#This Row],['# of Temporary Shelter Units Built]]+Table_Shelter[[#This Row],['# of Temporary Shelter Under  Construction]]+Table_Shelter[[#This Row],['# of Permanent House Under Construction]]),0),0)</f>
        <v>5</v>
      </c>
      <c r="Q350" s="108"/>
      <c r="R350" s="175"/>
      <c r="S350" s="175" t="str">
        <f>IFERROR(VLOOKUP(Table_Shelter[[#This Row],[CampName]],CL,2,0),"")</f>
        <v>MMR001CMP004</v>
      </c>
      <c r="T350" s="175" t="str">
        <f>IFERROR(VLOOKUP(Table_Shelter[[#This Row],[CampName]],CL,3,0),"")</f>
        <v>Open</v>
      </c>
      <c r="U350" s="265">
        <f>IFERROR(Table_Shelter[[#This Row],[HH Covered]]/VLOOKUP(Table_Shelter[[#This Row],[CampName]],CL,5,0),"")</f>
        <v>1.25</v>
      </c>
      <c r="V350" s="265" t="s">
        <v>1305</v>
      </c>
      <c r="W350" s="175"/>
    </row>
    <row r="351" spans="1:23" ht="15" customHeight="1" x14ac:dyDescent="0.25">
      <c r="A351" s="647"/>
      <c r="B351" s="173" t="s">
        <v>452</v>
      </c>
      <c r="C351" s="173" t="s">
        <v>505</v>
      </c>
      <c r="D351" s="176" t="s">
        <v>380</v>
      </c>
      <c r="E351" s="345" t="s">
        <v>310</v>
      </c>
      <c r="F351" s="173" t="s">
        <v>349</v>
      </c>
      <c r="G351" s="107">
        <v>1</v>
      </c>
      <c r="H351" s="109"/>
      <c r="I351" s="109"/>
      <c r="J351" s="109">
        <v>45</v>
      </c>
      <c r="K351" s="109">
        <v>45</v>
      </c>
      <c r="L351" s="175"/>
      <c r="M351" s="175"/>
      <c r="N351" s="175"/>
      <c r="O351" s="175"/>
      <c r="P351" s="108">
        <f>IF(Table_Shelter[[#This Row],[Status]]="Open",IF(V351="NO",Table_Shelter[[#This Row],[HH per Shelter]]*(Table_Shelter[[#This Row],['# of Temporary Shelter Units Built]]+Table_Shelter[[#This Row],['# of Temporary Shelter Under  Construction]]+Table_Shelter[[#This Row],['# of Permanent House Under Construction]]),0),0)</f>
        <v>45</v>
      </c>
      <c r="Q351" s="108"/>
      <c r="R351" s="175"/>
      <c r="S351" s="175" t="str">
        <f>IFERROR(VLOOKUP(Table_Shelter[[#This Row],[CampName]],CL,2,0),"")</f>
        <v>MMR001CMP037</v>
      </c>
      <c r="T351" s="175" t="str">
        <f>IFERROR(VLOOKUP(Table_Shelter[[#This Row],[CampName]],CL,3,0),"")</f>
        <v>Open</v>
      </c>
      <c r="U351" s="265">
        <f>IFERROR(Table_Shelter[[#This Row],[HH Covered]]/VLOOKUP(Table_Shelter[[#This Row],[CampName]],CL,5,0),"")</f>
        <v>1.0227272727272727</v>
      </c>
      <c r="V351" s="265" t="s">
        <v>1305</v>
      </c>
      <c r="W351" s="175"/>
    </row>
    <row r="352" spans="1:23" ht="15" customHeight="1" x14ac:dyDescent="0.25">
      <c r="A352" s="647"/>
      <c r="B352" s="173" t="s">
        <v>569</v>
      </c>
      <c r="C352" s="173"/>
      <c r="D352" s="176" t="s">
        <v>380</v>
      </c>
      <c r="E352" s="345" t="s">
        <v>310</v>
      </c>
      <c r="F352" s="173" t="s">
        <v>349</v>
      </c>
      <c r="G352" s="107">
        <v>1</v>
      </c>
      <c r="H352" s="109"/>
      <c r="I352" s="109"/>
      <c r="J352" s="109">
        <v>24</v>
      </c>
      <c r="K352" s="109">
        <v>24</v>
      </c>
      <c r="L352" s="175"/>
      <c r="M352" s="175"/>
      <c r="N352" s="175"/>
      <c r="O352" s="175"/>
      <c r="P352" s="108">
        <f>IF(Table_Shelter[[#This Row],[Status]]="Open",IF(V352="NO",Table_Shelter[[#This Row],[HH per Shelter]]*(Table_Shelter[[#This Row],['# of Temporary Shelter Units Built]]+Table_Shelter[[#This Row],['# of Temporary Shelter Under  Construction]]+Table_Shelter[[#This Row],['# of Permanent House Under Construction]]),0),0)</f>
        <v>24</v>
      </c>
      <c r="Q352" s="108"/>
      <c r="R352" s="175"/>
      <c r="S352" s="175" t="str">
        <f>IFERROR(VLOOKUP(Table_Shelter[[#This Row],[CampName]],CL,2,0),"")</f>
        <v>MMR001CMP037</v>
      </c>
      <c r="T352" s="175" t="str">
        <f>IFERROR(VLOOKUP(Table_Shelter[[#This Row],[CampName]],CL,3,0),"")</f>
        <v>Open</v>
      </c>
      <c r="U352" s="265">
        <f>IFERROR(Table_Shelter[[#This Row],[HH Covered]]/VLOOKUP(Table_Shelter[[#This Row],[CampName]],CL,5,0),"")</f>
        <v>0.54545454545454541</v>
      </c>
      <c r="V352" s="265" t="s">
        <v>1305</v>
      </c>
      <c r="W352" s="175"/>
    </row>
    <row r="353" spans="1:23" ht="15" customHeight="1" x14ac:dyDescent="0.25">
      <c r="A353" s="810"/>
      <c r="B353" s="654" t="s">
        <v>452</v>
      </c>
      <c r="C353" s="654" t="s">
        <v>505</v>
      </c>
      <c r="D353" s="655" t="s">
        <v>380</v>
      </c>
      <c r="E353" s="656" t="s">
        <v>5</v>
      </c>
      <c r="F353" s="654" t="s">
        <v>1021</v>
      </c>
      <c r="G353" s="614">
        <v>1</v>
      </c>
      <c r="H353" s="615"/>
      <c r="I353" s="615"/>
      <c r="J353" s="615">
        <v>6</v>
      </c>
      <c r="K353" s="615"/>
      <c r="L353" s="657"/>
      <c r="M353" s="657"/>
      <c r="N353" s="657"/>
      <c r="O353" s="657"/>
      <c r="P353" s="616">
        <f>IF(Table_Shelter[[#This Row],[Status]]="Open",IF(V353="NO",Table_Shelter[[#This Row],[HH per Shelter]]*(Table_Shelter[[#This Row],['# of Temporary Shelter Units Built]]+Table_Shelter[[#This Row],['# of Temporary Shelter Under  Construction]]+Table_Shelter[[#This Row],['# of Permanent House Under Construction]]),0),0)</f>
        <v>0</v>
      </c>
      <c r="Q353" s="616"/>
      <c r="R353" s="657"/>
      <c r="S353" s="175" t="str">
        <f>IFERROR(VLOOKUP(Table_Shelter[[#This Row],[CampName]],CL,2,0),"")</f>
        <v>MMR001CMP224</v>
      </c>
      <c r="T353" s="175" t="str">
        <f>IFERROR(VLOOKUP(Table_Shelter[[#This Row],[CampName]],CL,3,0),"")</f>
        <v>Closed</v>
      </c>
      <c r="U353" s="658" t="str">
        <f>IFERROR(Table_Shelter[[#This Row],[HH Covered]]/VLOOKUP(Table_Shelter[[#This Row],[CampName]],CL,5,0),"")</f>
        <v/>
      </c>
      <c r="V353" s="265" t="s">
        <v>1305</v>
      </c>
      <c r="W353" s="657"/>
    </row>
    <row r="354" spans="1:23" ht="15" customHeight="1" x14ac:dyDescent="0.25">
      <c r="A354" s="810"/>
      <c r="B354" s="654" t="s">
        <v>452</v>
      </c>
      <c r="C354" s="654"/>
      <c r="D354" s="655" t="s">
        <v>380</v>
      </c>
      <c r="E354" s="656" t="s">
        <v>5</v>
      </c>
      <c r="F354" s="654" t="s">
        <v>1021</v>
      </c>
      <c r="G354" s="614">
        <v>1</v>
      </c>
      <c r="H354" s="615"/>
      <c r="I354" s="615"/>
      <c r="J354" s="615">
        <v>5</v>
      </c>
      <c r="K354" s="615"/>
      <c r="L354" s="657"/>
      <c r="M354" s="657"/>
      <c r="N354" s="657"/>
      <c r="O354" s="657"/>
      <c r="P354" s="616">
        <f>IF(Table_Shelter[[#This Row],[Status]]="Open",IF(V354="NO",Table_Shelter[[#This Row],[HH per Shelter]]*(Table_Shelter[[#This Row],['# of Temporary Shelter Units Built]]+Table_Shelter[[#This Row],['# of Temporary Shelter Under  Construction]]+Table_Shelter[[#This Row],['# of Permanent House Under Construction]]),0),0)</f>
        <v>0</v>
      </c>
      <c r="Q354" s="616"/>
      <c r="R354" s="657"/>
      <c r="S354" s="657" t="str">
        <f>IFERROR(VLOOKUP(Table_Shelter[[#This Row],[CampName]],CL,2,0),"")</f>
        <v>MMR001CMP224</v>
      </c>
      <c r="T354" s="175" t="str">
        <f>IFERROR(VLOOKUP(Table_Shelter[[#This Row],[CampName]],CL,3,0),"")</f>
        <v>Closed</v>
      </c>
      <c r="U354" s="658" t="str">
        <f>IFERROR(Table_Shelter[[#This Row],[HH Covered]]/VLOOKUP(Table_Shelter[[#This Row],[CampName]],CL,5,0),"")</f>
        <v/>
      </c>
      <c r="V354" s="658" t="s">
        <v>1305</v>
      </c>
      <c r="W354" s="657"/>
    </row>
    <row r="355" spans="1:23" ht="15" customHeight="1" x14ac:dyDescent="0.25">
      <c r="A355" s="647"/>
      <c r="B355" s="173" t="s">
        <v>452</v>
      </c>
      <c r="C355" s="173" t="s">
        <v>505</v>
      </c>
      <c r="D355" s="176" t="s">
        <v>380</v>
      </c>
      <c r="E355" s="345" t="s">
        <v>310</v>
      </c>
      <c r="F355" s="173" t="s">
        <v>316</v>
      </c>
      <c r="G355" s="614">
        <v>1</v>
      </c>
      <c r="H355" s="615"/>
      <c r="I355" s="615"/>
      <c r="J355" s="615">
        <v>34</v>
      </c>
      <c r="K355" s="615">
        <v>34</v>
      </c>
      <c r="L355" s="657"/>
      <c r="M355" s="657"/>
      <c r="N355" s="657"/>
      <c r="O355" s="657"/>
      <c r="P355" s="616">
        <f>IF(Table_Shelter[[#This Row],[Status]]="Open",IF(V355="NO",Table_Shelter[[#This Row],[HH per Shelter]]*(Table_Shelter[[#This Row],['# of Temporary Shelter Units Built]]+Table_Shelter[[#This Row],['# of Temporary Shelter Under  Construction]]+Table_Shelter[[#This Row],['# of Permanent House Under Construction]]),0),0)</f>
        <v>34</v>
      </c>
      <c r="Q355" s="616"/>
      <c r="R355" s="657"/>
      <c r="S355" s="657" t="str">
        <f>IFERROR(VLOOKUP(Table_Shelter[[#This Row],[CampName]],CL,2,0),"")</f>
        <v>MMR001CMP038</v>
      </c>
      <c r="T355" s="657" t="str">
        <f>IFERROR(VLOOKUP(Table_Shelter[[#This Row],[CampName]],CL,3,0),"")</f>
        <v>Open</v>
      </c>
      <c r="U355" s="658">
        <f>IFERROR(Table_Shelter[[#This Row],[HH Covered]]/VLOOKUP(Table_Shelter[[#This Row],[CampName]],CL,5,0),"")</f>
        <v>0.48571428571428571</v>
      </c>
      <c r="V355" s="658" t="s">
        <v>1305</v>
      </c>
      <c r="W355" s="657"/>
    </row>
    <row r="356" spans="1:23" x14ac:dyDescent="0.25">
      <c r="A356" s="810"/>
      <c r="B356" s="654" t="s">
        <v>569</v>
      </c>
      <c r="C356" s="654"/>
      <c r="D356" s="176" t="s">
        <v>380</v>
      </c>
      <c r="E356" s="656" t="s">
        <v>310</v>
      </c>
      <c r="F356" s="173" t="s">
        <v>316</v>
      </c>
      <c r="G356" s="614">
        <v>1</v>
      </c>
      <c r="H356" s="615"/>
      <c r="I356" s="615"/>
      <c r="J356" s="615">
        <v>15</v>
      </c>
      <c r="K356" s="615">
        <v>15</v>
      </c>
      <c r="L356" s="657"/>
      <c r="M356" s="657"/>
      <c r="N356" s="657"/>
      <c r="O356" s="657"/>
      <c r="P356" s="616">
        <f>IF(Table_Shelter[[#This Row],[Status]]="Open",IF(V356="NO",Table_Shelter[[#This Row],[HH per Shelter]]*(Table_Shelter[[#This Row],['# of Temporary Shelter Units Built]]+Table_Shelter[[#This Row],['# of Temporary Shelter Under  Construction]]+Table_Shelter[[#This Row],['# of Permanent House Under Construction]]),0),0)</f>
        <v>15</v>
      </c>
      <c r="Q356" s="616"/>
      <c r="R356" s="657"/>
      <c r="S356" s="657" t="str">
        <f>IFERROR(VLOOKUP(Table_Shelter[[#This Row],[CampName]],CL,2,0),"")</f>
        <v>MMR001CMP038</v>
      </c>
      <c r="T356" s="657" t="str">
        <f>IFERROR(VLOOKUP(Table_Shelter[[#This Row],[CampName]],CL,3,0),"")</f>
        <v>Open</v>
      </c>
      <c r="U356" s="658">
        <f>IFERROR(Table_Shelter[[#This Row],[HH Covered]]/VLOOKUP(Table_Shelter[[#This Row],[CampName]],CL,5,0),"")</f>
        <v>0.21428571428571427</v>
      </c>
      <c r="V356" s="658" t="s">
        <v>1305</v>
      </c>
      <c r="W356" s="657"/>
    </row>
    <row r="357" spans="1:23" x14ac:dyDescent="0.25">
      <c r="A357" s="810"/>
      <c r="B357" s="654" t="s">
        <v>452</v>
      </c>
      <c r="C357" s="654"/>
      <c r="D357" s="176" t="s">
        <v>380</v>
      </c>
      <c r="E357" s="656" t="s">
        <v>310</v>
      </c>
      <c r="F357" s="173" t="s">
        <v>311</v>
      </c>
      <c r="G357" s="107">
        <v>1</v>
      </c>
      <c r="H357" s="109"/>
      <c r="I357" s="109"/>
      <c r="J357" s="109">
        <v>5</v>
      </c>
      <c r="K357" s="109">
        <v>5</v>
      </c>
      <c r="L357" s="175"/>
      <c r="M357" s="175"/>
      <c r="N357" s="175"/>
      <c r="O357" s="175"/>
      <c r="P357" s="108">
        <f>IF(Table_Shelter[[#This Row],[Status]]="Open",IF(V357="NO",Table_Shelter[[#This Row],[HH per Shelter]]*(Table_Shelter[[#This Row],['# of Temporary Shelter Units Built]]+Table_Shelter[[#This Row],['# of Temporary Shelter Under  Construction]]+Table_Shelter[[#This Row],['# of Permanent House Under Construction]]),0),0)</f>
        <v>0</v>
      </c>
      <c r="Q357" s="108"/>
      <c r="R357" s="175"/>
      <c r="S357" s="175" t="str">
        <f>IFERROR(VLOOKUP(Table_Shelter[[#This Row],[CampName]],CL,2,0),"")</f>
        <v>MMR001CMP036</v>
      </c>
      <c r="T357" s="175" t="str">
        <f>IFERROR(VLOOKUP(Table_Shelter[[#This Row],[CampName]],CL,3,0),"")</f>
        <v>Closed</v>
      </c>
      <c r="U357" s="265" t="str">
        <f>IFERROR(Table_Shelter[[#This Row],[HH Covered]]/VLOOKUP(Table_Shelter[[#This Row],[CampName]],CL,5,0),"")</f>
        <v/>
      </c>
      <c r="V357" s="265" t="s">
        <v>1305</v>
      </c>
      <c r="W357" s="175"/>
    </row>
    <row r="358" spans="1:23" x14ac:dyDescent="0.25">
      <c r="A358" s="810"/>
      <c r="B358" s="654" t="s">
        <v>569</v>
      </c>
      <c r="C358" s="654"/>
      <c r="D358" s="655" t="s">
        <v>380</v>
      </c>
      <c r="E358" s="656" t="s">
        <v>310</v>
      </c>
      <c r="F358" s="654" t="s">
        <v>311</v>
      </c>
      <c r="G358" s="614">
        <v>1</v>
      </c>
      <c r="H358" s="615"/>
      <c r="I358" s="615"/>
      <c r="J358" s="615">
        <v>10</v>
      </c>
      <c r="K358" s="615">
        <v>10</v>
      </c>
      <c r="L358" s="657"/>
      <c r="M358" s="657"/>
      <c r="N358" s="657"/>
      <c r="O358" s="657"/>
      <c r="P358" s="616">
        <f>IF(Table_Shelter[[#This Row],[Status]]="Open",IF(V358="NO",Table_Shelter[[#This Row],[HH per Shelter]]*(Table_Shelter[[#This Row],['# of Temporary Shelter Units Built]]+Table_Shelter[[#This Row],['# of Temporary Shelter Under  Construction]]+Table_Shelter[[#This Row],['# of Permanent House Under Construction]]),0),0)</f>
        <v>0</v>
      </c>
      <c r="Q358" s="616"/>
      <c r="R358" s="657"/>
      <c r="S358" s="657" t="str">
        <f>IFERROR(VLOOKUP(Table_Shelter[[#This Row],[CampName]],CL,2,0),"")</f>
        <v>MMR001CMP036</v>
      </c>
      <c r="T358" s="657" t="str">
        <f>IFERROR(VLOOKUP(Table_Shelter[[#This Row],[CampName]],CL,3,0),"")</f>
        <v>Closed</v>
      </c>
      <c r="U358" s="658" t="str">
        <f>IFERROR(Table_Shelter[[#This Row],[HH Covered]]/VLOOKUP(Table_Shelter[[#This Row],[CampName]],CL,5,0),"")</f>
        <v/>
      </c>
      <c r="V358" s="658" t="s">
        <v>1305</v>
      </c>
      <c r="W358" s="657"/>
    </row>
    <row r="359" spans="1:23" x14ac:dyDescent="0.25">
      <c r="A359" s="810"/>
      <c r="B359" s="654" t="s">
        <v>452</v>
      </c>
      <c r="C359" s="654" t="s">
        <v>506</v>
      </c>
      <c r="D359" s="655" t="s">
        <v>380</v>
      </c>
      <c r="E359" s="656" t="s">
        <v>527</v>
      </c>
      <c r="F359" s="654" t="s">
        <v>64</v>
      </c>
      <c r="G359" s="614">
        <v>1</v>
      </c>
      <c r="H359" s="615"/>
      <c r="I359" s="615"/>
      <c r="J359" s="615"/>
      <c r="K359" s="615"/>
      <c r="L359" s="657"/>
      <c r="M359" s="657"/>
      <c r="N359" s="657"/>
      <c r="O359" s="657"/>
      <c r="P359" s="616">
        <f>IF(Table_Shelter[[#This Row],[Status]]="Open",IF(V359="NO",Table_Shelter[[#This Row],[HH per Shelter]]*(Table_Shelter[[#This Row],['# of Temporary Shelter Units Built]]+Table_Shelter[[#This Row],['# of Temporary Shelter Under  Construction]]+Table_Shelter[[#This Row],['# of Permanent House Under Construction]]),0),0)</f>
        <v>0</v>
      </c>
      <c r="Q359" s="616">
        <v>14</v>
      </c>
      <c r="R359" s="657"/>
      <c r="S359" s="657" t="str">
        <f>IFERROR(VLOOKUP(Table_Shelter[[#This Row],[CampName]],CL,2,0),"")</f>
        <v>MMR001CMP185</v>
      </c>
      <c r="T359" s="657" t="str">
        <f>IFERROR(VLOOKUP(Table_Shelter[[#This Row],[CampName]],CL,3,0),"")</f>
        <v>Closed</v>
      </c>
      <c r="U359" s="658" t="str">
        <f>IFERROR(Table_Shelter[[#This Row],[HH Covered]]/VLOOKUP(Table_Shelter[[#This Row],[CampName]],CL,5,0),"")</f>
        <v/>
      </c>
      <c r="V359" s="658" t="s">
        <v>1305</v>
      </c>
      <c r="W359" s="657"/>
    </row>
    <row r="360" spans="1:23" x14ac:dyDescent="0.25">
      <c r="A360" s="778"/>
      <c r="B360" s="654" t="s">
        <v>862</v>
      </c>
      <c r="C360" s="654"/>
      <c r="D360" s="655" t="s">
        <v>380</v>
      </c>
      <c r="E360" s="656" t="s">
        <v>527</v>
      </c>
      <c r="F360" s="654" t="s">
        <v>126</v>
      </c>
      <c r="G360" s="614">
        <v>1</v>
      </c>
      <c r="H360" s="615">
        <v>7</v>
      </c>
      <c r="I360" s="615">
        <v>7</v>
      </c>
      <c r="J360" s="615"/>
      <c r="K360" s="615"/>
      <c r="L360" s="657"/>
      <c r="M360" s="657"/>
      <c r="N360" s="657"/>
      <c r="O360" s="657"/>
      <c r="P360" s="616">
        <f>IF(Table_Shelter[[#This Row],[Status]]="Open",IF(V360="NO",Table_Shelter[[#This Row],[HH per Shelter]]*(Table_Shelter[[#This Row],['# of Temporary Shelter Units Built]]+Table_Shelter[[#This Row],['# of Temporary Shelter Under  Construction]]+Table_Shelter[[#This Row],['# of Permanent House Under Construction]]),0),0)</f>
        <v>0</v>
      </c>
      <c r="Q360" s="616"/>
      <c r="R360" s="657"/>
      <c r="S360" s="657" t="str">
        <f>IFERROR(VLOOKUP(Table_Shelter[[#This Row],[CampName]],CL,2,0),"")</f>
        <v>MMR001CMP184</v>
      </c>
      <c r="T360" s="657" t="str">
        <f>IFERROR(VLOOKUP(Table_Shelter[[#This Row],[CampName]],CL,3,0),"")</f>
        <v>Open</v>
      </c>
      <c r="U360" s="658">
        <f>IFERROR(Table_Shelter[[#This Row],[HH Covered]]/VLOOKUP(Table_Shelter[[#This Row],[CampName]],CL,5,0),"")</f>
        <v>0</v>
      </c>
      <c r="V360" s="658" t="s">
        <v>1305</v>
      </c>
      <c r="W360" s="657"/>
    </row>
    <row r="361" spans="1:23" x14ac:dyDescent="0.25">
      <c r="A361" s="778"/>
      <c r="B361" s="654" t="s">
        <v>862</v>
      </c>
      <c r="C361" s="654"/>
      <c r="D361" s="655" t="s">
        <v>380</v>
      </c>
      <c r="E361" s="656" t="s">
        <v>527</v>
      </c>
      <c r="F361" s="654" t="s">
        <v>899</v>
      </c>
      <c r="G361" s="614">
        <v>1</v>
      </c>
      <c r="H361" s="615">
        <v>47</v>
      </c>
      <c r="I361" s="615">
        <v>47</v>
      </c>
      <c r="J361" s="615"/>
      <c r="K361" s="615"/>
      <c r="L361" s="657"/>
      <c r="M361" s="657"/>
      <c r="N361" s="657"/>
      <c r="O361" s="657"/>
      <c r="P361" s="616">
        <f>IF(Table_Shelter[[#This Row],[Status]]="Open",IF(V361="NO",Table_Shelter[[#This Row],[HH per Shelter]]*(Table_Shelter[[#This Row],['# of Temporary Shelter Units Built]]+Table_Shelter[[#This Row],['# of Temporary Shelter Under  Construction]]+Table_Shelter[[#This Row],['# of Permanent House Under Construction]]),0),0)</f>
        <v>0</v>
      </c>
      <c r="Q361" s="616"/>
      <c r="R361" s="657"/>
      <c r="S361" s="657" t="str">
        <f>IFERROR(VLOOKUP(Table_Shelter[[#This Row],[CampName]],CL,2,0),"")</f>
        <v/>
      </c>
      <c r="T361" s="657" t="str">
        <f>IFERROR(VLOOKUP(Table_Shelter[[#This Row],[CampName]],CL,3,0),"")</f>
        <v/>
      </c>
      <c r="U361" s="658" t="str">
        <f>IFERROR(Table_Shelter[[#This Row],[HH Covered]]/VLOOKUP(Table_Shelter[[#This Row],[CampName]],CL,5,0),"")</f>
        <v/>
      </c>
      <c r="V361" s="658" t="s">
        <v>1305</v>
      </c>
      <c r="W361" s="657"/>
    </row>
    <row r="362" spans="1:23" x14ac:dyDescent="0.25">
      <c r="A362" s="810"/>
      <c r="B362" s="654" t="s">
        <v>846</v>
      </c>
      <c r="C362" s="654"/>
      <c r="D362" s="655" t="s">
        <v>380</v>
      </c>
      <c r="E362" s="656" t="s">
        <v>310</v>
      </c>
      <c r="F362" s="654" t="s">
        <v>353</v>
      </c>
      <c r="G362" s="614">
        <v>1</v>
      </c>
      <c r="H362" s="615"/>
      <c r="I362" s="615"/>
      <c r="J362" s="615">
        <v>300</v>
      </c>
      <c r="K362" s="615"/>
      <c r="L362" s="657"/>
      <c r="M362" s="657"/>
      <c r="N362" s="657"/>
      <c r="O362" s="657"/>
      <c r="P362" s="616">
        <f>IF(Table_Shelter[[#This Row],[Status]]="Open",IF(V362="NO",Table_Shelter[[#This Row],[HH per Shelter]]*(Table_Shelter[[#This Row],['# of Temporary Shelter Units Built]]+Table_Shelter[[#This Row],['# of Temporary Shelter Under  Construction]]+Table_Shelter[[#This Row],['# of Permanent House Under Construction]]),0),0)</f>
        <v>0</v>
      </c>
      <c r="Q362" s="616"/>
      <c r="R362" s="657"/>
      <c r="S362" s="657" t="str">
        <f>IFERROR(VLOOKUP(Table_Shelter[[#This Row],[CampName]],CL,2,0),"")</f>
        <v>MMR001CMP116</v>
      </c>
      <c r="T362" s="657" t="str">
        <f>IFERROR(VLOOKUP(Table_Shelter[[#This Row],[CampName]],CL,3,0),"")</f>
        <v>Open</v>
      </c>
      <c r="U362" s="658">
        <f>IFERROR(Table_Shelter[[#This Row],[HH Covered]]/VLOOKUP(Table_Shelter[[#This Row],[CampName]],CL,5,0),"")</f>
        <v>0</v>
      </c>
      <c r="V362" s="658" t="s">
        <v>1305</v>
      </c>
      <c r="W362" s="657"/>
    </row>
    <row r="363" spans="1:23" x14ac:dyDescent="0.25">
      <c r="A363" s="778"/>
      <c r="B363" s="654" t="s">
        <v>452</v>
      </c>
      <c r="C363" s="654" t="s">
        <v>505</v>
      </c>
      <c r="D363" s="655" t="s">
        <v>380</v>
      </c>
      <c r="E363" s="656" t="s">
        <v>237</v>
      </c>
      <c r="F363" s="654" t="s">
        <v>283</v>
      </c>
      <c r="G363" s="614">
        <v>1</v>
      </c>
      <c r="H363" s="615"/>
      <c r="I363" s="615"/>
      <c r="J363" s="615">
        <v>24</v>
      </c>
      <c r="K363" s="615">
        <v>24</v>
      </c>
      <c r="L363" s="657"/>
      <c r="M363" s="657"/>
      <c r="N363" s="657"/>
      <c r="O363" s="657"/>
      <c r="P363" s="616">
        <f>IF(Table_Shelter[[#This Row],[Status]]="Open",IF(V363="NO",Table_Shelter[[#This Row],[HH per Shelter]]*(Table_Shelter[[#This Row],['# of Temporary Shelter Units Built]]+Table_Shelter[[#This Row],['# of Temporary Shelter Under  Construction]]+Table_Shelter[[#This Row],['# of Permanent House Under Construction]]),0),0)</f>
        <v>24</v>
      </c>
      <c r="Q363" s="616"/>
      <c r="R363" s="657"/>
      <c r="S363" s="657" t="str">
        <f>IFERROR(VLOOKUP(Table_Shelter[[#This Row],[CampName]],CL,2,0),"")</f>
        <v>MMR001CMP022</v>
      </c>
      <c r="T363" s="657" t="str">
        <f>IFERROR(VLOOKUP(Table_Shelter[[#This Row],[CampName]],CL,3,0),"")</f>
        <v>Open</v>
      </c>
      <c r="U363" s="658">
        <f>IFERROR(Table_Shelter[[#This Row],[HH Covered]]/VLOOKUP(Table_Shelter[[#This Row],[CampName]],CL,5,0),"")</f>
        <v>3.4285714285714284</v>
      </c>
      <c r="V363" s="658" t="s">
        <v>1305</v>
      </c>
      <c r="W363" s="657"/>
    </row>
    <row r="364" spans="1:23" x14ac:dyDescent="0.25">
      <c r="A364" s="778"/>
      <c r="B364" s="654" t="s">
        <v>846</v>
      </c>
      <c r="C364" s="654"/>
      <c r="D364" s="655" t="s">
        <v>380</v>
      </c>
      <c r="E364" s="656" t="s">
        <v>5</v>
      </c>
      <c r="F364" s="654" t="s">
        <v>26</v>
      </c>
      <c r="G364" s="614">
        <v>1</v>
      </c>
      <c r="H364" s="615"/>
      <c r="I364" s="615"/>
      <c r="J364" s="615">
        <v>30</v>
      </c>
      <c r="K364" s="615">
        <v>30</v>
      </c>
      <c r="L364" s="657"/>
      <c r="M364" s="657"/>
      <c r="N364" s="657"/>
      <c r="O364" s="657"/>
      <c r="P364" s="616">
        <f>IF(Table_Shelter[[#This Row],[Status]]="Open",IF(V364="NO",Table_Shelter[[#This Row],[HH per Shelter]]*(Table_Shelter[[#This Row],['# of Temporary Shelter Units Built]]+Table_Shelter[[#This Row],['# of Temporary Shelter Under  Construction]]+Table_Shelter[[#This Row],['# of Permanent House Under Construction]]),0),0)</f>
        <v>30</v>
      </c>
      <c r="Q364" s="616"/>
      <c r="R364" s="657"/>
      <c r="S364" s="657" t="str">
        <f>IFERROR(VLOOKUP(Table_Shelter[[#This Row],[CampName]],CL,2,0),"")</f>
        <v>MMR001CMP053</v>
      </c>
      <c r="T364" s="657" t="str">
        <f>IFERROR(VLOOKUP(Table_Shelter[[#This Row],[CampName]],CL,3,0),"")</f>
        <v>Open</v>
      </c>
      <c r="U364" s="658">
        <f>IFERROR(Table_Shelter[[#This Row],[HH Covered]]/VLOOKUP(Table_Shelter[[#This Row],[CampName]],CL,5,0),"")</f>
        <v>2</v>
      </c>
      <c r="V364" s="658" t="s">
        <v>1305</v>
      </c>
      <c r="W364" s="657"/>
    </row>
    <row r="365" spans="1:23" x14ac:dyDescent="0.25">
      <c r="A365" s="778"/>
      <c r="B365" s="654" t="s">
        <v>452</v>
      </c>
      <c r="C365" s="654" t="s">
        <v>846</v>
      </c>
      <c r="D365" s="655" t="s">
        <v>380</v>
      </c>
      <c r="E365" s="656" t="s">
        <v>5</v>
      </c>
      <c r="F365" s="654" t="s">
        <v>26</v>
      </c>
      <c r="G365" s="614">
        <v>1</v>
      </c>
      <c r="H365" s="615"/>
      <c r="I365" s="615"/>
      <c r="J365" s="615">
        <v>12</v>
      </c>
      <c r="K365" s="615">
        <v>12</v>
      </c>
      <c r="L365" s="657"/>
      <c r="M365" s="657"/>
      <c r="N365" s="657"/>
      <c r="O365" s="657"/>
      <c r="P365" s="616">
        <f>IF(Table_Shelter[[#This Row],[Status]]="Open",IF(V365="NO",Table_Shelter[[#This Row],[HH per Shelter]]*(Table_Shelter[[#This Row],['# of Temporary Shelter Units Built]]+Table_Shelter[[#This Row],['# of Temporary Shelter Under  Construction]]+Table_Shelter[[#This Row],['# of Permanent House Under Construction]]),0),0)</f>
        <v>12</v>
      </c>
      <c r="Q365" s="616"/>
      <c r="R365" s="657"/>
      <c r="S365" s="657" t="str">
        <f>IFERROR(VLOOKUP(Table_Shelter[[#This Row],[CampName]],CL,2,0),"")</f>
        <v>MMR001CMP053</v>
      </c>
      <c r="T365" s="657" t="str">
        <f>IFERROR(VLOOKUP(Table_Shelter[[#This Row],[CampName]],CL,3,0),"")</f>
        <v>Open</v>
      </c>
      <c r="U365" s="658">
        <f>IFERROR(Table_Shelter[[#This Row],[HH Covered]]/VLOOKUP(Table_Shelter[[#This Row],[CampName]],CL,5,0),"")</f>
        <v>0.8</v>
      </c>
      <c r="V365" s="658" t="s">
        <v>1305</v>
      </c>
      <c r="W365" s="657"/>
    </row>
    <row r="366" spans="1:23" x14ac:dyDescent="0.25">
      <c r="A366" s="778"/>
      <c r="B366" s="654" t="s">
        <v>452</v>
      </c>
      <c r="C366" s="654" t="s">
        <v>505</v>
      </c>
      <c r="D366" s="655" t="s">
        <v>380</v>
      </c>
      <c r="E366" s="656" t="s">
        <v>5</v>
      </c>
      <c r="F366" s="654" t="s">
        <v>26</v>
      </c>
      <c r="G366" s="614">
        <v>1</v>
      </c>
      <c r="H366" s="615"/>
      <c r="I366" s="615"/>
      <c r="J366" s="615">
        <v>10</v>
      </c>
      <c r="K366" s="615">
        <v>10</v>
      </c>
      <c r="L366" s="657"/>
      <c r="M366" s="657"/>
      <c r="N366" s="657"/>
      <c r="O366" s="657"/>
      <c r="P366" s="616">
        <f>IF(Table_Shelter[[#This Row],[Status]]="Open",IF(V366="NO",Table_Shelter[[#This Row],[HH per Shelter]]*(Table_Shelter[[#This Row],['# of Temporary Shelter Units Built]]+Table_Shelter[[#This Row],['# of Temporary Shelter Under  Construction]]+Table_Shelter[[#This Row],['# of Permanent House Under Construction]]),0),0)</f>
        <v>10</v>
      </c>
      <c r="Q366" s="616"/>
      <c r="R366" s="657"/>
      <c r="S366" s="657" t="str">
        <f>IFERROR(VLOOKUP(Table_Shelter[[#This Row],[CampName]],CL,2,0),"")</f>
        <v>MMR001CMP053</v>
      </c>
      <c r="T366" s="657" t="str">
        <f>IFERROR(VLOOKUP(Table_Shelter[[#This Row],[CampName]],CL,3,0),"")</f>
        <v>Open</v>
      </c>
      <c r="U366" s="658">
        <f>IFERROR(Table_Shelter[[#This Row],[HH Covered]]/VLOOKUP(Table_Shelter[[#This Row],[CampName]],CL,5,0),"")</f>
        <v>0.66666666666666663</v>
      </c>
      <c r="V366" s="658" t="s">
        <v>1305</v>
      </c>
      <c r="W366" s="657"/>
    </row>
    <row r="367" spans="1:23" x14ac:dyDescent="0.25">
      <c r="A367" s="778"/>
      <c r="B367" s="654" t="s">
        <v>452</v>
      </c>
      <c r="C367" s="654"/>
      <c r="D367" s="655" t="s">
        <v>380</v>
      </c>
      <c r="E367" s="656" t="s">
        <v>5</v>
      </c>
      <c r="F367" s="654" t="s">
        <v>26</v>
      </c>
      <c r="G367" s="614">
        <v>1</v>
      </c>
      <c r="H367" s="615"/>
      <c r="I367" s="615"/>
      <c r="J367" s="615">
        <v>6</v>
      </c>
      <c r="K367" s="615"/>
      <c r="L367" s="657"/>
      <c r="M367" s="657"/>
      <c r="N367" s="657"/>
      <c r="O367" s="657"/>
      <c r="P367" s="616">
        <f>IF(Table_Shelter[[#This Row],[Status]]="Open",IF(V367="NO",Table_Shelter[[#This Row],[HH per Shelter]]*(Table_Shelter[[#This Row],['# of Temporary Shelter Units Built]]+Table_Shelter[[#This Row],['# of Temporary Shelter Under  Construction]]+Table_Shelter[[#This Row],['# of Permanent House Under Construction]]),0),0)</f>
        <v>0</v>
      </c>
      <c r="Q367" s="616"/>
      <c r="R367" s="657"/>
      <c r="S367" s="657" t="str">
        <f>IFERROR(VLOOKUP(Table_Shelter[[#This Row],[CampName]],CL,2,0),"")</f>
        <v>MMR001CMP053</v>
      </c>
      <c r="T367" s="657" t="str">
        <f>IFERROR(VLOOKUP(Table_Shelter[[#This Row],[CampName]],CL,3,0),"")</f>
        <v>Open</v>
      </c>
      <c r="U367" s="658">
        <f>IFERROR(Table_Shelter[[#This Row],[HH Covered]]/VLOOKUP(Table_Shelter[[#This Row],[CampName]],CL,5,0),"")</f>
        <v>0</v>
      </c>
      <c r="V367" s="658" t="s">
        <v>1305</v>
      </c>
      <c r="W367" s="657"/>
    </row>
    <row r="368" spans="1:23" x14ac:dyDescent="0.25">
      <c r="A368" s="810"/>
      <c r="B368" s="654" t="s">
        <v>452</v>
      </c>
      <c r="C368" s="654" t="s">
        <v>505</v>
      </c>
      <c r="D368" s="655" t="s">
        <v>380</v>
      </c>
      <c r="E368" s="656" t="s">
        <v>527</v>
      </c>
      <c r="F368" s="654" t="s">
        <v>140</v>
      </c>
      <c r="G368" s="614">
        <v>1</v>
      </c>
      <c r="H368" s="615"/>
      <c r="I368" s="615"/>
      <c r="J368" s="615">
        <v>10</v>
      </c>
      <c r="K368" s="615">
        <v>10</v>
      </c>
      <c r="L368" s="657"/>
      <c r="M368" s="657"/>
      <c r="N368" s="657"/>
      <c r="O368" s="657"/>
      <c r="P368" s="616">
        <f>IF(Table_Shelter[[#This Row],[Status]]="Open",IF(V368="NO",Table_Shelter[[#This Row],[HH per Shelter]]*(Table_Shelter[[#This Row],['# of Temporary Shelter Units Built]]+Table_Shelter[[#This Row],['# of Temporary Shelter Under  Construction]]+Table_Shelter[[#This Row],['# of Permanent House Under Construction]]),0),0)</f>
        <v>10</v>
      </c>
      <c r="Q368" s="616"/>
      <c r="R368" s="657"/>
      <c r="S368" s="657" t="str">
        <f>IFERROR(VLOOKUP(Table_Shelter[[#This Row],[CampName]],CL,2,0),"")</f>
        <v>MMR001CMP105</v>
      </c>
      <c r="T368" s="657" t="str">
        <f>IFERROR(VLOOKUP(Table_Shelter[[#This Row],[CampName]],CL,3,0),"")</f>
        <v>Open</v>
      </c>
      <c r="U368" s="658">
        <f>IFERROR(Table_Shelter[[#This Row],[HH Covered]]/VLOOKUP(Table_Shelter[[#This Row],[CampName]],CL,5,0),"")</f>
        <v>0.83333333333333337</v>
      </c>
      <c r="V368" s="658" t="s">
        <v>1305</v>
      </c>
      <c r="W368" s="657"/>
    </row>
    <row r="369" spans="1:23" x14ac:dyDescent="0.25">
      <c r="A369" s="810"/>
      <c r="B369" s="654" t="s">
        <v>570</v>
      </c>
      <c r="C369" s="654" t="s">
        <v>460</v>
      </c>
      <c r="D369" s="655" t="s">
        <v>380</v>
      </c>
      <c r="E369" s="656" t="s">
        <v>310</v>
      </c>
      <c r="F369" s="173" t="s">
        <v>1245</v>
      </c>
      <c r="G369" s="107">
        <v>1</v>
      </c>
      <c r="H369" s="109"/>
      <c r="I369" s="109"/>
      <c r="J369" s="109">
        <v>220</v>
      </c>
      <c r="K369" s="109">
        <v>220</v>
      </c>
      <c r="L369" s="175"/>
      <c r="M369" s="175"/>
      <c r="N369" s="175"/>
      <c r="O369" s="175"/>
      <c r="P369" s="108">
        <f>IF(Table_Shelter[[#This Row],[Status]]="Open",IF(V369="NO",Table_Shelter[[#This Row],[HH per Shelter]]*(Table_Shelter[[#This Row],['# of Temporary Shelter Units Built]]+Table_Shelter[[#This Row],['# of Temporary Shelter Under  Construction]]+Table_Shelter[[#This Row],['# of Permanent House Under Construction]]),0),0)</f>
        <v>220</v>
      </c>
      <c r="Q369" s="108"/>
      <c r="R369" s="175"/>
      <c r="S369" s="175" t="str">
        <f>IFERROR(VLOOKUP(Table_Shelter[[#This Row],[CampName]],CL,2,0),"")</f>
        <v>MMR001CMP111</v>
      </c>
      <c r="T369" s="175" t="str">
        <f>IFERROR(VLOOKUP(Table_Shelter[[#This Row],[CampName]],CL,3,0),"")</f>
        <v>Open</v>
      </c>
      <c r="U369" s="265">
        <f>IFERROR(Table_Shelter[[#This Row],[HH Covered]]/VLOOKUP(Table_Shelter[[#This Row],[CampName]],CL,5,0),"")</f>
        <v>0.54455445544554459</v>
      </c>
      <c r="V369" s="265" t="s">
        <v>1305</v>
      </c>
      <c r="W369" s="175"/>
    </row>
    <row r="370" spans="1:23" x14ac:dyDescent="0.25">
      <c r="A370" s="810"/>
      <c r="B370" s="654" t="s">
        <v>452</v>
      </c>
      <c r="C370" s="654" t="s">
        <v>460</v>
      </c>
      <c r="D370" s="655" t="s">
        <v>380</v>
      </c>
      <c r="E370" s="656" t="s">
        <v>310</v>
      </c>
      <c r="F370" s="173" t="s">
        <v>1245</v>
      </c>
      <c r="G370" s="614">
        <v>1</v>
      </c>
      <c r="H370" s="615"/>
      <c r="I370" s="615"/>
      <c r="J370" s="615">
        <v>325</v>
      </c>
      <c r="K370" s="615">
        <v>325</v>
      </c>
      <c r="L370" s="657"/>
      <c r="M370" s="657"/>
      <c r="N370" s="657"/>
      <c r="O370" s="657"/>
      <c r="P370" s="616">
        <f>IF(Table_Shelter[[#This Row],[Status]]="Open",IF(V370="NO",Table_Shelter[[#This Row],[HH per Shelter]]*(Table_Shelter[[#This Row],['# of Temporary Shelter Units Built]]+Table_Shelter[[#This Row],['# of Temporary Shelter Under  Construction]]+Table_Shelter[[#This Row],['# of Permanent House Under Construction]]),0),0)</f>
        <v>325</v>
      </c>
      <c r="Q370" s="616"/>
      <c r="R370" s="657"/>
      <c r="S370" s="657" t="str">
        <f>IFERROR(VLOOKUP(Table_Shelter[[#This Row],[CampName]],CL,2,0),"")</f>
        <v>MMR001CMP111</v>
      </c>
      <c r="T370" s="175" t="str">
        <f>IFERROR(VLOOKUP(Table_Shelter[[#This Row],[CampName]],CL,3,0),"")</f>
        <v>Open</v>
      </c>
      <c r="U370" s="658">
        <f>IFERROR(Table_Shelter[[#This Row],[HH Covered]]/VLOOKUP(Table_Shelter[[#This Row],[CampName]],CL,5,0),"")</f>
        <v>0.8044554455445545</v>
      </c>
      <c r="V370" s="265" t="s">
        <v>1305</v>
      </c>
      <c r="W370" s="657"/>
    </row>
    <row r="371" spans="1:23" x14ac:dyDescent="0.25">
      <c r="A371" s="811"/>
      <c r="B371" s="173" t="s">
        <v>1097</v>
      </c>
      <c r="C371" s="173" t="s">
        <v>944</v>
      </c>
      <c r="D371" s="176" t="s">
        <v>553</v>
      </c>
      <c r="E371" s="345" t="s">
        <v>146</v>
      </c>
      <c r="F371" s="173" t="s">
        <v>373</v>
      </c>
      <c r="G371" s="107">
        <v>1</v>
      </c>
      <c r="H371" s="109"/>
      <c r="I371" s="109"/>
      <c r="J371" s="109">
        <v>85</v>
      </c>
      <c r="K371" s="109">
        <v>85</v>
      </c>
      <c r="L371" s="175"/>
      <c r="M371" s="175"/>
      <c r="N371" s="175"/>
      <c r="O371" s="175"/>
      <c r="P371" s="108">
        <f>IF(Table_Shelter[[#This Row],[Status]]="Open",IF(V371="NO",Table_Shelter[[#This Row],[HH per Shelter]]*(Table_Shelter[[#This Row],['# of Temporary Shelter Units Built]]+Table_Shelter[[#This Row],['# of Temporary Shelter Under  Construction]]+Table_Shelter[[#This Row],['# of Permanent House Under Construction]]),0),0)</f>
        <v>85</v>
      </c>
      <c r="Q371" s="108"/>
      <c r="R371" s="175"/>
      <c r="S371" s="175" t="str">
        <f>IFERROR(VLOOKUP(Table_Shelter[[#This Row],[CampName]],CL,2,0),"")</f>
        <v>MMR015CMP020</v>
      </c>
      <c r="T371" s="175" t="str">
        <f>IFERROR(VLOOKUP(Table_Shelter[[#This Row],[CampName]],CL,3,0),"")</f>
        <v>Open</v>
      </c>
      <c r="U371" s="265">
        <f>IFERROR(Table_Shelter[[#This Row],[HH Covered]]/VLOOKUP(Table_Shelter[[#This Row],[CampName]],CL,5,0),"")</f>
        <v>0.44973544973544971</v>
      </c>
      <c r="V371" s="265" t="s">
        <v>1305</v>
      </c>
      <c r="W371" s="175"/>
    </row>
    <row r="372" spans="1:23" x14ac:dyDescent="0.25">
      <c r="A372" s="811"/>
      <c r="B372" s="173" t="s">
        <v>452</v>
      </c>
      <c r="C372" s="173"/>
      <c r="D372" s="176" t="s">
        <v>380</v>
      </c>
      <c r="E372" s="656" t="s">
        <v>527</v>
      </c>
      <c r="F372" s="173"/>
      <c r="G372" s="107">
        <v>1</v>
      </c>
      <c r="H372" s="109">
        <v>30</v>
      </c>
      <c r="I372" s="109">
        <v>30</v>
      </c>
      <c r="J372" s="109"/>
      <c r="K372" s="109"/>
      <c r="L372" s="175"/>
      <c r="M372" s="175"/>
      <c r="N372" s="175"/>
      <c r="O372" s="175"/>
      <c r="P372" s="108">
        <f>IF(Table_Shelter[[#This Row],[Status]]="Open",IF(V372="NO",Table_Shelter[[#This Row],[HH per Shelter]]*(Table_Shelter[[#This Row],['# of Temporary Shelter Units Built]]+Table_Shelter[[#This Row],['# of Temporary Shelter Under  Construction]]+Table_Shelter[[#This Row],['# of Permanent House Under Construction]]),0),0)</f>
        <v>0</v>
      </c>
      <c r="Q372" s="108"/>
      <c r="R372" s="175"/>
      <c r="S372" s="175" t="str">
        <f>IFERROR(VLOOKUP(Table_Shelter[[#This Row],[CampName]],CL,2,0),"")</f>
        <v/>
      </c>
      <c r="T372" s="175" t="str">
        <f>IFERROR(VLOOKUP(Table_Shelter[[#This Row],[CampName]],CL,3,0),"")</f>
        <v/>
      </c>
      <c r="U372" s="265" t="str">
        <f>IFERROR(Table_Shelter[[#This Row],[HH Covered]]/VLOOKUP(Table_Shelter[[#This Row],[CampName]],CL,5,0),"")</f>
        <v/>
      </c>
      <c r="V372" s="265" t="s">
        <v>1305</v>
      </c>
      <c r="W372" s="175"/>
    </row>
    <row r="373" spans="1:23" x14ac:dyDescent="0.25">
      <c r="A373" s="811"/>
      <c r="B373" s="173" t="s">
        <v>570</v>
      </c>
      <c r="C373" s="173" t="s">
        <v>460</v>
      </c>
      <c r="D373" s="176" t="s">
        <v>380</v>
      </c>
      <c r="E373" s="656" t="s">
        <v>237</v>
      </c>
      <c r="F373" s="173"/>
      <c r="G373" s="107">
        <v>1</v>
      </c>
      <c r="H373" s="109"/>
      <c r="I373" s="109"/>
      <c r="J373" s="109">
        <v>15</v>
      </c>
      <c r="K373" s="109">
        <v>15</v>
      </c>
      <c r="L373" s="175"/>
      <c r="M373" s="175"/>
      <c r="N373" s="175"/>
      <c r="O373" s="175"/>
      <c r="P373" s="108">
        <f>IF(Table_Shelter[[#This Row],[Status]]="Open",IF(V373="NO",Table_Shelter[[#This Row],[HH per Shelter]]*(Table_Shelter[[#This Row],['# of Temporary Shelter Units Built]]+Table_Shelter[[#This Row],['# of Temporary Shelter Under  Construction]]+Table_Shelter[[#This Row],['# of Permanent House Under Construction]]),0),0)</f>
        <v>0</v>
      </c>
      <c r="Q373" s="108"/>
      <c r="R373" s="175"/>
      <c r="S373" s="175" t="str">
        <f>IFERROR(VLOOKUP(Table_Shelter[[#This Row],[CampName]],CL,2,0),"")</f>
        <v/>
      </c>
      <c r="T373" s="175" t="str">
        <f>IFERROR(VLOOKUP(Table_Shelter[[#This Row],[CampName]],CL,3,0),"")</f>
        <v/>
      </c>
      <c r="U373" s="265" t="str">
        <f>IFERROR(Table_Shelter[[#This Row],[HH Covered]]/VLOOKUP(Table_Shelter[[#This Row],[CampName]],CL,5,0),"")</f>
        <v/>
      </c>
      <c r="V373" s="265" t="s">
        <v>1305</v>
      </c>
      <c r="W373" s="175"/>
    </row>
    <row r="374" spans="1:23" x14ac:dyDescent="0.25">
      <c r="A374" s="811"/>
      <c r="B374" s="173" t="s">
        <v>452</v>
      </c>
      <c r="C374" s="173"/>
      <c r="D374" s="176" t="s">
        <v>380</v>
      </c>
      <c r="E374" s="656" t="s">
        <v>300</v>
      </c>
      <c r="F374" s="654"/>
      <c r="G374" s="614">
        <v>1</v>
      </c>
      <c r="H374" s="615">
        <v>55</v>
      </c>
      <c r="I374" s="615">
        <v>55</v>
      </c>
      <c r="J374" s="615"/>
      <c r="K374" s="615"/>
      <c r="L374" s="657"/>
      <c r="M374" s="657"/>
      <c r="N374" s="657"/>
      <c r="O374" s="657"/>
      <c r="P374" s="616">
        <f>IF(Table_Shelter[[#This Row],[Status]]="Open",IF(V374="NO",Table_Shelter[[#This Row],[HH per Shelter]]*(Table_Shelter[[#This Row],['# of Temporary Shelter Units Built]]+Table_Shelter[[#This Row],['# of Temporary Shelter Under  Construction]]+Table_Shelter[[#This Row],['# of Permanent House Under Construction]]),0),0)</f>
        <v>0</v>
      </c>
      <c r="Q374" s="616"/>
      <c r="R374" s="657"/>
      <c r="S374" s="657" t="str">
        <f>IFERROR(VLOOKUP(Table_Shelter[[#This Row],[CampName]],CL,2,0),"")</f>
        <v/>
      </c>
      <c r="T374" s="657" t="str">
        <f>IFERROR(VLOOKUP(Table_Shelter[[#This Row],[CampName]],CL,3,0),"")</f>
        <v/>
      </c>
      <c r="U374" s="658" t="str">
        <f>IFERROR(Table_Shelter[[#This Row],[HH Covered]]/VLOOKUP(Table_Shelter[[#This Row],[CampName]],CL,5,0),"")</f>
        <v/>
      </c>
      <c r="V374" s="265" t="s">
        <v>1305</v>
      </c>
      <c r="W374" s="657"/>
    </row>
  </sheetData>
  <mergeCells count="2">
    <mergeCell ref="A2:C2"/>
    <mergeCell ref="A3:P3"/>
  </mergeCells>
  <conditionalFormatting sqref="R1:R3 T244 R244 T86:T111 T232:T242 R232:R242 R267:R268 T267:T268 T113:T230 R113:R230 T4:T84 R31:R84 T270:T354 R270:R1048576">
    <cfRule type="containsText" dxfId="1482" priority="119" operator="containsText" text="close">
      <formula>NOT(ISERROR(SEARCH("close",R1)))</formula>
    </cfRule>
    <cfRule type="containsText" dxfId="1481" priority="120" operator="containsText" text="open">
      <formula>NOT(ISERROR(SEARCH("open",R1)))</formula>
    </cfRule>
  </conditionalFormatting>
  <conditionalFormatting sqref="R86:R111">
    <cfRule type="containsText" dxfId="1480" priority="117" operator="containsText" text="close">
      <formula>NOT(ISERROR(SEARCH("close",R86)))</formula>
    </cfRule>
    <cfRule type="containsText" dxfId="1479" priority="118" operator="containsText" text="open">
      <formula>NOT(ISERROR(SEARCH("open",R86)))</formula>
    </cfRule>
  </conditionalFormatting>
  <conditionalFormatting sqref="R261 T261">
    <cfRule type="containsText" dxfId="1478" priority="63" operator="containsText" text="close">
      <formula>NOT(ISERROR(SEARCH("close",R261)))</formula>
    </cfRule>
    <cfRule type="containsText" dxfId="1477" priority="64" operator="containsText" text="open">
      <formula>NOT(ISERROR(SEARCH("open",R261)))</formula>
    </cfRule>
  </conditionalFormatting>
  <conditionalFormatting sqref="T245 R245">
    <cfRule type="containsText" dxfId="1476" priority="115" operator="containsText" text="close">
      <formula>NOT(ISERROR(SEARCH("close",R245)))</formula>
    </cfRule>
    <cfRule type="containsText" dxfId="1475" priority="116" operator="containsText" text="open">
      <formula>NOT(ISERROR(SEARCH("open",R245)))</formula>
    </cfRule>
  </conditionalFormatting>
  <conditionalFormatting sqref="T246">
    <cfRule type="containsText" dxfId="1474" priority="113" operator="containsText" text="close">
      <formula>NOT(ISERROR(SEARCH("close",T246)))</formula>
    </cfRule>
    <cfRule type="containsText" dxfId="1473" priority="114" operator="containsText" text="open">
      <formula>NOT(ISERROR(SEARCH("open",T246)))</formula>
    </cfRule>
  </conditionalFormatting>
  <conditionalFormatting sqref="T247">
    <cfRule type="containsText" dxfId="1472" priority="111" operator="containsText" text="close">
      <formula>NOT(ISERROR(SEARCH("close",T247)))</formula>
    </cfRule>
    <cfRule type="containsText" dxfId="1471" priority="112" operator="containsText" text="open">
      <formula>NOT(ISERROR(SEARCH("open",T247)))</formula>
    </cfRule>
  </conditionalFormatting>
  <conditionalFormatting sqref="R247">
    <cfRule type="containsText" dxfId="1470" priority="109" operator="containsText" text="close">
      <formula>NOT(ISERROR(SEARCH("close",R247)))</formula>
    </cfRule>
    <cfRule type="containsText" dxfId="1469" priority="110" operator="containsText" text="open">
      <formula>NOT(ISERROR(SEARCH("open",R247)))</formula>
    </cfRule>
  </conditionalFormatting>
  <conditionalFormatting sqref="T248">
    <cfRule type="containsText" dxfId="1468" priority="103" operator="containsText" text="close">
      <formula>NOT(ISERROR(SEARCH("close",T248)))</formula>
    </cfRule>
    <cfRule type="containsText" dxfId="1467" priority="104" operator="containsText" text="open">
      <formula>NOT(ISERROR(SEARCH("open",T248)))</formula>
    </cfRule>
  </conditionalFormatting>
  <conditionalFormatting sqref="R248">
    <cfRule type="containsText" dxfId="1466" priority="101" operator="containsText" text="close">
      <formula>NOT(ISERROR(SEARCH("close",R248)))</formula>
    </cfRule>
    <cfRule type="containsText" dxfId="1465" priority="102" operator="containsText" text="open">
      <formula>NOT(ISERROR(SEARCH("open",R248)))</formula>
    </cfRule>
  </conditionalFormatting>
  <conditionalFormatting sqref="T249">
    <cfRule type="containsText" dxfId="1464" priority="99" operator="containsText" text="close">
      <formula>NOT(ISERROR(SEARCH("close",T249)))</formula>
    </cfRule>
    <cfRule type="containsText" dxfId="1463" priority="100" operator="containsText" text="open">
      <formula>NOT(ISERROR(SEARCH("open",T249)))</formula>
    </cfRule>
  </conditionalFormatting>
  <conditionalFormatting sqref="R249">
    <cfRule type="containsText" dxfId="1462" priority="97" operator="containsText" text="close">
      <formula>NOT(ISERROR(SEARCH("close",R249)))</formula>
    </cfRule>
    <cfRule type="containsText" dxfId="1461" priority="98" operator="containsText" text="open">
      <formula>NOT(ISERROR(SEARCH("open",R249)))</formula>
    </cfRule>
  </conditionalFormatting>
  <conditionalFormatting sqref="T250 R250">
    <cfRule type="containsText" dxfId="1460" priority="95" operator="containsText" text="close">
      <formula>NOT(ISERROR(SEARCH("close",R250)))</formula>
    </cfRule>
    <cfRule type="containsText" dxfId="1459" priority="96" operator="containsText" text="open">
      <formula>NOT(ISERROR(SEARCH("open",R250)))</formula>
    </cfRule>
  </conditionalFormatting>
  <conditionalFormatting sqref="T251 R251">
    <cfRule type="containsText" dxfId="1458" priority="91" operator="containsText" text="close">
      <formula>NOT(ISERROR(SEARCH("close",R251)))</formula>
    </cfRule>
    <cfRule type="containsText" dxfId="1457" priority="92" operator="containsText" text="open">
      <formula>NOT(ISERROR(SEARCH("open",R251)))</formula>
    </cfRule>
  </conditionalFormatting>
  <conditionalFormatting sqref="T252 R252">
    <cfRule type="containsText" dxfId="1456" priority="89" operator="containsText" text="close">
      <formula>NOT(ISERROR(SEARCH("close",R252)))</formula>
    </cfRule>
    <cfRule type="containsText" dxfId="1455" priority="90" operator="containsText" text="open">
      <formula>NOT(ISERROR(SEARCH("open",R252)))</formula>
    </cfRule>
  </conditionalFormatting>
  <conditionalFormatting sqref="T253 R253">
    <cfRule type="containsText" dxfId="1454" priority="87" operator="containsText" text="close">
      <formula>NOT(ISERROR(SEARCH("close",R253)))</formula>
    </cfRule>
    <cfRule type="containsText" dxfId="1453" priority="88" operator="containsText" text="open">
      <formula>NOT(ISERROR(SEARCH("open",R253)))</formula>
    </cfRule>
  </conditionalFormatting>
  <conditionalFormatting sqref="T255">
    <cfRule type="containsText" dxfId="1452" priority="83" operator="containsText" text="close">
      <formula>NOT(ISERROR(SEARCH("close",T255)))</formula>
    </cfRule>
    <cfRule type="containsText" dxfId="1451" priority="84" operator="containsText" text="open">
      <formula>NOT(ISERROR(SEARCH("open",T255)))</formula>
    </cfRule>
  </conditionalFormatting>
  <conditionalFormatting sqref="R255">
    <cfRule type="containsText" dxfId="1450" priority="81" operator="containsText" text="close">
      <formula>NOT(ISERROR(SEARCH("close",R255)))</formula>
    </cfRule>
    <cfRule type="containsText" dxfId="1449" priority="82" operator="containsText" text="open">
      <formula>NOT(ISERROR(SEARCH("open",R255)))</formula>
    </cfRule>
  </conditionalFormatting>
  <conditionalFormatting sqref="T256">
    <cfRule type="containsText" dxfId="1448" priority="79" operator="containsText" text="close">
      <formula>NOT(ISERROR(SEARCH("close",T256)))</formula>
    </cfRule>
    <cfRule type="containsText" dxfId="1447" priority="80" operator="containsText" text="open">
      <formula>NOT(ISERROR(SEARCH("open",T256)))</formula>
    </cfRule>
  </conditionalFormatting>
  <conditionalFormatting sqref="R257 T257">
    <cfRule type="containsText" dxfId="1446" priority="73" operator="containsText" text="close">
      <formula>NOT(ISERROR(SEARCH("close",R257)))</formula>
    </cfRule>
    <cfRule type="containsText" dxfId="1445" priority="74" operator="containsText" text="open">
      <formula>NOT(ISERROR(SEARCH("open",R257)))</formula>
    </cfRule>
  </conditionalFormatting>
  <conditionalFormatting sqref="T259">
    <cfRule type="containsText" dxfId="1444" priority="71" operator="containsText" text="close">
      <formula>NOT(ISERROR(SEARCH("close",T259)))</formula>
    </cfRule>
    <cfRule type="containsText" dxfId="1443" priority="72" operator="containsText" text="open">
      <formula>NOT(ISERROR(SEARCH("open",T259)))</formula>
    </cfRule>
  </conditionalFormatting>
  <conditionalFormatting sqref="R259">
    <cfRule type="containsText" dxfId="1442" priority="69" operator="containsText" text="close">
      <formula>NOT(ISERROR(SEARCH("close",R259)))</formula>
    </cfRule>
    <cfRule type="containsText" dxfId="1441" priority="70" operator="containsText" text="open">
      <formula>NOT(ISERROR(SEARCH("open",R259)))</formula>
    </cfRule>
  </conditionalFormatting>
  <conditionalFormatting sqref="T260">
    <cfRule type="containsText" dxfId="1440" priority="67" operator="containsText" text="close">
      <formula>NOT(ISERROR(SEARCH("close",T260)))</formula>
    </cfRule>
    <cfRule type="containsText" dxfId="1439" priority="68" operator="containsText" text="open">
      <formula>NOT(ISERROR(SEARCH("open",T260)))</formula>
    </cfRule>
  </conditionalFormatting>
  <conditionalFormatting sqref="R260">
    <cfRule type="containsText" dxfId="1438" priority="65" operator="containsText" text="close">
      <formula>NOT(ISERROR(SEARCH("close",R260)))</formula>
    </cfRule>
    <cfRule type="containsText" dxfId="1437" priority="66" operator="containsText" text="open">
      <formula>NOT(ISERROR(SEARCH("open",R260)))</formula>
    </cfRule>
  </conditionalFormatting>
  <conditionalFormatting sqref="T258 R258">
    <cfRule type="containsText" dxfId="1436" priority="51" operator="containsText" text="close">
      <formula>NOT(ISERROR(SEARCH("close",R258)))</formula>
    </cfRule>
    <cfRule type="containsText" dxfId="1435" priority="52" operator="containsText" text="open">
      <formula>NOT(ISERROR(SEARCH("open",R258)))</formula>
    </cfRule>
  </conditionalFormatting>
  <conditionalFormatting sqref="R262 T262">
    <cfRule type="containsText" dxfId="1434" priority="45" operator="containsText" text="close">
      <formula>NOT(ISERROR(SEARCH("close",R262)))</formula>
    </cfRule>
    <cfRule type="containsText" dxfId="1433" priority="46" operator="containsText" text="open">
      <formula>NOT(ISERROR(SEARCH("open",R262)))</formula>
    </cfRule>
  </conditionalFormatting>
  <conditionalFormatting sqref="T264 R264">
    <cfRule type="containsText" dxfId="1432" priority="33" operator="containsText" text="close">
      <formula>NOT(ISERROR(SEARCH("close",R264)))</formula>
    </cfRule>
    <cfRule type="containsText" dxfId="1431" priority="34" operator="containsText" text="open">
      <formula>NOT(ISERROR(SEARCH("open",R264)))</formula>
    </cfRule>
  </conditionalFormatting>
  <conditionalFormatting sqref="T263 R263">
    <cfRule type="containsText" dxfId="1430" priority="35" operator="containsText" text="close">
      <formula>NOT(ISERROR(SEARCH("close",R263)))</formula>
    </cfRule>
    <cfRule type="containsText" dxfId="1429" priority="36" operator="containsText" text="open">
      <formula>NOT(ISERROR(SEARCH("open",R263)))</formula>
    </cfRule>
  </conditionalFormatting>
  <conditionalFormatting sqref="T265 R265">
    <cfRule type="containsText" dxfId="1428" priority="31" operator="containsText" text="close">
      <formula>NOT(ISERROR(SEARCH("close",R265)))</formula>
    </cfRule>
    <cfRule type="containsText" dxfId="1427" priority="32" operator="containsText" text="open">
      <formula>NOT(ISERROR(SEARCH("open",R265)))</formula>
    </cfRule>
  </conditionalFormatting>
  <conditionalFormatting sqref="T266 R266">
    <cfRule type="containsText" dxfId="1426" priority="29" operator="containsText" text="close">
      <formula>NOT(ISERROR(SEARCH("close",R266)))</formula>
    </cfRule>
    <cfRule type="containsText" dxfId="1425" priority="30" operator="containsText" text="open">
      <formula>NOT(ISERROR(SEARCH("open",R266)))</formula>
    </cfRule>
  </conditionalFormatting>
  <conditionalFormatting sqref="T112">
    <cfRule type="containsText" dxfId="1424" priority="27" operator="containsText" text="close">
      <formula>NOT(ISERROR(SEARCH("close",T112)))</formula>
    </cfRule>
    <cfRule type="containsText" dxfId="1423" priority="28" operator="containsText" text="open">
      <formula>NOT(ISERROR(SEARCH("open",T112)))</formula>
    </cfRule>
  </conditionalFormatting>
  <conditionalFormatting sqref="R112">
    <cfRule type="containsText" dxfId="1422" priority="25" operator="containsText" text="close">
      <formula>NOT(ISERROR(SEARCH("close",R112)))</formula>
    </cfRule>
    <cfRule type="containsText" dxfId="1421" priority="26" operator="containsText" text="open">
      <formula>NOT(ISERROR(SEARCH("open",R112)))</formula>
    </cfRule>
  </conditionalFormatting>
  <conditionalFormatting sqref="T243 R243">
    <cfRule type="containsText" dxfId="1420" priority="23" operator="containsText" text="close">
      <formula>NOT(ISERROR(SEARCH("close",R243)))</formula>
    </cfRule>
    <cfRule type="containsText" dxfId="1419" priority="24" operator="containsText" text="open">
      <formula>NOT(ISERROR(SEARCH("open",R243)))</formula>
    </cfRule>
  </conditionalFormatting>
  <conditionalFormatting sqref="T85">
    <cfRule type="containsText" dxfId="1418" priority="21" operator="containsText" text="close">
      <formula>NOT(ISERROR(SEARCH("close",T85)))</formula>
    </cfRule>
    <cfRule type="containsText" dxfId="1417" priority="22" operator="containsText" text="open">
      <formula>NOT(ISERROR(SEARCH("open",T85)))</formula>
    </cfRule>
  </conditionalFormatting>
  <conditionalFormatting sqref="R85">
    <cfRule type="containsText" dxfId="1416" priority="19" operator="containsText" text="close">
      <formula>NOT(ISERROR(SEARCH("close",R85)))</formula>
    </cfRule>
    <cfRule type="containsText" dxfId="1415" priority="20" operator="containsText" text="open">
      <formula>NOT(ISERROR(SEARCH("open",R85)))</formula>
    </cfRule>
  </conditionalFormatting>
  <conditionalFormatting sqref="T254">
    <cfRule type="containsText" dxfId="1414" priority="17" operator="containsText" text="close">
      <formula>NOT(ISERROR(SEARCH("close",T254)))</formula>
    </cfRule>
    <cfRule type="containsText" dxfId="1413" priority="18" operator="containsText" text="open">
      <formula>NOT(ISERROR(SEARCH("open",T254)))</formula>
    </cfRule>
  </conditionalFormatting>
  <conditionalFormatting sqref="R254">
    <cfRule type="containsText" dxfId="1412" priority="15" operator="containsText" text="close">
      <formula>NOT(ISERROR(SEARCH("close",R254)))</formula>
    </cfRule>
    <cfRule type="containsText" dxfId="1411" priority="16" operator="containsText" text="open">
      <formula>NOT(ISERROR(SEARCH("open",R254)))</formula>
    </cfRule>
  </conditionalFormatting>
  <conditionalFormatting sqref="T231 R231">
    <cfRule type="containsText" dxfId="1410" priority="13" operator="containsText" text="close">
      <formula>NOT(ISERROR(SEARCH("close",R231)))</formula>
    </cfRule>
    <cfRule type="containsText" dxfId="1409" priority="14" operator="containsText" text="open">
      <formula>NOT(ISERROR(SEARCH("open",R231)))</formula>
    </cfRule>
  </conditionalFormatting>
  <conditionalFormatting sqref="T269 R269">
    <cfRule type="containsText" dxfId="1408" priority="5" operator="containsText" text="close">
      <formula>NOT(ISERROR(SEARCH("close",R269)))</formula>
    </cfRule>
    <cfRule type="containsText" dxfId="1407" priority="6" operator="containsText" text="open">
      <formula>NOT(ISERROR(SEARCH("open",R269)))</formula>
    </cfRule>
  </conditionalFormatting>
  <dataValidations count="3">
    <dataValidation type="list" allowBlank="1" showInputMessage="1" showErrorMessage="1" sqref="D5:D374">
      <formula1>State</formula1>
    </dataValidation>
    <dataValidation type="list" allowBlank="1" showInputMessage="1" showErrorMessage="1" sqref="F5:F374">
      <formula1>OFFSET(TCL_T1,MATCH(E5,TCL_T,0)-1,1,COUNTIF(TCL_T,E5),1)</formula1>
    </dataValidation>
    <dataValidation type="list" showInputMessage="1" showErrorMessage="1" sqref="E5:E374">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V250 V254:V257 V259:V262 V267:V346 V5:V248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79"/>
  <sheetViews>
    <sheetView topLeftCell="E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92" bestFit="1" customWidth="1"/>
    <col min="14" max="14" width="56.7109375" style="92" bestFit="1" customWidth="1"/>
    <col min="15" max="15" width="13.85546875" style="92" bestFit="1" customWidth="1"/>
    <col min="16" max="16" width="10.140625" style="92" bestFit="1" customWidth="1"/>
    <col min="17" max="17" width="12" bestFit="1" customWidth="1"/>
    <col min="21" max="21" width="16.140625" bestFit="1" customWidth="1"/>
    <col min="22" max="22" width="23.28515625" customWidth="1"/>
  </cols>
  <sheetData>
    <row r="1" spans="1:22" x14ac:dyDescent="0.25">
      <c r="A1" s="341" t="s">
        <v>498</v>
      </c>
      <c r="B1" s="333" t="s">
        <v>596</v>
      </c>
      <c r="M1" s="341" t="s">
        <v>498</v>
      </c>
      <c r="N1" s="333" t="s">
        <v>596</v>
      </c>
    </row>
    <row r="2" spans="1:22" x14ac:dyDescent="0.25">
      <c r="G2" s="91"/>
      <c r="U2" s="341" t="s">
        <v>498</v>
      </c>
      <c r="V2" s="333" t="s">
        <v>596</v>
      </c>
    </row>
    <row r="3" spans="1:22" x14ac:dyDescent="0.25">
      <c r="A3" s="341" t="s">
        <v>0</v>
      </c>
      <c r="B3" s="341" t="s">
        <v>554</v>
      </c>
      <c r="G3" s="341" t="s">
        <v>554</v>
      </c>
      <c r="H3" s="341" t="s">
        <v>925</v>
      </c>
      <c r="I3" s="341" t="s">
        <v>498</v>
      </c>
      <c r="J3" s="341" t="s">
        <v>854</v>
      </c>
      <c r="K3" t="s">
        <v>868</v>
      </c>
      <c r="M3" s="341" t="s">
        <v>925</v>
      </c>
      <c r="N3" s="341" t="s">
        <v>554</v>
      </c>
      <c r="O3" s="341" t="s">
        <v>1183</v>
      </c>
      <c r="P3" s="341" t="s">
        <v>0</v>
      </c>
      <c r="Q3" s="333" t="s">
        <v>868</v>
      </c>
      <c r="R3" s="333" t="s">
        <v>826</v>
      </c>
    </row>
    <row r="4" spans="1:22" x14ac:dyDescent="0.25">
      <c r="A4" s="333" t="s">
        <v>5</v>
      </c>
      <c r="B4" s="333" t="s">
        <v>6</v>
      </c>
      <c r="G4" s="333" t="s">
        <v>128</v>
      </c>
      <c r="H4" s="333" t="s">
        <v>127</v>
      </c>
      <c r="I4" s="333" t="s">
        <v>843</v>
      </c>
      <c r="J4" s="333" t="s">
        <v>1585</v>
      </c>
      <c r="K4" s="335">
        <v>0</v>
      </c>
      <c r="M4" s="333" t="s">
        <v>236</v>
      </c>
      <c r="N4" s="333" t="s">
        <v>238</v>
      </c>
      <c r="O4" s="333" t="s">
        <v>237</v>
      </c>
      <c r="P4" s="333" t="s">
        <v>237</v>
      </c>
      <c r="Q4" s="335">
        <v>52</v>
      </c>
      <c r="R4" s="335">
        <v>263</v>
      </c>
      <c r="U4" s="341" t="s">
        <v>925</v>
      </c>
      <c r="V4" s="341" t="s">
        <v>401</v>
      </c>
    </row>
    <row r="5" spans="1:22" x14ac:dyDescent="0.25">
      <c r="A5" s="333" t="s">
        <v>5</v>
      </c>
      <c r="B5" s="333" t="s">
        <v>512</v>
      </c>
      <c r="G5" s="333" t="s">
        <v>62</v>
      </c>
      <c r="H5" s="333" t="s">
        <v>61</v>
      </c>
      <c r="I5" s="333" t="s">
        <v>500</v>
      </c>
      <c r="J5" s="146">
        <v>41275</v>
      </c>
      <c r="K5" s="335">
        <v>67</v>
      </c>
      <c r="M5" s="333" t="s">
        <v>268</v>
      </c>
      <c r="N5" s="333" t="s">
        <v>269</v>
      </c>
      <c r="O5" s="333" t="s">
        <v>237</v>
      </c>
      <c r="P5" s="333" t="s">
        <v>237</v>
      </c>
      <c r="Q5" s="335">
        <v>67</v>
      </c>
      <c r="R5" s="335">
        <v>289</v>
      </c>
      <c r="U5" s="333" t="s">
        <v>236</v>
      </c>
      <c r="V5" s="333" t="s">
        <v>554</v>
      </c>
    </row>
    <row r="6" spans="1:22" x14ac:dyDescent="0.25">
      <c r="A6" s="333" t="s">
        <v>5</v>
      </c>
      <c r="B6" s="333" t="s">
        <v>10</v>
      </c>
      <c r="G6" s="333" t="s">
        <v>120</v>
      </c>
      <c r="H6" s="333" t="s">
        <v>119</v>
      </c>
      <c r="I6" s="333" t="s">
        <v>500</v>
      </c>
      <c r="J6" s="146">
        <v>41275</v>
      </c>
      <c r="K6" s="335">
        <v>72</v>
      </c>
      <c r="M6" s="333" t="s">
        <v>250</v>
      </c>
      <c r="N6" s="333" t="s">
        <v>251</v>
      </c>
      <c r="O6" s="333" t="s">
        <v>237</v>
      </c>
      <c r="P6" s="333" t="s">
        <v>237</v>
      </c>
      <c r="Q6" s="335">
        <v>32</v>
      </c>
      <c r="R6" s="335">
        <v>169</v>
      </c>
      <c r="U6" s="333" t="s">
        <v>268</v>
      </c>
      <c r="V6" s="333" t="s">
        <v>554</v>
      </c>
    </row>
    <row r="7" spans="1:22" x14ac:dyDescent="0.25">
      <c r="A7" s="333" t="s">
        <v>5</v>
      </c>
      <c r="B7" s="333" t="s">
        <v>12</v>
      </c>
      <c r="G7" s="333" t="s">
        <v>1445</v>
      </c>
      <c r="H7" s="333" t="s">
        <v>1451</v>
      </c>
      <c r="I7" s="333" t="s">
        <v>500</v>
      </c>
      <c r="J7" s="146">
        <v>42584</v>
      </c>
      <c r="K7" s="335">
        <v>32</v>
      </c>
      <c r="M7" s="333" t="s">
        <v>248</v>
      </c>
      <c r="N7" s="333" t="s">
        <v>249</v>
      </c>
      <c r="O7" s="333" t="s">
        <v>237</v>
      </c>
      <c r="P7" s="333" t="s">
        <v>237</v>
      </c>
      <c r="Q7" s="335">
        <v>4</v>
      </c>
      <c r="R7" s="335">
        <v>21</v>
      </c>
      <c r="U7" s="333" t="s">
        <v>250</v>
      </c>
      <c r="V7" s="333" t="s">
        <v>554</v>
      </c>
    </row>
    <row r="8" spans="1:22" x14ac:dyDescent="0.25">
      <c r="A8" s="333" t="s">
        <v>5</v>
      </c>
      <c r="B8" s="333" t="s">
        <v>14</v>
      </c>
      <c r="G8" s="333" t="s">
        <v>6</v>
      </c>
      <c r="H8" s="333" t="s">
        <v>4</v>
      </c>
      <c r="I8" s="333" t="s">
        <v>500</v>
      </c>
      <c r="J8" s="146">
        <v>40848</v>
      </c>
      <c r="K8" s="335">
        <v>257</v>
      </c>
      <c r="M8" s="333" t="s">
        <v>274</v>
      </c>
      <c r="N8" s="333" t="s">
        <v>275</v>
      </c>
      <c r="O8" s="333" t="s">
        <v>237</v>
      </c>
      <c r="P8" s="333" t="s">
        <v>237</v>
      </c>
      <c r="Q8" s="335">
        <v>46</v>
      </c>
      <c r="R8" s="335">
        <v>228</v>
      </c>
      <c r="U8" s="333" t="s">
        <v>248</v>
      </c>
      <c r="V8" s="333" t="s">
        <v>554</v>
      </c>
    </row>
    <row r="9" spans="1:22" x14ac:dyDescent="0.25">
      <c r="A9" s="333" t="s">
        <v>5</v>
      </c>
      <c r="B9" s="333" t="s">
        <v>16</v>
      </c>
      <c r="G9" s="333" t="s">
        <v>41</v>
      </c>
      <c r="H9" s="333" t="s">
        <v>40</v>
      </c>
      <c r="I9" s="333" t="s">
        <v>500</v>
      </c>
      <c r="J9" s="146">
        <v>41275</v>
      </c>
      <c r="K9" s="335">
        <v>67</v>
      </c>
      <c r="M9" s="333" t="s">
        <v>276</v>
      </c>
      <c r="N9" s="333" t="s">
        <v>277</v>
      </c>
      <c r="O9" s="333" t="s">
        <v>237</v>
      </c>
      <c r="P9" s="333" t="s">
        <v>237</v>
      </c>
      <c r="Q9" s="335">
        <v>90</v>
      </c>
      <c r="R9" s="335">
        <v>405</v>
      </c>
      <c r="U9" s="333" t="s">
        <v>274</v>
      </c>
      <c r="V9" s="333" t="s">
        <v>554</v>
      </c>
    </row>
    <row r="10" spans="1:22" x14ac:dyDescent="0.25">
      <c r="A10" s="333" t="s">
        <v>5</v>
      </c>
      <c r="B10" s="333" t="s">
        <v>18</v>
      </c>
      <c r="G10" s="333" t="s">
        <v>43</v>
      </c>
      <c r="H10" s="333" t="s">
        <v>42</v>
      </c>
      <c r="I10" s="333" t="s">
        <v>500</v>
      </c>
      <c r="J10" s="146">
        <v>41275</v>
      </c>
      <c r="K10" s="335">
        <v>14</v>
      </c>
      <c r="M10" s="333" t="s">
        <v>278</v>
      </c>
      <c r="N10" s="333" t="s">
        <v>279</v>
      </c>
      <c r="O10" s="333" t="s">
        <v>237</v>
      </c>
      <c r="P10" s="333" t="s">
        <v>237</v>
      </c>
      <c r="Q10" s="335">
        <v>22</v>
      </c>
      <c r="R10" s="335">
        <v>111</v>
      </c>
      <c r="U10" s="333" t="s">
        <v>276</v>
      </c>
      <c r="V10" s="333" t="s">
        <v>554</v>
      </c>
    </row>
    <row r="11" spans="1:22" x14ac:dyDescent="0.25">
      <c r="A11" s="333" t="s">
        <v>5</v>
      </c>
      <c r="B11" s="333" t="s">
        <v>8</v>
      </c>
      <c r="G11" s="333" t="s">
        <v>39</v>
      </c>
      <c r="H11" s="333" t="s">
        <v>38</v>
      </c>
      <c r="I11" s="333" t="s">
        <v>843</v>
      </c>
      <c r="J11" s="333" t="s">
        <v>1585</v>
      </c>
      <c r="K11" s="335">
        <v>0</v>
      </c>
      <c r="M11" s="333" t="s">
        <v>260</v>
      </c>
      <c r="N11" s="333" t="s">
        <v>261</v>
      </c>
      <c r="O11" s="333" t="s">
        <v>237</v>
      </c>
      <c r="P11" s="333" t="s">
        <v>237</v>
      </c>
      <c r="Q11" s="335">
        <v>101</v>
      </c>
      <c r="R11" s="335">
        <v>545</v>
      </c>
      <c r="U11" s="333" t="s">
        <v>278</v>
      </c>
      <c r="V11" s="333" t="s">
        <v>554</v>
      </c>
    </row>
    <row r="12" spans="1:22" x14ac:dyDescent="0.25">
      <c r="A12" s="333" t="s">
        <v>5</v>
      </c>
      <c r="B12" s="333" t="s">
        <v>20</v>
      </c>
      <c r="G12" s="333" t="s">
        <v>1512</v>
      </c>
      <c r="H12" s="333" t="s">
        <v>1480</v>
      </c>
      <c r="I12" s="333" t="s">
        <v>843</v>
      </c>
      <c r="J12" s="333" t="s">
        <v>1585</v>
      </c>
      <c r="K12" s="335"/>
      <c r="M12" s="333" t="s">
        <v>280</v>
      </c>
      <c r="N12" s="333" t="s">
        <v>281</v>
      </c>
      <c r="O12" s="333" t="s">
        <v>237</v>
      </c>
      <c r="P12" s="333" t="s">
        <v>237</v>
      </c>
      <c r="Q12" s="335">
        <v>89</v>
      </c>
      <c r="R12" s="335">
        <v>489</v>
      </c>
      <c r="U12" s="333" t="s">
        <v>260</v>
      </c>
      <c r="V12" s="333" t="s">
        <v>554</v>
      </c>
    </row>
    <row r="13" spans="1:22" x14ac:dyDescent="0.25">
      <c r="A13" s="333" t="s">
        <v>5</v>
      </c>
      <c r="B13" s="333" t="s">
        <v>366</v>
      </c>
      <c r="G13" s="333" t="s">
        <v>512</v>
      </c>
      <c r="H13" s="333" t="s">
        <v>377</v>
      </c>
      <c r="I13" s="333" t="s">
        <v>500</v>
      </c>
      <c r="J13" s="146">
        <v>40787</v>
      </c>
      <c r="K13" s="335">
        <v>12</v>
      </c>
      <c r="M13" s="333" t="s">
        <v>244</v>
      </c>
      <c r="N13" s="333" t="s">
        <v>245</v>
      </c>
      <c r="O13" s="333" t="s">
        <v>237</v>
      </c>
      <c r="P13" s="333" t="s">
        <v>237</v>
      </c>
      <c r="Q13" s="335">
        <v>6</v>
      </c>
      <c r="R13" s="335">
        <v>39</v>
      </c>
      <c r="U13" s="333" t="s">
        <v>280</v>
      </c>
      <c r="V13" s="333" t="s">
        <v>554</v>
      </c>
    </row>
    <row r="14" spans="1:22" x14ac:dyDescent="0.25">
      <c r="A14" s="333" t="s">
        <v>5</v>
      </c>
      <c r="B14" s="333" t="s">
        <v>22</v>
      </c>
      <c r="G14" s="333" t="s">
        <v>48</v>
      </c>
      <c r="H14" s="333" t="s">
        <v>47</v>
      </c>
      <c r="I14" s="333" t="s">
        <v>843</v>
      </c>
      <c r="J14" s="333" t="s">
        <v>1585</v>
      </c>
      <c r="K14" s="335">
        <v>0</v>
      </c>
      <c r="M14" s="333" t="s">
        <v>246</v>
      </c>
      <c r="N14" s="333" t="s">
        <v>247</v>
      </c>
      <c r="O14" s="333" t="s">
        <v>237</v>
      </c>
      <c r="P14" s="333" t="s">
        <v>237</v>
      </c>
      <c r="Q14" s="335">
        <v>20</v>
      </c>
      <c r="R14" s="335">
        <v>105</v>
      </c>
      <c r="U14" s="333" t="s">
        <v>244</v>
      </c>
      <c r="V14" s="333" t="s">
        <v>554</v>
      </c>
    </row>
    <row r="15" spans="1:22" x14ac:dyDescent="0.25">
      <c r="A15" s="333" t="s">
        <v>5</v>
      </c>
      <c r="B15" s="333" t="s">
        <v>897</v>
      </c>
      <c r="G15" s="333" t="s">
        <v>50</v>
      </c>
      <c r="H15" s="333" t="s">
        <v>49</v>
      </c>
      <c r="I15" s="333" t="s">
        <v>843</v>
      </c>
      <c r="J15" s="333" t="s">
        <v>1585</v>
      </c>
      <c r="K15" s="335">
        <v>0</v>
      </c>
      <c r="M15" s="333" t="s">
        <v>242</v>
      </c>
      <c r="N15" s="333" t="s">
        <v>243</v>
      </c>
      <c r="O15" s="333" t="s">
        <v>237</v>
      </c>
      <c r="P15" s="333" t="s">
        <v>237</v>
      </c>
      <c r="Q15" s="335">
        <v>6</v>
      </c>
      <c r="R15" s="335">
        <v>28</v>
      </c>
      <c r="U15" s="333" t="s">
        <v>246</v>
      </c>
      <c r="V15" s="333" t="s">
        <v>554</v>
      </c>
    </row>
    <row r="16" spans="1:22" x14ac:dyDescent="0.25">
      <c r="A16" s="333" t="s">
        <v>5</v>
      </c>
      <c r="B16" s="333" t="s">
        <v>24</v>
      </c>
      <c r="G16" s="333" t="s">
        <v>1496</v>
      </c>
      <c r="H16" s="333" t="s">
        <v>1484</v>
      </c>
      <c r="I16" s="333" t="s">
        <v>843</v>
      </c>
      <c r="J16" s="333" t="s">
        <v>1585</v>
      </c>
      <c r="K16" s="335"/>
      <c r="M16" s="333" t="s">
        <v>256</v>
      </c>
      <c r="N16" s="333" t="s">
        <v>257</v>
      </c>
      <c r="O16" s="333" t="s">
        <v>237</v>
      </c>
      <c r="P16" s="333" t="s">
        <v>237</v>
      </c>
      <c r="Q16" s="335">
        <v>48</v>
      </c>
      <c r="R16" s="335">
        <v>211</v>
      </c>
      <c r="U16" s="333" t="s">
        <v>242</v>
      </c>
      <c r="V16" s="333" t="s">
        <v>554</v>
      </c>
    </row>
    <row r="17" spans="1:22" x14ac:dyDescent="0.25">
      <c r="A17" s="333" t="s">
        <v>5</v>
      </c>
      <c r="B17" s="333" t="s">
        <v>869</v>
      </c>
      <c r="G17" s="333" t="s">
        <v>1497</v>
      </c>
      <c r="H17" s="333" t="s">
        <v>1485</v>
      </c>
      <c r="I17" s="333" t="s">
        <v>843</v>
      </c>
      <c r="J17" s="333" t="s">
        <v>1585</v>
      </c>
      <c r="K17" s="335"/>
      <c r="M17" s="333" t="s">
        <v>284</v>
      </c>
      <c r="N17" s="333" t="s">
        <v>285</v>
      </c>
      <c r="O17" s="333" t="s">
        <v>237</v>
      </c>
      <c r="P17" s="333" t="s">
        <v>237</v>
      </c>
      <c r="Q17" s="335">
        <v>85</v>
      </c>
      <c r="R17" s="335">
        <v>437</v>
      </c>
      <c r="U17" s="333" t="s">
        <v>256</v>
      </c>
      <c r="V17" s="333" t="s">
        <v>554</v>
      </c>
    </row>
    <row r="18" spans="1:22" x14ac:dyDescent="0.25">
      <c r="A18" s="333" t="s">
        <v>5</v>
      </c>
      <c r="B18" s="333" t="s">
        <v>26</v>
      </c>
      <c r="G18" s="333" t="s">
        <v>882</v>
      </c>
      <c r="H18" s="333" t="s">
        <v>880</v>
      </c>
      <c r="I18" s="333" t="s">
        <v>843</v>
      </c>
      <c r="J18" s="333" t="s">
        <v>1585</v>
      </c>
      <c r="K18" s="335">
        <v>0</v>
      </c>
      <c r="M18" s="333" t="s">
        <v>239</v>
      </c>
      <c r="N18" s="333" t="s">
        <v>240</v>
      </c>
      <c r="O18" s="333" t="s">
        <v>237</v>
      </c>
      <c r="P18" s="333" t="s">
        <v>237</v>
      </c>
      <c r="Q18" s="335">
        <v>30</v>
      </c>
      <c r="R18" s="335">
        <v>178</v>
      </c>
      <c r="U18" s="333" t="s">
        <v>284</v>
      </c>
      <c r="V18" s="333" t="s">
        <v>554</v>
      </c>
    </row>
    <row r="19" spans="1:22" x14ac:dyDescent="0.25">
      <c r="A19" s="333" t="s">
        <v>5</v>
      </c>
      <c r="B19" s="333" t="s">
        <v>1021</v>
      </c>
      <c r="G19" s="333" t="s">
        <v>877</v>
      </c>
      <c r="H19" s="333" t="s">
        <v>881</v>
      </c>
      <c r="I19" s="333" t="s">
        <v>843</v>
      </c>
      <c r="J19" s="333" t="s">
        <v>1585</v>
      </c>
      <c r="K19" s="335">
        <v>0</v>
      </c>
      <c r="M19" s="333" t="s">
        <v>258</v>
      </c>
      <c r="N19" s="333" t="s">
        <v>259</v>
      </c>
      <c r="O19" s="333" t="s">
        <v>237</v>
      </c>
      <c r="P19" s="333" t="s">
        <v>237</v>
      </c>
      <c r="Q19" s="335">
        <v>61</v>
      </c>
      <c r="R19" s="335">
        <v>303</v>
      </c>
      <c r="U19" s="333" t="s">
        <v>239</v>
      </c>
      <c r="V19" s="333" t="s">
        <v>554</v>
      </c>
    </row>
    <row r="20" spans="1:22" x14ac:dyDescent="0.25">
      <c r="A20" s="333" t="s">
        <v>27</v>
      </c>
      <c r="B20" s="333" t="s">
        <v>28</v>
      </c>
      <c r="G20" s="333" t="s">
        <v>878</v>
      </c>
      <c r="H20" s="333" t="s">
        <v>879</v>
      </c>
      <c r="I20" s="333" t="s">
        <v>843</v>
      </c>
      <c r="J20" s="333" t="s">
        <v>1585</v>
      </c>
      <c r="K20" s="335">
        <v>0</v>
      </c>
      <c r="M20" s="333" t="s">
        <v>266</v>
      </c>
      <c r="N20" s="333" t="s">
        <v>267</v>
      </c>
      <c r="O20" s="333" t="s">
        <v>237</v>
      </c>
      <c r="P20" s="333" t="s">
        <v>237</v>
      </c>
      <c r="Q20" s="335">
        <v>0</v>
      </c>
      <c r="R20" s="335">
        <v>0</v>
      </c>
      <c r="U20" s="333" t="s">
        <v>258</v>
      </c>
      <c r="V20" s="333" t="s">
        <v>554</v>
      </c>
    </row>
    <row r="21" spans="1:22" x14ac:dyDescent="0.25">
      <c r="A21" s="333" t="s">
        <v>27</v>
      </c>
      <c r="B21" s="333" t="s">
        <v>32</v>
      </c>
      <c r="G21" s="333" t="s">
        <v>52</v>
      </c>
      <c r="H21" s="333" t="s">
        <v>51</v>
      </c>
      <c r="I21" s="333" t="s">
        <v>500</v>
      </c>
      <c r="J21" s="146">
        <v>41275</v>
      </c>
      <c r="K21" s="335">
        <v>38</v>
      </c>
      <c r="M21" s="333" t="s">
        <v>252</v>
      </c>
      <c r="N21" s="333" t="s">
        <v>253</v>
      </c>
      <c r="O21" s="333" t="s">
        <v>237</v>
      </c>
      <c r="P21" s="333" t="s">
        <v>237</v>
      </c>
      <c r="Q21" s="335">
        <v>205</v>
      </c>
      <c r="R21" s="335">
        <v>1110</v>
      </c>
      <c r="U21" s="333" t="s">
        <v>266</v>
      </c>
      <c r="V21" s="333" t="s">
        <v>554</v>
      </c>
    </row>
    <row r="22" spans="1:22" x14ac:dyDescent="0.25">
      <c r="A22" s="333" t="s">
        <v>27</v>
      </c>
      <c r="B22" s="333" t="s">
        <v>364</v>
      </c>
      <c r="G22" s="333" t="s">
        <v>58</v>
      </c>
      <c r="H22" s="333" t="s">
        <v>57</v>
      </c>
      <c r="I22" s="333" t="s">
        <v>843</v>
      </c>
      <c r="J22" s="333" t="s">
        <v>1585</v>
      </c>
      <c r="K22" s="335">
        <v>0</v>
      </c>
      <c r="M22" s="333" t="s">
        <v>254</v>
      </c>
      <c r="N22" s="333" t="s">
        <v>255</v>
      </c>
      <c r="O22" s="333" t="s">
        <v>237</v>
      </c>
      <c r="P22" s="333" t="s">
        <v>237</v>
      </c>
      <c r="Q22" s="335">
        <v>99</v>
      </c>
      <c r="R22" s="335">
        <v>454</v>
      </c>
      <c r="U22" s="333" t="s">
        <v>252</v>
      </c>
      <c r="V22" s="333" t="s">
        <v>554</v>
      </c>
    </row>
    <row r="23" spans="1:22" x14ac:dyDescent="0.25">
      <c r="A23" s="333" t="s">
        <v>27</v>
      </c>
      <c r="B23" s="333" t="s">
        <v>34</v>
      </c>
      <c r="G23" s="333" t="s">
        <v>60</v>
      </c>
      <c r="H23" s="333" t="s">
        <v>59</v>
      </c>
      <c r="I23" s="333" t="s">
        <v>843</v>
      </c>
      <c r="J23" s="146">
        <v>41275</v>
      </c>
      <c r="K23" s="335">
        <v>0</v>
      </c>
      <c r="M23" s="333" t="s">
        <v>262</v>
      </c>
      <c r="N23" s="333" t="s">
        <v>263</v>
      </c>
      <c r="O23" s="333" t="s">
        <v>237</v>
      </c>
      <c r="P23" s="333" t="s">
        <v>237</v>
      </c>
      <c r="Q23" s="335">
        <v>21</v>
      </c>
      <c r="R23" s="335">
        <v>98</v>
      </c>
      <c r="U23" s="333" t="s">
        <v>254</v>
      </c>
      <c r="V23" s="333" t="s">
        <v>554</v>
      </c>
    </row>
    <row r="24" spans="1:22" x14ac:dyDescent="0.25">
      <c r="A24" s="333" t="s">
        <v>27</v>
      </c>
      <c r="B24" s="333" t="s">
        <v>365</v>
      </c>
      <c r="G24" s="333" t="s">
        <v>358</v>
      </c>
      <c r="H24" s="333" t="s">
        <v>357</v>
      </c>
      <c r="I24" s="333" t="s">
        <v>843</v>
      </c>
      <c r="J24" s="333" t="s">
        <v>1585</v>
      </c>
      <c r="K24" s="335">
        <v>0</v>
      </c>
      <c r="M24" s="333" t="s">
        <v>264</v>
      </c>
      <c r="N24" s="333" t="s">
        <v>265</v>
      </c>
      <c r="O24" s="333" t="s">
        <v>237</v>
      </c>
      <c r="P24" s="333" t="s">
        <v>237</v>
      </c>
      <c r="Q24" s="335">
        <v>14</v>
      </c>
      <c r="R24" s="335">
        <v>71</v>
      </c>
      <c r="U24" s="333" t="s">
        <v>262</v>
      </c>
      <c r="V24" s="333" t="s">
        <v>554</v>
      </c>
    </row>
    <row r="25" spans="1:22" x14ac:dyDescent="0.25">
      <c r="A25" s="333" t="s">
        <v>27</v>
      </c>
      <c r="B25" s="333" t="s">
        <v>864</v>
      </c>
      <c r="G25" s="333" t="s">
        <v>334</v>
      </c>
      <c r="H25" s="333" t="s">
        <v>333</v>
      </c>
      <c r="I25" s="333" t="s">
        <v>500</v>
      </c>
      <c r="J25" s="146">
        <v>40848</v>
      </c>
      <c r="K25" s="335">
        <v>161</v>
      </c>
      <c r="M25" s="333" t="s">
        <v>282</v>
      </c>
      <c r="N25" s="333" t="s">
        <v>283</v>
      </c>
      <c r="O25" s="333" t="s">
        <v>237</v>
      </c>
      <c r="P25" s="333" t="s">
        <v>237</v>
      </c>
      <c r="Q25" s="335">
        <v>7</v>
      </c>
      <c r="R25" s="335">
        <v>37</v>
      </c>
      <c r="U25" s="333" t="s">
        <v>264</v>
      </c>
      <c r="V25" s="333" t="s">
        <v>554</v>
      </c>
    </row>
    <row r="26" spans="1:22" x14ac:dyDescent="0.25">
      <c r="A26" s="333" t="s">
        <v>27</v>
      </c>
      <c r="B26" s="333" t="s">
        <v>37</v>
      </c>
      <c r="G26" s="333" t="s">
        <v>188</v>
      </c>
      <c r="H26" s="333" t="s">
        <v>187</v>
      </c>
      <c r="I26" s="333" t="s">
        <v>500</v>
      </c>
      <c r="J26" s="146">
        <v>40817</v>
      </c>
      <c r="K26" s="335">
        <v>418</v>
      </c>
      <c r="M26" s="333" t="s">
        <v>241</v>
      </c>
      <c r="N26" s="333" t="s">
        <v>1244</v>
      </c>
      <c r="O26" s="333" t="s">
        <v>237</v>
      </c>
      <c r="P26" s="333" t="s">
        <v>237</v>
      </c>
      <c r="Q26" s="335">
        <v>54</v>
      </c>
      <c r="R26" s="335">
        <v>259</v>
      </c>
      <c r="U26" s="333" t="s">
        <v>282</v>
      </c>
      <c r="V26" s="333" t="s">
        <v>554</v>
      </c>
    </row>
    <row r="27" spans="1:22" x14ac:dyDescent="0.25">
      <c r="A27" s="333" t="s">
        <v>27</v>
      </c>
      <c r="B27" s="333" t="s">
        <v>1019</v>
      </c>
      <c r="G27" s="333" t="s">
        <v>1034</v>
      </c>
      <c r="H27" s="333" t="s">
        <v>1035</v>
      </c>
      <c r="I27" s="333" t="s">
        <v>843</v>
      </c>
      <c r="J27" s="146">
        <v>40817</v>
      </c>
      <c r="K27" s="335"/>
      <c r="M27" s="333" t="s">
        <v>270</v>
      </c>
      <c r="N27" s="333" t="s">
        <v>271</v>
      </c>
      <c r="O27" s="333" t="s">
        <v>237</v>
      </c>
      <c r="P27" s="333" t="s">
        <v>237</v>
      </c>
      <c r="Q27" s="335">
        <v>68</v>
      </c>
      <c r="R27" s="335">
        <v>333</v>
      </c>
      <c r="U27" s="333" t="s">
        <v>241</v>
      </c>
      <c r="V27" s="333" t="s">
        <v>554</v>
      </c>
    </row>
    <row r="28" spans="1:22" x14ac:dyDescent="0.25">
      <c r="A28" s="333" t="s">
        <v>527</v>
      </c>
      <c r="B28" s="333" t="s">
        <v>128</v>
      </c>
      <c r="G28" s="333" t="s">
        <v>72</v>
      </c>
      <c r="H28" s="333" t="s">
        <v>71</v>
      </c>
      <c r="I28" s="333" t="s">
        <v>500</v>
      </c>
      <c r="J28" s="146">
        <v>41487</v>
      </c>
      <c r="K28" s="335">
        <v>6</v>
      </c>
      <c r="M28" s="333" t="s">
        <v>341</v>
      </c>
      <c r="N28" s="333" t="s">
        <v>342</v>
      </c>
      <c r="O28" s="333" t="s">
        <v>310</v>
      </c>
      <c r="P28" s="333" t="s">
        <v>310</v>
      </c>
      <c r="Q28" s="335">
        <v>64</v>
      </c>
      <c r="R28" s="335">
        <v>324</v>
      </c>
      <c r="U28" s="333" t="s">
        <v>270</v>
      </c>
      <c r="V28" s="333" t="s">
        <v>554</v>
      </c>
    </row>
    <row r="29" spans="1:22" x14ac:dyDescent="0.25">
      <c r="A29" s="333" t="s">
        <v>527</v>
      </c>
      <c r="B29" s="333" t="s">
        <v>62</v>
      </c>
      <c r="G29" s="333" t="s">
        <v>70</v>
      </c>
      <c r="H29" s="333" t="s">
        <v>69</v>
      </c>
      <c r="I29" s="333" t="s">
        <v>843</v>
      </c>
      <c r="J29" s="333" t="s">
        <v>1585</v>
      </c>
      <c r="K29" s="335">
        <v>0</v>
      </c>
      <c r="M29" s="333" t="s">
        <v>350</v>
      </c>
      <c r="N29" s="333" t="s">
        <v>351</v>
      </c>
      <c r="O29" s="333" t="s">
        <v>310</v>
      </c>
      <c r="P29" s="333" t="s">
        <v>310</v>
      </c>
      <c r="Q29" s="335">
        <v>87</v>
      </c>
      <c r="R29" s="335">
        <v>479</v>
      </c>
      <c r="U29" s="333" t="s">
        <v>341</v>
      </c>
      <c r="V29" s="333" t="s">
        <v>554</v>
      </c>
    </row>
    <row r="30" spans="1:22" x14ac:dyDescent="0.25">
      <c r="A30" s="333" t="s">
        <v>527</v>
      </c>
      <c r="B30" s="333" t="s">
        <v>120</v>
      </c>
      <c r="G30" s="333" t="s">
        <v>28</v>
      </c>
      <c r="H30" s="333" t="s">
        <v>30</v>
      </c>
      <c r="I30" s="333" t="s">
        <v>500</v>
      </c>
      <c r="J30" s="146">
        <v>41244</v>
      </c>
      <c r="K30" s="335">
        <v>110</v>
      </c>
      <c r="M30" s="333" t="s">
        <v>319</v>
      </c>
      <c r="N30" s="333" t="s">
        <v>320</v>
      </c>
      <c r="O30" s="333" t="s">
        <v>310</v>
      </c>
      <c r="P30" s="333" t="s">
        <v>310</v>
      </c>
      <c r="Q30" s="335">
        <v>27</v>
      </c>
      <c r="R30" s="335">
        <v>145</v>
      </c>
      <c r="U30" s="333" t="s">
        <v>350</v>
      </c>
      <c r="V30" s="333" t="s">
        <v>554</v>
      </c>
    </row>
    <row r="31" spans="1:22" x14ac:dyDescent="0.25">
      <c r="A31" s="333" t="s">
        <v>527</v>
      </c>
      <c r="B31" s="333" t="s">
        <v>41</v>
      </c>
      <c r="G31" s="333" t="s">
        <v>10</v>
      </c>
      <c r="H31" s="333" t="s">
        <v>9</v>
      </c>
      <c r="I31" s="333" t="s">
        <v>843</v>
      </c>
      <c r="J31" s="333" t="s">
        <v>1585</v>
      </c>
      <c r="K31" s="335">
        <v>0</v>
      </c>
      <c r="M31" s="333" t="s">
        <v>312</v>
      </c>
      <c r="N31" s="333" t="s">
        <v>313</v>
      </c>
      <c r="O31" s="333" t="s">
        <v>310</v>
      </c>
      <c r="P31" s="333" t="s">
        <v>310</v>
      </c>
      <c r="Q31" s="335">
        <v>99</v>
      </c>
      <c r="R31" s="335">
        <v>472</v>
      </c>
      <c r="U31" s="333" t="s">
        <v>319</v>
      </c>
      <c r="V31" s="333" t="s">
        <v>554</v>
      </c>
    </row>
    <row r="32" spans="1:22" x14ac:dyDescent="0.25">
      <c r="A32" s="333" t="s">
        <v>527</v>
      </c>
      <c r="B32" s="333" t="s">
        <v>43</v>
      </c>
      <c r="G32" s="333" t="s">
        <v>1313</v>
      </c>
      <c r="H32" s="333" t="s">
        <v>1314</v>
      </c>
      <c r="I32" s="333" t="s">
        <v>500</v>
      </c>
      <c r="J32" s="333" t="s">
        <v>1585</v>
      </c>
      <c r="K32" s="335"/>
      <c r="M32" s="333" t="s">
        <v>329</v>
      </c>
      <c r="N32" s="333" t="s">
        <v>330</v>
      </c>
      <c r="O32" s="333" t="s">
        <v>310</v>
      </c>
      <c r="P32" s="333" t="s">
        <v>310</v>
      </c>
      <c r="Q32" s="335">
        <v>223</v>
      </c>
      <c r="R32" s="335">
        <v>1230</v>
      </c>
      <c r="U32" s="333" t="s">
        <v>312</v>
      </c>
      <c r="V32" s="333" t="s">
        <v>554</v>
      </c>
    </row>
    <row r="33" spans="1:22" x14ac:dyDescent="0.25">
      <c r="A33" s="333" t="s">
        <v>527</v>
      </c>
      <c r="B33" s="333" t="s">
        <v>39</v>
      </c>
      <c r="G33" s="333" t="s">
        <v>76</v>
      </c>
      <c r="H33" s="333" t="s">
        <v>75</v>
      </c>
      <c r="I33" s="333" t="s">
        <v>500</v>
      </c>
      <c r="J33" s="146">
        <v>41275</v>
      </c>
      <c r="K33" s="335">
        <v>66</v>
      </c>
      <c r="M33" s="333" t="s">
        <v>337</v>
      </c>
      <c r="N33" s="333" t="s">
        <v>338</v>
      </c>
      <c r="O33" s="333" t="s">
        <v>310</v>
      </c>
      <c r="P33" s="333" t="s">
        <v>310</v>
      </c>
      <c r="Q33" s="335">
        <v>31</v>
      </c>
      <c r="R33" s="335">
        <v>172</v>
      </c>
      <c r="U33" s="333" t="s">
        <v>329</v>
      </c>
      <c r="V33" s="333" t="s">
        <v>554</v>
      </c>
    </row>
    <row r="34" spans="1:22" x14ac:dyDescent="0.25">
      <c r="A34" s="333" t="s">
        <v>527</v>
      </c>
      <c r="B34" s="333" t="s">
        <v>48</v>
      </c>
      <c r="G34" s="333" t="s">
        <v>243</v>
      </c>
      <c r="H34" s="333" t="s">
        <v>242</v>
      </c>
      <c r="I34" s="333" t="s">
        <v>500</v>
      </c>
      <c r="J34" s="146">
        <v>40695</v>
      </c>
      <c r="K34" s="335">
        <v>6</v>
      </c>
      <c r="M34" s="333" t="s">
        <v>327</v>
      </c>
      <c r="N34" s="333" t="s">
        <v>328</v>
      </c>
      <c r="O34" s="333" t="s">
        <v>310</v>
      </c>
      <c r="P34" s="333" t="s">
        <v>310</v>
      </c>
      <c r="Q34" s="335">
        <v>149</v>
      </c>
      <c r="R34" s="335">
        <v>841</v>
      </c>
      <c r="U34" s="333" t="s">
        <v>337</v>
      </c>
      <c r="V34" s="333" t="s">
        <v>554</v>
      </c>
    </row>
    <row r="35" spans="1:22" x14ac:dyDescent="0.25">
      <c r="A35" s="333" t="s">
        <v>527</v>
      </c>
      <c r="B35" s="333" t="s">
        <v>50</v>
      </c>
      <c r="G35" s="333" t="s">
        <v>245</v>
      </c>
      <c r="H35" s="333" t="s">
        <v>244</v>
      </c>
      <c r="I35" s="333" t="s">
        <v>500</v>
      </c>
      <c r="J35" s="146">
        <v>40695</v>
      </c>
      <c r="K35" s="335">
        <v>6</v>
      </c>
      <c r="M35" s="333" t="s">
        <v>317</v>
      </c>
      <c r="N35" s="333" t="s">
        <v>318</v>
      </c>
      <c r="O35" s="333" t="s">
        <v>310</v>
      </c>
      <c r="P35" s="333" t="s">
        <v>310</v>
      </c>
      <c r="Q35" s="335">
        <v>91</v>
      </c>
      <c r="R35" s="335">
        <v>329</v>
      </c>
      <c r="U35" s="333" t="s">
        <v>327</v>
      </c>
      <c r="V35" s="333" t="s">
        <v>554</v>
      </c>
    </row>
    <row r="36" spans="1:22" x14ac:dyDescent="0.25">
      <c r="A36" s="333" t="s">
        <v>527</v>
      </c>
      <c r="B36" s="333" t="s">
        <v>52</v>
      </c>
      <c r="G36" s="333" t="s">
        <v>247</v>
      </c>
      <c r="H36" s="333" t="s">
        <v>246</v>
      </c>
      <c r="I36" s="333" t="s">
        <v>500</v>
      </c>
      <c r="J36" s="146">
        <v>40695</v>
      </c>
      <c r="K36" s="335">
        <v>20</v>
      </c>
      <c r="M36" s="333" t="s">
        <v>343</v>
      </c>
      <c r="N36" s="333" t="s">
        <v>344</v>
      </c>
      <c r="O36" s="333" t="s">
        <v>310</v>
      </c>
      <c r="P36" s="333" t="s">
        <v>310</v>
      </c>
      <c r="Q36" s="335">
        <v>18</v>
      </c>
      <c r="R36" s="335">
        <v>82</v>
      </c>
      <c r="U36" s="333" t="s">
        <v>317</v>
      </c>
      <c r="V36" s="333" t="s">
        <v>554</v>
      </c>
    </row>
    <row r="37" spans="1:22" x14ac:dyDescent="0.25">
      <c r="A37" s="333" t="s">
        <v>527</v>
      </c>
      <c r="B37" s="333" t="s">
        <v>58</v>
      </c>
      <c r="G37" s="333" t="s">
        <v>192</v>
      </c>
      <c r="H37" s="333" t="s">
        <v>191</v>
      </c>
      <c r="I37" s="333" t="s">
        <v>500</v>
      </c>
      <c r="J37" s="146">
        <v>40756</v>
      </c>
      <c r="K37" s="335">
        <v>109</v>
      </c>
      <c r="M37" s="333" t="s">
        <v>360</v>
      </c>
      <c r="N37" s="333" t="s">
        <v>1247</v>
      </c>
      <c r="O37" s="333" t="s">
        <v>310</v>
      </c>
      <c r="P37" s="333" t="s">
        <v>310</v>
      </c>
      <c r="Q37" s="335">
        <v>0</v>
      </c>
      <c r="R37" s="335">
        <v>0</v>
      </c>
      <c r="U37" s="333" t="s">
        <v>343</v>
      </c>
      <c r="V37" s="333" t="s">
        <v>554</v>
      </c>
    </row>
    <row r="38" spans="1:22" x14ac:dyDescent="0.25">
      <c r="A38" s="333" t="s">
        <v>527</v>
      </c>
      <c r="B38" s="333" t="s">
        <v>60</v>
      </c>
      <c r="G38" s="333" t="s">
        <v>78</v>
      </c>
      <c r="H38" s="333" t="s">
        <v>77</v>
      </c>
      <c r="I38" s="333" t="s">
        <v>843</v>
      </c>
      <c r="J38" s="333" t="s">
        <v>1585</v>
      </c>
      <c r="K38" s="335">
        <v>0</v>
      </c>
      <c r="M38" s="333" t="s">
        <v>359</v>
      </c>
      <c r="N38" s="333" t="s">
        <v>1246</v>
      </c>
      <c r="O38" s="333" t="s">
        <v>310</v>
      </c>
      <c r="P38" s="333" t="s">
        <v>310</v>
      </c>
      <c r="Q38" s="335">
        <v>0</v>
      </c>
      <c r="R38" s="335">
        <v>0</v>
      </c>
      <c r="U38" s="333" t="s">
        <v>360</v>
      </c>
      <c r="V38" s="333" t="s">
        <v>554</v>
      </c>
    </row>
    <row r="39" spans="1:22" x14ac:dyDescent="0.25">
      <c r="A39" s="333" t="s">
        <v>527</v>
      </c>
      <c r="B39" s="333" t="s">
        <v>72</v>
      </c>
      <c r="G39" s="333" t="s">
        <v>82</v>
      </c>
      <c r="H39" s="333" t="s">
        <v>81</v>
      </c>
      <c r="I39" s="333" t="s">
        <v>843</v>
      </c>
      <c r="J39" s="333" t="s">
        <v>1585</v>
      </c>
      <c r="K39" s="335">
        <v>0</v>
      </c>
      <c r="M39" s="333" t="s">
        <v>309</v>
      </c>
      <c r="N39" s="333" t="s">
        <v>311</v>
      </c>
      <c r="O39" s="333" t="s">
        <v>310</v>
      </c>
      <c r="P39" s="333" t="s">
        <v>310</v>
      </c>
      <c r="Q39" s="335"/>
      <c r="R39" s="335"/>
      <c r="U39" s="333" t="s">
        <v>359</v>
      </c>
      <c r="V39" s="333" t="s">
        <v>554</v>
      </c>
    </row>
    <row r="40" spans="1:22" x14ac:dyDescent="0.25">
      <c r="A40" s="333" t="s">
        <v>527</v>
      </c>
      <c r="B40" s="333" t="s">
        <v>70</v>
      </c>
      <c r="G40" s="333" t="s">
        <v>930</v>
      </c>
      <c r="H40" s="333" t="s">
        <v>931</v>
      </c>
      <c r="I40" s="333" t="s">
        <v>843</v>
      </c>
      <c r="J40" s="333" t="s">
        <v>1585</v>
      </c>
      <c r="K40" s="335">
        <v>0</v>
      </c>
      <c r="M40" s="333" t="s">
        <v>348</v>
      </c>
      <c r="N40" s="333" t="s">
        <v>349</v>
      </c>
      <c r="O40" s="333" t="s">
        <v>310</v>
      </c>
      <c r="P40" s="333" t="s">
        <v>310</v>
      </c>
      <c r="Q40" s="335">
        <v>44</v>
      </c>
      <c r="R40" s="335">
        <v>182</v>
      </c>
      <c r="U40" s="333" t="s">
        <v>309</v>
      </c>
      <c r="V40" s="333" t="s">
        <v>986</v>
      </c>
    </row>
    <row r="41" spans="1:22" x14ac:dyDescent="0.25">
      <c r="A41" s="333" t="s">
        <v>527</v>
      </c>
      <c r="B41" s="333" t="s">
        <v>76</v>
      </c>
      <c r="G41" s="333" t="s">
        <v>932</v>
      </c>
      <c r="H41" s="333" t="s">
        <v>933</v>
      </c>
      <c r="I41" s="333" t="s">
        <v>843</v>
      </c>
      <c r="J41" s="333" t="s">
        <v>1585</v>
      </c>
      <c r="K41" s="335">
        <v>0</v>
      </c>
      <c r="M41" s="333" t="s">
        <v>315</v>
      </c>
      <c r="N41" s="333" t="s">
        <v>316</v>
      </c>
      <c r="O41" s="333" t="s">
        <v>310</v>
      </c>
      <c r="P41" s="333" t="s">
        <v>310</v>
      </c>
      <c r="Q41" s="335">
        <v>70</v>
      </c>
      <c r="R41" s="335">
        <v>288</v>
      </c>
      <c r="U41" s="333" t="s">
        <v>348</v>
      </c>
      <c r="V41" s="333" t="s">
        <v>554</v>
      </c>
    </row>
    <row r="42" spans="1:22" x14ac:dyDescent="0.25">
      <c r="A42" s="333" t="s">
        <v>527</v>
      </c>
      <c r="B42" s="333" t="s">
        <v>78</v>
      </c>
      <c r="G42" s="333" t="s">
        <v>32</v>
      </c>
      <c r="H42" s="333" t="s">
        <v>31</v>
      </c>
      <c r="I42" s="333" t="s">
        <v>843</v>
      </c>
      <c r="J42" s="333" t="s">
        <v>1585</v>
      </c>
      <c r="K42" s="335"/>
      <c r="M42" s="333" t="s">
        <v>325</v>
      </c>
      <c r="N42" s="333" t="s">
        <v>326</v>
      </c>
      <c r="O42" s="333" t="s">
        <v>310</v>
      </c>
      <c r="P42" s="333" t="s">
        <v>310</v>
      </c>
      <c r="Q42" s="335">
        <v>45</v>
      </c>
      <c r="R42" s="335">
        <v>152</v>
      </c>
      <c r="U42" s="333" t="s">
        <v>315</v>
      </c>
      <c r="V42" s="333" t="s">
        <v>554</v>
      </c>
    </row>
    <row r="43" spans="1:22" x14ac:dyDescent="0.25">
      <c r="A43" s="333" t="s">
        <v>527</v>
      </c>
      <c r="B43" s="333" t="s">
        <v>82</v>
      </c>
      <c r="G43" s="333" t="s">
        <v>1495</v>
      </c>
      <c r="H43" s="333" t="s">
        <v>1483</v>
      </c>
      <c r="I43" s="333" t="s">
        <v>843</v>
      </c>
      <c r="J43" s="333" t="s">
        <v>1585</v>
      </c>
      <c r="K43" s="335"/>
      <c r="M43" s="333" t="s">
        <v>323</v>
      </c>
      <c r="N43" s="333" t="s">
        <v>324</v>
      </c>
      <c r="O43" s="333" t="s">
        <v>310</v>
      </c>
      <c r="P43" s="333" t="s">
        <v>310</v>
      </c>
      <c r="Q43" s="335">
        <v>471</v>
      </c>
      <c r="R43" s="335">
        <v>2389</v>
      </c>
      <c r="U43" s="333" t="s">
        <v>325</v>
      </c>
      <c r="V43" s="333" t="s">
        <v>554</v>
      </c>
    </row>
    <row r="44" spans="1:22" x14ac:dyDescent="0.25">
      <c r="A44" s="333" t="s">
        <v>527</v>
      </c>
      <c r="B44" s="333" t="s">
        <v>88</v>
      </c>
      <c r="G44" s="333" t="s">
        <v>313</v>
      </c>
      <c r="H44" s="333" t="s">
        <v>312</v>
      </c>
      <c r="I44" s="333" t="s">
        <v>500</v>
      </c>
      <c r="J44" s="146">
        <v>40695</v>
      </c>
      <c r="K44" s="335">
        <v>99</v>
      </c>
      <c r="M44" s="333" t="s">
        <v>346</v>
      </c>
      <c r="N44" s="333" t="s">
        <v>347</v>
      </c>
      <c r="O44" s="333" t="s">
        <v>310</v>
      </c>
      <c r="P44" s="333" t="s">
        <v>310</v>
      </c>
      <c r="Q44" s="335">
        <v>182</v>
      </c>
      <c r="R44" s="335">
        <v>974</v>
      </c>
      <c r="U44" s="333" t="s">
        <v>323</v>
      </c>
      <c r="V44" s="333" t="s">
        <v>554</v>
      </c>
    </row>
    <row r="45" spans="1:22" x14ac:dyDescent="0.25">
      <c r="A45" s="333" t="s">
        <v>527</v>
      </c>
      <c r="B45" s="333" t="s">
        <v>44</v>
      </c>
      <c r="G45" s="333" t="s">
        <v>336</v>
      </c>
      <c r="H45" s="333" t="s">
        <v>335</v>
      </c>
      <c r="I45" s="333" t="s">
        <v>500</v>
      </c>
      <c r="J45" s="146">
        <v>40878</v>
      </c>
      <c r="K45" s="335">
        <v>40</v>
      </c>
      <c r="M45" s="333" t="s">
        <v>30</v>
      </c>
      <c r="N45" s="333" t="s">
        <v>28</v>
      </c>
      <c r="O45" s="333" t="s">
        <v>27</v>
      </c>
      <c r="P45" s="333" t="s">
        <v>27</v>
      </c>
      <c r="Q45" s="335">
        <v>110</v>
      </c>
      <c r="R45" s="335">
        <v>516</v>
      </c>
      <c r="U45" s="333" t="s">
        <v>346</v>
      </c>
      <c r="V45" s="333" t="s">
        <v>554</v>
      </c>
    </row>
    <row r="46" spans="1:22" x14ac:dyDescent="0.25">
      <c r="A46" s="333" t="s">
        <v>527</v>
      </c>
      <c r="B46" s="333" t="s">
        <v>56</v>
      </c>
      <c r="G46" s="333" t="s">
        <v>88</v>
      </c>
      <c r="H46" s="333" t="s">
        <v>87</v>
      </c>
      <c r="I46" s="333" t="s">
        <v>500</v>
      </c>
      <c r="J46" s="146">
        <v>41183</v>
      </c>
      <c r="K46" s="335">
        <v>13</v>
      </c>
      <c r="M46" s="333" t="s">
        <v>29</v>
      </c>
      <c r="N46" s="333" t="s">
        <v>364</v>
      </c>
      <c r="O46" s="333" t="s">
        <v>27</v>
      </c>
      <c r="P46" s="333" t="s">
        <v>27</v>
      </c>
      <c r="Q46" s="335">
        <v>155</v>
      </c>
      <c r="R46" s="335">
        <v>768</v>
      </c>
      <c r="U46" s="333" t="s">
        <v>30</v>
      </c>
      <c r="V46" s="333" t="s">
        <v>554</v>
      </c>
    </row>
    <row r="47" spans="1:22" x14ac:dyDescent="0.25">
      <c r="A47" s="333" t="s">
        <v>527</v>
      </c>
      <c r="B47" s="333" t="s">
        <v>90</v>
      </c>
      <c r="G47" s="333" t="s">
        <v>44</v>
      </c>
      <c r="H47" s="333" t="s">
        <v>45</v>
      </c>
      <c r="I47" s="333" t="s">
        <v>500</v>
      </c>
      <c r="J47" s="146">
        <v>41122</v>
      </c>
      <c r="K47" s="335">
        <v>5</v>
      </c>
      <c r="M47" s="333" t="s">
        <v>36</v>
      </c>
      <c r="N47" s="333" t="s">
        <v>37</v>
      </c>
      <c r="O47" s="333" t="s">
        <v>27</v>
      </c>
      <c r="P47" s="333" t="s">
        <v>27</v>
      </c>
      <c r="Q47" s="335">
        <v>0</v>
      </c>
      <c r="R47" s="335">
        <v>0</v>
      </c>
      <c r="U47" s="333" t="s">
        <v>29</v>
      </c>
      <c r="V47" s="333" t="s">
        <v>554</v>
      </c>
    </row>
    <row r="48" spans="1:22" x14ac:dyDescent="0.25">
      <c r="A48" s="333" t="s">
        <v>527</v>
      </c>
      <c r="B48" s="333" t="s">
        <v>92</v>
      </c>
      <c r="G48" s="333" t="s">
        <v>56</v>
      </c>
      <c r="H48" s="333" t="s">
        <v>55</v>
      </c>
      <c r="I48" s="333" t="s">
        <v>843</v>
      </c>
      <c r="J48" s="333" t="s">
        <v>1585</v>
      </c>
      <c r="K48" s="335">
        <v>0</v>
      </c>
      <c r="M48" s="333" t="s">
        <v>33</v>
      </c>
      <c r="N48" s="333" t="s">
        <v>34</v>
      </c>
      <c r="O48" s="333" t="s">
        <v>27</v>
      </c>
      <c r="P48" s="333" t="s">
        <v>27</v>
      </c>
      <c r="Q48" s="335"/>
      <c r="R48" s="335"/>
      <c r="U48" s="333" t="s">
        <v>36</v>
      </c>
      <c r="V48" s="333" t="s">
        <v>554</v>
      </c>
    </row>
    <row r="49" spans="1:22" x14ac:dyDescent="0.25">
      <c r="A49" s="333" t="s">
        <v>527</v>
      </c>
      <c r="B49" s="333" t="s">
        <v>94</v>
      </c>
      <c r="G49" s="333" t="s">
        <v>1157</v>
      </c>
      <c r="H49" s="333" t="s">
        <v>1159</v>
      </c>
      <c r="I49" s="333" t="s">
        <v>500</v>
      </c>
      <c r="J49" s="146">
        <v>41275</v>
      </c>
      <c r="K49" s="335">
        <v>36</v>
      </c>
      <c r="M49" s="333" t="s">
        <v>31</v>
      </c>
      <c r="N49" s="333" t="s">
        <v>32</v>
      </c>
      <c r="O49" s="333" t="s">
        <v>27</v>
      </c>
      <c r="P49" s="333" t="s">
        <v>27</v>
      </c>
      <c r="Q49" s="335"/>
      <c r="R49" s="335"/>
      <c r="U49" s="333" t="s">
        <v>33</v>
      </c>
      <c r="V49" s="333" t="s">
        <v>12</v>
      </c>
    </row>
    <row r="50" spans="1:22" x14ac:dyDescent="0.25">
      <c r="A50" s="333" t="s">
        <v>527</v>
      </c>
      <c r="B50" s="333" t="s">
        <v>54</v>
      </c>
      <c r="G50" s="333" t="s">
        <v>12</v>
      </c>
      <c r="H50" s="333" t="s">
        <v>11</v>
      </c>
      <c r="I50" s="333" t="s">
        <v>500</v>
      </c>
      <c r="J50" s="333" t="s">
        <v>1585</v>
      </c>
      <c r="K50" s="335">
        <v>197</v>
      </c>
      <c r="M50" s="333" t="s">
        <v>21</v>
      </c>
      <c r="N50" s="333" t="s">
        <v>22</v>
      </c>
      <c r="O50" s="333" t="s">
        <v>5</v>
      </c>
      <c r="P50" s="333" t="s">
        <v>5</v>
      </c>
      <c r="Q50" s="335">
        <v>626</v>
      </c>
      <c r="R50" s="335">
        <v>3822</v>
      </c>
      <c r="U50" s="333" t="s">
        <v>31</v>
      </c>
      <c r="V50" s="333" t="s">
        <v>554</v>
      </c>
    </row>
    <row r="51" spans="1:22" x14ac:dyDescent="0.25">
      <c r="A51" s="333" t="s">
        <v>527</v>
      </c>
      <c r="B51" s="333" t="s">
        <v>66</v>
      </c>
      <c r="G51" s="333" t="s">
        <v>12</v>
      </c>
      <c r="H51" s="333" t="s">
        <v>390</v>
      </c>
      <c r="I51" s="333" t="s">
        <v>500</v>
      </c>
      <c r="J51" s="333" t="s">
        <v>1585</v>
      </c>
      <c r="K51" s="335">
        <v>73</v>
      </c>
      <c r="M51" s="333" t="s">
        <v>15</v>
      </c>
      <c r="N51" s="333" t="s">
        <v>16</v>
      </c>
      <c r="O51" s="333" t="s">
        <v>5</v>
      </c>
      <c r="P51" s="333" t="s">
        <v>5</v>
      </c>
      <c r="Q51" s="335">
        <v>0</v>
      </c>
      <c r="R51" s="335">
        <v>0</v>
      </c>
      <c r="U51" s="333" t="s">
        <v>21</v>
      </c>
      <c r="V51" s="333" t="s">
        <v>554</v>
      </c>
    </row>
    <row r="52" spans="1:22" x14ac:dyDescent="0.25">
      <c r="A52" s="333" t="s">
        <v>527</v>
      </c>
      <c r="B52" s="333" t="s">
        <v>80</v>
      </c>
      <c r="G52" s="333" t="s">
        <v>12</v>
      </c>
      <c r="H52" s="333" t="s">
        <v>391</v>
      </c>
      <c r="I52" s="333" t="s">
        <v>500</v>
      </c>
      <c r="J52" s="333" t="s">
        <v>1585</v>
      </c>
      <c r="K52" s="335">
        <v>226</v>
      </c>
      <c r="M52" s="333" t="s">
        <v>17</v>
      </c>
      <c r="N52" s="333" t="s">
        <v>18</v>
      </c>
      <c r="O52" s="333" t="s">
        <v>5</v>
      </c>
      <c r="P52" s="333" t="s">
        <v>5</v>
      </c>
      <c r="Q52" s="335">
        <v>116</v>
      </c>
      <c r="R52" s="335">
        <v>659</v>
      </c>
      <c r="U52" s="333" t="s">
        <v>15</v>
      </c>
      <c r="V52" s="333" t="s">
        <v>554</v>
      </c>
    </row>
    <row r="53" spans="1:22" x14ac:dyDescent="0.25">
      <c r="A53" s="333" t="s">
        <v>527</v>
      </c>
      <c r="B53" s="333" t="s">
        <v>102</v>
      </c>
      <c r="G53" s="333" t="s">
        <v>12</v>
      </c>
      <c r="H53" s="333" t="s">
        <v>393</v>
      </c>
      <c r="I53" s="333" t="s">
        <v>500</v>
      </c>
      <c r="J53" s="333" t="s">
        <v>1585</v>
      </c>
      <c r="K53" s="335">
        <v>9</v>
      </c>
      <c r="M53" s="333" t="s">
        <v>4</v>
      </c>
      <c r="N53" s="333" t="s">
        <v>6</v>
      </c>
      <c r="O53" s="333" t="s">
        <v>5</v>
      </c>
      <c r="P53" s="333" t="s">
        <v>5</v>
      </c>
      <c r="Q53" s="335">
        <v>257</v>
      </c>
      <c r="R53" s="335">
        <v>1266</v>
      </c>
      <c r="U53" s="333" t="s">
        <v>17</v>
      </c>
      <c r="V53" s="333" t="s">
        <v>554</v>
      </c>
    </row>
    <row r="54" spans="1:22" x14ac:dyDescent="0.25">
      <c r="A54" s="333" t="s">
        <v>527</v>
      </c>
      <c r="B54" s="333" t="s">
        <v>106</v>
      </c>
      <c r="G54" s="333" t="s">
        <v>169</v>
      </c>
      <c r="H54" s="333" t="s">
        <v>168</v>
      </c>
      <c r="I54" s="333" t="s">
        <v>843</v>
      </c>
      <c r="J54" s="333" t="s">
        <v>1585</v>
      </c>
      <c r="K54" s="335"/>
      <c r="M54" s="333" t="s">
        <v>7</v>
      </c>
      <c r="N54" s="333" t="s">
        <v>8</v>
      </c>
      <c r="O54" s="333" t="s">
        <v>5</v>
      </c>
      <c r="P54" s="333" t="s">
        <v>5</v>
      </c>
      <c r="Q54" s="335">
        <v>14</v>
      </c>
      <c r="R54" s="335">
        <v>61</v>
      </c>
      <c r="U54" s="333" t="s">
        <v>4</v>
      </c>
      <c r="V54" s="333" t="s">
        <v>554</v>
      </c>
    </row>
    <row r="55" spans="1:22" x14ac:dyDescent="0.25">
      <c r="A55" s="333" t="s">
        <v>527</v>
      </c>
      <c r="B55" s="333" t="s">
        <v>116</v>
      </c>
      <c r="G55" s="333" t="s">
        <v>231</v>
      </c>
      <c r="H55" s="333" t="s">
        <v>388</v>
      </c>
      <c r="I55" s="333" t="s">
        <v>500</v>
      </c>
      <c r="J55" s="333" t="s">
        <v>1585</v>
      </c>
      <c r="K55" s="335">
        <v>32</v>
      </c>
      <c r="M55" s="333" t="s">
        <v>13</v>
      </c>
      <c r="N55" s="333" t="s">
        <v>14</v>
      </c>
      <c r="O55" s="333" t="s">
        <v>5</v>
      </c>
      <c r="P55" s="333" t="s">
        <v>5</v>
      </c>
      <c r="Q55" s="335">
        <v>38</v>
      </c>
      <c r="R55" s="335">
        <v>221</v>
      </c>
      <c r="U55" s="333" t="s">
        <v>7</v>
      </c>
      <c r="V55" s="333" t="s">
        <v>554</v>
      </c>
    </row>
    <row r="56" spans="1:22" x14ac:dyDescent="0.25">
      <c r="A56" s="333" t="s">
        <v>527</v>
      </c>
      <c r="B56" s="333" t="s">
        <v>130</v>
      </c>
      <c r="G56" s="333" t="s">
        <v>1065</v>
      </c>
      <c r="H56" s="333" t="s">
        <v>1066</v>
      </c>
      <c r="I56" s="333" t="s">
        <v>500</v>
      </c>
      <c r="J56" s="146">
        <v>41122</v>
      </c>
      <c r="K56" s="335">
        <v>103</v>
      </c>
      <c r="M56" s="333" t="s">
        <v>25</v>
      </c>
      <c r="N56" s="333" t="s">
        <v>26</v>
      </c>
      <c r="O56" s="333" t="s">
        <v>5</v>
      </c>
      <c r="P56" s="333" t="s">
        <v>5</v>
      </c>
      <c r="Q56" s="335">
        <v>15</v>
      </c>
      <c r="R56" s="335">
        <v>75</v>
      </c>
      <c r="U56" s="333" t="s">
        <v>13</v>
      </c>
      <c r="V56" s="333" t="s">
        <v>554</v>
      </c>
    </row>
    <row r="57" spans="1:22" x14ac:dyDescent="0.25">
      <c r="A57" s="333" t="s">
        <v>527</v>
      </c>
      <c r="B57" s="333" t="s">
        <v>138</v>
      </c>
      <c r="G57" s="333" t="s">
        <v>364</v>
      </c>
      <c r="H57" s="333" t="s">
        <v>29</v>
      </c>
      <c r="I57" s="333" t="s">
        <v>500</v>
      </c>
      <c r="J57" s="146">
        <v>41030</v>
      </c>
      <c r="K57" s="335">
        <v>155</v>
      </c>
      <c r="M57" s="333" t="s">
        <v>19</v>
      </c>
      <c r="N57" s="333" t="s">
        <v>20</v>
      </c>
      <c r="O57" s="333" t="s">
        <v>5</v>
      </c>
      <c r="P57" s="333" t="s">
        <v>5</v>
      </c>
      <c r="Q57" s="335">
        <v>21</v>
      </c>
      <c r="R57" s="335">
        <v>111</v>
      </c>
      <c r="U57" s="333" t="s">
        <v>25</v>
      </c>
      <c r="V57" s="333" t="s">
        <v>554</v>
      </c>
    </row>
    <row r="58" spans="1:22" x14ac:dyDescent="0.25">
      <c r="A58" s="333" t="s">
        <v>527</v>
      </c>
      <c r="B58" s="333" t="s">
        <v>136</v>
      </c>
      <c r="G58" s="333" t="s">
        <v>194</v>
      </c>
      <c r="H58" s="333" t="s">
        <v>193</v>
      </c>
      <c r="I58" s="333" t="s">
        <v>500</v>
      </c>
      <c r="J58" s="146">
        <v>40695</v>
      </c>
      <c r="K58" s="335">
        <v>641</v>
      </c>
      <c r="M58" s="333" t="s">
        <v>23</v>
      </c>
      <c r="N58" s="333" t="s">
        <v>24</v>
      </c>
      <c r="O58" s="333" t="s">
        <v>5</v>
      </c>
      <c r="P58" s="333" t="s">
        <v>5</v>
      </c>
      <c r="Q58" s="335">
        <v>21</v>
      </c>
      <c r="R58" s="335">
        <v>95</v>
      </c>
      <c r="U58" s="333" t="s">
        <v>19</v>
      </c>
      <c r="V58" s="333" t="s">
        <v>554</v>
      </c>
    </row>
    <row r="59" spans="1:22" x14ac:dyDescent="0.25">
      <c r="A59" s="333" t="s">
        <v>527</v>
      </c>
      <c r="B59" s="333" t="s">
        <v>68</v>
      </c>
      <c r="G59" s="333" t="s">
        <v>14</v>
      </c>
      <c r="H59" s="333" t="s">
        <v>13</v>
      </c>
      <c r="I59" s="333" t="s">
        <v>500</v>
      </c>
      <c r="J59" s="146">
        <v>40878</v>
      </c>
      <c r="K59" s="335">
        <v>38</v>
      </c>
      <c r="M59" s="333" t="s">
        <v>208</v>
      </c>
      <c r="N59" s="333" t="s">
        <v>209</v>
      </c>
      <c r="O59" s="333" t="s">
        <v>185</v>
      </c>
      <c r="P59" s="333" t="s">
        <v>185</v>
      </c>
      <c r="Q59" s="335">
        <v>387</v>
      </c>
      <c r="R59" s="335">
        <v>1844</v>
      </c>
      <c r="U59" s="333" t="s">
        <v>23</v>
      </c>
      <c r="V59" s="333" t="s">
        <v>554</v>
      </c>
    </row>
    <row r="60" spans="1:22" x14ac:dyDescent="0.25">
      <c r="A60" s="333" t="s">
        <v>527</v>
      </c>
      <c r="B60" s="333" t="s">
        <v>84</v>
      </c>
      <c r="G60" s="333" t="s">
        <v>813</v>
      </c>
      <c r="H60" s="333" t="s">
        <v>814</v>
      </c>
      <c r="I60" s="333" t="s">
        <v>500</v>
      </c>
      <c r="J60" s="333" t="s">
        <v>1585</v>
      </c>
      <c r="K60" s="335"/>
      <c r="M60" s="333" t="s">
        <v>210</v>
      </c>
      <c r="N60" s="333" t="s">
        <v>211</v>
      </c>
      <c r="O60" s="333" t="s">
        <v>185</v>
      </c>
      <c r="P60" s="333" t="s">
        <v>185</v>
      </c>
      <c r="Q60" s="335"/>
      <c r="R60" s="335"/>
      <c r="U60" s="333" t="s">
        <v>208</v>
      </c>
      <c r="V60" s="333" t="s">
        <v>554</v>
      </c>
    </row>
    <row r="61" spans="1:22" x14ac:dyDescent="0.25">
      <c r="A61" s="333" t="s">
        <v>527</v>
      </c>
      <c r="B61" s="333" t="s">
        <v>86</v>
      </c>
      <c r="G61" s="333" t="s">
        <v>884</v>
      </c>
      <c r="H61" s="333" t="s">
        <v>883</v>
      </c>
      <c r="I61" s="333" t="s">
        <v>843</v>
      </c>
      <c r="J61" s="333" t="s">
        <v>1585</v>
      </c>
      <c r="K61" s="335">
        <v>0</v>
      </c>
      <c r="M61" s="333" t="s">
        <v>206</v>
      </c>
      <c r="N61" s="333" t="s">
        <v>207</v>
      </c>
      <c r="O61" s="333" t="s">
        <v>185</v>
      </c>
      <c r="P61" s="333" t="s">
        <v>185</v>
      </c>
      <c r="Q61" s="335"/>
      <c r="R61" s="335"/>
      <c r="U61" s="333" t="s">
        <v>210</v>
      </c>
      <c r="V61" s="333" t="s">
        <v>554</v>
      </c>
    </row>
    <row r="62" spans="1:22" x14ac:dyDescent="0.25">
      <c r="A62" s="333" t="s">
        <v>527</v>
      </c>
      <c r="B62" s="333" t="s">
        <v>100</v>
      </c>
      <c r="G62" s="333" t="s">
        <v>1041</v>
      </c>
      <c r="H62" s="333" t="s">
        <v>1043</v>
      </c>
      <c r="I62" s="333" t="s">
        <v>500</v>
      </c>
      <c r="J62" s="146">
        <v>41487</v>
      </c>
      <c r="K62" s="335">
        <v>10</v>
      </c>
      <c r="M62" s="333" t="s">
        <v>216</v>
      </c>
      <c r="N62" s="333" t="s">
        <v>217</v>
      </c>
      <c r="O62" s="333" t="s">
        <v>185</v>
      </c>
      <c r="P62" s="333" t="s">
        <v>185</v>
      </c>
      <c r="Q62" s="335"/>
      <c r="R62" s="335"/>
      <c r="U62" s="333" t="s">
        <v>206</v>
      </c>
      <c r="V62" s="333" t="s">
        <v>554</v>
      </c>
    </row>
    <row r="63" spans="1:22" x14ac:dyDescent="0.25">
      <c r="A63" s="333" t="s">
        <v>527</v>
      </c>
      <c r="B63" s="333" t="s">
        <v>104</v>
      </c>
      <c r="G63" s="333" t="s">
        <v>253</v>
      </c>
      <c r="H63" s="333" t="s">
        <v>252</v>
      </c>
      <c r="I63" s="333" t="s">
        <v>500</v>
      </c>
      <c r="J63" s="146">
        <v>40725</v>
      </c>
      <c r="K63" s="335">
        <v>205</v>
      </c>
      <c r="M63" s="333" t="s">
        <v>226</v>
      </c>
      <c r="N63" s="333" t="s">
        <v>227</v>
      </c>
      <c r="O63" s="333" t="s">
        <v>185</v>
      </c>
      <c r="P63" s="333" t="s">
        <v>185</v>
      </c>
      <c r="Q63" s="335">
        <v>10</v>
      </c>
      <c r="R63" s="335">
        <v>38</v>
      </c>
      <c r="U63" s="333" t="s">
        <v>216</v>
      </c>
      <c r="V63" s="333" t="s">
        <v>554</v>
      </c>
    </row>
    <row r="64" spans="1:22" x14ac:dyDescent="0.25">
      <c r="A64" s="333" t="s">
        <v>527</v>
      </c>
      <c r="B64" s="333" t="s">
        <v>98</v>
      </c>
      <c r="G64" s="333" t="s">
        <v>255</v>
      </c>
      <c r="H64" s="333" t="s">
        <v>254</v>
      </c>
      <c r="I64" s="333" t="s">
        <v>500</v>
      </c>
      <c r="J64" s="146">
        <v>40725</v>
      </c>
      <c r="K64" s="335">
        <v>99</v>
      </c>
      <c r="M64" s="333" t="s">
        <v>212</v>
      </c>
      <c r="N64" s="333" t="s">
        <v>213</v>
      </c>
      <c r="O64" s="333" t="s">
        <v>185</v>
      </c>
      <c r="P64" s="333" t="s">
        <v>185</v>
      </c>
      <c r="Q64" s="335">
        <v>44</v>
      </c>
      <c r="R64" s="335">
        <v>143</v>
      </c>
      <c r="U64" s="333" t="s">
        <v>226</v>
      </c>
      <c r="V64" s="333" t="s">
        <v>12</v>
      </c>
    </row>
    <row r="65" spans="1:22" x14ac:dyDescent="0.25">
      <c r="A65" s="333" t="s">
        <v>527</v>
      </c>
      <c r="B65" s="333" t="s">
        <v>142</v>
      </c>
      <c r="G65" s="333" t="s">
        <v>196</v>
      </c>
      <c r="H65" s="333" t="s">
        <v>195</v>
      </c>
      <c r="I65" s="333" t="s">
        <v>500</v>
      </c>
      <c r="J65" s="146">
        <v>41061</v>
      </c>
      <c r="K65" s="335">
        <v>1649</v>
      </c>
      <c r="M65" s="333" t="s">
        <v>201</v>
      </c>
      <c r="N65" s="333" t="s">
        <v>202</v>
      </c>
      <c r="O65" s="333" t="s">
        <v>185</v>
      </c>
      <c r="P65" s="333" t="s">
        <v>185</v>
      </c>
      <c r="Q65" s="335">
        <v>265</v>
      </c>
      <c r="R65" s="335">
        <v>1183</v>
      </c>
      <c r="U65" s="333" t="s">
        <v>212</v>
      </c>
      <c r="V65" s="333" t="s">
        <v>12</v>
      </c>
    </row>
    <row r="66" spans="1:22" x14ac:dyDescent="0.25">
      <c r="A66" s="333" t="s">
        <v>527</v>
      </c>
      <c r="B66" s="333" t="s">
        <v>611</v>
      </c>
      <c r="G66" s="333" t="s">
        <v>1501</v>
      </c>
      <c r="H66" s="333" t="s">
        <v>1479</v>
      </c>
      <c r="I66" s="333" t="s">
        <v>843</v>
      </c>
      <c r="J66" s="333" t="s">
        <v>1585</v>
      </c>
      <c r="K66" s="335"/>
      <c r="M66" s="333" t="s">
        <v>203</v>
      </c>
      <c r="N66" s="333" t="s">
        <v>204</v>
      </c>
      <c r="O66" s="333" t="s">
        <v>185</v>
      </c>
      <c r="P66" s="333" t="s">
        <v>185</v>
      </c>
      <c r="Q66" s="335">
        <v>28</v>
      </c>
      <c r="R66" s="335">
        <v>136</v>
      </c>
      <c r="U66" s="333" t="s">
        <v>201</v>
      </c>
      <c r="V66" s="333" t="s">
        <v>554</v>
      </c>
    </row>
    <row r="67" spans="1:22" x14ac:dyDescent="0.25">
      <c r="A67" s="333" t="s">
        <v>527</v>
      </c>
      <c r="B67" s="333" t="s">
        <v>108</v>
      </c>
      <c r="G67" s="333" t="s">
        <v>1511</v>
      </c>
      <c r="H67" s="333" t="s">
        <v>1478</v>
      </c>
      <c r="I67" s="333" t="s">
        <v>843</v>
      </c>
      <c r="J67" s="333" t="s">
        <v>1585</v>
      </c>
      <c r="K67" s="335"/>
      <c r="M67" s="333" t="s">
        <v>199</v>
      </c>
      <c r="N67" s="333" t="s">
        <v>200</v>
      </c>
      <c r="O67" s="333" t="s">
        <v>185</v>
      </c>
      <c r="P67" s="333" t="s">
        <v>185</v>
      </c>
      <c r="Q67" s="335">
        <v>2</v>
      </c>
      <c r="R67" s="335">
        <v>9</v>
      </c>
      <c r="U67" s="333" t="s">
        <v>203</v>
      </c>
      <c r="V67" s="333" t="s">
        <v>12</v>
      </c>
    </row>
    <row r="68" spans="1:22" x14ac:dyDescent="0.25">
      <c r="A68" s="333" t="s">
        <v>527</v>
      </c>
      <c r="B68" s="333" t="s">
        <v>110</v>
      </c>
      <c r="G68" s="333" t="s">
        <v>16</v>
      </c>
      <c r="H68" s="333" t="s">
        <v>15</v>
      </c>
      <c r="I68" s="333" t="s">
        <v>843</v>
      </c>
      <c r="J68" s="333" t="s">
        <v>1585</v>
      </c>
      <c r="K68" s="335">
        <v>0</v>
      </c>
      <c r="M68" s="333" t="s">
        <v>220</v>
      </c>
      <c r="N68" s="333" t="s">
        <v>221</v>
      </c>
      <c r="O68" s="333" t="s">
        <v>185</v>
      </c>
      <c r="P68" s="333" t="s">
        <v>185</v>
      </c>
      <c r="Q68" s="335">
        <v>39</v>
      </c>
      <c r="R68" s="335">
        <v>176</v>
      </c>
      <c r="U68" s="333" t="s">
        <v>199</v>
      </c>
      <c r="V68" s="333" t="s">
        <v>12</v>
      </c>
    </row>
    <row r="69" spans="1:22" x14ac:dyDescent="0.25">
      <c r="A69" s="333" t="s">
        <v>527</v>
      </c>
      <c r="B69" s="333" t="s">
        <v>112</v>
      </c>
      <c r="G69" s="333" t="s">
        <v>1500</v>
      </c>
      <c r="H69" s="333" t="s">
        <v>1476</v>
      </c>
      <c r="I69" s="333" t="s">
        <v>843</v>
      </c>
      <c r="J69" s="333" t="s">
        <v>1585</v>
      </c>
      <c r="K69" s="335"/>
      <c r="M69" s="333" t="s">
        <v>150</v>
      </c>
      <c r="N69" s="333" t="s">
        <v>152</v>
      </c>
      <c r="O69" s="333" t="s">
        <v>151</v>
      </c>
      <c r="P69" s="333" t="s">
        <v>151</v>
      </c>
      <c r="Q69" s="335">
        <v>195</v>
      </c>
      <c r="R69" s="335">
        <v>881</v>
      </c>
      <c r="U69" s="333" t="s">
        <v>220</v>
      </c>
      <c r="V69" s="333" t="s">
        <v>12</v>
      </c>
    </row>
    <row r="70" spans="1:22" x14ac:dyDescent="0.25">
      <c r="A70" s="333" t="s">
        <v>527</v>
      </c>
      <c r="B70" s="333" t="s">
        <v>114</v>
      </c>
      <c r="G70" s="333" t="s">
        <v>521</v>
      </c>
      <c r="H70" s="333" t="s">
        <v>522</v>
      </c>
      <c r="I70" s="333" t="s">
        <v>500</v>
      </c>
      <c r="J70" s="333" t="s">
        <v>1585</v>
      </c>
      <c r="K70" s="335">
        <v>4</v>
      </c>
      <c r="M70" s="333" t="s">
        <v>305</v>
      </c>
      <c r="N70" s="333" t="s">
        <v>306</v>
      </c>
      <c r="O70" s="333" t="s">
        <v>1182</v>
      </c>
      <c r="P70" s="333" t="s">
        <v>302</v>
      </c>
      <c r="Q70" s="335">
        <v>86</v>
      </c>
      <c r="R70" s="335">
        <v>313</v>
      </c>
      <c r="U70" s="333" t="s">
        <v>150</v>
      </c>
      <c r="V70" s="333" t="s">
        <v>554</v>
      </c>
    </row>
    <row r="71" spans="1:22" x14ac:dyDescent="0.25">
      <c r="A71" s="333" t="s">
        <v>527</v>
      </c>
      <c r="B71" s="333" t="s">
        <v>118</v>
      </c>
      <c r="G71" s="333" t="s">
        <v>372</v>
      </c>
      <c r="H71" s="333" t="s">
        <v>382</v>
      </c>
      <c r="I71" s="333" t="s">
        <v>500</v>
      </c>
      <c r="J71" s="146">
        <v>41275</v>
      </c>
      <c r="K71" s="335">
        <v>88</v>
      </c>
      <c r="M71" s="333" t="s">
        <v>307</v>
      </c>
      <c r="N71" s="333" t="s">
        <v>308</v>
      </c>
      <c r="O71" s="333" t="s">
        <v>1182</v>
      </c>
      <c r="P71" s="333" t="s">
        <v>302</v>
      </c>
      <c r="Q71" s="335">
        <v>32</v>
      </c>
      <c r="R71" s="335">
        <v>136</v>
      </c>
      <c r="U71" s="333" t="s">
        <v>305</v>
      </c>
      <c r="V71" s="333" t="s">
        <v>554</v>
      </c>
    </row>
    <row r="72" spans="1:22" x14ac:dyDescent="0.25">
      <c r="A72" s="333" t="s">
        <v>527</v>
      </c>
      <c r="B72" s="333" t="s">
        <v>122</v>
      </c>
      <c r="G72" s="333" t="s">
        <v>1120</v>
      </c>
      <c r="H72" s="333" t="s">
        <v>1121</v>
      </c>
      <c r="I72" s="333" t="s">
        <v>500</v>
      </c>
      <c r="J72" s="146">
        <v>42019</v>
      </c>
      <c r="K72" s="335">
        <v>52</v>
      </c>
      <c r="M72" s="333" t="s">
        <v>222</v>
      </c>
      <c r="N72" s="333" t="s">
        <v>223</v>
      </c>
      <c r="O72" s="333" t="s">
        <v>185</v>
      </c>
      <c r="P72" s="333" t="s">
        <v>185</v>
      </c>
      <c r="Q72" s="335">
        <v>148</v>
      </c>
      <c r="R72" s="335">
        <v>751</v>
      </c>
      <c r="U72" s="333" t="s">
        <v>307</v>
      </c>
      <c r="V72" s="333" t="s">
        <v>554</v>
      </c>
    </row>
    <row r="73" spans="1:22" x14ac:dyDescent="0.25">
      <c r="A73" s="333" t="s">
        <v>527</v>
      </c>
      <c r="B73" s="333" t="s">
        <v>124</v>
      </c>
      <c r="G73" s="333" t="s">
        <v>369</v>
      </c>
      <c r="H73" s="333" t="s">
        <v>383</v>
      </c>
      <c r="I73" s="333" t="s">
        <v>500</v>
      </c>
      <c r="J73" s="146">
        <v>41244</v>
      </c>
      <c r="K73" s="335">
        <v>60</v>
      </c>
      <c r="M73" s="333" t="s">
        <v>189</v>
      </c>
      <c r="N73" s="333" t="s">
        <v>190</v>
      </c>
      <c r="O73" s="333" t="s">
        <v>185</v>
      </c>
      <c r="P73" s="333" t="s">
        <v>185</v>
      </c>
      <c r="Q73" s="335">
        <v>194</v>
      </c>
      <c r="R73" s="335">
        <v>1071</v>
      </c>
      <c r="U73" s="333" t="s">
        <v>222</v>
      </c>
      <c r="V73" s="333" t="s">
        <v>554</v>
      </c>
    </row>
    <row r="74" spans="1:22" x14ac:dyDescent="0.25">
      <c r="A74" s="333" t="s">
        <v>527</v>
      </c>
      <c r="B74" s="333" t="s">
        <v>96</v>
      </c>
      <c r="G74" s="333" t="s">
        <v>1658</v>
      </c>
      <c r="H74" s="333" t="s">
        <v>1657</v>
      </c>
      <c r="I74" s="333" t="s">
        <v>500</v>
      </c>
      <c r="J74" s="146">
        <v>42724</v>
      </c>
      <c r="K74" s="335">
        <v>40</v>
      </c>
      <c r="M74" s="333" t="s">
        <v>184</v>
      </c>
      <c r="N74" s="333" t="s">
        <v>186</v>
      </c>
      <c r="O74" s="333" t="s">
        <v>185</v>
      </c>
      <c r="P74" s="333" t="s">
        <v>185</v>
      </c>
      <c r="Q74" s="335">
        <v>40</v>
      </c>
      <c r="R74" s="335">
        <v>240</v>
      </c>
      <c r="U74" s="333" t="s">
        <v>189</v>
      </c>
      <c r="V74" s="333" t="s">
        <v>554</v>
      </c>
    </row>
    <row r="75" spans="1:22" x14ac:dyDescent="0.25">
      <c r="A75" s="333" t="s">
        <v>527</v>
      </c>
      <c r="B75" s="333" t="s">
        <v>132</v>
      </c>
      <c r="G75" s="333" t="s">
        <v>370</v>
      </c>
      <c r="H75" s="333" t="s">
        <v>384</v>
      </c>
      <c r="I75" s="333" t="s">
        <v>500</v>
      </c>
      <c r="J75" s="146">
        <v>41244</v>
      </c>
      <c r="K75" s="335">
        <v>30</v>
      </c>
      <c r="M75" s="333" t="s">
        <v>228</v>
      </c>
      <c r="N75" s="333" t="s">
        <v>229</v>
      </c>
      <c r="O75" s="333" t="s">
        <v>185</v>
      </c>
      <c r="P75" s="333" t="s">
        <v>185</v>
      </c>
      <c r="Q75" s="335">
        <v>49</v>
      </c>
      <c r="R75" s="335">
        <v>300</v>
      </c>
      <c r="U75" s="333" t="s">
        <v>184</v>
      </c>
      <c r="V75" s="333" t="s">
        <v>554</v>
      </c>
    </row>
    <row r="76" spans="1:22" x14ac:dyDescent="0.25">
      <c r="A76" s="333" t="s">
        <v>527</v>
      </c>
      <c r="B76" s="333" t="s">
        <v>134</v>
      </c>
      <c r="G76" s="333" t="s">
        <v>257</v>
      </c>
      <c r="H76" s="333" t="s">
        <v>256</v>
      </c>
      <c r="I76" s="333" t="s">
        <v>500</v>
      </c>
      <c r="J76" s="146">
        <v>40909</v>
      </c>
      <c r="K76" s="335">
        <v>48</v>
      </c>
      <c r="M76" s="333" t="s">
        <v>224</v>
      </c>
      <c r="N76" s="333" t="s">
        <v>225</v>
      </c>
      <c r="O76" s="333" t="s">
        <v>185</v>
      </c>
      <c r="P76" s="333" t="s">
        <v>185</v>
      </c>
      <c r="Q76" s="335">
        <v>41</v>
      </c>
      <c r="R76" s="335">
        <v>253</v>
      </c>
      <c r="U76" s="333" t="s">
        <v>228</v>
      </c>
      <c r="V76" s="333" t="s">
        <v>554</v>
      </c>
    </row>
    <row r="77" spans="1:22" x14ac:dyDescent="0.25">
      <c r="A77" s="333" t="s">
        <v>527</v>
      </c>
      <c r="B77" s="333" t="s">
        <v>64</v>
      </c>
      <c r="G77" s="333" t="s">
        <v>174</v>
      </c>
      <c r="H77" s="333" t="s">
        <v>172</v>
      </c>
      <c r="I77" s="333" t="s">
        <v>500</v>
      </c>
      <c r="J77" s="146">
        <v>41030</v>
      </c>
      <c r="K77" s="335">
        <v>13</v>
      </c>
      <c r="M77" s="333" t="s">
        <v>143</v>
      </c>
      <c r="N77" s="333" t="s">
        <v>145</v>
      </c>
      <c r="O77" s="333" t="s">
        <v>1182</v>
      </c>
      <c r="P77" s="333" t="s">
        <v>144</v>
      </c>
      <c r="Q77" s="335"/>
      <c r="R77" s="335"/>
      <c r="U77" s="333" t="s">
        <v>224</v>
      </c>
      <c r="V77" s="333" t="s">
        <v>554</v>
      </c>
    </row>
    <row r="78" spans="1:22" x14ac:dyDescent="0.25">
      <c r="A78" s="333" t="s">
        <v>527</v>
      </c>
      <c r="B78" s="333" t="s">
        <v>126</v>
      </c>
      <c r="G78" s="333" t="s">
        <v>145</v>
      </c>
      <c r="H78" s="333" t="s">
        <v>143</v>
      </c>
      <c r="I78" s="333" t="s">
        <v>843</v>
      </c>
      <c r="J78" s="333" t="s">
        <v>1585</v>
      </c>
      <c r="K78" s="335"/>
      <c r="M78" s="333" t="s">
        <v>299</v>
      </c>
      <c r="N78" s="333" t="s">
        <v>301</v>
      </c>
      <c r="O78" s="333" t="s">
        <v>1182</v>
      </c>
      <c r="P78" s="333" t="s">
        <v>300</v>
      </c>
      <c r="Q78" s="335">
        <v>14</v>
      </c>
      <c r="R78" s="335">
        <v>64</v>
      </c>
      <c r="U78" s="333" t="s">
        <v>143</v>
      </c>
      <c r="V78" s="333" t="s">
        <v>554</v>
      </c>
    </row>
    <row r="79" spans="1:22" x14ac:dyDescent="0.25">
      <c r="A79" s="333" t="s">
        <v>527</v>
      </c>
      <c r="B79" s="333" t="s">
        <v>74</v>
      </c>
      <c r="G79" s="333" t="s">
        <v>516</v>
      </c>
      <c r="H79" s="333" t="s">
        <v>517</v>
      </c>
      <c r="I79" s="333" t="s">
        <v>843</v>
      </c>
      <c r="J79" s="146">
        <v>41365</v>
      </c>
      <c r="K79" s="335">
        <v>0</v>
      </c>
      <c r="M79" s="333" t="s">
        <v>175</v>
      </c>
      <c r="N79" s="333" t="s">
        <v>176</v>
      </c>
      <c r="O79" s="333" t="s">
        <v>1182</v>
      </c>
      <c r="P79" s="333" t="s">
        <v>173</v>
      </c>
      <c r="Q79" s="335">
        <v>15</v>
      </c>
      <c r="R79" s="335">
        <v>71</v>
      </c>
      <c r="U79" s="333" t="s">
        <v>299</v>
      </c>
      <c r="V79" s="333" t="s">
        <v>12</v>
      </c>
    </row>
    <row r="80" spans="1:22" x14ac:dyDescent="0.25">
      <c r="A80" s="333" t="s">
        <v>527</v>
      </c>
      <c r="B80" s="333" t="s">
        <v>140</v>
      </c>
      <c r="G80" s="333" t="s">
        <v>1248</v>
      </c>
      <c r="H80" s="333" t="s">
        <v>314</v>
      </c>
      <c r="I80" s="333" t="s">
        <v>843</v>
      </c>
      <c r="J80" s="146">
        <v>40695</v>
      </c>
      <c r="K80" s="335">
        <v>0</v>
      </c>
      <c r="M80" s="333" t="s">
        <v>172</v>
      </c>
      <c r="N80" s="333" t="s">
        <v>174</v>
      </c>
      <c r="O80" s="333" t="s">
        <v>1182</v>
      </c>
      <c r="P80" s="333" t="s">
        <v>173</v>
      </c>
      <c r="Q80" s="335">
        <v>13</v>
      </c>
      <c r="R80" s="335">
        <v>66</v>
      </c>
      <c r="U80" s="333" t="s">
        <v>175</v>
      </c>
      <c r="V80" s="333" t="s">
        <v>554</v>
      </c>
    </row>
    <row r="81" spans="1:22" x14ac:dyDescent="0.25">
      <c r="A81" s="333" t="s">
        <v>527</v>
      </c>
      <c r="B81" s="333" t="s">
        <v>514</v>
      </c>
      <c r="G81" s="333" t="s">
        <v>340</v>
      </c>
      <c r="H81" s="333" t="s">
        <v>339</v>
      </c>
      <c r="I81" s="333" t="s">
        <v>500</v>
      </c>
      <c r="J81" s="333" t="s">
        <v>1585</v>
      </c>
      <c r="K81" s="335">
        <v>355</v>
      </c>
      <c r="M81" s="333" t="s">
        <v>177</v>
      </c>
      <c r="N81" s="333" t="s">
        <v>178</v>
      </c>
      <c r="O81" s="333" t="s">
        <v>1182</v>
      </c>
      <c r="P81" s="333" t="s">
        <v>173</v>
      </c>
      <c r="Q81" s="335">
        <v>12</v>
      </c>
      <c r="R81" s="335">
        <v>46</v>
      </c>
      <c r="U81" s="333" t="s">
        <v>172</v>
      </c>
      <c r="V81" s="333" t="s">
        <v>554</v>
      </c>
    </row>
    <row r="82" spans="1:22" x14ac:dyDescent="0.25">
      <c r="A82" s="333" t="s">
        <v>527</v>
      </c>
      <c r="B82" s="333" t="s">
        <v>1065</v>
      </c>
      <c r="G82" s="333" t="s">
        <v>34</v>
      </c>
      <c r="H82" s="333" t="s">
        <v>33</v>
      </c>
      <c r="I82" s="333" t="s">
        <v>500</v>
      </c>
      <c r="J82" s="333" t="s">
        <v>1585</v>
      </c>
      <c r="K82" s="335"/>
      <c r="M82" s="333" t="s">
        <v>179</v>
      </c>
      <c r="N82" s="333" t="s">
        <v>181</v>
      </c>
      <c r="O82" s="333" t="s">
        <v>1182</v>
      </c>
      <c r="P82" s="333" t="s">
        <v>180</v>
      </c>
      <c r="Q82" s="335">
        <v>12</v>
      </c>
      <c r="R82" s="335">
        <v>62</v>
      </c>
      <c r="U82" s="333" t="s">
        <v>177</v>
      </c>
      <c r="V82" s="333" t="s">
        <v>554</v>
      </c>
    </row>
    <row r="83" spans="1:22" x14ac:dyDescent="0.25">
      <c r="A83" s="333" t="s">
        <v>527</v>
      </c>
      <c r="B83" s="333" t="s">
        <v>1120</v>
      </c>
      <c r="G83" s="333" t="s">
        <v>198</v>
      </c>
      <c r="H83" s="333" t="s">
        <v>197</v>
      </c>
      <c r="I83" s="333" t="s">
        <v>500</v>
      </c>
      <c r="J83" s="146">
        <v>40817</v>
      </c>
      <c r="K83" s="335">
        <v>547</v>
      </c>
      <c r="M83" s="333" t="s">
        <v>182</v>
      </c>
      <c r="N83" s="333" t="s">
        <v>183</v>
      </c>
      <c r="O83" s="333" t="s">
        <v>1182</v>
      </c>
      <c r="P83" s="333" t="s">
        <v>180</v>
      </c>
      <c r="Q83" s="335">
        <v>0</v>
      </c>
      <c r="R83" s="335">
        <v>0</v>
      </c>
      <c r="U83" s="333" t="s">
        <v>179</v>
      </c>
      <c r="V83" s="333" t="s">
        <v>554</v>
      </c>
    </row>
    <row r="84" spans="1:22" x14ac:dyDescent="0.25">
      <c r="A84" s="333" t="s">
        <v>527</v>
      </c>
      <c r="B84" s="333" t="s">
        <v>1409</v>
      </c>
      <c r="G84" s="333" t="s">
        <v>304</v>
      </c>
      <c r="H84" s="333" t="s">
        <v>303</v>
      </c>
      <c r="I84" s="333" t="s">
        <v>500</v>
      </c>
      <c r="J84" s="146">
        <v>41701</v>
      </c>
      <c r="K84" s="335">
        <v>375</v>
      </c>
      <c r="M84" s="333" t="s">
        <v>109</v>
      </c>
      <c r="N84" s="333" t="s">
        <v>110</v>
      </c>
      <c r="O84" s="333" t="s">
        <v>527</v>
      </c>
      <c r="P84" s="333" t="s">
        <v>527</v>
      </c>
      <c r="Q84" s="335">
        <v>0</v>
      </c>
      <c r="R84" s="335">
        <v>0</v>
      </c>
      <c r="U84" s="333" t="s">
        <v>182</v>
      </c>
      <c r="V84" s="333" t="s">
        <v>554</v>
      </c>
    </row>
    <row r="85" spans="1:22" x14ac:dyDescent="0.25">
      <c r="A85" s="333" t="s">
        <v>527</v>
      </c>
      <c r="B85" s="333" t="s">
        <v>1445</v>
      </c>
      <c r="G85" s="333" t="s">
        <v>35</v>
      </c>
      <c r="H85" s="333" t="s">
        <v>362</v>
      </c>
      <c r="I85" s="333" t="s">
        <v>843</v>
      </c>
      <c r="J85" s="333" t="s">
        <v>1585</v>
      </c>
      <c r="K85" s="335">
        <v>0</v>
      </c>
      <c r="M85" s="333" t="s">
        <v>111</v>
      </c>
      <c r="N85" s="333" t="s">
        <v>112</v>
      </c>
      <c r="O85" s="333" t="s">
        <v>527</v>
      </c>
      <c r="P85" s="333" t="s">
        <v>527</v>
      </c>
      <c r="Q85" s="335">
        <v>0</v>
      </c>
      <c r="R85" s="335">
        <v>0</v>
      </c>
      <c r="U85" s="333" t="s">
        <v>109</v>
      </c>
      <c r="V85" s="333" t="s">
        <v>554</v>
      </c>
    </row>
    <row r="86" spans="1:22" x14ac:dyDescent="0.25">
      <c r="A86" s="333" t="s">
        <v>527</v>
      </c>
      <c r="B86" s="333" t="s">
        <v>1449</v>
      </c>
      <c r="G86" s="333" t="s">
        <v>240</v>
      </c>
      <c r="H86" s="333" t="s">
        <v>239</v>
      </c>
      <c r="I86" s="333" t="s">
        <v>500</v>
      </c>
      <c r="J86" s="146">
        <v>40603</v>
      </c>
      <c r="K86" s="335">
        <v>30</v>
      </c>
      <c r="M86" s="333" t="s">
        <v>85</v>
      </c>
      <c r="N86" s="333" t="s">
        <v>86</v>
      </c>
      <c r="O86" s="333" t="s">
        <v>527</v>
      </c>
      <c r="P86" s="333" t="s">
        <v>527</v>
      </c>
      <c r="Q86" s="335">
        <v>0</v>
      </c>
      <c r="R86" s="335">
        <v>0</v>
      </c>
      <c r="U86" s="333" t="s">
        <v>111</v>
      </c>
      <c r="V86" s="333" t="s">
        <v>554</v>
      </c>
    </row>
    <row r="87" spans="1:22" x14ac:dyDescent="0.25">
      <c r="A87" s="333" t="s">
        <v>527</v>
      </c>
      <c r="B87" s="333" t="s">
        <v>1446</v>
      </c>
      <c r="G87" s="333" t="s">
        <v>285</v>
      </c>
      <c r="H87" s="333" t="s">
        <v>284</v>
      </c>
      <c r="I87" s="333" t="s">
        <v>500</v>
      </c>
      <c r="J87" s="146">
        <v>40695</v>
      </c>
      <c r="K87" s="335">
        <v>85</v>
      </c>
      <c r="M87" s="333" t="s">
        <v>83</v>
      </c>
      <c r="N87" s="333" t="s">
        <v>84</v>
      </c>
      <c r="O87" s="333" t="s">
        <v>527</v>
      </c>
      <c r="P87" s="333" t="s">
        <v>527</v>
      </c>
      <c r="Q87" s="335">
        <v>0</v>
      </c>
      <c r="R87" s="335">
        <v>0</v>
      </c>
      <c r="U87" s="333" t="s">
        <v>85</v>
      </c>
      <c r="V87" s="333" t="s">
        <v>554</v>
      </c>
    </row>
    <row r="88" spans="1:22" x14ac:dyDescent="0.25">
      <c r="A88" s="333" t="s">
        <v>527</v>
      </c>
      <c r="B88" s="333" t="s">
        <v>1448</v>
      </c>
      <c r="G88" s="333" t="s">
        <v>365</v>
      </c>
      <c r="H88" s="333" t="s">
        <v>378</v>
      </c>
      <c r="I88" s="333" t="s">
        <v>500</v>
      </c>
      <c r="J88" s="146">
        <v>40940</v>
      </c>
      <c r="K88" s="335">
        <v>143</v>
      </c>
      <c r="M88" s="333" t="s">
        <v>69</v>
      </c>
      <c r="N88" s="333" t="s">
        <v>70</v>
      </c>
      <c r="O88" s="333" t="s">
        <v>527</v>
      </c>
      <c r="P88" s="333" t="s">
        <v>527</v>
      </c>
      <c r="Q88" s="335">
        <v>0</v>
      </c>
      <c r="R88" s="335">
        <v>0</v>
      </c>
      <c r="U88" s="333" t="s">
        <v>83</v>
      </c>
      <c r="V88" s="333" t="s">
        <v>554</v>
      </c>
    </row>
    <row r="89" spans="1:22" x14ac:dyDescent="0.25">
      <c r="A89" s="333" t="s">
        <v>527</v>
      </c>
      <c r="B89" s="333" t="s">
        <v>1447</v>
      </c>
      <c r="G89" s="333" t="s">
        <v>90</v>
      </c>
      <c r="H89" s="333" t="s">
        <v>89</v>
      </c>
      <c r="I89" s="333" t="s">
        <v>500</v>
      </c>
      <c r="J89" s="146">
        <v>41275</v>
      </c>
      <c r="K89" s="335">
        <v>25</v>
      </c>
      <c r="M89" s="333" t="s">
        <v>103</v>
      </c>
      <c r="N89" s="333" t="s">
        <v>104</v>
      </c>
      <c r="O89" s="333" t="s">
        <v>527</v>
      </c>
      <c r="P89" s="333" t="s">
        <v>527</v>
      </c>
      <c r="Q89" s="335">
        <v>0</v>
      </c>
      <c r="R89" s="335">
        <v>0</v>
      </c>
      <c r="U89" s="333" t="s">
        <v>69</v>
      </c>
      <c r="V89" s="333" t="s">
        <v>554</v>
      </c>
    </row>
    <row r="90" spans="1:22" x14ac:dyDescent="0.25">
      <c r="A90" s="333" t="s">
        <v>779</v>
      </c>
      <c r="B90" s="333" t="s">
        <v>594</v>
      </c>
      <c r="G90" s="333" t="s">
        <v>92</v>
      </c>
      <c r="H90" s="333" t="s">
        <v>91</v>
      </c>
      <c r="I90" s="333" t="s">
        <v>500</v>
      </c>
      <c r="J90" s="146">
        <v>41275</v>
      </c>
      <c r="K90" s="335">
        <v>15</v>
      </c>
      <c r="M90" s="333" t="s">
        <v>67</v>
      </c>
      <c r="N90" s="333" t="s">
        <v>68</v>
      </c>
      <c r="O90" s="333" t="s">
        <v>527</v>
      </c>
      <c r="P90" s="333" t="s">
        <v>527</v>
      </c>
      <c r="Q90" s="335">
        <v>0</v>
      </c>
      <c r="R90" s="335">
        <v>0</v>
      </c>
      <c r="U90" s="333" t="s">
        <v>103</v>
      </c>
      <c r="V90" s="333" t="s">
        <v>554</v>
      </c>
    </row>
    <row r="91" spans="1:22" x14ac:dyDescent="0.25">
      <c r="A91" s="333" t="s">
        <v>779</v>
      </c>
      <c r="B91" s="333" t="s">
        <v>1275</v>
      </c>
      <c r="G91" s="333" t="s">
        <v>18</v>
      </c>
      <c r="H91" s="333" t="s">
        <v>17</v>
      </c>
      <c r="I91" s="333" t="s">
        <v>500</v>
      </c>
      <c r="J91" s="146">
        <v>40695</v>
      </c>
      <c r="K91" s="335">
        <v>116</v>
      </c>
      <c r="M91" s="333" t="s">
        <v>99</v>
      </c>
      <c r="N91" s="333" t="s">
        <v>100</v>
      </c>
      <c r="O91" s="333" t="s">
        <v>527</v>
      </c>
      <c r="P91" s="333" t="s">
        <v>527</v>
      </c>
      <c r="Q91" s="335">
        <v>4</v>
      </c>
      <c r="R91" s="335">
        <v>22</v>
      </c>
      <c r="U91" s="333" t="s">
        <v>67</v>
      </c>
      <c r="V91" s="333" t="s">
        <v>554</v>
      </c>
    </row>
    <row r="92" spans="1:22" x14ac:dyDescent="0.25">
      <c r="A92" s="333" t="s">
        <v>779</v>
      </c>
      <c r="B92" s="333" t="s">
        <v>1419</v>
      </c>
      <c r="G92" s="333" t="s">
        <v>1493</v>
      </c>
      <c r="H92" s="333" t="s">
        <v>1475</v>
      </c>
      <c r="I92" s="333" t="s">
        <v>500</v>
      </c>
      <c r="J92" s="333" t="s">
        <v>1585</v>
      </c>
      <c r="K92" s="335">
        <v>59</v>
      </c>
      <c r="M92" s="333" t="s">
        <v>49</v>
      </c>
      <c r="N92" s="333" t="s">
        <v>50</v>
      </c>
      <c r="O92" s="333" t="s">
        <v>527</v>
      </c>
      <c r="P92" s="333" t="s">
        <v>527</v>
      </c>
      <c r="Q92" s="335">
        <v>0</v>
      </c>
      <c r="R92" s="335">
        <v>0</v>
      </c>
      <c r="U92" s="333" t="s">
        <v>99</v>
      </c>
      <c r="V92" s="333" t="s">
        <v>554</v>
      </c>
    </row>
    <row r="93" spans="1:22" x14ac:dyDescent="0.25">
      <c r="A93" s="333" t="s">
        <v>363</v>
      </c>
      <c r="B93" s="333" t="s">
        <v>35</v>
      </c>
      <c r="G93" s="333" t="s">
        <v>186</v>
      </c>
      <c r="H93" s="333" t="s">
        <v>184</v>
      </c>
      <c r="I93" s="333" t="s">
        <v>500</v>
      </c>
      <c r="J93" s="146">
        <v>41030</v>
      </c>
      <c r="K93" s="335">
        <v>40</v>
      </c>
      <c r="M93" s="333" t="s">
        <v>65</v>
      </c>
      <c r="N93" s="333" t="s">
        <v>66</v>
      </c>
      <c r="O93" s="333" t="s">
        <v>527</v>
      </c>
      <c r="P93" s="333" t="s">
        <v>527</v>
      </c>
      <c r="Q93" s="335">
        <v>0</v>
      </c>
      <c r="R93" s="335">
        <v>0</v>
      </c>
      <c r="U93" s="333" t="s">
        <v>49</v>
      </c>
      <c r="V93" s="333" t="s">
        <v>554</v>
      </c>
    </row>
    <row r="94" spans="1:22" x14ac:dyDescent="0.25">
      <c r="A94" s="333" t="s">
        <v>144</v>
      </c>
      <c r="B94" s="333" t="s">
        <v>145</v>
      </c>
      <c r="G94" s="333" t="s">
        <v>223</v>
      </c>
      <c r="H94" s="333" t="s">
        <v>222</v>
      </c>
      <c r="I94" s="333" t="s">
        <v>500</v>
      </c>
      <c r="J94" s="146">
        <v>40848</v>
      </c>
      <c r="K94" s="335">
        <v>148</v>
      </c>
      <c r="M94" s="333" t="s">
        <v>53</v>
      </c>
      <c r="N94" s="333" t="s">
        <v>54</v>
      </c>
      <c r="O94" s="333" t="s">
        <v>527</v>
      </c>
      <c r="P94" s="333" t="s">
        <v>527</v>
      </c>
      <c r="Q94" s="335">
        <v>0</v>
      </c>
      <c r="R94" s="335">
        <v>0</v>
      </c>
      <c r="U94" s="333" t="s">
        <v>65</v>
      </c>
      <c r="V94" s="333" t="s">
        <v>554</v>
      </c>
    </row>
    <row r="95" spans="1:22" x14ac:dyDescent="0.25">
      <c r="A95" s="333" t="s">
        <v>146</v>
      </c>
      <c r="B95" s="333" t="s">
        <v>930</v>
      </c>
      <c r="G95" s="333" t="s">
        <v>190</v>
      </c>
      <c r="H95" s="333" t="s">
        <v>189</v>
      </c>
      <c r="I95" s="333" t="s">
        <v>500</v>
      </c>
      <c r="J95" s="146">
        <v>41000</v>
      </c>
      <c r="K95" s="335">
        <v>194</v>
      </c>
      <c r="M95" s="333" t="s">
        <v>115</v>
      </c>
      <c r="N95" s="333" t="s">
        <v>116</v>
      </c>
      <c r="O95" s="333" t="s">
        <v>527</v>
      </c>
      <c r="P95" s="333" t="s">
        <v>527</v>
      </c>
      <c r="Q95" s="335">
        <v>0</v>
      </c>
      <c r="R95" s="335">
        <v>0</v>
      </c>
      <c r="U95" s="333" t="s">
        <v>53</v>
      </c>
      <c r="V95" s="333" t="s">
        <v>554</v>
      </c>
    </row>
    <row r="96" spans="1:22" x14ac:dyDescent="0.25">
      <c r="A96" s="333" t="s">
        <v>146</v>
      </c>
      <c r="B96" s="333" t="s">
        <v>932</v>
      </c>
      <c r="G96" s="333" t="s">
        <v>158</v>
      </c>
      <c r="H96" s="333" t="s">
        <v>157</v>
      </c>
      <c r="I96" s="333" t="s">
        <v>843</v>
      </c>
      <c r="J96" s="146">
        <v>41122</v>
      </c>
      <c r="K96" s="335">
        <v>0</v>
      </c>
      <c r="M96" s="333" t="s">
        <v>79</v>
      </c>
      <c r="N96" s="333" t="s">
        <v>80</v>
      </c>
      <c r="O96" s="333" t="s">
        <v>527</v>
      </c>
      <c r="P96" s="333" t="s">
        <v>527</v>
      </c>
      <c r="Q96" s="335">
        <v>0</v>
      </c>
      <c r="R96" s="335">
        <v>0</v>
      </c>
      <c r="U96" s="333" t="s">
        <v>115</v>
      </c>
      <c r="V96" s="333" t="s">
        <v>554</v>
      </c>
    </row>
    <row r="97" spans="1:22" x14ac:dyDescent="0.25">
      <c r="A97" s="333" t="s">
        <v>146</v>
      </c>
      <c r="B97" s="333" t="s">
        <v>372</v>
      </c>
      <c r="G97" s="333" t="s">
        <v>1260</v>
      </c>
      <c r="H97" s="333" t="s">
        <v>1259</v>
      </c>
      <c r="I97" s="333" t="s">
        <v>500</v>
      </c>
      <c r="J97" s="146">
        <v>42180</v>
      </c>
      <c r="K97" s="335">
        <v>59</v>
      </c>
      <c r="M97" s="333" t="s">
        <v>137</v>
      </c>
      <c r="N97" s="333" t="s">
        <v>138</v>
      </c>
      <c r="O97" s="333" t="s">
        <v>527</v>
      </c>
      <c r="P97" s="333" t="s">
        <v>527</v>
      </c>
      <c r="Q97" s="335">
        <v>0</v>
      </c>
      <c r="R97" s="335">
        <v>0</v>
      </c>
      <c r="U97" s="333" t="s">
        <v>79</v>
      </c>
      <c r="V97" s="333" t="s">
        <v>554</v>
      </c>
    </row>
    <row r="98" spans="1:22" x14ac:dyDescent="0.25">
      <c r="A98" s="333" t="s">
        <v>146</v>
      </c>
      <c r="B98" s="333" t="s">
        <v>369</v>
      </c>
      <c r="G98" s="333" t="s">
        <v>1268</v>
      </c>
      <c r="H98" s="333" t="s">
        <v>1271</v>
      </c>
      <c r="I98" s="333" t="s">
        <v>500</v>
      </c>
      <c r="J98" s="146">
        <v>42125</v>
      </c>
      <c r="K98" s="335">
        <v>7</v>
      </c>
      <c r="M98" s="333" t="s">
        <v>101</v>
      </c>
      <c r="N98" s="333" t="s">
        <v>102</v>
      </c>
      <c r="O98" s="333" t="s">
        <v>527</v>
      </c>
      <c r="P98" s="333" t="s">
        <v>527</v>
      </c>
      <c r="Q98" s="335">
        <v>0</v>
      </c>
      <c r="R98" s="335">
        <v>0</v>
      </c>
      <c r="U98" s="333" t="s">
        <v>137</v>
      </c>
      <c r="V98" s="333" t="s">
        <v>554</v>
      </c>
    </row>
    <row r="99" spans="1:22" x14ac:dyDescent="0.25">
      <c r="A99" s="333" t="s">
        <v>146</v>
      </c>
      <c r="B99" s="333" t="s">
        <v>370</v>
      </c>
      <c r="G99" s="333" t="s">
        <v>94</v>
      </c>
      <c r="H99" s="333" t="s">
        <v>93</v>
      </c>
      <c r="I99" s="333" t="s">
        <v>843</v>
      </c>
      <c r="J99" s="333" t="s">
        <v>1585</v>
      </c>
      <c r="K99" s="335">
        <v>0</v>
      </c>
      <c r="M99" s="333" t="s">
        <v>105</v>
      </c>
      <c r="N99" s="333" t="s">
        <v>106</v>
      </c>
      <c r="O99" s="333" t="s">
        <v>527</v>
      </c>
      <c r="P99" s="333" t="s">
        <v>527</v>
      </c>
      <c r="Q99" s="335">
        <v>0</v>
      </c>
      <c r="R99" s="335">
        <v>0</v>
      </c>
      <c r="U99" s="333" t="s">
        <v>101</v>
      </c>
      <c r="V99" s="333" t="s">
        <v>554</v>
      </c>
    </row>
    <row r="100" spans="1:22" x14ac:dyDescent="0.25">
      <c r="A100" s="333" t="s">
        <v>146</v>
      </c>
      <c r="B100" s="333" t="s">
        <v>368</v>
      </c>
      <c r="G100" s="333" t="s">
        <v>894</v>
      </c>
      <c r="H100" s="333" t="s">
        <v>895</v>
      </c>
      <c r="I100" s="333" t="s">
        <v>843</v>
      </c>
      <c r="J100" s="146">
        <v>41518</v>
      </c>
      <c r="K100" s="335">
        <v>0</v>
      </c>
      <c r="M100" s="333" t="s">
        <v>129</v>
      </c>
      <c r="N100" s="333" t="s">
        <v>130</v>
      </c>
      <c r="O100" s="333" t="s">
        <v>527</v>
      </c>
      <c r="P100" s="333" t="s">
        <v>527</v>
      </c>
      <c r="Q100" s="335">
        <v>0</v>
      </c>
      <c r="R100" s="335">
        <v>0</v>
      </c>
      <c r="U100" s="333" t="s">
        <v>105</v>
      </c>
      <c r="V100" s="333" t="s">
        <v>554</v>
      </c>
    </row>
    <row r="101" spans="1:22" x14ac:dyDescent="0.25">
      <c r="A101" s="333" t="s">
        <v>146</v>
      </c>
      <c r="B101" s="333" t="s">
        <v>371</v>
      </c>
      <c r="G101" s="333" t="s">
        <v>320</v>
      </c>
      <c r="H101" s="333" t="s">
        <v>319</v>
      </c>
      <c r="I101" s="333" t="s">
        <v>500</v>
      </c>
      <c r="J101" s="146">
        <v>41030</v>
      </c>
      <c r="K101" s="335">
        <v>27</v>
      </c>
      <c r="M101" s="333" t="s">
        <v>133</v>
      </c>
      <c r="N101" s="333" t="s">
        <v>134</v>
      </c>
      <c r="O101" s="333" t="s">
        <v>527</v>
      </c>
      <c r="P101" s="333" t="s">
        <v>527</v>
      </c>
      <c r="Q101" s="335">
        <v>0</v>
      </c>
      <c r="R101" s="335">
        <v>0</v>
      </c>
      <c r="U101" s="333" t="s">
        <v>129</v>
      </c>
      <c r="V101" s="333" t="s">
        <v>554</v>
      </c>
    </row>
    <row r="102" spans="1:22" x14ac:dyDescent="0.25">
      <c r="A102" s="333" t="s">
        <v>146</v>
      </c>
      <c r="B102" s="333" t="s">
        <v>367</v>
      </c>
      <c r="G102" s="333" t="s">
        <v>322</v>
      </c>
      <c r="H102" s="333" t="s">
        <v>321</v>
      </c>
      <c r="I102" s="333" t="s">
        <v>500</v>
      </c>
      <c r="J102" s="146">
        <v>40695</v>
      </c>
      <c r="K102" s="335">
        <v>585</v>
      </c>
      <c r="M102" s="333" t="s">
        <v>113</v>
      </c>
      <c r="N102" s="333" t="s">
        <v>114</v>
      </c>
      <c r="O102" s="333" t="s">
        <v>527</v>
      </c>
      <c r="P102" s="333" t="s">
        <v>527</v>
      </c>
      <c r="Q102" s="335">
        <v>0</v>
      </c>
      <c r="R102" s="335">
        <v>0</v>
      </c>
      <c r="U102" s="333" t="s">
        <v>133</v>
      </c>
      <c r="V102" s="333" t="s">
        <v>554</v>
      </c>
    </row>
    <row r="103" spans="1:22" x14ac:dyDescent="0.25">
      <c r="A103" s="333" t="s">
        <v>146</v>
      </c>
      <c r="B103" s="333" t="s">
        <v>149</v>
      </c>
      <c r="G103" s="333" t="s">
        <v>200</v>
      </c>
      <c r="H103" s="333" t="s">
        <v>199</v>
      </c>
      <c r="I103" s="333" t="s">
        <v>500</v>
      </c>
      <c r="J103" s="333" t="s">
        <v>1585</v>
      </c>
      <c r="K103" s="335">
        <v>2</v>
      </c>
      <c r="M103" s="333" t="s">
        <v>107</v>
      </c>
      <c r="N103" s="333" t="s">
        <v>108</v>
      </c>
      <c r="O103" s="333" t="s">
        <v>527</v>
      </c>
      <c r="P103" s="333" t="s">
        <v>527</v>
      </c>
      <c r="Q103" s="335">
        <v>51</v>
      </c>
      <c r="R103" s="335">
        <v>225</v>
      </c>
      <c r="U103" s="333" t="s">
        <v>113</v>
      </c>
      <c r="V103" s="333" t="s">
        <v>554</v>
      </c>
    </row>
    <row r="104" spans="1:22" x14ac:dyDescent="0.25">
      <c r="A104" s="333" t="s">
        <v>146</v>
      </c>
      <c r="B104" s="333" t="s">
        <v>373</v>
      </c>
      <c r="G104" s="333" t="s">
        <v>1403</v>
      </c>
      <c r="H104" s="333" t="s">
        <v>1395</v>
      </c>
      <c r="I104" s="333" t="s">
        <v>500</v>
      </c>
      <c r="J104" s="146">
        <v>42435</v>
      </c>
      <c r="K104" s="335">
        <v>146</v>
      </c>
      <c r="M104" s="333" t="s">
        <v>95</v>
      </c>
      <c r="N104" s="333" t="s">
        <v>96</v>
      </c>
      <c r="O104" s="333" t="s">
        <v>527</v>
      </c>
      <c r="P104" s="333" t="s">
        <v>527</v>
      </c>
      <c r="Q104" s="335">
        <v>0</v>
      </c>
      <c r="R104" s="335">
        <v>0</v>
      </c>
      <c r="U104" s="333" t="s">
        <v>107</v>
      </c>
      <c r="V104" s="333" t="s">
        <v>554</v>
      </c>
    </row>
    <row r="105" spans="1:22" x14ac:dyDescent="0.25">
      <c r="A105" s="333" t="s">
        <v>146</v>
      </c>
      <c r="B105" s="333" t="s">
        <v>1102</v>
      </c>
      <c r="G105" s="333" t="s">
        <v>328</v>
      </c>
      <c r="H105" s="333" t="s">
        <v>327</v>
      </c>
      <c r="I105" s="333" t="s">
        <v>500</v>
      </c>
      <c r="J105" s="146">
        <v>41456</v>
      </c>
      <c r="K105" s="335">
        <v>149</v>
      </c>
      <c r="M105" s="333" t="s">
        <v>139</v>
      </c>
      <c r="N105" s="333" t="s">
        <v>140</v>
      </c>
      <c r="O105" s="333" t="s">
        <v>527</v>
      </c>
      <c r="P105" s="333" t="s">
        <v>527</v>
      </c>
      <c r="Q105" s="335">
        <v>12</v>
      </c>
      <c r="R105" s="335">
        <v>43</v>
      </c>
      <c r="U105" s="333" t="s">
        <v>95</v>
      </c>
      <c r="V105" s="333" t="s">
        <v>554</v>
      </c>
    </row>
    <row r="106" spans="1:22" x14ac:dyDescent="0.25">
      <c r="A106" s="333" t="s">
        <v>146</v>
      </c>
      <c r="B106" s="333" t="s">
        <v>1315</v>
      </c>
      <c r="G106" s="333" t="s">
        <v>330</v>
      </c>
      <c r="H106" s="333" t="s">
        <v>329</v>
      </c>
      <c r="I106" s="333" t="s">
        <v>500</v>
      </c>
      <c r="J106" s="146">
        <v>41426</v>
      </c>
      <c r="K106" s="335">
        <v>223</v>
      </c>
      <c r="M106" s="333" t="s">
        <v>135</v>
      </c>
      <c r="N106" s="333" t="s">
        <v>136</v>
      </c>
      <c r="O106" s="333" t="s">
        <v>527</v>
      </c>
      <c r="P106" s="333" t="s">
        <v>527</v>
      </c>
      <c r="Q106" s="335">
        <v>0</v>
      </c>
      <c r="R106" s="335">
        <v>0</v>
      </c>
      <c r="U106" s="333" t="s">
        <v>139</v>
      </c>
      <c r="V106" s="333" t="s">
        <v>554</v>
      </c>
    </row>
    <row r="107" spans="1:22" x14ac:dyDescent="0.25">
      <c r="A107" s="333" t="s">
        <v>146</v>
      </c>
      <c r="B107" s="333" t="s">
        <v>1403</v>
      </c>
      <c r="G107" s="333" t="s">
        <v>324</v>
      </c>
      <c r="H107" s="333" t="s">
        <v>323</v>
      </c>
      <c r="I107" s="333" t="s">
        <v>500</v>
      </c>
      <c r="J107" s="146">
        <v>41061</v>
      </c>
      <c r="K107" s="335">
        <v>471</v>
      </c>
      <c r="M107" s="333" t="s">
        <v>93</v>
      </c>
      <c r="N107" s="333" t="s">
        <v>94</v>
      </c>
      <c r="O107" s="333" t="s">
        <v>527</v>
      </c>
      <c r="P107" s="333" t="s">
        <v>527</v>
      </c>
      <c r="Q107" s="335">
        <v>0</v>
      </c>
      <c r="R107" s="335">
        <v>0</v>
      </c>
      <c r="U107" s="333" t="s">
        <v>135</v>
      </c>
      <c r="V107" s="333" t="s">
        <v>554</v>
      </c>
    </row>
    <row r="108" spans="1:22" x14ac:dyDescent="0.25">
      <c r="A108" s="333" t="s">
        <v>146</v>
      </c>
      <c r="B108" s="333" t="s">
        <v>1406</v>
      </c>
      <c r="G108" s="333" t="s">
        <v>326</v>
      </c>
      <c r="H108" s="333" t="s">
        <v>325</v>
      </c>
      <c r="I108" s="333" t="s">
        <v>500</v>
      </c>
      <c r="J108" s="146">
        <v>40878</v>
      </c>
      <c r="K108" s="335">
        <v>45</v>
      </c>
      <c r="M108" s="333" t="s">
        <v>121</v>
      </c>
      <c r="N108" s="333" t="s">
        <v>122</v>
      </c>
      <c r="O108" s="333" t="s">
        <v>527</v>
      </c>
      <c r="P108" s="333" t="s">
        <v>527</v>
      </c>
      <c r="Q108" s="335">
        <v>0</v>
      </c>
      <c r="R108" s="335">
        <v>0</v>
      </c>
      <c r="U108" s="333" t="s">
        <v>93</v>
      </c>
      <c r="V108" s="333" t="s">
        <v>554</v>
      </c>
    </row>
    <row r="109" spans="1:22" x14ac:dyDescent="0.25">
      <c r="A109" s="333" t="s">
        <v>146</v>
      </c>
      <c r="B109" s="333" t="s">
        <v>1422</v>
      </c>
      <c r="G109" s="333" t="s">
        <v>885</v>
      </c>
      <c r="H109" s="333" t="s">
        <v>886</v>
      </c>
      <c r="I109" s="333" t="s">
        <v>500</v>
      </c>
      <c r="J109" s="146">
        <v>41548</v>
      </c>
      <c r="K109" s="335">
        <v>389</v>
      </c>
      <c r="M109" s="333" t="s">
        <v>71</v>
      </c>
      <c r="N109" s="333" t="s">
        <v>72</v>
      </c>
      <c r="O109" s="333" t="s">
        <v>527</v>
      </c>
      <c r="P109" s="333" t="s">
        <v>527</v>
      </c>
      <c r="Q109" s="335">
        <v>6</v>
      </c>
      <c r="R109" s="335">
        <v>30</v>
      </c>
      <c r="U109" s="333" t="s">
        <v>121</v>
      </c>
      <c r="V109" s="333" t="s">
        <v>554</v>
      </c>
    </row>
    <row r="110" spans="1:22" x14ac:dyDescent="0.25">
      <c r="A110" s="333" t="s">
        <v>146</v>
      </c>
      <c r="B110" s="333" t="s">
        <v>1658</v>
      </c>
      <c r="G110" s="333" t="s">
        <v>942</v>
      </c>
      <c r="H110" s="333" t="s">
        <v>941</v>
      </c>
      <c r="I110" s="333" t="s">
        <v>500</v>
      </c>
      <c r="J110" s="146">
        <v>41548</v>
      </c>
      <c r="K110" s="335">
        <v>167</v>
      </c>
      <c r="M110" s="333" t="s">
        <v>131</v>
      </c>
      <c r="N110" s="333" t="s">
        <v>132</v>
      </c>
      <c r="O110" s="333" t="s">
        <v>527</v>
      </c>
      <c r="P110" s="333" t="s">
        <v>527</v>
      </c>
      <c r="Q110" s="335">
        <v>0</v>
      </c>
      <c r="R110" s="335">
        <v>0</v>
      </c>
      <c r="U110" s="333" t="s">
        <v>71</v>
      </c>
      <c r="V110" s="333" t="s">
        <v>554</v>
      </c>
    </row>
    <row r="111" spans="1:22" x14ac:dyDescent="0.25">
      <c r="A111" s="333" t="s">
        <v>892</v>
      </c>
      <c r="B111" s="333" t="s">
        <v>894</v>
      </c>
      <c r="G111" s="333" t="s">
        <v>259</v>
      </c>
      <c r="H111" s="333" t="s">
        <v>258</v>
      </c>
      <c r="I111" s="333" t="s">
        <v>500</v>
      </c>
      <c r="J111" s="146">
        <v>40756</v>
      </c>
      <c r="K111" s="335">
        <v>61</v>
      </c>
      <c r="M111" s="333" t="s">
        <v>356</v>
      </c>
      <c r="N111" s="333" t="s">
        <v>1245</v>
      </c>
      <c r="O111" s="333" t="s">
        <v>310</v>
      </c>
      <c r="P111" s="333" t="s">
        <v>310</v>
      </c>
      <c r="Q111" s="335">
        <v>404</v>
      </c>
      <c r="R111" s="335">
        <v>1894</v>
      </c>
      <c r="U111" s="333" t="s">
        <v>131</v>
      </c>
      <c r="V111" s="333" t="s">
        <v>554</v>
      </c>
    </row>
    <row r="112" spans="1:22" x14ac:dyDescent="0.25">
      <c r="A112" s="333" t="s">
        <v>151</v>
      </c>
      <c r="B112" s="333" t="s">
        <v>882</v>
      </c>
      <c r="G112" s="333" t="s">
        <v>202</v>
      </c>
      <c r="H112" s="333" t="s">
        <v>201</v>
      </c>
      <c r="I112" s="333" t="s">
        <v>500</v>
      </c>
      <c r="J112" s="146">
        <v>41030</v>
      </c>
      <c r="K112" s="335">
        <v>265</v>
      </c>
      <c r="M112" s="333" t="s">
        <v>333</v>
      </c>
      <c r="N112" s="333" t="s">
        <v>334</v>
      </c>
      <c r="O112" s="333" t="s">
        <v>310</v>
      </c>
      <c r="P112" s="333" t="s">
        <v>310</v>
      </c>
      <c r="Q112" s="335">
        <v>161</v>
      </c>
      <c r="R112" s="335">
        <v>637</v>
      </c>
      <c r="U112" s="333" t="s">
        <v>356</v>
      </c>
      <c r="V112" s="333" t="s">
        <v>554</v>
      </c>
    </row>
    <row r="113" spans="1:22" x14ac:dyDescent="0.25">
      <c r="A113" s="333" t="s">
        <v>151</v>
      </c>
      <c r="B113" s="333" t="s">
        <v>877</v>
      </c>
      <c r="G113" s="333" t="s">
        <v>261</v>
      </c>
      <c r="H113" s="333" t="s">
        <v>260</v>
      </c>
      <c r="I113" s="333" t="s">
        <v>500</v>
      </c>
      <c r="J113" s="146">
        <v>40725</v>
      </c>
      <c r="K113" s="335">
        <v>101</v>
      </c>
      <c r="M113" s="333" t="s">
        <v>357</v>
      </c>
      <c r="N113" s="333" t="s">
        <v>358</v>
      </c>
      <c r="O113" s="333" t="s">
        <v>310</v>
      </c>
      <c r="P113" s="333" t="s">
        <v>310</v>
      </c>
      <c r="Q113" s="335">
        <v>0</v>
      </c>
      <c r="R113" s="335">
        <v>0</v>
      </c>
      <c r="U113" s="333" t="s">
        <v>333</v>
      </c>
      <c r="V113" s="333" t="s">
        <v>554</v>
      </c>
    </row>
    <row r="114" spans="1:22" x14ac:dyDescent="0.25">
      <c r="A114" s="333" t="s">
        <v>151</v>
      </c>
      <c r="B114" s="333" t="s">
        <v>878</v>
      </c>
      <c r="G114" s="333" t="s">
        <v>1499</v>
      </c>
      <c r="H114" s="333" t="s">
        <v>1487</v>
      </c>
      <c r="I114" s="333" t="s">
        <v>500</v>
      </c>
      <c r="J114" s="333" t="s">
        <v>1585</v>
      </c>
      <c r="K114" s="335">
        <v>37</v>
      </c>
      <c r="M114" s="333" t="s">
        <v>335</v>
      </c>
      <c r="N114" s="333" t="s">
        <v>336</v>
      </c>
      <c r="O114" s="333" t="s">
        <v>310</v>
      </c>
      <c r="P114" s="333" t="s">
        <v>310</v>
      </c>
      <c r="Q114" s="335">
        <v>40</v>
      </c>
      <c r="R114" s="335">
        <v>225</v>
      </c>
      <c r="U114" s="333" t="s">
        <v>357</v>
      </c>
      <c r="V114" s="333" t="s">
        <v>554</v>
      </c>
    </row>
    <row r="115" spans="1:22" x14ac:dyDescent="0.25">
      <c r="A115" s="333" t="s">
        <v>151</v>
      </c>
      <c r="B115" s="333" t="s">
        <v>188</v>
      </c>
      <c r="G115" s="333" t="s">
        <v>876</v>
      </c>
      <c r="H115" s="333" t="s">
        <v>870</v>
      </c>
      <c r="I115" s="333" t="s">
        <v>843</v>
      </c>
      <c r="J115" s="333" t="s">
        <v>1585</v>
      </c>
      <c r="K115" s="335">
        <v>0</v>
      </c>
      <c r="M115" s="333" t="s">
        <v>352</v>
      </c>
      <c r="N115" s="333" t="s">
        <v>353</v>
      </c>
      <c r="O115" s="333" t="s">
        <v>310</v>
      </c>
      <c r="P115" s="333" t="s">
        <v>310</v>
      </c>
      <c r="Q115" s="335">
        <v>1371</v>
      </c>
      <c r="R115" s="335">
        <v>6701</v>
      </c>
      <c r="U115" s="333" t="s">
        <v>335</v>
      </c>
      <c r="V115" s="333" t="s">
        <v>554</v>
      </c>
    </row>
    <row r="116" spans="1:22" x14ac:dyDescent="0.25">
      <c r="A116" s="333" t="s">
        <v>151</v>
      </c>
      <c r="B116" s="333" t="s">
        <v>12</v>
      </c>
      <c r="G116" s="333" t="s">
        <v>875</v>
      </c>
      <c r="H116" s="333" t="s">
        <v>874</v>
      </c>
      <c r="I116" s="333" t="s">
        <v>843</v>
      </c>
      <c r="J116" s="333" t="s">
        <v>1585</v>
      </c>
      <c r="K116" s="335">
        <v>0</v>
      </c>
      <c r="M116" s="333" t="s">
        <v>314</v>
      </c>
      <c r="N116" s="333" t="s">
        <v>1248</v>
      </c>
      <c r="O116" s="333" t="s">
        <v>310</v>
      </c>
      <c r="P116" s="333" t="s">
        <v>310</v>
      </c>
      <c r="Q116" s="335">
        <v>0</v>
      </c>
      <c r="R116" s="335">
        <v>0</v>
      </c>
      <c r="U116" s="333" t="s">
        <v>352</v>
      </c>
      <c r="V116" s="333" t="s">
        <v>554</v>
      </c>
    </row>
    <row r="117" spans="1:22" x14ac:dyDescent="0.25">
      <c r="A117" s="333" t="s">
        <v>151</v>
      </c>
      <c r="B117" s="333" t="s">
        <v>884</v>
      </c>
      <c r="G117" s="333" t="s">
        <v>204</v>
      </c>
      <c r="H117" s="333" t="s">
        <v>203</v>
      </c>
      <c r="I117" s="333" t="s">
        <v>500</v>
      </c>
      <c r="J117" s="333" t="s">
        <v>1585</v>
      </c>
      <c r="K117" s="335">
        <v>28</v>
      </c>
      <c r="M117" s="333" t="s">
        <v>331</v>
      </c>
      <c r="N117" s="333" t="s">
        <v>332</v>
      </c>
      <c r="O117" s="333" t="s">
        <v>310</v>
      </c>
      <c r="P117" s="333" t="s">
        <v>310</v>
      </c>
      <c r="Q117" s="335">
        <v>0</v>
      </c>
      <c r="R117" s="335">
        <v>0</v>
      </c>
      <c r="U117" s="333" t="s">
        <v>314</v>
      </c>
      <c r="V117" s="333" t="s">
        <v>554</v>
      </c>
    </row>
    <row r="118" spans="1:22" x14ac:dyDescent="0.25">
      <c r="A118" s="333" t="s">
        <v>151</v>
      </c>
      <c r="B118" s="333" t="s">
        <v>516</v>
      </c>
      <c r="G118" s="333" t="s">
        <v>1416</v>
      </c>
      <c r="H118" s="333" t="s">
        <v>1397</v>
      </c>
      <c r="I118" s="333" t="s">
        <v>500</v>
      </c>
      <c r="J118" s="146">
        <v>42370</v>
      </c>
      <c r="K118" s="335">
        <v>36</v>
      </c>
      <c r="M118" s="333" t="s">
        <v>321</v>
      </c>
      <c r="N118" s="333" t="s">
        <v>322</v>
      </c>
      <c r="O118" s="333" t="s">
        <v>310</v>
      </c>
      <c r="P118" s="333" t="s">
        <v>310</v>
      </c>
      <c r="Q118" s="335">
        <v>585</v>
      </c>
      <c r="R118" s="335">
        <v>2585</v>
      </c>
      <c r="U118" s="333" t="s">
        <v>331</v>
      </c>
      <c r="V118" s="333" t="s">
        <v>554</v>
      </c>
    </row>
    <row r="119" spans="1:22" x14ac:dyDescent="0.25">
      <c r="A119" s="333" t="s">
        <v>151</v>
      </c>
      <c r="B119" s="333" t="s">
        <v>198</v>
      </c>
      <c r="G119" s="333" t="s">
        <v>205</v>
      </c>
      <c r="H119" s="333" t="s">
        <v>392</v>
      </c>
      <c r="I119" s="333" t="s">
        <v>500</v>
      </c>
      <c r="J119" s="333" t="s">
        <v>1585</v>
      </c>
      <c r="K119" s="335"/>
      <c r="M119" s="333" t="s">
        <v>345</v>
      </c>
      <c r="N119" s="333" t="s">
        <v>1243</v>
      </c>
      <c r="O119" s="333" t="s">
        <v>310</v>
      </c>
      <c r="P119" s="333" t="s">
        <v>310</v>
      </c>
      <c r="Q119" s="335">
        <v>174</v>
      </c>
      <c r="R119" s="335">
        <v>956</v>
      </c>
      <c r="U119" s="333" t="s">
        <v>321</v>
      </c>
      <c r="V119" s="333" t="s">
        <v>554</v>
      </c>
    </row>
    <row r="120" spans="1:22" x14ac:dyDescent="0.25">
      <c r="A120" s="333" t="s">
        <v>151</v>
      </c>
      <c r="B120" s="333" t="s">
        <v>158</v>
      </c>
      <c r="G120" s="333" t="s">
        <v>160</v>
      </c>
      <c r="H120" s="333" t="s">
        <v>159</v>
      </c>
      <c r="I120" s="333" t="s">
        <v>500</v>
      </c>
      <c r="J120" s="146">
        <v>40940</v>
      </c>
      <c r="K120" s="335">
        <v>107</v>
      </c>
      <c r="M120" s="333" t="s">
        <v>195</v>
      </c>
      <c r="N120" s="333" t="s">
        <v>196</v>
      </c>
      <c r="O120" s="333" t="s">
        <v>310</v>
      </c>
      <c r="P120" s="333" t="s">
        <v>310</v>
      </c>
      <c r="Q120" s="335">
        <v>1649</v>
      </c>
      <c r="R120" s="335">
        <v>8965</v>
      </c>
      <c r="U120" s="333" t="s">
        <v>345</v>
      </c>
      <c r="V120" s="333" t="s">
        <v>554</v>
      </c>
    </row>
    <row r="121" spans="1:22" x14ac:dyDescent="0.25">
      <c r="A121" s="333" t="s">
        <v>151</v>
      </c>
      <c r="B121" s="333" t="s">
        <v>885</v>
      </c>
      <c r="G121" s="333" t="s">
        <v>1095</v>
      </c>
      <c r="H121" s="333" t="s">
        <v>1096</v>
      </c>
      <c r="I121" s="333" t="s">
        <v>500</v>
      </c>
      <c r="J121" s="146">
        <v>41730</v>
      </c>
      <c r="K121" s="335">
        <v>112</v>
      </c>
      <c r="M121" s="333" t="s">
        <v>193</v>
      </c>
      <c r="N121" s="333" t="s">
        <v>194</v>
      </c>
      <c r="O121" s="333" t="s">
        <v>185</v>
      </c>
      <c r="P121" s="333" t="s">
        <v>185</v>
      </c>
      <c r="Q121" s="335">
        <v>641</v>
      </c>
      <c r="R121" s="335">
        <v>2862</v>
      </c>
      <c r="U121" s="333" t="s">
        <v>195</v>
      </c>
      <c r="V121" s="333" t="s">
        <v>554</v>
      </c>
    </row>
    <row r="122" spans="1:22" x14ac:dyDescent="0.25">
      <c r="A122" s="333" t="s">
        <v>151</v>
      </c>
      <c r="B122" s="333" t="s">
        <v>876</v>
      </c>
      <c r="G122" s="333" t="s">
        <v>154</v>
      </c>
      <c r="H122" s="333" t="s">
        <v>153</v>
      </c>
      <c r="I122" s="333" t="s">
        <v>500</v>
      </c>
      <c r="J122" s="146">
        <v>40848</v>
      </c>
      <c r="K122" s="335">
        <v>480</v>
      </c>
      <c r="M122" s="333" t="s">
        <v>191</v>
      </c>
      <c r="N122" s="333" t="s">
        <v>192</v>
      </c>
      <c r="O122" s="333" t="s">
        <v>185</v>
      </c>
      <c r="P122" s="333" t="s">
        <v>185</v>
      </c>
      <c r="Q122" s="335">
        <v>109</v>
      </c>
      <c r="R122" s="335">
        <v>408</v>
      </c>
      <c r="U122" s="333" t="s">
        <v>193</v>
      </c>
      <c r="V122" s="333" t="s">
        <v>554</v>
      </c>
    </row>
    <row r="123" spans="1:22" x14ac:dyDescent="0.25">
      <c r="A123" s="333" t="s">
        <v>151</v>
      </c>
      <c r="B123" s="333" t="s">
        <v>875</v>
      </c>
      <c r="G123" s="333" t="s">
        <v>1061</v>
      </c>
      <c r="H123" s="333" t="s">
        <v>1062</v>
      </c>
      <c r="I123" s="333" t="s">
        <v>500</v>
      </c>
      <c r="J123" s="146">
        <v>41791</v>
      </c>
      <c r="K123" s="335">
        <v>147</v>
      </c>
      <c r="M123" s="333" t="s">
        <v>218</v>
      </c>
      <c r="N123" s="333" t="s">
        <v>219</v>
      </c>
      <c r="O123" s="333" t="s">
        <v>185</v>
      </c>
      <c r="P123" s="333" t="s">
        <v>185</v>
      </c>
      <c r="Q123" s="335">
        <v>599</v>
      </c>
      <c r="R123" s="335">
        <v>3633</v>
      </c>
      <c r="U123" s="333" t="s">
        <v>191</v>
      </c>
      <c r="V123" s="333" t="s">
        <v>554</v>
      </c>
    </row>
    <row r="124" spans="1:22" x14ac:dyDescent="0.25">
      <c r="A124" s="333" t="s">
        <v>151</v>
      </c>
      <c r="B124" s="333" t="s">
        <v>160</v>
      </c>
      <c r="G124" s="333" t="s">
        <v>156</v>
      </c>
      <c r="H124" s="333" t="s">
        <v>155</v>
      </c>
      <c r="I124" s="333" t="s">
        <v>500</v>
      </c>
      <c r="J124" s="333" t="s">
        <v>1585</v>
      </c>
      <c r="K124" s="335">
        <v>175</v>
      </c>
      <c r="M124" s="333" t="s">
        <v>197</v>
      </c>
      <c r="N124" s="333" t="s">
        <v>198</v>
      </c>
      <c r="O124" s="333" t="s">
        <v>151</v>
      </c>
      <c r="P124" s="333" t="s">
        <v>151</v>
      </c>
      <c r="Q124" s="335">
        <v>547</v>
      </c>
      <c r="R124" s="335">
        <v>2576</v>
      </c>
      <c r="U124" s="333" t="s">
        <v>218</v>
      </c>
      <c r="V124" s="333" t="s">
        <v>554</v>
      </c>
    </row>
    <row r="125" spans="1:22" x14ac:dyDescent="0.25">
      <c r="A125" s="333" t="s">
        <v>151</v>
      </c>
      <c r="B125" s="333" t="s">
        <v>154</v>
      </c>
      <c r="G125" s="333" t="s">
        <v>332</v>
      </c>
      <c r="H125" s="333" t="s">
        <v>331</v>
      </c>
      <c r="I125" s="333" t="s">
        <v>843</v>
      </c>
      <c r="J125" s="333" t="s">
        <v>1585</v>
      </c>
      <c r="K125" s="335">
        <v>0</v>
      </c>
      <c r="M125" s="333" t="s">
        <v>187</v>
      </c>
      <c r="N125" s="333" t="s">
        <v>188</v>
      </c>
      <c r="O125" s="333" t="s">
        <v>151</v>
      </c>
      <c r="P125" s="333" t="s">
        <v>151</v>
      </c>
      <c r="Q125" s="335">
        <v>418</v>
      </c>
      <c r="R125" s="335">
        <v>2109</v>
      </c>
      <c r="U125" s="333" t="s">
        <v>197</v>
      </c>
      <c r="V125" s="333" t="s">
        <v>554</v>
      </c>
    </row>
    <row r="126" spans="1:22" x14ac:dyDescent="0.25">
      <c r="A126" s="333" t="s">
        <v>151</v>
      </c>
      <c r="B126" s="333" t="s">
        <v>156</v>
      </c>
      <c r="G126" s="333" t="s">
        <v>207</v>
      </c>
      <c r="H126" s="333" t="s">
        <v>206</v>
      </c>
      <c r="I126" s="333" t="s">
        <v>843</v>
      </c>
      <c r="J126" s="146">
        <v>40817</v>
      </c>
      <c r="K126" s="335"/>
      <c r="M126" s="333" t="s">
        <v>214</v>
      </c>
      <c r="N126" s="333" t="s">
        <v>215</v>
      </c>
      <c r="O126" s="333" t="s">
        <v>185</v>
      </c>
      <c r="P126" s="333" t="s">
        <v>185</v>
      </c>
      <c r="Q126" s="335">
        <v>355</v>
      </c>
      <c r="R126" s="335">
        <v>1684</v>
      </c>
      <c r="U126" s="333" t="s">
        <v>187</v>
      </c>
      <c r="V126" s="333" t="s">
        <v>554</v>
      </c>
    </row>
    <row r="127" spans="1:22" x14ac:dyDescent="0.25">
      <c r="A127" s="333" t="s">
        <v>151</v>
      </c>
      <c r="B127" s="333" t="s">
        <v>152</v>
      </c>
      <c r="G127" s="333" t="s">
        <v>167</v>
      </c>
      <c r="H127" s="333" t="s">
        <v>165</v>
      </c>
      <c r="I127" s="333" t="s">
        <v>500</v>
      </c>
      <c r="J127" s="146">
        <v>41000</v>
      </c>
      <c r="K127" s="335">
        <v>36</v>
      </c>
      <c r="M127" s="333" t="s">
        <v>153</v>
      </c>
      <c r="N127" s="333" t="s">
        <v>154</v>
      </c>
      <c r="O127" s="333" t="s">
        <v>151</v>
      </c>
      <c r="P127" s="333" t="s">
        <v>151</v>
      </c>
      <c r="Q127" s="335">
        <v>480</v>
      </c>
      <c r="R127" s="335">
        <v>2437</v>
      </c>
      <c r="U127" s="333" t="s">
        <v>214</v>
      </c>
      <c r="V127" s="333" t="s">
        <v>554</v>
      </c>
    </row>
    <row r="128" spans="1:22" x14ac:dyDescent="0.25">
      <c r="A128" s="333" t="s">
        <v>151</v>
      </c>
      <c r="B128" s="333" t="s">
        <v>296</v>
      </c>
      <c r="G128" s="333" t="s">
        <v>822</v>
      </c>
      <c r="H128" s="333" t="s">
        <v>823</v>
      </c>
      <c r="I128" s="333" t="s">
        <v>500</v>
      </c>
      <c r="J128" s="146">
        <v>41030</v>
      </c>
      <c r="K128" s="335">
        <v>29</v>
      </c>
      <c r="M128" s="333" t="s">
        <v>159</v>
      </c>
      <c r="N128" s="333" t="s">
        <v>160</v>
      </c>
      <c r="O128" s="333" t="s">
        <v>151</v>
      </c>
      <c r="P128" s="333" t="s">
        <v>151</v>
      </c>
      <c r="Q128" s="335">
        <v>107</v>
      </c>
      <c r="R128" s="335">
        <v>539</v>
      </c>
      <c r="U128" s="333" t="s">
        <v>153</v>
      </c>
      <c r="V128" s="333" t="s">
        <v>554</v>
      </c>
    </row>
    <row r="129" spans="1:22" x14ac:dyDescent="0.25">
      <c r="A129" s="333" t="s">
        <v>151</v>
      </c>
      <c r="B129" s="333" t="s">
        <v>518</v>
      </c>
      <c r="G129" s="333" t="s">
        <v>176</v>
      </c>
      <c r="H129" s="333" t="s">
        <v>175</v>
      </c>
      <c r="I129" s="333" t="s">
        <v>500</v>
      </c>
      <c r="J129" s="146">
        <v>41030</v>
      </c>
      <c r="K129" s="335">
        <v>15</v>
      </c>
      <c r="M129" s="333" t="s">
        <v>155</v>
      </c>
      <c r="N129" s="333" t="s">
        <v>156</v>
      </c>
      <c r="O129" s="333" t="s">
        <v>151</v>
      </c>
      <c r="P129" s="333" t="s">
        <v>151</v>
      </c>
      <c r="Q129" s="335">
        <v>175</v>
      </c>
      <c r="R129" s="335">
        <v>834</v>
      </c>
      <c r="U129" s="333" t="s">
        <v>159</v>
      </c>
      <c r="V129" s="333" t="s">
        <v>554</v>
      </c>
    </row>
    <row r="130" spans="1:22" x14ac:dyDescent="0.25">
      <c r="A130" s="333" t="s">
        <v>151</v>
      </c>
      <c r="B130" s="333" t="s">
        <v>162</v>
      </c>
      <c r="G130" s="333" t="s">
        <v>152</v>
      </c>
      <c r="H130" s="333" t="s">
        <v>150</v>
      </c>
      <c r="I130" s="333" t="s">
        <v>500</v>
      </c>
      <c r="J130" s="146">
        <v>41579</v>
      </c>
      <c r="K130" s="335">
        <v>195</v>
      </c>
      <c r="M130" s="333" t="s">
        <v>157</v>
      </c>
      <c r="N130" s="333" t="s">
        <v>158</v>
      </c>
      <c r="O130" s="333" t="s">
        <v>151</v>
      </c>
      <c r="P130" s="333" t="s">
        <v>151</v>
      </c>
      <c r="Q130" s="335">
        <v>0</v>
      </c>
      <c r="R130" s="335">
        <v>0</v>
      </c>
      <c r="U130" s="333" t="s">
        <v>155</v>
      </c>
      <c r="V130" s="333" t="s">
        <v>12</v>
      </c>
    </row>
    <row r="131" spans="1:22" x14ac:dyDescent="0.25">
      <c r="A131" s="333" t="s">
        <v>151</v>
      </c>
      <c r="B131" s="333" t="s">
        <v>865</v>
      </c>
      <c r="G131" s="333" t="s">
        <v>54</v>
      </c>
      <c r="H131" s="333" t="s">
        <v>53</v>
      </c>
      <c r="I131" s="333" t="s">
        <v>843</v>
      </c>
      <c r="J131" s="333" t="s">
        <v>1585</v>
      </c>
      <c r="K131" s="335">
        <v>0</v>
      </c>
      <c r="M131" s="333" t="s">
        <v>161</v>
      </c>
      <c r="N131" s="333" t="s">
        <v>162</v>
      </c>
      <c r="O131" s="333" t="s">
        <v>151</v>
      </c>
      <c r="P131" s="333" t="s">
        <v>151</v>
      </c>
      <c r="Q131" s="335">
        <v>0</v>
      </c>
      <c r="R131" s="335">
        <v>0</v>
      </c>
      <c r="U131" s="333" t="s">
        <v>157</v>
      </c>
      <c r="V131" s="333" t="s">
        <v>554</v>
      </c>
    </row>
    <row r="132" spans="1:22" x14ac:dyDescent="0.25">
      <c r="A132" s="333" t="s">
        <v>151</v>
      </c>
      <c r="B132" s="333" t="s">
        <v>866</v>
      </c>
      <c r="G132" s="333" t="s">
        <v>66</v>
      </c>
      <c r="H132" s="333" t="s">
        <v>65</v>
      </c>
      <c r="I132" s="333" t="s">
        <v>843</v>
      </c>
      <c r="J132" s="333" t="s">
        <v>1585</v>
      </c>
      <c r="K132" s="335">
        <v>0</v>
      </c>
      <c r="M132" s="333" t="s">
        <v>163</v>
      </c>
      <c r="N132" s="333" t="s">
        <v>164</v>
      </c>
      <c r="O132" s="333" t="s">
        <v>151</v>
      </c>
      <c r="P132" s="333" t="s">
        <v>151</v>
      </c>
      <c r="Q132" s="335">
        <v>0</v>
      </c>
      <c r="R132" s="335">
        <v>0</v>
      </c>
      <c r="U132" s="333" t="s">
        <v>161</v>
      </c>
      <c r="V132" s="333" t="s">
        <v>554</v>
      </c>
    </row>
    <row r="133" spans="1:22" x14ac:dyDescent="0.25">
      <c r="A133" s="333" t="s">
        <v>151</v>
      </c>
      <c r="B133" s="333" t="s">
        <v>164</v>
      </c>
      <c r="G133" s="333" t="s">
        <v>80</v>
      </c>
      <c r="H133" s="333" t="s">
        <v>79</v>
      </c>
      <c r="I133" s="333" t="s">
        <v>843</v>
      </c>
      <c r="J133" s="333" t="s">
        <v>1585</v>
      </c>
      <c r="K133" s="335">
        <v>0</v>
      </c>
      <c r="M133" s="333" t="s">
        <v>362</v>
      </c>
      <c r="N133" s="333" t="s">
        <v>35</v>
      </c>
      <c r="O133" s="333" t="s">
        <v>363</v>
      </c>
      <c r="P133" s="333" t="s">
        <v>363</v>
      </c>
      <c r="Q133" s="335">
        <v>0</v>
      </c>
      <c r="R133" s="335">
        <v>0</v>
      </c>
      <c r="U133" s="333" t="s">
        <v>163</v>
      </c>
      <c r="V133" s="333" t="s">
        <v>554</v>
      </c>
    </row>
    <row r="134" spans="1:22" x14ac:dyDescent="0.25">
      <c r="A134" s="333" t="s">
        <v>151</v>
      </c>
      <c r="B134" s="333" t="s">
        <v>887</v>
      </c>
      <c r="G134" s="333" t="s">
        <v>102</v>
      </c>
      <c r="H134" s="333" t="s">
        <v>101</v>
      </c>
      <c r="I134" s="333" t="s">
        <v>843</v>
      </c>
      <c r="J134" s="333" t="s">
        <v>1585</v>
      </c>
      <c r="K134" s="335">
        <v>0</v>
      </c>
      <c r="M134" s="333" t="s">
        <v>303</v>
      </c>
      <c r="N134" s="333" t="s">
        <v>304</v>
      </c>
      <c r="O134" s="333" t="s">
        <v>1182</v>
      </c>
      <c r="P134" s="333" t="s">
        <v>302</v>
      </c>
      <c r="Q134" s="335">
        <v>375</v>
      </c>
      <c r="R134" s="335">
        <v>1691</v>
      </c>
      <c r="U134" s="333" t="s">
        <v>362</v>
      </c>
      <c r="V134" s="333" t="s">
        <v>554</v>
      </c>
    </row>
    <row r="135" spans="1:22" x14ac:dyDescent="0.25">
      <c r="A135" s="333" t="s">
        <v>151</v>
      </c>
      <c r="B135" s="333" t="s">
        <v>942</v>
      </c>
      <c r="G135" s="333" t="s">
        <v>106</v>
      </c>
      <c r="H135" s="333" t="s">
        <v>105</v>
      </c>
      <c r="I135" s="333" t="s">
        <v>843</v>
      </c>
      <c r="J135" s="333" t="s">
        <v>1585</v>
      </c>
      <c r="K135" s="335">
        <v>0</v>
      </c>
      <c r="M135" s="333" t="s">
        <v>87</v>
      </c>
      <c r="N135" s="333" t="s">
        <v>88</v>
      </c>
      <c r="O135" s="333" t="s">
        <v>527</v>
      </c>
      <c r="P135" s="333" t="s">
        <v>527</v>
      </c>
      <c r="Q135" s="335">
        <v>13</v>
      </c>
      <c r="R135" s="335">
        <v>46</v>
      </c>
      <c r="U135" s="333" t="s">
        <v>303</v>
      </c>
      <c r="V135" s="333" t="s">
        <v>12</v>
      </c>
    </row>
    <row r="136" spans="1:22" x14ac:dyDescent="0.25">
      <c r="A136" s="333" t="s">
        <v>151</v>
      </c>
      <c r="B136" s="333" t="s">
        <v>1034</v>
      </c>
      <c r="G136" s="333" t="s">
        <v>116</v>
      </c>
      <c r="H136" s="333" t="s">
        <v>115</v>
      </c>
      <c r="I136" s="333" t="s">
        <v>843</v>
      </c>
      <c r="J136" s="333" t="s">
        <v>1585</v>
      </c>
      <c r="K136" s="335">
        <v>0</v>
      </c>
      <c r="M136" s="333" t="s">
        <v>339</v>
      </c>
      <c r="N136" s="333" t="s">
        <v>340</v>
      </c>
      <c r="O136" s="333" t="s">
        <v>310</v>
      </c>
      <c r="P136" s="333" t="s">
        <v>310</v>
      </c>
      <c r="Q136" s="335">
        <v>355</v>
      </c>
      <c r="R136" s="335">
        <v>4450</v>
      </c>
      <c r="U136" s="333" t="s">
        <v>87</v>
      </c>
      <c r="V136" s="333" t="s">
        <v>554</v>
      </c>
    </row>
    <row r="137" spans="1:22" x14ac:dyDescent="0.25">
      <c r="A137" s="333" t="s">
        <v>151</v>
      </c>
      <c r="B137" s="333" t="s">
        <v>1061</v>
      </c>
      <c r="G137" s="333" t="s">
        <v>130</v>
      </c>
      <c r="H137" s="333" t="s">
        <v>129</v>
      </c>
      <c r="I137" s="333" t="s">
        <v>843</v>
      </c>
      <c r="J137" s="333" t="s">
        <v>1585</v>
      </c>
      <c r="K137" s="335">
        <v>0</v>
      </c>
      <c r="M137" s="333" t="s">
        <v>286</v>
      </c>
      <c r="N137" s="333" t="s">
        <v>287</v>
      </c>
      <c r="O137" s="333" t="s">
        <v>1182</v>
      </c>
      <c r="P137" s="333" t="s">
        <v>180</v>
      </c>
      <c r="Q137" s="335">
        <v>19</v>
      </c>
      <c r="R137" s="335">
        <v>102</v>
      </c>
      <c r="U137" s="333" t="s">
        <v>339</v>
      </c>
      <c r="V137" s="333" t="s">
        <v>1235</v>
      </c>
    </row>
    <row r="138" spans="1:22" x14ac:dyDescent="0.25">
      <c r="A138" s="333" t="s">
        <v>151</v>
      </c>
      <c r="B138" s="333" t="s">
        <v>1095</v>
      </c>
      <c r="G138" s="333" t="s">
        <v>138</v>
      </c>
      <c r="H138" s="333" t="s">
        <v>137</v>
      </c>
      <c r="I138" s="333" t="s">
        <v>843</v>
      </c>
      <c r="J138" s="333" t="s">
        <v>1585</v>
      </c>
      <c r="K138" s="335">
        <v>0</v>
      </c>
      <c r="M138" s="333" t="s">
        <v>9</v>
      </c>
      <c r="N138" s="333" t="s">
        <v>10</v>
      </c>
      <c r="O138" s="333" t="s">
        <v>5</v>
      </c>
      <c r="P138" s="333" t="s">
        <v>5</v>
      </c>
      <c r="Q138" s="335">
        <v>0</v>
      </c>
      <c r="R138" s="335">
        <v>0</v>
      </c>
      <c r="U138" s="333" t="s">
        <v>286</v>
      </c>
      <c r="V138" s="333" t="s">
        <v>554</v>
      </c>
    </row>
    <row r="139" spans="1:22" x14ac:dyDescent="0.25">
      <c r="A139" s="333" t="s">
        <v>166</v>
      </c>
      <c r="B139" s="333" t="s">
        <v>167</v>
      </c>
      <c r="G139" s="333" t="s">
        <v>263</v>
      </c>
      <c r="H139" s="333" t="s">
        <v>262</v>
      </c>
      <c r="I139" s="333" t="s">
        <v>500</v>
      </c>
      <c r="J139" s="146">
        <v>40817</v>
      </c>
      <c r="K139" s="335">
        <v>21</v>
      </c>
      <c r="M139" s="333" t="s">
        <v>354</v>
      </c>
      <c r="N139" s="333" t="s">
        <v>355</v>
      </c>
      <c r="O139" s="333" t="s">
        <v>310</v>
      </c>
      <c r="P139" s="333" t="s">
        <v>310</v>
      </c>
      <c r="Q139" s="335">
        <v>98</v>
      </c>
      <c r="R139" s="335">
        <v>563</v>
      </c>
      <c r="U139" s="333" t="s">
        <v>9</v>
      </c>
      <c r="V139" s="333" t="s">
        <v>12</v>
      </c>
    </row>
    <row r="140" spans="1:22" x14ac:dyDescent="0.25">
      <c r="A140" s="333" t="s">
        <v>166</v>
      </c>
      <c r="B140" s="333" t="s">
        <v>822</v>
      </c>
      <c r="G140" s="333" t="s">
        <v>265</v>
      </c>
      <c r="H140" s="333" t="s">
        <v>264</v>
      </c>
      <c r="I140" s="333" t="s">
        <v>500</v>
      </c>
      <c r="J140" s="146">
        <v>40817</v>
      </c>
      <c r="K140" s="335">
        <v>14</v>
      </c>
      <c r="M140" s="333" t="s">
        <v>272</v>
      </c>
      <c r="N140" s="333" t="s">
        <v>273</v>
      </c>
      <c r="O140" s="333" t="s">
        <v>237</v>
      </c>
      <c r="P140" s="333" t="s">
        <v>237</v>
      </c>
      <c r="Q140" s="335">
        <v>46</v>
      </c>
      <c r="R140" s="335">
        <v>278</v>
      </c>
      <c r="U140" s="333" t="s">
        <v>354</v>
      </c>
      <c r="V140" s="333" t="s">
        <v>554</v>
      </c>
    </row>
    <row r="141" spans="1:22" x14ac:dyDescent="0.25">
      <c r="A141" s="333" t="s">
        <v>166</v>
      </c>
      <c r="B141" s="333" t="s">
        <v>1416</v>
      </c>
      <c r="G141" s="333" t="s">
        <v>136</v>
      </c>
      <c r="H141" s="333" t="s">
        <v>135</v>
      </c>
      <c r="I141" s="333" t="s">
        <v>843</v>
      </c>
      <c r="J141" s="333" t="s">
        <v>1585</v>
      </c>
      <c r="K141" s="335">
        <v>0</v>
      </c>
      <c r="M141" s="333" t="s">
        <v>11</v>
      </c>
      <c r="N141" s="333" t="s">
        <v>12</v>
      </c>
      <c r="O141" s="333" t="s">
        <v>5</v>
      </c>
      <c r="P141" s="333" t="s">
        <v>5</v>
      </c>
      <c r="Q141" s="335">
        <v>197</v>
      </c>
      <c r="R141" s="335">
        <v>957</v>
      </c>
      <c r="U141" s="333" t="s">
        <v>272</v>
      </c>
      <c r="V141" s="333" t="s">
        <v>554</v>
      </c>
    </row>
    <row r="142" spans="1:22" x14ac:dyDescent="0.25">
      <c r="A142" s="333" t="s">
        <v>173</v>
      </c>
      <c r="B142" s="333" t="s">
        <v>174</v>
      </c>
      <c r="G142" s="333" t="s">
        <v>68</v>
      </c>
      <c r="H142" s="333" t="s">
        <v>67</v>
      </c>
      <c r="I142" s="333" t="s">
        <v>843</v>
      </c>
      <c r="J142" s="333" t="s">
        <v>1585</v>
      </c>
      <c r="K142" s="335">
        <v>0</v>
      </c>
      <c r="M142" s="333" t="s">
        <v>91</v>
      </c>
      <c r="N142" s="333" t="s">
        <v>92</v>
      </c>
      <c r="O142" s="333" t="s">
        <v>527</v>
      </c>
      <c r="P142" s="333" t="s">
        <v>527</v>
      </c>
      <c r="Q142" s="335">
        <v>15</v>
      </c>
      <c r="R142" s="335">
        <v>73</v>
      </c>
      <c r="U142" s="333" t="s">
        <v>11</v>
      </c>
      <c r="V142" s="333" t="s">
        <v>12</v>
      </c>
    </row>
    <row r="143" spans="1:22" x14ac:dyDescent="0.25">
      <c r="A143" s="333" t="s">
        <v>173</v>
      </c>
      <c r="B143" s="333" t="s">
        <v>176</v>
      </c>
      <c r="G143" s="333" t="s">
        <v>84</v>
      </c>
      <c r="H143" s="333" t="s">
        <v>83</v>
      </c>
      <c r="I143" s="333" t="s">
        <v>843</v>
      </c>
      <c r="J143" s="333" t="s">
        <v>1585</v>
      </c>
      <c r="K143" s="335">
        <v>0</v>
      </c>
      <c r="M143" s="333" t="s">
        <v>119</v>
      </c>
      <c r="N143" s="333" t="s">
        <v>120</v>
      </c>
      <c r="O143" s="333" t="s">
        <v>527</v>
      </c>
      <c r="P143" s="333" t="s">
        <v>527</v>
      </c>
      <c r="Q143" s="335">
        <v>72</v>
      </c>
      <c r="R143" s="335">
        <v>363</v>
      </c>
      <c r="U143" s="333" t="s">
        <v>91</v>
      </c>
      <c r="V143" s="333" t="s">
        <v>554</v>
      </c>
    </row>
    <row r="144" spans="1:22" x14ac:dyDescent="0.25">
      <c r="A144" s="333" t="s">
        <v>173</v>
      </c>
      <c r="B144" s="333" t="s">
        <v>178</v>
      </c>
      <c r="G144" s="333" t="s">
        <v>86</v>
      </c>
      <c r="H144" s="333" t="s">
        <v>85</v>
      </c>
      <c r="I144" s="333" t="s">
        <v>843</v>
      </c>
      <c r="J144" s="333" t="s">
        <v>1585</v>
      </c>
      <c r="K144" s="335">
        <v>0</v>
      </c>
      <c r="M144" s="333" t="s">
        <v>51</v>
      </c>
      <c r="N144" s="333" t="s">
        <v>52</v>
      </c>
      <c r="O144" s="333" t="s">
        <v>527</v>
      </c>
      <c r="P144" s="333" t="s">
        <v>527</v>
      </c>
      <c r="Q144" s="335">
        <v>38</v>
      </c>
      <c r="R144" s="335">
        <v>233</v>
      </c>
      <c r="U144" s="333" t="s">
        <v>119</v>
      </c>
      <c r="V144" s="333" t="s">
        <v>554</v>
      </c>
    </row>
    <row r="145" spans="1:22" x14ac:dyDescent="0.25">
      <c r="A145" s="333" t="s">
        <v>173</v>
      </c>
      <c r="B145" s="333" t="s">
        <v>1278</v>
      </c>
      <c r="G145" s="333" t="s">
        <v>100</v>
      </c>
      <c r="H145" s="333" t="s">
        <v>99</v>
      </c>
      <c r="I145" s="333" t="s">
        <v>500</v>
      </c>
      <c r="J145" s="146">
        <v>41122</v>
      </c>
      <c r="K145" s="335">
        <v>4</v>
      </c>
      <c r="M145" s="333" t="s">
        <v>47</v>
      </c>
      <c r="N145" s="333" t="s">
        <v>48</v>
      </c>
      <c r="O145" s="333" t="s">
        <v>527</v>
      </c>
      <c r="P145" s="333" t="s">
        <v>527</v>
      </c>
      <c r="Q145" s="335">
        <v>0</v>
      </c>
      <c r="R145" s="335">
        <v>0</v>
      </c>
      <c r="U145" s="333" t="s">
        <v>51</v>
      </c>
      <c r="V145" s="333" t="s">
        <v>554</v>
      </c>
    </row>
    <row r="146" spans="1:22" x14ac:dyDescent="0.25">
      <c r="A146" s="333" t="s">
        <v>173</v>
      </c>
      <c r="B146" s="333" t="s">
        <v>1277</v>
      </c>
      <c r="G146" s="333" t="s">
        <v>104</v>
      </c>
      <c r="H146" s="333" t="s">
        <v>103</v>
      </c>
      <c r="I146" s="333" t="s">
        <v>843</v>
      </c>
      <c r="J146" s="333" t="s">
        <v>1585</v>
      </c>
      <c r="K146" s="335">
        <v>0</v>
      </c>
      <c r="M146" s="333" t="s">
        <v>127</v>
      </c>
      <c r="N146" s="333" t="s">
        <v>128</v>
      </c>
      <c r="O146" s="333" t="s">
        <v>527</v>
      </c>
      <c r="P146" s="333" t="s">
        <v>527</v>
      </c>
      <c r="Q146" s="335">
        <v>0</v>
      </c>
      <c r="R146" s="335">
        <v>0</v>
      </c>
      <c r="U146" s="333" t="s">
        <v>47</v>
      </c>
      <c r="V146" s="333" t="s">
        <v>554</v>
      </c>
    </row>
    <row r="147" spans="1:22" x14ac:dyDescent="0.25">
      <c r="A147" s="333" t="s">
        <v>173</v>
      </c>
      <c r="B147" s="333" t="s">
        <v>1268</v>
      </c>
      <c r="G147" s="333" t="s">
        <v>98</v>
      </c>
      <c r="H147" s="333" t="s">
        <v>97</v>
      </c>
      <c r="I147" s="333" t="s">
        <v>843</v>
      </c>
      <c r="J147" s="333" t="s">
        <v>1585</v>
      </c>
      <c r="K147" s="335">
        <v>0</v>
      </c>
      <c r="M147" s="333" t="s">
        <v>59</v>
      </c>
      <c r="N147" s="333" t="s">
        <v>60</v>
      </c>
      <c r="O147" s="333" t="s">
        <v>527</v>
      </c>
      <c r="P147" s="333" t="s">
        <v>527</v>
      </c>
      <c r="Q147" s="335">
        <v>0</v>
      </c>
      <c r="R147" s="335">
        <v>0</v>
      </c>
      <c r="U147" s="333" t="s">
        <v>127</v>
      </c>
      <c r="V147" s="333" t="s">
        <v>554</v>
      </c>
    </row>
    <row r="148" spans="1:22" x14ac:dyDescent="0.25">
      <c r="A148" s="333" t="s">
        <v>180</v>
      </c>
      <c r="B148" s="333" t="s">
        <v>183</v>
      </c>
      <c r="G148" s="333" t="s">
        <v>368</v>
      </c>
      <c r="H148" s="333" t="s">
        <v>385</v>
      </c>
      <c r="I148" s="333" t="s">
        <v>500</v>
      </c>
      <c r="J148" s="146">
        <v>41275</v>
      </c>
      <c r="K148" s="335">
        <v>69</v>
      </c>
      <c r="M148" s="333" t="s">
        <v>38</v>
      </c>
      <c r="N148" s="333" t="s">
        <v>39</v>
      </c>
      <c r="O148" s="333" t="s">
        <v>527</v>
      </c>
      <c r="P148" s="333" t="s">
        <v>527</v>
      </c>
      <c r="Q148" s="335">
        <v>0</v>
      </c>
      <c r="R148" s="335">
        <v>0</v>
      </c>
      <c r="U148" s="333" t="s">
        <v>59</v>
      </c>
      <c r="V148" s="333" t="s">
        <v>554</v>
      </c>
    </row>
    <row r="149" spans="1:22" x14ac:dyDescent="0.25">
      <c r="A149" s="333" t="s">
        <v>180</v>
      </c>
      <c r="B149" s="333" t="s">
        <v>287</v>
      </c>
      <c r="G149" s="333" t="s">
        <v>1158</v>
      </c>
      <c r="H149" s="333" t="s">
        <v>1160</v>
      </c>
      <c r="I149" s="333" t="s">
        <v>500</v>
      </c>
      <c r="J149" s="146">
        <v>41275</v>
      </c>
      <c r="K149" s="335">
        <v>14</v>
      </c>
      <c r="M149" s="333" t="s">
        <v>75</v>
      </c>
      <c r="N149" s="333" t="s">
        <v>76</v>
      </c>
      <c r="O149" s="333" t="s">
        <v>527</v>
      </c>
      <c r="P149" s="333" t="s">
        <v>527</v>
      </c>
      <c r="Q149" s="335">
        <v>66</v>
      </c>
      <c r="R149" s="335">
        <v>362</v>
      </c>
      <c r="U149" s="333" t="s">
        <v>38</v>
      </c>
      <c r="V149" s="333" t="s">
        <v>554</v>
      </c>
    </row>
    <row r="150" spans="1:22" x14ac:dyDescent="0.25">
      <c r="A150" s="333" t="s">
        <v>180</v>
      </c>
      <c r="B150" s="333" t="s">
        <v>181</v>
      </c>
      <c r="G150" s="333" t="s">
        <v>1246</v>
      </c>
      <c r="H150" s="333" t="s">
        <v>359</v>
      </c>
      <c r="I150" s="333" t="s">
        <v>843</v>
      </c>
      <c r="J150" s="333" t="s">
        <v>1585</v>
      </c>
      <c r="K150" s="335">
        <v>0</v>
      </c>
      <c r="M150" s="333" t="s">
        <v>73</v>
      </c>
      <c r="N150" s="333" t="s">
        <v>74</v>
      </c>
      <c r="O150" s="333" t="s">
        <v>527</v>
      </c>
      <c r="P150" s="333" t="s">
        <v>527</v>
      </c>
      <c r="Q150" s="335">
        <v>0</v>
      </c>
      <c r="R150" s="335">
        <v>0</v>
      </c>
      <c r="U150" s="333" t="s">
        <v>75</v>
      </c>
      <c r="V150" s="333" t="s">
        <v>554</v>
      </c>
    </row>
    <row r="151" spans="1:22" x14ac:dyDescent="0.25">
      <c r="A151" s="333" t="s">
        <v>180</v>
      </c>
      <c r="B151" s="333" t="s">
        <v>1157</v>
      </c>
      <c r="G151" s="333" t="s">
        <v>209</v>
      </c>
      <c r="H151" s="333" t="s">
        <v>208</v>
      </c>
      <c r="I151" s="333" t="s">
        <v>500</v>
      </c>
      <c r="J151" s="146">
        <v>40695</v>
      </c>
      <c r="K151" s="335">
        <v>387</v>
      </c>
      <c r="M151" s="333" t="s">
        <v>40</v>
      </c>
      <c r="N151" s="333" t="s">
        <v>41</v>
      </c>
      <c r="O151" s="333" t="s">
        <v>527</v>
      </c>
      <c r="P151" s="333" t="s">
        <v>527</v>
      </c>
      <c r="Q151" s="335">
        <v>67</v>
      </c>
      <c r="R151" s="335">
        <v>353</v>
      </c>
      <c r="U151" s="333" t="s">
        <v>73</v>
      </c>
      <c r="V151" s="333" t="s">
        <v>554</v>
      </c>
    </row>
    <row r="152" spans="1:22" x14ac:dyDescent="0.25">
      <c r="A152" s="333" t="s">
        <v>180</v>
      </c>
      <c r="B152" s="333" t="s">
        <v>1158</v>
      </c>
      <c r="G152" s="333" t="s">
        <v>211</v>
      </c>
      <c r="H152" s="333" t="s">
        <v>210</v>
      </c>
      <c r="I152" s="333" t="s">
        <v>843</v>
      </c>
      <c r="J152" s="146">
        <v>40756</v>
      </c>
      <c r="K152" s="335"/>
      <c r="M152" s="333" t="s">
        <v>141</v>
      </c>
      <c r="N152" s="333" t="s">
        <v>142</v>
      </c>
      <c r="O152" s="333" t="s">
        <v>527</v>
      </c>
      <c r="P152" s="333" t="s">
        <v>527</v>
      </c>
      <c r="Q152" s="335">
        <v>0</v>
      </c>
      <c r="R152" s="335">
        <v>0</v>
      </c>
      <c r="U152" s="333" t="s">
        <v>40</v>
      </c>
      <c r="V152" s="333" t="s">
        <v>554</v>
      </c>
    </row>
    <row r="153" spans="1:22" x14ac:dyDescent="0.25">
      <c r="A153" s="333" t="s">
        <v>185</v>
      </c>
      <c r="B153" s="333" t="s">
        <v>192</v>
      </c>
      <c r="G153" s="333" t="s">
        <v>1510</v>
      </c>
      <c r="H153" s="333" t="s">
        <v>1477</v>
      </c>
      <c r="I153" s="333" t="s">
        <v>843</v>
      </c>
      <c r="J153" s="333" t="s">
        <v>1585</v>
      </c>
      <c r="K153" s="335"/>
      <c r="M153" s="333" t="s">
        <v>97</v>
      </c>
      <c r="N153" s="333" t="s">
        <v>98</v>
      </c>
      <c r="O153" s="333" t="s">
        <v>527</v>
      </c>
      <c r="P153" s="333" t="s">
        <v>527</v>
      </c>
      <c r="Q153" s="335">
        <v>0</v>
      </c>
      <c r="R153" s="335">
        <v>0</v>
      </c>
      <c r="U153" s="333" t="s">
        <v>141</v>
      </c>
      <c r="V153" s="333" t="s">
        <v>554</v>
      </c>
    </row>
    <row r="154" spans="1:22" x14ac:dyDescent="0.25">
      <c r="A154" s="333" t="s">
        <v>185</v>
      </c>
      <c r="B154" s="333" t="s">
        <v>12</v>
      </c>
      <c r="G154" s="333" t="s">
        <v>1405</v>
      </c>
      <c r="H154" s="333" t="s">
        <v>1399</v>
      </c>
      <c r="I154" s="333" t="s">
        <v>500</v>
      </c>
      <c r="J154" s="146">
        <v>42430</v>
      </c>
      <c r="K154" s="335">
        <v>61</v>
      </c>
      <c r="M154" s="333" t="s">
        <v>61</v>
      </c>
      <c r="N154" s="333" t="s">
        <v>62</v>
      </c>
      <c r="O154" s="333" t="s">
        <v>527</v>
      </c>
      <c r="P154" s="333" t="s">
        <v>527</v>
      </c>
      <c r="Q154" s="335">
        <v>67</v>
      </c>
      <c r="R154" s="335">
        <v>351</v>
      </c>
      <c r="U154" s="333" t="s">
        <v>97</v>
      </c>
      <c r="V154" s="333" t="s">
        <v>554</v>
      </c>
    </row>
    <row r="155" spans="1:22" x14ac:dyDescent="0.25">
      <c r="A155" s="333" t="s">
        <v>185</v>
      </c>
      <c r="B155" s="333" t="s">
        <v>194</v>
      </c>
      <c r="G155" s="333" t="s">
        <v>1404</v>
      </c>
      <c r="H155" s="333" t="s">
        <v>1398</v>
      </c>
      <c r="I155" s="333" t="s">
        <v>500</v>
      </c>
      <c r="J155" s="146">
        <v>42401</v>
      </c>
      <c r="K155" s="335">
        <v>200</v>
      </c>
      <c r="M155" s="333" t="s">
        <v>77</v>
      </c>
      <c r="N155" s="333" t="s">
        <v>78</v>
      </c>
      <c r="O155" s="333" t="s">
        <v>527</v>
      </c>
      <c r="P155" s="333" t="s">
        <v>527</v>
      </c>
      <c r="Q155" s="335">
        <v>0</v>
      </c>
      <c r="R155" s="335">
        <v>0</v>
      </c>
      <c r="U155" s="333" t="s">
        <v>61</v>
      </c>
      <c r="V155" s="333" t="s">
        <v>554</v>
      </c>
    </row>
    <row r="156" spans="1:22" x14ac:dyDescent="0.25">
      <c r="A156" s="333" t="s">
        <v>185</v>
      </c>
      <c r="B156" s="333" t="s">
        <v>521</v>
      </c>
      <c r="G156" s="333" t="s">
        <v>233</v>
      </c>
      <c r="H156" s="333" t="s">
        <v>232</v>
      </c>
      <c r="I156" s="333" t="s">
        <v>843</v>
      </c>
      <c r="J156" s="146">
        <v>41091</v>
      </c>
      <c r="K156" s="335"/>
      <c r="M156" s="333" t="s">
        <v>89</v>
      </c>
      <c r="N156" s="333" t="s">
        <v>90</v>
      </c>
      <c r="O156" s="333" t="s">
        <v>527</v>
      </c>
      <c r="P156" s="333" t="s">
        <v>527</v>
      </c>
      <c r="Q156" s="335">
        <v>25</v>
      </c>
      <c r="R156" s="335">
        <v>118</v>
      </c>
      <c r="U156" s="333" t="s">
        <v>77</v>
      </c>
      <c r="V156" s="333" t="s">
        <v>554</v>
      </c>
    </row>
    <row r="157" spans="1:22" x14ac:dyDescent="0.25">
      <c r="A157" s="333" t="s">
        <v>185</v>
      </c>
      <c r="B157" s="333" t="s">
        <v>186</v>
      </c>
      <c r="G157" s="333" t="s">
        <v>235</v>
      </c>
      <c r="H157" s="333" t="s">
        <v>234</v>
      </c>
      <c r="I157" s="333" t="s">
        <v>843</v>
      </c>
      <c r="J157" s="333" t="s">
        <v>1585</v>
      </c>
      <c r="K157" s="335"/>
      <c r="M157" s="333" t="s">
        <v>117</v>
      </c>
      <c r="N157" s="333" t="s">
        <v>118</v>
      </c>
      <c r="O157" s="333" t="s">
        <v>527</v>
      </c>
      <c r="P157" s="333" t="s">
        <v>527</v>
      </c>
      <c r="Q157" s="335">
        <v>10</v>
      </c>
      <c r="R157" s="335">
        <v>39</v>
      </c>
      <c r="U157" s="333" t="s">
        <v>89</v>
      </c>
      <c r="V157" s="333" t="s">
        <v>554</v>
      </c>
    </row>
    <row r="158" spans="1:22" x14ac:dyDescent="0.25">
      <c r="A158" s="333" t="s">
        <v>185</v>
      </c>
      <c r="B158" s="333" t="s">
        <v>223</v>
      </c>
      <c r="G158" s="333" t="s">
        <v>296</v>
      </c>
      <c r="H158" s="333" t="s">
        <v>1408</v>
      </c>
      <c r="I158" s="333" t="s">
        <v>843</v>
      </c>
      <c r="J158" s="333" t="s">
        <v>1585</v>
      </c>
      <c r="K158" s="335">
        <v>0</v>
      </c>
      <c r="M158" s="333" t="s">
        <v>123</v>
      </c>
      <c r="N158" s="333" t="s">
        <v>124</v>
      </c>
      <c r="O158" s="333" t="s">
        <v>527</v>
      </c>
      <c r="P158" s="333" t="s">
        <v>527</v>
      </c>
      <c r="Q158" s="335">
        <v>8</v>
      </c>
      <c r="R158" s="335">
        <v>36</v>
      </c>
      <c r="U158" s="333" t="s">
        <v>117</v>
      </c>
      <c r="V158" s="333" t="s">
        <v>554</v>
      </c>
    </row>
    <row r="159" spans="1:22" x14ac:dyDescent="0.25">
      <c r="A159" s="333" t="s">
        <v>185</v>
      </c>
      <c r="B159" s="333" t="s">
        <v>190</v>
      </c>
      <c r="G159" s="333" t="s">
        <v>518</v>
      </c>
      <c r="H159" s="333" t="s">
        <v>519</v>
      </c>
      <c r="I159" s="333" t="s">
        <v>843</v>
      </c>
      <c r="J159" s="146">
        <v>41091</v>
      </c>
      <c r="K159" s="335">
        <v>0</v>
      </c>
      <c r="M159" s="333" t="s">
        <v>125</v>
      </c>
      <c r="N159" s="333" t="s">
        <v>126</v>
      </c>
      <c r="O159" s="333" t="s">
        <v>527</v>
      </c>
      <c r="P159" s="333" t="s">
        <v>527</v>
      </c>
      <c r="Q159" s="335">
        <v>35</v>
      </c>
      <c r="R159" s="335">
        <v>173</v>
      </c>
      <c r="U159" s="333" t="s">
        <v>123</v>
      </c>
      <c r="V159" s="333" t="s">
        <v>554</v>
      </c>
    </row>
    <row r="160" spans="1:22" x14ac:dyDescent="0.25">
      <c r="A160" s="333" t="s">
        <v>185</v>
      </c>
      <c r="B160" s="333" t="s">
        <v>200</v>
      </c>
      <c r="G160" s="333" t="s">
        <v>1422</v>
      </c>
      <c r="H160" s="333" t="s">
        <v>1402</v>
      </c>
      <c r="I160" s="333" t="s">
        <v>500</v>
      </c>
      <c r="J160" s="146">
        <v>42401</v>
      </c>
      <c r="K160" s="335">
        <v>30</v>
      </c>
      <c r="M160" s="333" t="s">
        <v>63</v>
      </c>
      <c r="N160" s="333" t="s">
        <v>64</v>
      </c>
      <c r="O160" s="333" t="s">
        <v>527</v>
      </c>
      <c r="P160" s="333" t="s">
        <v>527</v>
      </c>
      <c r="Q160" s="335">
        <v>0</v>
      </c>
      <c r="R160" s="335">
        <v>0</v>
      </c>
      <c r="U160" s="333" t="s">
        <v>125</v>
      </c>
      <c r="V160" s="333" t="s">
        <v>554</v>
      </c>
    </row>
    <row r="161" spans="1:22" x14ac:dyDescent="0.25">
      <c r="A161" s="333" t="s">
        <v>185</v>
      </c>
      <c r="B161" s="333" t="s">
        <v>202</v>
      </c>
      <c r="G161" s="333" t="s">
        <v>371</v>
      </c>
      <c r="H161" s="333" t="s">
        <v>147</v>
      </c>
      <c r="I161" s="333" t="s">
        <v>500</v>
      </c>
      <c r="J161" s="146">
        <v>40787</v>
      </c>
      <c r="K161" s="335">
        <v>46</v>
      </c>
      <c r="M161" s="333" t="s">
        <v>81</v>
      </c>
      <c r="N161" s="333" t="s">
        <v>82</v>
      </c>
      <c r="O161" s="333" t="s">
        <v>527</v>
      </c>
      <c r="P161" s="333" t="s">
        <v>527</v>
      </c>
      <c r="Q161" s="335">
        <v>0</v>
      </c>
      <c r="R161" s="335">
        <v>0</v>
      </c>
      <c r="U161" s="333" t="s">
        <v>63</v>
      </c>
      <c r="V161" s="333" t="s">
        <v>554</v>
      </c>
    </row>
    <row r="162" spans="1:22" x14ac:dyDescent="0.25">
      <c r="A162" s="333" t="s">
        <v>185</v>
      </c>
      <c r="B162" s="333" t="s">
        <v>204</v>
      </c>
      <c r="G162" s="333" t="s">
        <v>1102</v>
      </c>
      <c r="H162" s="333" t="s">
        <v>1101</v>
      </c>
      <c r="I162" s="333" t="s">
        <v>500</v>
      </c>
      <c r="J162" s="146">
        <v>40787</v>
      </c>
      <c r="K162" s="335">
        <v>22</v>
      </c>
      <c r="M162" s="333" t="s">
        <v>57</v>
      </c>
      <c r="N162" s="333" t="s">
        <v>58</v>
      </c>
      <c r="O162" s="333" t="s">
        <v>527</v>
      </c>
      <c r="P162" s="333" t="s">
        <v>527</v>
      </c>
      <c r="Q162" s="335">
        <v>0</v>
      </c>
      <c r="R162" s="335">
        <v>0</v>
      </c>
      <c r="U162" s="333" t="s">
        <v>81</v>
      </c>
      <c r="V162" s="333" t="s">
        <v>554</v>
      </c>
    </row>
    <row r="163" spans="1:22" x14ac:dyDescent="0.25">
      <c r="A163" s="333" t="s">
        <v>185</v>
      </c>
      <c r="B163" s="333" t="s">
        <v>205</v>
      </c>
      <c r="G163" s="333" t="s">
        <v>367</v>
      </c>
      <c r="H163" s="333" t="s">
        <v>386</v>
      </c>
      <c r="I163" s="333" t="s">
        <v>843</v>
      </c>
      <c r="J163" s="146">
        <v>40787</v>
      </c>
      <c r="K163" s="335">
        <v>0</v>
      </c>
      <c r="M163" s="333" t="s">
        <v>55</v>
      </c>
      <c r="N163" s="333" t="s">
        <v>56</v>
      </c>
      <c r="O163" s="333" t="s">
        <v>527</v>
      </c>
      <c r="P163" s="333" t="s">
        <v>527</v>
      </c>
      <c r="Q163" s="335">
        <v>0</v>
      </c>
      <c r="R163" s="335">
        <v>0</v>
      </c>
      <c r="U163" s="333" t="s">
        <v>57</v>
      </c>
      <c r="V163" s="333" t="s">
        <v>554</v>
      </c>
    </row>
    <row r="164" spans="1:22" x14ac:dyDescent="0.25">
      <c r="A164" s="333" t="s">
        <v>185</v>
      </c>
      <c r="B164" s="333" t="s">
        <v>207</v>
      </c>
      <c r="G164" s="333" t="s">
        <v>142</v>
      </c>
      <c r="H164" s="333" t="s">
        <v>141</v>
      </c>
      <c r="I164" s="333" t="s">
        <v>843</v>
      </c>
      <c r="J164" s="146">
        <v>41275</v>
      </c>
      <c r="K164" s="335">
        <v>0</v>
      </c>
      <c r="M164" s="333" t="s">
        <v>42</v>
      </c>
      <c r="N164" s="333" t="s">
        <v>43</v>
      </c>
      <c r="O164" s="333" t="s">
        <v>527</v>
      </c>
      <c r="P164" s="333" t="s">
        <v>527</v>
      </c>
      <c r="Q164" s="335">
        <v>14</v>
      </c>
      <c r="R164" s="335">
        <v>83</v>
      </c>
      <c r="U164" s="333" t="s">
        <v>55</v>
      </c>
      <c r="V164" s="333" t="s">
        <v>554</v>
      </c>
    </row>
    <row r="165" spans="1:22" x14ac:dyDescent="0.25">
      <c r="A165" s="333" t="s">
        <v>185</v>
      </c>
      <c r="B165" s="333" t="s">
        <v>209</v>
      </c>
      <c r="G165" s="333" t="s">
        <v>1053</v>
      </c>
      <c r="H165" s="333" t="s">
        <v>1054</v>
      </c>
      <c r="I165" s="333" t="s">
        <v>500</v>
      </c>
      <c r="J165" s="146">
        <v>41703</v>
      </c>
      <c r="K165" s="335">
        <v>51</v>
      </c>
      <c r="M165" s="333" t="s">
        <v>45</v>
      </c>
      <c r="N165" s="333" t="s">
        <v>44</v>
      </c>
      <c r="O165" s="333" t="s">
        <v>527</v>
      </c>
      <c r="P165" s="333" t="s">
        <v>527</v>
      </c>
      <c r="Q165" s="335">
        <v>5</v>
      </c>
      <c r="R165" s="335">
        <v>34</v>
      </c>
      <c r="U165" s="333" t="s">
        <v>42</v>
      </c>
      <c r="V165" s="333" t="s">
        <v>554</v>
      </c>
    </row>
    <row r="166" spans="1:22" x14ac:dyDescent="0.25">
      <c r="A166" s="333" t="s">
        <v>185</v>
      </c>
      <c r="B166" s="333" t="s">
        <v>211</v>
      </c>
      <c r="G166" s="333" t="s">
        <v>1063</v>
      </c>
      <c r="H166" s="333" t="s">
        <v>1064</v>
      </c>
      <c r="I166" s="333" t="s">
        <v>500</v>
      </c>
      <c r="J166" s="146">
        <v>41734</v>
      </c>
      <c r="K166" s="335">
        <v>25</v>
      </c>
      <c r="M166" s="333" t="s">
        <v>46</v>
      </c>
      <c r="N166" s="333" t="s">
        <v>611</v>
      </c>
      <c r="O166" s="333" t="s">
        <v>527</v>
      </c>
      <c r="P166" s="333" t="s">
        <v>527</v>
      </c>
      <c r="Q166" s="335">
        <v>12</v>
      </c>
      <c r="R166" s="335">
        <v>50</v>
      </c>
      <c r="U166" s="333" t="s">
        <v>45</v>
      </c>
      <c r="V166" s="333" t="s">
        <v>554</v>
      </c>
    </row>
    <row r="167" spans="1:22" x14ac:dyDescent="0.25">
      <c r="A167" s="333" t="s">
        <v>185</v>
      </c>
      <c r="B167" s="333" t="s">
        <v>213</v>
      </c>
      <c r="G167" s="333" t="s">
        <v>8</v>
      </c>
      <c r="H167" s="333" t="s">
        <v>7</v>
      </c>
      <c r="I167" s="333" t="s">
        <v>500</v>
      </c>
      <c r="J167" s="146">
        <v>41183</v>
      </c>
      <c r="K167" s="335">
        <v>14</v>
      </c>
      <c r="M167" s="333" t="s">
        <v>376</v>
      </c>
      <c r="N167" s="333" t="s">
        <v>366</v>
      </c>
      <c r="O167" s="333" t="s">
        <v>5</v>
      </c>
      <c r="P167" s="333" t="s">
        <v>5</v>
      </c>
      <c r="Q167" s="335">
        <v>153</v>
      </c>
      <c r="R167" s="335">
        <v>773</v>
      </c>
      <c r="U167" s="333" t="s">
        <v>46</v>
      </c>
      <c r="V167" s="333" t="s">
        <v>554</v>
      </c>
    </row>
    <row r="168" spans="1:22" x14ac:dyDescent="0.25">
      <c r="A168" s="333" t="s">
        <v>185</v>
      </c>
      <c r="B168" s="333" t="s">
        <v>215</v>
      </c>
      <c r="G168" s="333" t="s">
        <v>1447</v>
      </c>
      <c r="H168" s="333" t="s">
        <v>1455</v>
      </c>
      <c r="I168" s="333" t="s">
        <v>500</v>
      </c>
      <c r="J168" s="146">
        <v>42584</v>
      </c>
      <c r="K168" s="335">
        <v>22</v>
      </c>
      <c r="M168" s="333" t="s">
        <v>377</v>
      </c>
      <c r="N168" s="333" t="s">
        <v>512</v>
      </c>
      <c r="O168" s="333" t="s">
        <v>5</v>
      </c>
      <c r="P168" s="333" t="s">
        <v>5</v>
      </c>
      <c r="Q168" s="335">
        <v>12</v>
      </c>
      <c r="R168" s="335">
        <v>56</v>
      </c>
      <c r="U168" s="333" t="s">
        <v>376</v>
      </c>
      <c r="V168" s="333" t="s">
        <v>554</v>
      </c>
    </row>
    <row r="169" spans="1:22" x14ac:dyDescent="0.25">
      <c r="A169" s="333" t="s">
        <v>185</v>
      </c>
      <c r="B169" s="333" t="s">
        <v>217</v>
      </c>
      <c r="G169" s="333" t="s">
        <v>267</v>
      </c>
      <c r="H169" s="333" t="s">
        <v>266</v>
      </c>
      <c r="I169" s="333" t="s">
        <v>843</v>
      </c>
      <c r="J169" s="146">
        <v>40817</v>
      </c>
      <c r="K169" s="335">
        <v>0</v>
      </c>
      <c r="M169" s="333" t="s">
        <v>378</v>
      </c>
      <c r="N169" s="333" t="s">
        <v>365</v>
      </c>
      <c r="O169" s="333" t="s">
        <v>27</v>
      </c>
      <c r="P169" s="333" t="s">
        <v>27</v>
      </c>
      <c r="Q169" s="335">
        <v>143</v>
      </c>
      <c r="R169" s="335">
        <v>637</v>
      </c>
      <c r="U169" s="333" t="s">
        <v>377</v>
      </c>
      <c r="V169" s="333" t="s">
        <v>554</v>
      </c>
    </row>
    <row r="170" spans="1:22" x14ac:dyDescent="0.25">
      <c r="A170" s="333" t="s">
        <v>185</v>
      </c>
      <c r="B170" s="333" t="s">
        <v>229</v>
      </c>
      <c r="G170" s="333" t="s">
        <v>213</v>
      </c>
      <c r="H170" s="333" t="s">
        <v>212</v>
      </c>
      <c r="I170" s="333" t="s">
        <v>500</v>
      </c>
      <c r="J170" s="333" t="s">
        <v>1585</v>
      </c>
      <c r="K170" s="335">
        <v>44</v>
      </c>
      <c r="M170" s="333" t="s">
        <v>390</v>
      </c>
      <c r="N170" s="333" t="s">
        <v>12</v>
      </c>
      <c r="O170" s="333" t="s">
        <v>151</v>
      </c>
      <c r="P170" s="333" t="s">
        <v>151</v>
      </c>
      <c r="Q170" s="335">
        <v>73</v>
      </c>
      <c r="R170" s="335">
        <v>274</v>
      </c>
      <c r="U170" s="333" t="s">
        <v>378</v>
      </c>
      <c r="V170" s="333" t="s">
        <v>554</v>
      </c>
    </row>
    <row r="171" spans="1:22" x14ac:dyDescent="0.25">
      <c r="A171" s="333" t="s">
        <v>185</v>
      </c>
      <c r="B171" s="333" t="s">
        <v>219</v>
      </c>
      <c r="G171" s="333" t="s">
        <v>162</v>
      </c>
      <c r="H171" s="333" t="s">
        <v>161</v>
      </c>
      <c r="I171" s="333" t="s">
        <v>843</v>
      </c>
      <c r="J171" s="333" t="s">
        <v>1585</v>
      </c>
      <c r="K171" s="335">
        <v>0</v>
      </c>
      <c r="M171" s="333" t="s">
        <v>391</v>
      </c>
      <c r="N171" s="333" t="s">
        <v>12</v>
      </c>
      <c r="O171" s="333" t="s">
        <v>185</v>
      </c>
      <c r="P171" s="333" t="s">
        <v>185</v>
      </c>
      <c r="Q171" s="335">
        <v>226</v>
      </c>
      <c r="R171" s="335">
        <v>1048</v>
      </c>
      <c r="U171" s="333" t="s">
        <v>390</v>
      </c>
      <c r="V171" s="333" t="s">
        <v>12</v>
      </c>
    </row>
    <row r="172" spans="1:22" x14ac:dyDescent="0.25">
      <c r="A172" s="333" t="s">
        <v>185</v>
      </c>
      <c r="B172" s="333" t="s">
        <v>221</v>
      </c>
      <c r="G172" s="333" t="s">
        <v>292</v>
      </c>
      <c r="H172" s="333" t="s">
        <v>291</v>
      </c>
      <c r="I172" s="333" t="s">
        <v>500</v>
      </c>
      <c r="J172" s="146">
        <v>41609</v>
      </c>
      <c r="K172" s="335">
        <v>75</v>
      </c>
      <c r="M172" s="333" t="s">
        <v>392</v>
      </c>
      <c r="N172" s="333" t="s">
        <v>205</v>
      </c>
      <c r="O172" s="333" t="s">
        <v>185</v>
      </c>
      <c r="P172" s="333" t="s">
        <v>185</v>
      </c>
      <c r="Q172" s="335"/>
      <c r="R172" s="335"/>
      <c r="U172" s="333" t="s">
        <v>391</v>
      </c>
      <c r="V172" s="333" t="s">
        <v>12</v>
      </c>
    </row>
    <row r="173" spans="1:22" x14ac:dyDescent="0.25">
      <c r="A173" s="333" t="s">
        <v>185</v>
      </c>
      <c r="B173" s="333" t="s">
        <v>225</v>
      </c>
      <c r="G173" s="333" t="s">
        <v>290</v>
      </c>
      <c r="H173" s="333" t="s">
        <v>288</v>
      </c>
      <c r="I173" s="333" t="s">
        <v>500</v>
      </c>
      <c r="J173" s="146">
        <v>40878</v>
      </c>
      <c r="K173" s="335">
        <v>69</v>
      </c>
      <c r="M173" s="333" t="s">
        <v>393</v>
      </c>
      <c r="N173" s="333" t="s">
        <v>12</v>
      </c>
      <c r="O173" s="333" t="s">
        <v>1182</v>
      </c>
      <c r="P173" s="333" t="s">
        <v>302</v>
      </c>
      <c r="Q173" s="335">
        <v>9</v>
      </c>
      <c r="R173" s="335">
        <v>30</v>
      </c>
      <c r="U173" s="333" t="s">
        <v>392</v>
      </c>
      <c r="V173" s="333" t="s">
        <v>12</v>
      </c>
    </row>
    <row r="174" spans="1:22" x14ac:dyDescent="0.25">
      <c r="A174" s="333" t="s">
        <v>185</v>
      </c>
      <c r="B174" s="333" t="s">
        <v>227</v>
      </c>
      <c r="G174" s="333" t="s">
        <v>1055</v>
      </c>
      <c r="H174" s="333" t="s">
        <v>1056</v>
      </c>
      <c r="I174" s="333" t="s">
        <v>500</v>
      </c>
      <c r="J174" s="146">
        <v>41947</v>
      </c>
      <c r="K174" s="335">
        <v>37</v>
      </c>
      <c r="M174" s="333" t="s">
        <v>522</v>
      </c>
      <c r="N174" s="333" t="s">
        <v>521</v>
      </c>
      <c r="O174" s="333" t="s">
        <v>185</v>
      </c>
      <c r="P174" s="333" t="s">
        <v>185</v>
      </c>
      <c r="Q174" s="335">
        <v>4</v>
      </c>
      <c r="R174" s="335">
        <v>26</v>
      </c>
      <c r="U174" s="333" t="s">
        <v>393</v>
      </c>
      <c r="V174" s="333" t="s">
        <v>12</v>
      </c>
    </row>
    <row r="175" spans="1:22" x14ac:dyDescent="0.25">
      <c r="A175" s="333" t="s">
        <v>185</v>
      </c>
      <c r="B175" s="333" t="s">
        <v>1313</v>
      </c>
      <c r="G175" s="333" t="s">
        <v>374</v>
      </c>
      <c r="H175" s="333" t="s">
        <v>295</v>
      </c>
      <c r="I175" s="333" t="s">
        <v>500</v>
      </c>
      <c r="J175" s="146">
        <v>40878</v>
      </c>
      <c r="K175" s="335">
        <v>33</v>
      </c>
      <c r="M175" s="333" t="s">
        <v>515</v>
      </c>
      <c r="N175" s="333" t="s">
        <v>514</v>
      </c>
      <c r="O175" s="333" t="s">
        <v>527</v>
      </c>
      <c r="P175" s="333" t="s">
        <v>527</v>
      </c>
      <c r="Q175" s="335">
        <v>0</v>
      </c>
      <c r="R175" s="335">
        <v>0</v>
      </c>
      <c r="U175" s="333" t="s">
        <v>522</v>
      </c>
      <c r="V175" s="333" t="s">
        <v>12</v>
      </c>
    </row>
    <row r="176" spans="1:22" x14ac:dyDescent="0.25">
      <c r="A176" s="333" t="s">
        <v>230</v>
      </c>
      <c r="B176" s="333" t="s">
        <v>169</v>
      </c>
      <c r="G176" s="333" t="s">
        <v>375</v>
      </c>
      <c r="H176" s="333" t="s">
        <v>389</v>
      </c>
      <c r="I176" s="333" t="s">
        <v>843</v>
      </c>
      <c r="J176" s="333" t="s">
        <v>1585</v>
      </c>
      <c r="K176" s="335">
        <v>0</v>
      </c>
      <c r="M176" s="333" t="s">
        <v>517</v>
      </c>
      <c r="N176" s="333" t="s">
        <v>516</v>
      </c>
      <c r="O176" s="333" t="s">
        <v>151</v>
      </c>
      <c r="P176" s="333" t="s">
        <v>151</v>
      </c>
      <c r="Q176" s="335">
        <v>0</v>
      </c>
      <c r="R176" s="335">
        <v>0</v>
      </c>
      <c r="U176" s="333" t="s">
        <v>515</v>
      </c>
      <c r="V176" s="333" t="s">
        <v>554</v>
      </c>
    </row>
    <row r="177" spans="1:22" x14ac:dyDescent="0.25">
      <c r="A177" s="333" t="s">
        <v>230</v>
      </c>
      <c r="B177" s="333" t="s">
        <v>231</v>
      </c>
      <c r="G177" s="333" t="s">
        <v>294</v>
      </c>
      <c r="H177" s="333" t="s">
        <v>293</v>
      </c>
      <c r="I177" s="333" t="s">
        <v>843</v>
      </c>
      <c r="J177" s="333" t="s">
        <v>1585</v>
      </c>
      <c r="K177" s="335">
        <v>0</v>
      </c>
      <c r="M177" s="333" t="s">
        <v>519</v>
      </c>
      <c r="N177" s="333" t="s">
        <v>518</v>
      </c>
      <c r="O177" s="333" t="s">
        <v>151</v>
      </c>
      <c r="P177" s="333" t="s">
        <v>151</v>
      </c>
      <c r="Q177" s="335">
        <v>0</v>
      </c>
      <c r="R177" s="335">
        <v>0</v>
      </c>
      <c r="U177" s="333" t="s">
        <v>517</v>
      </c>
      <c r="V177" s="333" t="s">
        <v>554</v>
      </c>
    </row>
    <row r="178" spans="1:22" x14ac:dyDescent="0.25">
      <c r="A178" s="333" t="s">
        <v>230</v>
      </c>
      <c r="B178" s="333" t="s">
        <v>233</v>
      </c>
      <c r="G178" s="333" t="s">
        <v>361</v>
      </c>
      <c r="H178" s="333" t="s">
        <v>837</v>
      </c>
      <c r="I178" s="333" t="s">
        <v>843</v>
      </c>
      <c r="J178" s="146">
        <v>40787</v>
      </c>
      <c r="K178" s="335"/>
      <c r="M178" s="333" t="s">
        <v>520</v>
      </c>
      <c r="N178" s="333" t="s">
        <v>865</v>
      </c>
      <c r="O178" s="333" t="s">
        <v>151</v>
      </c>
      <c r="P178" s="333" t="s">
        <v>151</v>
      </c>
      <c r="Q178" s="335">
        <v>0</v>
      </c>
      <c r="R178" s="335">
        <v>0</v>
      </c>
      <c r="U178" s="333" t="s">
        <v>519</v>
      </c>
      <c r="V178" s="333" t="s">
        <v>554</v>
      </c>
    </row>
    <row r="179" spans="1:22" x14ac:dyDescent="0.25">
      <c r="A179" s="333" t="s">
        <v>230</v>
      </c>
      <c r="B179" s="333" t="s">
        <v>235</v>
      </c>
      <c r="G179" s="333" t="s">
        <v>171</v>
      </c>
      <c r="H179" s="333" t="s">
        <v>170</v>
      </c>
      <c r="I179" s="333" t="s">
        <v>843</v>
      </c>
      <c r="J179" s="333" t="s">
        <v>1585</v>
      </c>
      <c r="K179" s="335"/>
      <c r="M179" s="333" t="s">
        <v>812</v>
      </c>
      <c r="N179" s="333" t="s">
        <v>808</v>
      </c>
      <c r="O179" s="333" t="s">
        <v>1182</v>
      </c>
      <c r="P179" s="333" t="s">
        <v>808</v>
      </c>
      <c r="Q179" s="335">
        <v>5</v>
      </c>
      <c r="R179" s="335">
        <v>32</v>
      </c>
      <c r="U179" s="333" t="s">
        <v>520</v>
      </c>
      <c r="V179" s="333" t="s">
        <v>554</v>
      </c>
    </row>
    <row r="180" spans="1:22" x14ac:dyDescent="0.25">
      <c r="A180" s="333" t="s">
        <v>230</v>
      </c>
      <c r="B180" s="333" t="s">
        <v>361</v>
      </c>
      <c r="G180" s="333" t="s">
        <v>149</v>
      </c>
      <c r="H180" s="333" t="s">
        <v>148</v>
      </c>
      <c r="I180" s="333" t="s">
        <v>500</v>
      </c>
      <c r="J180" s="146">
        <v>40878</v>
      </c>
      <c r="K180" s="335">
        <v>64</v>
      </c>
      <c r="M180" s="333" t="s">
        <v>814</v>
      </c>
      <c r="N180" s="333" t="s">
        <v>813</v>
      </c>
      <c r="O180" s="333" t="s">
        <v>310</v>
      </c>
      <c r="P180" s="333" t="s">
        <v>310</v>
      </c>
      <c r="Q180" s="335"/>
      <c r="R180" s="335">
        <v>1047</v>
      </c>
      <c r="U180" s="333" t="s">
        <v>812</v>
      </c>
      <c r="V180" s="333" t="s">
        <v>554</v>
      </c>
    </row>
    <row r="181" spans="1:22" x14ac:dyDescent="0.25">
      <c r="A181" s="333" t="s">
        <v>230</v>
      </c>
      <c r="B181" s="333" t="s">
        <v>171</v>
      </c>
      <c r="G181" s="333" t="s">
        <v>1406</v>
      </c>
      <c r="H181" s="333" t="s">
        <v>1400</v>
      </c>
      <c r="I181" s="333" t="s">
        <v>500</v>
      </c>
      <c r="J181" s="146">
        <v>42401</v>
      </c>
      <c r="K181" s="335">
        <v>37</v>
      </c>
      <c r="M181" s="333" t="s">
        <v>867</v>
      </c>
      <c r="N181" s="333" t="s">
        <v>866</v>
      </c>
      <c r="O181" s="333" t="s">
        <v>151</v>
      </c>
      <c r="P181" s="333" t="s">
        <v>151</v>
      </c>
      <c r="Q181" s="335">
        <v>0</v>
      </c>
      <c r="R181" s="335">
        <v>0</v>
      </c>
      <c r="U181" s="333" t="s">
        <v>814</v>
      </c>
      <c r="V181" s="333" t="s">
        <v>986</v>
      </c>
    </row>
    <row r="182" spans="1:22" x14ac:dyDescent="0.25">
      <c r="A182" s="333" t="s">
        <v>230</v>
      </c>
      <c r="B182" s="333" t="s">
        <v>1053</v>
      </c>
      <c r="G182" s="333" t="s">
        <v>865</v>
      </c>
      <c r="H182" s="333" t="s">
        <v>520</v>
      </c>
      <c r="I182" s="333" t="s">
        <v>843</v>
      </c>
      <c r="J182" s="146">
        <v>41091</v>
      </c>
      <c r="K182" s="335">
        <v>0</v>
      </c>
      <c r="M182" s="333" t="s">
        <v>863</v>
      </c>
      <c r="N182" s="333" t="s">
        <v>864</v>
      </c>
      <c r="O182" s="333" t="s">
        <v>27</v>
      </c>
      <c r="P182" s="333" t="s">
        <v>27</v>
      </c>
      <c r="Q182" s="335">
        <v>61</v>
      </c>
      <c r="R182" s="335">
        <v>273</v>
      </c>
      <c r="U182" s="333" t="s">
        <v>867</v>
      </c>
      <c r="V182" s="333" t="s">
        <v>554</v>
      </c>
    </row>
    <row r="183" spans="1:22" x14ac:dyDescent="0.25">
      <c r="A183" s="333" t="s">
        <v>230</v>
      </c>
      <c r="B183" s="333" t="s">
        <v>1063</v>
      </c>
      <c r="G183" s="333" t="s">
        <v>866</v>
      </c>
      <c r="H183" s="333" t="s">
        <v>867</v>
      </c>
      <c r="I183" s="333" t="s">
        <v>843</v>
      </c>
      <c r="J183" s="333" t="s">
        <v>1585</v>
      </c>
      <c r="K183" s="335">
        <v>0</v>
      </c>
      <c r="M183" s="333" t="s">
        <v>855</v>
      </c>
      <c r="N183" s="333" t="s">
        <v>869</v>
      </c>
      <c r="O183" s="333" t="s">
        <v>5</v>
      </c>
      <c r="P183" s="333" t="s">
        <v>5</v>
      </c>
      <c r="Q183" s="335">
        <v>0</v>
      </c>
      <c r="R183" s="335">
        <v>0</v>
      </c>
      <c r="U183" s="333" t="s">
        <v>863</v>
      </c>
      <c r="V183" s="333" t="s">
        <v>554</v>
      </c>
    </row>
    <row r="184" spans="1:22" x14ac:dyDescent="0.25">
      <c r="A184" s="333" t="s">
        <v>230</v>
      </c>
      <c r="B184" s="333" t="s">
        <v>1500</v>
      </c>
      <c r="G184" s="333" t="s">
        <v>164</v>
      </c>
      <c r="H184" s="333" t="s">
        <v>163</v>
      </c>
      <c r="I184" s="333" t="s">
        <v>843</v>
      </c>
      <c r="J184" s="333" t="s">
        <v>1585</v>
      </c>
      <c r="K184" s="335">
        <v>0</v>
      </c>
      <c r="M184" s="333" t="s">
        <v>870</v>
      </c>
      <c r="N184" s="333" t="s">
        <v>876</v>
      </c>
      <c r="O184" s="333" t="s">
        <v>151</v>
      </c>
      <c r="P184" s="333" t="s">
        <v>151</v>
      </c>
      <c r="Q184" s="335">
        <v>0</v>
      </c>
      <c r="R184" s="335">
        <v>0</v>
      </c>
      <c r="U184" s="333" t="s">
        <v>855</v>
      </c>
      <c r="V184" s="333" t="s">
        <v>554</v>
      </c>
    </row>
    <row r="185" spans="1:22" x14ac:dyDescent="0.25">
      <c r="A185" s="333" t="s">
        <v>230</v>
      </c>
      <c r="B185" s="333" t="s">
        <v>1510</v>
      </c>
      <c r="G185" s="333" t="s">
        <v>611</v>
      </c>
      <c r="H185" s="333" t="s">
        <v>46</v>
      </c>
      <c r="I185" s="333" t="s">
        <v>500</v>
      </c>
      <c r="J185" s="146">
        <v>41275</v>
      </c>
      <c r="K185" s="335">
        <v>12</v>
      </c>
      <c r="M185" s="333" t="s">
        <v>874</v>
      </c>
      <c r="N185" s="333" t="s">
        <v>875</v>
      </c>
      <c r="O185" s="333" t="s">
        <v>151</v>
      </c>
      <c r="P185" s="333" t="s">
        <v>151</v>
      </c>
      <c r="Q185" s="335">
        <v>0</v>
      </c>
      <c r="R185" s="335">
        <v>0</v>
      </c>
      <c r="U185" s="333" t="s">
        <v>870</v>
      </c>
      <c r="V185" s="333" t="s">
        <v>554</v>
      </c>
    </row>
    <row r="186" spans="1:22" x14ac:dyDescent="0.25">
      <c r="A186" s="333" t="s">
        <v>230</v>
      </c>
      <c r="B186" s="333" t="s">
        <v>1511</v>
      </c>
      <c r="G186" s="333" t="s">
        <v>1275</v>
      </c>
      <c r="H186" s="333" t="s">
        <v>1258</v>
      </c>
      <c r="I186" s="333" t="s">
        <v>500</v>
      </c>
      <c r="J186" s="146">
        <v>42036</v>
      </c>
      <c r="K186" s="335">
        <v>30</v>
      </c>
      <c r="M186" s="333" t="s">
        <v>879</v>
      </c>
      <c r="N186" s="333" t="s">
        <v>878</v>
      </c>
      <c r="O186" s="333" t="s">
        <v>151</v>
      </c>
      <c r="P186" s="333" t="s">
        <v>151</v>
      </c>
      <c r="Q186" s="335">
        <v>0</v>
      </c>
      <c r="R186" s="335">
        <v>0</v>
      </c>
      <c r="U186" s="333" t="s">
        <v>874</v>
      </c>
      <c r="V186" s="333" t="s">
        <v>554</v>
      </c>
    </row>
    <row r="187" spans="1:22" x14ac:dyDescent="0.25">
      <c r="A187" s="333" t="s">
        <v>230</v>
      </c>
      <c r="B187" s="333" t="s">
        <v>1501</v>
      </c>
      <c r="G187" s="333" t="s">
        <v>821</v>
      </c>
      <c r="H187" s="333" t="s">
        <v>297</v>
      </c>
      <c r="I187" s="333" t="s">
        <v>500</v>
      </c>
      <c r="J187" s="146">
        <v>41000</v>
      </c>
      <c r="K187" s="335">
        <v>8</v>
      </c>
      <c r="M187" s="333" t="s">
        <v>880</v>
      </c>
      <c r="N187" s="333" t="s">
        <v>882</v>
      </c>
      <c r="O187" s="333" t="s">
        <v>151</v>
      </c>
      <c r="P187" s="333" t="s">
        <v>151</v>
      </c>
      <c r="Q187" s="335">
        <v>0</v>
      </c>
      <c r="R187" s="335">
        <v>0</v>
      </c>
      <c r="U187" s="333" t="s">
        <v>879</v>
      </c>
      <c r="V187" s="333" t="s">
        <v>554</v>
      </c>
    </row>
    <row r="188" spans="1:22" x14ac:dyDescent="0.25">
      <c r="A188" s="333" t="s">
        <v>230</v>
      </c>
      <c r="B188" s="333" t="s">
        <v>1512</v>
      </c>
      <c r="G188" s="333" t="s">
        <v>593</v>
      </c>
      <c r="H188" s="333" t="s">
        <v>824</v>
      </c>
      <c r="I188" s="333" t="s">
        <v>500</v>
      </c>
      <c r="J188" s="333" t="s">
        <v>1585</v>
      </c>
      <c r="K188" s="335">
        <v>118</v>
      </c>
      <c r="M188" s="333" t="s">
        <v>881</v>
      </c>
      <c r="N188" s="333" t="s">
        <v>877</v>
      </c>
      <c r="O188" s="333" t="s">
        <v>151</v>
      </c>
      <c r="P188" s="333" t="s">
        <v>151</v>
      </c>
      <c r="Q188" s="335">
        <v>0</v>
      </c>
      <c r="R188" s="335">
        <v>0</v>
      </c>
      <c r="U188" s="333" t="s">
        <v>880</v>
      </c>
      <c r="V188" s="333" t="s">
        <v>554</v>
      </c>
    </row>
    <row r="189" spans="1:22" x14ac:dyDescent="0.25">
      <c r="A189" s="333" t="s">
        <v>230</v>
      </c>
      <c r="B189" s="333" t="s">
        <v>1516</v>
      </c>
      <c r="G189" s="333" t="s">
        <v>1067</v>
      </c>
      <c r="H189" s="333" t="s">
        <v>1060</v>
      </c>
      <c r="I189" s="333" t="s">
        <v>500</v>
      </c>
      <c r="J189" s="146">
        <v>41747</v>
      </c>
      <c r="K189" s="335">
        <v>121</v>
      </c>
      <c r="M189" s="333" t="s">
        <v>883</v>
      </c>
      <c r="N189" s="333" t="s">
        <v>884</v>
      </c>
      <c r="O189" s="333" t="s">
        <v>151</v>
      </c>
      <c r="P189" s="333" t="s">
        <v>151</v>
      </c>
      <c r="Q189" s="335">
        <v>0</v>
      </c>
      <c r="R189" s="335">
        <v>0</v>
      </c>
      <c r="U189" s="333" t="s">
        <v>881</v>
      </c>
      <c r="V189" s="333" t="s">
        <v>12</v>
      </c>
    </row>
    <row r="190" spans="1:22" x14ac:dyDescent="0.25">
      <c r="A190" s="333" t="s">
        <v>230</v>
      </c>
      <c r="B190" s="333" t="s">
        <v>1494</v>
      </c>
      <c r="G190" s="333" t="s">
        <v>1516</v>
      </c>
      <c r="H190" s="333" t="s">
        <v>1481</v>
      </c>
      <c r="I190" s="333" t="s">
        <v>843</v>
      </c>
      <c r="J190" s="333" t="s">
        <v>1585</v>
      </c>
      <c r="K190" s="335"/>
      <c r="M190" s="333" t="s">
        <v>886</v>
      </c>
      <c r="N190" s="333" t="s">
        <v>885</v>
      </c>
      <c r="O190" s="333" t="s">
        <v>151</v>
      </c>
      <c r="P190" s="333" t="s">
        <v>151</v>
      </c>
      <c r="Q190" s="335">
        <v>389</v>
      </c>
      <c r="R190" s="335">
        <v>1799</v>
      </c>
      <c r="U190" s="333" t="s">
        <v>883</v>
      </c>
      <c r="V190" s="333" t="s">
        <v>856</v>
      </c>
    </row>
    <row r="191" spans="1:22" x14ac:dyDescent="0.25">
      <c r="A191" s="333" t="s">
        <v>230</v>
      </c>
      <c r="B191" s="333" t="s">
        <v>1495</v>
      </c>
      <c r="G191" s="333" t="s">
        <v>1491</v>
      </c>
      <c r="H191" s="333" t="s">
        <v>1473</v>
      </c>
      <c r="I191" s="333" t="s">
        <v>500</v>
      </c>
      <c r="J191" s="333" t="s">
        <v>1585</v>
      </c>
      <c r="K191" s="335">
        <v>41</v>
      </c>
      <c r="M191" s="333" t="s">
        <v>888</v>
      </c>
      <c r="N191" s="333" t="s">
        <v>887</v>
      </c>
      <c r="O191" s="333" t="s">
        <v>151</v>
      </c>
      <c r="P191" s="333" t="s">
        <v>151</v>
      </c>
      <c r="Q191" s="335">
        <v>0</v>
      </c>
      <c r="R191" s="335">
        <v>0</v>
      </c>
      <c r="U191" s="333" t="s">
        <v>886</v>
      </c>
      <c r="V191" s="333" t="s">
        <v>554</v>
      </c>
    </row>
    <row r="192" spans="1:22" x14ac:dyDescent="0.25">
      <c r="A192" s="333" t="s">
        <v>230</v>
      </c>
      <c r="B192" s="333" t="s">
        <v>1496</v>
      </c>
      <c r="G192" s="333" t="s">
        <v>1492</v>
      </c>
      <c r="H192" s="333" t="s">
        <v>1474</v>
      </c>
      <c r="I192" s="333" t="s">
        <v>500</v>
      </c>
      <c r="J192" s="333" t="s">
        <v>1585</v>
      </c>
      <c r="K192" s="335">
        <v>19</v>
      </c>
      <c r="M192" s="333" t="s">
        <v>891</v>
      </c>
      <c r="N192" s="333" t="s">
        <v>890</v>
      </c>
      <c r="O192" s="333" t="s">
        <v>1182</v>
      </c>
      <c r="P192" s="333" t="s">
        <v>300</v>
      </c>
      <c r="Q192" s="335">
        <v>0</v>
      </c>
      <c r="R192" s="335">
        <v>0</v>
      </c>
      <c r="U192" s="333" t="s">
        <v>888</v>
      </c>
      <c r="V192" s="333" t="s">
        <v>554</v>
      </c>
    </row>
    <row r="193" spans="1:22" x14ac:dyDescent="0.25">
      <c r="A193" s="333" t="s">
        <v>230</v>
      </c>
      <c r="B193" s="333" t="s">
        <v>1497</v>
      </c>
      <c r="G193" s="333" t="s">
        <v>1490</v>
      </c>
      <c r="H193" s="333" t="s">
        <v>1472</v>
      </c>
      <c r="I193" s="333" t="s">
        <v>500</v>
      </c>
      <c r="J193" s="333" t="s">
        <v>1585</v>
      </c>
      <c r="K193" s="335">
        <v>13</v>
      </c>
      <c r="M193" s="333" t="s">
        <v>895</v>
      </c>
      <c r="N193" s="333" t="s">
        <v>894</v>
      </c>
      <c r="O193" s="333" t="s">
        <v>1182</v>
      </c>
      <c r="P193" s="333" t="s">
        <v>892</v>
      </c>
      <c r="Q193" s="335">
        <v>0</v>
      </c>
      <c r="R193" s="335">
        <v>0</v>
      </c>
      <c r="U193" s="333" t="s">
        <v>891</v>
      </c>
      <c r="V193" s="333" t="s">
        <v>554</v>
      </c>
    </row>
    <row r="194" spans="1:22" x14ac:dyDescent="0.25">
      <c r="A194" s="333" t="s">
        <v>230</v>
      </c>
      <c r="B194" s="333" t="s">
        <v>1498</v>
      </c>
      <c r="G194" s="333" t="s">
        <v>271</v>
      </c>
      <c r="H194" s="333" t="s">
        <v>270</v>
      </c>
      <c r="I194" s="333" t="s">
        <v>500</v>
      </c>
      <c r="J194" s="146">
        <v>40909</v>
      </c>
      <c r="K194" s="335">
        <v>68</v>
      </c>
      <c r="M194" s="333" t="s">
        <v>896</v>
      </c>
      <c r="N194" s="333" t="s">
        <v>897</v>
      </c>
      <c r="O194" s="333" t="s">
        <v>5</v>
      </c>
      <c r="P194" s="333" t="s">
        <v>5</v>
      </c>
      <c r="Q194" s="335">
        <v>0</v>
      </c>
      <c r="R194" s="335">
        <v>0</v>
      </c>
      <c r="U194" s="333" t="s">
        <v>895</v>
      </c>
      <c r="V194" s="333" t="s">
        <v>554</v>
      </c>
    </row>
    <row r="195" spans="1:22" x14ac:dyDescent="0.25">
      <c r="A195" s="333" t="s">
        <v>237</v>
      </c>
      <c r="B195" s="333" t="s">
        <v>243</v>
      </c>
      <c r="G195" s="333" t="s">
        <v>20</v>
      </c>
      <c r="H195" s="333" t="s">
        <v>19</v>
      </c>
      <c r="I195" s="333" t="s">
        <v>500</v>
      </c>
      <c r="J195" s="146">
        <v>40848</v>
      </c>
      <c r="K195" s="335">
        <v>21</v>
      </c>
      <c r="M195" s="333" t="s">
        <v>288</v>
      </c>
      <c r="N195" s="333" t="s">
        <v>290</v>
      </c>
      <c r="O195" s="333" t="s">
        <v>289</v>
      </c>
      <c r="P195" s="333" t="s">
        <v>289</v>
      </c>
      <c r="Q195" s="335">
        <v>69</v>
      </c>
      <c r="R195" s="335">
        <v>344</v>
      </c>
      <c r="U195" s="333" t="s">
        <v>896</v>
      </c>
      <c r="V195" s="333" t="s">
        <v>554</v>
      </c>
    </row>
    <row r="196" spans="1:22" x14ac:dyDescent="0.25">
      <c r="A196" s="333" t="s">
        <v>237</v>
      </c>
      <c r="B196" s="333" t="s">
        <v>245</v>
      </c>
      <c r="G196" s="333" t="s">
        <v>108</v>
      </c>
      <c r="H196" s="333" t="s">
        <v>107</v>
      </c>
      <c r="I196" s="333" t="s">
        <v>500</v>
      </c>
      <c r="J196" s="146">
        <v>41487</v>
      </c>
      <c r="K196" s="335">
        <v>51</v>
      </c>
      <c r="M196" s="333" t="s">
        <v>293</v>
      </c>
      <c r="N196" s="333" t="s">
        <v>294</v>
      </c>
      <c r="O196" s="333" t="s">
        <v>289</v>
      </c>
      <c r="P196" s="333" t="s">
        <v>289</v>
      </c>
      <c r="Q196" s="335">
        <v>0</v>
      </c>
      <c r="R196" s="335">
        <v>0</v>
      </c>
      <c r="U196" s="333" t="s">
        <v>941</v>
      </c>
      <c r="V196" s="333" t="s">
        <v>554</v>
      </c>
    </row>
    <row r="197" spans="1:22" x14ac:dyDescent="0.25">
      <c r="A197" s="333" t="s">
        <v>237</v>
      </c>
      <c r="B197" s="333" t="s">
        <v>247</v>
      </c>
      <c r="G197" s="333" t="s">
        <v>183</v>
      </c>
      <c r="H197" s="333" t="s">
        <v>182</v>
      </c>
      <c r="I197" s="333" t="s">
        <v>843</v>
      </c>
      <c r="J197" s="146">
        <v>40969</v>
      </c>
      <c r="K197" s="335">
        <v>0</v>
      </c>
      <c r="M197" s="333" t="s">
        <v>295</v>
      </c>
      <c r="N197" s="333" t="s">
        <v>374</v>
      </c>
      <c r="O197" s="333" t="s">
        <v>289</v>
      </c>
      <c r="P197" s="333" t="s">
        <v>289</v>
      </c>
      <c r="Q197" s="335">
        <v>33</v>
      </c>
      <c r="R197" s="335">
        <v>211</v>
      </c>
      <c r="U197" s="333" t="s">
        <v>1018</v>
      </c>
      <c r="V197" s="333" t="s">
        <v>554</v>
      </c>
    </row>
    <row r="198" spans="1:22" x14ac:dyDescent="0.25">
      <c r="A198" s="333" t="s">
        <v>237</v>
      </c>
      <c r="B198" s="333" t="s">
        <v>253</v>
      </c>
      <c r="G198" s="333" t="s">
        <v>594</v>
      </c>
      <c r="H198" s="333" t="s">
        <v>838</v>
      </c>
      <c r="I198" s="333" t="s">
        <v>500</v>
      </c>
      <c r="J198" s="146">
        <v>41365</v>
      </c>
      <c r="K198" s="335">
        <v>67</v>
      </c>
      <c r="M198" s="333" t="s">
        <v>291</v>
      </c>
      <c r="N198" s="333" t="s">
        <v>292</v>
      </c>
      <c r="O198" s="333" t="s">
        <v>289</v>
      </c>
      <c r="P198" s="333" t="s">
        <v>289</v>
      </c>
      <c r="Q198" s="335">
        <v>75</v>
      </c>
      <c r="R198" s="335">
        <v>383</v>
      </c>
      <c r="U198" s="333" t="s">
        <v>1020</v>
      </c>
      <c r="V198" s="333" t="s">
        <v>554</v>
      </c>
    </row>
    <row r="199" spans="1:22" x14ac:dyDescent="0.25">
      <c r="A199" s="333" t="s">
        <v>237</v>
      </c>
      <c r="B199" s="333" t="s">
        <v>255</v>
      </c>
      <c r="G199" s="333" t="s">
        <v>178</v>
      </c>
      <c r="H199" s="333" t="s">
        <v>177</v>
      </c>
      <c r="I199" s="333" t="s">
        <v>500</v>
      </c>
      <c r="J199" s="146">
        <v>40969</v>
      </c>
      <c r="K199" s="335">
        <v>12</v>
      </c>
      <c r="M199" s="333" t="s">
        <v>234</v>
      </c>
      <c r="N199" s="333" t="s">
        <v>235</v>
      </c>
      <c r="O199" s="333" t="s">
        <v>1182</v>
      </c>
      <c r="P199" s="333" t="s">
        <v>230</v>
      </c>
      <c r="Q199" s="335"/>
      <c r="R199" s="335"/>
      <c r="U199" s="333" t="s">
        <v>1035</v>
      </c>
      <c r="V199" s="333" t="s">
        <v>554</v>
      </c>
    </row>
    <row r="200" spans="1:22" x14ac:dyDescent="0.25">
      <c r="A200" s="333" t="s">
        <v>237</v>
      </c>
      <c r="B200" s="333" t="s">
        <v>257</v>
      </c>
      <c r="G200" s="333" t="s">
        <v>890</v>
      </c>
      <c r="H200" s="333" t="s">
        <v>891</v>
      </c>
      <c r="I200" s="333" t="s">
        <v>843</v>
      </c>
      <c r="J200" s="146">
        <v>41487</v>
      </c>
      <c r="K200" s="335">
        <v>0</v>
      </c>
      <c r="M200" s="333" t="s">
        <v>147</v>
      </c>
      <c r="N200" s="333" t="s">
        <v>371</v>
      </c>
      <c r="O200" s="333" t="s">
        <v>146</v>
      </c>
      <c r="P200" s="333" t="s">
        <v>146</v>
      </c>
      <c r="Q200" s="335">
        <v>46</v>
      </c>
      <c r="R200" s="335">
        <v>255</v>
      </c>
      <c r="U200" s="333" t="s">
        <v>1043</v>
      </c>
      <c r="V200" s="333" t="s">
        <v>12</v>
      </c>
    </row>
    <row r="201" spans="1:22" x14ac:dyDescent="0.25">
      <c r="A201" s="333" t="s">
        <v>237</v>
      </c>
      <c r="B201" s="333" t="s">
        <v>240</v>
      </c>
      <c r="G201" s="333" t="s">
        <v>344</v>
      </c>
      <c r="H201" s="333" t="s">
        <v>343</v>
      </c>
      <c r="I201" s="333" t="s">
        <v>500</v>
      </c>
      <c r="J201" s="146">
        <v>41030</v>
      </c>
      <c r="K201" s="335">
        <v>18</v>
      </c>
      <c r="M201" s="333" t="s">
        <v>148</v>
      </c>
      <c r="N201" s="333" t="s">
        <v>149</v>
      </c>
      <c r="O201" s="333" t="s">
        <v>146</v>
      </c>
      <c r="P201" s="333" t="s">
        <v>146</v>
      </c>
      <c r="Q201" s="335">
        <v>64</v>
      </c>
      <c r="R201" s="335">
        <v>284</v>
      </c>
      <c r="U201" s="333" t="s">
        <v>1062</v>
      </c>
      <c r="V201" s="333" t="s">
        <v>554</v>
      </c>
    </row>
    <row r="202" spans="1:22" x14ac:dyDescent="0.25">
      <c r="A202" s="333" t="s">
        <v>237</v>
      </c>
      <c r="B202" s="333" t="s">
        <v>285</v>
      </c>
      <c r="G202" s="333" t="s">
        <v>287</v>
      </c>
      <c r="H202" s="333" t="s">
        <v>286</v>
      </c>
      <c r="I202" s="333" t="s">
        <v>500</v>
      </c>
      <c r="J202" s="146">
        <v>40940</v>
      </c>
      <c r="K202" s="335">
        <v>19</v>
      </c>
      <c r="M202" s="333" t="s">
        <v>165</v>
      </c>
      <c r="N202" s="333" t="s">
        <v>167</v>
      </c>
      <c r="O202" s="333" t="s">
        <v>1182</v>
      </c>
      <c r="P202" s="333" t="s">
        <v>166</v>
      </c>
      <c r="Q202" s="335">
        <v>36</v>
      </c>
      <c r="R202" s="335">
        <v>179</v>
      </c>
      <c r="U202" s="333" t="s">
        <v>1066</v>
      </c>
      <c r="V202" s="333" t="s">
        <v>554</v>
      </c>
    </row>
    <row r="203" spans="1:22" x14ac:dyDescent="0.25">
      <c r="A203" s="333" t="s">
        <v>237</v>
      </c>
      <c r="B203" s="333" t="s">
        <v>259</v>
      </c>
      <c r="G203" s="333" t="s">
        <v>1247</v>
      </c>
      <c r="H203" s="333" t="s">
        <v>360</v>
      </c>
      <c r="I203" s="333" t="s">
        <v>843</v>
      </c>
      <c r="J203" s="333" t="s">
        <v>1585</v>
      </c>
      <c r="K203" s="335">
        <v>0</v>
      </c>
      <c r="M203" s="333" t="s">
        <v>168</v>
      </c>
      <c r="N203" s="333" t="s">
        <v>169</v>
      </c>
      <c r="O203" s="333" t="s">
        <v>1182</v>
      </c>
      <c r="P203" s="333" t="s">
        <v>230</v>
      </c>
      <c r="Q203" s="335"/>
      <c r="R203" s="335"/>
      <c r="U203" s="333" t="s">
        <v>288</v>
      </c>
      <c r="V203" s="333" t="s">
        <v>554</v>
      </c>
    </row>
    <row r="204" spans="1:22" x14ac:dyDescent="0.25">
      <c r="A204" s="333" t="s">
        <v>237</v>
      </c>
      <c r="B204" s="333" t="s">
        <v>261</v>
      </c>
      <c r="G204" s="333" t="s">
        <v>1298</v>
      </c>
      <c r="H204" s="333" t="s">
        <v>1299</v>
      </c>
      <c r="I204" s="333" t="s">
        <v>500</v>
      </c>
      <c r="J204" s="146">
        <v>42036</v>
      </c>
      <c r="K204" s="335">
        <v>146</v>
      </c>
      <c r="M204" s="333" t="s">
        <v>170</v>
      </c>
      <c r="N204" s="333" t="s">
        <v>171</v>
      </c>
      <c r="O204" s="333" t="s">
        <v>1182</v>
      </c>
      <c r="P204" s="333" t="s">
        <v>230</v>
      </c>
      <c r="Q204" s="335"/>
      <c r="R204" s="335"/>
      <c r="U204" s="333" t="s">
        <v>293</v>
      </c>
      <c r="V204" s="333" t="s">
        <v>554</v>
      </c>
    </row>
    <row r="205" spans="1:22" x14ac:dyDescent="0.25">
      <c r="A205" s="333" t="s">
        <v>237</v>
      </c>
      <c r="B205" s="333" t="s">
        <v>263</v>
      </c>
      <c r="G205" s="333" t="s">
        <v>1315</v>
      </c>
      <c r="H205" s="333" t="s">
        <v>1316</v>
      </c>
      <c r="I205" s="333" t="s">
        <v>500</v>
      </c>
      <c r="J205" s="146">
        <v>42036</v>
      </c>
      <c r="K205" s="335">
        <v>105</v>
      </c>
      <c r="M205" s="333" t="s">
        <v>232</v>
      </c>
      <c r="N205" s="333" t="s">
        <v>233</v>
      </c>
      <c r="O205" s="333" t="s">
        <v>1182</v>
      </c>
      <c r="P205" s="333" t="s">
        <v>230</v>
      </c>
      <c r="Q205" s="335"/>
      <c r="R205" s="335"/>
      <c r="U205" s="333" t="s">
        <v>295</v>
      </c>
      <c r="V205" s="333" t="s">
        <v>554</v>
      </c>
    </row>
    <row r="206" spans="1:22" x14ac:dyDescent="0.25">
      <c r="A206" s="333" t="s">
        <v>237</v>
      </c>
      <c r="B206" s="333" t="s">
        <v>265</v>
      </c>
      <c r="G206" s="333" t="s">
        <v>110</v>
      </c>
      <c r="H206" s="333" t="s">
        <v>109</v>
      </c>
      <c r="I206" s="333" t="s">
        <v>843</v>
      </c>
      <c r="J206" s="146">
        <v>41122</v>
      </c>
      <c r="K206" s="335">
        <v>0</v>
      </c>
      <c r="M206" s="333" t="s">
        <v>297</v>
      </c>
      <c r="N206" s="333" t="s">
        <v>821</v>
      </c>
      <c r="O206" s="333" t="s">
        <v>1182</v>
      </c>
      <c r="P206" s="333" t="s">
        <v>298</v>
      </c>
      <c r="Q206" s="335">
        <v>8</v>
      </c>
      <c r="R206" s="335">
        <v>39</v>
      </c>
      <c r="U206" s="333" t="s">
        <v>291</v>
      </c>
      <c r="V206" s="333" t="s">
        <v>554</v>
      </c>
    </row>
    <row r="207" spans="1:22" x14ac:dyDescent="0.25">
      <c r="A207" s="333" t="s">
        <v>237</v>
      </c>
      <c r="B207" s="333" t="s">
        <v>267</v>
      </c>
      <c r="G207" s="333" t="s">
        <v>112</v>
      </c>
      <c r="H207" s="333" t="s">
        <v>111</v>
      </c>
      <c r="I207" s="333" t="s">
        <v>843</v>
      </c>
      <c r="J207" s="333" t="s">
        <v>1585</v>
      </c>
      <c r="K207" s="335">
        <v>0</v>
      </c>
      <c r="M207" s="333" t="s">
        <v>382</v>
      </c>
      <c r="N207" s="333" t="s">
        <v>372</v>
      </c>
      <c r="O207" s="333" t="s">
        <v>146</v>
      </c>
      <c r="P207" s="333" t="s">
        <v>146</v>
      </c>
      <c r="Q207" s="335">
        <v>88</v>
      </c>
      <c r="R207" s="335">
        <v>505</v>
      </c>
      <c r="U207" s="333" t="s">
        <v>234</v>
      </c>
      <c r="V207" s="333" t="s">
        <v>12</v>
      </c>
    </row>
    <row r="208" spans="1:22" x14ac:dyDescent="0.25">
      <c r="A208" s="333" t="s">
        <v>237</v>
      </c>
      <c r="B208" s="333" t="s">
        <v>271</v>
      </c>
      <c r="G208" s="333" t="s">
        <v>215</v>
      </c>
      <c r="H208" s="333" t="s">
        <v>214</v>
      </c>
      <c r="I208" s="333" t="s">
        <v>500</v>
      </c>
      <c r="J208" s="146">
        <v>41000</v>
      </c>
      <c r="K208" s="335">
        <v>355</v>
      </c>
      <c r="M208" s="333" t="s">
        <v>383</v>
      </c>
      <c r="N208" s="333" t="s">
        <v>369</v>
      </c>
      <c r="O208" s="333" t="s">
        <v>146</v>
      </c>
      <c r="P208" s="333" t="s">
        <v>146</v>
      </c>
      <c r="Q208" s="335">
        <v>60</v>
      </c>
      <c r="R208" s="335">
        <v>288</v>
      </c>
      <c r="U208" s="333" t="s">
        <v>147</v>
      </c>
      <c r="V208" s="333" t="s">
        <v>554</v>
      </c>
    </row>
    <row r="209" spans="1:22" x14ac:dyDescent="0.25">
      <c r="A209" s="333" t="s">
        <v>237</v>
      </c>
      <c r="B209" s="333" t="s">
        <v>269</v>
      </c>
      <c r="G209" s="333" t="s">
        <v>217</v>
      </c>
      <c r="H209" s="333" t="s">
        <v>216</v>
      </c>
      <c r="I209" s="333" t="s">
        <v>843</v>
      </c>
      <c r="J209" s="146">
        <v>40817</v>
      </c>
      <c r="K209" s="335"/>
      <c r="M209" s="333" t="s">
        <v>384</v>
      </c>
      <c r="N209" s="333" t="s">
        <v>370</v>
      </c>
      <c r="O209" s="333" t="s">
        <v>146</v>
      </c>
      <c r="P209" s="333" t="s">
        <v>146</v>
      </c>
      <c r="Q209" s="335">
        <v>30</v>
      </c>
      <c r="R209" s="335">
        <v>138</v>
      </c>
      <c r="U209" s="333" t="s">
        <v>148</v>
      </c>
      <c r="V209" s="333" t="s">
        <v>554</v>
      </c>
    </row>
    <row r="210" spans="1:22" x14ac:dyDescent="0.25">
      <c r="A210" s="333" t="s">
        <v>237</v>
      </c>
      <c r="B210" s="333" t="s">
        <v>273</v>
      </c>
      <c r="G210" s="333" t="s">
        <v>269</v>
      </c>
      <c r="H210" s="333" t="s">
        <v>268</v>
      </c>
      <c r="I210" s="333" t="s">
        <v>500</v>
      </c>
      <c r="J210" s="146">
        <v>40695</v>
      </c>
      <c r="K210" s="335">
        <v>67</v>
      </c>
      <c r="M210" s="333" t="s">
        <v>385</v>
      </c>
      <c r="N210" s="333" t="s">
        <v>368</v>
      </c>
      <c r="O210" s="333" t="s">
        <v>146</v>
      </c>
      <c r="P210" s="333" t="s">
        <v>146</v>
      </c>
      <c r="Q210" s="335">
        <v>69</v>
      </c>
      <c r="R210" s="335">
        <v>306</v>
      </c>
      <c r="U210" s="333" t="s">
        <v>165</v>
      </c>
      <c r="V210" s="333" t="s">
        <v>554</v>
      </c>
    </row>
    <row r="211" spans="1:22" x14ac:dyDescent="0.25">
      <c r="A211" s="333" t="s">
        <v>237</v>
      </c>
      <c r="B211" s="333" t="s">
        <v>277</v>
      </c>
      <c r="G211" s="333" t="s">
        <v>229</v>
      </c>
      <c r="H211" s="333" t="s">
        <v>228</v>
      </c>
      <c r="I211" s="333" t="s">
        <v>500</v>
      </c>
      <c r="J211" s="146">
        <v>41122</v>
      </c>
      <c r="K211" s="335">
        <v>49</v>
      </c>
      <c r="M211" s="333" t="s">
        <v>386</v>
      </c>
      <c r="N211" s="333" t="s">
        <v>367</v>
      </c>
      <c r="O211" s="333" t="s">
        <v>146</v>
      </c>
      <c r="P211" s="333" t="s">
        <v>146</v>
      </c>
      <c r="Q211" s="335">
        <v>0</v>
      </c>
      <c r="R211" s="335">
        <v>0</v>
      </c>
      <c r="U211" s="333" t="s">
        <v>168</v>
      </c>
      <c r="V211" s="333" t="s">
        <v>12</v>
      </c>
    </row>
    <row r="212" spans="1:22" x14ac:dyDescent="0.25">
      <c r="A212" s="333" t="s">
        <v>237</v>
      </c>
      <c r="B212" s="333" t="s">
        <v>279</v>
      </c>
      <c r="G212" s="333" t="s">
        <v>273</v>
      </c>
      <c r="H212" s="333" t="s">
        <v>272</v>
      </c>
      <c r="I212" s="333" t="s">
        <v>500</v>
      </c>
      <c r="J212" s="146">
        <v>41244</v>
      </c>
      <c r="K212" s="335">
        <v>46</v>
      </c>
      <c r="M212" s="333" t="s">
        <v>387</v>
      </c>
      <c r="N212" s="333" t="s">
        <v>373</v>
      </c>
      <c r="O212" s="333" t="s">
        <v>146</v>
      </c>
      <c r="P212" s="333" t="s">
        <v>146</v>
      </c>
      <c r="Q212" s="335">
        <v>189</v>
      </c>
      <c r="R212" s="335">
        <v>917</v>
      </c>
      <c r="U212" s="333" t="s">
        <v>170</v>
      </c>
      <c r="V212" s="333" t="s">
        <v>12</v>
      </c>
    </row>
    <row r="213" spans="1:22" x14ac:dyDescent="0.25">
      <c r="A213" s="333" t="s">
        <v>237</v>
      </c>
      <c r="B213" s="333" t="s">
        <v>281</v>
      </c>
      <c r="G213" s="333" t="s">
        <v>219</v>
      </c>
      <c r="H213" s="333" t="s">
        <v>218</v>
      </c>
      <c r="I213" s="333" t="s">
        <v>500</v>
      </c>
      <c r="J213" s="146">
        <v>41000</v>
      </c>
      <c r="K213" s="335">
        <v>599</v>
      </c>
      <c r="M213" s="333" t="s">
        <v>388</v>
      </c>
      <c r="N213" s="333" t="s">
        <v>231</v>
      </c>
      <c r="O213" s="333" t="s">
        <v>1182</v>
      </c>
      <c r="P213" s="333" t="s">
        <v>230</v>
      </c>
      <c r="Q213" s="335">
        <v>32</v>
      </c>
      <c r="R213" s="335">
        <v>187</v>
      </c>
      <c r="U213" s="333" t="s">
        <v>232</v>
      </c>
      <c r="V213" s="333" t="s">
        <v>554</v>
      </c>
    </row>
    <row r="214" spans="1:22" x14ac:dyDescent="0.25">
      <c r="A214" s="333" t="s">
        <v>237</v>
      </c>
      <c r="B214" s="333" t="s">
        <v>238</v>
      </c>
      <c r="G214" s="333" t="s">
        <v>1243</v>
      </c>
      <c r="H214" s="333" t="s">
        <v>345</v>
      </c>
      <c r="I214" s="333" t="s">
        <v>500</v>
      </c>
      <c r="J214" s="146">
        <v>40725</v>
      </c>
      <c r="K214" s="335">
        <v>174</v>
      </c>
      <c r="M214" s="333" t="s">
        <v>389</v>
      </c>
      <c r="N214" s="333" t="s">
        <v>375</v>
      </c>
      <c r="O214" s="333" t="s">
        <v>289</v>
      </c>
      <c r="P214" s="333" t="s">
        <v>289</v>
      </c>
      <c r="Q214" s="335">
        <v>0</v>
      </c>
      <c r="R214" s="335">
        <v>0</v>
      </c>
      <c r="U214" s="333" t="s">
        <v>297</v>
      </c>
      <c r="V214" s="333" t="s">
        <v>554</v>
      </c>
    </row>
    <row r="215" spans="1:22" x14ac:dyDescent="0.25">
      <c r="A215" s="333" t="s">
        <v>237</v>
      </c>
      <c r="B215" s="333" t="s">
        <v>249</v>
      </c>
      <c r="G215" s="333" t="s">
        <v>1413</v>
      </c>
      <c r="H215" s="333" t="s">
        <v>1396</v>
      </c>
      <c r="I215" s="333" t="s">
        <v>500</v>
      </c>
      <c r="J215" s="146">
        <v>42370</v>
      </c>
      <c r="K215" s="335">
        <v>19</v>
      </c>
      <c r="M215" s="333" t="s">
        <v>837</v>
      </c>
      <c r="N215" s="333" t="s">
        <v>361</v>
      </c>
      <c r="O215" s="333" t="s">
        <v>1182</v>
      </c>
      <c r="P215" s="333" t="s">
        <v>230</v>
      </c>
      <c r="Q215" s="335"/>
      <c r="R215" s="335"/>
      <c r="U215" s="333" t="s">
        <v>382</v>
      </c>
      <c r="V215" s="333" t="s">
        <v>554</v>
      </c>
    </row>
    <row r="216" spans="1:22" x14ac:dyDescent="0.25">
      <c r="A216" s="333" t="s">
        <v>237</v>
      </c>
      <c r="B216" s="333" t="s">
        <v>251</v>
      </c>
      <c r="G216" s="333" t="s">
        <v>864</v>
      </c>
      <c r="H216" s="333" t="s">
        <v>863</v>
      </c>
      <c r="I216" s="333" t="s">
        <v>500</v>
      </c>
      <c r="J216" s="146">
        <v>41091</v>
      </c>
      <c r="K216" s="335">
        <v>61</v>
      </c>
      <c r="M216" s="333" t="s">
        <v>838</v>
      </c>
      <c r="N216" s="333" t="s">
        <v>594</v>
      </c>
      <c r="O216" s="333" t="s">
        <v>779</v>
      </c>
      <c r="P216" s="333" t="s">
        <v>779</v>
      </c>
      <c r="Q216" s="335">
        <v>67</v>
      </c>
      <c r="R216" s="335">
        <v>392</v>
      </c>
      <c r="U216" s="333" t="s">
        <v>383</v>
      </c>
      <c r="V216" s="333" t="s">
        <v>554</v>
      </c>
    </row>
    <row r="217" spans="1:22" x14ac:dyDescent="0.25">
      <c r="A217" s="333" t="s">
        <v>237</v>
      </c>
      <c r="B217" s="333" t="s">
        <v>275</v>
      </c>
      <c r="G217" s="333" t="s">
        <v>114</v>
      </c>
      <c r="H217" s="333" t="s">
        <v>113</v>
      </c>
      <c r="I217" s="333" t="s">
        <v>843</v>
      </c>
      <c r="J217" s="333" t="s">
        <v>1585</v>
      </c>
      <c r="K217" s="335">
        <v>0</v>
      </c>
      <c r="M217" s="333" t="s">
        <v>823</v>
      </c>
      <c r="N217" s="333" t="s">
        <v>822</v>
      </c>
      <c r="O217" s="333" t="s">
        <v>1182</v>
      </c>
      <c r="P217" s="333" t="s">
        <v>166</v>
      </c>
      <c r="Q217" s="335">
        <v>29</v>
      </c>
      <c r="R217" s="335">
        <v>178</v>
      </c>
      <c r="U217" s="333" t="s">
        <v>384</v>
      </c>
      <c r="V217" s="333" t="s">
        <v>554</v>
      </c>
    </row>
    <row r="218" spans="1:22" x14ac:dyDescent="0.25">
      <c r="A218" s="333" t="s">
        <v>237</v>
      </c>
      <c r="B218" s="333" t="s">
        <v>283</v>
      </c>
      <c r="G218" s="333" t="s">
        <v>366</v>
      </c>
      <c r="H218" s="333" t="s">
        <v>376</v>
      </c>
      <c r="I218" s="333" t="s">
        <v>500</v>
      </c>
      <c r="J218" s="146">
        <v>41275</v>
      </c>
      <c r="K218" s="335">
        <v>153</v>
      </c>
      <c r="M218" s="333" t="s">
        <v>824</v>
      </c>
      <c r="N218" s="333" t="s">
        <v>593</v>
      </c>
      <c r="O218" s="333" t="s">
        <v>1182</v>
      </c>
      <c r="P218" s="333" t="s">
        <v>298</v>
      </c>
      <c r="Q218" s="335">
        <v>118</v>
      </c>
      <c r="R218" s="335">
        <v>520</v>
      </c>
      <c r="U218" s="333" t="s">
        <v>385</v>
      </c>
      <c r="V218" s="333" t="s">
        <v>554</v>
      </c>
    </row>
    <row r="219" spans="1:22" x14ac:dyDescent="0.25">
      <c r="A219" s="333" t="s">
        <v>237</v>
      </c>
      <c r="B219" s="333" t="s">
        <v>1244</v>
      </c>
      <c r="G219" s="333" t="s">
        <v>221</v>
      </c>
      <c r="H219" s="333" t="s">
        <v>220</v>
      </c>
      <c r="I219" s="333" t="s">
        <v>500</v>
      </c>
      <c r="J219" s="333" t="s">
        <v>1585</v>
      </c>
      <c r="K219" s="335">
        <v>39</v>
      </c>
      <c r="M219" s="333" t="s">
        <v>931</v>
      </c>
      <c r="N219" s="333" t="s">
        <v>930</v>
      </c>
      <c r="O219" s="333" t="s">
        <v>146</v>
      </c>
      <c r="P219" s="333" t="s">
        <v>146</v>
      </c>
      <c r="Q219" s="335">
        <v>0</v>
      </c>
      <c r="R219" s="335">
        <v>0</v>
      </c>
      <c r="U219" s="333" t="s">
        <v>386</v>
      </c>
      <c r="V219" s="333" t="s">
        <v>554</v>
      </c>
    </row>
    <row r="220" spans="1:22" x14ac:dyDescent="0.25">
      <c r="A220" s="333" t="s">
        <v>289</v>
      </c>
      <c r="B220" s="333" t="s">
        <v>292</v>
      </c>
      <c r="G220" s="333" t="s">
        <v>355</v>
      </c>
      <c r="H220" s="333" t="s">
        <v>354</v>
      </c>
      <c r="I220" s="333" t="s">
        <v>500</v>
      </c>
      <c r="J220" s="146">
        <v>40848</v>
      </c>
      <c r="K220" s="335">
        <v>98</v>
      </c>
      <c r="M220" s="333" t="s">
        <v>933</v>
      </c>
      <c r="N220" s="333" t="s">
        <v>932</v>
      </c>
      <c r="O220" s="333" t="s">
        <v>146</v>
      </c>
      <c r="P220" s="333" t="s">
        <v>146</v>
      </c>
      <c r="Q220" s="335">
        <v>0</v>
      </c>
      <c r="R220" s="335">
        <v>0</v>
      </c>
      <c r="U220" s="333" t="s">
        <v>387</v>
      </c>
      <c r="V220" s="333" t="s">
        <v>554</v>
      </c>
    </row>
    <row r="221" spans="1:22" x14ac:dyDescent="0.25">
      <c r="A221" s="333" t="s">
        <v>289</v>
      </c>
      <c r="B221" s="333" t="s">
        <v>290</v>
      </c>
      <c r="G221" s="333" t="s">
        <v>318</v>
      </c>
      <c r="H221" s="333" t="s">
        <v>317</v>
      </c>
      <c r="I221" s="333" t="s">
        <v>500</v>
      </c>
      <c r="J221" s="146">
        <v>40725</v>
      </c>
      <c r="K221" s="335">
        <v>91</v>
      </c>
      <c r="M221" s="333" t="s">
        <v>941</v>
      </c>
      <c r="N221" s="333" t="s">
        <v>942</v>
      </c>
      <c r="O221" s="333" t="s">
        <v>151</v>
      </c>
      <c r="P221" s="333" t="s">
        <v>151</v>
      </c>
      <c r="Q221" s="335">
        <v>167</v>
      </c>
      <c r="R221" s="335">
        <v>730</v>
      </c>
      <c r="U221" s="333" t="s">
        <v>388</v>
      </c>
      <c r="V221" s="333" t="s">
        <v>12</v>
      </c>
    </row>
    <row r="222" spans="1:22" x14ac:dyDescent="0.25">
      <c r="A222" s="333" t="s">
        <v>289</v>
      </c>
      <c r="B222" s="333" t="s">
        <v>374</v>
      </c>
      <c r="G222" s="333" t="s">
        <v>342</v>
      </c>
      <c r="H222" s="333" t="s">
        <v>341</v>
      </c>
      <c r="I222" s="333" t="s">
        <v>500</v>
      </c>
      <c r="J222" s="146">
        <v>40695</v>
      </c>
      <c r="K222" s="335">
        <v>64</v>
      </c>
      <c r="M222" s="333" t="s">
        <v>1018</v>
      </c>
      <c r="N222" s="333" t="s">
        <v>1021</v>
      </c>
      <c r="O222" s="333" t="s">
        <v>5</v>
      </c>
      <c r="P222" s="333" t="s">
        <v>5</v>
      </c>
      <c r="Q222" s="335">
        <v>0</v>
      </c>
      <c r="R222" s="335">
        <v>0</v>
      </c>
      <c r="U222" s="333" t="s">
        <v>389</v>
      </c>
      <c r="V222" s="333" t="s">
        <v>554</v>
      </c>
    </row>
    <row r="223" spans="1:22" x14ac:dyDescent="0.25">
      <c r="A223" s="333" t="s">
        <v>289</v>
      </c>
      <c r="B223" s="333" t="s">
        <v>375</v>
      </c>
      <c r="G223" s="333" t="s">
        <v>338</v>
      </c>
      <c r="H223" s="333" t="s">
        <v>337</v>
      </c>
      <c r="I223" s="333" t="s">
        <v>500</v>
      </c>
      <c r="J223" s="146">
        <v>40695</v>
      </c>
      <c r="K223" s="335">
        <v>31</v>
      </c>
      <c r="M223" s="333" t="s">
        <v>1020</v>
      </c>
      <c r="N223" s="333" t="s">
        <v>1019</v>
      </c>
      <c r="O223" s="333" t="s">
        <v>27</v>
      </c>
      <c r="P223" s="333" t="s">
        <v>27</v>
      </c>
      <c r="Q223" s="335">
        <v>31</v>
      </c>
      <c r="R223" s="335">
        <v>180</v>
      </c>
      <c r="U223" s="333" t="s">
        <v>837</v>
      </c>
      <c r="V223" s="333" t="s">
        <v>554</v>
      </c>
    </row>
    <row r="224" spans="1:22" x14ac:dyDescent="0.25">
      <c r="A224" s="333" t="s">
        <v>289</v>
      </c>
      <c r="B224" s="333" t="s">
        <v>294</v>
      </c>
      <c r="G224" s="333" t="s">
        <v>351</v>
      </c>
      <c r="H224" s="333" t="s">
        <v>350</v>
      </c>
      <c r="I224" s="333" t="s">
        <v>500</v>
      </c>
      <c r="J224" s="146">
        <v>40940</v>
      </c>
      <c r="K224" s="335">
        <v>87</v>
      </c>
      <c r="M224" s="333" t="s">
        <v>1035</v>
      </c>
      <c r="N224" s="333" t="s">
        <v>1034</v>
      </c>
      <c r="O224" s="333" t="s">
        <v>151</v>
      </c>
      <c r="P224" s="333" t="s">
        <v>151</v>
      </c>
      <c r="Q224" s="335"/>
      <c r="R224" s="335"/>
      <c r="U224" s="333" t="s">
        <v>838</v>
      </c>
      <c r="V224" s="333" t="s">
        <v>12</v>
      </c>
    </row>
    <row r="225" spans="1:22" x14ac:dyDescent="0.25">
      <c r="A225" s="333" t="s">
        <v>289</v>
      </c>
      <c r="B225" s="333" t="s">
        <v>1055</v>
      </c>
      <c r="G225" s="333" t="s">
        <v>118</v>
      </c>
      <c r="H225" s="333" t="s">
        <v>117</v>
      </c>
      <c r="I225" s="333" t="s">
        <v>500</v>
      </c>
      <c r="J225" s="146">
        <v>41275</v>
      </c>
      <c r="K225" s="335">
        <v>10</v>
      </c>
      <c r="M225" s="333" t="s">
        <v>1043</v>
      </c>
      <c r="N225" s="333" t="s">
        <v>1041</v>
      </c>
      <c r="O225" s="333" t="s">
        <v>1182</v>
      </c>
      <c r="P225" s="333" t="s">
        <v>300</v>
      </c>
      <c r="Q225" s="335">
        <v>10</v>
      </c>
      <c r="R225" s="335">
        <v>56</v>
      </c>
      <c r="U225" s="333" t="s">
        <v>823</v>
      </c>
      <c r="V225" s="333" t="s">
        <v>554</v>
      </c>
    </row>
    <row r="226" spans="1:22" x14ac:dyDescent="0.25">
      <c r="A226" s="333" t="s">
        <v>289</v>
      </c>
      <c r="B226" s="333" t="s">
        <v>1067</v>
      </c>
      <c r="G226" s="333" t="s">
        <v>22</v>
      </c>
      <c r="H226" s="333" t="s">
        <v>21</v>
      </c>
      <c r="I226" s="333" t="s">
        <v>500</v>
      </c>
      <c r="J226" s="146">
        <v>40725</v>
      </c>
      <c r="K226" s="335">
        <v>626</v>
      </c>
      <c r="M226" s="333" t="s">
        <v>1054</v>
      </c>
      <c r="N226" s="333" t="s">
        <v>1053</v>
      </c>
      <c r="O226" s="333" t="s">
        <v>1182</v>
      </c>
      <c r="P226" s="333" t="s">
        <v>230</v>
      </c>
      <c r="Q226" s="335">
        <v>51</v>
      </c>
      <c r="R226" s="335">
        <v>214</v>
      </c>
      <c r="U226" s="333" t="s">
        <v>824</v>
      </c>
      <c r="V226" s="333" t="s">
        <v>12</v>
      </c>
    </row>
    <row r="227" spans="1:22" x14ac:dyDescent="0.25">
      <c r="A227" s="333" t="s">
        <v>289</v>
      </c>
      <c r="B227" s="333" t="s">
        <v>1404</v>
      </c>
      <c r="G227" s="333" t="s">
        <v>122</v>
      </c>
      <c r="H227" s="333" t="s">
        <v>121</v>
      </c>
      <c r="I227" s="333" t="s">
        <v>843</v>
      </c>
      <c r="J227" s="333" t="s">
        <v>1585</v>
      </c>
      <c r="K227" s="335">
        <v>0</v>
      </c>
      <c r="M227" s="333" t="s">
        <v>1056</v>
      </c>
      <c r="N227" s="333" t="s">
        <v>1055</v>
      </c>
      <c r="O227" s="333" t="s">
        <v>289</v>
      </c>
      <c r="P227" s="333" t="s">
        <v>289</v>
      </c>
      <c r="Q227" s="335">
        <v>37</v>
      </c>
      <c r="R227" s="335">
        <v>201</v>
      </c>
      <c r="U227" s="333" t="s">
        <v>931</v>
      </c>
      <c r="V227" s="333" t="s">
        <v>554</v>
      </c>
    </row>
    <row r="228" spans="1:22" x14ac:dyDescent="0.25">
      <c r="A228" s="333" t="s">
        <v>289</v>
      </c>
      <c r="B228" s="333" t="s">
        <v>1405</v>
      </c>
      <c r="G228" s="333" t="s">
        <v>124</v>
      </c>
      <c r="H228" s="333" t="s">
        <v>123</v>
      </c>
      <c r="I228" s="333" t="s">
        <v>500</v>
      </c>
      <c r="J228" s="146">
        <v>41275</v>
      </c>
      <c r="K228" s="335">
        <v>8</v>
      </c>
      <c r="M228" s="333" t="s">
        <v>1060</v>
      </c>
      <c r="N228" s="333" t="s">
        <v>1067</v>
      </c>
      <c r="O228" s="333" t="s">
        <v>289</v>
      </c>
      <c r="P228" s="333" t="s">
        <v>289</v>
      </c>
      <c r="Q228" s="335">
        <v>121</v>
      </c>
      <c r="R228" s="335">
        <v>556</v>
      </c>
      <c r="U228" s="333" t="s">
        <v>933</v>
      </c>
      <c r="V228" s="333" t="s">
        <v>554</v>
      </c>
    </row>
    <row r="229" spans="1:22" x14ac:dyDescent="0.25">
      <c r="A229" s="333" t="s">
        <v>298</v>
      </c>
      <c r="B229" s="333" t="s">
        <v>821</v>
      </c>
      <c r="G229" s="333" t="s">
        <v>1300</v>
      </c>
      <c r="H229" s="333" t="s">
        <v>1301</v>
      </c>
      <c r="I229" s="333" t="s">
        <v>500</v>
      </c>
      <c r="J229" s="146">
        <v>42036</v>
      </c>
      <c r="K229" s="335">
        <v>67</v>
      </c>
      <c r="M229" s="333" t="s">
        <v>1062</v>
      </c>
      <c r="N229" s="333" t="s">
        <v>1061</v>
      </c>
      <c r="O229" s="333" t="s">
        <v>151</v>
      </c>
      <c r="P229" s="333" t="s">
        <v>151</v>
      </c>
      <c r="Q229" s="335">
        <v>147</v>
      </c>
      <c r="R229" s="335">
        <v>631</v>
      </c>
      <c r="U229" s="333" t="s">
        <v>1054</v>
      </c>
      <c r="V229" s="333" t="s">
        <v>554</v>
      </c>
    </row>
    <row r="230" spans="1:22" x14ac:dyDescent="0.25">
      <c r="A230" s="333" t="s">
        <v>298</v>
      </c>
      <c r="B230" s="333" t="s">
        <v>593</v>
      </c>
      <c r="G230" s="333" t="s">
        <v>96</v>
      </c>
      <c r="H230" s="333" t="s">
        <v>95</v>
      </c>
      <c r="I230" s="333" t="s">
        <v>843</v>
      </c>
      <c r="J230" s="333" t="s">
        <v>1585</v>
      </c>
      <c r="K230" s="335">
        <v>0</v>
      </c>
      <c r="M230" s="333" t="s">
        <v>1064</v>
      </c>
      <c r="N230" s="333" t="s">
        <v>1063</v>
      </c>
      <c r="O230" s="333" t="s">
        <v>1182</v>
      </c>
      <c r="P230" s="333" t="s">
        <v>230</v>
      </c>
      <c r="Q230" s="335">
        <v>25</v>
      </c>
      <c r="R230" s="335">
        <v>113</v>
      </c>
      <c r="U230" s="333" t="s">
        <v>1056</v>
      </c>
      <c r="V230" s="333" t="s">
        <v>554</v>
      </c>
    </row>
    <row r="231" spans="1:22" x14ac:dyDescent="0.25">
      <c r="A231" s="333" t="s">
        <v>298</v>
      </c>
      <c r="B231" s="333" t="s">
        <v>1413</v>
      </c>
      <c r="G231" s="333" t="s">
        <v>1278</v>
      </c>
      <c r="H231" s="333" t="s">
        <v>1269</v>
      </c>
      <c r="I231" s="333" t="s">
        <v>500</v>
      </c>
      <c r="J231" s="146">
        <v>42125</v>
      </c>
      <c r="K231" s="335">
        <v>24</v>
      </c>
      <c r="M231" s="333" t="s">
        <v>1066</v>
      </c>
      <c r="N231" s="333" t="s">
        <v>1065</v>
      </c>
      <c r="O231" s="333" t="s">
        <v>527</v>
      </c>
      <c r="P231" s="333" t="s">
        <v>527</v>
      </c>
      <c r="Q231" s="335">
        <v>103</v>
      </c>
      <c r="R231" s="335">
        <v>490</v>
      </c>
      <c r="U231" s="333" t="s">
        <v>1060</v>
      </c>
      <c r="V231" s="333" t="s">
        <v>554</v>
      </c>
    </row>
    <row r="232" spans="1:22" x14ac:dyDescent="0.25">
      <c r="A232" s="333" t="s">
        <v>298</v>
      </c>
      <c r="B232" s="333" t="s">
        <v>1488</v>
      </c>
      <c r="G232" s="333" t="s">
        <v>1277</v>
      </c>
      <c r="H232" s="333" t="s">
        <v>1270</v>
      </c>
      <c r="I232" s="333" t="s">
        <v>500</v>
      </c>
      <c r="J232" s="146">
        <v>42125</v>
      </c>
      <c r="K232" s="335">
        <v>28</v>
      </c>
      <c r="M232" s="333" t="s">
        <v>1096</v>
      </c>
      <c r="N232" s="333" t="s">
        <v>1095</v>
      </c>
      <c r="O232" s="333" t="s">
        <v>151</v>
      </c>
      <c r="P232" s="333" t="s">
        <v>151</v>
      </c>
      <c r="Q232" s="335">
        <v>112</v>
      </c>
      <c r="R232" s="335">
        <v>515</v>
      </c>
      <c r="U232" s="333" t="s">
        <v>1064</v>
      </c>
      <c r="V232" s="333" t="s">
        <v>554</v>
      </c>
    </row>
    <row r="233" spans="1:22" x14ac:dyDescent="0.25">
      <c r="A233" s="333" t="s">
        <v>298</v>
      </c>
      <c r="B233" s="333" t="s">
        <v>1490</v>
      </c>
      <c r="G233" s="333" t="s">
        <v>1019</v>
      </c>
      <c r="H233" s="333" t="s">
        <v>1020</v>
      </c>
      <c r="I233" s="333" t="s">
        <v>500</v>
      </c>
      <c r="J233" s="146">
        <v>41091</v>
      </c>
      <c r="K233" s="335">
        <v>31</v>
      </c>
      <c r="M233" s="333" t="s">
        <v>1101</v>
      </c>
      <c r="N233" s="333" t="s">
        <v>1102</v>
      </c>
      <c r="O233" s="333" t="s">
        <v>146</v>
      </c>
      <c r="P233" s="333" t="s">
        <v>146</v>
      </c>
      <c r="Q233" s="335">
        <v>22</v>
      </c>
      <c r="R233" s="335">
        <v>105</v>
      </c>
      <c r="U233" s="333" t="s">
        <v>1096</v>
      </c>
      <c r="V233" s="333" t="s">
        <v>554</v>
      </c>
    </row>
    <row r="234" spans="1:22" x14ac:dyDescent="0.25">
      <c r="A234" s="333" t="s">
        <v>298</v>
      </c>
      <c r="B234" s="333" t="s">
        <v>1491</v>
      </c>
      <c r="G234" s="333" t="s">
        <v>225</v>
      </c>
      <c r="H234" s="333" t="s">
        <v>224</v>
      </c>
      <c r="I234" s="333" t="s">
        <v>500</v>
      </c>
      <c r="J234" s="146">
        <v>41122</v>
      </c>
      <c r="K234" s="335">
        <v>41</v>
      </c>
      <c r="M234" s="333" t="s">
        <v>1121</v>
      </c>
      <c r="N234" s="333" t="s">
        <v>1120</v>
      </c>
      <c r="O234" s="333" t="s">
        <v>527</v>
      </c>
      <c r="P234" s="333" t="s">
        <v>527</v>
      </c>
      <c r="Q234" s="335">
        <v>52</v>
      </c>
      <c r="R234" s="335">
        <v>242</v>
      </c>
      <c r="U234" s="333" t="s">
        <v>1101</v>
      </c>
      <c r="V234" s="333" t="s">
        <v>554</v>
      </c>
    </row>
    <row r="235" spans="1:22" x14ac:dyDescent="0.25">
      <c r="A235" s="333" t="s">
        <v>298</v>
      </c>
      <c r="B235" s="333" t="s">
        <v>1492</v>
      </c>
      <c r="G235" s="333" t="s">
        <v>1449</v>
      </c>
      <c r="H235" s="333" t="s">
        <v>1452</v>
      </c>
      <c r="I235" s="333" t="s">
        <v>500</v>
      </c>
      <c r="J235" s="146">
        <v>42584</v>
      </c>
      <c r="K235" s="335">
        <v>32</v>
      </c>
      <c r="M235" s="333" t="s">
        <v>1159</v>
      </c>
      <c r="N235" s="333" t="s">
        <v>1157</v>
      </c>
      <c r="O235" s="333" t="s">
        <v>1182</v>
      </c>
      <c r="P235" s="333" t="s">
        <v>180</v>
      </c>
      <c r="Q235" s="335">
        <v>36</v>
      </c>
      <c r="R235" s="335">
        <v>153</v>
      </c>
      <c r="U235" s="333" t="s">
        <v>1121</v>
      </c>
      <c r="V235" s="333" t="s">
        <v>554</v>
      </c>
    </row>
    <row r="236" spans="1:22" x14ac:dyDescent="0.25">
      <c r="A236" s="333" t="s">
        <v>298</v>
      </c>
      <c r="B236" s="333" t="s">
        <v>1493</v>
      </c>
      <c r="G236" s="333" t="s">
        <v>1448</v>
      </c>
      <c r="H236" s="333" t="s">
        <v>1454</v>
      </c>
      <c r="I236" s="333" t="s">
        <v>500</v>
      </c>
      <c r="J236" s="146">
        <v>42584</v>
      </c>
      <c r="K236" s="335">
        <v>7</v>
      </c>
      <c r="M236" s="333" t="s">
        <v>1160</v>
      </c>
      <c r="N236" s="333" t="s">
        <v>1158</v>
      </c>
      <c r="O236" s="333" t="s">
        <v>1182</v>
      </c>
      <c r="P236" s="333" t="s">
        <v>180</v>
      </c>
      <c r="Q236" s="335">
        <v>14</v>
      </c>
      <c r="R236" s="335">
        <v>63</v>
      </c>
      <c r="U236" s="333" t="s">
        <v>1159</v>
      </c>
      <c r="V236" s="333" t="s">
        <v>12</v>
      </c>
    </row>
    <row r="237" spans="1:22" x14ac:dyDescent="0.25">
      <c r="A237" s="333" t="s">
        <v>300</v>
      </c>
      <c r="B237" s="333" t="s">
        <v>890</v>
      </c>
      <c r="G237" s="333" t="s">
        <v>277</v>
      </c>
      <c r="H237" s="333" t="s">
        <v>276</v>
      </c>
      <c r="I237" s="333" t="s">
        <v>500</v>
      </c>
      <c r="J237" s="146">
        <v>40756</v>
      </c>
      <c r="K237" s="335">
        <v>90</v>
      </c>
      <c r="M237" s="333" t="s">
        <v>1258</v>
      </c>
      <c r="N237" s="333" t="s">
        <v>1275</v>
      </c>
      <c r="O237" s="333" t="s">
        <v>779</v>
      </c>
      <c r="P237" s="333" t="s">
        <v>779</v>
      </c>
      <c r="Q237" s="335">
        <v>30</v>
      </c>
      <c r="R237" s="335">
        <v>212</v>
      </c>
      <c r="U237" s="333" t="s">
        <v>1160</v>
      </c>
      <c r="V237" s="333" t="s">
        <v>12</v>
      </c>
    </row>
    <row r="238" spans="1:22" x14ac:dyDescent="0.25">
      <c r="A238" s="333" t="s">
        <v>300</v>
      </c>
      <c r="B238" s="333" t="s">
        <v>301</v>
      </c>
      <c r="G238" s="333" t="s">
        <v>279</v>
      </c>
      <c r="H238" s="333" t="s">
        <v>278</v>
      </c>
      <c r="I238" s="333" t="s">
        <v>500</v>
      </c>
      <c r="J238" s="146">
        <v>40909</v>
      </c>
      <c r="K238" s="335">
        <v>22</v>
      </c>
      <c r="M238" s="333" t="s">
        <v>1259</v>
      </c>
      <c r="N238" s="333" t="s">
        <v>1260</v>
      </c>
      <c r="O238" s="333" t="s">
        <v>1182</v>
      </c>
      <c r="P238" s="333" t="s">
        <v>300</v>
      </c>
      <c r="Q238" s="335">
        <v>59</v>
      </c>
      <c r="R238" s="335">
        <v>274</v>
      </c>
      <c r="U238" s="333" t="s">
        <v>1258</v>
      </c>
      <c r="V238" s="333" t="s">
        <v>554</v>
      </c>
    </row>
    <row r="239" spans="1:22" x14ac:dyDescent="0.25">
      <c r="A239" s="333" t="s">
        <v>300</v>
      </c>
      <c r="B239" s="333" t="s">
        <v>1041</v>
      </c>
      <c r="G239" s="333" t="s">
        <v>347</v>
      </c>
      <c r="H239" s="333" t="s">
        <v>346</v>
      </c>
      <c r="I239" s="333" t="s">
        <v>500</v>
      </c>
      <c r="J239" s="146">
        <v>40848</v>
      </c>
      <c r="K239" s="335">
        <v>182</v>
      </c>
      <c r="M239" s="333" t="s">
        <v>1269</v>
      </c>
      <c r="N239" s="333" t="s">
        <v>1278</v>
      </c>
      <c r="O239" s="333" t="s">
        <v>1182</v>
      </c>
      <c r="P239" s="333" t="s">
        <v>173</v>
      </c>
      <c r="Q239" s="335">
        <v>24</v>
      </c>
      <c r="R239" s="335">
        <v>83</v>
      </c>
      <c r="U239" s="333" t="s">
        <v>1259</v>
      </c>
      <c r="V239" s="333" t="s">
        <v>554</v>
      </c>
    </row>
    <row r="240" spans="1:22" x14ac:dyDescent="0.25">
      <c r="A240" s="333" t="s">
        <v>300</v>
      </c>
      <c r="B240" s="333" t="s">
        <v>1260</v>
      </c>
      <c r="G240" s="333" t="s">
        <v>306</v>
      </c>
      <c r="H240" s="333" t="s">
        <v>305</v>
      </c>
      <c r="I240" s="333" t="s">
        <v>500</v>
      </c>
      <c r="J240" s="146">
        <v>40725</v>
      </c>
      <c r="K240" s="335">
        <v>86</v>
      </c>
      <c r="M240" s="333" t="s">
        <v>1270</v>
      </c>
      <c r="N240" s="333" t="s">
        <v>1277</v>
      </c>
      <c r="O240" s="333" t="s">
        <v>1182</v>
      </c>
      <c r="P240" s="333" t="s">
        <v>173</v>
      </c>
      <c r="Q240" s="335">
        <v>28</v>
      </c>
      <c r="R240" s="335">
        <v>136</v>
      </c>
      <c r="U240" s="333" t="s">
        <v>1269</v>
      </c>
      <c r="V240" s="333" t="s">
        <v>12</v>
      </c>
    </row>
    <row r="241" spans="1:22" x14ac:dyDescent="0.25">
      <c r="A241" s="333" t="s">
        <v>302</v>
      </c>
      <c r="B241" s="333" t="s">
        <v>12</v>
      </c>
      <c r="G241" s="333" t="s">
        <v>308</v>
      </c>
      <c r="H241" s="333" t="s">
        <v>307</v>
      </c>
      <c r="I241" s="333" t="s">
        <v>500</v>
      </c>
      <c r="J241" s="146">
        <v>40725</v>
      </c>
      <c r="K241" s="335">
        <v>32</v>
      </c>
      <c r="M241" s="333" t="s">
        <v>1271</v>
      </c>
      <c r="N241" s="333" t="s">
        <v>1268</v>
      </c>
      <c r="O241" s="333" t="s">
        <v>1182</v>
      </c>
      <c r="P241" s="333" t="s">
        <v>173</v>
      </c>
      <c r="Q241" s="335">
        <v>7</v>
      </c>
      <c r="R241" s="335">
        <v>31</v>
      </c>
      <c r="U241" s="333" t="s">
        <v>1270</v>
      </c>
      <c r="V241" s="333" t="s">
        <v>554</v>
      </c>
    </row>
    <row r="242" spans="1:22" x14ac:dyDescent="0.25">
      <c r="A242" s="333" t="s">
        <v>302</v>
      </c>
      <c r="B242" s="333" t="s">
        <v>304</v>
      </c>
      <c r="G242" s="333" t="s">
        <v>1488</v>
      </c>
      <c r="H242" s="333" t="s">
        <v>1471</v>
      </c>
      <c r="I242" s="333" t="s">
        <v>500</v>
      </c>
      <c r="J242" s="333" t="s">
        <v>1585</v>
      </c>
      <c r="K242" s="335">
        <v>224</v>
      </c>
      <c r="M242" s="333" t="s">
        <v>1299</v>
      </c>
      <c r="N242" s="333" t="s">
        <v>1298</v>
      </c>
      <c r="O242" s="333" t="s">
        <v>1182</v>
      </c>
      <c r="P242" s="333" t="s">
        <v>808</v>
      </c>
      <c r="Q242" s="335">
        <v>146</v>
      </c>
      <c r="R242" s="335">
        <v>575</v>
      </c>
      <c r="U242" s="333" t="s">
        <v>1271</v>
      </c>
      <c r="V242" s="333" t="s">
        <v>554</v>
      </c>
    </row>
    <row r="243" spans="1:22" x14ac:dyDescent="0.25">
      <c r="A243" s="333" t="s">
        <v>302</v>
      </c>
      <c r="B243" s="333" t="s">
        <v>306</v>
      </c>
      <c r="G243" s="333" t="s">
        <v>281</v>
      </c>
      <c r="H243" s="333" t="s">
        <v>280</v>
      </c>
      <c r="I243" s="333" t="s">
        <v>500</v>
      </c>
      <c r="J243" s="146">
        <v>40725</v>
      </c>
      <c r="K243" s="335">
        <v>89</v>
      </c>
      <c r="M243" s="333" t="s">
        <v>1301</v>
      </c>
      <c r="N243" s="333" t="s">
        <v>1300</v>
      </c>
      <c r="O243" s="333" t="s">
        <v>1182</v>
      </c>
      <c r="P243" s="333" t="s">
        <v>808</v>
      </c>
      <c r="Q243" s="335">
        <v>67</v>
      </c>
      <c r="R243" s="335">
        <v>244</v>
      </c>
      <c r="U243" s="333" t="s">
        <v>1299</v>
      </c>
      <c r="V243" s="333" t="s">
        <v>554</v>
      </c>
    </row>
    <row r="244" spans="1:22" x14ac:dyDescent="0.25">
      <c r="A244" s="333" t="s">
        <v>302</v>
      </c>
      <c r="B244" s="333" t="s">
        <v>308</v>
      </c>
      <c r="G244" s="333" t="s">
        <v>887</v>
      </c>
      <c r="H244" s="333" t="s">
        <v>888</v>
      </c>
      <c r="I244" s="333" t="s">
        <v>843</v>
      </c>
      <c r="J244" s="333" t="s">
        <v>1585</v>
      </c>
      <c r="K244" s="335">
        <v>0</v>
      </c>
      <c r="M244" s="333" t="s">
        <v>1314</v>
      </c>
      <c r="N244" s="333" t="s">
        <v>1313</v>
      </c>
      <c r="O244" s="333" t="s">
        <v>185</v>
      </c>
      <c r="P244" s="333" t="s">
        <v>185</v>
      </c>
      <c r="Q244" s="335"/>
      <c r="R244" s="335">
        <v>49</v>
      </c>
      <c r="U244" s="333" t="s">
        <v>1301</v>
      </c>
      <c r="V244" s="333" t="s">
        <v>554</v>
      </c>
    </row>
    <row r="245" spans="1:22" x14ac:dyDescent="0.25">
      <c r="A245" s="333" t="s">
        <v>808</v>
      </c>
      <c r="B245" s="333" t="s">
        <v>808</v>
      </c>
      <c r="G245" s="333" t="s">
        <v>181</v>
      </c>
      <c r="H245" s="333" t="s">
        <v>179</v>
      </c>
      <c r="I245" s="333" t="s">
        <v>500</v>
      </c>
      <c r="J245" s="146">
        <v>41061</v>
      </c>
      <c r="K245" s="335">
        <v>12</v>
      </c>
      <c r="M245" s="333" t="s">
        <v>1316</v>
      </c>
      <c r="N245" s="333" t="s">
        <v>1315</v>
      </c>
      <c r="O245" s="333" t="s">
        <v>146</v>
      </c>
      <c r="P245" s="333" t="s">
        <v>146</v>
      </c>
      <c r="Q245" s="335">
        <v>105</v>
      </c>
      <c r="R245" s="335">
        <v>568</v>
      </c>
      <c r="U245" s="333" t="s">
        <v>1314</v>
      </c>
      <c r="V245" s="333" t="s">
        <v>986</v>
      </c>
    </row>
    <row r="246" spans="1:22" x14ac:dyDescent="0.25">
      <c r="A246" s="333" t="s">
        <v>808</v>
      </c>
      <c r="B246" s="333" t="s">
        <v>1298</v>
      </c>
      <c r="G246" s="333" t="s">
        <v>897</v>
      </c>
      <c r="H246" s="333" t="s">
        <v>896</v>
      </c>
      <c r="I246" s="333" t="s">
        <v>843</v>
      </c>
      <c r="J246" s="333" t="s">
        <v>1585</v>
      </c>
      <c r="K246" s="335">
        <v>0</v>
      </c>
      <c r="M246" s="333" t="s">
        <v>1410</v>
      </c>
      <c r="N246" s="333" t="s">
        <v>1409</v>
      </c>
      <c r="O246" s="333" t="s">
        <v>527</v>
      </c>
      <c r="P246" s="333" t="s">
        <v>527</v>
      </c>
      <c r="Q246" s="335">
        <v>6</v>
      </c>
      <c r="R246" s="335">
        <v>9</v>
      </c>
      <c r="U246" s="333" t="s">
        <v>1316</v>
      </c>
      <c r="V246" s="333" t="s">
        <v>554</v>
      </c>
    </row>
    <row r="247" spans="1:22" x14ac:dyDescent="0.25">
      <c r="A247" s="333" t="s">
        <v>808</v>
      </c>
      <c r="B247" s="333" t="s">
        <v>1300</v>
      </c>
      <c r="G247" s="333" t="s">
        <v>1494</v>
      </c>
      <c r="H247" s="333" t="s">
        <v>1482</v>
      </c>
      <c r="I247" s="333" t="s">
        <v>843</v>
      </c>
      <c r="J247" s="333" t="s">
        <v>1585</v>
      </c>
      <c r="K247" s="335"/>
      <c r="M247" s="333" t="s">
        <v>1408</v>
      </c>
      <c r="N247" s="333" t="s">
        <v>296</v>
      </c>
      <c r="O247" s="333" t="s">
        <v>151</v>
      </c>
      <c r="P247" s="333" t="s">
        <v>151</v>
      </c>
      <c r="Q247" s="335">
        <v>0</v>
      </c>
      <c r="R247" s="335">
        <v>0</v>
      </c>
      <c r="U247" s="333" t="s">
        <v>1410</v>
      </c>
      <c r="V247" s="333" t="s">
        <v>554</v>
      </c>
    </row>
    <row r="248" spans="1:22" x14ac:dyDescent="0.25">
      <c r="A248" s="333" t="s">
        <v>310</v>
      </c>
      <c r="B248" s="333" t="s">
        <v>358</v>
      </c>
      <c r="G248" s="333" t="s">
        <v>808</v>
      </c>
      <c r="H248" s="333" t="s">
        <v>812</v>
      </c>
      <c r="I248" s="333" t="s">
        <v>500</v>
      </c>
      <c r="J248" s="333" t="s">
        <v>1585</v>
      </c>
      <c r="K248" s="335">
        <v>5</v>
      </c>
      <c r="M248" s="333" t="s">
        <v>1395</v>
      </c>
      <c r="N248" s="333" t="s">
        <v>1403</v>
      </c>
      <c r="O248" s="333" t="s">
        <v>146</v>
      </c>
      <c r="P248" s="333" t="s">
        <v>146</v>
      </c>
      <c r="Q248" s="335">
        <v>146</v>
      </c>
      <c r="R248" s="335">
        <v>677</v>
      </c>
      <c r="U248" s="333" t="s">
        <v>1408</v>
      </c>
      <c r="V248" s="333" t="s">
        <v>554</v>
      </c>
    </row>
    <row r="249" spans="1:22" x14ac:dyDescent="0.25">
      <c r="A249" s="333" t="s">
        <v>310</v>
      </c>
      <c r="B249" s="333" t="s">
        <v>334</v>
      </c>
      <c r="G249" s="333" t="s">
        <v>24</v>
      </c>
      <c r="H249" s="333" t="s">
        <v>23</v>
      </c>
      <c r="I249" s="333" t="s">
        <v>500</v>
      </c>
      <c r="J249" s="146">
        <v>41030</v>
      </c>
      <c r="K249" s="335">
        <v>21</v>
      </c>
      <c r="M249" s="333" t="s">
        <v>1396</v>
      </c>
      <c r="N249" s="333" t="s">
        <v>1413</v>
      </c>
      <c r="O249" s="333" t="s">
        <v>1182</v>
      </c>
      <c r="P249" s="333" t="s">
        <v>298</v>
      </c>
      <c r="Q249" s="335">
        <v>19</v>
      </c>
      <c r="R249" s="335">
        <v>82</v>
      </c>
      <c r="U249" s="333" t="s">
        <v>1395</v>
      </c>
      <c r="V249" s="333" t="s">
        <v>554</v>
      </c>
    </row>
    <row r="250" spans="1:22" x14ac:dyDescent="0.25">
      <c r="A250" s="333" t="s">
        <v>310</v>
      </c>
      <c r="B250" s="333" t="s">
        <v>313</v>
      </c>
      <c r="G250" s="333" t="s">
        <v>132</v>
      </c>
      <c r="H250" s="333" t="s">
        <v>131</v>
      </c>
      <c r="I250" s="333" t="s">
        <v>843</v>
      </c>
      <c r="J250" s="333" t="s">
        <v>1585</v>
      </c>
      <c r="K250" s="335">
        <v>0</v>
      </c>
      <c r="M250" s="333" t="s">
        <v>1397</v>
      </c>
      <c r="N250" s="333" t="s">
        <v>1416</v>
      </c>
      <c r="O250" s="333" t="s">
        <v>1182</v>
      </c>
      <c r="P250" s="333" t="s">
        <v>166</v>
      </c>
      <c r="Q250" s="335">
        <v>36</v>
      </c>
      <c r="R250" s="335">
        <v>188</v>
      </c>
      <c r="U250" s="333" t="s">
        <v>1396</v>
      </c>
      <c r="V250" s="333" t="s">
        <v>554</v>
      </c>
    </row>
    <row r="251" spans="1:22" x14ac:dyDescent="0.25">
      <c r="A251" s="333" t="s">
        <v>310</v>
      </c>
      <c r="B251" s="333" t="s">
        <v>336</v>
      </c>
      <c r="G251" s="333" t="s">
        <v>227</v>
      </c>
      <c r="H251" s="333" t="s">
        <v>226</v>
      </c>
      <c r="I251" s="333" t="s">
        <v>500</v>
      </c>
      <c r="J251" s="333" t="s">
        <v>1585</v>
      </c>
      <c r="K251" s="335">
        <v>10</v>
      </c>
      <c r="M251" s="333" t="s">
        <v>1398</v>
      </c>
      <c r="N251" s="333" t="s">
        <v>1404</v>
      </c>
      <c r="O251" s="333" t="s">
        <v>289</v>
      </c>
      <c r="P251" s="333" t="s">
        <v>289</v>
      </c>
      <c r="Q251" s="335">
        <v>200</v>
      </c>
      <c r="R251" s="335">
        <v>827</v>
      </c>
      <c r="U251" s="333" t="s">
        <v>1397</v>
      </c>
      <c r="V251" s="333" t="s">
        <v>554</v>
      </c>
    </row>
    <row r="252" spans="1:22" x14ac:dyDescent="0.25">
      <c r="A252" s="333" t="s">
        <v>310</v>
      </c>
      <c r="B252" s="333" t="s">
        <v>813</v>
      </c>
      <c r="G252" s="333" t="s">
        <v>238</v>
      </c>
      <c r="H252" s="333" t="s">
        <v>236</v>
      </c>
      <c r="I252" s="333" t="s">
        <v>500</v>
      </c>
      <c r="J252" s="146">
        <v>40695</v>
      </c>
      <c r="K252" s="335">
        <v>52</v>
      </c>
      <c r="M252" s="333" t="s">
        <v>1399</v>
      </c>
      <c r="N252" s="333" t="s">
        <v>1405</v>
      </c>
      <c r="O252" s="333" t="s">
        <v>289</v>
      </c>
      <c r="P252" s="333" t="s">
        <v>289</v>
      </c>
      <c r="Q252" s="335">
        <v>61</v>
      </c>
      <c r="R252" s="335">
        <v>247</v>
      </c>
      <c r="U252" s="333" t="s">
        <v>1398</v>
      </c>
      <c r="V252" s="333" t="s">
        <v>554</v>
      </c>
    </row>
    <row r="253" spans="1:22" x14ac:dyDescent="0.25">
      <c r="A253" s="333" t="s">
        <v>310</v>
      </c>
      <c r="B253" s="333" t="s">
        <v>196</v>
      </c>
      <c r="G253" s="333" t="s">
        <v>1244</v>
      </c>
      <c r="H253" s="333" t="s">
        <v>241</v>
      </c>
      <c r="I253" s="333" t="s">
        <v>500</v>
      </c>
      <c r="J253" s="146">
        <v>41000</v>
      </c>
      <c r="K253" s="335">
        <v>54</v>
      </c>
      <c r="M253" s="333" t="s">
        <v>1400</v>
      </c>
      <c r="N253" s="333" t="s">
        <v>1406</v>
      </c>
      <c r="O253" s="333" t="s">
        <v>146</v>
      </c>
      <c r="P253" s="333" t="s">
        <v>146</v>
      </c>
      <c r="Q253" s="335">
        <v>37</v>
      </c>
      <c r="R253" s="335">
        <v>130</v>
      </c>
      <c r="U253" s="333" t="s">
        <v>1399</v>
      </c>
      <c r="V253" s="333" t="s">
        <v>554</v>
      </c>
    </row>
    <row r="254" spans="1:22" x14ac:dyDescent="0.25">
      <c r="A254" s="333" t="s">
        <v>310</v>
      </c>
      <c r="B254" s="333" t="s">
        <v>340</v>
      </c>
      <c r="G254" s="333" t="s">
        <v>249</v>
      </c>
      <c r="H254" s="333" t="s">
        <v>248</v>
      </c>
      <c r="I254" s="333" t="s">
        <v>500</v>
      </c>
      <c r="J254" s="146">
        <v>40756</v>
      </c>
      <c r="K254" s="335">
        <v>4</v>
      </c>
      <c r="M254" s="333" t="s">
        <v>1401</v>
      </c>
      <c r="N254" s="333" t="s">
        <v>1419</v>
      </c>
      <c r="O254" s="333" t="s">
        <v>779</v>
      </c>
      <c r="P254" s="333" t="s">
        <v>779</v>
      </c>
      <c r="Q254" s="335">
        <v>20</v>
      </c>
      <c r="R254" s="335">
        <v>75</v>
      </c>
      <c r="U254" s="333" t="s">
        <v>1400</v>
      </c>
      <c r="V254" s="333" t="s">
        <v>554</v>
      </c>
    </row>
    <row r="255" spans="1:22" x14ac:dyDescent="0.25">
      <c r="A255" s="333" t="s">
        <v>310</v>
      </c>
      <c r="B255" s="333" t="s">
        <v>320</v>
      </c>
      <c r="G255" s="333" t="s">
        <v>251</v>
      </c>
      <c r="H255" s="333" t="s">
        <v>250</v>
      </c>
      <c r="I255" s="333" t="s">
        <v>500</v>
      </c>
      <c r="J255" s="146">
        <v>40725</v>
      </c>
      <c r="K255" s="335">
        <v>32</v>
      </c>
      <c r="M255" s="333" t="s">
        <v>1402</v>
      </c>
      <c r="N255" s="333" t="s">
        <v>1422</v>
      </c>
      <c r="O255" s="333" t="s">
        <v>146</v>
      </c>
      <c r="P255" s="333" t="s">
        <v>146</v>
      </c>
      <c r="Q255" s="335">
        <v>30</v>
      </c>
      <c r="R255" s="335">
        <v>170</v>
      </c>
      <c r="U255" s="333" t="s">
        <v>1401</v>
      </c>
      <c r="V255" s="333" t="s">
        <v>554</v>
      </c>
    </row>
    <row r="256" spans="1:22" x14ac:dyDescent="0.25">
      <c r="A256" s="333" t="s">
        <v>310</v>
      </c>
      <c r="B256" s="333" t="s">
        <v>322</v>
      </c>
      <c r="G256" s="333" t="s">
        <v>275</v>
      </c>
      <c r="H256" s="333" t="s">
        <v>274</v>
      </c>
      <c r="I256" s="333" t="s">
        <v>500</v>
      </c>
      <c r="J256" s="146">
        <v>40817</v>
      </c>
      <c r="K256" s="335">
        <v>46</v>
      </c>
      <c r="M256" s="333" t="s">
        <v>1451</v>
      </c>
      <c r="N256" s="333" t="s">
        <v>1445</v>
      </c>
      <c r="O256" s="333" t="s">
        <v>527</v>
      </c>
      <c r="P256" s="333" t="s">
        <v>527</v>
      </c>
      <c r="Q256" s="335">
        <v>32</v>
      </c>
      <c r="R256" s="335">
        <v>83</v>
      </c>
      <c r="U256" s="333" t="s">
        <v>1402</v>
      </c>
      <c r="V256" s="333" t="s">
        <v>554</v>
      </c>
    </row>
    <row r="257" spans="1:22" x14ac:dyDescent="0.25">
      <c r="A257" s="333" t="s">
        <v>310</v>
      </c>
      <c r="B257" s="333" t="s">
        <v>328</v>
      </c>
      <c r="G257" s="333" t="s">
        <v>1446</v>
      </c>
      <c r="H257" s="333" t="s">
        <v>1453</v>
      </c>
      <c r="I257" s="333" t="s">
        <v>500</v>
      </c>
      <c r="J257" s="146">
        <v>42584</v>
      </c>
      <c r="K257" s="335">
        <v>13</v>
      </c>
      <c r="M257" s="333" t="s">
        <v>1452</v>
      </c>
      <c r="N257" s="333" t="s">
        <v>1449</v>
      </c>
      <c r="O257" s="333" t="s">
        <v>527</v>
      </c>
      <c r="P257" s="333" t="s">
        <v>527</v>
      </c>
      <c r="Q257" s="335">
        <v>32</v>
      </c>
      <c r="R257" s="335">
        <v>92</v>
      </c>
      <c r="U257" s="333" t="s">
        <v>1451</v>
      </c>
      <c r="V257" s="333" t="s">
        <v>554</v>
      </c>
    </row>
    <row r="258" spans="1:22" x14ac:dyDescent="0.25">
      <c r="A258" s="333" t="s">
        <v>310</v>
      </c>
      <c r="B258" s="333" t="s">
        <v>330</v>
      </c>
      <c r="G258" s="333" t="s">
        <v>349</v>
      </c>
      <c r="H258" s="333" t="s">
        <v>348</v>
      </c>
      <c r="I258" s="333" t="s">
        <v>500</v>
      </c>
      <c r="J258" s="146">
        <v>40848</v>
      </c>
      <c r="K258" s="335">
        <v>44</v>
      </c>
      <c r="M258" s="333" t="s">
        <v>1453</v>
      </c>
      <c r="N258" s="333" t="s">
        <v>1446</v>
      </c>
      <c r="O258" s="333" t="s">
        <v>527</v>
      </c>
      <c r="P258" s="333" t="s">
        <v>527</v>
      </c>
      <c r="Q258" s="335">
        <v>13</v>
      </c>
      <c r="R258" s="335">
        <v>47</v>
      </c>
      <c r="U258" s="333" t="s">
        <v>1452</v>
      </c>
      <c r="V258" s="333" t="s">
        <v>554</v>
      </c>
    </row>
    <row r="259" spans="1:22" x14ac:dyDescent="0.25">
      <c r="A259" s="333" t="s">
        <v>310</v>
      </c>
      <c r="B259" s="333" t="s">
        <v>324</v>
      </c>
      <c r="G259" s="333" t="s">
        <v>1021</v>
      </c>
      <c r="H259" s="333" t="s">
        <v>1018</v>
      </c>
      <c r="I259" s="333" t="s">
        <v>843</v>
      </c>
      <c r="J259" s="333" t="s">
        <v>1585</v>
      </c>
      <c r="K259" s="335">
        <v>0</v>
      </c>
      <c r="M259" s="333" t="s">
        <v>1454</v>
      </c>
      <c r="N259" s="333" t="s">
        <v>1448</v>
      </c>
      <c r="O259" s="333" t="s">
        <v>527</v>
      </c>
      <c r="P259" s="333" t="s">
        <v>527</v>
      </c>
      <c r="Q259" s="335">
        <v>7</v>
      </c>
      <c r="R259" s="335">
        <v>19</v>
      </c>
      <c r="U259" s="333" t="s">
        <v>1453</v>
      </c>
      <c r="V259" s="333" t="s">
        <v>554</v>
      </c>
    </row>
    <row r="260" spans="1:22" x14ac:dyDescent="0.25">
      <c r="A260" s="333" t="s">
        <v>310</v>
      </c>
      <c r="B260" s="333" t="s">
        <v>326</v>
      </c>
      <c r="G260" s="333" t="s">
        <v>134</v>
      </c>
      <c r="H260" s="333" t="s">
        <v>133</v>
      </c>
      <c r="I260" s="333" t="s">
        <v>843</v>
      </c>
      <c r="J260" s="333" t="s">
        <v>1585</v>
      </c>
      <c r="K260" s="335">
        <v>0</v>
      </c>
      <c r="M260" s="333" t="s">
        <v>1455</v>
      </c>
      <c r="N260" s="333" t="s">
        <v>1447</v>
      </c>
      <c r="O260" s="333" t="s">
        <v>527</v>
      </c>
      <c r="P260" s="333" t="s">
        <v>527</v>
      </c>
      <c r="Q260" s="335">
        <v>22</v>
      </c>
      <c r="R260" s="335">
        <v>52</v>
      </c>
      <c r="U260" s="333" t="s">
        <v>1454</v>
      </c>
      <c r="V260" s="333" t="s">
        <v>554</v>
      </c>
    </row>
    <row r="261" spans="1:22" x14ac:dyDescent="0.25">
      <c r="A261" s="333" t="s">
        <v>310</v>
      </c>
      <c r="B261" s="333" t="s">
        <v>332</v>
      </c>
      <c r="G261" s="333" t="s">
        <v>869</v>
      </c>
      <c r="H261" s="333" t="s">
        <v>855</v>
      </c>
      <c r="I261" s="333" t="s">
        <v>843</v>
      </c>
      <c r="J261" s="333" t="s">
        <v>1585</v>
      </c>
      <c r="K261" s="335">
        <v>0</v>
      </c>
      <c r="M261" s="333" t="s">
        <v>1471</v>
      </c>
      <c r="N261" s="333" t="s">
        <v>1488</v>
      </c>
      <c r="O261" s="333" t="s">
        <v>1182</v>
      </c>
      <c r="P261" s="333" t="s">
        <v>298</v>
      </c>
      <c r="Q261" s="335">
        <v>224</v>
      </c>
      <c r="R261" s="335">
        <v>767</v>
      </c>
      <c r="U261" s="333" t="s">
        <v>1455</v>
      </c>
      <c r="V261" s="333" t="s">
        <v>554</v>
      </c>
    </row>
    <row r="262" spans="1:22" x14ac:dyDescent="0.25">
      <c r="A262" s="333" t="s">
        <v>310</v>
      </c>
      <c r="B262" s="333" t="s">
        <v>344</v>
      </c>
      <c r="G262" s="333" t="s">
        <v>301</v>
      </c>
      <c r="H262" s="333" t="s">
        <v>299</v>
      </c>
      <c r="I262" s="333" t="s">
        <v>500</v>
      </c>
      <c r="J262" s="333" t="s">
        <v>1585</v>
      </c>
      <c r="K262" s="335">
        <v>14</v>
      </c>
      <c r="M262" s="333" t="s">
        <v>1472</v>
      </c>
      <c r="N262" s="333" t="s">
        <v>1490</v>
      </c>
      <c r="O262" s="333" t="s">
        <v>1182</v>
      </c>
      <c r="P262" s="333" t="s">
        <v>298</v>
      </c>
      <c r="Q262" s="335">
        <v>13</v>
      </c>
      <c r="R262" s="335">
        <v>45</v>
      </c>
      <c r="U262" s="333" t="s">
        <v>1471</v>
      </c>
      <c r="V262" s="333" t="s">
        <v>554</v>
      </c>
    </row>
    <row r="263" spans="1:22" x14ac:dyDescent="0.25">
      <c r="A263" s="333" t="s">
        <v>310</v>
      </c>
      <c r="B263" s="333" t="s">
        <v>355</v>
      </c>
      <c r="G263" s="333" t="s">
        <v>1419</v>
      </c>
      <c r="H263" s="333" t="s">
        <v>1401</v>
      </c>
      <c r="I263" s="333" t="s">
        <v>500</v>
      </c>
      <c r="J263" s="146">
        <v>42430</v>
      </c>
      <c r="K263" s="335">
        <v>20</v>
      </c>
      <c r="M263" s="333" t="s">
        <v>1473</v>
      </c>
      <c r="N263" s="333" t="s">
        <v>1491</v>
      </c>
      <c r="O263" s="333" t="s">
        <v>1182</v>
      </c>
      <c r="P263" s="333" t="s">
        <v>298</v>
      </c>
      <c r="Q263" s="335">
        <v>41</v>
      </c>
      <c r="R263" s="335">
        <v>191</v>
      </c>
      <c r="U263" s="333" t="s">
        <v>1472</v>
      </c>
      <c r="V263" s="333" t="s">
        <v>554</v>
      </c>
    </row>
    <row r="264" spans="1:22" x14ac:dyDescent="0.25">
      <c r="A264" s="333" t="s">
        <v>310</v>
      </c>
      <c r="B264" s="333" t="s">
        <v>318</v>
      </c>
      <c r="G264" s="333" t="s">
        <v>316</v>
      </c>
      <c r="H264" s="333" t="s">
        <v>315</v>
      </c>
      <c r="I264" s="333" t="s">
        <v>500</v>
      </c>
      <c r="J264" s="146">
        <v>40848</v>
      </c>
      <c r="K264" s="335">
        <v>70</v>
      </c>
      <c r="M264" s="333" t="s">
        <v>1474</v>
      </c>
      <c r="N264" s="333" t="s">
        <v>1492</v>
      </c>
      <c r="O264" s="333" t="s">
        <v>1182</v>
      </c>
      <c r="P264" s="333" t="s">
        <v>298</v>
      </c>
      <c r="Q264" s="335">
        <v>19</v>
      </c>
      <c r="R264" s="335">
        <v>66</v>
      </c>
      <c r="U264" s="333" t="s">
        <v>1473</v>
      </c>
      <c r="V264" s="333" t="s">
        <v>554</v>
      </c>
    </row>
    <row r="265" spans="1:22" x14ac:dyDescent="0.25">
      <c r="A265" s="333" t="s">
        <v>310</v>
      </c>
      <c r="B265" s="333" t="s">
        <v>342</v>
      </c>
      <c r="G265" s="333" t="s">
        <v>311</v>
      </c>
      <c r="H265" s="333" t="s">
        <v>309</v>
      </c>
      <c r="I265" s="333" t="s">
        <v>843</v>
      </c>
      <c r="J265" s="146">
        <v>40848</v>
      </c>
      <c r="K265" s="335"/>
      <c r="M265" s="333" t="s">
        <v>1475</v>
      </c>
      <c r="N265" s="333" t="s">
        <v>1493</v>
      </c>
      <c r="O265" s="333" t="s">
        <v>1182</v>
      </c>
      <c r="P265" s="333" t="s">
        <v>298</v>
      </c>
      <c r="Q265" s="335">
        <v>59</v>
      </c>
      <c r="R265" s="335">
        <v>268</v>
      </c>
      <c r="U265" s="333" t="s">
        <v>1474</v>
      </c>
      <c r="V265" s="333" t="s">
        <v>554</v>
      </c>
    </row>
    <row r="266" spans="1:22" x14ac:dyDescent="0.25">
      <c r="A266" s="333" t="s">
        <v>310</v>
      </c>
      <c r="B266" s="333" t="s">
        <v>338</v>
      </c>
      <c r="G266" s="333" t="s">
        <v>1409</v>
      </c>
      <c r="H266" s="333" t="s">
        <v>1410</v>
      </c>
      <c r="I266" s="333" t="s">
        <v>500</v>
      </c>
      <c r="J266" s="146">
        <v>42370</v>
      </c>
      <c r="K266" s="335">
        <v>6</v>
      </c>
      <c r="M266" s="333" t="s">
        <v>1476</v>
      </c>
      <c r="N266" s="333" t="s">
        <v>1500</v>
      </c>
      <c r="O266" s="333" t="s">
        <v>1182</v>
      </c>
      <c r="P266" s="333" t="s">
        <v>230</v>
      </c>
      <c r="Q266" s="335"/>
      <c r="R266" s="335"/>
      <c r="U266" s="333" t="s">
        <v>1475</v>
      </c>
      <c r="V266" s="333" t="s">
        <v>554</v>
      </c>
    </row>
    <row r="267" spans="1:22" x14ac:dyDescent="0.25">
      <c r="A267" s="333" t="s">
        <v>310</v>
      </c>
      <c r="B267" s="333" t="s">
        <v>351</v>
      </c>
      <c r="G267" s="333" t="s">
        <v>64</v>
      </c>
      <c r="H267" s="333" t="s">
        <v>63</v>
      </c>
      <c r="I267" s="333" t="s">
        <v>843</v>
      </c>
      <c r="J267" s="146">
        <v>41275</v>
      </c>
      <c r="K267" s="335">
        <v>0</v>
      </c>
      <c r="M267" s="333" t="s">
        <v>1477</v>
      </c>
      <c r="N267" s="333" t="s">
        <v>1510</v>
      </c>
      <c r="O267" s="333" t="s">
        <v>1182</v>
      </c>
      <c r="P267" s="333" t="s">
        <v>230</v>
      </c>
      <c r="Q267" s="335"/>
      <c r="R267" s="335">
        <v>0</v>
      </c>
      <c r="U267" s="333" t="s">
        <v>1476</v>
      </c>
      <c r="V267" s="333" t="s">
        <v>554</v>
      </c>
    </row>
    <row r="268" spans="1:22" x14ac:dyDescent="0.25">
      <c r="A268" s="333" t="s">
        <v>310</v>
      </c>
      <c r="B268" s="333" t="s">
        <v>347</v>
      </c>
      <c r="G268" s="333" t="s">
        <v>126</v>
      </c>
      <c r="H268" s="333" t="s">
        <v>125</v>
      </c>
      <c r="I268" s="333" t="s">
        <v>500</v>
      </c>
      <c r="J268" s="146">
        <v>41275</v>
      </c>
      <c r="K268" s="335">
        <v>35</v>
      </c>
      <c r="M268" s="333" t="s">
        <v>1478</v>
      </c>
      <c r="N268" s="333" t="s">
        <v>1511</v>
      </c>
      <c r="O268" s="333" t="s">
        <v>1182</v>
      </c>
      <c r="P268" s="333" t="s">
        <v>230</v>
      </c>
      <c r="Q268" s="335"/>
      <c r="R268" s="335">
        <v>0</v>
      </c>
      <c r="U268" s="333" t="s">
        <v>1477</v>
      </c>
      <c r="V268" s="333" t="s">
        <v>554</v>
      </c>
    </row>
    <row r="269" spans="1:22" x14ac:dyDescent="0.25">
      <c r="A269" s="333" t="s">
        <v>310</v>
      </c>
      <c r="B269" s="333" t="s">
        <v>349</v>
      </c>
      <c r="G269" s="333" t="s">
        <v>1498</v>
      </c>
      <c r="H269" s="333" t="s">
        <v>1486</v>
      </c>
      <c r="I269" s="333" t="s">
        <v>843</v>
      </c>
      <c r="J269" s="333" t="s">
        <v>1585</v>
      </c>
      <c r="K269" s="335"/>
      <c r="M269" s="333" t="s">
        <v>1479</v>
      </c>
      <c r="N269" s="333" t="s">
        <v>1501</v>
      </c>
      <c r="O269" s="333" t="s">
        <v>1182</v>
      </c>
      <c r="P269" s="333" t="s">
        <v>230</v>
      </c>
      <c r="Q269" s="335"/>
      <c r="R269" s="335"/>
      <c r="U269" s="333" t="s">
        <v>1478</v>
      </c>
      <c r="V269" s="333" t="s">
        <v>554</v>
      </c>
    </row>
    <row r="270" spans="1:22" x14ac:dyDescent="0.25">
      <c r="A270" s="333" t="s">
        <v>310</v>
      </c>
      <c r="B270" s="333" t="s">
        <v>316</v>
      </c>
      <c r="G270" s="333" t="s">
        <v>353</v>
      </c>
      <c r="H270" s="333" t="s">
        <v>352</v>
      </c>
      <c r="I270" s="333" t="s">
        <v>500</v>
      </c>
      <c r="J270" s="146">
        <v>40695</v>
      </c>
      <c r="K270" s="335">
        <v>1371</v>
      </c>
      <c r="M270" s="333" t="s">
        <v>1480</v>
      </c>
      <c r="N270" s="333" t="s">
        <v>1512</v>
      </c>
      <c r="O270" s="333" t="s">
        <v>1182</v>
      </c>
      <c r="P270" s="333" t="s">
        <v>230</v>
      </c>
      <c r="Q270" s="335"/>
      <c r="R270" s="335"/>
      <c r="U270" s="333" t="s">
        <v>1479</v>
      </c>
      <c r="V270" s="333" t="s">
        <v>554</v>
      </c>
    </row>
    <row r="271" spans="1:22" x14ac:dyDescent="0.25">
      <c r="A271" s="333" t="s">
        <v>310</v>
      </c>
      <c r="B271" s="333" t="s">
        <v>311</v>
      </c>
      <c r="G271" s="333" t="s">
        <v>37</v>
      </c>
      <c r="H271" s="333" t="s">
        <v>36</v>
      </c>
      <c r="I271" s="333" t="s">
        <v>843</v>
      </c>
      <c r="J271" s="333" t="s">
        <v>1585</v>
      </c>
      <c r="K271" s="335">
        <v>0</v>
      </c>
      <c r="M271" s="333" t="s">
        <v>1481</v>
      </c>
      <c r="N271" s="333" t="s">
        <v>1516</v>
      </c>
      <c r="O271" s="333" t="s">
        <v>1182</v>
      </c>
      <c r="P271" s="333" t="s">
        <v>230</v>
      </c>
      <c r="Q271" s="335"/>
      <c r="R271" s="335"/>
      <c r="U271" s="333" t="s">
        <v>1480</v>
      </c>
      <c r="V271" s="333" t="s">
        <v>554</v>
      </c>
    </row>
    <row r="272" spans="1:22" x14ac:dyDescent="0.25">
      <c r="A272" s="333" t="s">
        <v>310</v>
      </c>
      <c r="B272" s="333" t="s">
        <v>353</v>
      </c>
      <c r="G272" s="333" t="s">
        <v>74</v>
      </c>
      <c r="H272" s="333" t="s">
        <v>73</v>
      </c>
      <c r="I272" s="333" t="s">
        <v>843</v>
      </c>
      <c r="J272" s="333" t="s">
        <v>1585</v>
      </c>
      <c r="K272" s="335">
        <v>0</v>
      </c>
      <c r="M272" s="333" t="s">
        <v>1482</v>
      </c>
      <c r="N272" s="333" t="s">
        <v>1494</v>
      </c>
      <c r="O272" s="333" t="s">
        <v>1182</v>
      </c>
      <c r="P272" s="333" t="s">
        <v>230</v>
      </c>
      <c r="Q272" s="335"/>
      <c r="R272" s="335"/>
      <c r="U272" s="333" t="s">
        <v>1481</v>
      </c>
      <c r="V272" s="333" t="s">
        <v>554</v>
      </c>
    </row>
    <row r="273" spans="1:22" x14ac:dyDescent="0.25">
      <c r="A273" s="333" t="s">
        <v>310</v>
      </c>
      <c r="B273" s="333" t="s">
        <v>1246</v>
      </c>
      <c r="G273" s="333" t="s">
        <v>283</v>
      </c>
      <c r="H273" s="333" t="s">
        <v>282</v>
      </c>
      <c r="I273" s="333" t="s">
        <v>500</v>
      </c>
      <c r="J273" s="146">
        <v>41000</v>
      </c>
      <c r="K273" s="335">
        <v>7</v>
      </c>
      <c r="M273" s="333" t="s">
        <v>1483</v>
      </c>
      <c r="N273" s="333" t="s">
        <v>1495</v>
      </c>
      <c r="O273" s="333" t="s">
        <v>1182</v>
      </c>
      <c r="P273" s="333" t="s">
        <v>230</v>
      </c>
      <c r="Q273" s="335"/>
      <c r="R273" s="335">
        <v>0</v>
      </c>
      <c r="U273" s="333" t="s">
        <v>1482</v>
      </c>
      <c r="V273" s="333" t="s">
        <v>554</v>
      </c>
    </row>
    <row r="274" spans="1:22" x14ac:dyDescent="0.25">
      <c r="A274" s="333" t="s">
        <v>310</v>
      </c>
      <c r="B274" s="333" t="s">
        <v>1247</v>
      </c>
      <c r="G274" s="333" t="s">
        <v>26</v>
      </c>
      <c r="H274" s="333" t="s">
        <v>25</v>
      </c>
      <c r="I274" s="333" t="s">
        <v>500</v>
      </c>
      <c r="J274" s="146">
        <v>41122</v>
      </c>
      <c r="K274" s="335">
        <v>15</v>
      </c>
      <c r="M274" s="333" t="s">
        <v>1484</v>
      </c>
      <c r="N274" s="333" t="s">
        <v>1496</v>
      </c>
      <c r="O274" s="333" t="s">
        <v>1182</v>
      </c>
      <c r="P274" s="333" t="s">
        <v>230</v>
      </c>
      <c r="Q274" s="335"/>
      <c r="R274" s="335"/>
      <c r="U274" s="333" t="s">
        <v>1483</v>
      </c>
      <c r="V274" s="333" t="s">
        <v>554</v>
      </c>
    </row>
    <row r="275" spans="1:22" x14ac:dyDescent="0.25">
      <c r="A275" s="333" t="s">
        <v>310</v>
      </c>
      <c r="B275" s="333" t="s">
        <v>1248</v>
      </c>
      <c r="G275" s="333" t="s">
        <v>140</v>
      </c>
      <c r="H275" s="333" t="s">
        <v>139</v>
      </c>
      <c r="I275" s="333" t="s">
        <v>500</v>
      </c>
      <c r="J275" s="146">
        <v>41122</v>
      </c>
      <c r="K275" s="335">
        <v>12</v>
      </c>
      <c r="M275" s="333" t="s">
        <v>1485</v>
      </c>
      <c r="N275" s="333" t="s">
        <v>1497</v>
      </c>
      <c r="O275" s="333" t="s">
        <v>1182</v>
      </c>
      <c r="P275" s="333" t="s">
        <v>230</v>
      </c>
      <c r="Q275" s="335"/>
      <c r="R275" s="335"/>
      <c r="U275" s="333" t="s">
        <v>1484</v>
      </c>
      <c r="V275" s="333" t="s">
        <v>554</v>
      </c>
    </row>
    <row r="276" spans="1:22" x14ac:dyDescent="0.25">
      <c r="A276" s="333" t="s">
        <v>310</v>
      </c>
      <c r="B276" s="333" t="s">
        <v>1243</v>
      </c>
      <c r="G276" s="333" t="s">
        <v>1245</v>
      </c>
      <c r="H276" s="333" t="s">
        <v>356</v>
      </c>
      <c r="I276" s="333" t="s">
        <v>500</v>
      </c>
      <c r="J276" s="146">
        <v>40848</v>
      </c>
      <c r="K276" s="335">
        <v>404</v>
      </c>
      <c r="M276" s="333" t="s">
        <v>1486</v>
      </c>
      <c r="N276" s="333" t="s">
        <v>1498</v>
      </c>
      <c r="O276" s="333" t="s">
        <v>1182</v>
      </c>
      <c r="P276" s="333" t="s">
        <v>230</v>
      </c>
      <c r="Q276" s="335"/>
      <c r="R276" s="335"/>
      <c r="U276" s="333" t="s">
        <v>1485</v>
      </c>
      <c r="V276" s="333" t="s">
        <v>554</v>
      </c>
    </row>
    <row r="277" spans="1:22" x14ac:dyDescent="0.25">
      <c r="A277" s="333" t="s">
        <v>310</v>
      </c>
      <c r="B277" s="333" t="s">
        <v>1245</v>
      </c>
      <c r="G277" s="333" t="s">
        <v>514</v>
      </c>
      <c r="H277" s="333" t="s">
        <v>515</v>
      </c>
      <c r="I277" s="333" t="s">
        <v>843</v>
      </c>
      <c r="J277" s="333" t="s">
        <v>1585</v>
      </c>
      <c r="K277" s="335">
        <v>0</v>
      </c>
      <c r="M277" s="333" t="s">
        <v>1487</v>
      </c>
      <c r="N277" s="333" t="s">
        <v>1499</v>
      </c>
      <c r="O277" s="333" t="s">
        <v>1502</v>
      </c>
      <c r="P277" s="333" t="s">
        <v>1502</v>
      </c>
      <c r="Q277" s="335">
        <v>37</v>
      </c>
      <c r="R277" s="335">
        <v>120</v>
      </c>
      <c r="U277" s="333" t="s">
        <v>1486</v>
      </c>
      <c r="V277" s="333" t="s">
        <v>554</v>
      </c>
    </row>
    <row r="278" spans="1:22" x14ac:dyDescent="0.25">
      <c r="A278" s="333" t="s">
        <v>1502</v>
      </c>
      <c r="B278" s="333" t="s">
        <v>1499</v>
      </c>
      <c r="G278" s="333" t="s">
        <v>373</v>
      </c>
      <c r="H278" s="333" t="s">
        <v>387</v>
      </c>
      <c r="I278" s="333" t="s">
        <v>500</v>
      </c>
      <c r="J278" s="146">
        <v>41244</v>
      </c>
      <c r="K278" s="335">
        <v>189</v>
      </c>
      <c r="M278" s="333" t="s">
        <v>1657</v>
      </c>
      <c r="N278" s="333" t="s">
        <v>1658</v>
      </c>
      <c r="O278" s="333" t="s">
        <v>146</v>
      </c>
      <c r="P278" s="333" t="s">
        <v>146</v>
      </c>
      <c r="Q278" s="335">
        <v>40</v>
      </c>
      <c r="R278" s="335">
        <v>195</v>
      </c>
      <c r="U278" s="333" t="s">
        <v>1487</v>
      </c>
      <c r="V278" s="333" t="s">
        <v>554</v>
      </c>
    </row>
    <row r="279" spans="1:22" x14ac:dyDescent="0.25">
      <c r="U279" s="333" t="s">
        <v>1657</v>
      </c>
      <c r="V279" s="333" t="s">
        <v>554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2"/>
  <sheetViews>
    <sheetView showZeros="0" zoomScale="80" zoomScaleNormal="80" workbookViewId="0">
      <pane ySplit="2" topLeftCell="A3" activePane="bottomLeft" state="frozen"/>
      <selection activeCell="AS915" sqref="AS915"/>
      <selection pane="bottomLeft" activeCell="C20" sqref="C20"/>
    </sheetView>
  </sheetViews>
  <sheetFormatPr defaultRowHeight="15" x14ac:dyDescent="0.25"/>
  <cols>
    <col min="1" max="2" width="18.85546875" customWidth="1"/>
    <col min="3" max="3" width="17.85546875" customWidth="1"/>
    <col min="4" max="4" width="13.7109375" customWidth="1"/>
    <col min="5" max="5" width="12.140625" customWidth="1"/>
    <col min="6" max="6" width="14" customWidth="1"/>
    <col min="7" max="7" width="14.42578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38" customWidth="1"/>
    <col min="16" max="16" width="12.140625" hidden="1" customWidth="1"/>
    <col min="17" max="17" width="12.42578125" customWidth="1"/>
  </cols>
  <sheetData>
    <row r="1" spans="1:59" s="1" customFormat="1" ht="36" x14ac:dyDescent="0.25">
      <c r="A1" s="231"/>
      <c r="B1" s="232"/>
      <c r="C1" s="232"/>
      <c r="D1" s="232"/>
      <c r="E1" s="232"/>
      <c r="F1" s="232"/>
      <c r="G1" s="232"/>
      <c r="H1" s="232"/>
      <c r="I1" s="232"/>
      <c r="J1" s="232"/>
      <c r="K1" s="232"/>
      <c r="L1" s="232"/>
      <c r="M1" s="232"/>
      <c r="N1" s="232"/>
      <c r="O1" s="233"/>
      <c r="P1" s="45"/>
      <c r="Q1" s="38"/>
      <c r="R1" s="38"/>
      <c r="S1" s="38"/>
      <c r="T1" s="38"/>
      <c r="U1" s="38"/>
      <c r="BF1" s="46"/>
      <c r="BG1" s="46"/>
    </row>
    <row r="2" spans="1:59" s="1" customFormat="1" ht="36" x14ac:dyDescent="0.25">
      <c r="A2" s="871" t="s">
        <v>425</v>
      </c>
      <c r="B2" s="872"/>
      <c r="C2" s="872"/>
      <c r="D2" s="45"/>
      <c r="E2" s="45"/>
      <c r="F2" s="45"/>
      <c r="G2" s="45"/>
      <c r="H2" s="45"/>
      <c r="I2" s="45"/>
      <c r="J2" s="45"/>
      <c r="K2" s="45"/>
      <c r="L2" s="45"/>
      <c r="M2" s="45"/>
      <c r="N2" s="45"/>
      <c r="O2" s="243"/>
      <c r="P2" s="45"/>
      <c r="Q2" s="38"/>
      <c r="R2" s="38"/>
      <c r="S2" s="38"/>
      <c r="T2" s="38"/>
      <c r="U2" s="38"/>
      <c r="BF2" s="46"/>
      <c r="BG2" s="46"/>
    </row>
    <row r="3" spans="1:59" s="15" customFormat="1" ht="36" x14ac:dyDescent="0.25">
      <c r="A3" s="244">
        <f>Definition!B23</f>
        <v>42736</v>
      </c>
      <c r="B3" s="245"/>
      <c r="C3" s="245"/>
      <c r="D3" s="246"/>
      <c r="E3" s="246"/>
      <c r="F3" s="246"/>
      <c r="G3" s="246"/>
      <c r="H3" s="246"/>
      <c r="I3" s="246"/>
      <c r="J3" s="246"/>
      <c r="K3" s="247"/>
      <c r="L3" s="246"/>
      <c r="M3" s="246"/>
      <c r="N3" s="246"/>
      <c r="O3" s="248"/>
      <c r="P3" s="33"/>
      <c r="Q3" s="33"/>
      <c r="R3" s="33"/>
      <c r="S3" s="47"/>
      <c r="T3" s="33"/>
      <c r="U3" s="33"/>
      <c r="BF3" s="47"/>
      <c r="BG3" s="47"/>
    </row>
    <row r="4" spans="1:59" x14ac:dyDescent="0.25">
      <c r="P4" s="25"/>
    </row>
    <row r="5" spans="1:59" ht="31.5" x14ac:dyDescent="0.5">
      <c r="A5" s="42" t="s">
        <v>380</v>
      </c>
      <c r="B5" s="43"/>
      <c r="C5" s="43"/>
      <c r="D5" s="43"/>
      <c r="E5" s="43"/>
      <c r="F5" s="43"/>
      <c r="G5" s="43"/>
      <c r="H5" s="43"/>
      <c r="I5" s="43"/>
      <c r="J5" s="43"/>
      <c r="K5" s="43"/>
      <c r="L5" s="43"/>
      <c r="M5" s="43"/>
      <c r="N5" s="43"/>
      <c r="O5" s="43"/>
      <c r="P5" s="25"/>
    </row>
    <row r="6" spans="1:59" ht="38.25" x14ac:dyDescent="0.25">
      <c r="A6" s="6" t="s">
        <v>0</v>
      </c>
      <c r="B6" s="6" t="s">
        <v>839</v>
      </c>
      <c r="C6" s="6" t="s">
        <v>840</v>
      </c>
      <c r="D6" s="6" t="s">
        <v>429</v>
      </c>
      <c r="E6" s="6" t="s">
        <v>423</v>
      </c>
      <c r="F6" s="6" t="s">
        <v>424</v>
      </c>
      <c r="G6" s="6" t="s">
        <v>422</v>
      </c>
      <c r="H6" s="6" t="s">
        <v>430</v>
      </c>
      <c r="I6" s="6" t="s">
        <v>431</v>
      </c>
      <c r="J6" s="6" t="s">
        <v>432</v>
      </c>
      <c r="K6" s="6" t="s">
        <v>433</v>
      </c>
      <c r="L6" s="6" t="s">
        <v>428</v>
      </c>
      <c r="M6" s="11" t="s">
        <v>503</v>
      </c>
      <c r="N6" s="11" t="s">
        <v>502</v>
      </c>
      <c r="O6" s="11" t="s">
        <v>504</v>
      </c>
      <c r="P6" s="25"/>
    </row>
    <row r="7" spans="1:59" x14ac:dyDescent="0.25">
      <c r="A7" s="18" t="s">
        <v>5</v>
      </c>
      <c r="B7" s="24">
        <f>SUMIFS(Camplist_HH,Camplist_Township,'Shelter Progress'!$A7,Camplist_Type_Of_Acc,"Camp")</f>
        <v>1273</v>
      </c>
      <c r="C7" s="24">
        <f>SUMIFS(Camplist_Popl,Camplist_Township,'Shelter Progress'!$A7,Camplist_Type_Of_Acc,"Camp")</f>
        <v>7139</v>
      </c>
      <c r="D7" s="40">
        <f>SUMIF(Col_Shelter_Township,$A7,Col_Shelter_Tent_Dist)</f>
        <v>0</v>
      </c>
      <c r="E7" s="40">
        <f>SUMIF(Col_Shelter_Township,$A7,Col_Shelter_Temp_B)</f>
        <v>1043</v>
      </c>
      <c r="F7" s="40">
        <f>SUMIF(Col_Shelter_Township,$A7,Col_Shelter_Temp_U)</f>
        <v>0</v>
      </c>
      <c r="G7" s="40">
        <f>SUMIF(Col_Shelter_Township,$A7,Col_Shelter_Temp_P)</f>
        <v>1257</v>
      </c>
      <c r="H7" s="40">
        <f>SUMIF(Col_Shelter_Township,$A7,Col_Shelter_Perm_B)</f>
        <v>0</v>
      </c>
      <c r="I7" s="40">
        <f t="shared" ref="I7:I28" si="0">SUMIF(Col_Shelter_Township,$A7,Col_Shelter_Perm_U)</f>
        <v>0</v>
      </c>
      <c r="J7" s="40">
        <f t="shared" ref="J7:J28" si="1">SUMIF(Col_Shelter_Township,$A7,Col_Shelter_Perm_P)</f>
        <v>0</v>
      </c>
      <c r="K7" s="40">
        <f>SUMIF(Col_Shelter_Township,$A7,Shelter_HH_Covered)</f>
        <v>1043</v>
      </c>
      <c r="L7" s="446">
        <f>K7*P7</f>
        <v>5849.1571091908872</v>
      </c>
      <c r="M7" s="272">
        <f>B7-K7</f>
        <v>230</v>
      </c>
      <c r="N7" s="273">
        <f>IF(IFERROR(K7/B7,0)&gt;1,1,IFERROR(K7/B7,0))</f>
        <v>0.81932443047918302</v>
      </c>
      <c r="O7" s="274">
        <f>MAX(0,C7-L7)</f>
        <v>1289.8428908091128</v>
      </c>
      <c r="P7" s="25">
        <f>IF(B7=0,5,C7/B7)</f>
        <v>5.6080125687352709</v>
      </c>
    </row>
    <row r="8" spans="1:59" x14ac:dyDescent="0.25">
      <c r="A8" s="18" t="s">
        <v>27</v>
      </c>
      <c r="B8" s="24">
        <f>SUMIFS(Camplist_HH,Camplist_Township,'Shelter Progress'!$A8,Camplist_Type_Of_Acc,"Camp")</f>
        <v>500</v>
      </c>
      <c r="C8" s="24">
        <f>SUMIFS(Camplist_Popl,Camplist_Township,'Shelter Progress'!$A8,Camplist_Type_Of_Acc,"Camp")</f>
        <v>2374</v>
      </c>
      <c r="D8" s="40">
        <f t="shared" ref="D8:D28" si="2">SUMIF(Col_Shelter_Township,$A8,Col_Shelter_Tent_Dist)</f>
        <v>0</v>
      </c>
      <c r="E8" s="40">
        <f t="shared" ref="E8:E28" si="3">SUMIF(Col_Shelter_Township,$A8,Col_Shelter_Temp_B)</f>
        <v>180</v>
      </c>
      <c r="F8" s="40">
        <f t="shared" ref="F8:F28" si="4">SUMIF(Col_Shelter_Township,$A8,Col_Shelter_Temp_U)</f>
        <v>0</v>
      </c>
      <c r="G8" s="40">
        <f>SUMIF(Col_Shelter_Township,$A8,Col_Shelter_Temp_P)</f>
        <v>205</v>
      </c>
      <c r="H8" s="40">
        <f t="shared" ref="H8:H28" si="5">SUMIF(Col_Shelter_Township,$A8,Col_Shelter_Perm_B)</f>
        <v>0</v>
      </c>
      <c r="I8" s="40">
        <f t="shared" si="0"/>
        <v>0</v>
      </c>
      <c r="J8" s="40">
        <f t="shared" si="1"/>
        <v>0</v>
      </c>
      <c r="K8" s="40">
        <f t="shared" ref="K8:K28" si="6">SUMIF(Col_Shelter_Township,$A8,Shelter_HH_Covered)</f>
        <v>180</v>
      </c>
      <c r="L8" s="446">
        <f t="shared" ref="L8:L27" si="7">K8*P8</f>
        <v>854.64</v>
      </c>
      <c r="M8" s="272">
        <f t="shared" ref="M8:M14" si="8">B8-K8</f>
        <v>320</v>
      </c>
      <c r="N8" s="273">
        <f t="shared" ref="N8:N20" si="9">IF(IFERROR(K8/B8,0)&gt;1,1,IFERROR(K8/B8,0))</f>
        <v>0.36</v>
      </c>
      <c r="O8" s="274">
        <f>MAX(0,C8-L8)</f>
        <v>1519.3600000000001</v>
      </c>
      <c r="P8" s="25">
        <f t="shared" ref="P8:P28" si="10">IF(B8=0,5,C8/B8)</f>
        <v>4.7480000000000002</v>
      </c>
    </row>
    <row r="9" spans="1:59" x14ac:dyDescent="0.25">
      <c r="A9" s="275" t="s">
        <v>527</v>
      </c>
      <c r="B9" s="24">
        <f>SUMIFS(Camplist_HH,Camplist_Township,'Shelter Progress'!$A9,Camplist_Type_Of_Acc,"Camp")</f>
        <v>787</v>
      </c>
      <c r="C9" s="24">
        <f>SUMIFS(Camplist_Popl,Camplist_Township,'Shelter Progress'!$A9,Camplist_Type_Of_Acc,"Camp")</f>
        <v>3668</v>
      </c>
      <c r="D9" s="40">
        <f t="shared" si="2"/>
        <v>228</v>
      </c>
      <c r="E9" s="40">
        <f t="shared" si="3"/>
        <v>548</v>
      </c>
      <c r="F9" s="40">
        <f t="shared" si="4"/>
        <v>0</v>
      </c>
      <c r="G9" s="40">
        <f>SUMIF(Col_Shelter_Township,$A9,Col_Shelter_Temp_P)</f>
        <v>598</v>
      </c>
      <c r="H9" s="40">
        <f t="shared" si="5"/>
        <v>0</v>
      </c>
      <c r="I9" s="40">
        <f t="shared" si="0"/>
        <v>0</v>
      </c>
      <c r="J9" s="40">
        <f t="shared" si="1"/>
        <v>0</v>
      </c>
      <c r="K9" s="40">
        <f t="shared" si="6"/>
        <v>428</v>
      </c>
      <c r="L9" s="446">
        <f t="shared" si="7"/>
        <v>1994.7954256670901</v>
      </c>
      <c r="M9" s="272">
        <f>B9-K9</f>
        <v>359</v>
      </c>
      <c r="N9" s="273">
        <f t="shared" si="9"/>
        <v>0.54383735705209657</v>
      </c>
      <c r="O9" s="274">
        <f>MAX(0,C9-L9)</f>
        <v>1673.2045743329099</v>
      </c>
      <c r="P9" s="25">
        <f t="shared" si="10"/>
        <v>4.6607369758576871</v>
      </c>
    </row>
    <row r="10" spans="1:59" x14ac:dyDescent="0.25">
      <c r="A10" s="18" t="s">
        <v>779</v>
      </c>
      <c r="B10" s="24">
        <f>SUMIFS(Camplist_HH,Camplist_Township,'Shelter Progress'!$A10,Camplist_Type_Of_Acc,"Camp")</f>
        <v>50</v>
      </c>
      <c r="C10" s="24">
        <f>SUMIFS(Camplist_Popl,Camplist_Township,'Shelter Progress'!$A10,Camplist_Type_Of_Acc,"Camp")</f>
        <v>287</v>
      </c>
      <c r="D10" s="40">
        <f t="shared" si="2"/>
        <v>0</v>
      </c>
      <c r="E10" s="40">
        <f t="shared" si="3"/>
        <v>35</v>
      </c>
      <c r="F10" s="40">
        <f>SUMIF(Col_Shelter_Township,$A10,Col_Shelter_Temp_U)</f>
        <v>0</v>
      </c>
      <c r="G10" s="40">
        <f t="shared" ref="G10:G27" si="11">SUMIF(Col_Shelter_Township,$A10,Col_Shelter_Temp_P)</f>
        <v>35</v>
      </c>
      <c r="H10" s="40">
        <f t="shared" si="5"/>
        <v>0</v>
      </c>
      <c r="I10" s="40">
        <f t="shared" si="0"/>
        <v>0</v>
      </c>
      <c r="J10" s="40">
        <f t="shared" si="1"/>
        <v>0</v>
      </c>
      <c r="K10" s="40">
        <f t="shared" si="6"/>
        <v>35</v>
      </c>
      <c r="L10" s="446">
        <f t="shared" si="7"/>
        <v>200.9</v>
      </c>
      <c r="M10" s="272">
        <f t="shared" si="8"/>
        <v>15</v>
      </c>
      <c r="N10" s="273">
        <f t="shared" si="9"/>
        <v>0.7</v>
      </c>
      <c r="O10" s="274">
        <f t="shared" ref="O10:O19" si="12">MAX(0,C10-L10)</f>
        <v>86.1</v>
      </c>
      <c r="P10" s="25">
        <f t="shared" si="10"/>
        <v>5.74</v>
      </c>
    </row>
    <row r="11" spans="1:59" s="333" customFormat="1" x14ac:dyDescent="0.25">
      <c r="A11" s="18" t="s">
        <v>1502</v>
      </c>
      <c r="B11" s="24">
        <f>SUMIFS(Camplist_HH,Camplist_Township,'Shelter Progress'!$A11,Camplist_Type_Of_Acc,"Camp")</f>
        <v>37</v>
      </c>
      <c r="C11" s="24">
        <f>SUMIFS(Camplist_Popl,Camplist_Township,'Shelter Progress'!$A11,Camplist_Type_Of_Acc,"Camp")</f>
        <v>120</v>
      </c>
      <c r="D11" s="40">
        <f t="shared" si="2"/>
        <v>0</v>
      </c>
      <c r="E11" s="40">
        <f t="shared" si="3"/>
        <v>0</v>
      </c>
      <c r="F11" s="40">
        <f>SUMIF(Col_Shelter_Township,$A11,Col_Shelter_Temp_U)</f>
        <v>0</v>
      </c>
      <c r="G11" s="40">
        <f t="shared" si="11"/>
        <v>0</v>
      </c>
      <c r="H11" s="40">
        <f t="shared" si="5"/>
        <v>0</v>
      </c>
      <c r="I11" s="40">
        <f t="shared" si="0"/>
        <v>0</v>
      </c>
      <c r="J11" s="40">
        <f t="shared" si="1"/>
        <v>0</v>
      </c>
      <c r="K11" s="40">
        <f t="shared" si="6"/>
        <v>0</v>
      </c>
      <c r="L11" s="446">
        <f t="shared" ref="L11" si="13">K11*P11</f>
        <v>0</v>
      </c>
      <c r="M11" s="272">
        <f t="shared" si="8"/>
        <v>37</v>
      </c>
      <c r="N11" s="273">
        <f t="shared" si="9"/>
        <v>0</v>
      </c>
      <c r="O11" s="274">
        <f t="shared" si="12"/>
        <v>120</v>
      </c>
      <c r="P11" s="25"/>
    </row>
    <row r="12" spans="1:59" x14ac:dyDescent="0.25">
      <c r="A12" s="16" t="s">
        <v>363</v>
      </c>
      <c r="B12" s="24">
        <f>SUMIFS(Camplist_HH,Camplist_Township,'Shelter Progress'!$A12,Camplist_Type_Of_Acc,"Camp")</f>
        <v>0</v>
      </c>
      <c r="C12" s="24">
        <f>SUMIFS(Camplist_Popl,Camplist_Township,'Shelter Progress'!$A12,Camplist_Type_Of_Acc,"Camp")</f>
        <v>0</v>
      </c>
      <c r="D12" s="40">
        <f t="shared" si="2"/>
        <v>0</v>
      </c>
      <c r="E12" s="40">
        <f t="shared" si="3"/>
        <v>0</v>
      </c>
      <c r="F12" s="40">
        <f t="shared" si="4"/>
        <v>0</v>
      </c>
      <c r="G12" s="40">
        <f t="shared" si="11"/>
        <v>0</v>
      </c>
      <c r="H12" s="40">
        <f t="shared" si="5"/>
        <v>0</v>
      </c>
      <c r="I12" s="40">
        <f t="shared" si="0"/>
        <v>0</v>
      </c>
      <c r="J12" s="40">
        <f t="shared" si="1"/>
        <v>0</v>
      </c>
      <c r="K12" s="40">
        <f t="shared" si="6"/>
        <v>0</v>
      </c>
      <c r="L12" s="446">
        <f t="shared" si="7"/>
        <v>0</v>
      </c>
      <c r="M12" s="272">
        <f t="shared" si="8"/>
        <v>0</v>
      </c>
      <c r="N12" s="273">
        <f>IF(IFERROR(K12/B12,0)&gt;1,1,IFERROR(K12/B12,0))</f>
        <v>0</v>
      </c>
      <c r="O12" s="274">
        <f t="shared" si="12"/>
        <v>0</v>
      </c>
      <c r="P12" s="25">
        <f t="shared" si="10"/>
        <v>5</v>
      </c>
    </row>
    <row r="13" spans="1:59" x14ac:dyDescent="0.25">
      <c r="A13" s="18" t="s">
        <v>144</v>
      </c>
      <c r="B13" s="24">
        <f>SUMIFS(Camplist_HH,Camplist_Township,'Shelter Progress'!$A13,Camplist_Type_Of_Acc,"Camp")</f>
        <v>0</v>
      </c>
      <c r="C13" s="24">
        <f>SUMIFS(Camplist_Popl,Camplist_Township,'Shelter Progress'!$A13,Camplist_Type_Of_Acc,"Camp")</f>
        <v>0</v>
      </c>
      <c r="D13" s="40">
        <f t="shared" si="2"/>
        <v>0</v>
      </c>
      <c r="E13" s="40">
        <f t="shared" si="3"/>
        <v>0</v>
      </c>
      <c r="F13" s="40">
        <f t="shared" si="4"/>
        <v>0</v>
      </c>
      <c r="G13" s="40">
        <f t="shared" si="11"/>
        <v>0</v>
      </c>
      <c r="H13" s="40">
        <f t="shared" si="5"/>
        <v>0</v>
      </c>
      <c r="I13" s="40">
        <f t="shared" si="0"/>
        <v>0</v>
      </c>
      <c r="J13" s="40">
        <f t="shared" si="1"/>
        <v>0</v>
      </c>
      <c r="K13" s="40">
        <f t="shared" si="6"/>
        <v>0</v>
      </c>
      <c r="L13" s="446">
        <f t="shared" si="7"/>
        <v>0</v>
      </c>
      <c r="M13" s="272">
        <f t="shared" si="8"/>
        <v>0</v>
      </c>
      <c r="N13" s="273">
        <f>IF(IFERROR(K13/B13,0)&gt;1,1,IFERROR(K13/B13,0))</f>
        <v>0</v>
      </c>
      <c r="O13" s="274">
        <f>MAX(0,C13-L13)</f>
        <v>0</v>
      </c>
      <c r="P13" s="25">
        <f t="shared" si="10"/>
        <v>5</v>
      </c>
    </row>
    <row r="14" spans="1:59" x14ac:dyDescent="0.25">
      <c r="A14" s="18" t="s">
        <v>146</v>
      </c>
      <c r="B14" s="24">
        <f>SUMIFS(Camplist_HH,Camplist_Township,'Shelter Progress'!$A14,Camplist_Type_Of_Acc,"Camp")</f>
        <v>926</v>
      </c>
      <c r="C14" s="24">
        <f>SUMIFS(Camplist_Popl,Camplist_Township,'Shelter Progress'!$A14,Camplist_Type_Of_Acc,"Camp")</f>
        <v>4538</v>
      </c>
      <c r="D14" s="40">
        <f t="shared" si="2"/>
        <v>0</v>
      </c>
      <c r="E14" s="40">
        <f t="shared" si="3"/>
        <v>444</v>
      </c>
      <c r="F14" s="40">
        <f t="shared" si="4"/>
        <v>0</v>
      </c>
      <c r="G14" s="40">
        <f>SUMIF(Col_Shelter_Township,$A14,Col_Shelter_Temp_P)</f>
        <v>444</v>
      </c>
      <c r="H14" s="40">
        <f t="shared" si="5"/>
        <v>0</v>
      </c>
      <c r="I14" s="40">
        <f t="shared" si="0"/>
        <v>0</v>
      </c>
      <c r="J14" s="40">
        <f t="shared" si="1"/>
        <v>0</v>
      </c>
      <c r="K14" s="40">
        <f t="shared" si="6"/>
        <v>444</v>
      </c>
      <c r="L14" s="446">
        <f t="shared" si="7"/>
        <v>2175.8876889848812</v>
      </c>
      <c r="M14" s="272">
        <f t="shared" si="8"/>
        <v>482</v>
      </c>
      <c r="N14" s="273">
        <f t="shared" si="9"/>
        <v>0.4794816414686825</v>
      </c>
      <c r="O14" s="274">
        <f>MAX(0,C14-L14)</f>
        <v>2362.1123110151188</v>
      </c>
      <c r="P14" s="25">
        <f t="shared" si="10"/>
        <v>4.9006479481641465</v>
      </c>
    </row>
    <row r="15" spans="1:59" x14ac:dyDescent="0.25">
      <c r="A15" s="18" t="s">
        <v>892</v>
      </c>
      <c r="B15" s="24">
        <f>SUMIFS(Camplist_HH,Camplist_Township,'Shelter Progress'!$A15,Camplist_Type_Of_Acc,"Camp")</f>
        <v>0</v>
      </c>
      <c r="C15" s="24">
        <f>SUMIFS(Camplist_Popl,Camplist_Township,'Shelter Progress'!$A15,Camplist_Type_Of_Acc,"Camp")</f>
        <v>0</v>
      </c>
      <c r="D15" s="40">
        <f t="shared" si="2"/>
        <v>0</v>
      </c>
      <c r="E15" s="40">
        <f t="shared" si="3"/>
        <v>0</v>
      </c>
      <c r="F15" s="40">
        <f t="shared" si="4"/>
        <v>0</v>
      </c>
      <c r="G15" s="40">
        <f t="shared" si="11"/>
        <v>0</v>
      </c>
      <c r="H15" s="40">
        <f t="shared" si="5"/>
        <v>0</v>
      </c>
      <c r="I15" s="40">
        <f t="shared" si="0"/>
        <v>0</v>
      </c>
      <c r="J15" s="40">
        <f t="shared" si="1"/>
        <v>0</v>
      </c>
      <c r="K15" s="40">
        <f t="shared" si="6"/>
        <v>0</v>
      </c>
      <c r="L15" s="446">
        <f t="shared" si="7"/>
        <v>0</v>
      </c>
      <c r="M15" s="272">
        <f t="shared" ref="M15:M28" si="14">B15-K15</f>
        <v>0</v>
      </c>
      <c r="N15" s="273">
        <f t="shared" si="9"/>
        <v>0</v>
      </c>
      <c r="O15" s="274">
        <f>MAX(0,C15-L15)</f>
        <v>0</v>
      </c>
      <c r="P15" s="25">
        <f t="shared" si="10"/>
        <v>5</v>
      </c>
    </row>
    <row r="16" spans="1:59" x14ac:dyDescent="0.25">
      <c r="A16" s="18" t="s">
        <v>151</v>
      </c>
      <c r="B16" s="24">
        <f>SUMIFS(Camplist_HH,Camplist_Township,'Shelter Progress'!$A16,Camplist_Type_Of_Acc,"Camp")</f>
        <v>2562</v>
      </c>
      <c r="C16" s="24">
        <f>SUMIFS(Camplist_Popl,Camplist_Township,'Shelter Progress'!$A16,Camplist_Type_Of_Acc,"Camp")</f>
        <v>12217</v>
      </c>
      <c r="D16" s="40">
        <f t="shared" si="2"/>
        <v>400</v>
      </c>
      <c r="E16" s="40">
        <f t="shared" si="3"/>
        <v>1862</v>
      </c>
      <c r="F16" s="40">
        <f t="shared" si="4"/>
        <v>40</v>
      </c>
      <c r="G16" s="40">
        <f>SUMIF(Col_Shelter_Township,$A16,Col_Shelter_Temp_P)</f>
        <v>2249</v>
      </c>
      <c r="H16" s="40">
        <f t="shared" si="5"/>
        <v>0</v>
      </c>
      <c r="I16" s="40">
        <f t="shared" si="0"/>
        <v>0</v>
      </c>
      <c r="J16" s="40">
        <f t="shared" si="1"/>
        <v>0</v>
      </c>
      <c r="K16" s="40">
        <f>SUMIF(Col_Shelter_Township,$A16,Shelter_HH_Covered)</f>
        <v>1462</v>
      </c>
      <c r="L16" s="446">
        <f t="shared" si="7"/>
        <v>6971.6057767369248</v>
      </c>
      <c r="M16" s="272">
        <f t="shared" si="14"/>
        <v>1100</v>
      </c>
      <c r="N16" s="273">
        <f>IF(IFERROR(K16/B16,0)&gt;1,1,IFERROR(K16/B16,0))</f>
        <v>0.57064793130366898</v>
      </c>
      <c r="O16" s="274">
        <f>MAX(0,C16-L16)</f>
        <v>5245.3942232630752</v>
      </c>
      <c r="P16" s="25">
        <f>IF(B16=0,5,C16/B16)</f>
        <v>4.7685402029664328</v>
      </c>
    </row>
    <row r="17" spans="1:16" x14ac:dyDescent="0.25">
      <c r="A17" s="18" t="s">
        <v>166</v>
      </c>
      <c r="B17" s="24">
        <f>SUMIFS(Camplist_HH,Camplist_Township,'Shelter Progress'!$A17,Camplist_Type_Of_Acc,"Camp")</f>
        <v>101</v>
      </c>
      <c r="C17" s="24">
        <f>SUMIFS(Camplist_Popl,Camplist_Township,'Shelter Progress'!$A17,Camplist_Type_Of_Acc,"Camp")</f>
        <v>545</v>
      </c>
      <c r="D17" s="40">
        <f t="shared" si="2"/>
        <v>0</v>
      </c>
      <c r="E17" s="40">
        <f t="shared" si="3"/>
        <v>80</v>
      </c>
      <c r="F17" s="40">
        <f t="shared" si="4"/>
        <v>0</v>
      </c>
      <c r="G17" s="40">
        <f>SUMIF(Col_Shelter_Township,$A17,Col_Shelter_Temp_P)</f>
        <v>80</v>
      </c>
      <c r="H17" s="40">
        <f t="shared" si="5"/>
        <v>0</v>
      </c>
      <c r="I17" s="40">
        <f t="shared" si="0"/>
        <v>0</v>
      </c>
      <c r="J17" s="40">
        <f t="shared" si="1"/>
        <v>0</v>
      </c>
      <c r="K17" s="40">
        <f t="shared" si="6"/>
        <v>70</v>
      </c>
      <c r="L17" s="446">
        <f t="shared" si="7"/>
        <v>377.72277227722776</v>
      </c>
      <c r="M17" s="272">
        <f>B17-K17</f>
        <v>31</v>
      </c>
      <c r="N17" s="273">
        <f t="shared" si="9"/>
        <v>0.69306930693069302</v>
      </c>
      <c r="O17" s="274">
        <f>MAX(0,C17-L17)</f>
        <v>167.27722772277224</v>
      </c>
      <c r="P17" s="25">
        <f t="shared" si="10"/>
        <v>5.3960396039603964</v>
      </c>
    </row>
    <row r="18" spans="1:16" x14ac:dyDescent="0.25">
      <c r="A18" s="18" t="s">
        <v>173</v>
      </c>
      <c r="B18" s="24">
        <f>SUMIFS(Camplist_HH,Camplist_Township,'Shelter Progress'!$A18,Camplist_Type_Of_Acc,"Camp")</f>
        <v>75</v>
      </c>
      <c r="C18" s="24">
        <f>SUMIFS(Camplist_Popl,Camplist_Township,'Shelter Progress'!$A18,Camplist_Type_Of_Acc,"Camp")</f>
        <v>350</v>
      </c>
      <c r="D18" s="40">
        <f t="shared" si="2"/>
        <v>0</v>
      </c>
      <c r="E18" s="40">
        <f t="shared" si="3"/>
        <v>80</v>
      </c>
      <c r="F18" s="40">
        <f t="shared" si="4"/>
        <v>0</v>
      </c>
      <c r="G18" s="40">
        <f>SUMIF(Col_Shelter_Township,$A18,Col_Shelter_Temp_P)</f>
        <v>80</v>
      </c>
      <c r="H18" s="40">
        <f t="shared" si="5"/>
        <v>0</v>
      </c>
      <c r="I18" s="40">
        <f t="shared" si="0"/>
        <v>0</v>
      </c>
      <c r="J18" s="40">
        <f t="shared" si="1"/>
        <v>0</v>
      </c>
      <c r="K18" s="40">
        <f t="shared" si="6"/>
        <v>80</v>
      </c>
      <c r="L18" s="446">
        <f t="shared" si="7"/>
        <v>373.33333333333337</v>
      </c>
      <c r="M18" s="272">
        <f t="shared" si="14"/>
        <v>-5</v>
      </c>
      <c r="N18" s="273">
        <f t="shared" si="9"/>
        <v>1</v>
      </c>
      <c r="O18" s="274">
        <f t="shared" si="12"/>
        <v>0</v>
      </c>
      <c r="P18" s="25">
        <f t="shared" si="10"/>
        <v>4.666666666666667</v>
      </c>
    </row>
    <row r="19" spans="1:16" x14ac:dyDescent="0.25">
      <c r="A19" s="18" t="s">
        <v>180</v>
      </c>
      <c r="B19" s="24">
        <f>SUMIFS(Camplist_HH,Camplist_Township,'Shelter Progress'!$A19,Camplist_Type_Of_Acc,"Camp")</f>
        <v>31</v>
      </c>
      <c r="C19" s="24">
        <f>SUMIFS(Camplist_Popl,Camplist_Township,'Shelter Progress'!$A19,Camplist_Type_Of_Acc,"Camp")</f>
        <v>164</v>
      </c>
      <c r="D19" s="40">
        <f t="shared" si="2"/>
        <v>0</v>
      </c>
      <c r="E19" s="40">
        <f t="shared" si="3"/>
        <v>42</v>
      </c>
      <c r="F19" s="40">
        <f t="shared" si="4"/>
        <v>0</v>
      </c>
      <c r="G19" s="40">
        <f t="shared" si="11"/>
        <v>42</v>
      </c>
      <c r="H19" s="40">
        <f t="shared" si="5"/>
        <v>0</v>
      </c>
      <c r="I19" s="40">
        <f t="shared" si="0"/>
        <v>0</v>
      </c>
      <c r="J19" s="40">
        <f t="shared" si="1"/>
        <v>0</v>
      </c>
      <c r="K19" s="40">
        <f t="shared" si="6"/>
        <v>42</v>
      </c>
      <c r="L19" s="446">
        <f t="shared" si="7"/>
        <v>222.19354838709677</v>
      </c>
      <c r="M19" s="272">
        <f t="shared" si="14"/>
        <v>-11</v>
      </c>
      <c r="N19" s="273">
        <f t="shared" si="9"/>
        <v>1</v>
      </c>
      <c r="O19" s="274">
        <f t="shared" si="12"/>
        <v>0</v>
      </c>
      <c r="P19" s="25">
        <f t="shared" si="10"/>
        <v>5.290322580645161</v>
      </c>
    </row>
    <row r="20" spans="1:16" x14ac:dyDescent="0.25">
      <c r="A20" s="18" t="s">
        <v>185</v>
      </c>
      <c r="B20" s="24">
        <f>SUMIFS(Camplist_HH,Camplist_Township,'Shelter Progress'!$A20,Camplist_Type_Of_Acc,"Camp")</f>
        <v>2828</v>
      </c>
      <c r="C20" s="24">
        <f>SUMIFS(Camplist_Popl,Camplist_Township,'Shelter Progress'!$A20,Camplist_Type_Of_Acc,"Camp")</f>
        <v>14229</v>
      </c>
      <c r="D20" s="40">
        <f t="shared" si="2"/>
        <v>0</v>
      </c>
      <c r="E20" s="40">
        <f t="shared" si="3"/>
        <v>4862</v>
      </c>
      <c r="F20" s="40">
        <f t="shared" si="4"/>
        <v>0</v>
      </c>
      <c r="G20" s="40">
        <f>SUMIF(Col_Shelter_Township,$A20,Col_Shelter_Temp_P)</f>
        <v>5165</v>
      </c>
      <c r="H20" s="40">
        <f t="shared" si="5"/>
        <v>0</v>
      </c>
      <c r="I20" s="40">
        <f t="shared" si="0"/>
        <v>0</v>
      </c>
      <c r="J20" s="40">
        <f t="shared" si="1"/>
        <v>0</v>
      </c>
      <c r="K20" s="40">
        <f t="shared" si="6"/>
        <v>4149</v>
      </c>
      <c r="L20" s="446">
        <f t="shared" si="7"/>
        <v>20875.573196605372</v>
      </c>
      <c r="M20" s="272">
        <f>B20-K20</f>
        <v>-1321</v>
      </c>
      <c r="N20" s="273">
        <f t="shared" si="9"/>
        <v>1</v>
      </c>
      <c r="O20" s="274">
        <f t="shared" ref="O20:O28" si="15">MAX(0,C20-L20)</f>
        <v>0</v>
      </c>
      <c r="P20" s="25">
        <f t="shared" si="10"/>
        <v>5.0314710042432811</v>
      </c>
    </row>
    <row r="21" spans="1:16" x14ac:dyDescent="0.25">
      <c r="A21" s="18" t="s">
        <v>230</v>
      </c>
      <c r="B21" s="24">
        <f>SUMIFS(Camplist_HH,Camplist_Township,'Shelter Progress'!$A21,Camplist_Type_Of_Acc,"Camp")</f>
        <v>76</v>
      </c>
      <c r="C21" s="24">
        <f>SUMIFS(Camplist_Popl,Camplist_Township,'Shelter Progress'!$A21,Camplist_Type_Of_Acc,"Camp")</f>
        <v>327</v>
      </c>
      <c r="D21" s="40">
        <f t="shared" si="2"/>
        <v>110</v>
      </c>
      <c r="E21" s="40">
        <f t="shared" si="3"/>
        <v>93</v>
      </c>
      <c r="F21" s="40">
        <f t="shared" si="4"/>
        <v>0</v>
      </c>
      <c r="G21" s="40">
        <f t="shared" si="11"/>
        <v>93</v>
      </c>
      <c r="H21" s="40">
        <f t="shared" si="5"/>
        <v>0</v>
      </c>
      <c r="I21" s="40">
        <f t="shared" si="0"/>
        <v>0</v>
      </c>
      <c r="J21" s="40">
        <f t="shared" si="1"/>
        <v>0</v>
      </c>
      <c r="K21" s="40">
        <f t="shared" si="6"/>
        <v>74</v>
      </c>
      <c r="L21" s="446">
        <f t="shared" si="7"/>
        <v>318.39473684210526</v>
      </c>
      <c r="M21" s="272">
        <f t="shared" si="14"/>
        <v>2</v>
      </c>
      <c r="N21" s="273">
        <f>IF(IFERROR(K21/B21,0)&gt;1,1,IFERROR(K21/B21,0))</f>
        <v>0.97368421052631582</v>
      </c>
      <c r="O21" s="274">
        <f t="shared" si="15"/>
        <v>8.6052631578947398</v>
      </c>
      <c r="P21" s="25">
        <f t="shared" si="10"/>
        <v>4.3026315789473681</v>
      </c>
    </row>
    <row r="22" spans="1:16" x14ac:dyDescent="0.25">
      <c r="A22" s="18" t="s">
        <v>237</v>
      </c>
      <c r="B22" s="24">
        <f>SUMIFS(Camplist_HH,Camplist_Township,'Shelter Progress'!$A22,Camplist_Type_Of_Acc,"Camp")</f>
        <v>1273</v>
      </c>
      <c r="C22" s="24">
        <f>SUMIFS(Camplist_Popl,Camplist_Township,'Shelter Progress'!$A22,Camplist_Type_Of_Acc,"Camp")</f>
        <v>6461</v>
      </c>
      <c r="D22" s="40">
        <f t="shared" si="2"/>
        <v>2</v>
      </c>
      <c r="E22" s="40">
        <f t="shared" si="3"/>
        <v>1127</v>
      </c>
      <c r="F22" s="40">
        <f t="shared" si="4"/>
        <v>0</v>
      </c>
      <c r="G22" s="40">
        <f t="shared" si="11"/>
        <v>1133</v>
      </c>
      <c r="H22" s="40">
        <f t="shared" si="5"/>
        <v>0</v>
      </c>
      <c r="I22" s="40">
        <f t="shared" si="0"/>
        <v>0</v>
      </c>
      <c r="J22" s="40">
        <f t="shared" si="1"/>
        <v>0</v>
      </c>
      <c r="K22" s="40">
        <f t="shared" si="6"/>
        <v>1112</v>
      </c>
      <c r="L22" s="446">
        <f t="shared" si="7"/>
        <v>5643.8586017282005</v>
      </c>
      <c r="M22" s="272">
        <f t="shared" si="14"/>
        <v>161</v>
      </c>
      <c r="N22" s="273">
        <f>IF(IFERROR(K22/B22,0)&gt;1,1,IFERROR(K22/B22,0))</f>
        <v>0.8735271013354281</v>
      </c>
      <c r="O22" s="274">
        <f t="shared" si="15"/>
        <v>817.14139827179952</v>
      </c>
      <c r="P22" s="25">
        <f>IF(B22=0,5,C22/B22)</f>
        <v>5.0754124116260799</v>
      </c>
    </row>
    <row r="23" spans="1:16" x14ac:dyDescent="0.25">
      <c r="A23" s="18" t="s">
        <v>289</v>
      </c>
      <c r="B23" s="24">
        <f>SUMIFS(Camplist_HH,Camplist_Township,'Shelter Progress'!$A23,Camplist_Type_Of_Acc,"Camp")</f>
        <v>596</v>
      </c>
      <c r="C23" s="24">
        <f>SUMIFS(Camplist_Popl,Camplist_Township,'Shelter Progress'!$A23,Camplist_Type_Of_Acc,"Camp")</f>
        <v>2769</v>
      </c>
      <c r="D23" s="40">
        <f t="shared" si="2"/>
        <v>0</v>
      </c>
      <c r="E23" s="40">
        <f t="shared" si="3"/>
        <v>237</v>
      </c>
      <c r="F23" s="40">
        <f t="shared" si="4"/>
        <v>0</v>
      </c>
      <c r="G23" s="40">
        <f>SUMIF(Col_Shelter_Township,$A23,Col_Shelter_Temp_P)</f>
        <v>263</v>
      </c>
      <c r="H23" s="40">
        <f t="shared" si="5"/>
        <v>0</v>
      </c>
      <c r="I23" s="40">
        <f t="shared" si="0"/>
        <v>0</v>
      </c>
      <c r="J23" s="40">
        <f t="shared" si="1"/>
        <v>0</v>
      </c>
      <c r="K23" s="40">
        <f t="shared" si="6"/>
        <v>237</v>
      </c>
      <c r="L23" s="446">
        <f t="shared" si="7"/>
        <v>1101.0956375838925</v>
      </c>
      <c r="M23" s="272">
        <f t="shared" si="14"/>
        <v>359</v>
      </c>
      <c r="N23" s="273">
        <f t="shared" ref="N23:N25" si="16">IF(IFERROR(K23/B23,0)&gt;1,1,IFERROR(K23/B23,0))</f>
        <v>0.3976510067114094</v>
      </c>
      <c r="O23" s="274">
        <f t="shared" si="15"/>
        <v>1667.9043624161075</v>
      </c>
      <c r="P23" s="25">
        <f t="shared" si="10"/>
        <v>4.6459731543624159</v>
      </c>
    </row>
    <row r="24" spans="1:16" x14ac:dyDescent="0.25">
      <c r="A24" s="18" t="s">
        <v>298</v>
      </c>
      <c r="B24" s="24">
        <f>SUMIFS(Camplist_HH,Camplist_Township,'Shelter Progress'!$A24,Camplist_Type_Of_Acc,"Camp")</f>
        <v>383</v>
      </c>
      <c r="C24" s="24">
        <f>SUMIFS(Camplist_Popl,Camplist_Township,'Shelter Progress'!$A24,Camplist_Type_Of_Acc,"Camp")</f>
        <v>1458</v>
      </c>
      <c r="D24" s="40">
        <f t="shared" si="2"/>
        <v>0</v>
      </c>
      <c r="E24" s="40">
        <f t="shared" si="3"/>
        <v>10</v>
      </c>
      <c r="F24" s="40">
        <f t="shared" si="4"/>
        <v>0</v>
      </c>
      <c r="G24" s="40">
        <f t="shared" si="11"/>
        <v>10</v>
      </c>
      <c r="H24" s="40">
        <f t="shared" si="5"/>
        <v>0</v>
      </c>
      <c r="I24" s="40">
        <f t="shared" si="0"/>
        <v>0</v>
      </c>
      <c r="J24" s="40">
        <f t="shared" si="1"/>
        <v>0</v>
      </c>
      <c r="K24" s="40">
        <f t="shared" si="6"/>
        <v>10</v>
      </c>
      <c r="L24" s="446">
        <f t="shared" si="7"/>
        <v>38.067885117493475</v>
      </c>
      <c r="M24" s="272">
        <f t="shared" si="14"/>
        <v>373</v>
      </c>
      <c r="N24" s="273">
        <f t="shared" si="16"/>
        <v>2.6109660574412531E-2</v>
      </c>
      <c r="O24" s="274">
        <f t="shared" si="15"/>
        <v>1419.9321148825065</v>
      </c>
      <c r="P24" s="25">
        <f t="shared" si="10"/>
        <v>3.8067885117493474</v>
      </c>
    </row>
    <row r="25" spans="1:16" s="65" customFormat="1" x14ac:dyDescent="0.25">
      <c r="A25" s="18" t="s">
        <v>300</v>
      </c>
      <c r="B25" s="24">
        <f>SUMIFS(Camplist_HH,Camplist_Township,'Shelter Progress'!$A25,Camplist_Type_Of_Acc,"Camp")</f>
        <v>59</v>
      </c>
      <c r="C25" s="24">
        <f>SUMIFS(Camplist_Popl,Camplist_Township,'Shelter Progress'!$A25,Camplist_Type_Of_Acc,"Camp")</f>
        <v>274</v>
      </c>
      <c r="D25" s="40">
        <f t="shared" si="2"/>
        <v>55</v>
      </c>
      <c r="E25" s="40">
        <f t="shared" si="3"/>
        <v>60</v>
      </c>
      <c r="F25" s="40">
        <f t="shared" si="4"/>
        <v>0</v>
      </c>
      <c r="G25" s="40">
        <f t="shared" si="11"/>
        <v>60</v>
      </c>
      <c r="H25" s="40">
        <f t="shared" si="5"/>
        <v>0</v>
      </c>
      <c r="I25" s="40">
        <f t="shared" si="0"/>
        <v>0</v>
      </c>
      <c r="J25" s="40">
        <f t="shared" si="1"/>
        <v>0</v>
      </c>
      <c r="K25" s="40">
        <f t="shared" si="6"/>
        <v>60</v>
      </c>
      <c r="L25" s="446">
        <f t="shared" si="7"/>
        <v>278.64406779661016</v>
      </c>
      <c r="M25" s="272">
        <f t="shared" si="14"/>
        <v>-1</v>
      </c>
      <c r="N25" s="273">
        <f t="shared" si="16"/>
        <v>1</v>
      </c>
      <c r="O25" s="274">
        <f t="shared" si="15"/>
        <v>0</v>
      </c>
      <c r="P25" s="25">
        <f t="shared" si="10"/>
        <v>4.6440677966101696</v>
      </c>
    </row>
    <row r="26" spans="1:16" s="65" customFormat="1" x14ac:dyDescent="0.25">
      <c r="A26" s="18" t="s">
        <v>302</v>
      </c>
      <c r="B26" s="24">
        <f>SUMIFS(Camplist_HH,Camplist_Township,'Shelter Progress'!$A26,Camplist_Type_Of_Acc,"Camp")</f>
        <v>118</v>
      </c>
      <c r="C26" s="24">
        <f>SUMIFS(Camplist_Popl,Camplist_Township,'Shelter Progress'!$A26,Camplist_Type_Of_Acc,"Camp")</f>
        <v>449</v>
      </c>
      <c r="D26" s="40">
        <f t="shared" si="2"/>
        <v>0</v>
      </c>
      <c r="E26" s="40">
        <f t="shared" si="3"/>
        <v>88</v>
      </c>
      <c r="F26" s="40">
        <f t="shared" si="4"/>
        <v>0</v>
      </c>
      <c r="G26" s="40">
        <f>SUMIF(Col_Shelter_Township,$A26,Col_Shelter_Temp_P)</f>
        <v>88</v>
      </c>
      <c r="H26" s="40">
        <f t="shared" si="5"/>
        <v>0</v>
      </c>
      <c r="I26" s="40">
        <f t="shared" si="0"/>
        <v>0</v>
      </c>
      <c r="J26" s="40">
        <f t="shared" si="1"/>
        <v>0</v>
      </c>
      <c r="K26" s="40">
        <f t="shared" si="6"/>
        <v>88</v>
      </c>
      <c r="L26" s="446">
        <f t="shared" si="7"/>
        <v>334.84745762711867</v>
      </c>
      <c r="M26" s="272">
        <f t="shared" si="14"/>
        <v>30</v>
      </c>
      <c r="N26" s="273">
        <f>IF(IFERROR(K26/B26,0)&gt;1,1,IFERROR(K26/B26,0))</f>
        <v>0.74576271186440679</v>
      </c>
      <c r="O26" s="274">
        <f t="shared" si="15"/>
        <v>114.15254237288133</v>
      </c>
      <c r="P26" s="25">
        <f t="shared" si="10"/>
        <v>3.8050847457627119</v>
      </c>
    </row>
    <row r="27" spans="1:16" x14ac:dyDescent="0.25">
      <c r="A27" s="18" t="s">
        <v>808</v>
      </c>
      <c r="B27" s="24">
        <f>SUMIFS(Camplist_HH,Camplist_Township,'Shelter Progress'!$A27,Camplist_Type_Of_Acc,"Camp")</f>
        <v>218</v>
      </c>
      <c r="C27" s="24">
        <f>SUMIFS(Camplist_Popl,Camplist_Township,'Shelter Progress'!$A27,Camplist_Type_Of_Acc,"Camp")</f>
        <v>851</v>
      </c>
      <c r="D27" s="40">
        <f t="shared" si="2"/>
        <v>0</v>
      </c>
      <c r="E27" s="40">
        <f t="shared" si="3"/>
        <v>0</v>
      </c>
      <c r="F27" s="40">
        <f t="shared" si="4"/>
        <v>0</v>
      </c>
      <c r="G27" s="40">
        <f t="shared" si="11"/>
        <v>0</v>
      </c>
      <c r="H27" s="40">
        <f t="shared" si="5"/>
        <v>0</v>
      </c>
      <c r="I27" s="40">
        <f t="shared" si="0"/>
        <v>0</v>
      </c>
      <c r="J27" s="40">
        <f t="shared" si="1"/>
        <v>0</v>
      </c>
      <c r="K27" s="40">
        <f t="shared" si="6"/>
        <v>0</v>
      </c>
      <c r="L27" s="446">
        <f t="shared" si="7"/>
        <v>0</v>
      </c>
      <c r="M27" s="272">
        <f>B27-K27</f>
        <v>218</v>
      </c>
      <c r="N27" s="273">
        <f t="shared" ref="N27:N29" si="17">IF(IFERROR(K27/B27,0)&gt;1,1,IFERROR(K27/B27,0))</f>
        <v>0</v>
      </c>
      <c r="O27" s="274">
        <f t="shared" si="15"/>
        <v>851</v>
      </c>
      <c r="P27" s="25">
        <f t="shared" si="10"/>
        <v>3.903669724770642</v>
      </c>
    </row>
    <row r="28" spans="1:16" s="38" customFormat="1" x14ac:dyDescent="0.25">
      <c r="A28" s="18" t="s">
        <v>310</v>
      </c>
      <c r="B28" s="24">
        <f>SUMIFS(Camplist_HH,Camplist_Township,'Shelter Progress'!$A28,Camplist_Type_Of_Acc,"Camp")</f>
        <v>6083</v>
      </c>
      <c r="C28" s="24">
        <f>SUMIFS(Camplist_Popl,Camplist_Township,'Shelter Progress'!$A28,Camplist_Type_Of_Acc,"Camp")</f>
        <v>30585</v>
      </c>
      <c r="D28" s="40">
        <f t="shared" si="2"/>
        <v>248</v>
      </c>
      <c r="E28" s="40">
        <f t="shared" si="3"/>
        <v>3617</v>
      </c>
      <c r="F28" s="40">
        <f t="shared" si="4"/>
        <v>0</v>
      </c>
      <c r="G28" s="40">
        <f>SUMIF(Col_Shelter_Township,$A28,Col_Shelter_Temp_P)</f>
        <v>3977</v>
      </c>
      <c r="H28" s="40">
        <f t="shared" si="5"/>
        <v>0</v>
      </c>
      <c r="I28" s="40">
        <f t="shared" si="0"/>
        <v>0</v>
      </c>
      <c r="J28" s="40">
        <f t="shared" si="1"/>
        <v>0</v>
      </c>
      <c r="K28" s="40">
        <f t="shared" si="6"/>
        <v>3456</v>
      </c>
      <c r="L28" s="446">
        <f>K28*P28</f>
        <v>17376.583922406706</v>
      </c>
      <c r="M28" s="272">
        <f t="shared" si="14"/>
        <v>2627</v>
      </c>
      <c r="N28" s="273">
        <f t="shared" si="17"/>
        <v>0.56814072003945426</v>
      </c>
      <c r="O28" s="274">
        <f t="shared" si="15"/>
        <v>13208.416077593294</v>
      </c>
      <c r="P28" s="25">
        <f t="shared" si="10"/>
        <v>5.0279467368074959</v>
      </c>
    </row>
    <row r="29" spans="1:16" s="38" customFormat="1" x14ac:dyDescent="0.25">
      <c r="A29" s="267" t="s">
        <v>3</v>
      </c>
      <c r="B29" s="268">
        <f>SUM(B7:B28)</f>
        <v>17976</v>
      </c>
      <c r="C29" s="268">
        <f t="shared" ref="C29:J29" si="18">SUM(C7:C28)</f>
        <v>88805</v>
      </c>
      <c r="D29" s="268">
        <f t="shared" si="18"/>
        <v>1043</v>
      </c>
      <c r="E29" s="268">
        <f t="shared" si="18"/>
        <v>14408</v>
      </c>
      <c r="F29" s="268">
        <f t="shared" si="18"/>
        <v>40</v>
      </c>
      <c r="G29" s="268">
        <f>SUM(G7:G28)</f>
        <v>15779</v>
      </c>
      <c r="H29" s="268">
        <f t="shared" si="18"/>
        <v>0</v>
      </c>
      <c r="I29" s="268">
        <f t="shared" si="18"/>
        <v>0</v>
      </c>
      <c r="J29" s="268">
        <f t="shared" si="18"/>
        <v>0</v>
      </c>
      <c r="K29" s="268">
        <f>SUM(K7:K28)</f>
        <v>12970</v>
      </c>
      <c r="L29" s="269">
        <f>SUM(L7:L28)</f>
        <v>64987.301160284944</v>
      </c>
      <c r="M29" s="270">
        <f>SUM(M7:M28)</f>
        <v>5006</v>
      </c>
      <c r="N29" s="273">
        <f t="shared" si="17"/>
        <v>0.72151757899421454</v>
      </c>
      <c r="O29" s="271">
        <f>SUM(O7:O28)</f>
        <v>30550.442985837475</v>
      </c>
      <c r="P29" s="65"/>
    </row>
    <row r="30" spans="1:16" ht="271.5" hidden="1" customHeight="1" x14ac:dyDescent="0.25">
      <c r="A30" s="15" t="s">
        <v>508</v>
      </c>
      <c r="B30" s="1" t="s">
        <v>508</v>
      </c>
      <c r="C30" s="1"/>
      <c r="D30" s="1"/>
      <c r="E30" s="1"/>
      <c r="F30" s="1"/>
      <c r="G30" s="1"/>
      <c r="H30" s="1"/>
      <c r="I30" s="1"/>
      <c r="J30" s="1"/>
      <c r="K30" s="1"/>
      <c r="L30" s="1"/>
      <c r="M30" s="1"/>
      <c r="N30" s="1"/>
      <c r="O30" s="1"/>
    </row>
    <row r="31" spans="1:16" s="38" customFormat="1" hidden="1" x14ac:dyDescent="0.25">
      <c r="A31" s="15"/>
      <c r="P31" s="25"/>
    </row>
    <row r="32" spans="1:16" hidden="1" x14ac:dyDescent="0.25">
      <c r="A32" s="15" t="s">
        <v>507</v>
      </c>
      <c r="B32" t="s">
        <v>508</v>
      </c>
    </row>
    <row r="33" spans="1:15" ht="31.5" hidden="1" x14ac:dyDescent="0.5">
      <c r="A33" s="42" t="s">
        <v>381</v>
      </c>
      <c r="B33" s="43"/>
      <c r="C33" s="43"/>
      <c r="D33" s="43"/>
      <c r="E33" s="43"/>
      <c r="F33" s="43"/>
      <c r="G33" s="43"/>
      <c r="H33" s="43"/>
      <c r="I33" s="43"/>
      <c r="J33" s="43"/>
      <c r="K33" s="43"/>
      <c r="L33" s="43"/>
      <c r="M33" s="43"/>
      <c r="N33" s="43"/>
      <c r="O33" s="43"/>
    </row>
    <row r="34" spans="1:15" hidden="1" x14ac:dyDescent="0.25"/>
    <row r="35" spans="1:15" hidden="1" x14ac:dyDescent="0.25"/>
    <row r="36" spans="1:15" hidden="1" x14ac:dyDescent="0.25"/>
    <row r="37" spans="1:15" hidden="1" x14ac:dyDescent="0.25"/>
    <row r="38" spans="1:15" hidden="1" x14ac:dyDescent="0.25"/>
    <row r="39" spans="1:15" hidden="1" x14ac:dyDescent="0.25"/>
    <row r="40" spans="1:15" hidden="1" x14ac:dyDescent="0.25"/>
    <row r="41" spans="1:15" hidden="1" x14ac:dyDescent="0.25"/>
    <row r="42" spans="1:15" hidden="1" x14ac:dyDescent="0.25"/>
    <row r="43" spans="1:15" hidden="1" x14ac:dyDescent="0.25"/>
    <row r="44" spans="1:15" hidden="1" x14ac:dyDescent="0.25"/>
    <row r="45" spans="1:15" hidden="1" x14ac:dyDescent="0.25"/>
    <row r="46" spans="1:15" hidden="1" x14ac:dyDescent="0.25"/>
    <row r="47" spans="1:15" hidden="1" x14ac:dyDescent="0.25"/>
    <row r="48" spans="1:15" hidden="1" x14ac:dyDescent="0.25"/>
    <row r="49" spans="1:16" hidden="1" x14ac:dyDescent="0.25"/>
    <row r="50" spans="1:16" s="38" customFormat="1" hidden="1" x14ac:dyDescent="0.25">
      <c r="A50"/>
      <c r="B50"/>
      <c r="C50"/>
      <c r="D50"/>
      <c r="E50"/>
      <c r="F50"/>
      <c r="G50"/>
      <c r="H50"/>
      <c r="I50"/>
      <c r="J50"/>
      <c r="K50"/>
      <c r="L50"/>
      <c r="M50"/>
      <c r="N50"/>
    </row>
    <row r="51" spans="1:16" hidden="1" x14ac:dyDescent="0.25"/>
    <row r="52" spans="1:16" hidden="1" x14ac:dyDescent="0.25">
      <c r="A52" s="38"/>
      <c r="B52" s="38"/>
      <c r="C52" s="38"/>
      <c r="D52" s="38"/>
      <c r="E52" s="38"/>
      <c r="F52" s="38"/>
      <c r="G52" s="38"/>
      <c r="H52" s="38"/>
      <c r="I52" s="38"/>
      <c r="J52" s="38"/>
      <c r="K52" s="38"/>
      <c r="L52" s="38"/>
      <c r="M52" s="38"/>
      <c r="N52" s="38"/>
    </row>
    <row r="53" spans="1:16" hidden="1" x14ac:dyDescent="0.25"/>
    <row r="54" spans="1:16" hidden="1" x14ac:dyDescent="0.25"/>
    <row r="55" spans="1:16" hidden="1" x14ac:dyDescent="0.25"/>
    <row r="56" spans="1:16" s="38" customFormat="1" x14ac:dyDescent="0.25">
      <c r="A56"/>
      <c r="B56"/>
      <c r="C56"/>
      <c r="D56"/>
      <c r="E56"/>
      <c r="F56"/>
      <c r="G56"/>
      <c r="H56"/>
      <c r="I56"/>
      <c r="J56"/>
      <c r="K56"/>
      <c r="L56"/>
      <c r="M56"/>
      <c r="N56"/>
      <c r="P56" s="25"/>
    </row>
    <row r="57" spans="1:16" hidden="1" x14ac:dyDescent="0.25"/>
    <row r="58" spans="1:16" ht="31.5" x14ac:dyDescent="0.5">
      <c r="A58" s="42" t="s">
        <v>380</v>
      </c>
      <c r="B58" s="43"/>
      <c r="C58" s="43"/>
      <c r="D58" s="43"/>
      <c r="E58" s="43"/>
      <c r="F58" s="43"/>
      <c r="G58" s="43"/>
      <c r="H58" s="43"/>
      <c r="I58" s="43"/>
      <c r="J58" s="43"/>
      <c r="K58" s="43"/>
      <c r="L58" s="43"/>
      <c r="M58" s="43"/>
      <c r="N58" s="43"/>
      <c r="O58" s="43"/>
    </row>
    <row r="78" hidden="1" x14ac:dyDescent="0.25"/>
    <row r="79" hidden="1" x14ac:dyDescent="0.25"/>
    <row r="80" hidden="1" x14ac:dyDescent="0.25"/>
    <row r="81" spans="1:15" hidden="1" x14ac:dyDescent="0.25"/>
    <row r="82" spans="1:15" x14ac:dyDescent="0.25">
      <c r="A82" s="276" t="s">
        <v>395</v>
      </c>
      <c r="B82" s="18" t="s">
        <v>596</v>
      </c>
      <c r="H82" s="276" t="s">
        <v>395</v>
      </c>
      <c r="I82" s="18" t="s">
        <v>596</v>
      </c>
      <c r="J82" s="38"/>
      <c r="O82"/>
    </row>
    <row r="83" spans="1:15" x14ac:dyDescent="0.25">
      <c r="H83" s="38"/>
      <c r="I83" s="38"/>
      <c r="J83" s="38"/>
      <c r="O83"/>
    </row>
    <row r="84" spans="1:15" x14ac:dyDescent="0.25">
      <c r="A84" s="276" t="s">
        <v>414</v>
      </c>
      <c r="B84" s="18" t="s">
        <v>1294</v>
      </c>
      <c r="H84" s="18"/>
      <c r="I84" s="18" t="s">
        <v>1294</v>
      </c>
      <c r="O84"/>
    </row>
    <row r="85" spans="1:15" x14ac:dyDescent="0.25">
      <c r="A85" s="275" t="s">
        <v>453</v>
      </c>
      <c r="B85" s="277">
        <v>2603</v>
      </c>
      <c r="H85" s="275" t="s">
        <v>453</v>
      </c>
      <c r="I85" s="277">
        <v>2603</v>
      </c>
      <c r="O85"/>
    </row>
    <row r="86" spans="1:15" x14ac:dyDescent="0.25">
      <c r="A86" s="275" t="s">
        <v>452</v>
      </c>
      <c r="B86" s="277">
        <v>6961</v>
      </c>
      <c r="H86" s="275" t="s">
        <v>452</v>
      </c>
      <c r="I86" s="277">
        <v>6961</v>
      </c>
      <c r="O86"/>
    </row>
    <row r="87" spans="1:15" x14ac:dyDescent="0.25">
      <c r="A87" s="275" t="s">
        <v>569</v>
      </c>
      <c r="B87" s="277">
        <v>77</v>
      </c>
      <c r="H87" s="275" t="s">
        <v>569</v>
      </c>
      <c r="I87" s="277">
        <v>77</v>
      </c>
      <c r="O87"/>
    </row>
    <row r="88" spans="1:15" x14ac:dyDescent="0.25">
      <c r="A88" s="275" t="s">
        <v>570</v>
      </c>
      <c r="B88" s="277">
        <v>405</v>
      </c>
      <c r="H88" s="275" t="s">
        <v>570</v>
      </c>
      <c r="I88" s="277">
        <v>405</v>
      </c>
      <c r="O88"/>
    </row>
    <row r="89" spans="1:15" x14ac:dyDescent="0.25">
      <c r="A89" s="275" t="s">
        <v>572</v>
      </c>
      <c r="B89" s="277">
        <v>32</v>
      </c>
      <c r="H89" s="275" t="s">
        <v>572</v>
      </c>
      <c r="I89" s="277">
        <v>32</v>
      </c>
      <c r="O89"/>
    </row>
    <row r="90" spans="1:15" x14ac:dyDescent="0.25">
      <c r="A90" s="275" t="s">
        <v>592</v>
      </c>
      <c r="B90" s="277">
        <v>725</v>
      </c>
      <c r="H90" s="275" t="s">
        <v>592</v>
      </c>
      <c r="I90" s="277">
        <v>725</v>
      </c>
      <c r="O90"/>
    </row>
    <row r="91" spans="1:15" x14ac:dyDescent="0.25">
      <c r="A91" s="275" t="s">
        <v>846</v>
      </c>
      <c r="B91" s="277">
        <v>900</v>
      </c>
      <c r="H91" s="275" t="s">
        <v>846</v>
      </c>
      <c r="I91" s="277">
        <v>900</v>
      </c>
      <c r="O91"/>
    </row>
    <row r="92" spans="1:15" x14ac:dyDescent="0.25">
      <c r="A92" s="275" t="s">
        <v>847</v>
      </c>
      <c r="B92" s="277">
        <v>279</v>
      </c>
      <c r="H92" s="275" t="s">
        <v>847</v>
      </c>
      <c r="I92" s="277">
        <v>279</v>
      </c>
      <c r="O92"/>
    </row>
    <row r="93" spans="1:15" x14ac:dyDescent="0.25">
      <c r="A93" s="275" t="s">
        <v>848</v>
      </c>
      <c r="B93" s="277">
        <v>205</v>
      </c>
      <c r="H93" s="275" t="s">
        <v>848</v>
      </c>
      <c r="I93" s="277">
        <v>205</v>
      </c>
      <c r="O93"/>
    </row>
    <row r="94" spans="1:15" x14ac:dyDescent="0.25">
      <c r="A94" s="275" t="s">
        <v>849</v>
      </c>
      <c r="B94" s="277">
        <v>12</v>
      </c>
      <c r="H94" s="275" t="s">
        <v>849</v>
      </c>
      <c r="I94" s="277">
        <v>12</v>
      </c>
      <c r="O94"/>
    </row>
    <row r="95" spans="1:15" x14ac:dyDescent="0.25">
      <c r="A95" s="275" t="s">
        <v>850</v>
      </c>
      <c r="B95" s="277">
        <v>10</v>
      </c>
      <c r="H95" s="275" t="s">
        <v>850</v>
      </c>
      <c r="I95" s="277">
        <v>10</v>
      </c>
      <c r="O95"/>
    </row>
    <row r="96" spans="1:15" x14ac:dyDescent="0.25">
      <c r="A96" s="275" t="s">
        <v>862</v>
      </c>
      <c r="B96" s="277">
        <v>0</v>
      </c>
      <c r="H96" s="275" t="s">
        <v>862</v>
      </c>
      <c r="I96" s="277">
        <v>0</v>
      </c>
    </row>
    <row r="97" spans="1:9" x14ac:dyDescent="0.25">
      <c r="A97" s="275" t="s">
        <v>859</v>
      </c>
      <c r="B97" s="277">
        <v>122</v>
      </c>
      <c r="H97" s="275" t="s">
        <v>859</v>
      </c>
      <c r="I97" s="277">
        <v>122</v>
      </c>
    </row>
    <row r="98" spans="1:9" x14ac:dyDescent="0.25">
      <c r="A98" s="275" t="s">
        <v>1099</v>
      </c>
      <c r="B98" s="277">
        <v>20</v>
      </c>
      <c r="H98" s="275" t="s">
        <v>1099</v>
      </c>
      <c r="I98" s="277">
        <v>20</v>
      </c>
    </row>
    <row r="99" spans="1:9" x14ac:dyDescent="0.25">
      <c r="A99" s="275" t="s">
        <v>1097</v>
      </c>
      <c r="B99" s="277">
        <v>269</v>
      </c>
      <c r="H99" s="275" t="s">
        <v>1097</v>
      </c>
      <c r="I99" s="277">
        <v>269</v>
      </c>
    </row>
    <row r="100" spans="1:9" x14ac:dyDescent="0.25">
      <c r="A100" s="275" t="s">
        <v>901</v>
      </c>
      <c r="B100" s="277">
        <v>350</v>
      </c>
      <c r="H100" s="275" t="s">
        <v>901</v>
      </c>
      <c r="I100" s="277">
        <v>350</v>
      </c>
    </row>
    <row r="101" spans="1:9" x14ac:dyDescent="0.25">
      <c r="A101" s="275" t="s">
        <v>938</v>
      </c>
      <c r="B101" s="277">
        <v>0</v>
      </c>
      <c r="H101" s="275" t="s">
        <v>938</v>
      </c>
      <c r="I101" s="277">
        <v>0</v>
      </c>
    </row>
    <row r="102" spans="1:9" x14ac:dyDescent="0.25">
      <c r="A102" s="275" t="s">
        <v>415</v>
      </c>
      <c r="B102" s="277">
        <v>12970</v>
      </c>
      <c r="H102" s="275" t="s">
        <v>415</v>
      </c>
      <c r="I102" s="277">
        <v>12970</v>
      </c>
    </row>
  </sheetData>
  <sortState ref="A23:O41">
    <sortCondition ref="A22"/>
  </sortState>
  <mergeCells count="1">
    <mergeCell ref="A2:C2"/>
  </mergeCells>
  <conditionalFormatting sqref="N7:N29">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8" max="16383" man="1"/>
    <brk id="29" max="16383"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topLeftCell="A4" zoomScale="80" zoomScaleNormal="80" workbookViewId="0">
      <selection activeCell="B9" sqref="B9"/>
    </sheetView>
  </sheetViews>
  <sheetFormatPr defaultColWidth="23.85546875" defaultRowHeight="15" x14ac:dyDescent="0.25"/>
  <cols>
    <col min="1" max="1" width="20.85546875" style="30" customWidth="1"/>
    <col min="2" max="2" width="22.42578125" style="30" customWidth="1"/>
    <col min="3" max="5" width="25.140625" style="30" customWidth="1"/>
    <col min="6" max="16384" width="23.85546875" style="30"/>
  </cols>
  <sheetData>
    <row r="1" spans="1:59" s="1" customFormat="1" ht="36" x14ac:dyDescent="0.25">
      <c r="A1" s="231"/>
      <c r="B1" s="232"/>
      <c r="C1" s="232"/>
      <c r="D1" s="232"/>
      <c r="E1" s="232"/>
      <c r="F1" s="233"/>
      <c r="BF1" s="46"/>
      <c r="BG1" s="46"/>
    </row>
    <row r="2" spans="1:59" s="1" customFormat="1" ht="56.25" customHeight="1" x14ac:dyDescent="0.25">
      <c r="A2" s="871" t="s">
        <v>461</v>
      </c>
      <c r="B2" s="872"/>
      <c r="C2" s="872"/>
      <c r="D2" s="45"/>
      <c r="E2" s="45"/>
      <c r="F2" s="243"/>
      <c r="BF2" s="46"/>
      <c r="BG2" s="46"/>
    </row>
    <row r="3" spans="1:59" s="15" customFormat="1" ht="18" customHeight="1" x14ac:dyDescent="0.25">
      <c r="A3" s="873">
        <f>Definition!B23</f>
        <v>42736</v>
      </c>
      <c r="B3" s="874"/>
      <c r="C3" s="874"/>
      <c r="D3" s="874"/>
      <c r="E3" s="874"/>
      <c r="F3" s="875"/>
      <c r="G3" s="33"/>
      <c r="H3" s="33"/>
      <c r="I3" s="33"/>
      <c r="J3" s="33"/>
      <c r="L3" s="33"/>
      <c r="M3" s="33"/>
      <c r="N3" s="33"/>
      <c r="O3" s="33"/>
      <c r="P3" s="33"/>
      <c r="Q3" s="33"/>
      <c r="R3" s="33"/>
      <c r="S3" s="47"/>
      <c r="T3" s="33"/>
      <c r="U3" s="33"/>
      <c r="BF3" s="47"/>
      <c r="BG3" s="47"/>
    </row>
    <row r="4" spans="1:59" ht="15" customHeight="1" x14ac:dyDescent="0.25"/>
    <row r="5" spans="1:59" x14ac:dyDescent="0.25">
      <c r="A5" s="421" t="s">
        <v>395</v>
      </c>
      <c r="B5" s="421" t="s">
        <v>596</v>
      </c>
      <c r="C5" s="260" t="s">
        <v>421</v>
      </c>
      <c r="E5" s="375" t="s">
        <v>395</v>
      </c>
      <c r="F5" s="376" t="s">
        <v>596</v>
      </c>
      <c r="G5"/>
    </row>
    <row r="6" spans="1:59" x14ac:dyDescent="0.25">
      <c r="E6" s="39"/>
      <c r="F6" s="39"/>
    </row>
    <row r="7" spans="1:59" x14ac:dyDescent="0.25">
      <c r="A7" s="375" t="s">
        <v>414</v>
      </c>
      <c r="B7" s="364" t="s">
        <v>1295</v>
      </c>
      <c r="C7" s="365" t="s">
        <v>1296</v>
      </c>
      <c r="D7"/>
      <c r="E7" s="375" t="s">
        <v>414</v>
      </c>
      <c r="F7" s="376" t="s">
        <v>1294</v>
      </c>
      <c r="H7"/>
      <c r="I7"/>
    </row>
    <row r="8" spans="1:59" x14ac:dyDescent="0.25">
      <c r="A8" s="403" t="s">
        <v>592</v>
      </c>
      <c r="B8" s="405">
        <v>1041</v>
      </c>
      <c r="C8" s="417"/>
      <c r="D8"/>
      <c r="E8" s="403" t="s">
        <v>592</v>
      </c>
      <c r="F8" s="405">
        <v>725</v>
      </c>
      <c r="H8"/>
      <c r="I8"/>
    </row>
    <row r="9" spans="1:59" x14ac:dyDescent="0.25">
      <c r="A9" s="424" t="s">
        <v>847</v>
      </c>
      <c r="B9" s="433">
        <v>289</v>
      </c>
      <c r="C9" s="410"/>
      <c r="D9"/>
      <c r="E9" s="424" t="s">
        <v>847</v>
      </c>
      <c r="F9" s="433">
        <v>279</v>
      </c>
      <c r="G9"/>
      <c r="H9"/>
      <c r="I9"/>
      <c r="J9"/>
      <c r="K9"/>
      <c r="L9"/>
      <c r="M9"/>
      <c r="N9"/>
      <c r="O9"/>
      <c r="P9"/>
      <c r="Q9"/>
    </row>
    <row r="10" spans="1:59" x14ac:dyDescent="0.25">
      <c r="A10" s="424" t="s">
        <v>1099</v>
      </c>
      <c r="B10" s="433">
        <v>20</v>
      </c>
      <c r="C10" s="410"/>
      <c r="D10"/>
      <c r="E10" s="424" t="s">
        <v>1099</v>
      </c>
      <c r="F10" s="433">
        <v>20</v>
      </c>
      <c r="G10"/>
      <c r="H10"/>
      <c r="I10"/>
      <c r="J10"/>
      <c r="K10"/>
      <c r="L10"/>
      <c r="M10"/>
      <c r="N10"/>
      <c r="O10"/>
      <c r="P10"/>
      <c r="Q10"/>
    </row>
    <row r="11" spans="1:59" x14ac:dyDescent="0.25">
      <c r="A11" s="424" t="s">
        <v>901</v>
      </c>
      <c r="B11" s="433">
        <v>350</v>
      </c>
      <c r="C11" s="410"/>
      <c r="D11"/>
      <c r="E11" s="424" t="s">
        <v>901</v>
      </c>
      <c r="F11" s="433">
        <v>350</v>
      </c>
      <c r="G11"/>
      <c r="H11"/>
      <c r="I11"/>
      <c r="J11"/>
      <c r="K11"/>
      <c r="L11"/>
      <c r="M11"/>
      <c r="N11"/>
      <c r="O11"/>
      <c r="P11"/>
      <c r="Q11"/>
    </row>
    <row r="12" spans="1:59" x14ac:dyDescent="0.25">
      <c r="A12" s="424" t="s">
        <v>453</v>
      </c>
      <c r="B12" s="433">
        <v>3211</v>
      </c>
      <c r="C12" s="410"/>
      <c r="D12"/>
      <c r="E12" s="424" t="s">
        <v>453</v>
      </c>
      <c r="F12" s="433">
        <v>2603</v>
      </c>
      <c r="H12"/>
      <c r="I12"/>
    </row>
    <row r="13" spans="1:59" s="38" customFormat="1" x14ac:dyDescent="0.25">
      <c r="A13" s="424" t="s">
        <v>1097</v>
      </c>
      <c r="B13" s="433">
        <v>269</v>
      </c>
      <c r="C13" s="410"/>
      <c r="D13"/>
      <c r="E13" s="424" t="s">
        <v>1097</v>
      </c>
      <c r="F13" s="433">
        <v>269</v>
      </c>
    </row>
    <row r="14" spans="1:59" x14ac:dyDescent="0.25">
      <c r="A14" s="424" t="s">
        <v>572</v>
      </c>
      <c r="B14" s="433">
        <v>32</v>
      </c>
      <c r="C14" s="410"/>
      <c r="D14"/>
      <c r="E14" s="424" t="s">
        <v>572</v>
      </c>
      <c r="F14" s="433">
        <v>32</v>
      </c>
      <c r="H14"/>
      <c r="I14"/>
    </row>
    <row r="15" spans="1:59" x14ac:dyDescent="0.25">
      <c r="A15" s="424" t="s">
        <v>848</v>
      </c>
      <c r="B15" s="433">
        <v>205</v>
      </c>
      <c r="C15" s="410"/>
      <c r="D15"/>
      <c r="E15" s="424" t="s">
        <v>848</v>
      </c>
      <c r="F15" s="433">
        <v>205</v>
      </c>
      <c r="H15"/>
      <c r="I15"/>
    </row>
    <row r="16" spans="1:59" x14ac:dyDescent="0.25">
      <c r="A16" s="424" t="s">
        <v>846</v>
      </c>
      <c r="B16" s="433">
        <v>933</v>
      </c>
      <c r="C16" s="410"/>
      <c r="D16"/>
      <c r="E16" s="424" t="s">
        <v>846</v>
      </c>
      <c r="F16" s="433">
        <v>900</v>
      </c>
      <c r="H16"/>
      <c r="I16"/>
    </row>
    <row r="17" spans="1:9" x14ac:dyDescent="0.25">
      <c r="A17" s="424" t="s">
        <v>849</v>
      </c>
      <c r="B17" s="433">
        <v>12</v>
      </c>
      <c r="C17" s="410"/>
      <c r="D17"/>
      <c r="E17" s="424" t="s">
        <v>849</v>
      </c>
      <c r="F17" s="433">
        <v>12</v>
      </c>
      <c r="H17"/>
      <c r="I17"/>
    </row>
    <row r="18" spans="1:9" x14ac:dyDescent="0.25">
      <c r="A18" s="424" t="s">
        <v>570</v>
      </c>
      <c r="B18" s="433">
        <v>420</v>
      </c>
      <c r="C18" s="410"/>
      <c r="D18"/>
      <c r="E18" s="424" t="s">
        <v>570</v>
      </c>
      <c r="F18" s="433">
        <v>405</v>
      </c>
      <c r="H18"/>
      <c r="I18"/>
    </row>
    <row r="19" spans="1:9" x14ac:dyDescent="0.25">
      <c r="A19" s="424" t="s">
        <v>452</v>
      </c>
      <c r="B19" s="433">
        <v>7397</v>
      </c>
      <c r="C19" s="410">
        <v>40</v>
      </c>
      <c r="D19"/>
      <c r="E19" s="424" t="s">
        <v>452</v>
      </c>
      <c r="F19" s="433">
        <v>6961</v>
      </c>
    </row>
    <row r="20" spans="1:9" x14ac:dyDescent="0.25">
      <c r="A20" s="424" t="s">
        <v>569</v>
      </c>
      <c r="B20" s="433">
        <v>87</v>
      </c>
      <c r="C20" s="410"/>
      <c r="D20"/>
      <c r="E20" s="424" t="s">
        <v>569</v>
      </c>
      <c r="F20" s="433">
        <v>77</v>
      </c>
    </row>
    <row r="21" spans="1:9" x14ac:dyDescent="0.25">
      <c r="A21" s="424" t="s">
        <v>850</v>
      </c>
      <c r="B21" s="433">
        <v>10</v>
      </c>
      <c r="C21" s="410"/>
      <c r="D21"/>
      <c r="E21" s="424" t="s">
        <v>850</v>
      </c>
      <c r="F21" s="433">
        <v>10</v>
      </c>
    </row>
    <row r="22" spans="1:9" x14ac:dyDescent="0.25">
      <c r="A22" s="403" t="s">
        <v>415</v>
      </c>
      <c r="B22" s="405">
        <v>14276</v>
      </c>
      <c r="C22" s="417">
        <v>40</v>
      </c>
      <c r="D22"/>
      <c r="E22" s="403" t="s">
        <v>415</v>
      </c>
      <c r="F22" s="405">
        <v>12848</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39"/>
      <c r="F31"/>
      <c r="G31"/>
    </row>
    <row r="32" spans="1:9" x14ac:dyDescent="0.25">
      <c r="A32"/>
      <c r="B32"/>
      <c r="C32"/>
      <c r="D32"/>
      <c r="E32" s="39"/>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421" t="s">
        <v>395</v>
      </c>
      <c r="B59" s="421" t="s">
        <v>596</v>
      </c>
      <c r="C59" s="190"/>
      <c r="D59"/>
      <c r="E59"/>
      <c r="F59"/>
    </row>
    <row r="60" spans="1:6" x14ac:dyDescent="0.25">
      <c r="A60" s="427" t="s">
        <v>0</v>
      </c>
      <c r="B60" s="421" t="s">
        <v>5</v>
      </c>
      <c r="C60" s="191"/>
      <c r="D60"/>
      <c r="E60"/>
      <c r="F60"/>
    </row>
    <row r="61" spans="1:6" x14ac:dyDescent="0.25">
      <c r="A61" s="421" t="s">
        <v>498</v>
      </c>
      <c r="B61" s="421" t="s">
        <v>1122</v>
      </c>
      <c r="C61" s="194" t="s">
        <v>421</v>
      </c>
      <c r="D61"/>
      <c r="E61"/>
    </row>
    <row r="62" spans="1:6" x14ac:dyDescent="0.25">
      <c r="A62" s="92"/>
      <c r="B62" s="92"/>
      <c r="C62" s="92"/>
      <c r="D62"/>
      <c r="E62"/>
    </row>
    <row r="63" spans="1:6" x14ac:dyDescent="0.25">
      <c r="A63" s="276" t="s">
        <v>414</v>
      </c>
      <c r="B63" s="18" t="s">
        <v>1242</v>
      </c>
      <c r="C63"/>
      <c r="D63"/>
      <c r="E63"/>
    </row>
    <row r="64" spans="1:6" x14ac:dyDescent="0.25">
      <c r="A64" s="275" t="s">
        <v>6</v>
      </c>
      <c r="B64" s="434">
        <v>0.16536964980544747</v>
      </c>
      <c r="C64"/>
      <c r="D64"/>
      <c r="E64"/>
    </row>
    <row r="65" spans="1:5" x14ac:dyDescent="0.25">
      <c r="A65" s="275" t="s">
        <v>512</v>
      </c>
      <c r="B65" s="434">
        <v>1.75</v>
      </c>
      <c r="C65"/>
      <c r="D65"/>
      <c r="E65"/>
    </row>
    <row r="66" spans="1:5" x14ac:dyDescent="0.25">
      <c r="A66" s="275" t="s">
        <v>14</v>
      </c>
      <c r="B66" s="434">
        <v>0.5</v>
      </c>
      <c r="C66"/>
      <c r="D66"/>
      <c r="E66"/>
    </row>
    <row r="67" spans="1:5" x14ac:dyDescent="0.25">
      <c r="A67" s="275" t="s">
        <v>18</v>
      </c>
      <c r="B67" s="434">
        <v>0.10991379310344829</v>
      </c>
      <c r="C67"/>
      <c r="D67"/>
      <c r="E67"/>
    </row>
    <row r="68" spans="1:5" x14ac:dyDescent="0.25">
      <c r="A68" s="275" t="s">
        <v>8</v>
      </c>
      <c r="B68" s="434">
        <v>0.6428571428571429</v>
      </c>
      <c r="C68"/>
      <c r="D68"/>
      <c r="E68"/>
    </row>
    <row r="69" spans="1:5" x14ac:dyDescent="0.25">
      <c r="A69" s="275" t="s">
        <v>20</v>
      </c>
      <c r="B69" s="434">
        <v>0.47619047619047616</v>
      </c>
      <c r="C69"/>
      <c r="D69"/>
      <c r="E69"/>
    </row>
    <row r="70" spans="1:5" x14ac:dyDescent="0.25">
      <c r="A70" s="275" t="s">
        <v>366</v>
      </c>
      <c r="B70" s="434">
        <v>0.20588235294117646</v>
      </c>
      <c r="C70"/>
      <c r="D70"/>
      <c r="E70"/>
    </row>
    <row r="71" spans="1:5" x14ac:dyDescent="0.25">
      <c r="A71" s="275" t="s">
        <v>22</v>
      </c>
      <c r="B71" s="434">
        <v>9.6987676859881328E-2</v>
      </c>
      <c r="C71"/>
      <c r="D71"/>
      <c r="E71"/>
    </row>
    <row r="72" spans="1:5" x14ac:dyDescent="0.25">
      <c r="A72" s="275" t="s">
        <v>24</v>
      </c>
      <c r="B72" s="434">
        <v>1.3095238095238095</v>
      </c>
      <c r="C72"/>
      <c r="D72"/>
      <c r="E72"/>
    </row>
    <row r="73" spans="1:5" x14ac:dyDescent="0.25">
      <c r="A73" s="275" t="s">
        <v>26</v>
      </c>
      <c r="B73" s="434">
        <v>0.76</v>
      </c>
      <c r="C73"/>
      <c r="D73"/>
      <c r="E73"/>
    </row>
    <row r="74" spans="1:5" x14ac:dyDescent="0.25">
      <c r="A74" s="275" t="s">
        <v>415</v>
      </c>
      <c r="B74" s="434">
        <v>0.42497795877799011</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 zoomScale="90" zoomScaleNormal="90" workbookViewId="0">
      <selection activeCell="C11" sqref="C11"/>
    </sheetView>
  </sheetViews>
  <sheetFormatPr defaultRowHeight="15" x14ac:dyDescent="0.25"/>
  <cols>
    <col min="1" max="1" width="14.28515625" customWidth="1"/>
    <col min="2" max="2" width="25.28515625" style="84"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42578125" customWidth="1"/>
    <col min="13" max="13" width="13.7109375" customWidth="1"/>
  </cols>
  <sheetData>
    <row r="1" spans="1:13" x14ac:dyDescent="0.25">
      <c r="A1" s="276" t="s">
        <v>498</v>
      </c>
      <c r="B1" s="18" t="s">
        <v>1122</v>
      </c>
      <c r="H1" s="480" t="s">
        <v>498</v>
      </c>
      <c r="I1" s="504" t="s">
        <v>500</v>
      </c>
    </row>
    <row r="2" spans="1:13" x14ac:dyDescent="0.25">
      <c r="H2" s="480" t="s">
        <v>401</v>
      </c>
      <c r="I2" s="504" t="s">
        <v>554</v>
      </c>
    </row>
    <row r="3" spans="1:13" x14ac:dyDescent="0.25">
      <c r="A3" s="398" t="s">
        <v>0</v>
      </c>
      <c r="B3" s="399" t="s">
        <v>558</v>
      </c>
      <c r="C3" s="285" t="s">
        <v>510</v>
      </c>
      <c r="D3" s="283" t="s">
        <v>1006</v>
      </c>
    </row>
    <row r="4" spans="1:13" x14ac:dyDescent="0.25">
      <c r="A4" s="411" t="s">
        <v>5</v>
      </c>
      <c r="B4" s="411" t="s">
        <v>21</v>
      </c>
      <c r="C4" s="18" t="s">
        <v>22</v>
      </c>
      <c r="D4" s="428">
        <v>0.67891373801916932</v>
      </c>
      <c r="H4" s="505" t="s">
        <v>414</v>
      </c>
      <c r="I4" s="506" t="s">
        <v>868</v>
      </c>
      <c r="J4" s="507" t="s">
        <v>1127</v>
      </c>
      <c r="K4" s="411" t="s">
        <v>1125</v>
      </c>
      <c r="L4" s="364" t="s">
        <v>1128</v>
      </c>
      <c r="M4" s="411" t="s">
        <v>1129</v>
      </c>
    </row>
    <row r="5" spans="1:13" x14ac:dyDescent="0.25">
      <c r="A5" s="281"/>
      <c r="B5" s="281" t="s">
        <v>17</v>
      </c>
      <c r="C5" s="18" t="s">
        <v>18</v>
      </c>
      <c r="D5" s="429">
        <v>0.87931034482758619</v>
      </c>
      <c r="H5" s="508" t="s">
        <v>5</v>
      </c>
      <c r="I5" s="509"/>
      <c r="J5" s="510"/>
      <c r="K5" s="410"/>
      <c r="L5" s="423"/>
      <c r="M5" s="425"/>
    </row>
    <row r="6" spans="1:13" x14ac:dyDescent="0.25">
      <c r="A6" s="281"/>
      <c r="B6" s="281" t="s">
        <v>4</v>
      </c>
      <c r="C6" s="18" t="s">
        <v>6</v>
      </c>
      <c r="D6" s="429">
        <v>0.66147859922178998</v>
      </c>
      <c r="H6" s="511" t="s">
        <v>5</v>
      </c>
      <c r="I6" s="509">
        <v>1273</v>
      </c>
      <c r="J6" s="510">
        <v>340</v>
      </c>
      <c r="K6" s="410">
        <v>273</v>
      </c>
      <c r="L6" s="423">
        <v>0.26708562450903378</v>
      </c>
      <c r="M6" s="425">
        <v>0.21445404556166536</v>
      </c>
    </row>
    <row r="7" spans="1:13" x14ac:dyDescent="0.25">
      <c r="A7" s="281"/>
      <c r="B7" s="281" t="s">
        <v>13</v>
      </c>
      <c r="C7" s="18" t="s">
        <v>14</v>
      </c>
      <c r="D7" s="429">
        <v>1</v>
      </c>
      <c r="H7" s="512" t="s">
        <v>22</v>
      </c>
      <c r="I7" s="513">
        <v>626</v>
      </c>
      <c r="J7" s="514">
        <v>201</v>
      </c>
      <c r="K7" s="415">
        <v>201</v>
      </c>
      <c r="L7" s="414">
        <v>0.32108626198083068</v>
      </c>
      <c r="M7" s="418">
        <v>0.32108626198083068</v>
      </c>
    </row>
    <row r="8" spans="1:13" x14ac:dyDescent="0.25">
      <c r="A8" s="281"/>
      <c r="B8" s="281" t="s">
        <v>25</v>
      </c>
      <c r="C8" s="18" t="s">
        <v>26</v>
      </c>
      <c r="D8" s="429">
        <v>3.8</v>
      </c>
      <c r="H8" s="515" t="s">
        <v>6</v>
      </c>
      <c r="I8" s="516">
        <v>257</v>
      </c>
      <c r="J8" s="517">
        <v>87</v>
      </c>
      <c r="K8" s="416">
        <v>20</v>
      </c>
      <c r="L8" s="412">
        <v>0.33852140077821014</v>
      </c>
      <c r="M8" s="419">
        <v>7.7821011673151752E-2</v>
      </c>
    </row>
    <row r="9" spans="1:13" x14ac:dyDescent="0.25">
      <c r="A9" s="281"/>
      <c r="B9" s="281" t="s">
        <v>19</v>
      </c>
      <c r="C9" s="18" t="s">
        <v>20</v>
      </c>
      <c r="D9" s="429">
        <v>0.47619047619047616</v>
      </c>
      <c r="H9" s="515" t="s">
        <v>366</v>
      </c>
      <c r="I9" s="516">
        <v>153</v>
      </c>
      <c r="J9" s="517">
        <v>27</v>
      </c>
      <c r="K9" s="416">
        <v>27</v>
      </c>
      <c r="L9" s="412">
        <v>0.17647058823529413</v>
      </c>
      <c r="M9" s="419">
        <v>0.17647058823529413</v>
      </c>
    </row>
    <row r="10" spans="1:13" x14ac:dyDescent="0.25">
      <c r="A10" s="281"/>
      <c r="B10" s="281" t="s">
        <v>23</v>
      </c>
      <c r="C10" s="18" t="s">
        <v>24</v>
      </c>
      <c r="D10" s="429">
        <v>2.6190476190476191</v>
      </c>
      <c r="H10" s="515" t="s">
        <v>18</v>
      </c>
      <c r="I10" s="516">
        <v>116</v>
      </c>
      <c r="J10" s="517">
        <v>14</v>
      </c>
      <c r="K10" s="416">
        <v>14</v>
      </c>
      <c r="L10" s="412">
        <v>0.1206896551724138</v>
      </c>
      <c r="M10" s="419">
        <v>0.1206896551724138</v>
      </c>
    </row>
    <row r="11" spans="1:13" x14ac:dyDescent="0.25">
      <c r="A11" s="281"/>
      <c r="B11" s="281" t="s">
        <v>376</v>
      </c>
      <c r="C11" s="18" t="s">
        <v>366</v>
      </c>
      <c r="D11" s="429">
        <v>0.82352941176470584</v>
      </c>
      <c r="H11" s="515" t="s">
        <v>20</v>
      </c>
      <c r="I11" s="516">
        <v>21</v>
      </c>
      <c r="J11" s="517">
        <v>11</v>
      </c>
      <c r="K11" s="416">
        <v>11</v>
      </c>
      <c r="L11" s="412">
        <v>0.52380952380952384</v>
      </c>
      <c r="M11" s="419">
        <v>0.52380952380952384</v>
      </c>
    </row>
    <row r="12" spans="1:13" x14ac:dyDescent="0.25">
      <c r="A12" s="281"/>
      <c r="B12" s="281" t="s">
        <v>7</v>
      </c>
      <c r="C12" s="18" t="s">
        <v>8</v>
      </c>
      <c r="D12" s="429">
        <v>1.2857142857142858</v>
      </c>
      <c r="H12" s="515" t="s">
        <v>24</v>
      </c>
      <c r="I12" s="516">
        <v>21</v>
      </c>
      <c r="J12" s="517">
        <v>0</v>
      </c>
      <c r="K12" s="416">
        <v>0</v>
      </c>
      <c r="L12" s="412">
        <v>0</v>
      </c>
      <c r="M12" s="419">
        <v>0</v>
      </c>
    </row>
    <row r="13" spans="1:13" x14ac:dyDescent="0.25">
      <c r="A13" s="282"/>
      <c r="B13" s="282" t="s">
        <v>377</v>
      </c>
      <c r="C13" s="18" t="s">
        <v>512</v>
      </c>
      <c r="D13" s="430">
        <v>3.5</v>
      </c>
      <c r="H13" s="515" t="s">
        <v>512</v>
      </c>
      <c r="I13" s="516">
        <v>12</v>
      </c>
      <c r="J13" s="517">
        <v>0</v>
      </c>
      <c r="K13" s="416">
        <v>0</v>
      </c>
      <c r="L13" s="412">
        <v>0</v>
      </c>
      <c r="M13" s="419">
        <v>0</v>
      </c>
    </row>
    <row r="14" spans="1:13" x14ac:dyDescent="0.25">
      <c r="A14" s="281" t="s">
        <v>27</v>
      </c>
      <c r="B14" s="281" t="s">
        <v>30</v>
      </c>
      <c r="C14" s="282" t="s">
        <v>28</v>
      </c>
      <c r="D14" s="429">
        <v>0.97272727272727266</v>
      </c>
      <c r="H14" s="515" t="s">
        <v>14</v>
      </c>
      <c r="I14" s="516">
        <v>38</v>
      </c>
      <c r="J14" s="517">
        <v>0</v>
      </c>
      <c r="K14" s="416">
        <v>0</v>
      </c>
      <c r="L14" s="412">
        <v>0</v>
      </c>
      <c r="M14" s="419">
        <v>0</v>
      </c>
    </row>
    <row r="15" spans="1:13" x14ac:dyDescent="0.25">
      <c r="A15" s="281"/>
      <c r="B15" s="281" t="s">
        <v>378</v>
      </c>
      <c r="C15" s="282" t="s">
        <v>365</v>
      </c>
      <c r="D15" s="429">
        <v>0.51048951048951052</v>
      </c>
      <c r="H15" s="515" t="s">
        <v>26</v>
      </c>
      <c r="I15" s="516">
        <v>15</v>
      </c>
      <c r="J15" s="517">
        <v>0</v>
      </c>
      <c r="K15" s="416">
        <v>0</v>
      </c>
      <c r="L15" s="412">
        <v>0</v>
      </c>
      <c r="M15" s="419">
        <v>0</v>
      </c>
    </row>
    <row r="16" spans="1:13" x14ac:dyDescent="0.25">
      <c r="A16" s="281"/>
      <c r="B16" s="282" t="s">
        <v>863</v>
      </c>
      <c r="C16" s="282" t="s">
        <v>864</v>
      </c>
      <c r="D16" s="430">
        <v>0</v>
      </c>
      <c r="H16" s="518" t="s">
        <v>8</v>
      </c>
      <c r="I16" s="519">
        <v>14</v>
      </c>
      <c r="J16" s="520">
        <v>0</v>
      </c>
      <c r="K16" s="417">
        <v>0</v>
      </c>
      <c r="L16" s="413">
        <v>0</v>
      </c>
      <c r="M16" s="420">
        <v>0</v>
      </c>
    </row>
    <row r="17" spans="1:13" x14ac:dyDescent="0.25">
      <c r="A17" s="281"/>
      <c r="B17" s="334" t="s">
        <v>29</v>
      </c>
      <c r="C17" s="334" t="s">
        <v>364</v>
      </c>
      <c r="D17" s="284">
        <v>0</v>
      </c>
      <c r="H17" s="521" t="s">
        <v>27</v>
      </c>
      <c r="I17" s="519"/>
      <c r="J17" s="520"/>
      <c r="K17" s="417"/>
      <c r="L17" s="413"/>
      <c r="M17" s="420"/>
    </row>
    <row r="18" spans="1:13" x14ac:dyDescent="0.25">
      <c r="A18" s="282"/>
      <c r="B18" s="334" t="s">
        <v>1020</v>
      </c>
      <c r="C18" s="334" t="s">
        <v>1019</v>
      </c>
      <c r="D18" s="284">
        <v>0</v>
      </c>
      <c r="H18" s="525" t="s">
        <v>27</v>
      </c>
      <c r="I18" s="519">
        <v>500</v>
      </c>
      <c r="J18" s="520">
        <v>320</v>
      </c>
      <c r="K18" s="417">
        <v>320</v>
      </c>
      <c r="L18" s="413">
        <v>0.64</v>
      </c>
      <c r="M18" s="420">
        <v>0.64</v>
      </c>
    </row>
    <row r="19" spans="1:13" x14ac:dyDescent="0.25">
      <c r="A19" s="281" t="s">
        <v>527</v>
      </c>
      <c r="B19" s="281" t="s">
        <v>1007</v>
      </c>
      <c r="C19" s="281" t="s">
        <v>899</v>
      </c>
      <c r="D19" s="429">
        <v>0</v>
      </c>
      <c r="H19" s="522" t="s">
        <v>364</v>
      </c>
      <c r="I19" s="516">
        <v>155</v>
      </c>
      <c r="J19" s="517">
        <v>155</v>
      </c>
      <c r="K19" s="416">
        <v>155</v>
      </c>
      <c r="L19" s="412">
        <v>1</v>
      </c>
      <c r="M19" s="419">
        <v>1</v>
      </c>
    </row>
    <row r="20" spans="1:13" x14ac:dyDescent="0.25">
      <c r="A20" s="281"/>
      <c r="B20" s="281"/>
      <c r="C20" s="282" t="s">
        <v>859</v>
      </c>
      <c r="D20" s="429">
        <v>0</v>
      </c>
      <c r="H20" s="523" t="s">
        <v>365</v>
      </c>
      <c r="I20" s="516">
        <v>143</v>
      </c>
      <c r="J20" s="517">
        <v>70</v>
      </c>
      <c r="K20" s="416">
        <v>70</v>
      </c>
      <c r="L20" s="412">
        <v>0.48951048951048953</v>
      </c>
      <c r="M20" s="419">
        <v>0.48951048951048953</v>
      </c>
    </row>
    <row r="21" spans="1:13" x14ac:dyDescent="0.25">
      <c r="A21" s="281"/>
      <c r="B21" s="281" t="s">
        <v>99</v>
      </c>
      <c r="C21" s="282" t="s">
        <v>100</v>
      </c>
      <c r="D21" s="429">
        <v>2.5</v>
      </c>
      <c r="H21" s="523" t="s">
        <v>864</v>
      </c>
      <c r="I21" s="516">
        <v>61</v>
      </c>
      <c r="J21" s="517">
        <v>61</v>
      </c>
      <c r="K21" s="416">
        <v>61</v>
      </c>
      <c r="L21" s="412">
        <v>1</v>
      </c>
      <c r="M21" s="419">
        <v>1</v>
      </c>
    </row>
    <row r="22" spans="1:13" x14ac:dyDescent="0.25">
      <c r="A22" s="281"/>
      <c r="B22" s="281" t="s">
        <v>107</v>
      </c>
      <c r="C22" s="282" t="s">
        <v>108</v>
      </c>
      <c r="D22" s="429">
        <v>1.0784313725490196</v>
      </c>
      <c r="H22" s="523" t="s">
        <v>1019</v>
      </c>
      <c r="I22" s="516">
        <v>31</v>
      </c>
      <c r="J22" s="517">
        <v>31</v>
      </c>
      <c r="K22" s="416">
        <v>31</v>
      </c>
      <c r="L22" s="412">
        <v>1</v>
      </c>
      <c r="M22" s="419">
        <v>1</v>
      </c>
    </row>
    <row r="23" spans="1:13" x14ac:dyDescent="0.25">
      <c r="A23" s="281"/>
      <c r="B23" s="281" t="s">
        <v>139</v>
      </c>
      <c r="C23" s="282" t="s">
        <v>140</v>
      </c>
      <c r="D23" s="429">
        <v>0.83333333333333337</v>
      </c>
      <c r="H23" s="524" t="s">
        <v>28</v>
      </c>
      <c r="I23" s="519">
        <v>110</v>
      </c>
      <c r="J23" s="520">
        <v>3</v>
      </c>
      <c r="K23" s="417">
        <v>3</v>
      </c>
      <c r="L23" s="413">
        <v>2.7272727272727271E-2</v>
      </c>
      <c r="M23" s="420">
        <v>2.7272727272727271E-2</v>
      </c>
    </row>
    <row r="24" spans="1:13" x14ac:dyDescent="0.25">
      <c r="A24" s="281"/>
      <c r="B24" s="281" t="s">
        <v>71</v>
      </c>
      <c r="C24" s="282" t="s">
        <v>72</v>
      </c>
      <c r="D24" s="429">
        <v>1</v>
      </c>
      <c r="H24" s="521" t="s">
        <v>527</v>
      </c>
      <c r="I24" s="519"/>
      <c r="J24" s="520"/>
      <c r="K24" s="417"/>
      <c r="L24" s="413"/>
      <c r="M24" s="420"/>
    </row>
    <row r="25" spans="1:13" x14ac:dyDescent="0.25">
      <c r="A25" s="281"/>
      <c r="B25" s="281" t="s">
        <v>51</v>
      </c>
      <c r="C25" s="282" t="s">
        <v>52</v>
      </c>
      <c r="D25" s="429">
        <v>0.52631578947368418</v>
      </c>
      <c r="H25" s="525" t="s">
        <v>527</v>
      </c>
      <c r="I25" s="519">
        <v>787</v>
      </c>
      <c r="J25" s="520">
        <v>391</v>
      </c>
      <c r="K25" s="417">
        <v>391</v>
      </c>
      <c r="L25" s="413">
        <v>0.49682337992376113</v>
      </c>
      <c r="M25" s="420">
        <v>0.49682337992376113</v>
      </c>
    </row>
    <row r="26" spans="1:13" x14ac:dyDescent="0.25">
      <c r="A26" s="281"/>
      <c r="B26" s="281" t="s">
        <v>75</v>
      </c>
      <c r="C26" s="282" t="s">
        <v>76</v>
      </c>
      <c r="D26" s="429">
        <v>1.1363636363636365</v>
      </c>
      <c r="H26" s="523" t="s">
        <v>1065</v>
      </c>
      <c r="I26" s="516">
        <v>103</v>
      </c>
      <c r="J26" s="517">
        <v>103</v>
      </c>
      <c r="K26" s="416">
        <v>103</v>
      </c>
      <c r="L26" s="412">
        <v>1</v>
      </c>
      <c r="M26" s="419">
        <v>1</v>
      </c>
    </row>
    <row r="27" spans="1:13" x14ac:dyDescent="0.25">
      <c r="A27" s="281"/>
      <c r="B27" s="281" t="s">
        <v>40</v>
      </c>
      <c r="C27" s="282" t="s">
        <v>41</v>
      </c>
      <c r="D27" s="429">
        <v>0.89552238805970152</v>
      </c>
      <c r="H27" s="523" t="s">
        <v>120</v>
      </c>
      <c r="I27" s="516">
        <v>72</v>
      </c>
      <c r="J27" s="517">
        <v>60</v>
      </c>
      <c r="K27" s="416">
        <v>60</v>
      </c>
      <c r="L27" s="412">
        <v>0.83333333333333337</v>
      </c>
      <c r="M27" s="419">
        <v>0.83333333333333337</v>
      </c>
    </row>
    <row r="28" spans="1:13" x14ac:dyDescent="0.25">
      <c r="A28" s="281"/>
      <c r="B28" s="281" t="s">
        <v>61</v>
      </c>
      <c r="C28" s="282" t="s">
        <v>62</v>
      </c>
      <c r="D28" s="429">
        <v>0.29850746268656714</v>
      </c>
      <c r="H28" s="524" t="s">
        <v>62</v>
      </c>
      <c r="I28" s="519">
        <v>67</v>
      </c>
      <c r="J28" s="520">
        <v>47</v>
      </c>
      <c r="K28" s="417">
        <v>47</v>
      </c>
      <c r="L28" s="413">
        <v>0.70149253731343286</v>
      </c>
      <c r="M28" s="420">
        <v>0.70149253731343286</v>
      </c>
    </row>
    <row r="29" spans="1:13" x14ac:dyDescent="0.25">
      <c r="A29" s="281"/>
      <c r="B29" s="281" t="s">
        <v>89</v>
      </c>
      <c r="C29" s="282" t="s">
        <v>90</v>
      </c>
      <c r="D29" s="429">
        <v>1</v>
      </c>
      <c r="H29" s="523" t="s">
        <v>1445</v>
      </c>
      <c r="I29" s="516">
        <v>32</v>
      </c>
      <c r="J29" s="517">
        <v>32</v>
      </c>
      <c r="K29" s="416">
        <v>32</v>
      </c>
      <c r="L29" s="412">
        <v>1</v>
      </c>
      <c r="M29" s="419">
        <v>1</v>
      </c>
    </row>
    <row r="30" spans="1:13" x14ac:dyDescent="0.25">
      <c r="A30" s="281"/>
      <c r="B30" s="281" t="s">
        <v>117</v>
      </c>
      <c r="C30" s="282" t="s">
        <v>118</v>
      </c>
      <c r="D30" s="429">
        <v>1</v>
      </c>
      <c r="H30" s="523" t="s">
        <v>1449</v>
      </c>
      <c r="I30" s="516">
        <v>32</v>
      </c>
      <c r="J30" s="517">
        <v>32</v>
      </c>
      <c r="K30" s="416">
        <v>32</v>
      </c>
      <c r="L30" s="412">
        <v>1</v>
      </c>
      <c r="M30" s="419">
        <v>1</v>
      </c>
    </row>
    <row r="31" spans="1:13" x14ac:dyDescent="0.25">
      <c r="A31" s="281"/>
      <c r="B31" s="281" t="s">
        <v>123</v>
      </c>
      <c r="C31" s="282" t="s">
        <v>124</v>
      </c>
      <c r="D31" s="429">
        <v>0.625</v>
      </c>
      <c r="H31" s="523" t="s">
        <v>1447</v>
      </c>
      <c r="I31" s="516">
        <v>22</v>
      </c>
      <c r="J31" s="517">
        <v>22</v>
      </c>
      <c r="K31" s="416">
        <v>22</v>
      </c>
      <c r="L31" s="412">
        <v>1</v>
      </c>
      <c r="M31" s="419">
        <v>1</v>
      </c>
    </row>
    <row r="32" spans="1:13" x14ac:dyDescent="0.25">
      <c r="A32" s="281"/>
      <c r="B32" s="281" t="s">
        <v>125</v>
      </c>
      <c r="C32" s="282" t="s">
        <v>126</v>
      </c>
      <c r="D32" s="429">
        <v>0.42857142857142855</v>
      </c>
      <c r="H32" s="522" t="s">
        <v>126</v>
      </c>
      <c r="I32" s="516">
        <v>35</v>
      </c>
      <c r="J32" s="517">
        <v>20</v>
      </c>
      <c r="K32" s="416">
        <v>20</v>
      </c>
      <c r="L32" s="412">
        <v>0.5714285714285714</v>
      </c>
      <c r="M32" s="419">
        <v>0.5714285714285714</v>
      </c>
    </row>
    <row r="33" spans="1:13" x14ac:dyDescent="0.25">
      <c r="A33" s="281"/>
      <c r="B33" s="281" t="s">
        <v>45</v>
      </c>
      <c r="C33" s="282" t="s">
        <v>44</v>
      </c>
      <c r="D33" s="429">
        <v>3</v>
      </c>
      <c r="H33" s="524" t="s">
        <v>52</v>
      </c>
      <c r="I33" s="519">
        <v>38</v>
      </c>
      <c r="J33" s="520">
        <v>18</v>
      </c>
      <c r="K33" s="417">
        <v>18</v>
      </c>
      <c r="L33" s="413">
        <v>0.47368421052631576</v>
      </c>
      <c r="M33" s="420">
        <v>0.47368421052631576</v>
      </c>
    </row>
    <row r="34" spans="1:13" x14ac:dyDescent="0.25">
      <c r="A34" s="281"/>
      <c r="B34" s="281" t="s">
        <v>46</v>
      </c>
      <c r="C34" s="282" t="s">
        <v>611</v>
      </c>
      <c r="D34" s="429">
        <v>1.25</v>
      </c>
      <c r="H34" s="523" t="s">
        <v>1446</v>
      </c>
      <c r="I34" s="516">
        <v>13</v>
      </c>
      <c r="J34" s="517">
        <v>13</v>
      </c>
      <c r="K34" s="416">
        <v>13</v>
      </c>
      <c r="L34" s="412">
        <v>1</v>
      </c>
      <c r="M34" s="419">
        <v>1</v>
      </c>
    </row>
    <row r="35" spans="1:13" x14ac:dyDescent="0.25">
      <c r="A35" s="281"/>
      <c r="B35" s="281" t="s">
        <v>42</v>
      </c>
      <c r="C35" s="282" t="s">
        <v>43</v>
      </c>
      <c r="D35" s="429">
        <v>0.7142857142857143</v>
      </c>
      <c r="H35" s="524" t="s">
        <v>88</v>
      </c>
      <c r="I35" s="519">
        <v>13</v>
      </c>
      <c r="J35" s="520">
        <v>13</v>
      </c>
      <c r="K35" s="417">
        <v>13</v>
      </c>
      <c r="L35" s="413">
        <v>1</v>
      </c>
      <c r="M35" s="420">
        <v>1</v>
      </c>
    </row>
    <row r="36" spans="1:13" x14ac:dyDescent="0.25">
      <c r="A36" s="281"/>
      <c r="B36" s="282" t="s">
        <v>91</v>
      </c>
      <c r="C36" s="282" t="s">
        <v>92</v>
      </c>
      <c r="D36" s="430">
        <v>1</v>
      </c>
      <c r="H36" s="523" t="s">
        <v>1448</v>
      </c>
      <c r="I36" s="516">
        <v>7</v>
      </c>
      <c r="J36" s="517">
        <v>7</v>
      </c>
      <c r="K36" s="416">
        <v>7</v>
      </c>
      <c r="L36" s="412">
        <v>1</v>
      </c>
      <c r="M36" s="419">
        <v>1</v>
      </c>
    </row>
    <row r="37" spans="1:13" x14ac:dyDescent="0.25">
      <c r="A37" s="281"/>
      <c r="B37" s="334" t="s">
        <v>1121</v>
      </c>
      <c r="C37" s="334" t="s">
        <v>1120</v>
      </c>
      <c r="D37" s="284">
        <v>0.96153846153846156</v>
      </c>
      <c r="H37" s="524" t="s">
        <v>41</v>
      </c>
      <c r="I37" s="519">
        <v>67</v>
      </c>
      <c r="J37" s="520">
        <v>7</v>
      </c>
      <c r="K37" s="417">
        <v>7</v>
      </c>
      <c r="L37" s="413">
        <v>0.1044776119402985</v>
      </c>
      <c r="M37" s="420">
        <v>0.1044776119402985</v>
      </c>
    </row>
    <row r="38" spans="1:13" x14ac:dyDescent="0.25">
      <c r="A38" s="281"/>
      <c r="B38" s="334" t="s">
        <v>119</v>
      </c>
      <c r="C38" s="334" t="s">
        <v>120</v>
      </c>
      <c r="D38" s="284">
        <v>0.16666666666666666</v>
      </c>
      <c r="H38" s="523" t="s">
        <v>1409</v>
      </c>
      <c r="I38" s="516">
        <v>6</v>
      </c>
      <c r="J38" s="517">
        <v>6</v>
      </c>
      <c r="K38" s="416">
        <v>6</v>
      </c>
      <c r="L38" s="412">
        <v>1</v>
      </c>
      <c r="M38" s="419">
        <v>1</v>
      </c>
    </row>
    <row r="39" spans="1:13" x14ac:dyDescent="0.25">
      <c r="A39" s="282"/>
      <c r="B39" s="334" t="s">
        <v>1454</v>
      </c>
      <c r="C39" s="334" t="s">
        <v>1448</v>
      </c>
      <c r="D39" s="284">
        <v>0</v>
      </c>
      <c r="H39" s="523" t="s">
        <v>43</v>
      </c>
      <c r="I39" s="516">
        <v>14</v>
      </c>
      <c r="J39" s="517">
        <v>4</v>
      </c>
      <c r="K39" s="416">
        <v>4</v>
      </c>
      <c r="L39" s="412">
        <v>0.2857142857142857</v>
      </c>
      <c r="M39" s="419">
        <v>0.2857142857142857</v>
      </c>
    </row>
    <row r="40" spans="1:13" x14ac:dyDescent="0.25">
      <c r="A40" s="281" t="s">
        <v>146</v>
      </c>
      <c r="B40" s="281" t="s">
        <v>148</v>
      </c>
      <c r="C40" s="282" t="s">
        <v>149</v>
      </c>
      <c r="D40" s="429">
        <v>0.40625</v>
      </c>
      <c r="H40" s="523" t="s">
        <v>124</v>
      </c>
      <c r="I40" s="516">
        <v>8</v>
      </c>
      <c r="J40" s="517">
        <v>3</v>
      </c>
      <c r="K40" s="416">
        <v>3</v>
      </c>
      <c r="L40" s="412">
        <v>0.375</v>
      </c>
      <c r="M40" s="419">
        <v>0.375</v>
      </c>
    </row>
    <row r="41" spans="1:13" x14ac:dyDescent="0.25">
      <c r="A41" s="281"/>
      <c r="B41" s="281" t="s">
        <v>383</v>
      </c>
      <c r="C41" s="282" t="s">
        <v>369</v>
      </c>
      <c r="D41" s="429">
        <v>1.3333333333333333</v>
      </c>
      <c r="H41" s="523" t="s">
        <v>1120</v>
      </c>
      <c r="I41" s="516">
        <v>52</v>
      </c>
      <c r="J41" s="517">
        <v>2</v>
      </c>
      <c r="K41" s="416">
        <v>2</v>
      </c>
      <c r="L41" s="412">
        <v>3.8461538461538464E-2</v>
      </c>
      <c r="M41" s="419">
        <v>3.8461538461538464E-2</v>
      </c>
    </row>
    <row r="42" spans="1:13" x14ac:dyDescent="0.25">
      <c r="A42" s="281"/>
      <c r="B42" s="281" t="s">
        <v>384</v>
      </c>
      <c r="C42" s="282" t="s">
        <v>370</v>
      </c>
      <c r="D42" s="429">
        <v>1.6</v>
      </c>
      <c r="H42" s="523" t="s">
        <v>140</v>
      </c>
      <c r="I42" s="516">
        <v>12</v>
      </c>
      <c r="J42" s="517">
        <v>2</v>
      </c>
      <c r="K42" s="416">
        <v>2</v>
      </c>
      <c r="L42" s="412">
        <v>0.16666666666666666</v>
      </c>
      <c r="M42" s="419">
        <v>0.16666666666666666</v>
      </c>
    </row>
    <row r="43" spans="1:13" x14ac:dyDescent="0.25">
      <c r="A43" s="281"/>
      <c r="B43" s="281" t="s">
        <v>382</v>
      </c>
      <c r="C43" s="282" t="s">
        <v>372</v>
      </c>
      <c r="D43" s="429">
        <v>1.375</v>
      </c>
      <c r="H43" s="523" t="s">
        <v>108</v>
      </c>
      <c r="I43" s="516">
        <v>51</v>
      </c>
      <c r="J43" s="517">
        <v>0</v>
      </c>
      <c r="K43" s="416">
        <v>0</v>
      </c>
      <c r="L43" s="412">
        <v>0</v>
      </c>
      <c r="M43" s="419">
        <v>0</v>
      </c>
    </row>
    <row r="44" spans="1:13" x14ac:dyDescent="0.25">
      <c r="A44" s="281"/>
      <c r="B44" s="281" t="s">
        <v>385</v>
      </c>
      <c r="C44" s="282" t="s">
        <v>368</v>
      </c>
      <c r="D44" s="429">
        <v>0.91304347826086951</v>
      </c>
      <c r="H44" s="523" t="s">
        <v>118</v>
      </c>
      <c r="I44" s="516">
        <v>10</v>
      </c>
      <c r="J44" s="517">
        <v>0</v>
      </c>
      <c r="K44" s="416">
        <v>0</v>
      </c>
      <c r="L44" s="412">
        <v>0</v>
      </c>
      <c r="M44" s="419">
        <v>0</v>
      </c>
    </row>
    <row r="45" spans="1:13" x14ac:dyDescent="0.25">
      <c r="A45" s="281"/>
      <c r="B45" s="281" t="s">
        <v>387</v>
      </c>
      <c r="C45" s="282" t="s">
        <v>373</v>
      </c>
      <c r="D45" s="429">
        <v>0.53439153439153442</v>
      </c>
      <c r="H45" s="523" t="s">
        <v>90</v>
      </c>
      <c r="I45" s="516">
        <v>25</v>
      </c>
      <c r="J45" s="517">
        <v>0</v>
      </c>
      <c r="K45" s="416">
        <v>0</v>
      </c>
      <c r="L45" s="412">
        <v>0</v>
      </c>
      <c r="M45" s="419">
        <v>0</v>
      </c>
    </row>
    <row r="46" spans="1:13" x14ac:dyDescent="0.25">
      <c r="A46" s="281"/>
      <c r="B46" s="282" t="s">
        <v>147</v>
      </c>
      <c r="C46" s="282" t="s">
        <v>371</v>
      </c>
      <c r="D46" s="430">
        <v>0.10869565217391304</v>
      </c>
      <c r="H46" s="523" t="s">
        <v>72</v>
      </c>
      <c r="I46" s="516">
        <v>6</v>
      </c>
      <c r="J46" s="517">
        <v>0</v>
      </c>
      <c r="K46" s="416">
        <v>0</v>
      </c>
      <c r="L46" s="412">
        <v>0</v>
      </c>
      <c r="M46" s="419">
        <v>0</v>
      </c>
    </row>
    <row r="47" spans="1:13" x14ac:dyDescent="0.25">
      <c r="A47" s="282"/>
      <c r="B47" s="334" t="s">
        <v>1101</v>
      </c>
      <c r="C47" s="334" t="s">
        <v>1102</v>
      </c>
      <c r="D47" s="284">
        <v>0</v>
      </c>
      <c r="H47" s="523" t="s">
        <v>44</v>
      </c>
      <c r="I47" s="516">
        <v>5</v>
      </c>
      <c r="J47" s="517">
        <v>0</v>
      </c>
      <c r="K47" s="416">
        <v>0</v>
      </c>
      <c r="L47" s="412">
        <v>0</v>
      </c>
      <c r="M47" s="419">
        <v>0</v>
      </c>
    </row>
    <row r="48" spans="1:13" x14ac:dyDescent="0.25">
      <c r="A48" s="281" t="s">
        <v>151</v>
      </c>
      <c r="B48" s="281" t="s">
        <v>150</v>
      </c>
      <c r="C48" s="282" t="s">
        <v>152</v>
      </c>
      <c r="D48" s="429">
        <v>0.53846153846153855</v>
      </c>
      <c r="H48" s="523" t="s">
        <v>611</v>
      </c>
      <c r="I48" s="516">
        <v>12</v>
      </c>
      <c r="J48" s="517">
        <v>0</v>
      </c>
      <c r="K48" s="416">
        <v>0</v>
      </c>
      <c r="L48" s="412">
        <v>0</v>
      </c>
      <c r="M48" s="419">
        <v>0</v>
      </c>
    </row>
    <row r="49" spans="1:13" x14ac:dyDescent="0.25">
      <c r="A49" s="281"/>
      <c r="B49" s="281" t="s">
        <v>197</v>
      </c>
      <c r="C49" s="282" t="s">
        <v>198</v>
      </c>
      <c r="D49" s="429">
        <v>0.97623400365630708</v>
      </c>
      <c r="H49" s="523" t="s">
        <v>76</v>
      </c>
      <c r="I49" s="516">
        <v>66</v>
      </c>
      <c r="J49" s="517">
        <v>0</v>
      </c>
      <c r="K49" s="416">
        <v>0</v>
      </c>
      <c r="L49" s="412">
        <v>0</v>
      </c>
      <c r="M49" s="419">
        <v>0</v>
      </c>
    </row>
    <row r="50" spans="1:13" x14ac:dyDescent="0.25">
      <c r="A50" s="281"/>
      <c r="B50" s="281" t="s">
        <v>153</v>
      </c>
      <c r="C50" s="282" t="s">
        <v>154</v>
      </c>
      <c r="D50" s="429">
        <v>0.41666666666666669</v>
      </c>
      <c r="H50" s="523" t="s">
        <v>100</v>
      </c>
      <c r="I50" s="516">
        <v>4</v>
      </c>
      <c r="J50" s="517">
        <v>0</v>
      </c>
      <c r="K50" s="416">
        <v>0</v>
      </c>
      <c r="L50" s="412">
        <v>0</v>
      </c>
      <c r="M50" s="419">
        <v>0</v>
      </c>
    </row>
    <row r="51" spans="1:13" x14ac:dyDescent="0.25">
      <c r="A51" s="281"/>
      <c r="B51" s="281" t="s">
        <v>159</v>
      </c>
      <c r="C51" s="282" t="s">
        <v>160</v>
      </c>
      <c r="D51" s="429">
        <v>0.69158878504672894</v>
      </c>
      <c r="H51" s="524" t="s">
        <v>92</v>
      </c>
      <c r="I51" s="519">
        <v>15</v>
      </c>
      <c r="J51" s="520">
        <v>0</v>
      </c>
      <c r="K51" s="417">
        <v>0</v>
      </c>
      <c r="L51" s="413">
        <v>0</v>
      </c>
      <c r="M51" s="420">
        <v>0</v>
      </c>
    </row>
    <row r="52" spans="1:13" x14ac:dyDescent="0.25">
      <c r="A52" s="281"/>
      <c r="B52" s="281" t="s">
        <v>886</v>
      </c>
      <c r="C52" s="282" t="s">
        <v>885</v>
      </c>
      <c r="D52" s="429">
        <v>0.79434447300771205</v>
      </c>
      <c r="H52" s="521" t="s">
        <v>779</v>
      </c>
      <c r="I52" s="519"/>
      <c r="J52" s="520"/>
      <c r="K52" s="417"/>
      <c r="L52" s="413"/>
      <c r="M52" s="420"/>
    </row>
    <row r="53" spans="1:13" x14ac:dyDescent="0.25">
      <c r="A53" s="281"/>
      <c r="B53" s="281" t="s">
        <v>187</v>
      </c>
      <c r="C53" s="282" t="s">
        <v>188</v>
      </c>
      <c r="D53" s="429">
        <v>0.45454545454545459</v>
      </c>
      <c r="H53" s="525" t="s">
        <v>779</v>
      </c>
      <c r="I53" s="519">
        <v>50</v>
      </c>
      <c r="J53" s="520">
        <v>20</v>
      </c>
      <c r="K53" s="417">
        <v>20</v>
      </c>
      <c r="L53" s="413">
        <v>0.4</v>
      </c>
      <c r="M53" s="420">
        <v>0.4</v>
      </c>
    </row>
    <row r="54" spans="1:13" x14ac:dyDescent="0.25">
      <c r="A54" s="281"/>
      <c r="B54" s="282" t="s">
        <v>941</v>
      </c>
      <c r="C54" s="282" t="s">
        <v>942</v>
      </c>
      <c r="D54" s="430">
        <v>0.29940119760479045</v>
      </c>
      <c r="H54" s="523" t="s">
        <v>1419</v>
      </c>
      <c r="I54" s="516">
        <v>20</v>
      </c>
      <c r="J54" s="517">
        <v>20</v>
      </c>
      <c r="K54" s="416">
        <v>20</v>
      </c>
      <c r="L54" s="412">
        <v>1</v>
      </c>
      <c r="M54" s="419">
        <v>1</v>
      </c>
    </row>
    <row r="55" spans="1:13" x14ac:dyDescent="0.25">
      <c r="A55" s="282"/>
      <c r="B55" s="334" t="s">
        <v>1096</v>
      </c>
      <c r="C55" s="334" t="s">
        <v>1095</v>
      </c>
      <c r="D55" s="284">
        <v>0</v>
      </c>
      <c r="H55" s="524" t="s">
        <v>1275</v>
      </c>
      <c r="I55" s="519">
        <v>30</v>
      </c>
      <c r="J55" s="520">
        <v>0</v>
      </c>
      <c r="K55" s="417">
        <v>0</v>
      </c>
      <c r="L55" s="413">
        <v>0</v>
      </c>
      <c r="M55" s="420">
        <v>0</v>
      </c>
    </row>
    <row r="56" spans="1:13" x14ac:dyDescent="0.25">
      <c r="A56" s="281" t="s">
        <v>166</v>
      </c>
      <c r="B56" s="281" t="s">
        <v>165</v>
      </c>
      <c r="C56" s="282" t="s">
        <v>167</v>
      </c>
      <c r="D56" s="429">
        <v>1.1111111111111112</v>
      </c>
      <c r="H56" s="521" t="s">
        <v>1182</v>
      </c>
      <c r="I56" s="519"/>
      <c r="J56" s="520"/>
      <c r="K56" s="417"/>
      <c r="L56" s="413"/>
      <c r="M56" s="420"/>
    </row>
    <row r="57" spans="1:13" x14ac:dyDescent="0.25">
      <c r="A57" s="282"/>
      <c r="B57" s="282" t="s">
        <v>823</v>
      </c>
      <c r="C57" s="282" t="s">
        <v>822</v>
      </c>
      <c r="D57" s="430">
        <v>1.0344827586206897</v>
      </c>
      <c r="H57" s="525" t="s">
        <v>298</v>
      </c>
      <c r="I57" s="519">
        <v>383</v>
      </c>
      <c r="J57" s="520">
        <v>375</v>
      </c>
      <c r="K57" s="417">
        <v>375</v>
      </c>
      <c r="L57" s="413">
        <v>0.97911227154046998</v>
      </c>
      <c r="M57" s="420">
        <v>0.97911227154046998</v>
      </c>
    </row>
    <row r="58" spans="1:13" x14ac:dyDescent="0.25">
      <c r="A58" s="281" t="s">
        <v>173</v>
      </c>
      <c r="B58" s="281" t="s">
        <v>175</v>
      </c>
      <c r="C58" s="282" t="s">
        <v>176</v>
      </c>
      <c r="D58" s="429">
        <v>0.66666666666666663</v>
      </c>
      <c r="H58" s="523" t="s">
        <v>1488</v>
      </c>
      <c r="I58" s="516">
        <v>224</v>
      </c>
      <c r="J58" s="517">
        <v>224</v>
      </c>
      <c r="K58" s="416">
        <v>224</v>
      </c>
      <c r="L58" s="412">
        <v>1</v>
      </c>
      <c r="M58" s="419">
        <v>1</v>
      </c>
    </row>
    <row r="59" spans="1:13" x14ac:dyDescent="0.25">
      <c r="A59" s="281"/>
      <c r="B59" s="281" t="s">
        <v>172</v>
      </c>
      <c r="C59" s="282" t="s">
        <v>174</v>
      </c>
      <c r="D59" s="429">
        <v>1.1538461538461537</v>
      </c>
      <c r="H59" s="523" t="s">
        <v>1493</v>
      </c>
      <c r="I59" s="516">
        <v>59</v>
      </c>
      <c r="J59" s="517">
        <v>59</v>
      </c>
      <c r="K59" s="416">
        <v>59</v>
      </c>
      <c r="L59" s="412">
        <v>1</v>
      </c>
      <c r="M59" s="419">
        <v>1</v>
      </c>
    </row>
    <row r="60" spans="1:13" x14ac:dyDescent="0.25">
      <c r="A60" s="281"/>
      <c r="B60" s="282" t="s">
        <v>177</v>
      </c>
      <c r="C60" s="282" t="s">
        <v>178</v>
      </c>
      <c r="D60" s="430">
        <v>1.25</v>
      </c>
      <c r="H60" s="523" t="s">
        <v>1491</v>
      </c>
      <c r="I60" s="516">
        <v>41</v>
      </c>
      <c r="J60" s="517">
        <v>41</v>
      </c>
      <c r="K60" s="416">
        <v>41</v>
      </c>
      <c r="L60" s="412">
        <v>1</v>
      </c>
      <c r="M60" s="419">
        <v>1</v>
      </c>
    </row>
    <row r="61" spans="1:13" x14ac:dyDescent="0.25">
      <c r="A61" s="282"/>
      <c r="B61" s="334" t="s">
        <v>1270</v>
      </c>
      <c r="C61" s="334" t="s">
        <v>1277</v>
      </c>
      <c r="D61" s="284">
        <v>1.4285714285714286</v>
      </c>
      <c r="H61" s="523" t="s">
        <v>1492</v>
      </c>
      <c r="I61" s="516">
        <v>19</v>
      </c>
      <c r="J61" s="517">
        <v>19</v>
      </c>
      <c r="K61" s="416">
        <v>19</v>
      </c>
      <c r="L61" s="412">
        <v>1</v>
      </c>
      <c r="M61" s="419">
        <v>1</v>
      </c>
    </row>
    <row r="62" spans="1:13" x14ac:dyDescent="0.25">
      <c r="A62" s="281" t="s">
        <v>180</v>
      </c>
      <c r="B62" s="281" t="s">
        <v>179</v>
      </c>
      <c r="C62" s="282" t="s">
        <v>181</v>
      </c>
      <c r="D62" s="429">
        <v>1</v>
      </c>
      <c r="H62" s="523" t="s">
        <v>1413</v>
      </c>
      <c r="I62" s="516">
        <v>19</v>
      </c>
      <c r="J62" s="517">
        <v>19</v>
      </c>
      <c r="K62" s="416">
        <v>19</v>
      </c>
      <c r="L62" s="412">
        <v>1</v>
      </c>
      <c r="M62" s="419">
        <v>1</v>
      </c>
    </row>
    <row r="63" spans="1:13" x14ac:dyDescent="0.25">
      <c r="A63" s="282"/>
      <c r="B63" s="282" t="s">
        <v>286</v>
      </c>
      <c r="C63" s="282" t="s">
        <v>287</v>
      </c>
      <c r="D63" s="430">
        <v>1.5789473684210527</v>
      </c>
      <c r="H63" s="523" t="s">
        <v>1490</v>
      </c>
      <c r="I63" s="516">
        <v>13</v>
      </c>
      <c r="J63" s="517">
        <v>13</v>
      </c>
      <c r="K63" s="416">
        <v>13</v>
      </c>
      <c r="L63" s="412">
        <v>1</v>
      </c>
      <c r="M63" s="419">
        <v>1</v>
      </c>
    </row>
    <row r="64" spans="1:13" x14ac:dyDescent="0.25">
      <c r="A64" s="281" t="s">
        <v>185</v>
      </c>
      <c r="B64" s="281" t="s">
        <v>208</v>
      </c>
      <c r="C64" s="282" t="s">
        <v>209</v>
      </c>
      <c r="D64" s="429">
        <v>0.71317829457364335</v>
      </c>
      <c r="H64" s="523" t="s">
        <v>821</v>
      </c>
      <c r="I64" s="519">
        <v>8</v>
      </c>
      <c r="J64" s="520">
        <v>0</v>
      </c>
      <c r="K64" s="417">
        <v>0</v>
      </c>
      <c r="L64" s="413">
        <v>0</v>
      </c>
      <c r="M64" s="420">
        <v>0</v>
      </c>
    </row>
    <row r="65" spans="1:13" x14ac:dyDescent="0.25">
      <c r="A65" s="281"/>
      <c r="B65" s="281" t="s">
        <v>201</v>
      </c>
      <c r="C65" s="282" t="s">
        <v>202</v>
      </c>
      <c r="D65" s="429">
        <v>0.57735849056603772</v>
      </c>
      <c r="H65" s="525" t="s">
        <v>808</v>
      </c>
      <c r="I65" s="519">
        <v>218</v>
      </c>
      <c r="J65" s="520">
        <v>218</v>
      </c>
      <c r="K65" s="417">
        <v>218</v>
      </c>
      <c r="L65" s="413">
        <v>1</v>
      </c>
      <c r="M65" s="420">
        <v>1</v>
      </c>
    </row>
    <row r="66" spans="1:13" x14ac:dyDescent="0.25">
      <c r="A66" s="281"/>
      <c r="B66" s="281" t="s">
        <v>222</v>
      </c>
      <c r="C66" s="282" t="s">
        <v>223</v>
      </c>
      <c r="D66" s="429">
        <v>0.45270270270270274</v>
      </c>
      <c r="H66" s="523" t="s">
        <v>1298</v>
      </c>
      <c r="I66" s="516">
        <v>146</v>
      </c>
      <c r="J66" s="517">
        <v>146</v>
      </c>
      <c r="K66" s="416">
        <v>146</v>
      </c>
      <c r="L66" s="412">
        <v>1</v>
      </c>
      <c r="M66" s="419">
        <v>1</v>
      </c>
    </row>
    <row r="67" spans="1:13" x14ac:dyDescent="0.25">
      <c r="A67" s="281"/>
      <c r="B67" s="281" t="s">
        <v>189</v>
      </c>
      <c r="C67" s="282" t="s">
        <v>190</v>
      </c>
      <c r="D67" s="429">
        <v>0.42268041237113402</v>
      </c>
      <c r="H67" s="523" t="s">
        <v>1300</v>
      </c>
      <c r="I67" s="516">
        <v>67</v>
      </c>
      <c r="J67" s="517">
        <v>67</v>
      </c>
      <c r="K67" s="416">
        <v>67</v>
      </c>
      <c r="L67" s="412">
        <v>1</v>
      </c>
      <c r="M67" s="419">
        <v>1</v>
      </c>
    </row>
    <row r="68" spans="1:13" x14ac:dyDescent="0.25">
      <c r="A68" s="281"/>
      <c r="B68" s="281" t="s">
        <v>184</v>
      </c>
      <c r="C68" s="282" t="s">
        <v>186</v>
      </c>
      <c r="D68" s="429">
        <v>0.97500000000000009</v>
      </c>
      <c r="H68" s="523" t="s">
        <v>808</v>
      </c>
      <c r="I68" s="519">
        <v>5</v>
      </c>
      <c r="J68" s="520">
        <v>5</v>
      </c>
      <c r="K68" s="417">
        <v>5</v>
      </c>
      <c r="L68" s="413">
        <v>1</v>
      </c>
      <c r="M68" s="420">
        <v>1</v>
      </c>
    </row>
    <row r="69" spans="1:13" x14ac:dyDescent="0.25">
      <c r="A69" s="281"/>
      <c r="B69" s="281" t="s">
        <v>228</v>
      </c>
      <c r="C69" s="282" t="s">
        <v>229</v>
      </c>
      <c r="D69" s="429">
        <v>0.91836734693877553</v>
      </c>
      <c r="H69" s="525" t="s">
        <v>302</v>
      </c>
      <c r="I69" s="519">
        <v>118</v>
      </c>
      <c r="J69" s="520">
        <v>44</v>
      </c>
      <c r="K69" s="417">
        <v>44</v>
      </c>
      <c r="L69" s="413">
        <v>0.3728813559322034</v>
      </c>
      <c r="M69" s="420">
        <v>0.3728813559322034</v>
      </c>
    </row>
    <row r="70" spans="1:13" x14ac:dyDescent="0.25">
      <c r="A70" s="281"/>
      <c r="B70" s="281" t="s">
        <v>224</v>
      </c>
      <c r="C70" s="282" t="s">
        <v>225</v>
      </c>
      <c r="D70" s="429">
        <v>0.97560975609756095</v>
      </c>
      <c r="H70" s="523" t="s">
        <v>306</v>
      </c>
      <c r="I70" s="516">
        <v>86</v>
      </c>
      <c r="J70" s="517">
        <v>44</v>
      </c>
      <c r="K70" s="416">
        <v>44</v>
      </c>
      <c r="L70" s="412">
        <v>0.51162790697674421</v>
      </c>
      <c r="M70" s="419">
        <v>0.51162790697674421</v>
      </c>
    </row>
    <row r="71" spans="1:13" x14ac:dyDescent="0.25">
      <c r="A71" s="281"/>
      <c r="B71" s="281" t="s">
        <v>195</v>
      </c>
      <c r="C71" s="282" t="s">
        <v>196</v>
      </c>
      <c r="D71" s="429">
        <v>0.72468162522741053</v>
      </c>
      <c r="H71" s="523" t="s">
        <v>308</v>
      </c>
      <c r="I71" s="519">
        <v>32</v>
      </c>
      <c r="J71" s="520">
        <v>0</v>
      </c>
      <c r="K71" s="417">
        <v>0</v>
      </c>
      <c r="L71" s="413">
        <v>0</v>
      </c>
      <c r="M71" s="420">
        <v>0</v>
      </c>
    </row>
    <row r="72" spans="1:13" x14ac:dyDescent="0.25">
      <c r="A72" s="281"/>
      <c r="B72" s="281" t="s">
        <v>193</v>
      </c>
      <c r="C72" s="282" t="s">
        <v>194</v>
      </c>
      <c r="D72" s="429">
        <v>0.96411856474258961</v>
      </c>
      <c r="H72" s="525" t="s">
        <v>166</v>
      </c>
      <c r="I72" s="519">
        <v>101</v>
      </c>
      <c r="J72" s="520">
        <v>36</v>
      </c>
      <c r="K72" s="417">
        <v>36</v>
      </c>
      <c r="L72" s="413">
        <v>0.35643564356435642</v>
      </c>
      <c r="M72" s="420">
        <v>0.35643564356435642</v>
      </c>
    </row>
    <row r="73" spans="1:13" x14ac:dyDescent="0.25">
      <c r="A73" s="281"/>
      <c r="B73" s="281" t="s">
        <v>191</v>
      </c>
      <c r="C73" s="282" t="s">
        <v>192</v>
      </c>
      <c r="D73" s="429">
        <v>1.8807339449541285</v>
      </c>
      <c r="H73" s="523" t="s">
        <v>1416</v>
      </c>
      <c r="I73" s="516">
        <v>36</v>
      </c>
      <c r="J73" s="517">
        <v>36</v>
      </c>
      <c r="K73" s="416">
        <v>36</v>
      </c>
      <c r="L73" s="412">
        <v>1</v>
      </c>
      <c r="M73" s="419">
        <v>1</v>
      </c>
    </row>
    <row r="74" spans="1:13" x14ac:dyDescent="0.25">
      <c r="A74" s="281"/>
      <c r="B74" s="281" t="s">
        <v>218</v>
      </c>
      <c r="C74" s="282" t="s">
        <v>219</v>
      </c>
      <c r="D74" s="429">
        <v>1.1969949916527547</v>
      </c>
      <c r="H74" s="523" t="s">
        <v>167</v>
      </c>
      <c r="I74" s="516">
        <v>36</v>
      </c>
      <c r="J74" s="517">
        <v>0</v>
      </c>
      <c r="K74" s="416">
        <v>0</v>
      </c>
      <c r="L74" s="412">
        <v>0</v>
      </c>
      <c r="M74" s="419">
        <v>0</v>
      </c>
    </row>
    <row r="75" spans="1:13" x14ac:dyDescent="0.25">
      <c r="A75" s="281"/>
      <c r="B75" s="281" t="s">
        <v>214</v>
      </c>
      <c r="C75" s="282" t="s">
        <v>215</v>
      </c>
      <c r="D75" s="429">
        <v>1.7464788732394365</v>
      </c>
      <c r="H75" s="523" t="s">
        <v>822</v>
      </c>
      <c r="I75" s="519">
        <v>29</v>
      </c>
      <c r="J75" s="520">
        <v>0</v>
      </c>
      <c r="K75" s="417">
        <v>0</v>
      </c>
      <c r="L75" s="413">
        <v>0</v>
      </c>
      <c r="M75" s="420">
        <v>0</v>
      </c>
    </row>
    <row r="76" spans="1:13" x14ac:dyDescent="0.25">
      <c r="A76" s="282"/>
      <c r="B76" s="282" t="s">
        <v>199</v>
      </c>
      <c r="C76" s="282" t="s">
        <v>200</v>
      </c>
      <c r="D76" s="430">
        <v>46</v>
      </c>
      <c r="H76" s="525" t="s">
        <v>230</v>
      </c>
      <c r="I76" s="519">
        <v>76</v>
      </c>
      <c r="J76" s="520">
        <v>7</v>
      </c>
      <c r="K76" s="417">
        <v>7</v>
      </c>
      <c r="L76" s="413">
        <v>9.2105263157894732E-2</v>
      </c>
      <c r="M76" s="420">
        <v>9.2105263157894732E-2</v>
      </c>
    </row>
    <row r="77" spans="1:13" x14ac:dyDescent="0.25">
      <c r="A77" s="281" t="s">
        <v>230</v>
      </c>
      <c r="B77" s="281" t="s">
        <v>1054</v>
      </c>
      <c r="C77" s="282" t="s">
        <v>1053</v>
      </c>
      <c r="D77" s="429">
        <v>0.86274509803921573</v>
      </c>
      <c r="H77" s="523" t="s">
        <v>1053</v>
      </c>
      <c r="I77" s="516">
        <v>51</v>
      </c>
      <c r="J77" s="517">
        <v>7</v>
      </c>
      <c r="K77" s="416">
        <v>7</v>
      </c>
      <c r="L77" s="412">
        <v>0.13725490196078433</v>
      </c>
      <c r="M77" s="419">
        <v>0.13725490196078433</v>
      </c>
    </row>
    <row r="78" spans="1:13" x14ac:dyDescent="0.25">
      <c r="A78" s="282"/>
      <c r="B78" s="282" t="s">
        <v>1064</v>
      </c>
      <c r="C78" s="282" t="s">
        <v>1063</v>
      </c>
      <c r="D78" s="430">
        <v>1.2000000000000002</v>
      </c>
      <c r="H78" s="524" t="s">
        <v>1063</v>
      </c>
      <c r="I78" s="519">
        <v>25</v>
      </c>
      <c r="J78" s="520">
        <v>0</v>
      </c>
      <c r="K78" s="417">
        <v>0</v>
      </c>
      <c r="L78" s="413">
        <v>0</v>
      </c>
      <c r="M78" s="420">
        <v>0</v>
      </c>
    </row>
    <row r="79" spans="1:13" x14ac:dyDescent="0.25">
      <c r="A79" s="281" t="s">
        <v>237</v>
      </c>
      <c r="B79" s="281" t="s">
        <v>1007</v>
      </c>
      <c r="C79" s="281" t="s">
        <v>898</v>
      </c>
      <c r="D79" s="429">
        <v>0</v>
      </c>
      <c r="H79" s="525" t="s">
        <v>173</v>
      </c>
      <c r="I79" s="519">
        <v>75</v>
      </c>
      <c r="J79" s="520">
        <v>12</v>
      </c>
      <c r="K79" s="417">
        <v>12</v>
      </c>
      <c r="L79" s="413">
        <v>0.16</v>
      </c>
      <c r="M79" s="420">
        <v>0.16</v>
      </c>
    </row>
    <row r="80" spans="1:13" x14ac:dyDescent="0.25">
      <c r="A80" s="281"/>
      <c r="B80" s="281"/>
      <c r="C80" s="282" t="s">
        <v>859</v>
      </c>
      <c r="D80" s="429">
        <v>0</v>
      </c>
      <c r="H80" s="523" t="s">
        <v>1268</v>
      </c>
      <c r="I80" s="516">
        <v>7</v>
      </c>
      <c r="J80" s="517">
        <v>7</v>
      </c>
      <c r="K80" s="416">
        <v>7</v>
      </c>
      <c r="L80" s="412">
        <v>1</v>
      </c>
      <c r="M80" s="419">
        <v>1</v>
      </c>
    </row>
    <row r="81" spans="1:13" x14ac:dyDescent="0.25">
      <c r="A81" s="281"/>
      <c r="B81" s="281" t="s">
        <v>236</v>
      </c>
      <c r="C81" s="282" t="s">
        <v>238</v>
      </c>
      <c r="D81" s="429">
        <v>1.1538461538461537</v>
      </c>
      <c r="H81" s="523" t="s">
        <v>176</v>
      </c>
      <c r="I81" s="519">
        <v>15</v>
      </c>
      <c r="J81" s="520">
        <v>5</v>
      </c>
      <c r="K81" s="417">
        <v>5</v>
      </c>
      <c r="L81" s="413">
        <v>0.33333333333333331</v>
      </c>
      <c r="M81" s="420">
        <v>0.33333333333333331</v>
      </c>
    </row>
    <row r="82" spans="1:13" x14ac:dyDescent="0.25">
      <c r="A82" s="281"/>
      <c r="B82" s="281" t="s">
        <v>268</v>
      </c>
      <c r="C82" s="282" t="s">
        <v>269</v>
      </c>
      <c r="D82" s="429">
        <v>0.77611940298507465</v>
      </c>
      <c r="H82" s="523" t="s">
        <v>1277</v>
      </c>
      <c r="I82" s="516">
        <v>28</v>
      </c>
      <c r="J82" s="517">
        <v>0</v>
      </c>
      <c r="K82" s="416">
        <v>0</v>
      </c>
      <c r="L82" s="412">
        <v>0</v>
      </c>
      <c r="M82" s="419">
        <v>0</v>
      </c>
    </row>
    <row r="83" spans="1:13" x14ac:dyDescent="0.25">
      <c r="A83" s="281"/>
      <c r="B83" s="281" t="s">
        <v>250</v>
      </c>
      <c r="C83" s="282" t="s">
        <v>251</v>
      </c>
      <c r="D83" s="429">
        <v>0.625</v>
      </c>
      <c r="H83" s="523" t="s">
        <v>174</v>
      </c>
      <c r="I83" s="516">
        <v>13</v>
      </c>
      <c r="J83" s="517">
        <v>0</v>
      </c>
      <c r="K83" s="416">
        <v>0</v>
      </c>
      <c r="L83" s="412">
        <v>0</v>
      </c>
      <c r="M83" s="419">
        <v>0</v>
      </c>
    </row>
    <row r="84" spans="1:13" x14ac:dyDescent="0.25">
      <c r="A84" s="281"/>
      <c r="B84" s="281" t="s">
        <v>248</v>
      </c>
      <c r="C84" s="282" t="s">
        <v>249</v>
      </c>
      <c r="D84" s="429">
        <v>3.75</v>
      </c>
      <c r="H84" s="515" t="s">
        <v>178</v>
      </c>
      <c r="I84" s="519">
        <v>12</v>
      </c>
      <c r="J84" s="520">
        <v>0</v>
      </c>
      <c r="K84" s="417">
        <v>0</v>
      </c>
      <c r="L84" s="413">
        <v>0</v>
      </c>
      <c r="M84" s="420">
        <v>0</v>
      </c>
    </row>
    <row r="85" spans="1:13" x14ac:dyDescent="0.25">
      <c r="A85" s="281"/>
      <c r="B85" s="281" t="s">
        <v>274</v>
      </c>
      <c r="C85" s="282" t="s">
        <v>275</v>
      </c>
      <c r="D85" s="429">
        <v>0.69565217391304346</v>
      </c>
      <c r="H85" s="525" t="s">
        <v>300</v>
      </c>
      <c r="I85" s="519">
        <v>59</v>
      </c>
      <c r="J85" s="520">
        <v>0</v>
      </c>
      <c r="K85" s="417">
        <v>0</v>
      </c>
      <c r="L85" s="413">
        <v>0</v>
      </c>
      <c r="M85" s="420">
        <v>0</v>
      </c>
    </row>
    <row r="86" spans="1:13" x14ac:dyDescent="0.25">
      <c r="A86" s="281"/>
      <c r="B86" s="281" t="s">
        <v>276</v>
      </c>
      <c r="C86" s="282" t="s">
        <v>277</v>
      </c>
      <c r="D86" s="429">
        <v>0.71111111111111103</v>
      </c>
      <c r="H86" s="523" t="s">
        <v>1260</v>
      </c>
      <c r="I86" s="519">
        <v>59</v>
      </c>
      <c r="J86" s="520">
        <v>0</v>
      </c>
      <c r="K86" s="417">
        <v>0</v>
      </c>
      <c r="L86" s="413">
        <v>0</v>
      </c>
      <c r="M86" s="420">
        <v>0</v>
      </c>
    </row>
    <row r="87" spans="1:13" x14ac:dyDescent="0.25">
      <c r="A87" s="281"/>
      <c r="B87" s="281" t="s">
        <v>260</v>
      </c>
      <c r="C87" s="282" t="s">
        <v>261</v>
      </c>
      <c r="D87" s="429">
        <v>0.79207920792079212</v>
      </c>
      <c r="H87" s="525" t="s">
        <v>180</v>
      </c>
      <c r="I87" s="519">
        <v>31</v>
      </c>
      <c r="J87" s="520">
        <v>0</v>
      </c>
      <c r="K87" s="417">
        <v>0</v>
      </c>
      <c r="L87" s="413">
        <v>0</v>
      </c>
      <c r="M87" s="420">
        <v>0</v>
      </c>
    </row>
    <row r="88" spans="1:13" x14ac:dyDescent="0.25">
      <c r="A88" s="281"/>
      <c r="B88" s="281" t="s">
        <v>280</v>
      </c>
      <c r="C88" s="282" t="s">
        <v>281</v>
      </c>
      <c r="D88" s="429">
        <v>0.5617977528089888</v>
      </c>
      <c r="H88" s="523" t="s">
        <v>181</v>
      </c>
      <c r="I88" s="516">
        <v>12</v>
      </c>
      <c r="J88" s="517">
        <v>0</v>
      </c>
      <c r="K88" s="416">
        <v>0</v>
      </c>
      <c r="L88" s="412">
        <v>0</v>
      </c>
      <c r="M88" s="419">
        <v>0</v>
      </c>
    </row>
    <row r="89" spans="1:13" x14ac:dyDescent="0.25">
      <c r="A89" s="281"/>
      <c r="B89" s="281" t="s">
        <v>244</v>
      </c>
      <c r="C89" s="282" t="s">
        <v>245</v>
      </c>
      <c r="D89" s="429">
        <v>1</v>
      </c>
      <c r="H89" s="523" t="s">
        <v>287</v>
      </c>
      <c r="I89" s="519">
        <v>19</v>
      </c>
      <c r="J89" s="520">
        <v>0</v>
      </c>
      <c r="K89" s="417">
        <v>0</v>
      </c>
      <c r="L89" s="413">
        <v>0</v>
      </c>
      <c r="M89" s="420">
        <v>0</v>
      </c>
    </row>
    <row r="90" spans="1:13" x14ac:dyDescent="0.25">
      <c r="A90" s="281"/>
      <c r="B90" s="281" t="s">
        <v>246</v>
      </c>
      <c r="C90" s="282" t="s">
        <v>247</v>
      </c>
      <c r="D90" s="429">
        <v>0.15</v>
      </c>
      <c r="H90" s="521" t="s">
        <v>146</v>
      </c>
      <c r="I90" s="519"/>
      <c r="J90" s="520"/>
      <c r="K90" s="417"/>
      <c r="L90" s="413"/>
      <c r="M90" s="420"/>
    </row>
    <row r="91" spans="1:13" x14ac:dyDescent="0.25">
      <c r="A91" s="281"/>
      <c r="B91" s="281" t="s">
        <v>242</v>
      </c>
      <c r="C91" s="282" t="s">
        <v>243</v>
      </c>
      <c r="D91" s="429">
        <v>0.5</v>
      </c>
      <c r="H91" s="525" t="s">
        <v>146</v>
      </c>
      <c r="I91" s="519">
        <v>926</v>
      </c>
      <c r="J91" s="520">
        <v>553</v>
      </c>
      <c r="K91" s="417">
        <v>553</v>
      </c>
      <c r="L91" s="413">
        <v>0.59719222462203025</v>
      </c>
      <c r="M91" s="420">
        <v>0.59719222462203025</v>
      </c>
    </row>
    <row r="92" spans="1:13" x14ac:dyDescent="0.25">
      <c r="A92" s="281"/>
      <c r="B92" s="281" t="s">
        <v>256</v>
      </c>
      <c r="C92" s="282" t="s">
        <v>257</v>
      </c>
      <c r="D92" s="429">
        <v>0.10416666666666667</v>
      </c>
      <c r="H92" s="523" t="s">
        <v>1403</v>
      </c>
      <c r="I92" s="516">
        <v>146</v>
      </c>
      <c r="J92" s="517">
        <v>146</v>
      </c>
      <c r="K92" s="416">
        <v>146</v>
      </c>
      <c r="L92" s="412">
        <v>1</v>
      </c>
      <c r="M92" s="419">
        <v>1</v>
      </c>
    </row>
    <row r="93" spans="1:13" x14ac:dyDescent="0.25">
      <c r="A93" s="281"/>
      <c r="B93" s="281" t="s">
        <v>284</v>
      </c>
      <c r="C93" s="282" t="s">
        <v>285</v>
      </c>
      <c r="D93" s="429">
        <v>1.4705882352941178</v>
      </c>
      <c r="H93" s="523" t="s">
        <v>1315</v>
      </c>
      <c r="I93" s="516">
        <v>105</v>
      </c>
      <c r="J93" s="517">
        <v>105</v>
      </c>
      <c r="K93" s="416">
        <v>105</v>
      </c>
      <c r="L93" s="412">
        <v>1</v>
      </c>
      <c r="M93" s="419">
        <v>1</v>
      </c>
    </row>
    <row r="94" spans="1:13" x14ac:dyDescent="0.25">
      <c r="A94" s="281"/>
      <c r="B94" s="281" t="s">
        <v>239</v>
      </c>
      <c r="C94" s="282" t="s">
        <v>240</v>
      </c>
      <c r="D94" s="429">
        <v>0.8</v>
      </c>
      <c r="H94" s="523" t="s">
        <v>373</v>
      </c>
      <c r="I94" s="516">
        <v>189</v>
      </c>
      <c r="J94" s="517">
        <v>88</v>
      </c>
      <c r="K94" s="416">
        <v>88</v>
      </c>
      <c r="L94" s="412">
        <v>0.46560846560846558</v>
      </c>
      <c r="M94" s="419">
        <v>0.46560846560846558</v>
      </c>
    </row>
    <row r="95" spans="1:13" x14ac:dyDescent="0.25">
      <c r="A95" s="281"/>
      <c r="B95" s="281" t="s">
        <v>258</v>
      </c>
      <c r="C95" s="282" t="s">
        <v>259</v>
      </c>
      <c r="D95" s="429">
        <v>0.32786885245901637</v>
      </c>
      <c r="H95" s="524" t="s">
        <v>371</v>
      </c>
      <c r="I95" s="519">
        <v>46</v>
      </c>
      <c r="J95" s="520">
        <v>41</v>
      </c>
      <c r="K95" s="417">
        <v>41</v>
      </c>
      <c r="L95" s="413">
        <v>0.89130434782608692</v>
      </c>
      <c r="M95" s="420">
        <v>0.89130434782608692</v>
      </c>
    </row>
    <row r="96" spans="1:13" x14ac:dyDescent="0.25">
      <c r="A96" s="281"/>
      <c r="B96" s="281" t="s">
        <v>252</v>
      </c>
      <c r="C96" s="282" t="s">
        <v>253</v>
      </c>
      <c r="D96" s="429">
        <v>0.7804878048780487</v>
      </c>
      <c r="H96" s="523" t="s">
        <v>1658</v>
      </c>
      <c r="I96" s="516">
        <v>40</v>
      </c>
      <c r="J96" s="517">
        <v>40</v>
      </c>
      <c r="K96" s="416">
        <v>40</v>
      </c>
      <c r="L96" s="412">
        <v>1</v>
      </c>
      <c r="M96" s="419">
        <v>1</v>
      </c>
    </row>
    <row r="97" spans="1:13" x14ac:dyDescent="0.25">
      <c r="A97" s="281"/>
      <c r="B97" s="281" t="s">
        <v>254</v>
      </c>
      <c r="C97" s="282" t="s">
        <v>255</v>
      </c>
      <c r="D97" s="429">
        <v>0.80808080808080807</v>
      </c>
      <c r="H97" s="524" t="s">
        <v>149</v>
      </c>
      <c r="I97" s="519">
        <v>64</v>
      </c>
      <c r="J97" s="520">
        <v>38</v>
      </c>
      <c r="K97" s="417">
        <v>38</v>
      </c>
      <c r="L97" s="413">
        <v>0.59375</v>
      </c>
      <c r="M97" s="420">
        <v>0.59375</v>
      </c>
    </row>
    <row r="98" spans="1:13" x14ac:dyDescent="0.25">
      <c r="A98" s="281"/>
      <c r="B98" s="281" t="s">
        <v>262</v>
      </c>
      <c r="C98" s="282" t="s">
        <v>263</v>
      </c>
      <c r="D98" s="429">
        <v>1.5238095238095239</v>
      </c>
      <c r="H98" s="523" t="s">
        <v>1406</v>
      </c>
      <c r="I98" s="516">
        <v>37</v>
      </c>
      <c r="J98" s="517">
        <v>37</v>
      </c>
      <c r="K98" s="416">
        <v>37</v>
      </c>
      <c r="L98" s="412">
        <v>1</v>
      </c>
      <c r="M98" s="419">
        <v>1</v>
      </c>
    </row>
    <row r="99" spans="1:13" x14ac:dyDescent="0.25">
      <c r="A99" s="281"/>
      <c r="B99" s="281" t="s">
        <v>264</v>
      </c>
      <c r="C99" s="282" t="s">
        <v>265</v>
      </c>
      <c r="D99" s="429">
        <v>1.3571428571428572</v>
      </c>
      <c r="H99" s="523" t="s">
        <v>1422</v>
      </c>
      <c r="I99" s="516">
        <v>30</v>
      </c>
      <c r="J99" s="517">
        <v>30</v>
      </c>
      <c r="K99" s="416">
        <v>30</v>
      </c>
      <c r="L99" s="412">
        <v>1</v>
      </c>
      <c r="M99" s="419">
        <v>1</v>
      </c>
    </row>
    <row r="100" spans="1:13" x14ac:dyDescent="0.25">
      <c r="A100" s="281"/>
      <c r="B100" s="281" t="s">
        <v>282</v>
      </c>
      <c r="C100" s="282" t="s">
        <v>283</v>
      </c>
      <c r="D100" s="429">
        <v>3.4285714285714284</v>
      </c>
      <c r="H100" s="523" t="s">
        <v>1102</v>
      </c>
      <c r="I100" s="516">
        <v>22</v>
      </c>
      <c r="J100" s="517">
        <v>22</v>
      </c>
      <c r="K100" s="416">
        <v>22</v>
      </c>
      <c r="L100" s="412">
        <v>1</v>
      </c>
      <c r="M100" s="419">
        <v>1</v>
      </c>
    </row>
    <row r="101" spans="1:13" x14ac:dyDescent="0.25">
      <c r="A101" s="281"/>
      <c r="B101" s="281" t="s">
        <v>270</v>
      </c>
      <c r="C101" s="282" t="s">
        <v>271</v>
      </c>
      <c r="D101" s="429">
        <v>0.98529411764705888</v>
      </c>
      <c r="H101" s="523" t="s">
        <v>368</v>
      </c>
      <c r="I101" s="516">
        <v>69</v>
      </c>
      <c r="J101" s="517">
        <v>6</v>
      </c>
      <c r="K101" s="416">
        <v>6</v>
      </c>
      <c r="L101" s="412">
        <v>8.6956521739130432E-2</v>
      </c>
      <c r="M101" s="419">
        <v>8.6956521739130432E-2</v>
      </c>
    </row>
    <row r="102" spans="1:13" x14ac:dyDescent="0.25">
      <c r="A102" s="281"/>
      <c r="B102" s="281" t="s">
        <v>272</v>
      </c>
      <c r="C102" s="282" t="s">
        <v>273</v>
      </c>
      <c r="D102" s="429">
        <v>0.95652173913043481</v>
      </c>
      <c r="H102" s="523" t="s">
        <v>372</v>
      </c>
      <c r="I102" s="516">
        <v>88</v>
      </c>
      <c r="J102" s="517">
        <v>0</v>
      </c>
      <c r="K102" s="416">
        <v>0</v>
      </c>
      <c r="L102" s="412">
        <v>0</v>
      </c>
      <c r="M102" s="419">
        <v>0</v>
      </c>
    </row>
    <row r="103" spans="1:13" x14ac:dyDescent="0.25">
      <c r="A103" s="282"/>
      <c r="B103" s="282" t="s">
        <v>241</v>
      </c>
      <c r="C103" s="282" t="s">
        <v>1244</v>
      </c>
      <c r="D103" s="430">
        <v>2.3518518518518521</v>
      </c>
      <c r="H103" s="523" t="s">
        <v>370</v>
      </c>
      <c r="I103" s="516">
        <v>30</v>
      </c>
      <c r="J103" s="517">
        <v>0</v>
      </c>
      <c r="K103" s="416">
        <v>0</v>
      </c>
      <c r="L103" s="412">
        <v>0</v>
      </c>
      <c r="M103" s="419">
        <v>0</v>
      </c>
    </row>
    <row r="104" spans="1:13" x14ac:dyDescent="0.25">
      <c r="A104" s="281" t="s">
        <v>289</v>
      </c>
      <c r="B104" s="281" t="s">
        <v>288</v>
      </c>
      <c r="C104" s="282" t="s">
        <v>290</v>
      </c>
      <c r="D104" s="429">
        <v>0.43478260869565216</v>
      </c>
      <c r="H104" s="524" t="s">
        <v>369</v>
      </c>
      <c r="I104" s="519">
        <v>60</v>
      </c>
      <c r="J104" s="520">
        <v>0</v>
      </c>
      <c r="K104" s="417">
        <v>0</v>
      </c>
      <c r="L104" s="413">
        <v>0</v>
      </c>
      <c r="M104" s="420">
        <v>0</v>
      </c>
    </row>
    <row r="105" spans="1:13" x14ac:dyDescent="0.25">
      <c r="A105" s="281"/>
      <c r="B105" s="281" t="s">
        <v>291</v>
      </c>
      <c r="C105" s="282" t="s">
        <v>292</v>
      </c>
      <c r="D105" s="429">
        <v>1.3066666666666666</v>
      </c>
      <c r="H105" s="521" t="s">
        <v>151</v>
      </c>
      <c r="I105" s="519"/>
      <c r="J105" s="520"/>
      <c r="K105" s="417"/>
      <c r="L105" s="413"/>
      <c r="M105" s="420"/>
    </row>
    <row r="106" spans="1:13" x14ac:dyDescent="0.25">
      <c r="A106" s="281"/>
      <c r="B106" s="281" t="s">
        <v>1056</v>
      </c>
      <c r="C106" s="282" t="s">
        <v>1055</v>
      </c>
      <c r="D106" s="429">
        <v>1</v>
      </c>
      <c r="H106" s="525" t="s">
        <v>151</v>
      </c>
      <c r="I106" s="519">
        <v>2562</v>
      </c>
      <c r="J106" s="520">
        <v>1100</v>
      </c>
      <c r="K106" s="417">
        <v>1100</v>
      </c>
      <c r="L106" s="413">
        <v>0.42935206869633097</v>
      </c>
      <c r="M106" s="420">
        <v>0.42935206869633097</v>
      </c>
    </row>
    <row r="107" spans="1:13" x14ac:dyDescent="0.25">
      <c r="A107" s="281"/>
      <c r="B107" s="282" t="s">
        <v>1060</v>
      </c>
      <c r="C107" s="282" t="s">
        <v>1067</v>
      </c>
      <c r="D107" s="430">
        <v>0.5950413223140496</v>
      </c>
      <c r="H107" s="522" t="s">
        <v>154</v>
      </c>
      <c r="I107" s="516">
        <v>480</v>
      </c>
      <c r="J107" s="517">
        <v>280</v>
      </c>
      <c r="K107" s="416">
        <v>280</v>
      </c>
      <c r="L107" s="412">
        <v>0.58333333333333337</v>
      </c>
      <c r="M107" s="419">
        <v>0.58333333333333337</v>
      </c>
    </row>
    <row r="108" spans="1:13" x14ac:dyDescent="0.25">
      <c r="A108" s="282"/>
      <c r="B108" s="334" t="s">
        <v>295</v>
      </c>
      <c r="C108" s="334" t="s">
        <v>374</v>
      </c>
      <c r="D108" s="284">
        <v>0</v>
      </c>
      <c r="H108" s="523" t="s">
        <v>188</v>
      </c>
      <c r="I108" s="516">
        <v>418</v>
      </c>
      <c r="J108" s="517">
        <v>228</v>
      </c>
      <c r="K108" s="416">
        <v>228</v>
      </c>
      <c r="L108" s="412">
        <v>0.54545454545454541</v>
      </c>
      <c r="M108" s="419">
        <v>0.54545454545454541</v>
      </c>
    </row>
    <row r="109" spans="1:13" x14ac:dyDescent="0.25">
      <c r="A109" s="282" t="s">
        <v>298</v>
      </c>
      <c r="B109" s="282" t="s">
        <v>297</v>
      </c>
      <c r="C109" s="282" t="s">
        <v>821</v>
      </c>
      <c r="D109" s="430">
        <v>1.25</v>
      </c>
      <c r="H109" s="522" t="s">
        <v>1061</v>
      </c>
      <c r="I109" s="516">
        <v>147</v>
      </c>
      <c r="J109" s="517">
        <v>147</v>
      </c>
      <c r="K109" s="416">
        <v>147</v>
      </c>
      <c r="L109" s="412">
        <v>1</v>
      </c>
      <c r="M109" s="419">
        <v>1</v>
      </c>
    </row>
    <row r="110" spans="1:13" x14ac:dyDescent="0.25">
      <c r="A110" s="281" t="s">
        <v>302</v>
      </c>
      <c r="B110" s="281" t="s">
        <v>305</v>
      </c>
      <c r="C110" s="282" t="s">
        <v>306</v>
      </c>
      <c r="D110" s="429">
        <v>0.48837209302325579</v>
      </c>
      <c r="H110" s="523" t="s">
        <v>942</v>
      </c>
      <c r="I110" s="516">
        <v>167</v>
      </c>
      <c r="J110" s="517">
        <v>117</v>
      </c>
      <c r="K110" s="416">
        <v>117</v>
      </c>
      <c r="L110" s="412">
        <v>0.70059880239520955</v>
      </c>
      <c r="M110" s="419">
        <v>0.70059880239520955</v>
      </c>
    </row>
    <row r="111" spans="1:13" x14ac:dyDescent="0.25">
      <c r="A111" s="282"/>
      <c r="B111" s="282" t="s">
        <v>307</v>
      </c>
      <c r="C111" s="282" t="s">
        <v>308</v>
      </c>
      <c r="D111" s="430">
        <v>1.4375</v>
      </c>
      <c r="H111" s="522" t="s">
        <v>1095</v>
      </c>
      <c r="I111" s="516">
        <v>112</v>
      </c>
      <c r="J111" s="517">
        <v>112</v>
      </c>
      <c r="K111" s="416">
        <v>112</v>
      </c>
      <c r="L111" s="412">
        <v>1</v>
      </c>
      <c r="M111" s="419">
        <v>1</v>
      </c>
    </row>
    <row r="112" spans="1:13" x14ac:dyDescent="0.25">
      <c r="A112" s="281" t="s">
        <v>310</v>
      </c>
      <c r="B112" s="281" t="s">
        <v>341</v>
      </c>
      <c r="C112" s="282" t="s">
        <v>342</v>
      </c>
      <c r="D112" s="429">
        <v>0.59375</v>
      </c>
      <c r="H112" s="523" t="s">
        <v>152</v>
      </c>
      <c r="I112" s="516">
        <v>195</v>
      </c>
      <c r="J112" s="517">
        <v>90</v>
      </c>
      <c r="K112" s="416">
        <v>90</v>
      </c>
      <c r="L112" s="412">
        <v>0.46153846153846156</v>
      </c>
      <c r="M112" s="419">
        <v>0.46153846153846156</v>
      </c>
    </row>
    <row r="113" spans="1:13" x14ac:dyDescent="0.25">
      <c r="A113" s="281"/>
      <c r="B113" s="281" t="s">
        <v>350</v>
      </c>
      <c r="C113" s="282" t="s">
        <v>351</v>
      </c>
      <c r="D113" s="429">
        <v>1.1494252873563218</v>
      </c>
      <c r="H113" s="523" t="s">
        <v>885</v>
      </c>
      <c r="I113" s="516">
        <v>389</v>
      </c>
      <c r="J113" s="517">
        <v>80</v>
      </c>
      <c r="K113" s="416">
        <v>80</v>
      </c>
      <c r="L113" s="412">
        <v>0.20565552699228792</v>
      </c>
      <c r="M113" s="419">
        <v>0.20565552699228792</v>
      </c>
    </row>
    <row r="114" spans="1:13" x14ac:dyDescent="0.25">
      <c r="A114" s="281"/>
      <c r="B114" s="281" t="s">
        <v>319</v>
      </c>
      <c r="C114" s="282" t="s">
        <v>320</v>
      </c>
      <c r="D114" s="429">
        <v>0.92592592592592593</v>
      </c>
      <c r="H114" s="523" t="s">
        <v>160</v>
      </c>
      <c r="I114" s="516">
        <v>107</v>
      </c>
      <c r="J114" s="517">
        <v>33</v>
      </c>
      <c r="K114" s="416">
        <v>33</v>
      </c>
      <c r="L114" s="412">
        <v>0.30841121495327101</v>
      </c>
      <c r="M114" s="419">
        <v>0.30841121495327101</v>
      </c>
    </row>
    <row r="115" spans="1:13" x14ac:dyDescent="0.25">
      <c r="A115" s="281"/>
      <c r="B115" s="281" t="s">
        <v>312</v>
      </c>
      <c r="C115" s="282" t="s">
        <v>313</v>
      </c>
      <c r="D115" s="429">
        <v>1.0606060606060606</v>
      </c>
      <c r="H115" s="526" t="s">
        <v>198</v>
      </c>
      <c r="I115" s="519">
        <v>547</v>
      </c>
      <c r="J115" s="520">
        <v>13</v>
      </c>
      <c r="K115" s="417">
        <v>13</v>
      </c>
      <c r="L115" s="413">
        <v>2.376599634369287E-2</v>
      </c>
      <c r="M115" s="420">
        <v>2.376599634369287E-2</v>
      </c>
    </row>
    <row r="116" spans="1:13" x14ac:dyDescent="0.25">
      <c r="A116" s="281"/>
      <c r="B116" s="281" t="s">
        <v>329</v>
      </c>
      <c r="C116" s="282" t="s">
        <v>330</v>
      </c>
      <c r="D116" s="429">
        <v>0.94170403587443952</v>
      </c>
      <c r="H116" s="521" t="s">
        <v>185</v>
      </c>
      <c r="I116" s="519"/>
      <c r="J116" s="520"/>
      <c r="K116" s="417"/>
      <c r="L116" s="413"/>
      <c r="M116" s="420"/>
    </row>
    <row r="117" spans="1:13" x14ac:dyDescent="0.25">
      <c r="A117" s="281"/>
      <c r="B117" s="281" t="s">
        <v>337</v>
      </c>
      <c r="C117" s="282" t="s">
        <v>338</v>
      </c>
      <c r="D117" s="429">
        <v>1.258064516129032</v>
      </c>
      <c r="H117" s="525" t="s">
        <v>185</v>
      </c>
      <c r="I117" s="519">
        <v>2828</v>
      </c>
      <c r="J117" s="520">
        <v>445</v>
      </c>
      <c r="K117" s="417">
        <v>445</v>
      </c>
      <c r="L117" s="413">
        <v>0.15735502121640735</v>
      </c>
      <c r="M117" s="420">
        <v>0.15735502121640735</v>
      </c>
    </row>
    <row r="118" spans="1:13" x14ac:dyDescent="0.25">
      <c r="A118" s="281"/>
      <c r="B118" s="281" t="s">
        <v>327</v>
      </c>
      <c r="C118" s="282" t="s">
        <v>328</v>
      </c>
      <c r="D118" s="429">
        <v>0.71812080536912748</v>
      </c>
      <c r="H118" s="523" t="s">
        <v>190</v>
      </c>
      <c r="I118" s="516">
        <v>194</v>
      </c>
      <c r="J118" s="517">
        <v>112</v>
      </c>
      <c r="K118" s="416">
        <v>112</v>
      </c>
      <c r="L118" s="412">
        <v>0.57731958762886593</v>
      </c>
      <c r="M118" s="419">
        <v>0.57731958762886593</v>
      </c>
    </row>
    <row r="119" spans="1:13" x14ac:dyDescent="0.25">
      <c r="A119" s="281"/>
      <c r="B119" s="281" t="s">
        <v>317</v>
      </c>
      <c r="C119" s="282" t="s">
        <v>318</v>
      </c>
      <c r="D119" s="429">
        <v>1.054945054945055</v>
      </c>
      <c r="H119" s="522" t="s">
        <v>202</v>
      </c>
      <c r="I119" s="516">
        <v>265</v>
      </c>
      <c r="J119" s="517">
        <v>112</v>
      </c>
      <c r="K119" s="416">
        <v>112</v>
      </c>
      <c r="L119" s="412">
        <v>0.42264150943396228</v>
      </c>
      <c r="M119" s="419">
        <v>0.42264150943396228</v>
      </c>
    </row>
    <row r="120" spans="1:13" x14ac:dyDescent="0.25">
      <c r="A120" s="281"/>
      <c r="B120" s="281" t="s">
        <v>348</v>
      </c>
      <c r="C120" s="282" t="s">
        <v>349</v>
      </c>
      <c r="D120" s="429">
        <v>1.7954545454545454</v>
      </c>
      <c r="H120" s="522" t="s">
        <v>209</v>
      </c>
      <c r="I120" s="516">
        <v>387</v>
      </c>
      <c r="J120" s="517">
        <v>111</v>
      </c>
      <c r="K120" s="416">
        <v>111</v>
      </c>
      <c r="L120" s="412">
        <v>0.2868217054263566</v>
      </c>
      <c r="M120" s="419">
        <v>0.2868217054263566</v>
      </c>
    </row>
    <row r="121" spans="1:13" x14ac:dyDescent="0.25">
      <c r="A121" s="281"/>
      <c r="B121" s="281" t="s">
        <v>315</v>
      </c>
      <c r="C121" s="282" t="s">
        <v>316</v>
      </c>
      <c r="D121" s="429">
        <v>0.7857142857142857</v>
      </c>
      <c r="H121" s="523" t="s">
        <v>223</v>
      </c>
      <c r="I121" s="516">
        <v>148</v>
      </c>
      <c r="J121" s="517">
        <v>81</v>
      </c>
      <c r="K121" s="416">
        <v>81</v>
      </c>
      <c r="L121" s="412">
        <v>0.54729729729729726</v>
      </c>
      <c r="M121" s="419">
        <v>0.54729729729729726</v>
      </c>
    </row>
    <row r="122" spans="1:13" x14ac:dyDescent="0.25">
      <c r="A122" s="281"/>
      <c r="B122" s="281" t="s">
        <v>325</v>
      </c>
      <c r="C122" s="282" t="s">
        <v>326</v>
      </c>
      <c r="D122" s="429">
        <v>0.88888888888888884</v>
      </c>
      <c r="H122" s="523" t="s">
        <v>194</v>
      </c>
      <c r="I122" s="516">
        <v>641</v>
      </c>
      <c r="J122" s="517">
        <v>23</v>
      </c>
      <c r="K122" s="416">
        <v>23</v>
      </c>
      <c r="L122" s="412">
        <v>3.5881435257410298E-2</v>
      </c>
      <c r="M122" s="419">
        <v>3.5881435257410298E-2</v>
      </c>
    </row>
    <row r="123" spans="1:13" x14ac:dyDescent="0.25">
      <c r="A123" s="281"/>
      <c r="B123" s="281" t="s">
        <v>323</v>
      </c>
      <c r="C123" s="282" t="s">
        <v>324</v>
      </c>
      <c r="D123" s="429">
        <v>0.97664543524416136</v>
      </c>
      <c r="H123" s="523" t="s">
        <v>229</v>
      </c>
      <c r="I123" s="516">
        <v>49</v>
      </c>
      <c r="J123" s="517">
        <v>4</v>
      </c>
      <c r="K123" s="416">
        <v>4</v>
      </c>
      <c r="L123" s="412">
        <v>8.1632653061224483E-2</v>
      </c>
      <c r="M123" s="419">
        <v>8.1632653061224483E-2</v>
      </c>
    </row>
    <row r="124" spans="1:13" x14ac:dyDescent="0.25">
      <c r="A124" s="281"/>
      <c r="B124" s="281" t="s">
        <v>346</v>
      </c>
      <c r="C124" s="282" t="s">
        <v>347</v>
      </c>
      <c r="D124" s="429">
        <v>1.4340659340659341</v>
      </c>
      <c r="H124" s="523" t="s">
        <v>225</v>
      </c>
      <c r="I124" s="516">
        <v>41</v>
      </c>
      <c r="J124" s="517">
        <v>1</v>
      </c>
      <c r="K124" s="416">
        <v>1</v>
      </c>
      <c r="L124" s="412">
        <v>2.4390243902439025E-2</v>
      </c>
      <c r="M124" s="419">
        <v>2.4390243902439025E-2</v>
      </c>
    </row>
    <row r="125" spans="1:13" x14ac:dyDescent="0.25">
      <c r="A125" s="281"/>
      <c r="B125" s="281" t="s">
        <v>333</v>
      </c>
      <c r="C125" s="282" t="s">
        <v>334</v>
      </c>
      <c r="D125" s="429">
        <v>1.4720496894409938</v>
      </c>
      <c r="H125" s="523" t="s">
        <v>186</v>
      </c>
      <c r="I125" s="516">
        <v>40</v>
      </c>
      <c r="J125" s="517">
        <v>1</v>
      </c>
      <c r="K125" s="416">
        <v>1</v>
      </c>
      <c r="L125" s="412">
        <v>2.5000000000000001E-2</v>
      </c>
      <c r="M125" s="419">
        <v>2.5000000000000001E-2</v>
      </c>
    </row>
    <row r="126" spans="1:13" x14ac:dyDescent="0.25">
      <c r="A126" s="281"/>
      <c r="B126" s="281" t="s">
        <v>335</v>
      </c>
      <c r="C126" s="282" t="s">
        <v>336</v>
      </c>
      <c r="D126" s="429">
        <v>2.5</v>
      </c>
      <c r="H126" s="523" t="s">
        <v>192</v>
      </c>
      <c r="I126" s="516">
        <v>109</v>
      </c>
      <c r="J126" s="517">
        <v>0</v>
      </c>
      <c r="K126" s="416">
        <v>0</v>
      </c>
      <c r="L126" s="412">
        <v>0</v>
      </c>
      <c r="M126" s="419">
        <v>0</v>
      </c>
    </row>
    <row r="127" spans="1:13" x14ac:dyDescent="0.25">
      <c r="A127" s="281"/>
      <c r="B127" s="281" t="s">
        <v>352</v>
      </c>
      <c r="C127" s="282" t="s">
        <v>353</v>
      </c>
      <c r="D127" s="429">
        <v>0.11670313639679067</v>
      </c>
      <c r="H127" s="523" t="s">
        <v>215</v>
      </c>
      <c r="I127" s="516">
        <v>355</v>
      </c>
      <c r="J127" s="517">
        <v>0</v>
      </c>
      <c r="K127" s="416">
        <v>0</v>
      </c>
      <c r="L127" s="412">
        <v>0</v>
      </c>
      <c r="M127" s="419">
        <v>0</v>
      </c>
    </row>
    <row r="128" spans="1:13" x14ac:dyDescent="0.25">
      <c r="A128" s="281"/>
      <c r="B128" s="281" t="s">
        <v>321</v>
      </c>
      <c r="C128" s="282" t="s">
        <v>322</v>
      </c>
      <c r="D128" s="429">
        <v>1.0324786324786326</v>
      </c>
      <c r="H128" s="526" t="s">
        <v>219</v>
      </c>
      <c r="I128" s="519">
        <v>599</v>
      </c>
      <c r="J128" s="520">
        <v>0</v>
      </c>
      <c r="K128" s="417">
        <v>0</v>
      </c>
      <c r="L128" s="413">
        <v>0</v>
      </c>
      <c r="M128" s="420">
        <v>0</v>
      </c>
    </row>
    <row r="129" spans="1:13" x14ac:dyDescent="0.25">
      <c r="A129" s="281"/>
      <c r="B129" s="281" t="s">
        <v>354</v>
      </c>
      <c r="C129" s="282" t="s">
        <v>355</v>
      </c>
      <c r="D129" s="429">
        <v>0.66326530612244894</v>
      </c>
      <c r="H129" s="521" t="s">
        <v>237</v>
      </c>
      <c r="I129" s="519"/>
      <c r="J129" s="520"/>
      <c r="K129" s="417"/>
      <c r="L129" s="413"/>
      <c r="M129" s="420"/>
    </row>
    <row r="130" spans="1:13" x14ac:dyDescent="0.25">
      <c r="A130" s="281"/>
      <c r="B130" s="281" t="s">
        <v>343</v>
      </c>
      <c r="C130" s="282" t="s">
        <v>344</v>
      </c>
      <c r="D130" s="429">
        <v>1.0555555555555556</v>
      </c>
      <c r="H130" s="525" t="s">
        <v>237</v>
      </c>
      <c r="I130" s="519">
        <v>1273</v>
      </c>
      <c r="J130" s="520">
        <v>326</v>
      </c>
      <c r="K130" s="417">
        <v>311</v>
      </c>
      <c r="L130" s="413">
        <v>0.25608798114689707</v>
      </c>
      <c r="M130" s="420">
        <v>0.24430479183032208</v>
      </c>
    </row>
    <row r="131" spans="1:13" x14ac:dyDescent="0.25">
      <c r="A131" s="281"/>
      <c r="B131" s="281" t="s">
        <v>345</v>
      </c>
      <c r="C131" s="282" t="s">
        <v>1243</v>
      </c>
      <c r="D131" s="429">
        <v>0.20114942528735633</v>
      </c>
      <c r="H131" s="523" t="s">
        <v>253</v>
      </c>
      <c r="I131" s="516">
        <v>205</v>
      </c>
      <c r="J131" s="517">
        <v>45</v>
      </c>
      <c r="K131" s="416">
        <v>45</v>
      </c>
      <c r="L131" s="412">
        <v>0.21951219512195122</v>
      </c>
      <c r="M131" s="419">
        <v>0.21951219512195122</v>
      </c>
    </row>
    <row r="132" spans="1:13" x14ac:dyDescent="0.25">
      <c r="A132" s="282"/>
      <c r="B132" s="282" t="s">
        <v>356</v>
      </c>
      <c r="C132" s="282" t="s">
        <v>1245</v>
      </c>
      <c r="D132" s="430">
        <v>1.5371287128712872</v>
      </c>
      <c r="H132" s="523" t="s">
        <v>257</v>
      </c>
      <c r="I132" s="516">
        <v>48</v>
      </c>
      <c r="J132" s="517">
        <v>43</v>
      </c>
      <c r="K132" s="416">
        <v>43</v>
      </c>
      <c r="L132" s="412">
        <v>0.89583333333333337</v>
      </c>
      <c r="M132" s="419">
        <v>0.89583333333333337</v>
      </c>
    </row>
    <row r="133" spans="1:13" x14ac:dyDescent="0.25">
      <c r="A133" s="281" t="s">
        <v>300</v>
      </c>
      <c r="B133" s="282" t="s">
        <v>1007</v>
      </c>
      <c r="C133" s="282" t="s">
        <v>859</v>
      </c>
      <c r="D133" s="430">
        <v>0</v>
      </c>
      <c r="H133" s="523" t="s">
        <v>259</v>
      </c>
      <c r="I133" s="516">
        <v>61</v>
      </c>
      <c r="J133" s="517">
        <v>41</v>
      </c>
      <c r="K133" s="416">
        <v>41</v>
      </c>
      <c r="L133" s="412">
        <v>0.67213114754098358</v>
      </c>
      <c r="M133" s="419">
        <v>0.67213114754098358</v>
      </c>
    </row>
    <row r="134" spans="1:13" x14ac:dyDescent="0.25">
      <c r="A134" s="282"/>
      <c r="B134" s="334" t="s">
        <v>1259</v>
      </c>
      <c r="C134" s="334" t="s">
        <v>1260</v>
      </c>
      <c r="D134" s="284">
        <v>1.0169491525423728</v>
      </c>
      <c r="H134" s="523" t="s">
        <v>281</v>
      </c>
      <c r="I134" s="516">
        <v>89</v>
      </c>
      <c r="J134" s="517">
        <v>39</v>
      </c>
      <c r="K134" s="416">
        <v>39</v>
      </c>
      <c r="L134" s="412">
        <v>0.43820224719101125</v>
      </c>
      <c r="M134" s="419">
        <v>0.43820224719101125</v>
      </c>
    </row>
    <row r="135" spans="1:13" x14ac:dyDescent="0.25">
      <c r="A135" s="281" t="s">
        <v>779</v>
      </c>
      <c r="B135" s="334" t="s">
        <v>1258</v>
      </c>
      <c r="C135" s="334" t="s">
        <v>1275</v>
      </c>
      <c r="D135" s="284">
        <v>1.1666666666666667</v>
      </c>
      <c r="H135" s="523" t="s">
        <v>277</v>
      </c>
      <c r="I135" s="516">
        <v>90</v>
      </c>
      <c r="J135" s="517">
        <v>26</v>
      </c>
      <c r="K135" s="416">
        <v>26</v>
      </c>
      <c r="L135" s="412">
        <v>0.28888888888888886</v>
      </c>
      <c r="M135" s="419">
        <v>0.28888888888888886</v>
      </c>
    </row>
    <row r="136" spans="1:13" x14ac:dyDescent="0.25">
      <c r="A136" s="282" t="s">
        <v>415</v>
      </c>
      <c r="B136" s="282"/>
      <c r="C136" s="282"/>
      <c r="D136" s="430">
        <v>171.36577864877438</v>
      </c>
      <c r="H136" s="523" t="s">
        <v>279</v>
      </c>
      <c r="I136" s="516">
        <v>22</v>
      </c>
      <c r="J136" s="517">
        <v>22</v>
      </c>
      <c r="K136" s="416">
        <v>22</v>
      </c>
      <c r="L136" s="412">
        <v>1</v>
      </c>
      <c r="M136" s="419">
        <v>1</v>
      </c>
    </row>
    <row r="137" spans="1:13" x14ac:dyDescent="0.25">
      <c r="B137"/>
      <c r="H137" s="523" t="s">
        <v>261</v>
      </c>
      <c r="I137" s="516">
        <v>101</v>
      </c>
      <c r="J137" s="517">
        <v>21</v>
      </c>
      <c r="K137" s="416">
        <v>21</v>
      </c>
      <c r="L137" s="412">
        <v>0.20792079207920791</v>
      </c>
      <c r="M137" s="419">
        <v>0.20792079207920791</v>
      </c>
    </row>
    <row r="138" spans="1:13" x14ac:dyDescent="0.25">
      <c r="B138"/>
      <c r="H138" s="523" t="s">
        <v>255</v>
      </c>
      <c r="I138" s="516">
        <v>99</v>
      </c>
      <c r="J138" s="517">
        <v>19</v>
      </c>
      <c r="K138" s="416">
        <v>19</v>
      </c>
      <c r="L138" s="412">
        <v>0.19191919191919191</v>
      </c>
      <c r="M138" s="419">
        <v>0.19191919191919191</v>
      </c>
    </row>
    <row r="139" spans="1:13" x14ac:dyDescent="0.25">
      <c r="B139"/>
      <c r="H139" s="523" t="s">
        <v>247</v>
      </c>
      <c r="I139" s="516">
        <v>20</v>
      </c>
      <c r="J139" s="517">
        <v>17</v>
      </c>
      <c r="K139" s="416">
        <v>17</v>
      </c>
      <c r="L139" s="412">
        <v>0.85</v>
      </c>
      <c r="M139" s="419">
        <v>0.85</v>
      </c>
    </row>
    <row r="140" spans="1:13" x14ac:dyDescent="0.25">
      <c r="B140"/>
      <c r="H140" s="515" t="s">
        <v>269</v>
      </c>
      <c r="I140" s="516">
        <v>67</v>
      </c>
      <c r="J140" s="517">
        <v>15</v>
      </c>
      <c r="K140" s="416">
        <v>0</v>
      </c>
      <c r="L140" s="412">
        <v>0.22388059701492538</v>
      </c>
      <c r="M140" s="419">
        <v>0</v>
      </c>
    </row>
    <row r="141" spans="1:13" x14ac:dyDescent="0.25">
      <c r="B141"/>
      <c r="H141" s="523" t="s">
        <v>275</v>
      </c>
      <c r="I141" s="516">
        <v>46</v>
      </c>
      <c r="J141" s="517">
        <v>14</v>
      </c>
      <c r="K141" s="416">
        <v>14</v>
      </c>
      <c r="L141" s="412">
        <v>0.30434782608695654</v>
      </c>
      <c r="M141" s="419">
        <v>0.30434782608695654</v>
      </c>
    </row>
    <row r="142" spans="1:13" x14ac:dyDescent="0.25">
      <c r="B142"/>
      <c r="H142" s="523" t="s">
        <v>251</v>
      </c>
      <c r="I142" s="516">
        <v>32</v>
      </c>
      <c r="J142" s="517">
        <v>12</v>
      </c>
      <c r="K142" s="416">
        <v>12</v>
      </c>
      <c r="L142" s="412">
        <v>0.375</v>
      </c>
      <c r="M142" s="419">
        <v>0.375</v>
      </c>
    </row>
    <row r="143" spans="1:13" x14ac:dyDescent="0.25">
      <c r="B143"/>
      <c r="H143" s="523" t="s">
        <v>240</v>
      </c>
      <c r="I143" s="516">
        <v>30</v>
      </c>
      <c r="J143" s="517">
        <v>6</v>
      </c>
      <c r="K143" s="416">
        <v>6</v>
      </c>
      <c r="L143" s="412">
        <v>0.2</v>
      </c>
      <c r="M143" s="419">
        <v>0.2</v>
      </c>
    </row>
    <row r="144" spans="1:13" x14ac:dyDescent="0.25">
      <c r="B144"/>
      <c r="H144" s="515" t="s">
        <v>243</v>
      </c>
      <c r="I144" s="516">
        <v>6</v>
      </c>
      <c r="J144" s="517">
        <v>3</v>
      </c>
      <c r="K144" s="416">
        <v>3</v>
      </c>
      <c r="L144" s="412">
        <v>0.5</v>
      </c>
      <c r="M144" s="419">
        <v>0.5</v>
      </c>
    </row>
    <row r="145" spans="2:13" x14ac:dyDescent="0.25">
      <c r="B145"/>
      <c r="H145" s="515" t="s">
        <v>273</v>
      </c>
      <c r="I145" s="516">
        <v>46</v>
      </c>
      <c r="J145" s="517">
        <v>2</v>
      </c>
      <c r="K145" s="416">
        <v>2</v>
      </c>
      <c r="L145" s="412">
        <v>4.3478260869565216E-2</v>
      </c>
      <c r="M145" s="419">
        <v>4.3478260869565216E-2</v>
      </c>
    </row>
    <row r="146" spans="2:13" x14ac:dyDescent="0.25">
      <c r="B146"/>
      <c r="H146" s="515" t="s">
        <v>271</v>
      </c>
      <c r="I146" s="516">
        <v>68</v>
      </c>
      <c r="J146" s="517">
        <v>1</v>
      </c>
      <c r="K146" s="416">
        <v>1</v>
      </c>
      <c r="L146" s="412">
        <v>1.4705882352941176E-2</v>
      </c>
      <c r="M146" s="419">
        <v>1.4705882352941176E-2</v>
      </c>
    </row>
    <row r="147" spans="2:13" x14ac:dyDescent="0.25">
      <c r="B147"/>
      <c r="H147" s="515" t="s">
        <v>249</v>
      </c>
      <c r="I147" s="516">
        <v>4</v>
      </c>
      <c r="J147" s="517">
        <v>0</v>
      </c>
      <c r="K147" s="416">
        <v>0</v>
      </c>
      <c r="L147" s="412">
        <v>0</v>
      </c>
      <c r="M147" s="419">
        <v>0</v>
      </c>
    </row>
    <row r="148" spans="2:13" x14ac:dyDescent="0.25">
      <c r="B148"/>
      <c r="H148" s="523" t="s">
        <v>285</v>
      </c>
      <c r="I148" s="516">
        <v>85</v>
      </c>
      <c r="J148" s="517">
        <v>0</v>
      </c>
      <c r="K148" s="416">
        <v>0</v>
      </c>
      <c r="L148" s="412">
        <v>0</v>
      </c>
      <c r="M148" s="419">
        <v>0</v>
      </c>
    </row>
    <row r="149" spans="2:13" x14ac:dyDescent="0.25">
      <c r="B149"/>
      <c r="H149" s="515" t="s">
        <v>245</v>
      </c>
      <c r="I149" s="516">
        <v>6</v>
      </c>
      <c r="J149" s="517">
        <v>0</v>
      </c>
      <c r="K149" s="416">
        <v>0</v>
      </c>
      <c r="L149" s="412">
        <v>0</v>
      </c>
      <c r="M149" s="419">
        <v>0</v>
      </c>
    </row>
    <row r="150" spans="2:13" x14ac:dyDescent="0.25">
      <c r="B150"/>
      <c r="H150" s="515" t="s">
        <v>263</v>
      </c>
      <c r="I150" s="516">
        <v>21</v>
      </c>
      <c r="J150" s="517">
        <v>0</v>
      </c>
      <c r="K150" s="416">
        <v>0</v>
      </c>
      <c r="L150" s="412">
        <v>0</v>
      </c>
      <c r="M150" s="419">
        <v>0</v>
      </c>
    </row>
    <row r="151" spans="2:13" x14ac:dyDescent="0.25">
      <c r="B151"/>
      <c r="H151" s="515" t="s">
        <v>283</v>
      </c>
      <c r="I151" s="516">
        <v>7</v>
      </c>
      <c r="J151" s="517">
        <v>0</v>
      </c>
      <c r="K151" s="416">
        <v>0</v>
      </c>
      <c r="L151" s="412">
        <v>0</v>
      </c>
      <c r="M151" s="419">
        <v>0</v>
      </c>
    </row>
    <row r="152" spans="2:13" x14ac:dyDescent="0.25">
      <c r="B152"/>
      <c r="H152" s="515" t="s">
        <v>1244</v>
      </c>
      <c r="I152" s="516">
        <v>54</v>
      </c>
      <c r="J152" s="517">
        <v>0</v>
      </c>
      <c r="K152" s="416">
        <v>0</v>
      </c>
      <c r="L152" s="412">
        <v>0</v>
      </c>
      <c r="M152" s="419">
        <v>0</v>
      </c>
    </row>
    <row r="153" spans="2:13" x14ac:dyDescent="0.25">
      <c r="B153"/>
      <c r="H153" s="515" t="s">
        <v>238</v>
      </c>
      <c r="I153" s="516">
        <v>52</v>
      </c>
      <c r="J153" s="517">
        <v>0</v>
      </c>
      <c r="K153" s="416">
        <v>0</v>
      </c>
      <c r="L153" s="412">
        <v>0</v>
      </c>
      <c r="M153" s="419">
        <v>0</v>
      </c>
    </row>
    <row r="154" spans="2:13" x14ac:dyDescent="0.25">
      <c r="B154"/>
      <c r="H154" s="518" t="s">
        <v>265</v>
      </c>
      <c r="I154" s="519">
        <v>14</v>
      </c>
      <c r="J154" s="520">
        <v>0</v>
      </c>
      <c r="K154" s="417">
        <v>0</v>
      </c>
      <c r="L154" s="413">
        <v>0</v>
      </c>
      <c r="M154" s="420">
        <v>0</v>
      </c>
    </row>
    <row r="155" spans="2:13" x14ac:dyDescent="0.25">
      <c r="B155"/>
      <c r="H155" s="521" t="s">
        <v>289</v>
      </c>
      <c r="I155" s="519"/>
      <c r="J155" s="520"/>
      <c r="K155" s="417"/>
      <c r="L155" s="413"/>
      <c r="M155" s="420"/>
    </row>
    <row r="156" spans="2:13" x14ac:dyDescent="0.25">
      <c r="B156"/>
      <c r="H156" s="525" t="s">
        <v>289</v>
      </c>
      <c r="I156" s="519">
        <v>596</v>
      </c>
      <c r="J156" s="520">
        <v>382</v>
      </c>
      <c r="K156" s="417">
        <v>382</v>
      </c>
      <c r="L156" s="413">
        <v>0.64093959731543626</v>
      </c>
      <c r="M156" s="420">
        <v>0.64093959731543626</v>
      </c>
    </row>
    <row r="157" spans="2:13" x14ac:dyDescent="0.25">
      <c r="B157"/>
      <c r="H157" s="523" t="s">
        <v>1404</v>
      </c>
      <c r="I157" s="516">
        <v>200</v>
      </c>
      <c r="J157" s="517">
        <v>200</v>
      </c>
      <c r="K157" s="416">
        <v>200</v>
      </c>
      <c r="L157" s="412">
        <v>1</v>
      </c>
      <c r="M157" s="419">
        <v>1</v>
      </c>
    </row>
    <row r="158" spans="2:13" x14ac:dyDescent="0.25">
      <c r="B158"/>
      <c r="H158" s="523" t="s">
        <v>1405</v>
      </c>
      <c r="I158" s="516">
        <v>61</v>
      </c>
      <c r="J158" s="517">
        <v>61</v>
      </c>
      <c r="K158" s="416">
        <v>61</v>
      </c>
      <c r="L158" s="412">
        <v>1</v>
      </c>
      <c r="M158" s="419">
        <v>1</v>
      </c>
    </row>
    <row r="159" spans="2:13" x14ac:dyDescent="0.25">
      <c r="B159"/>
      <c r="H159" s="522" t="s">
        <v>1067</v>
      </c>
      <c r="I159" s="516">
        <v>121</v>
      </c>
      <c r="J159" s="517">
        <v>49</v>
      </c>
      <c r="K159" s="416">
        <v>49</v>
      </c>
      <c r="L159" s="412">
        <v>0.4049586776859504</v>
      </c>
      <c r="M159" s="419">
        <v>0.4049586776859504</v>
      </c>
    </row>
    <row r="160" spans="2:13" x14ac:dyDescent="0.25">
      <c r="B160"/>
      <c r="H160" s="523" t="s">
        <v>290</v>
      </c>
      <c r="I160" s="516">
        <v>69</v>
      </c>
      <c r="J160" s="517">
        <v>39</v>
      </c>
      <c r="K160" s="416">
        <v>39</v>
      </c>
      <c r="L160" s="412">
        <v>0.56521739130434778</v>
      </c>
      <c r="M160" s="419">
        <v>0.56521739130434778</v>
      </c>
    </row>
    <row r="161" spans="2:13" x14ac:dyDescent="0.25">
      <c r="B161"/>
      <c r="H161" s="523" t="s">
        <v>374</v>
      </c>
      <c r="I161" s="516">
        <v>33</v>
      </c>
      <c r="J161" s="517">
        <v>33</v>
      </c>
      <c r="K161" s="416">
        <v>33</v>
      </c>
      <c r="L161" s="412">
        <v>1</v>
      </c>
      <c r="M161" s="419">
        <v>1</v>
      </c>
    </row>
    <row r="162" spans="2:13" x14ac:dyDescent="0.25">
      <c r="B162"/>
      <c r="H162" s="523" t="s">
        <v>1055</v>
      </c>
      <c r="I162" s="516">
        <v>37</v>
      </c>
      <c r="J162" s="517">
        <v>0</v>
      </c>
      <c r="K162" s="416">
        <v>0</v>
      </c>
      <c r="L162" s="412">
        <v>0</v>
      </c>
      <c r="M162" s="419">
        <v>0</v>
      </c>
    </row>
    <row r="163" spans="2:13" x14ac:dyDescent="0.25">
      <c r="B163"/>
      <c r="H163" s="524" t="s">
        <v>292</v>
      </c>
      <c r="I163" s="519">
        <v>75</v>
      </c>
      <c r="J163" s="520">
        <v>0</v>
      </c>
      <c r="K163" s="417">
        <v>0</v>
      </c>
      <c r="L163" s="413">
        <v>0</v>
      </c>
      <c r="M163" s="420">
        <v>0</v>
      </c>
    </row>
    <row r="164" spans="2:13" x14ac:dyDescent="0.25">
      <c r="B164"/>
      <c r="H164" s="521" t="s">
        <v>310</v>
      </c>
      <c r="I164" s="519"/>
      <c r="J164" s="520"/>
      <c r="K164" s="417"/>
      <c r="L164" s="413"/>
      <c r="M164" s="420"/>
    </row>
    <row r="165" spans="2:13" x14ac:dyDescent="0.25">
      <c r="B165"/>
      <c r="H165" s="525" t="s">
        <v>310</v>
      </c>
      <c r="I165" s="519">
        <v>6083</v>
      </c>
      <c r="J165" s="520">
        <v>1951</v>
      </c>
      <c r="K165" s="417">
        <v>1951</v>
      </c>
      <c r="L165" s="413">
        <v>0.320729903008384</v>
      </c>
      <c r="M165" s="420">
        <v>0.320729903008384</v>
      </c>
    </row>
    <row r="166" spans="2:13" x14ac:dyDescent="0.25">
      <c r="B166"/>
      <c r="H166" s="526" t="s">
        <v>353</v>
      </c>
      <c r="I166" s="519">
        <v>1371</v>
      </c>
      <c r="J166" s="520">
        <v>1211</v>
      </c>
      <c r="K166" s="417">
        <v>1211</v>
      </c>
      <c r="L166" s="413">
        <v>0.88329686360320936</v>
      </c>
      <c r="M166" s="420">
        <v>0.88329686360320936</v>
      </c>
    </row>
    <row r="167" spans="2:13" x14ac:dyDescent="0.25">
      <c r="B167"/>
      <c r="H167" s="522" t="s">
        <v>196</v>
      </c>
      <c r="I167" s="516">
        <v>1649</v>
      </c>
      <c r="J167" s="517">
        <v>454</v>
      </c>
      <c r="K167" s="416">
        <v>454</v>
      </c>
      <c r="L167" s="412">
        <v>0.27531837477258947</v>
      </c>
      <c r="M167" s="419">
        <v>0.27531837477258947</v>
      </c>
    </row>
    <row r="168" spans="2:13" x14ac:dyDescent="0.25">
      <c r="B168"/>
      <c r="H168" s="523" t="s">
        <v>1243</v>
      </c>
      <c r="I168" s="516">
        <v>174</v>
      </c>
      <c r="J168" s="517">
        <v>139</v>
      </c>
      <c r="K168" s="416">
        <v>139</v>
      </c>
      <c r="L168" s="412">
        <v>0.79885057471264365</v>
      </c>
      <c r="M168" s="419">
        <v>0.79885057471264365</v>
      </c>
    </row>
    <row r="169" spans="2:13" x14ac:dyDescent="0.25">
      <c r="B169"/>
      <c r="H169" s="523" t="s">
        <v>328</v>
      </c>
      <c r="I169" s="516">
        <v>149</v>
      </c>
      <c r="J169" s="517">
        <v>42</v>
      </c>
      <c r="K169" s="416">
        <v>42</v>
      </c>
      <c r="L169" s="412">
        <v>0.28187919463087246</v>
      </c>
      <c r="M169" s="419">
        <v>0.28187919463087246</v>
      </c>
    </row>
    <row r="170" spans="2:13" x14ac:dyDescent="0.25">
      <c r="B170"/>
      <c r="H170" s="522" t="s">
        <v>355</v>
      </c>
      <c r="I170" s="516">
        <v>98</v>
      </c>
      <c r="J170" s="517">
        <v>33</v>
      </c>
      <c r="K170" s="416">
        <v>33</v>
      </c>
      <c r="L170" s="412">
        <v>0.33673469387755101</v>
      </c>
      <c r="M170" s="419">
        <v>0.33673469387755101</v>
      </c>
    </row>
    <row r="171" spans="2:13" x14ac:dyDescent="0.25">
      <c r="B171"/>
      <c r="H171" s="523" t="s">
        <v>342</v>
      </c>
      <c r="I171" s="516">
        <v>64</v>
      </c>
      <c r="J171" s="517">
        <v>26</v>
      </c>
      <c r="K171" s="416">
        <v>26</v>
      </c>
      <c r="L171" s="412">
        <v>0.40625</v>
      </c>
      <c r="M171" s="419">
        <v>0.40625</v>
      </c>
    </row>
    <row r="172" spans="2:13" x14ac:dyDescent="0.25">
      <c r="B172"/>
      <c r="H172" s="523" t="s">
        <v>316</v>
      </c>
      <c r="I172" s="516">
        <v>70</v>
      </c>
      <c r="J172" s="517">
        <v>15</v>
      </c>
      <c r="K172" s="416">
        <v>15</v>
      </c>
      <c r="L172" s="412">
        <v>0.21428571428571427</v>
      </c>
      <c r="M172" s="419">
        <v>0.21428571428571427</v>
      </c>
    </row>
    <row r="173" spans="2:13" x14ac:dyDescent="0.25">
      <c r="B173"/>
      <c r="H173" s="523" t="s">
        <v>330</v>
      </c>
      <c r="I173" s="516">
        <v>223</v>
      </c>
      <c r="J173" s="517">
        <v>13</v>
      </c>
      <c r="K173" s="416">
        <v>13</v>
      </c>
      <c r="L173" s="412">
        <v>5.829596412556054E-2</v>
      </c>
      <c r="M173" s="419">
        <v>5.829596412556054E-2</v>
      </c>
    </row>
    <row r="174" spans="2:13" x14ac:dyDescent="0.25">
      <c r="B174"/>
      <c r="H174" s="523" t="s">
        <v>324</v>
      </c>
      <c r="I174" s="516">
        <v>471</v>
      </c>
      <c r="J174" s="517">
        <v>11</v>
      </c>
      <c r="K174" s="416">
        <v>11</v>
      </c>
      <c r="L174" s="412">
        <v>2.3354564755838639E-2</v>
      </c>
      <c r="M174" s="419">
        <v>2.3354564755838639E-2</v>
      </c>
    </row>
    <row r="175" spans="2:13" x14ac:dyDescent="0.25">
      <c r="B175"/>
      <c r="H175" s="523" t="s">
        <v>326</v>
      </c>
      <c r="I175" s="516">
        <v>45</v>
      </c>
      <c r="J175" s="517">
        <v>5</v>
      </c>
      <c r="K175" s="416">
        <v>5</v>
      </c>
      <c r="L175" s="412">
        <v>0.1111111111111111</v>
      </c>
      <c r="M175" s="419">
        <v>0.1111111111111111</v>
      </c>
    </row>
    <row r="176" spans="2:13" x14ac:dyDescent="0.25">
      <c r="B176"/>
      <c r="H176" s="523" t="s">
        <v>320</v>
      </c>
      <c r="I176" s="516">
        <v>27</v>
      </c>
      <c r="J176" s="517">
        <v>2</v>
      </c>
      <c r="K176" s="416">
        <v>2</v>
      </c>
      <c r="L176" s="412">
        <v>7.407407407407407E-2</v>
      </c>
      <c r="M176" s="419">
        <v>7.407407407407407E-2</v>
      </c>
    </row>
    <row r="177" spans="2:13" x14ac:dyDescent="0.25">
      <c r="B177"/>
      <c r="H177" s="523" t="s">
        <v>322</v>
      </c>
      <c r="I177" s="516">
        <v>585</v>
      </c>
      <c r="J177" s="517">
        <v>0</v>
      </c>
      <c r="K177" s="416">
        <v>0</v>
      </c>
      <c r="L177" s="412">
        <v>0</v>
      </c>
      <c r="M177" s="419">
        <v>0</v>
      </c>
    </row>
    <row r="178" spans="2:13" x14ac:dyDescent="0.25">
      <c r="B178"/>
      <c r="H178" s="523" t="s">
        <v>347</v>
      </c>
      <c r="I178" s="516">
        <v>182</v>
      </c>
      <c r="J178" s="517">
        <v>0</v>
      </c>
      <c r="K178" s="416">
        <v>0</v>
      </c>
      <c r="L178" s="412">
        <v>0</v>
      </c>
      <c r="M178" s="419">
        <v>0</v>
      </c>
    </row>
    <row r="179" spans="2:13" x14ac:dyDescent="0.25">
      <c r="B179"/>
      <c r="H179" s="523" t="s">
        <v>351</v>
      </c>
      <c r="I179" s="516">
        <v>87</v>
      </c>
      <c r="J179" s="517">
        <v>0</v>
      </c>
      <c r="K179" s="416">
        <v>0</v>
      </c>
      <c r="L179" s="412">
        <v>0</v>
      </c>
      <c r="M179" s="419">
        <v>0</v>
      </c>
    </row>
    <row r="180" spans="2:13" x14ac:dyDescent="0.25">
      <c r="B180"/>
      <c r="H180" s="523" t="s">
        <v>318</v>
      </c>
      <c r="I180" s="516">
        <v>91</v>
      </c>
      <c r="J180" s="517">
        <v>0</v>
      </c>
      <c r="K180" s="416">
        <v>0</v>
      </c>
      <c r="L180" s="412">
        <v>0</v>
      </c>
      <c r="M180" s="419">
        <v>0</v>
      </c>
    </row>
    <row r="181" spans="2:13" x14ac:dyDescent="0.25">
      <c r="B181"/>
      <c r="H181" s="523" t="s">
        <v>336</v>
      </c>
      <c r="I181" s="516">
        <v>40</v>
      </c>
      <c r="J181" s="517">
        <v>0</v>
      </c>
      <c r="K181" s="416">
        <v>0</v>
      </c>
      <c r="L181" s="412">
        <v>0</v>
      </c>
      <c r="M181" s="419">
        <v>0</v>
      </c>
    </row>
    <row r="182" spans="2:13" x14ac:dyDescent="0.25">
      <c r="B182"/>
      <c r="H182" s="523" t="s">
        <v>349</v>
      </c>
      <c r="I182" s="516">
        <v>44</v>
      </c>
      <c r="J182" s="517">
        <v>0</v>
      </c>
      <c r="K182" s="416">
        <v>0</v>
      </c>
      <c r="L182" s="412">
        <v>0</v>
      </c>
      <c r="M182" s="419">
        <v>0</v>
      </c>
    </row>
    <row r="183" spans="2:13" x14ac:dyDescent="0.25">
      <c r="B183"/>
      <c r="H183" s="523" t="s">
        <v>313</v>
      </c>
      <c r="I183" s="516">
        <v>99</v>
      </c>
      <c r="J183" s="517">
        <v>0</v>
      </c>
      <c r="K183" s="416">
        <v>0</v>
      </c>
      <c r="L183" s="412">
        <v>0</v>
      </c>
      <c r="M183" s="419">
        <v>0</v>
      </c>
    </row>
    <row r="184" spans="2:13" x14ac:dyDescent="0.25">
      <c r="B184"/>
      <c r="H184" s="523" t="s">
        <v>1245</v>
      </c>
      <c r="I184" s="516">
        <v>404</v>
      </c>
      <c r="J184" s="517">
        <v>0</v>
      </c>
      <c r="K184" s="416">
        <v>0</v>
      </c>
      <c r="L184" s="412">
        <v>0</v>
      </c>
      <c r="M184" s="419">
        <v>0</v>
      </c>
    </row>
    <row r="185" spans="2:13" x14ac:dyDescent="0.25">
      <c r="B185"/>
      <c r="H185" s="523" t="s">
        <v>338</v>
      </c>
      <c r="I185" s="516">
        <v>31</v>
      </c>
      <c r="J185" s="517">
        <v>0</v>
      </c>
      <c r="K185" s="416">
        <v>0</v>
      </c>
      <c r="L185" s="412">
        <v>0</v>
      </c>
      <c r="M185" s="419">
        <v>0</v>
      </c>
    </row>
    <row r="186" spans="2:13" x14ac:dyDescent="0.25">
      <c r="B186"/>
      <c r="H186" s="523" t="s">
        <v>334</v>
      </c>
      <c r="I186" s="516">
        <v>161</v>
      </c>
      <c r="J186" s="517">
        <v>0</v>
      </c>
      <c r="K186" s="416">
        <v>0</v>
      </c>
      <c r="L186" s="412">
        <v>0</v>
      </c>
      <c r="M186" s="419">
        <v>0</v>
      </c>
    </row>
    <row r="187" spans="2:13" x14ac:dyDescent="0.25">
      <c r="B187"/>
      <c r="H187" s="524" t="s">
        <v>344</v>
      </c>
      <c r="I187" s="519">
        <v>18</v>
      </c>
      <c r="J187" s="520">
        <v>0</v>
      </c>
      <c r="K187" s="417">
        <v>0</v>
      </c>
      <c r="L187" s="413">
        <v>0</v>
      </c>
      <c r="M187" s="420">
        <v>0</v>
      </c>
    </row>
    <row r="188" spans="2:13" x14ac:dyDescent="0.25">
      <c r="B188"/>
      <c r="H188" s="401" t="s">
        <v>1502</v>
      </c>
      <c r="I188" s="516"/>
      <c r="J188" s="517"/>
      <c r="K188" s="416"/>
      <c r="L188" s="412"/>
      <c r="M188" s="419"/>
    </row>
    <row r="189" spans="2:13" x14ac:dyDescent="0.25">
      <c r="B189"/>
      <c r="H189" s="779" t="s">
        <v>1502</v>
      </c>
      <c r="I189" s="516">
        <v>37</v>
      </c>
      <c r="J189" s="517">
        <v>37</v>
      </c>
      <c r="K189" s="416">
        <v>37</v>
      </c>
      <c r="L189" s="412">
        <v>1</v>
      </c>
      <c r="M189" s="419">
        <v>1</v>
      </c>
    </row>
    <row r="190" spans="2:13" x14ac:dyDescent="0.25">
      <c r="B190"/>
      <c r="H190" s="523" t="s">
        <v>1499</v>
      </c>
      <c r="I190" s="516">
        <v>37</v>
      </c>
      <c r="J190" s="517">
        <v>37</v>
      </c>
      <c r="K190" s="416">
        <v>37</v>
      </c>
      <c r="L190" s="412">
        <v>1</v>
      </c>
      <c r="M190" s="419">
        <v>1</v>
      </c>
    </row>
    <row r="191" spans="2:13" x14ac:dyDescent="0.25">
      <c r="B191"/>
      <c r="H191" s="521" t="s">
        <v>415</v>
      </c>
      <c r="I191" s="519">
        <v>17976</v>
      </c>
      <c r="J191" s="520">
        <v>6557</v>
      </c>
      <c r="K191" s="417">
        <v>6475</v>
      </c>
      <c r="L191" s="413">
        <v>0.36476412995104585</v>
      </c>
      <c r="M191" s="420">
        <v>0.36020249221183803</v>
      </c>
    </row>
    <row r="192" spans="2:13"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CJ103"/>
  <sheetViews>
    <sheetView showZeros="0" zoomScaleNormal="100" zoomScaleSheetLayoutView="100" zoomScalePageLayoutView="80" workbookViewId="0">
      <selection activeCell="C24" sqref="C24"/>
    </sheetView>
  </sheetViews>
  <sheetFormatPr defaultColWidth="9.140625" defaultRowHeight="15" x14ac:dyDescent="0.25"/>
  <cols>
    <col min="1" max="1" width="2.42578125" style="92" customWidth="1"/>
    <col min="2" max="2" width="1.85546875" style="92" customWidth="1"/>
    <col min="3" max="3" width="21" style="38" customWidth="1"/>
    <col min="4" max="4" width="8.28515625" style="38" customWidth="1"/>
    <col min="5" max="5" width="6.5703125" style="38" customWidth="1"/>
    <col min="6" max="6" width="6.85546875" style="38" customWidth="1"/>
    <col min="7" max="8" width="7.42578125" style="38" customWidth="1"/>
    <col min="9" max="9" width="15" style="38" customWidth="1"/>
    <col min="10" max="11" width="16" style="38" customWidth="1"/>
    <col min="12" max="12" width="9.140625" style="38"/>
    <col min="13" max="13" width="8.7109375" style="38" customWidth="1"/>
    <col min="14" max="14" width="5.85546875" style="38" customWidth="1"/>
    <col min="15" max="15" width="3.140625" style="38" customWidth="1"/>
    <col min="16" max="16" width="11" style="38" customWidth="1"/>
    <col min="17" max="17" width="31.5703125" style="38" customWidth="1"/>
    <col min="23" max="23" width="7.7109375" style="52" hidden="1" customWidth="1"/>
    <col min="24" max="24" width="0" style="52" hidden="1" customWidth="1"/>
    <col min="25" max="25" width="21.140625" style="52" hidden="1" customWidth="1"/>
    <col min="26" max="32" width="9.140625" style="52"/>
    <col min="33" max="83" width="9.140625" style="38"/>
    <col min="84" max="84" width="9.140625" style="38" customWidth="1"/>
    <col min="85" max="88" width="8" style="52" customWidth="1"/>
    <col min="89" max="16384" width="9.140625" style="38"/>
  </cols>
  <sheetData>
    <row r="1" spans="2:88" s="92" customFormat="1" ht="9.75" customHeight="1" thickBot="1" x14ac:dyDescent="0.3"/>
    <row r="2" spans="2:88" s="92" customFormat="1" ht="3.6" customHeight="1" x14ac:dyDescent="0.25">
      <c r="B2" s="195"/>
      <c r="C2" s="196"/>
      <c r="D2" s="196"/>
      <c r="E2" s="196"/>
      <c r="F2" s="196"/>
      <c r="G2" s="196"/>
      <c r="H2" s="196"/>
      <c r="I2" s="196"/>
      <c r="J2" s="196"/>
      <c r="K2" s="196"/>
      <c r="L2" s="196"/>
      <c r="M2" s="196"/>
      <c r="N2" s="196"/>
      <c r="O2" s="197"/>
    </row>
    <row r="3" spans="2:88" s="1" customFormat="1" ht="9" hidden="1" customHeight="1" x14ac:dyDescent="0.25">
      <c r="B3" s="198"/>
      <c r="C3" s="206"/>
      <c r="D3" s="206"/>
      <c r="E3" s="206"/>
      <c r="F3" s="206"/>
      <c r="G3" s="206"/>
      <c r="H3" s="206"/>
      <c r="I3" s="206"/>
      <c r="J3" s="206"/>
      <c r="K3" s="206"/>
      <c r="L3" s="206"/>
      <c r="M3" s="206"/>
      <c r="N3" s="206"/>
      <c r="O3" s="199"/>
      <c r="P3" s="92"/>
      <c r="Q3" s="92"/>
      <c r="AO3" s="46"/>
      <c r="AP3" s="46"/>
    </row>
    <row r="4" spans="2:88" s="1" customFormat="1" ht="23.45" customHeight="1" x14ac:dyDescent="0.25">
      <c r="B4" s="198"/>
      <c r="C4" s="876" t="s">
        <v>590</v>
      </c>
      <c r="D4" s="876"/>
      <c r="E4" s="876"/>
      <c r="F4" s="876"/>
      <c r="G4" s="876"/>
      <c r="H4" s="876"/>
      <c r="I4" s="876"/>
      <c r="J4" s="876"/>
      <c r="K4" s="876"/>
      <c r="L4" s="188"/>
      <c r="M4" s="188"/>
      <c r="N4" s="188"/>
      <c r="O4" s="199"/>
      <c r="P4" s="92"/>
      <c r="Q4" s="92"/>
      <c r="W4" s="65"/>
      <c r="X4" s="65"/>
      <c r="Y4" s="65"/>
      <c r="Z4" s="65"/>
      <c r="AA4" s="65"/>
      <c r="AB4" s="65"/>
      <c r="AC4" s="65"/>
      <c r="AD4" s="65"/>
      <c r="AE4" s="65"/>
      <c r="AF4" s="65"/>
      <c r="AP4" s="46"/>
      <c r="AQ4" s="46"/>
      <c r="CG4" s="18" t="s">
        <v>1152</v>
      </c>
      <c r="CH4" s="40">
        <f>GETPIVOTDATA("# HH",$C$21)</f>
        <v>17976</v>
      </c>
      <c r="CI4" s="65"/>
      <c r="CJ4" s="65"/>
    </row>
    <row r="5" spans="2:88" s="15" customFormat="1" ht="15.75" customHeight="1" x14ac:dyDescent="0.25">
      <c r="B5" s="200"/>
      <c r="C5" s="870">
        <f>Definition!B23</f>
        <v>42736</v>
      </c>
      <c r="D5" s="870"/>
      <c r="E5" s="870"/>
      <c r="F5" s="870"/>
      <c r="G5" s="870"/>
      <c r="H5" s="870"/>
      <c r="I5" s="870"/>
      <c r="J5" s="870"/>
      <c r="K5" s="192"/>
      <c r="L5" s="192"/>
      <c r="M5" s="192"/>
      <c r="N5" s="192"/>
      <c r="O5" s="201"/>
      <c r="P5" s="92"/>
      <c r="Q5" s="92"/>
      <c r="W5" s="65"/>
      <c r="X5" s="65"/>
      <c r="Y5" s="65"/>
      <c r="Z5" s="65"/>
      <c r="AA5" s="65"/>
      <c r="AB5" s="65"/>
      <c r="AC5" s="65"/>
      <c r="AD5" s="65"/>
      <c r="AE5" s="65"/>
      <c r="AF5" s="65"/>
      <c r="AP5" s="47"/>
      <c r="AQ5" s="47"/>
      <c r="CG5" s="18" t="s">
        <v>1233</v>
      </c>
      <c r="CH5" s="40">
        <f>GETPIVOTDATA("# Camps",$C$21)</f>
        <v>155</v>
      </c>
      <c r="CI5" s="65"/>
      <c r="CJ5" s="65"/>
    </row>
    <row r="6" spans="2:88" s="15" customFormat="1" ht="1.5" customHeight="1" x14ac:dyDescent="0.25">
      <c r="B6" s="213"/>
      <c r="C6" s="219"/>
      <c r="D6" s="219"/>
      <c r="E6" s="219"/>
      <c r="F6" s="219"/>
      <c r="G6" s="219"/>
      <c r="H6" s="219"/>
      <c r="I6" s="219"/>
      <c r="J6" s="219"/>
      <c r="K6" s="220"/>
      <c r="L6" s="220"/>
      <c r="M6" s="220"/>
      <c r="N6" s="220"/>
      <c r="O6" s="207"/>
      <c r="P6" s="92"/>
      <c r="Q6" s="92"/>
      <c r="W6" s="92"/>
      <c r="X6" s="92"/>
      <c r="Y6" s="92"/>
      <c r="Z6" s="92"/>
      <c r="AA6" s="92"/>
      <c r="AB6" s="92"/>
      <c r="AC6" s="92"/>
      <c r="AD6" s="92"/>
      <c r="AE6" s="92"/>
      <c r="AF6" s="92"/>
      <c r="AP6" s="47"/>
      <c r="AQ6" s="47"/>
      <c r="CG6" s="18"/>
      <c r="CH6" s="40"/>
      <c r="CI6" s="92"/>
      <c r="CJ6" s="92"/>
    </row>
    <row r="7" spans="2:88" ht="10.15" customHeight="1" x14ac:dyDescent="0.25">
      <c r="B7" s="213"/>
      <c r="C7" s="29"/>
      <c r="D7" s="29"/>
      <c r="E7" s="29"/>
      <c r="F7" s="29"/>
      <c r="G7" s="29"/>
      <c r="H7" s="29"/>
      <c r="I7" s="29"/>
      <c r="J7" s="29"/>
      <c r="K7" s="29"/>
      <c r="L7" s="29"/>
      <c r="M7" s="29"/>
      <c r="N7" s="29"/>
      <c r="O7" s="207"/>
      <c r="CG7" s="18" t="s">
        <v>1154</v>
      </c>
      <c r="CH7" s="279">
        <f>GETPIVOTDATA("# HH",$C$21)-GETPIVOTDATA("# Shelter Gap",$C$21)</f>
        <v>11419</v>
      </c>
    </row>
    <row r="8" spans="2:88" ht="10.15" customHeight="1" x14ac:dyDescent="0.25">
      <c r="B8" s="213"/>
      <c r="C8" s="29"/>
      <c r="D8" s="29"/>
      <c r="E8" s="29"/>
      <c r="F8" s="29"/>
      <c r="G8" s="29"/>
      <c r="H8" s="29"/>
      <c r="I8" s="29"/>
      <c r="J8" s="29"/>
      <c r="K8" s="29"/>
      <c r="L8" s="29"/>
      <c r="M8" s="29"/>
      <c r="N8" s="29"/>
      <c r="O8" s="207"/>
      <c r="CF8" s="15"/>
      <c r="CG8" s="18" t="s">
        <v>1153</v>
      </c>
      <c r="CH8" s="40">
        <f>GETPIVOTDATA("# Shelter Gap",$C$21)</f>
        <v>6557</v>
      </c>
    </row>
    <row r="9" spans="2:88" ht="10.15" customHeight="1" x14ac:dyDescent="0.25">
      <c r="B9" s="213"/>
      <c r="C9" s="29"/>
      <c r="D9" s="29"/>
      <c r="E9" s="29"/>
      <c r="F9" s="29"/>
      <c r="G9" s="29"/>
      <c r="H9" s="29"/>
      <c r="I9" s="29"/>
      <c r="J9" s="29"/>
      <c r="K9" s="29"/>
      <c r="L9" s="29"/>
      <c r="M9" s="29"/>
      <c r="N9" s="29"/>
      <c r="O9" s="207"/>
      <c r="CG9" s="18" t="s">
        <v>1156</v>
      </c>
      <c r="CH9" s="40">
        <f>GETPIVOTDATA("# Const. Shelter",$C$21)</f>
        <v>6475</v>
      </c>
    </row>
    <row r="10" spans="2:88" ht="10.15" customHeight="1" x14ac:dyDescent="0.25">
      <c r="B10" s="213"/>
      <c r="C10" s="29"/>
      <c r="D10" s="29"/>
      <c r="E10" s="29"/>
      <c r="F10" s="29"/>
      <c r="G10" s="29"/>
      <c r="H10" s="29"/>
      <c r="I10" s="29"/>
      <c r="J10" s="29"/>
      <c r="K10" s="29"/>
      <c r="L10" s="29"/>
      <c r="M10" s="29"/>
      <c r="N10" s="29"/>
      <c r="O10" s="207"/>
      <c r="CG10" s="18" t="s">
        <v>1155</v>
      </c>
      <c r="CH10" s="279">
        <f>GETPIVOTDATA("# Shelter Gap",$C$21)-GETPIVOTDATA("# Const. Shelter",$C$21)</f>
        <v>82</v>
      </c>
    </row>
    <row r="11" spans="2:88" ht="10.15" customHeight="1" x14ac:dyDescent="0.25">
      <c r="B11" s="213"/>
      <c r="C11" s="29"/>
      <c r="D11" s="29"/>
      <c r="E11" s="29"/>
      <c r="F11" s="29"/>
      <c r="G11" s="29"/>
      <c r="H11" s="29"/>
      <c r="I11" s="29"/>
      <c r="J11" s="29"/>
      <c r="K11" s="29"/>
      <c r="L11" s="29"/>
      <c r="M11" s="29"/>
      <c r="N11" s="29"/>
      <c r="O11" s="207"/>
    </row>
    <row r="12" spans="2:88" ht="10.15" customHeight="1" x14ac:dyDescent="0.25">
      <c r="B12" s="213"/>
      <c r="C12" s="29"/>
      <c r="D12" s="29"/>
      <c r="E12" s="29"/>
      <c r="F12" s="29"/>
      <c r="G12" s="29"/>
      <c r="H12" s="29"/>
      <c r="I12" s="29"/>
      <c r="J12" s="29"/>
      <c r="K12" s="29"/>
      <c r="L12" s="29"/>
      <c r="M12" s="29"/>
      <c r="N12" s="29"/>
      <c r="O12" s="207"/>
    </row>
    <row r="13" spans="2:88" ht="10.15" customHeight="1" x14ac:dyDescent="0.25">
      <c r="B13" s="213"/>
      <c r="C13" s="29"/>
      <c r="D13" s="29"/>
      <c r="E13" s="29"/>
      <c r="F13" s="29"/>
      <c r="G13" s="29"/>
      <c r="H13" s="29"/>
      <c r="I13" s="29"/>
      <c r="J13" s="29"/>
      <c r="K13" s="29"/>
      <c r="L13" s="29"/>
      <c r="M13" s="29"/>
      <c r="N13" s="29"/>
      <c r="O13" s="207"/>
      <c r="CG13" s="18" t="s">
        <v>1188</v>
      </c>
      <c r="CH13" s="18">
        <v>0.5</v>
      </c>
    </row>
    <row r="14" spans="2:88" s="92" customFormat="1" ht="10.15" customHeight="1" x14ac:dyDescent="0.25">
      <c r="B14" s="213"/>
      <c r="C14" s="29"/>
      <c r="D14" s="29"/>
      <c r="E14" s="29"/>
      <c r="F14" s="29"/>
      <c r="G14" s="29"/>
      <c r="H14" s="29"/>
      <c r="I14" s="29"/>
      <c r="J14" s="29"/>
      <c r="K14" s="29"/>
      <c r="L14" s="29"/>
      <c r="M14" s="29"/>
      <c r="N14" s="29"/>
      <c r="O14" s="207"/>
    </row>
    <row r="15" spans="2:88" ht="7.15" customHeight="1" thickBot="1" x14ac:dyDescent="0.3">
      <c r="B15" s="213"/>
      <c r="C15" s="29"/>
      <c r="D15" s="29"/>
      <c r="E15" s="29"/>
      <c r="F15" s="29"/>
      <c r="G15" s="29"/>
      <c r="H15" s="29"/>
      <c r="I15" s="29"/>
      <c r="J15" s="208"/>
      <c r="K15" s="208"/>
      <c r="L15" s="29"/>
      <c r="M15" s="29"/>
      <c r="N15" s="29"/>
      <c r="O15" s="207"/>
    </row>
    <row r="16" spans="2:88" ht="16.5" hidden="1" thickBot="1" x14ac:dyDescent="0.3">
      <c r="B16" s="36"/>
      <c r="C16" s="334"/>
      <c r="D16" s="334"/>
      <c r="E16" s="334"/>
      <c r="F16" s="334"/>
      <c r="G16" s="334"/>
      <c r="H16" s="334"/>
      <c r="I16" s="29"/>
      <c r="J16" s="209"/>
      <c r="K16" s="209"/>
      <c r="L16" s="29"/>
      <c r="M16" s="29"/>
      <c r="N16" s="29"/>
      <c r="O16" s="207"/>
    </row>
    <row r="17" spans="2:88" ht="16.5" hidden="1" thickBot="1" x14ac:dyDescent="0.3">
      <c r="B17" s="36"/>
      <c r="C17" s="334"/>
      <c r="D17" s="334"/>
      <c r="E17" s="334"/>
      <c r="F17" s="334"/>
      <c r="G17" s="334"/>
      <c r="H17" s="334"/>
      <c r="I17" s="29"/>
      <c r="J17" s="209"/>
      <c r="K17" s="209"/>
      <c r="L17" s="29"/>
      <c r="M17" s="29"/>
      <c r="N17" s="29"/>
      <c r="O17" s="207"/>
    </row>
    <row r="18" spans="2:88" ht="16.5" hidden="1" thickBot="1" x14ac:dyDescent="0.3">
      <c r="B18" s="36"/>
      <c r="C18" s="351" t="s">
        <v>498</v>
      </c>
      <c r="D18" s="352" t="s">
        <v>500</v>
      </c>
      <c r="E18" s="334"/>
      <c r="F18" s="334"/>
      <c r="G18" s="334"/>
      <c r="H18" s="334"/>
      <c r="I18" s="29"/>
      <c r="J18" s="29"/>
      <c r="K18" s="209"/>
      <c r="L18" s="29"/>
      <c r="M18" s="29"/>
      <c r="N18" s="29"/>
      <c r="O18" s="207"/>
    </row>
    <row r="19" spans="2:88" ht="16.5" hidden="1" thickBot="1" x14ac:dyDescent="0.3">
      <c r="B19" s="36"/>
      <c r="C19" s="351" t="s">
        <v>401</v>
      </c>
      <c r="D19" s="352" t="s">
        <v>554</v>
      </c>
      <c r="E19" s="334"/>
      <c r="F19" s="334"/>
      <c r="G19" s="334"/>
      <c r="H19" s="334"/>
      <c r="I19" s="29"/>
      <c r="J19" s="29"/>
      <c r="K19" s="209"/>
      <c r="L19" s="29"/>
      <c r="M19" s="29"/>
      <c r="N19" s="29"/>
      <c r="O19" s="207"/>
    </row>
    <row r="20" spans="2:88" ht="16.5" hidden="1" thickBot="1" x14ac:dyDescent="0.3">
      <c r="B20" s="36"/>
      <c r="C20" s="334"/>
      <c r="D20" s="334"/>
      <c r="E20" s="334"/>
      <c r="F20" s="334"/>
      <c r="G20" s="334"/>
      <c r="H20" s="334"/>
      <c r="I20" s="29"/>
      <c r="J20" s="29"/>
      <c r="K20" s="209"/>
      <c r="L20" s="29"/>
      <c r="M20" s="29"/>
      <c r="N20" s="29"/>
      <c r="O20" s="207"/>
    </row>
    <row r="21" spans="2:88" ht="45" x14ac:dyDescent="0.25">
      <c r="B21" s="213"/>
      <c r="C21" s="353" t="s">
        <v>0</v>
      </c>
      <c r="D21" s="354" t="s">
        <v>1177</v>
      </c>
      <c r="E21" s="354" t="s">
        <v>1178</v>
      </c>
      <c r="F21" s="354" t="s">
        <v>1179</v>
      </c>
      <c r="G21" s="354" t="s">
        <v>1180</v>
      </c>
      <c r="H21" s="355" t="s">
        <v>1181</v>
      </c>
      <c r="I21" s="29"/>
      <c r="J21" s="29"/>
      <c r="K21" s="209"/>
      <c r="L21" s="29"/>
      <c r="M21" s="29"/>
      <c r="N21" s="29"/>
      <c r="O21" s="207"/>
      <c r="AF21" s="38"/>
      <c r="CG21" s="256" t="s">
        <v>0</v>
      </c>
      <c r="CH21" s="282" t="s">
        <v>1185</v>
      </c>
      <c r="CI21" s="282" t="s">
        <v>1186</v>
      </c>
      <c r="CJ21" s="255" t="s">
        <v>1187</v>
      </c>
    </row>
    <row r="22" spans="2:88" ht="13.9" customHeight="1" x14ac:dyDescent="0.25">
      <c r="B22" s="213"/>
      <c r="C22" s="356" t="s">
        <v>5</v>
      </c>
      <c r="D22" s="349">
        <v>1273</v>
      </c>
      <c r="E22" s="350">
        <v>7139</v>
      </c>
      <c r="F22" s="342">
        <v>10</v>
      </c>
      <c r="G22" s="349">
        <v>340</v>
      </c>
      <c r="H22" s="357">
        <v>273</v>
      </c>
      <c r="I22" s="29"/>
      <c r="J22" s="29"/>
      <c r="K22" s="209"/>
      <c r="L22" s="29"/>
      <c r="M22" s="29"/>
      <c r="N22" s="29"/>
      <c r="O22" s="207"/>
      <c r="AF22" s="38"/>
      <c r="CG22" s="259" t="str">
        <f t="shared" ref="CG22:CG31" si="0">C22</f>
        <v>Bhamo</v>
      </c>
      <c r="CH22" s="279">
        <f>D22-Shelter_Draw[[#This Row],[V2]]-Shelter_Draw[[#This Row],[V3]]</f>
        <v>933</v>
      </c>
      <c r="CI22" s="279">
        <f t="shared" ref="CI22:CI31" si="1">H22</f>
        <v>273</v>
      </c>
      <c r="CJ22" s="327">
        <f t="shared" ref="CJ22:CJ31" si="2">G22-H22</f>
        <v>67</v>
      </c>
    </row>
    <row r="23" spans="2:88" ht="13.9" customHeight="1" x14ac:dyDescent="0.25">
      <c r="B23" s="213"/>
      <c r="C23" s="356" t="s">
        <v>27</v>
      </c>
      <c r="D23" s="349">
        <v>500</v>
      </c>
      <c r="E23" s="350">
        <v>2374</v>
      </c>
      <c r="F23" s="342">
        <v>5</v>
      </c>
      <c r="G23" s="349">
        <v>320</v>
      </c>
      <c r="H23" s="357">
        <v>320</v>
      </c>
      <c r="I23" s="29"/>
      <c r="J23" s="29"/>
      <c r="K23" s="209"/>
      <c r="L23" s="29"/>
      <c r="M23" s="29"/>
      <c r="N23" s="29"/>
      <c r="O23" s="207"/>
      <c r="AF23" s="38"/>
      <c r="CG23" s="259" t="str">
        <f t="shared" si="0"/>
        <v>Chipwi</v>
      </c>
      <c r="CH23" s="279">
        <f>D23-Shelter_Draw[[#This Row],[V2]]-Shelter_Draw[[#This Row],[V3]]</f>
        <v>180</v>
      </c>
      <c r="CI23" s="279">
        <f t="shared" si="1"/>
        <v>320</v>
      </c>
      <c r="CJ23" s="327">
        <f t="shared" si="2"/>
        <v>0</v>
      </c>
    </row>
    <row r="24" spans="2:88" ht="13.9" customHeight="1" x14ac:dyDescent="0.25">
      <c r="B24" s="213"/>
      <c r="C24" s="356" t="s">
        <v>527</v>
      </c>
      <c r="D24" s="349">
        <v>787</v>
      </c>
      <c r="E24" s="350">
        <v>3668</v>
      </c>
      <c r="F24" s="342">
        <v>26</v>
      </c>
      <c r="G24" s="349">
        <v>391</v>
      </c>
      <c r="H24" s="357">
        <v>391</v>
      </c>
      <c r="I24" s="29"/>
      <c r="J24" s="29"/>
      <c r="K24" s="210"/>
      <c r="L24" s="29"/>
      <c r="M24" s="29"/>
      <c r="N24" s="29"/>
      <c r="O24" s="207"/>
      <c r="AF24" s="38"/>
      <c r="CG24" s="259" t="str">
        <f t="shared" si="0"/>
        <v>Hpakant</v>
      </c>
      <c r="CH24" s="279">
        <f>D24-Shelter_Draw[[#This Row],[V2]]-Shelter_Draw[[#This Row],[V3]]</f>
        <v>396</v>
      </c>
      <c r="CI24" s="279">
        <f t="shared" si="1"/>
        <v>391</v>
      </c>
      <c r="CJ24" s="327">
        <f t="shared" si="2"/>
        <v>0</v>
      </c>
    </row>
    <row r="25" spans="2:88" ht="13.9" customHeight="1" x14ac:dyDescent="0.25">
      <c r="B25" s="213"/>
      <c r="C25" s="356" t="s">
        <v>779</v>
      </c>
      <c r="D25" s="349">
        <v>50</v>
      </c>
      <c r="E25" s="350">
        <v>287</v>
      </c>
      <c r="F25" s="342">
        <v>2</v>
      </c>
      <c r="G25" s="349">
        <v>20</v>
      </c>
      <c r="H25" s="357">
        <v>20</v>
      </c>
      <c r="I25" s="29"/>
      <c r="J25" s="29"/>
      <c r="K25" s="29"/>
      <c r="L25" s="29"/>
      <c r="M25" s="29"/>
      <c r="N25" s="29"/>
      <c r="O25" s="207"/>
      <c r="AF25" s="38"/>
      <c r="CG25" s="259" t="str">
        <f t="shared" si="0"/>
        <v>Hseni</v>
      </c>
      <c r="CH25" s="279">
        <f>D25-Shelter_Draw[[#This Row],[V2]]-Shelter_Draw[[#This Row],[V3]]</f>
        <v>30</v>
      </c>
      <c r="CI25" s="279">
        <f t="shared" si="1"/>
        <v>20</v>
      </c>
      <c r="CJ25" s="327">
        <f t="shared" si="2"/>
        <v>0</v>
      </c>
    </row>
    <row r="26" spans="2:88" ht="13.9" customHeight="1" x14ac:dyDescent="0.25">
      <c r="B26" s="213"/>
      <c r="C26" s="356" t="s">
        <v>1502</v>
      </c>
      <c r="D26" s="349">
        <v>37</v>
      </c>
      <c r="E26" s="350">
        <v>120</v>
      </c>
      <c r="F26" s="342">
        <v>1</v>
      </c>
      <c r="G26" s="349">
        <v>37</v>
      </c>
      <c r="H26" s="357">
        <v>37</v>
      </c>
      <c r="I26" s="29"/>
      <c r="J26" s="29"/>
      <c r="K26" s="29"/>
      <c r="L26" s="29"/>
      <c r="M26" s="29"/>
      <c r="N26" s="29"/>
      <c r="O26" s="207"/>
      <c r="AF26" s="38"/>
      <c r="CG26" s="259" t="str">
        <f t="shared" si="0"/>
        <v>Hsipaw</v>
      </c>
      <c r="CH26" s="279">
        <f>D26-Shelter_Draw[[#This Row],[V2]]-Shelter_Draw[[#This Row],[V3]]</f>
        <v>0</v>
      </c>
      <c r="CI26" s="279">
        <f t="shared" si="1"/>
        <v>37</v>
      </c>
      <c r="CJ26" s="327">
        <f t="shared" si="2"/>
        <v>0</v>
      </c>
    </row>
    <row r="27" spans="2:88" ht="13.9" customHeight="1" x14ac:dyDescent="0.25">
      <c r="B27" s="213"/>
      <c r="C27" s="356" t="s">
        <v>146</v>
      </c>
      <c r="D27" s="349">
        <v>926</v>
      </c>
      <c r="E27" s="350">
        <v>4538</v>
      </c>
      <c r="F27" s="342">
        <v>13</v>
      </c>
      <c r="G27" s="349">
        <v>553</v>
      </c>
      <c r="H27" s="357">
        <v>553</v>
      </c>
      <c r="I27" s="29"/>
      <c r="J27" s="29"/>
      <c r="K27" s="29"/>
      <c r="L27" s="29"/>
      <c r="M27" s="29"/>
      <c r="N27" s="29"/>
      <c r="O27" s="207"/>
      <c r="AF27" s="38"/>
      <c r="CG27" s="259" t="str">
        <f t="shared" si="0"/>
        <v>Kutkai</v>
      </c>
      <c r="CH27" s="279">
        <f>D27-Shelter_Draw[[#This Row],[V2]]-Shelter_Draw[[#This Row],[V3]]</f>
        <v>373</v>
      </c>
      <c r="CI27" s="279">
        <f t="shared" si="1"/>
        <v>553</v>
      </c>
      <c r="CJ27" s="327">
        <f t="shared" si="2"/>
        <v>0</v>
      </c>
    </row>
    <row r="28" spans="2:88" ht="13.9" customHeight="1" x14ac:dyDescent="0.25">
      <c r="B28" s="213"/>
      <c r="C28" s="356" t="s">
        <v>151</v>
      </c>
      <c r="D28" s="349">
        <v>2562</v>
      </c>
      <c r="E28" s="350">
        <v>12217</v>
      </c>
      <c r="F28" s="342">
        <v>9</v>
      </c>
      <c r="G28" s="349">
        <v>1100</v>
      </c>
      <c r="H28" s="357">
        <v>1100</v>
      </c>
      <c r="I28" s="29"/>
      <c r="J28" s="29"/>
      <c r="K28" s="29"/>
      <c r="L28" s="29"/>
      <c r="M28" s="29"/>
      <c r="N28" s="29"/>
      <c r="O28" s="207"/>
      <c r="AF28" s="38"/>
      <c r="CG28" s="259" t="str">
        <f t="shared" si="0"/>
        <v>Mansi</v>
      </c>
      <c r="CH28" s="279">
        <f>D28-Shelter_Draw[[#This Row],[V2]]-Shelter_Draw[[#This Row],[V3]]</f>
        <v>1462</v>
      </c>
      <c r="CI28" s="279">
        <f t="shared" si="1"/>
        <v>1100</v>
      </c>
      <c r="CJ28" s="327">
        <f t="shared" si="2"/>
        <v>0</v>
      </c>
    </row>
    <row r="29" spans="2:88" ht="13.9" customHeight="1" x14ac:dyDescent="0.25">
      <c r="B29" s="213"/>
      <c r="C29" s="356" t="s">
        <v>185</v>
      </c>
      <c r="D29" s="349">
        <v>2828</v>
      </c>
      <c r="E29" s="350">
        <v>14229</v>
      </c>
      <c r="F29" s="342">
        <v>11</v>
      </c>
      <c r="G29" s="349">
        <v>445</v>
      </c>
      <c r="H29" s="357">
        <v>445</v>
      </c>
      <c r="I29" s="29"/>
      <c r="J29" s="29"/>
      <c r="K29" s="29"/>
      <c r="L29" s="29"/>
      <c r="M29" s="29"/>
      <c r="N29" s="29"/>
      <c r="O29" s="207"/>
      <c r="AF29" s="38"/>
      <c r="CG29" s="259" t="str">
        <f t="shared" si="0"/>
        <v>Momauk</v>
      </c>
      <c r="CH29" s="279">
        <f>D29-Shelter_Draw[[#This Row],[V2]]-Shelter_Draw[[#This Row],[V3]]</f>
        <v>2383</v>
      </c>
      <c r="CI29" s="279">
        <f t="shared" si="1"/>
        <v>445</v>
      </c>
      <c r="CJ29" s="327">
        <f t="shared" si="2"/>
        <v>0</v>
      </c>
    </row>
    <row r="30" spans="2:88" ht="13.9" customHeight="1" x14ac:dyDescent="0.25">
      <c r="B30" s="213"/>
      <c r="C30" s="356" t="s">
        <v>237</v>
      </c>
      <c r="D30" s="349">
        <v>1273</v>
      </c>
      <c r="E30" s="350">
        <v>6461</v>
      </c>
      <c r="F30" s="342">
        <v>24</v>
      </c>
      <c r="G30" s="349">
        <v>326</v>
      </c>
      <c r="H30" s="357">
        <v>311</v>
      </c>
      <c r="I30" s="29"/>
      <c r="J30" s="29"/>
      <c r="K30" s="211"/>
      <c r="L30" s="29"/>
      <c r="M30" s="29"/>
      <c r="N30" s="29"/>
      <c r="O30" s="207"/>
      <c r="AF30" s="38"/>
      <c r="CG30" s="259" t="str">
        <f t="shared" si="0"/>
        <v>Myitkyina</v>
      </c>
      <c r="CH30" s="279">
        <f>D30-Shelter_Draw[[#This Row],[V2]]-Shelter_Draw[[#This Row],[V3]]</f>
        <v>947</v>
      </c>
      <c r="CI30" s="279">
        <f t="shared" si="1"/>
        <v>311</v>
      </c>
      <c r="CJ30" s="327">
        <f t="shared" si="2"/>
        <v>15</v>
      </c>
    </row>
    <row r="31" spans="2:88" ht="13.9" customHeight="1" x14ac:dyDescent="0.25">
      <c r="B31" s="213"/>
      <c r="C31" s="356" t="s">
        <v>289</v>
      </c>
      <c r="D31" s="349">
        <v>596</v>
      </c>
      <c r="E31" s="350">
        <v>2769</v>
      </c>
      <c r="F31" s="342">
        <v>7</v>
      </c>
      <c r="G31" s="349">
        <v>382</v>
      </c>
      <c r="H31" s="357">
        <v>382</v>
      </c>
      <c r="I31" s="29"/>
      <c r="J31" s="29"/>
      <c r="K31" s="211"/>
      <c r="L31" s="29"/>
      <c r="M31" s="29"/>
      <c r="N31" s="29"/>
      <c r="O31" s="207"/>
      <c r="AF31" s="38"/>
      <c r="CG31" s="257" t="str">
        <f t="shared" si="0"/>
        <v>Namhkan</v>
      </c>
      <c r="CH31" s="286">
        <f>D31-Shelter_Draw[[#This Row],[V2]]-Shelter_Draw[[#This Row],[V3]]</f>
        <v>214</v>
      </c>
      <c r="CI31" s="286">
        <f t="shared" si="1"/>
        <v>382</v>
      </c>
      <c r="CJ31" s="328">
        <f t="shared" si="2"/>
        <v>0</v>
      </c>
    </row>
    <row r="32" spans="2:88" ht="13.9" customHeight="1" x14ac:dyDescent="0.25">
      <c r="B32" s="213"/>
      <c r="C32" s="356" t="s">
        <v>1184</v>
      </c>
      <c r="D32" s="349">
        <v>1061</v>
      </c>
      <c r="E32" s="350">
        <v>4418</v>
      </c>
      <c r="F32" s="342">
        <v>25</v>
      </c>
      <c r="G32" s="349">
        <v>692</v>
      </c>
      <c r="H32" s="357">
        <v>692</v>
      </c>
      <c r="I32" s="29"/>
      <c r="J32" s="29"/>
      <c r="K32" s="211"/>
      <c r="L32" s="29"/>
      <c r="M32" s="29"/>
      <c r="N32" s="29"/>
      <c r="O32" s="207"/>
      <c r="AF32" s="38"/>
    </row>
    <row r="33" spans="2:84" ht="15.75" customHeight="1" x14ac:dyDescent="0.25">
      <c r="B33" s="213"/>
      <c r="C33" s="356" t="s">
        <v>310</v>
      </c>
      <c r="D33" s="349">
        <v>6083</v>
      </c>
      <c r="E33" s="350">
        <v>30585</v>
      </c>
      <c r="F33" s="342">
        <v>22</v>
      </c>
      <c r="G33" s="349">
        <v>1951</v>
      </c>
      <c r="H33" s="357">
        <v>1951</v>
      </c>
      <c r="I33" s="29"/>
      <c r="J33" s="29"/>
      <c r="K33" s="211"/>
      <c r="L33" s="29"/>
      <c r="M33" s="29"/>
      <c r="N33" s="29"/>
      <c r="O33" s="207"/>
      <c r="AF33" s="38"/>
    </row>
    <row r="34" spans="2:84" ht="15.75" thickBot="1" x14ac:dyDescent="0.3">
      <c r="B34" s="213"/>
      <c r="C34" s="358" t="s">
        <v>3</v>
      </c>
      <c r="D34" s="359">
        <v>17976</v>
      </c>
      <c r="E34" s="360">
        <v>88805</v>
      </c>
      <c r="F34" s="361">
        <v>155</v>
      </c>
      <c r="G34" s="359">
        <v>6557</v>
      </c>
      <c r="H34" s="362">
        <v>6475</v>
      </c>
      <c r="I34" s="29"/>
      <c r="J34" s="29"/>
      <c r="K34" s="29"/>
      <c r="L34" s="29"/>
      <c r="M34" s="29"/>
      <c r="N34" s="29"/>
      <c r="O34" s="207"/>
      <c r="AF34" s="38"/>
    </row>
    <row r="35" spans="2:84" x14ac:dyDescent="0.25">
      <c r="B35" s="213"/>
      <c r="C35"/>
      <c r="D35"/>
      <c r="E35"/>
      <c r="F35"/>
      <c r="G35"/>
      <c r="H35"/>
      <c r="I35" s="29"/>
      <c r="J35" s="29"/>
      <c r="K35" s="29"/>
      <c r="L35" s="29"/>
      <c r="M35" s="29"/>
      <c r="N35" s="29"/>
      <c r="O35" s="207"/>
      <c r="AF35" s="38"/>
    </row>
    <row r="36" spans="2:84" x14ac:dyDescent="0.25">
      <c r="B36" s="213"/>
      <c r="C36" s="187"/>
      <c r="D36" s="187"/>
      <c r="E36" s="187"/>
      <c r="F36" s="187"/>
      <c r="G36" s="187"/>
      <c r="H36" s="187"/>
      <c r="I36" s="29"/>
      <c r="J36" s="29"/>
      <c r="K36" s="29"/>
      <c r="L36" s="29"/>
      <c r="M36" s="29"/>
      <c r="N36" s="29"/>
      <c r="O36" s="207"/>
      <c r="AF36" s="38"/>
    </row>
    <row r="37" spans="2:84" x14ac:dyDescent="0.25">
      <c r="B37" s="213"/>
      <c r="C37" s="187"/>
      <c r="D37" s="187"/>
      <c r="E37" s="187"/>
      <c r="F37" s="187"/>
      <c r="G37" s="187"/>
      <c r="H37" s="187"/>
      <c r="I37" s="29"/>
      <c r="J37" s="29"/>
      <c r="K37" s="29"/>
      <c r="L37" s="29"/>
      <c r="M37" s="29"/>
      <c r="N37" s="29"/>
      <c r="O37" s="207"/>
      <c r="AF37" s="38"/>
    </row>
    <row r="38" spans="2:84" x14ac:dyDescent="0.25">
      <c r="B38" s="213"/>
      <c r="C38" s="187"/>
      <c r="D38" s="187"/>
      <c r="E38" s="187"/>
      <c r="F38" s="187"/>
      <c r="G38" s="187"/>
      <c r="H38" s="187"/>
      <c r="I38" s="29"/>
      <c r="J38" s="29"/>
      <c r="K38" s="29"/>
      <c r="L38" s="29"/>
      <c r="M38" s="29"/>
      <c r="N38" s="29"/>
      <c r="O38" s="207"/>
      <c r="AF38" s="38"/>
    </row>
    <row r="39" spans="2:84" x14ac:dyDescent="0.25">
      <c r="B39" s="213"/>
      <c r="C39" s="187"/>
      <c r="D39" s="187"/>
      <c r="E39" s="187"/>
      <c r="F39" s="187"/>
      <c r="G39" s="187"/>
      <c r="H39" s="187"/>
      <c r="I39" s="29"/>
      <c r="J39" s="29"/>
      <c r="K39" s="29"/>
      <c r="L39" s="29"/>
      <c r="M39" s="29"/>
      <c r="N39" s="29"/>
      <c r="O39" s="207"/>
      <c r="AF39" s="38"/>
    </row>
    <row r="40" spans="2:84" x14ac:dyDescent="0.25">
      <c r="B40" s="213"/>
      <c r="C40" s="187"/>
      <c r="D40" s="187"/>
      <c r="E40" s="187"/>
      <c r="F40" s="187"/>
      <c r="G40" s="187"/>
      <c r="H40" s="187"/>
      <c r="I40" s="29"/>
      <c r="J40" s="29"/>
      <c r="K40" s="29"/>
      <c r="L40" s="29"/>
      <c r="M40" s="29"/>
      <c r="N40" s="29"/>
      <c r="O40" s="207"/>
    </row>
    <row r="41" spans="2:84" x14ac:dyDescent="0.25">
      <c r="B41" s="213"/>
      <c r="C41" s="187"/>
      <c r="D41" s="187"/>
      <c r="E41" s="187"/>
      <c r="F41" s="187"/>
      <c r="G41" s="187"/>
      <c r="H41" s="187"/>
      <c r="I41" s="29"/>
      <c r="J41" s="29"/>
      <c r="K41" s="29"/>
      <c r="L41" s="29"/>
      <c r="M41" s="29"/>
      <c r="N41" s="29"/>
      <c r="O41" s="207"/>
      <c r="CF41" s="92"/>
    </row>
    <row r="42" spans="2:84" s="92" customFormat="1" x14ac:dyDescent="0.25">
      <c r="B42" s="213"/>
      <c r="C42" s="187"/>
      <c r="D42" s="187"/>
      <c r="E42" s="187"/>
      <c r="F42" s="187"/>
      <c r="G42" s="187"/>
      <c r="H42" s="187"/>
      <c r="I42" s="29"/>
      <c r="J42" s="29"/>
      <c r="K42" s="29"/>
      <c r="L42" s="29"/>
      <c r="M42" s="29"/>
      <c r="N42" s="29"/>
      <c r="O42" s="207"/>
    </row>
    <row r="43" spans="2:84" s="92" customFormat="1" x14ac:dyDescent="0.25">
      <c r="B43" s="213"/>
      <c r="C43" s="187"/>
      <c r="D43" s="187"/>
      <c r="E43" s="187"/>
      <c r="F43" s="187"/>
      <c r="G43" s="187"/>
      <c r="H43" s="187"/>
      <c r="I43" s="29"/>
      <c r="J43" s="29"/>
      <c r="K43" s="29"/>
      <c r="L43" s="29"/>
      <c r="M43" s="29"/>
      <c r="N43" s="29"/>
      <c r="O43" s="207"/>
    </row>
    <row r="44" spans="2:84" s="92" customFormat="1" x14ac:dyDescent="0.25">
      <c r="B44" s="213"/>
      <c r="C44" s="187"/>
      <c r="D44" s="187"/>
      <c r="E44" s="187"/>
      <c r="F44" s="187"/>
      <c r="G44" s="187"/>
      <c r="H44" s="187"/>
      <c r="I44" s="29"/>
      <c r="J44" s="29"/>
      <c r="K44" s="29"/>
      <c r="L44" s="29"/>
      <c r="M44" s="29"/>
      <c r="N44" s="29"/>
      <c r="O44" s="207"/>
    </row>
    <row r="45" spans="2:84" s="92" customFormat="1" x14ac:dyDescent="0.25">
      <c r="B45" s="213"/>
      <c r="C45" s="187"/>
      <c r="D45" s="187"/>
      <c r="E45" s="187"/>
      <c r="F45" s="187"/>
      <c r="G45" s="187"/>
      <c r="H45" s="187"/>
      <c r="I45" s="29"/>
      <c r="J45" s="29"/>
      <c r="K45" s="29"/>
      <c r="L45" s="29"/>
      <c r="M45" s="29"/>
      <c r="N45" s="29"/>
      <c r="O45" s="207"/>
    </row>
    <row r="46" spans="2:84" s="92" customFormat="1" ht="11.45" customHeight="1" x14ac:dyDescent="0.25">
      <c r="B46" s="213"/>
      <c r="C46" s="187"/>
      <c r="D46" s="187"/>
      <c r="E46" s="187"/>
      <c r="F46" s="187"/>
      <c r="G46" s="187"/>
      <c r="H46" s="187"/>
      <c r="I46" s="29"/>
      <c r="J46" s="29"/>
      <c r="K46" s="29"/>
      <c r="L46" s="29"/>
      <c r="M46" s="29"/>
      <c r="N46" s="29"/>
      <c r="O46" s="207"/>
    </row>
    <row r="47" spans="2:84" s="92" customFormat="1" ht="0.75" customHeight="1" x14ac:dyDescent="0.25">
      <c r="B47" s="213"/>
      <c r="C47" s="187"/>
      <c r="D47" s="187"/>
      <c r="E47" s="187"/>
      <c r="F47" s="187"/>
      <c r="G47" s="187"/>
      <c r="H47" s="187"/>
      <c r="I47" s="29"/>
      <c r="J47" s="29"/>
      <c r="K47" s="29"/>
      <c r="L47" s="29"/>
      <c r="M47" s="29"/>
      <c r="N47" s="29"/>
      <c r="O47" s="207"/>
    </row>
    <row r="48" spans="2:84" s="333" customFormat="1" ht="4.5" customHeight="1" x14ac:dyDescent="0.25">
      <c r="B48" s="213"/>
      <c r="C48" s="29"/>
      <c r="D48" s="29"/>
      <c r="E48" s="29"/>
      <c r="F48" s="29"/>
      <c r="G48" s="29"/>
      <c r="H48" s="29"/>
      <c r="I48" s="29"/>
      <c r="J48" s="29"/>
      <c r="K48" s="29"/>
      <c r="L48" s="29"/>
      <c r="M48" s="29"/>
      <c r="N48" s="29"/>
      <c r="O48" s="207"/>
    </row>
    <row r="49" spans="2:84" s="333" customFormat="1" ht="4.1500000000000004" customHeight="1" x14ac:dyDescent="0.25">
      <c r="B49" s="213"/>
      <c r="C49" s="29"/>
      <c r="D49" s="29"/>
      <c r="E49" s="29"/>
      <c r="F49" s="29"/>
      <c r="G49" s="29"/>
      <c r="H49" s="29"/>
      <c r="I49" s="29"/>
      <c r="J49" s="29"/>
      <c r="K49" s="29"/>
      <c r="L49" s="29"/>
      <c r="M49" s="29"/>
      <c r="N49" s="29"/>
      <c r="O49" s="207"/>
    </row>
    <row r="50" spans="2:84" s="92" customFormat="1" ht="29.25" customHeight="1" thickBot="1" x14ac:dyDescent="0.3">
      <c r="B50" s="214"/>
      <c r="C50" s="215"/>
      <c r="D50" s="216"/>
      <c r="E50" s="217"/>
      <c r="F50" s="218"/>
      <c r="G50" s="216"/>
      <c r="H50" s="216"/>
      <c r="I50" s="204"/>
      <c r="J50" s="204"/>
      <c r="K50" s="204"/>
      <c r="L50" s="204"/>
      <c r="M50" s="204"/>
      <c r="N50" s="204"/>
      <c r="O50" s="212"/>
    </row>
    <row r="51" spans="2:84" s="92" customFormat="1" x14ac:dyDescent="0.25">
      <c r="C51" s="17"/>
      <c r="D51" s="41"/>
      <c r="E51" s="97"/>
      <c r="F51" s="3"/>
      <c r="G51" s="41"/>
      <c r="H51" s="41"/>
    </row>
    <row r="52" spans="2:84" s="92" customFormat="1" x14ac:dyDescent="0.25">
      <c r="C52" s="17"/>
      <c r="D52" s="41"/>
      <c r="E52" s="97"/>
      <c r="F52" s="3"/>
      <c r="G52" s="41"/>
      <c r="H52" s="41"/>
    </row>
    <row r="53" spans="2:84" s="92" customFormat="1" x14ac:dyDescent="0.25">
      <c r="C53" s="17"/>
      <c r="D53" s="41"/>
      <c r="E53" s="97"/>
      <c r="F53" s="3"/>
      <c r="G53" s="41"/>
      <c r="H53" s="41"/>
      <c r="J53" s="333"/>
    </row>
    <row r="54" spans="2:84" s="92" customFormat="1" x14ac:dyDescent="0.25">
      <c r="C54" s="17"/>
      <c r="D54" s="41"/>
      <c r="E54" s="97"/>
      <c r="F54" s="3"/>
      <c r="G54" s="41"/>
      <c r="H54" s="41"/>
      <c r="J54" s="333"/>
    </row>
    <row r="55" spans="2:84" s="92" customFormat="1" x14ac:dyDescent="0.25">
      <c r="C55" s="17"/>
      <c r="D55" s="41"/>
      <c r="E55" s="97"/>
      <c r="F55" s="3"/>
      <c r="G55" s="41"/>
      <c r="H55" s="41"/>
      <c r="J55" s="333"/>
    </row>
    <row r="56" spans="2:84" s="92" customFormat="1" x14ac:dyDescent="0.25">
      <c r="C56" s="17"/>
      <c r="D56" s="41"/>
      <c r="E56" s="97"/>
      <c r="F56" s="3"/>
      <c r="G56" s="41"/>
      <c r="H56" s="41"/>
      <c r="J56" s="333"/>
    </row>
    <row r="57" spans="2:84" s="92" customFormat="1" x14ac:dyDescent="0.25">
      <c r="C57" s="17"/>
      <c r="D57" s="41"/>
      <c r="E57" s="97"/>
      <c r="F57" s="3"/>
      <c r="G57" s="41"/>
      <c r="H57" s="41"/>
      <c r="J57" s="333"/>
    </row>
    <row r="58" spans="2:84" s="92" customFormat="1" x14ac:dyDescent="0.25">
      <c r="C58" s="17"/>
      <c r="D58" s="41"/>
      <c r="E58" s="97"/>
      <c r="F58" s="3"/>
      <c r="G58" s="41"/>
      <c r="H58" s="41"/>
    </row>
    <row r="59" spans="2:84" s="92" customFormat="1" x14ac:dyDescent="0.25">
      <c r="C59" s="17"/>
      <c r="D59" s="41"/>
      <c r="E59" s="97"/>
      <c r="F59" s="3"/>
      <c r="G59" s="41"/>
      <c r="H59" s="41"/>
    </row>
    <row r="60" spans="2:84" x14ac:dyDescent="0.25">
      <c r="CF60" s="92"/>
    </row>
    <row r="61" spans="2:84" x14ac:dyDescent="0.25">
      <c r="CF61" s="92"/>
    </row>
    <row r="62" spans="2:84" x14ac:dyDescent="0.25">
      <c r="CF62" s="92"/>
    </row>
    <row r="63" spans="2:84" x14ac:dyDescent="0.25">
      <c r="CF63" s="92"/>
    </row>
    <row r="64" spans="2:84" x14ac:dyDescent="0.25">
      <c r="CF64" s="92"/>
    </row>
    <row r="65" spans="3:84" x14ac:dyDescent="0.25">
      <c r="CF65" s="92"/>
    </row>
    <row r="66" spans="3:84" x14ac:dyDescent="0.25">
      <c r="CF66" s="92"/>
    </row>
    <row r="67" spans="3:84" x14ac:dyDescent="0.25">
      <c r="CF67" s="92"/>
    </row>
    <row r="68" spans="3:84" x14ac:dyDescent="0.25">
      <c r="C68" s="92"/>
      <c r="D68" s="92"/>
      <c r="E68" s="92"/>
      <c r="F68" s="92"/>
      <c r="G68" s="92"/>
      <c r="H68" s="92"/>
      <c r="CF68" s="92"/>
    </row>
    <row r="69" spans="3:84" x14ac:dyDescent="0.25">
      <c r="C69" s="92"/>
      <c r="D69" s="92"/>
      <c r="E69" s="92"/>
      <c r="F69" s="92"/>
      <c r="G69" s="92"/>
      <c r="H69" s="92"/>
      <c r="CF69" s="92"/>
    </row>
    <row r="70" spans="3:84" x14ac:dyDescent="0.25">
      <c r="C70" s="92"/>
      <c r="D70" s="92"/>
      <c r="E70" s="92"/>
      <c r="F70" s="92"/>
      <c r="G70" s="92"/>
      <c r="H70" s="92"/>
      <c r="CF70" s="92"/>
    </row>
    <row r="71" spans="3:84" x14ac:dyDescent="0.25">
      <c r="C71" s="92"/>
      <c r="D71" s="92"/>
      <c r="E71" s="92"/>
      <c r="F71" s="92"/>
      <c r="G71" s="92"/>
      <c r="H71" s="92"/>
      <c r="CF71" s="92"/>
    </row>
    <row r="72" spans="3:84" x14ac:dyDescent="0.25">
      <c r="G72" s="92"/>
      <c r="H72" s="92"/>
      <c r="CF72" s="92"/>
    </row>
    <row r="73" spans="3:84" x14ac:dyDescent="0.25">
      <c r="G73" s="92"/>
      <c r="H73" s="92"/>
      <c r="CF73" s="92"/>
    </row>
    <row r="74" spans="3:84" x14ac:dyDescent="0.25">
      <c r="G74" s="92"/>
      <c r="H74" s="92"/>
      <c r="CF74" s="92"/>
    </row>
    <row r="75" spans="3:84" x14ac:dyDescent="0.25">
      <c r="G75"/>
      <c r="H75"/>
      <c r="I75"/>
      <c r="J75"/>
      <c r="K75"/>
      <c r="CF75" s="92"/>
    </row>
    <row r="76" spans="3:84" x14ac:dyDescent="0.25">
      <c r="G76"/>
      <c r="H76"/>
      <c r="I76"/>
      <c r="J76" s="92"/>
      <c r="K76" s="92"/>
      <c r="L76" s="92"/>
      <c r="CF76" s="92"/>
    </row>
    <row r="77" spans="3:84" x14ac:dyDescent="0.25">
      <c r="G77"/>
      <c r="H77"/>
      <c r="I77" s="92"/>
      <c r="J77" s="92"/>
      <c r="K77" s="92"/>
      <c r="L77" s="92"/>
      <c r="CF77" s="92"/>
    </row>
    <row r="78" spans="3:84" x14ac:dyDescent="0.25">
      <c r="G78"/>
      <c r="H78"/>
      <c r="I78" s="92"/>
      <c r="J78" s="92"/>
      <c r="K78" s="92"/>
      <c r="L78" s="92"/>
      <c r="CF78" s="92"/>
    </row>
    <row r="79" spans="3:84" x14ac:dyDescent="0.25">
      <c r="G79"/>
      <c r="H79"/>
      <c r="I79" s="92"/>
      <c r="J79" s="92"/>
      <c r="K79" s="92"/>
      <c r="L79" s="92"/>
      <c r="CF79" s="92"/>
    </row>
    <row r="80" spans="3:84" x14ac:dyDescent="0.25">
      <c r="G80"/>
      <c r="H80"/>
      <c r="I80" s="92"/>
      <c r="J80" s="92"/>
      <c r="K80" s="92"/>
      <c r="L80" s="92"/>
      <c r="CF80" s="92"/>
    </row>
    <row r="81" spans="3:84" x14ac:dyDescent="0.25">
      <c r="G81"/>
      <c r="H81"/>
      <c r="I81" s="92"/>
      <c r="J81" s="92"/>
      <c r="K81" s="92"/>
      <c r="L81" s="92"/>
      <c r="CF81" s="92"/>
    </row>
    <row r="82" spans="3:84" x14ac:dyDescent="0.25">
      <c r="G82"/>
      <c r="H82"/>
      <c r="I82" s="92"/>
      <c r="J82" s="92"/>
      <c r="K82" s="92"/>
      <c r="L82" s="92"/>
      <c r="CF82" s="92"/>
    </row>
    <row r="83" spans="3:84" x14ac:dyDescent="0.25">
      <c r="G83"/>
      <c r="H83"/>
      <c r="I83" s="92"/>
      <c r="J83" s="92"/>
      <c r="K83" s="92"/>
      <c r="L83" s="92"/>
      <c r="CF83" s="92"/>
    </row>
    <row r="84" spans="3:84" x14ac:dyDescent="0.25">
      <c r="G84"/>
      <c r="H84"/>
      <c r="I84" s="92"/>
      <c r="J84" s="92"/>
      <c r="K84" s="92"/>
      <c r="L84" s="92"/>
      <c r="CF84" s="92"/>
    </row>
    <row r="85" spans="3:84" x14ac:dyDescent="0.25">
      <c r="G85"/>
      <c r="H85"/>
      <c r="I85" s="92"/>
      <c r="J85" s="92"/>
      <c r="K85" s="92"/>
      <c r="L85" s="92"/>
      <c r="CF85" s="92"/>
    </row>
    <row r="86" spans="3:84" x14ac:dyDescent="0.25">
      <c r="G86"/>
      <c r="H86"/>
      <c r="I86"/>
      <c r="J86"/>
      <c r="K86"/>
    </row>
    <row r="87" spans="3:84" x14ac:dyDescent="0.25">
      <c r="C87"/>
      <c r="D87"/>
      <c r="E87"/>
      <c r="F87"/>
      <c r="G87"/>
    </row>
    <row r="88" spans="3:84" x14ac:dyDescent="0.25">
      <c r="C88"/>
      <c r="D88"/>
      <c r="E88"/>
      <c r="F88"/>
      <c r="G88"/>
    </row>
    <row r="89" spans="3:84" x14ac:dyDescent="0.25">
      <c r="C89"/>
      <c r="D89"/>
      <c r="E89"/>
      <c r="F89"/>
      <c r="G89"/>
    </row>
    <row r="90" spans="3:84" x14ac:dyDescent="0.25">
      <c r="C90"/>
      <c r="D90"/>
      <c r="E90"/>
      <c r="F90"/>
      <c r="G90"/>
    </row>
    <row r="91" spans="3:84" x14ac:dyDescent="0.25">
      <c r="C91"/>
      <c r="D91"/>
      <c r="E91"/>
      <c r="F91"/>
      <c r="G91"/>
    </row>
    <row r="92" spans="3:84" x14ac:dyDescent="0.25">
      <c r="C92"/>
      <c r="D92"/>
      <c r="E92"/>
      <c r="F92"/>
      <c r="G92"/>
    </row>
    <row r="93" spans="3:84" x14ac:dyDescent="0.25">
      <c r="C93"/>
      <c r="D93"/>
      <c r="E93"/>
      <c r="F93"/>
      <c r="G93"/>
    </row>
    <row r="94" spans="3:84" x14ac:dyDescent="0.25">
      <c r="C94"/>
      <c r="D94"/>
      <c r="E94"/>
      <c r="F94"/>
      <c r="G94"/>
    </row>
    <row r="95" spans="3:84" x14ac:dyDescent="0.25">
      <c r="C95"/>
      <c r="D95"/>
      <c r="E95"/>
      <c r="F95"/>
      <c r="G95"/>
    </row>
    <row r="96" spans="3:84"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 right="0.23622047244094491" top="0.23"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25</xdr:col>
                <xdr:colOff>0</xdr:colOff>
                <xdr:row>32</xdr:row>
                <xdr:rowOff>66675</xdr:rowOff>
              </from>
              <to>
                <xdr:col>26</xdr:col>
                <xdr:colOff>523875</xdr:colOff>
                <xdr:row>33</xdr:row>
                <xdr:rowOff>161925</xdr:rowOff>
              </to>
            </anchor>
          </controlPr>
        </control>
      </mc:Choice>
      <mc:Fallback>
        <control shapeId="9217" r:id="rId5" name="CommandButton1"/>
      </mc:Fallback>
    </mc:AlternateContent>
  </controls>
  <tableParts count="1">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B1340"/>
  <sheetViews>
    <sheetView showZeros="0" zoomScaleNormal="100" workbookViewId="0">
      <pane xSplit="7" ySplit="5" topLeftCell="H6" activePane="bottomRight" state="frozen"/>
      <selection pane="topRight" activeCell="H1" sqref="H1"/>
      <selection pane="bottomLeft" activeCell="A6" sqref="A6"/>
      <selection pane="bottomRight" activeCell="B6" sqref="B6"/>
    </sheetView>
  </sheetViews>
  <sheetFormatPr defaultColWidth="8.85546875" defaultRowHeight="15" x14ac:dyDescent="0.25"/>
  <cols>
    <col min="1" max="1" width="11.7109375" style="473" customWidth="1"/>
    <col min="2" max="2" width="15" style="466" customWidth="1"/>
    <col min="3" max="3" width="13.7109375" style="466" customWidth="1"/>
    <col min="4" max="4" width="13" style="466" customWidth="1"/>
    <col min="5" max="5" width="14.28515625" style="466" customWidth="1"/>
    <col min="6" max="6" width="13.85546875" style="466" customWidth="1"/>
    <col min="7" max="7" width="31.140625" style="466" customWidth="1"/>
    <col min="8" max="23" width="11" style="608" customWidth="1"/>
    <col min="24" max="24" width="9.140625" style="86" bestFit="1" customWidth="1"/>
    <col min="25" max="25" width="17" style="90" hidden="1" customWidth="1"/>
    <col min="26" max="26" width="17.42578125" style="90" hidden="1" customWidth="1"/>
    <col min="27" max="27" width="12.28515625" style="90" hidden="1" customWidth="1"/>
    <col min="28" max="28" width="18.85546875" style="90" hidden="1" customWidth="1"/>
    <col min="29" max="29" width="15.28515625" style="90" hidden="1" customWidth="1"/>
    <col min="30" max="30" width="14" style="90" hidden="1" customWidth="1"/>
    <col min="31" max="31" width="17" style="90" hidden="1" customWidth="1"/>
    <col min="32" max="32" width="16.5703125" style="90" hidden="1" customWidth="1"/>
    <col min="33" max="33" width="19.28515625" style="90" hidden="1" customWidth="1"/>
    <col min="34" max="34" width="17" style="90" hidden="1" customWidth="1"/>
    <col min="35" max="35" width="25" style="90" hidden="1" customWidth="1"/>
    <col min="36" max="36" width="18" style="90" hidden="1" customWidth="1"/>
    <col min="37" max="37" width="24" style="90" hidden="1" customWidth="1"/>
    <col min="38" max="38" width="20.140625" style="90" hidden="1" customWidth="1"/>
    <col min="39" max="39" width="11.140625" style="90" hidden="1" customWidth="1"/>
    <col min="40" max="40" width="15.28515625" style="90" hidden="1" customWidth="1"/>
    <col min="41" max="41" width="20.140625" style="90" hidden="1" customWidth="1"/>
    <col min="42" max="42" width="7.28515625" style="90" hidden="1" customWidth="1"/>
    <col min="43" max="43" width="14.85546875" style="466" customWidth="1"/>
    <col min="44" max="44" width="15.85546875" style="834" customWidth="1"/>
    <col min="45" max="45" width="16.42578125" style="466" customWidth="1"/>
    <col min="46" max="46" width="18.140625" style="466" customWidth="1"/>
    <col min="47" max="47" width="8.5703125" style="466" customWidth="1"/>
    <col min="48" max="48" width="10.5703125" style="466" customWidth="1"/>
    <col min="49" max="49" width="67.28515625" style="466" bestFit="1" customWidth="1"/>
    <col min="50" max="16384" width="8.85546875" style="466"/>
  </cols>
  <sheetData>
    <row r="1" spans="1:54" s="451" customFormat="1" ht="36" x14ac:dyDescent="0.25">
      <c r="A1" s="231"/>
      <c r="B1" s="232"/>
      <c r="C1" s="232"/>
      <c r="D1" s="232"/>
      <c r="E1" s="232"/>
      <c r="F1" s="232"/>
      <c r="G1" s="232"/>
      <c r="H1" s="607"/>
      <c r="I1" s="611">
        <f>'NFI Summary'!W3</f>
        <v>1</v>
      </c>
      <c r="J1" s="607"/>
      <c r="K1" s="607"/>
      <c r="L1" s="607"/>
      <c r="M1" s="607"/>
      <c r="N1" s="607"/>
      <c r="O1" s="607"/>
      <c r="P1" s="607"/>
      <c r="Q1" s="607"/>
      <c r="R1" s="607"/>
      <c r="S1" s="607"/>
      <c r="T1" s="607"/>
      <c r="U1" s="607"/>
      <c r="V1" s="607"/>
      <c r="W1" s="607"/>
      <c r="X1" s="607"/>
      <c r="Y1" s="239"/>
      <c r="Z1" s="239"/>
      <c r="AA1" s="239"/>
      <c r="AB1" s="239"/>
      <c r="AC1" s="239"/>
      <c r="AD1" s="239"/>
      <c r="AE1" s="240"/>
      <c r="AF1" s="240"/>
      <c r="AG1" s="240"/>
      <c r="AH1" s="240"/>
      <c r="AI1" s="240"/>
      <c r="AJ1" s="240"/>
      <c r="AK1" s="240"/>
      <c r="AL1" s="240"/>
      <c r="AM1" s="240"/>
      <c r="AN1" s="240"/>
      <c r="AO1" s="240"/>
      <c r="AP1" s="240"/>
      <c r="AQ1" s="449"/>
      <c r="AR1" s="829"/>
      <c r="AS1" s="449"/>
      <c r="AT1" s="449"/>
      <c r="AU1" s="449"/>
      <c r="AV1" s="449"/>
      <c r="AW1" s="450"/>
      <c r="BA1" s="452"/>
      <c r="BB1" s="452"/>
    </row>
    <row r="2" spans="1:54" s="451" customFormat="1" ht="33" customHeight="1" x14ac:dyDescent="0.25">
      <c r="A2" s="871" t="s">
        <v>434</v>
      </c>
      <c r="B2" s="872"/>
      <c r="C2" s="872"/>
      <c r="D2" s="872"/>
      <c r="E2" s="872"/>
      <c r="F2" s="872"/>
      <c r="G2" s="872"/>
      <c r="H2" s="872"/>
      <c r="I2" s="609"/>
      <c r="J2" s="609"/>
      <c r="K2" s="609"/>
      <c r="L2" s="609"/>
      <c r="M2" s="609" t="s">
        <v>601</v>
      </c>
      <c r="N2" s="609"/>
      <c r="O2" s="609"/>
      <c r="P2" s="609"/>
      <c r="Q2" s="609"/>
      <c r="R2" s="609"/>
      <c r="S2" s="609" t="s">
        <v>1586</v>
      </c>
      <c r="T2" s="609"/>
      <c r="U2" s="609"/>
      <c r="V2" s="609"/>
      <c r="W2" s="609"/>
      <c r="X2" s="609"/>
      <c r="Y2" s="85"/>
      <c r="Z2" s="85"/>
      <c r="AA2" s="85"/>
      <c r="AB2" s="85"/>
      <c r="AC2" s="85"/>
      <c r="AD2" s="85"/>
      <c r="AE2" s="85"/>
      <c r="AF2" s="85"/>
      <c r="AG2" s="85"/>
      <c r="AH2" s="85"/>
      <c r="AI2" s="85"/>
      <c r="AJ2" s="85"/>
      <c r="AK2" s="85"/>
      <c r="AL2" s="85"/>
      <c r="AM2" s="85"/>
      <c r="AN2" s="85"/>
      <c r="AO2" s="85"/>
      <c r="AP2" s="85"/>
      <c r="AQ2" s="453"/>
      <c r="AR2" s="830"/>
      <c r="AS2" s="453"/>
      <c r="AT2" s="453"/>
      <c r="AU2" s="453"/>
      <c r="AV2" s="453"/>
      <c r="AW2" s="454"/>
      <c r="AY2" s="452"/>
      <c r="AZ2" s="452"/>
    </row>
    <row r="3" spans="1:54" s="98" customFormat="1" ht="18" customHeight="1" x14ac:dyDescent="0.25">
      <c r="A3" s="873">
        <f>Definition!B23</f>
        <v>42736</v>
      </c>
      <c r="B3" s="874"/>
      <c r="C3" s="874"/>
      <c r="D3" s="874"/>
      <c r="E3" s="874"/>
      <c r="F3" s="874"/>
      <c r="G3" s="874"/>
      <c r="H3" s="874"/>
      <c r="I3" s="610"/>
      <c r="J3" s="610"/>
      <c r="K3" s="610"/>
      <c r="L3" s="610"/>
      <c r="M3" s="610"/>
      <c r="N3" s="610"/>
      <c r="O3" s="610"/>
      <c r="P3" s="610"/>
      <c r="Q3" s="610"/>
      <c r="R3" s="610"/>
      <c r="S3" s="610"/>
      <c r="T3" s="610"/>
      <c r="U3" s="610"/>
      <c r="V3" s="610"/>
      <c r="W3" s="610"/>
      <c r="X3" s="610"/>
      <c r="Y3" s="241"/>
      <c r="Z3" s="241"/>
      <c r="AA3" s="241"/>
      <c r="AB3" s="241"/>
      <c r="AC3" s="241"/>
      <c r="AD3" s="242"/>
      <c r="AE3" s="242"/>
      <c r="AF3" s="242"/>
      <c r="AG3" s="242"/>
      <c r="AH3" s="242"/>
      <c r="AI3" s="242"/>
      <c r="AJ3" s="242"/>
      <c r="AK3" s="242"/>
      <c r="AL3" s="242"/>
      <c r="AM3" s="242"/>
      <c r="AN3" s="242"/>
      <c r="AO3" s="242"/>
      <c r="AP3" s="242"/>
      <c r="AQ3" s="455"/>
      <c r="AR3" s="831"/>
      <c r="AS3" s="455"/>
      <c r="AT3" s="455"/>
      <c r="AU3" s="455"/>
      <c r="AV3" s="455"/>
      <c r="AW3" s="456"/>
      <c r="AY3" s="457"/>
      <c r="AZ3" s="457"/>
    </row>
    <row r="4" spans="1:54" s="98" customFormat="1" ht="18" hidden="1" customHeight="1" x14ac:dyDescent="0.25">
      <c r="A4" s="877"/>
      <c r="B4" s="878"/>
      <c r="C4" s="878"/>
      <c r="D4" s="33"/>
      <c r="E4" s="33"/>
      <c r="F4" s="33"/>
      <c r="G4" s="33"/>
      <c r="H4" s="88"/>
      <c r="I4" s="88"/>
      <c r="J4" s="88"/>
      <c r="K4" s="87"/>
      <c r="L4" s="88"/>
      <c r="M4" s="88"/>
      <c r="N4" s="88"/>
      <c r="O4" s="88"/>
      <c r="P4" s="88"/>
      <c r="Q4" s="88"/>
      <c r="R4" s="88"/>
      <c r="S4" s="88"/>
      <c r="T4" s="88"/>
      <c r="U4" s="88"/>
      <c r="V4" s="88"/>
      <c r="W4" s="88"/>
      <c r="X4" s="88"/>
      <c r="Y4" s="88"/>
      <c r="Z4" s="88"/>
      <c r="AA4" s="88"/>
      <c r="AB4" s="89"/>
      <c r="AC4" s="88"/>
      <c r="AD4" s="88"/>
      <c r="AE4" s="87"/>
      <c r="AF4" s="87"/>
      <c r="AG4" s="87"/>
      <c r="AH4" s="87"/>
      <c r="AI4" s="87"/>
      <c r="AJ4" s="87"/>
      <c r="AK4" s="87"/>
      <c r="AL4" s="87"/>
      <c r="AM4" s="87"/>
      <c r="AN4" s="87"/>
      <c r="AO4" s="87"/>
      <c r="AP4" s="87"/>
      <c r="AR4" s="832"/>
      <c r="AW4" s="458"/>
      <c r="BA4" s="457"/>
      <c r="BB4" s="457"/>
    </row>
    <row r="5" spans="1:54" s="459" customFormat="1" ht="69.75" customHeight="1" x14ac:dyDescent="0.25">
      <c r="A5" s="287" t="s">
        <v>439</v>
      </c>
      <c r="B5" s="287" t="s">
        <v>412</v>
      </c>
      <c r="C5" s="287" t="s">
        <v>402</v>
      </c>
      <c r="D5" s="287" t="s">
        <v>413</v>
      </c>
      <c r="E5" s="287" t="s">
        <v>395</v>
      </c>
      <c r="F5" s="287" t="s">
        <v>0</v>
      </c>
      <c r="G5" s="287" t="s">
        <v>394</v>
      </c>
      <c r="H5" s="287" t="s">
        <v>455</v>
      </c>
      <c r="I5" s="287" t="s">
        <v>404</v>
      </c>
      <c r="J5" s="287" t="s">
        <v>456</v>
      </c>
      <c r="K5" s="287" t="s">
        <v>595</v>
      </c>
      <c r="L5" s="287" t="s">
        <v>457</v>
      </c>
      <c r="M5" s="287" t="s">
        <v>435</v>
      </c>
      <c r="N5" s="287" t="s">
        <v>436</v>
      </c>
      <c r="O5" s="287" t="s">
        <v>1218</v>
      </c>
      <c r="P5" s="287" t="s">
        <v>577</v>
      </c>
      <c r="Q5" s="287" t="s">
        <v>578</v>
      </c>
      <c r="R5" s="287" t="s">
        <v>987</v>
      </c>
      <c r="S5" s="287" t="s">
        <v>991</v>
      </c>
      <c r="T5" s="287" t="s">
        <v>995</v>
      </c>
      <c r="U5" s="287" t="s">
        <v>1111</v>
      </c>
      <c r="V5" s="287" t="s">
        <v>1306</v>
      </c>
      <c r="W5" s="287" t="s">
        <v>1323</v>
      </c>
      <c r="X5" s="287" t="s">
        <v>1324</v>
      </c>
      <c r="Y5" s="288" t="s">
        <v>1136</v>
      </c>
      <c r="Z5" s="288" t="s">
        <v>1137</v>
      </c>
      <c r="AA5" s="288" t="s">
        <v>1138</v>
      </c>
      <c r="AB5" s="288" t="s">
        <v>1139</v>
      </c>
      <c r="AC5" s="288" t="s">
        <v>1140</v>
      </c>
      <c r="AD5" s="288" t="s">
        <v>1142</v>
      </c>
      <c r="AE5" s="288" t="s">
        <v>1141</v>
      </c>
      <c r="AF5" s="288" t="s">
        <v>1219</v>
      </c>
      <c r="AG5" s="288" t="s">
        <v>1143</v>
      </c>
      <c r="AH5" s="288" t="s">
        <v>1144</v>
      </c>
      <c r="AI5" s="288" t="s">
        <v>1145</v>
      </c>
      <c r="AJ5" s="288" t="s">
        <v>1146</v>
      </c>
      <c r="AK5" s="288" t="s">
        <v>1147</v>
      </c>
      <c r="AL5" s="288" t="s">
        <v>1148</v>
      </c>
      <c r="AM5" s="288" t="s">
        <v>1151</v>
      </c>
      <c r="AN5" s="288" t="s">
        <v>1307</v>
      </c>
      <c r="AO5" s="288" t="s">
        <v>1460</v>
      </c>
      <c r="AP5" s="288" t="s">
        <v>1461</v>
      </c>
      <c r="AQ5" s="287" t="s">
        <v>558</v>
      </c>
      <c r="AR5" s="833" t="s">
        <v>1135</v>
      </c>
      <c r="AS5" s="287" t="s">
        <v>498</v>
      </c>
      <c r="AT5" s="287" t="s">
        <v>1080</v>
      </c>
      <c r="AU5" s="287" t="s">
        <v>441</v>
      </c>
      <c r="AV5" s="287" t="s">
        <v>1091</v>
      </c>
      <c r="AW5" s="287" t="s">
        <v>496</v>
      </c>
    </row>
    <row r="6" spans="1:54" s="501" customFormat="1" ht="16.149999999999999" customHeight="1" x14ac:dyDescent="0.25">
      <c r="A6" s="297">
        <f t="shared" ref="A6:A69" si="0">IF(ISBLANK(B6),"",(Report_Date-B6)/30)</f>
        <v>-0.73333333333333328</v>
      </c>
      <c r="B6" s="460">
        <v>42758</v>
      </c>
      <c r="C6" s="465" t="s">
        <v>452</v>
      </c>
      <c r="D6" s="465" t="s">
        <v>1444</v>
      </c>
      <c r="E6" s="465" t="s">
        <v>380</v>
      </c>
      <c r="F6" s="465" t="s">
        <v>151</v>
      </c>
      <c r="G6" s="465" t="s">
        <v>875</v>
      </c>
      <c r="H6" s="292"/>
      <c r="I6" s="292">
        <v>24</v>
      </c>
      <c r="J6" s="292">
        <v>25</v>
      </c>
      <c r="K6" s="292">
        <v>45</v>
      </c>
      <c r="L6" s="292">
        <v>25</v>
      </c>
      <c r="M6" s="292">
        <v>45</v>
      </c>
      <c r="N6" s="292">
        <v>25</v>
      </c>
      <c r="O6" s="292"/>
      <c r="P6" s="294">
        <v>25</v>
      </c>
      <c r="Q6" s="294">
        <v>83</v>
      </c>
      <c r="R6" s="294"/>
      <c r="S6" s="294"/>
      <c r="T6" s="294"/>
      <c r="U6" s="294"/>
      <c r="V6" s="331">
        <v>25</v>
      </c>
      <c r="W6" s="294"/>
      <c r="X6" s="294"/>
      <c r="Y6" s="294">
        <f>IF(NFI_Expiration=1,IF($A6&lt;VLOOKUP(H$5,NFI,5,0),1,0)*Table_NFI[[#This Row],[Hygiene Kit]],Table_NFI[Hygiene Kit])</f>
        <v>0</v>
      </c>
      <c r="Z6" s="294">
        <f>IF(NFI_Expiration=1,IF($A6&lt;VLOOKUP(I$5,NFI,5,0),1,0)*Table_NFI[[#This Row],[NFI Core Kit]],Table_NFI[NFI Core Kit])</f>
        <v>24</v>
      </c>
      <c r="AA6" s="294">
        <f>IF(NFI_Expiration=1,IF($A6&lt;VLOOKUP(J$5,NFI,5,0),1,0)*Table_NFI[[#This Row],[Sanitary Kit]],Table_NFI[Sanitary Kit])</f>
        <v>25</v>
      </c>
      <c r="AB6" s="294">
        <f>IF(NFI_Expiration=1,IF($A6&lt;VLOOKUP(K$5,NFI,5,0),1,0)*Table_NFI[[#This Row],[Mosquito net]],Table_NFI[Mosquito net])</f>
        <v>45</v>
      </c>
      <c r="AC6" s="294">
        <f>IF(NFI_Expiration=1,IF($A6&lt;VLOOKUP(L$5,NFI,5,0),1,0)*Table_NFI[[#This Row],[Tarpaulin]],Table_NFI[[#This Row],[Tarpaulin]])</f>
        <v>25</v>
      </c>
      <c r="AD6" s="294">
        <f>IF(NFI_Expiration=1,IF($A6&lt;VLOOKUP(M$5,NFI,5,0),1,0)*Table_NFI[[#This Row],[Blanket]],Table_NFI[[#This Row],[Blanket]])</f>
        <v>45</v>
      </c>
      <c r="AE6" s="294">
        <f>IF(NFI_Expiration=1,IF($A6&lt;VLOOKUP(N$5,NFI,5,0),1,0)*Table_NFI[[#This Row],[Kitchen Set]],Table_NFI[Kitchen Set])</f>
        <v>25</v>
      </c>
      <c r="AF6" s="294">
        <f>IF(NFI_Expiration=1,IF($A6&lt;VLOOKUP(O$5,NFI,5,0),1,0)*Table_NFI[[#This Row],[Clothes Kit]],Table_NFI[Clothes Kit])</f>
        <v>0</v>
      </c>
      <c r="AG6" s="294">
        <f>IF(NFI_Expiration=1,IF($A6&lt;VLOOKUP(P$5,NFI,5,0),1,0)*Table_NFI[[#This Row],[Plastic Bucket]],Table_NFI[Plastic Bucket])</f>
        <v>25</v>
      </c>
      <c r="AH6" s="294">
        <f>IF(NFI_Expiration=1,IF($A6&lt;VLOOKUP(Q$5,NFI,5,0),1,0)*Table_NFI[[#This Row],[Plastic Mat]],Table_NFI[Plastic Mat])*IF(Table_NFI[[#This Row],[Distribution Date]]&gt;"2014-04-01",1,2.5)</f>
        <v>207.5</v>
      </c>
      <c r="AI6" s="294">
        <f>IF(NFI_Expiration=1,IF($A6&lt;VLOOKUP(R$5,NFI,5,0),1,0)*Table_NFI[[#This Row],[Winter Clothes Adult]],Table_NFI[Winter Clothes Adult])</f>
        <v>0</v>
      </c>
      <c r="AJ6" s="294">
        <f>IF(NFI_Expiration=1,IF($A6&lt;VLOOKUP(S$5,NFI,5,0),1,0)*Table_NFI[[#This Row],[Winter Clothes Children]],Table_NFI[Winter Clothes Children])</f>
        <v>0</v>
      </c>
      <c r="AK6" s="294">
        <f>IF(NFI_Expiration=1,IF($A6&lt;VLOOKUP(T$5,NFI,5,0),1,0)*Table_NFI[[#This Row],[Winter Items Other]],Table_NFI[Winter Items Other])</f>
        <v>0</v>
      </c>
      <c r="AL6" s="294">
        <f>IF(NFI_Expiration=1,IF($A6&lt;VLOOKUP(M$5,NFI,5,0),1,0)*Table_NFI[[#This Row],[Winter Blanket]],Table_NFI[[#This Row],[Winter Blanket]])</f>
        <v>0</v>
      </c>
      <c r="AM6" s="294">
        <f>IF(Table_NFI[[#This Row],[Winter Clothes Adult]]+Table_NFI[[#This Row],[Winter Clothes Children]]+Table_NFI[[#This Row],[Winter Items Other]]+Table_NFI[[#This Row],[Winter Blanket]]&gt;0,1,0)</f>
        <v>0</v>
      </c>
      <c r="AN6" s="331">
        <f>IF(NFI_Expiration=1,IF($A6&lt;VLOOKUP(V$5,NFI,5,0),1,0)*Table_NFI[[#This Row],[Jerry Can]],Table_NFI[Jerry Can])</f>
        <v>25</v>
      </c>
      <c r="AO6" s="331">
        <f>IF(NFI_Expiration=1,IF($A6&lt;VLOOKUP(V$5,NFI,5,0),1,0)*Table_NFI[[#This Row],[Shelter Tool kit]],Table_NFI[Shelter Tool kit])</f>
        <v>0</v>
      </c>
      <c r="AP6" s="331">
        <f>IF(NFI_Expiration=1,IF($A6&lt;VLOOKUP(V$5,NFI,5,0),1,0)*Table_NFI[[#This Row],[Tent]],Table_NFI[Tent])</f>
        <v>0</v>
      </c>
      <c r="AQ6" s="467" t="str">
        <f>IFERROR(VLOOKUP(Table_NFI[[#This Row],[Camp Name]],CL,2,0),"")</f>
        <v>MMR001CMP213</v>
      </c>
      <c r="AR6" s="835">
        <f ca="1">IF(Table_NFI[[#This Row],[Pcode]]="","",IF(OFFSET(CampList[Opening Date],MATCH(Table_NFI[[#This Row],[Pcode]],CampList[CP_Pcode],0)-1,0,1,1)&gt;=NFI_Monitor_Date,1,0))</f>
        <v>0</v>
      </c>
      <c r="AS6" s="467" t="str">
        <f>IFERROR(VLOOKUP(Table_NFI[[#This Row],[Camp Name]],CL,3,0),"")</f>
        <v>Closed</v>
      </c>
      <c r="AT6" s="294" t="str">
        <f ca="1">IF(Table_NFI[[#This Row],[Pcode]]="","",OFFSET(CampList[Priority],MATCH(Table_NFI[[#This Row],[Pcode]],CampList[CP_Pcode],0)-1,0,1,1))</f>
        <v/>
      </c>
      <c r="AU6" s="293" t="str">
        <f>IFERROR(Table_NFI[[#This Row],[Kitchen Set]]/VLOOKUP(Table_NFI[[#This Row],[Camp Name]],CL,4,0),"")</f>
        <v/>
      </c>
      <c r="AV6" s="461"/>
      <c r="AW6" s="468" t="s">
        <v>1534</v>
      </c>
    </row>
    <row r="7" spans="1:54" s="501" customFormat="1" ht="16.149999999999999" customHeight="1" x14ac:dyDescent="0.25">
      <c r="A7" s="297">
        <f t="shared" si="0"/>
        <v>-0.73333333333333328</v>
      </c>
      <c r="B7" s="460">
        <v>42758</v>
      </c>
      <c r="C7" s="465" t="s">
        <v>452</v>
      </c>
      <c r="D7" s="465" t="s">
        <v>1444</v>
      </c>
      <c r="E7" s="465" t="s">
        <v>380</v>
      </c>
      <c r="F7" s="465" t="s">
        <v>151</v>
      </c>
      <c r="G7" s="465" t="s">
        <v>875</v>
      </c>
      <c r="H7" s="292"/>
      <c r="I7" s="292">
        <v>24</v>
      </c>
      <c r="J7" s="292">
        <v>25</v>
      </c>
      <c r="K7" s="292">
        <v>45</v>
      </c>
      <c r="L7" s="292">
        <v>25</v>
      </c>
      <c r="M7" s="292">
        <v>45</v>
      </c>
      <c r="N7" s="292">
        <v>25</v>
      </c>
      <c r="O7" s="292"/>
      <c r="P7" s="294">
        <v>25</v>
      </c>
      <c r="Q7" s="294">
        <v>83</v>
      </c>
      <c r="R7" s="294"/>
      <c r="S7" s="294"/>
      <c r="T7" s="294"/>
      <c r="U7" s="294"/>
      <c r="V7" s="431"/>
      <c r="W7" s="294"/>
      <c r="X7" s="294"/>
      <c r="Y7" s="294">
        <f>IF(NFI_Expiration=1,IF($A7&lt;VLOOKUP(H$5,NFI,5,0),1,0)*Table_NFI[[#This Row],[Hygiene Kit]],Table_NFI[Hygiene Kit])</f>
        <v>0</v>
      </c>
      <c r="Z7" s="294">
        <f>IF(NFI_Expiration=1,IF($A7&lt;VLOOKUP(I$5,NFI,5,0),1,0)*Table_NFI[[#This Row],[NFI Core Kit]],Table_NFI[NFI Core Kit])</f>
        <v>24</v>
      </c>
      <c r="AA7" s="294">
        <f>IF(NFI_Expiration=1,IF($A7&lt;VLOOKUP(J$5,NFI,5,0),1,0)*Table_NFI[[#This Row],[Sanitary Kit]],Table_NFI[Sanitary Kit])</f>
        <v>25</v>
      </c>
      <c r="AB7" s="294">
        <f>IF(NFI_Expiration=1,IF($A7&lt;VLOOKUP(K$5,NFI,5,0),1,0)*Table_NFI[[#This Row],[Mosquito net]],Table_NFI[Mosquito net])</f>
        <v>45</v>
      </c>
      <c r="AC7" s="294">
        <f>IF(NFI_Expiration=1,IF($A7&lt;VLOOKUP(L$5,NFI,5,0),1,0)*Table_NFI[[#This Row],[Tarpaulin]],Table_NFI[[#This Row],[Tarpaulin]])</f>
        <v>25</v>
      </c>
      <c r="AD7" s="294">
        <f>IF(NFI_Expiration=1,IF($A7&lt;VLOOKUP(M$5,NFI,5,0),1,0)*Table_NFI[[#This Row],[Blanket]],Table_NFI[[#This Row],[Blanket]])</f>
        <v>45</v>
      </c>
      <c r="AE7" s="294">
        <f>IF(NFI_Expiration=1,IF($A7&lt;VLOOKUP(N$5,NFI,5,0),1,0)*Table_NFI[[#This Row],[Kitchen Set]],Table_NFI[Kitchen Set])</f>
        <v>25</v>
      </c>
      <c r="AF7" s="294">
        <f>IF(NFI_Expiration=1,IF($A7&lt;VLOOKUP(O$5,NFI,5,0),1,0)*Table_NFI[[#This Row],[Clothes Kit]],Table_NFI[Clothes Kit])</f>
        <v>0</v>
      </c>
      <c r="AG7" s="294">
        <f>IF(NFI_Expiration=1,IF($A7&lt;VLOOKUP(P$5,NFI,5,0),1,0)*Table_NFI[[#This Row],[Plastic Bucket]],Table_NFI[Plastic Bucket])</f>
        <v>25</v>
      </c>
      <c r="AH7" s="294">
        <f>IF(NFI_Expiration=1,IF($A7&lt;VLOOKUP(Q$5,NFI,5,0),1,0)*Table_NFI[[#This Row],[Plastic Mat]],Table_NFI[Plastic Mat])*IF(Table_NFI[[#This Row],[Distribution Date]]&gt;"2014-04-01",1,2.5)</f>
        <v>207.5</v>
      </c>
      <c r="AI7" s="294">
        <f>IF(NFI_Expiration=1,IF($A7&lt;VLOOKUP(R$5,NFI,5,0),1,0)*Table_NFI[[#This Row],[Winter Clothes Adult]],Table_NFI[Winter Clothes Adult])</f>
        <v>0</v>
      </c>
      <c r="AJ7" s="294">
        <f>IF(NFI_Expiration=1,IF($A7&lt;VLOOKUP(S$5,NFI,5,0),1,0)*Table_NFI[[#This Row],[Winter Clothes Children]],Table_NFI[Winter Clothes Children])</f>
        <v>0</v>
      </c>
      <c r="AK7" s="294">
        <f>IF(NFI_Expiration=1,IF($A7&lt;VLOOKUP(T$5,NFI,5,0),1,0)*Table_NFI[[#This Row],[Winter Items Other]],Table_NFI[Winter Items Other])</f>
        <v>0</v>
      </c>
      <c r="AL7" s="294">
        <f>IF(NFI_Expiration=1,IF($A7&lt;VLOOKUP(M$5,NFI,5,0),1,0)*Table_NFI[[#This Row],[Winter Blanket]],Table_NFI[[#This Row],[Winter Blanket]])</f>
        <v>0</v>
      </c>
      <c r="AM7" s="294">
        <f>IF(Table_NFI[[#This Row],[Winter Clothes Adult]]+Table_NFI[[#This Row],[Winter Clothes Children]]+Table_NFI[[#This Row],[Winter Items Other]]+Table_NFI[[#This Row],[Winter Blanket]]&gt;0,1,0)</f>
        <v>0</v>
      </c>
      <c r="AN7" s="331">
        <f>IF(NFI_Expiration=1,IF($A7&lt;VLOOKUP(V$5,NFI,5,0),1,0)*Table_NFI[[#This Row],[Jerry Can]],Table_NFI[Jerry Can])</f>
        <v>0</v>
      </c>
      <c r="AO7" s="331">
        <f>IF(NFI_Expiration=1,IF($A7&lt;VLOOKUP(V$5,NFI,5,0),1,0)*Table_NFI[[#This Row],[Shelter Tool kit]],Table_NFI[Shelter Tool kit])</f>
        <v>0</v>
      </c>
      <c r="AP7" s="331">
        <f>IF(NFI_Expiration=1,IF($A7&lt;VLOOKUP(V$5,NFI,5,0),1,0)*Table_NFI[[#This Row],[Tent]],Table_NFI[Tent])</f>
        <v>0</v>
      </c>
      <c r="AQ7" s="467" t="str">
        <f>IFERROR(VLOOKUP(Table_NFI[[#This Row],[Camp Name]],CL,2,0),"")</f>
        <v>MMR001CMP213</v>
      </c>
      <c r="AR7" s="835">
        <f ca="1">IF(Table_NFI[[#This Row],[Pcode]]="","",IF(OFFSET(CampList[Opening Date],MATCH(Table_NFI[[#This Row],[Pcode]],CampList[CP_Pcode],0)-1,0,1,1)&gt;=NFI_Monitor_Date,1,0))</f>
        <v>0</v>
      </c>
      <c r="AS7" s="467" t="str">
        <f>IFERROR(VLOOKUP(Table_NFI[[#This Row],[Camp Name]],CL,3,0),"")</f>
        <v>Closed</v>
      </c>
      <c r="AT7" s="294" t="str">
        <f ca="1">IF(Table_NFI[[#This Row],[Pcode]]="","",OFFSET(CampList[Priority],MATCH(Table_NFI[[#This Row],[Pcode]],CampList[CP_Pcode],0)-1,0,1,1))</f>
        <v/>
      </c>
      <c r="AU7" s="293" t="str">
        <f>IFERROR(Table_NFI[[#This Row],[Kitchen Set]]/VLOOKUP(Table_NFI[[#This Row],[Camp Name]],CL,4,0),"")</f>
        <v/>
      </c>
      <c r="AV7" s="461"/>
      <c r="AW7" s="468"/>
    </row>
    <row r="8" spans="1:54" s="501" customFormat="1" ht="16.149999999999999" customHeight="1" x14ac:dyDescent="0.25">
      <c r="A8" s="297">
        <f t="shared" si="0"/>
        <v>1.0666666666666667</v>
      </c>
      <c r="B8" s="460">
        <v>42704</v>
      </c>
      <c r="C8" s="465" t="s">
        <v>905</v>
      </c>
      <c r="D8" s="465" t="s">
        <v>905</v>
      </c>
      <c r="E8" s="465" t="s">
        <v>380</v>
      </c>
      <c r="F8" s="465" t="s">
        <v>5</v>
      </c>
      <c r="G8" s="465" t="s">
        <v>366</v>
      </c>
      <c r="H8" s="292"/>
      <c r="I8" s="292"/>
      <c r="J8" s="292"/>
      <c r="K8" s="292"/>
      <c r="L8" s="292"/>
      <c r="M8" s="292"/>
      <c r="N8" s="292"/>
      <c r="O8" s="292"/>
      <c r="P8" s="294"/>
      <c r="Q8" s="294"/>
      <c r="R8" s="294"/>
      <c r="S8" s="294"/>
      <c r="T8" s="294"/>
      <c r="U8" s="294"/>
      <c r="V8" s="331">
        <v>2</v>
      </c>
      <c r="W8" s="294"/>
      <c r="X8" s="294"/>
      <c r="Y8" s="294">
        <f>IF(NFI_Expiration=1,IF($A8&lt;VLOOKUP(H$5,NFI,5,0),1,0)*Table_NFI[[#This Row],[Hygiene Kit]],Table_NFI[Hygiene Kit])</f>
        <v>0</v>
      </c>
      <c r="Z8" s="294">
        <f>IF(NFI_Expiration=1,IF($A8&lt;VLOOKUP(I$5,NFI,5,0),1,0)*Table_NFI[[#This Row],[NFI Core Kit]],Table_NFI[NFI Core Kit])</f>
        <v>0</v>
      </c>
      <c r="AA8" s="294">
        <f>IF(NFI_Expiration=1,IF($A8&lt;VLOOKUP(J$5,NFI,5,0),1,0)*Table_NFI[[#This Row],[Sanitary Kit]],Table_NFI[Sanitary Kit])</f>
        <v>0</v>
      </c>
      <c r="AB8" s="294">
        <f>IF(NFI_Expiration=1,IF($A8&lt;VLOOKUP(K$5,NFI,5,0),1,0)*Table_NFI[[#This Row],[Mosquito net]],Table_NFI[Mosquito net])</f>
        <v>0</v>
      </c>
      <c r="AC8" s="294">
        <f>IF(NFI_Expiration=1,IF($A8&lt;VLOOKUP(L$5,NFI,5,0),1,0)*Table_NFI[[#This Row],[Tarpaulin]],Table_NFI[[#This Row],[Tarpaulin]])</f>
        <v>0</v>
      </c>
      <c r="AD8" s="294">
        <f>IF(NFI_Expiration=1,IF($A8&lt;VLOOKUP(M$5,NFI,5,0),1,0)*Table_NFI[[#This Row],[Blanket]],Table_NFI[[#This Row],[Blanket]])</f>
        <v>0</v>
      </c>
      <c r="AE8" s="294">
        <f>IF(NFI_Expiration=1,IF($A8&lt;VLOOKUP(N$5,NFI,5,0),1,0)*Table_NFI[[#This Row],[Kitchen Set]],Table_NFI[Kitchen Set])</f>
        <v>0</v>
      </c>
      <c r="AF8" s="294">
        <f>IF(NFI_Expiration=1,IF($A8&lt;VLOOKUP(O$5,NFI,5,0),1,0)*Table_NFI[[#This Row],[Clothes Kit]],Table_NFI[Clothes Kit])</f>
        <v>0</v>
      </c>
      <c r="AG8" s="294">
        <f>IF(NFI_Expiration=1,IF($A8&lt;VLOOKUP(P$5,NFI,5,0),1,0)*Table_NFI[[#This Row],[Plastic Bucket]],Table_NFI[Plastic Bucket])</f>
        <v>0</v>
      </c>
      <c r="AH8" s="294">
        <f>IF(NFI_Expiration=1,IF($A8&lt;VLOOKUP(Q$5,NFI,5,0),1,0)*Table_NFI[[#This Row],[Plastic Mat]],Table_NFI[Plastic Mat])*IF(Table_NFI[[#This Row],[Distribution Date]]&gt;"2014-04-01",1,2.5)</f>
        <v>0</v>
      </c>
      <c r="AI8" s="294">
        <f>IF(NFI_Expiration=1,IF($A8&lt;VLOOKUP(R$5,NFI,5,0),1,0)*Table_NFI[[#This Row],[Winter Clothes Adult]],Table_NFI[Winter Clothes Adult])</f>
        <v>0</v>
      </c>
      <c r="AJ8" s="294">
        <f>IF(NFI_Expiration=1,IF($A8&lt;VLOOKUP(S$5,NFI,5,0),1,0)*Table_NFI[[#This Row],[Winter Clothes Children]],Table_NFI[Winter Clothes Children])</f>
        <v>0</v>
      </c>
      <c r="AK8" s="294">
        <f>IF(NFI_Expiration=1,IF($A8&lt;VLOOKUP(T$5,NFI,5,0),1,0)*Table_NFI[[#This Row],[Winter Items Other]],Table_NFI[Winter Items Other])</f>
        <v>0</v>
      </c>
      <c r="AL8" s="294">
        <f>IF(NFI_Expiration=1,IF($A8&lt;VLOOKUP(M$5,NFI,5,0),1,0)*Table_NFI[[#This Row],[Winter Blanket]],Table_NFI[[#This Row],[Winter Blanket]])</f>
        <v>0</v>
      </c>
      <c r="AM8" s="294">
        <f>IF(Table_NFI[[#This Row],[Winter Clothes Adult]]+Table_NFI[[#This Row],[Winter Clothes Children]]+Table_NFI[[#This Row],[Winter Items Other]]+Table_NFI[[#This Row],[Winter Blanket]]&gt;0,1,0)</f>
        <v>0</v>
      </c>
      <c r="AN8" s="331">
        <f>IF(NFI_Expiration=1,IF($A8&lt;VLOOKUP(V$5,NFI,5,0),1,0)*Table_NFI[[#This Row],[Jerry Can]],Table_NFI[Jerry Can])</f>
        <v>2</v>
      </c>
      <c r="AO8" s="331">
        <f>IF(NFI_Expiration=1,IF($A8&lt;VLOOKUP(V$5,NFI,5,0),1,0)*Table_NFI[[#This Row],[Shelter Tool kit]],Table_NFI[Shelter Tool kit])</f>
        <v>0</v>
      </c>
      <c r="AP8" s="331">
        <f>IF(NFI_Expiration=1,IF($A8&lt;VLOOKUP(V$5,NFI,5,0),1,0)*Table_NFI[[#This Row],[Tent]],Table_NFI[Tent])</f>
        <v>0</v>
      </c>
      <c r="AQ8" s="467" t="str">
        <f>IFERROR(VLOOKUP(Table_NFI[[#This Row],[Camp Name]],CL,2,0),"")</f>
        <v>MMR001CMP193</v>
      </c>
      <c r="AR8" s="835">
        <f ca="1">IF(Table_NFI[[#This Row],[Pcode]]="","",IF(OFFSET(CampList[Opening Date],MATCH(Table_NFI[[#This Row],[Pcode]],CampList[CP_Pcode],0)-1,0,1,1)&gt;=NFI_Monitor_Date,1,0))</f>
        <v>0</v>
      </c>
      <c r="AS8" s="467" t="str">
        <f>IFERROR(VLOOKUP(Table_NFI[[#This Row],[Camp Name]],CL,3,0),"")</f>
        <v>Open</v>
      </c>
      <c r="AT8" s="294" t="str">
        <f ca="1">IF(Table_NFI[[#This Row],[Pcode]]="","",OFFSET(CampList[Priority],MATCH(Table_NFI[[#This Row],[Pcode]],CampList[CP_Pcode],0)-1,0,1,1))</f>
        <v>P4</v>
      </c>
      <c r="AU8" s="293">
        <f>IFERROR(Table_NFI[[#This Row],[Kitchen Set]]/VLOOKUP(Table_NFI[[#This Row],[Camp Name]],CL,4,0),"")</f>
        <v>0</v>
      </c>
      <c r="AV8" s="461"/>
      <c r="AW8" s="468" t="s">
        <v>1468</v>
      </c>
    </row>
    <row r="9" spans="1:54" s="501" customFormat="1" ht="16.149999999999999" customHeight="1" x14ac:dyDescent="0.25">
      <c r="A9" s="297">
        <f t="shared" si="0"/>
        <v>1.0666666666666667</v>
      </c>
      <c r="B9" s="460">
        <v>42704</v>
      </c>
      <c r="C9" s="465" t="s">
        <v>905</v>
      </c>
      <c r="D9" s="465" t="s">
        <v>905</v>
      </c>
      <c r="E9" s="471" t="s">
        <v>380</v>
      </c>
      <c r="F9" s="465" t="s">
        <v>5</v>
      </c>
      <c r="G9" s="465" t="s">
        <v>22</v>
      </c>
      <c r="H9" s="292"/>
      <c r="I9" s="292"/>
      <c r="J9" s="292"/>
      <c r="K9" s="292"/>
      <c r="L9" s="292"/>
      <c r="M9" s="292"/>
      <c r="N9" s="292"/>
      <c r="O9" s="292"/>
      <c r="P9" s="294"/>
      <c r="Q9" s="294"/>
      <c r="R9" s="294"/>
      <c r="S9" s="294"/>
      <c r="T9" s="294"/>
      <c r="U9" s="294"/>
      <c r="V9" s="331">
        <v>5</v>
      </c>
      <c r="W9" s="331"/>
      <c r="X9" s="331"/>
      <c r="Y9" s="294">
        <f>IF(NFI_Expiration=1,IF($A9&lt;VLOOKUP(H$5,NFI,5,0),1,0)*Table_NFI[[#This Row],[Hygiene Kit]],Table_NFI[Hygiene Kit])</f>
        <v>0</v>
      </c>
      <c r="Z9" s="294">
        <f>IF(NFI_Expiration=1,IF($A9&lt;VLOOKUP(I$5,NFI,5,0),1,0)*Table_NFI[[#This Row],[NFI Core Kit]],Table_NFI[NFI Core Kit])</f>
        <v>0</v>
      </c>
      <c r="AA9" s="294">
        <f>IF(NFI_Expiration=1,IF($A9&lt;VLOOKUP(J$5,NFI,5,0),1,0)*Table_NFI[[#This Row],[Sanitary Kit]],Table_NFI[Sanitary Kit])</f>
        <v>0</v>
      </c>
      <c r="AB9" s="294">
        <f>IF(NFI_Expiration=1,IF($A9&lt;VLOOKUP(K$5,NFI,5,0),1,0)*Table_NFI[[#This Row],[Mosquito net]],Table_NFI[Mosquito net])</f>
        <v>0</v>
      </c>
      <c r="AC9" s="294">
        <f>IF(NFI_Expiration=1,IF($A9&lt;VLOOKUP(L$5,NFI,5,0),1,0)*Table_NFI[[#This Row],[Tarpaulin]],Table_NFI[[#This Row],[Tarpaulin]])</f>
        <v>0</v>
      </c>
      <c r="AD9" s="294">
        <f>IF(NFI_Expiration=1,IF($A9&lt;VLOOKUP(M$5,NFI,5,0),1,0)*Table_NFI[[#This Row],[Blanket]],Table_NFI[[#This Row],[Blanket]])</f>
        <v>0</v>
      </c>
      <c r="AE9" s="294">
        <f>IF(NFI_Expiration=1,IF($A9&lt;VLOOKUP(N$5,NFI,5,0),1,0)*Table_NFI[[#This Row],[Kitchen Set]],Table_NFI[Kitchen Set])</f>
        <v>0</v>
      </c>
      <c r="AF9" s="294">
        <f>IF(NFI_Expiration=1,IF($A9&lt;VLOOKUP(O$5,NFI,5,0),1,0)*Table_NFI[[#This Row],[Clothes Kit]],Table_NFI[Clothes Kit])</f>
        <v>0</v>
      </c>
      <c r="AG9" s="294">
        <f>IF(NFI_Expiration=1,IF($A9&lt;VLOOKUP(P$5,NFI,5,0),1,0)*Table_NFI[[#This Row],[Plastic Bucket]],Table_NFI[Plastic Bucket])</f>
        <v>0</v>
      </c>
      <c r="AH9" s="294">
        <f>IF(NFI_Expiration=1,IF($A9&lt;VLOOKUP(Q$5,NFI,5,0),1,0)*Table_NFI[[#This Row],[Plastic Mat]],Table_NFI[Plastic Mat])*IF(Table_NFI[[#This Row],[Distribution Date]]&gt;"2014-04-01",1,2.5)</f>
        <v>0</v>
      </c>
      <c r="AI9" s="294">
        <f>IF(NFI_Expiration=1,IF($A9&lt;VLOOKUP(R$5,NFI,5,0),1,0)*Table_NFI[[#This Row],[Winter Clothes Adult]],Table_NFI[Winter Clothes Adult])</f>
        <v>0</v>
      </c>
      <c r="AJ9" s="294">
        <f>IF(NFI_Expiration=1,IF($A9&lt;VLOOKUP(S$5,NFI,5,0),1,0)*Table_NFI[[#This Row],[Winter Clothes Children]],Table_NFI[Winter Clothes Children])</f>
        <v>0</v>
      </c>
      <c r="AK9" s="294">
        <f>IF(NFI_Expiration=1,IF($A9&lt;VLOOKUP(T$5,NFI,5,0),1,0)*Table_NFI[[#This Row],[Winter Items Other]],Table_NFI[Winter Items Other])</f>
        <v>0</v>
      </c>
      <c r="AL9" s="294">
        <f>IF(NFI_Expiration=1,IF($A9&lt;VLOOKUP(M$5,NFI,5,0),1,0)*Table_NFI[[#This Row],[Winter Blanket]],Table_NFI[[#This Row],[Winter Blanket]])</f>
        <v>0</v>
      </c>
      <c r="AM9" s="294">
        <f>IF(Table_NFI[[#This Row],[Winter Clothes Adult]]+Table_NFI[[#This Row],[Winter Clothes Children]]+Table_NFI[[#This Row],[Winter Items Other]]+Table_NFI[[#This Row],[Winter Blanket]]&gt;0,1,0)</f>
        <v>0</v>
      </c>
      <c r="AN9" s="331">
        <f>IF(NFI_Expiration=1,IF($A9&lt;VLOOKUP(V$5,NFI,5,0),1,0)*Table_NFI[[#This Row],[Jerry Can]],Table_NFI[Jerry Can])</f>
        <v>5</v>
      </c>
      <c r="AO9" s="331">
        <f>IF(NFI_Expiration=1,IF($A9&lt;VLOOKUP(V$5,NFI,5,0),1,0)*Table_NFI[[#This Row],[Shelter Tool kit]],Table_NFI[Shelter Tool kit])</f>
        <v>0</v>
      </c>
      <c r="AP9" s="331">
        <f>IF(NFI_Expiration=1,IF($A9&lt;VLOOKUP(V$5,NFI,5,0),1,0)*Table_NFI[[#This Row],[Tent]],Table_NFI[Tent])</f>
        <v>0</v>
      </c>
      <c r="AQ9" s="467" t="str">
        <f>IFERROR(VLOOKUP(Table_NFI[[#This Row],[Camp Name]],CL,2,0),"")</f>
        <v>MMR001CMP047</v>
      </c>
      <c r="AR9" s="835">
        <f ca="1">IF(Table_NFI[[#This Row],[Pcode]]="","",IF(OFFSET(CampList[Opening Date],MATCH(Table_NFI[[#This Row],[Pcode]],CampList[CP_Pcode],0)-1,0,1,1)&gt;=NFI_Monitor_Date,1,0))</f>
        <v>0</v>
      </c>
      <c r="AS9" s="467" t="str">
        <f>IFERROR(VLOOKUP(Table_NFI[[#This Row],[Camp Name]],CL,3,0),"")</f>
        <v>Open</v>
      </c>
      <c r="AT9" s="294" t="str">
        <f ca="1">IF(Table_NFI[[#This Row],[Pcode]]="","",OFFSET(CampList[Priority],MATCH(Table_NFI[[#This Row],[Pcode]],CampList[CP_Pcode],0)-1,0,1,1))</f>
        <v>P4</v>
      </c>
      <c r="AU9" s="293">
        <f>IFERROR(Table_NFI[[#This Row],[Kitchen Set]]/VLOOKUP(Table_NFI[[#This Row],[Camp Name]],CL,4,0),"")</f>
        <v>0</v>
      </c>
      <c r="AV9" s="461"/>
      <c r="AW9" s="468" t="s">
        <v>1468</v>
      </c>
    </row>
    <row r="10" spans="1:54" s="501" customFormat="1" ht="16.149999999999999" customHeight="1" x14ac:dyDescent="0.25">
      <c r="A10" s="297">
        <f t="shared" si="0"/>
        <v>1.1333333333333333</v>
      </c>
      <c r="B10" s="460">
        <v>42702</v>
      </c>
      <c r="C10" s="465" t="s">
        <v>452</v>
      </c>
      <c r="D10" s="465" t="s">
        <v>460</v>
      </c>
      <c r="E10" s="461" t="s">
        <v>553</v>
      </c>
      <c r="F10" s="290" t="s">
        <v>230</v>
      </c>
      <c r="G10" s="290" t="s">
        <v>1053</v>
      </c>
      <c r="H10" s="292"/>
      <c r="I10" s="292"/>
      <c r="J10" s="292"/>
      <c r="K10" s="292">
        <v>76</v>
      </c>
      <c r="L10" s="292">
        <v>38</v>
      </c>
      <c r="M10" s="292">
        <v>76</v>
      </c>
      <c r="N10" s="292"/>
      <c r="O10" s="292"/>
      <c r="P10" s="294">
        <v>38</v>
      </c>
      <c r="Q10" s="294">
        <v>114</v>
      </c>
      <c r="R10" s="294"/>
      <c r="S10" s="294"/>
      <c r="T10" s="294"/>
      <c r="U10" s="294"/>
      <c r="V10" s="431"/>
      <c r="W10" s="331"/>
      <c r="X10" s="331"/>
      <c r="Y10" s="294">
        <f>IF(NFI_Expiration=1,IF($A10&lt;VLOOKUP(H$5,NFI,5,0),1,0)*Table_NFI[[#This Row],[Hygiene Kit]],Table_NFI[Hygiene Kit])</f>
        <v>0</v>
      </c>
      <c r="Z10" s="294">
        <f>IF(NFI_Expiration=1,IF($A10&lt;VLOOKUP(I$5,NFI,5,0),1,0)*Table_NFI[[#This Row],[NFI Core Kit]],Table_NFI[NFI Core Kit])</f>
        <v>0</v>
      </c>
      <c r="AA10" s="294">
        <f>IF(NFI_Expiration=1,IF($A10&lt;VLOOKUP(J$5,NFI,5,0),1,0)*Table_NFI[[#This Row],[Sanitary Kit]],Table_NFI[Sanitary Kit])</f>
        <v>0</v>
      </c>
      <c r="AB10" s="294">
        <f>IF(NFI_Expiration=1,IF($A10&lt;VLOOKUP(K$5,NFI,5,0),1,0)*Table_NFI[[#This Row],[Mosquito net]],Table_NFI[Mosquito net])</f>
        <v>76</v>
      </c>
      <c r="AC10" s="294">
        <f>IF(NFI_Expiration=1,IF($A10&lt;VLOOKUP(L$5,NFI,5,0),1,0)*Table_NFI[[#This Row],[Tarpaulin]],Table_NFI[[#This Row],[Tarpaulin]])</f>
        <v>38</v>
      </c>
      <c r="AD10" s="294">
        <f>IF(NFI_Expiration=1,IF($A10&lt;VLOOKUP(M$5,NFI,5,0),1,0)*Table_NFI[[#This Row],[Blanket]],Table_NFI[[#This Row],[Blanket]])</f>
        <v>76</v>
      </c>
      <c r="AE10" s="294">
        <f>IF(NFI_Expiration=1,IF($A10&lt;VLOOKUP(N$5,NFI,5,0),1,0)*Table_NFI[[#This Row],[Kitchen Set]],Table_NFI[Kitchen Set])</f>
        <v>0</v>
      </c>
      <c r="AF10" s="294">
        <f>IF(NFI_Expiration=1,IF($A10&lt;VLOOKUP(O$5,NFI,5,0),1,0)*Table_NFI[[#This Row],[Clothes Kit]],Table_NFI[Clothes Kit])</f>
        <v>0</v>
      </c>
      <c r="AG10" s="294">
        <f>IF(NFI_Expiration=1,IF($A10&lt;VLOOKUP(P$5,NFI,5,0),1,0)*Table_NFI[[#This Row],[Plastic Bucket]],Table_NFI[Plastic Bucket])</f>
        <v>38</v>
      </c>
      <c r="AH10" s="294">
        <f>IF(NFI_Expiration=1,IF($A10&lt;VLOOKUP(Q$5,NFI,5,0),1,0)*Table_NFI[[#This Row],[Plastic Mat]],Table_NFI[Plastic Mat])*IF(Table_NFI[[#This Row],[Distribution Date]]&gt;"2014-04-01",1,2.5)</f>
        <v>285</v>
      </c>
      <c r="AI10" s="294">
        <f>IF(NFI_Expiration=1,IF($A10&lt;VLOOKUP(R$5,NFI,5,0),1,0)*Table_NFI[[#This Row],[Winter Clothes Adult]],Table_NFI[Winter Clothes Adult])</f>
        <v>0</v>
      </c>
      <c r="AJ10" s="294">
        <f>IF(NFI_Expiration=1,IF($A10&lt;VLOOKUP(S$5,NFI,5,0),1,0)*Table_NFI[[#This Row],[Winter Clothes Children]],Table_NFI[Winter Clothes Children])</f>
        <v>0</v>
      </c>
      <c r="AK10" s="294">
        <f>IF(NFI_Expiration=1,IF($A10&lt;VLOOKUP(T$5,NFI,5,0),1,0)*Table_NFI[[#This Row],[Winter Items Other]],Table_NFI[Winter Items Other])</f>
        <v>0</v>
      </c>
      <c r="AL10" s="294">
        <f>IF(NFI_Expiration=1,IF($A10&lt;VLOOKUP(M$5,NFI,5,0),1,0)*Table_NFI[[#This Row],[Winter Blanket]],Table_NFI[[#This Row],[Winter Blanket]])</f>
        <v>0</v>
      </c>
      <c r="AM10" s="294">
        <f>IF(Table_NFI[[#This Row],[Winter Clothes Adult]]+Table_NFI[[#This Row],[Winter Clothes Children]]+Table_NFI[[#This Row],[Winter Items Other]]+Table_NFI[[#This Row],[Winter Blanket]]&gt;0,1,0)</f>
        <v>0</v>
      </c>
      <c r="AN10" s="331">
        <f>IF(NFI_Expiration=1,IF($A10&lt;VLOOKUP(V$5,NFI,5,0),1,0)*Table_NFI[[#This Row],[Jerry Can]],Table_NFI[Jerry Can])</f>
        <v>0</v>
      </c>
      <c r="AO10" s="331">
        <f>IF(NFI_Expiration=1,IF($A10&lt;VLOOKUP(V$5,NFI,5,0),1,0)*Table_NFI[[#This Row],[Shelter Tool kit]],Table_NFI[Shelter Tool kit])</f>
        <v>0</v>
      </c>
      <c r="AP10" s="331">
        <f>IF(NFI_Expiration=1,IF($A10&lt;VLOOKUP(V$5,NFI,5,0),1,0)*Table_NFI[[#This Row],[Tent]],Table_NFI[Tent])</f>
        <v>0</v>
      </c>
      <c r="AQ10" s="467" t="str">
        <f>IFERROR(VLOOKUP(Table_NFI[[#This Row],[Camp Name]],CL,2,0),"")</f>
        <v>MMR015CMP213</v>
      </c>
      <c r="AR10" s="835">
        <f ca="1">IF(Table_NFI[[#This Row],[Pcode]]="","",IF(OFFSET(CampList[Opening Date],MATCH(Table_NFI[[#This Row],[Pcode]],CampList[CP_Pcode],0)-1,0,1,1)&gt;=NFI_Monitor_Date,1,0))</f>
        <v>1</v>
      </c>
      <c r="AS10" s="467" t="str">
        <f>IFERROR(VLOOKUP(Table_NFI[[#This Row],[Camp Name]],CL,3,0),"")</f>
        <v>Open</v>
      </c>
      <c r="AT10" s="294" t="str">
        <f ca="1">IF(Table_NFI[[#This Row],[Pcode]]="","",OFFSET(CampList[Priority],MATCH(Table_NFI[[#This Row],[Pcode]],CampList[CP_Pcode],0)-1,0,1,1))</f>
        <v>P4</v>
      </c>
      <c r="AU10" s="293">
        <f>IFERROR(Table_NFI[[#This Row],[Kitchen Set]]/VLOOKUP(Table_NFI[[#This Row],[Camp Name]],CL,4,0),"")</f>
        <v>0</v>
      </c>
      <c r="AV10" s="461"/>
      <c r="AW10" s="468" t="s">
        <v>1470</v>
      </c>
    </row>
    <row r="11" spans="1:54" s="476" customFormat="1" ht="15" customHeight="1" x14ac:dyDescent="0.25">
      <c r="A11" s="297">
        <f t="shared" si="0"/>
        <v>2.0666666666666669</v>
      </c>
      <c r="B11" s="460">
        <v>42674</v>
      </c>
      <c r="C11" s="465" t="s">
        <v>905</v>
      </c>
      <c r="D11" s="465" t="s">
        <v>905</v>
      </c>
      <c r="E11" s="465" t="s">
        <v>380</v>
      </c>
      <c r="F11" s="465" t="s">
        <v>185</v>
      </c>
      <c r="G11" s="465" t="s">
        <v>223</v>
      </c>
      <c r="H11" s="292"/>
      <c r="I11" s="292"/>
      <c r="J11" s="292"/>
      <c r="K11" s="292"/>
      <c r="L11" s="292"/>
      <c r="M11" s="292"/>
      <c r="N11" s="292"/>
      <c r="O11" s="292"/>
      <c r="P11" s="294"/>
      <c r="Q11" s="294"/>
      <c r="R11" s="294"/>
      <c r="S11" s="294"/>
      <c r="T11" s="294"/>
      <c r="U11" s="294"/>
      <c r="V11" s="331">
        <v>1</v>
      </c>
      <c r="W11" s="294"/>
      <c r="X11" s="294"/>
      <c r="Y11" s="294">
        <f>IF(NFI_Expiration=1,IF($A11&lt;VLOOKUP(H$5,NFI,5,0),1,0)*Table_NFI[[#This Row],[Hygiene Kit]],Table_NFI[Hygiene Kit])</f>
        <v>0</v>
      </c>
      <c r="Z11" s="294">
        <f>IF(NFI_Expiration=1,IF($A11&lt;VLOOKUP(I$5,NFI,5,0),1,0)*Table_NFI[[#This Row],[NFI Core Kit]],Table_NFI[NFI Core Kit])</f>
        <v>0</v>
      </c>
      <c r="AA11" s="294">
        <f>IF(NFI_Expiration=1,IF($A11&lt;VLOOKUP(J$5,NFI,5,0),1,0)*Table_NFI[[#This Row],[Sanitary Kit]],Table_NFI[Sanitary Kit])</f>
        <v>0</v>
      </c>
      <c r="AB11" s="294">
        <f>IF(NFI_Expiration=1,IF($A11&lt;VLOOKUP(K$5,NFI,5,0),1,0)*Table_NFI[[#This Row],[Mosquito net]],Table_NFI[Mosquito net])</f>
        <v>0</v>
      </c>
      <c r="AC11" s="294">
        <f>IF(NFI_Expiration=1,IF($A11&lt;VLOOKUP(L$5,NFI,5,0),1,0)*Table_NFI[[#This Row],[Tarpaulin]],Table_NFI[[#This Row],[Tarpaulin]])</f>
        <v>0</v>
      </c>
      <c r="AD11" s="294">
        <f>IF(NFI_Expiration=1,IF($A11&lt;VLOOKUP(M$5,NFI,5,0),1,0)*Table_NFI[[#This Row],[Blanket]],Table_NFI[[#This Row],[Blanket]])</f>
        <v>0</v>
      </c>
      <c r="AE11" s="294">
        <f>IF(NFI_Expiration=1,IF($A11&lt;VLOOKUP(N$5,NFI,5,0),1,0)*Table_NFI[[#This Row],[Kitchen Set]],Table_NFI[Kitchen Set])</f>
        <v>0</v>
      </c>
      <c r="AF11" s="294">
        <f>IF(NFI_Expiration=1,IF($A11&lt;VLOOKUP(O$5,NFI,5,0),1,0)*Table_NFI[[#This Row],[Clothes Kit]],Table_NFI[Clothes Kit])</f>
        <v>0</v>
      </c>
      <c r="AG11" s="294">
        <f>IF(NFI_Expiration=1,IF($A11&lt;VLOOKUP(P$5,NFI,5,0),1,0)*Table_NFI[[#This Row],[Plastic Bucket]],Table_NFI[Plastic Bucket])</f>
        <v>0</v>
      </c>
      <c r="AH11" s="294">
        <f>IF(NFI_Expiration=1,IF($A11&lt;VLOOKUP(Q$5,NFI,5,0),1,0)*Table_NFI[[#This Row],[Plastic Mat]],Table_NFI[Plastic Mat])*IF(Table_NFI[[#This Row],[Distribution Date]]&gt;"2014-04-01",1,2.5)</f>
        <v>0</v>
      </c>
      <c r="AI11" s="294">
        <f>IF(NFI_Expiration=1,IF($A11&lt;VLOOKUP(R$5,NFI,5,0),1,0)*Table_NFI[[#This Row],[Winter Clothes Adult]],Table_NFI[Winter Clothes Adult])</f>
        <v>0</v>
      </c>
      <c r="AJ11" s="294">
        <f>IF(NFI_Expiration=1,IF($A11&lt;VLOOKUP(S$5,NFI,5,0),1,0)*Table_NFI[[#This Row],[Winter Clothes Children]],Table_NFI[Winter Clothes Children])</f>
        <v>0</v>
      </c>
      <c r="AK11" s="294">
        <f>IF(NFI_Expiration=1,IF($A11&lt;VLOOKUP(T$5,NFI,5,0),1,0)*Table_NFI[[#This Row],[Winter Items Other]],Table_NFI[Winter Items Other])</f>
        <v>0</v>
      </c>
      <c r="AL11" s="294">
        <f>IF(NFI_Expiration=1,IF($A11&lt;VLOOKUP(M$5,NFI,5,0),1,0)*Table_NFI[[#This Row],[Winter Blanket]],Table_NFI[[#This Row],[Winter Blanket]])</f>
        <v>0</v>
      </c>
      <c r="AM11" s="294">
        <f>IF(Table_NFI[[#This Row],[Winter Clothes Adult]]+Table_NFI[[#This Row],[Winter Clothes Children]]+Table_NFI[[#This Row],[Winter Items Other]]+Table_NFI[[#This Row],[Winter Blanket]]&gt;0,1,0)</f>
        <v>0</v>
      </c>
      <c r="AN11" s="331">
        <f>IF(NFI_Expiration=1,IF($A11&lt;VLOOKUP(V$5,NFI,5,0),1,0)*Table_NFI[[#This Row],[Jerry Can]],Table_NFI[Jerry Can])</f>
        <v>1</v>
      </c>
      <c r="AO11" s="331">
        <f>IF(NFI_Expiration=1,IF($A11&lt;VLOOKUP(V$5,NFI,5,0),1,0)*Table_NFI[[#This Row],[Shelter Tool kit]],Table_NFI[Shelter Tool kit])</f>
        <v>0</v>
      </c>
      <c r="AP11" s="331">
        <f>IF(NFI_Expiration=1,IF($A11&lt;VLOOKUP(V$5,NFI,5,0),1,0)*Table_NFI[[#This Row],[Tent]],Table_NFI[Tent])</f>
        <v>0</v>
      </c>
      <c r="AQ11" s="467" t="str">
        <f>IFERROR(VLOOKUP(Table_NFI[[#This Row],[Camp Name]],CL,2,0),"")</f>
        <v>MMR001CMP069</v>
      </c>
      <c r="AR11" s="835">
        <f ca="1">IF(Table_NFI[[#This Row],[Pcode]]="","",IF(OFFSET(CampList[Opening Date],MATCH(Table_NFI[[#This Row],[Pcode]],CampList[CP_Pcode],0)-1,0,1,1)&gt;=NFI_Monitor_Date,1,0))</f>
        <v>0</v>
      </c>
      <c r="AS11" s="467" t="str">
        <f>IFERROR(VLOOKUP(Table_NFI[[#This Row],[Camp Name]],CL,3,0),"")</f>
        <v>Open</v>
      </c>
      <c r="AT11" s="294" t="str">
        <f ca="1">IF(Table_NFI[[#This Row],[Pcode]]="","",OFFSET(CampList[Priority],MATCH(Table_NFI[[#This Row],[Pcode]],CampList[CP_Pcode],0)-1,0,1,1))</f>
        <v>P3</v>
      </c>
      <c r="AU11" s="293">
        <f>IFERROR(Table_NFI[[#This Row],[Kitchen Set]]/VLOOKUP(Table_NFI[[#This Row],[Camp Name]],CL,4,0),"")</f>
        <v>0</v>
      </c>
      <c r="AV11" s="461"/>
      <c r="AW11" s="468" t="s">
        <v>1468</v>
      </c>
    </row>
    <row r="12" spans="1:54" s="476" customFormat="1" ht="15" customHeight="1" x14ac:dyDescent="0.25">
      <c r="A12" s="297">
        <f t="shared" si="0"/>
        <v>2.0666666666666669</v>
      </c>
      <c r="B12" s="460">
        <v>42674</v>
      </c>
      <c r="C12" s="465" t="s">
        <v>905</v>
      </c>
      <c r="D12" s="465" t="s">
        <v>905</v>
      </c>
      <c r="E12" s="465" t="s">
        <v>380</v>
      </c>
      <c r="F12" s="465" t="s">
        <v>185</v>
      </c>
      <c r="G12" s="465" t="s">
        <v>225</v>
      </c>
      <c r="H12" s="292"/>
      <c r="I12" s="292"/>
      <c r="J12" s="292"/>
      <c r="K12" s="292"/>
      <c r="L12" s="292"/>
      <c r="M12" s="292"/>
      <c r="N12" s="292"/>
      <c r="O12" s="292"/>
      <c r="P12" s="294"/>
      <c r="Q12" s="294"/>
      <c r="R12" s="294"/>
      <c r="S12" s="294"/>
      <c r="T12" s="294"/>
      <c r="U12" s="294"/>
      <c r="V12" s="331">
        <v>2</v>
      </c>
      <c r="W12" s="294"/>
      <c r="X12" s="294"/>
      <c r="Y12" s="294">
        <f>IF(NFI_Expiration=1,IF($A12&lt;VLOOKUP(H$5,NFI,5,0),1,0)*Table_NFI[[#This Row],[Hygiene Kit]],Table_NFI[Hygiene Kit])</f>
        <v>0</v>
      </c>
      <c r="Z12" s="294">
        <f>IF(NFI_Expiration=1,IF($A12&lt;VLOOKUP(I$5,NFI,5,0),1,0)*Table_NFI[[#This Row],[NFI Core Kit]],Table_NFI[NFI Core Kit])</f>
        <v>0</v>
      </c>
      <c r="AA12" s="294">
        <f>IF(NFI_Expiration=1,IF($A12&lt;VLOOKUP(J$5,NFI,5,0),1,0)*Table_NFI[[#This Row],[Sanitary Kit]],Table_NFI[Sanitary Kit])</f>
        <v>0</v>
      </c>
      <c r="AB12" s="294">
        <f>IF(NFI_Expiration=1,IF($A12&lt;VLOOKUP(K$5,NFI,5,0),1,0)*Table_NFI[[#This Row],[Mosquito net]],Table_NFI[Mosquito net])</f>
        <v>0</v>
      </c>
      <c r="AC12" s="294">
        <f>IF(NFI_Expiration=1,IF($A12&lt;VLOOKUP(L$5,NFI,5,0),1,0)*Table_NFI[[#This Row],[Tarpaulin]],Table_NFI[[#This Row],[Tarpaulin]])</f>
        <v>0</v>
      </c>
      <c r="AD12" s="294">
        <f>IF(NFI_Expiration=1,IF($A12&lt;VLOOKUP(M$5,NFI,5,0),1,0)*Table_NFI[[#This Row],[Blanket]],Table_NFI[[#This Row],[Blanket]])</f>
        <v>0</v>
      </c>
      <c r="AE12" s="294">
        <f>IF(NFI_Expiration=1,IF($A12&lt;VLOOKUP(N$5,NFI,5,0),1,0)*Table_NFI[[#This Row],[Kitchen Set]],Table_NFI[Kitchen Set])</f>
        <v>0</v>
      </c>
      <c r="AF12" s="294">
        <f>IF(NFI_Expiration=1,IF($A12&lt;VLOOKUP(O$5,NFI,5,0),1,0)*Table_NFI[[#This Row],[Clothes Kit]],Table_NFI[Clothes Kit])</f>
        <v>0</v>
      </c>
      <c r="AG12" s="294">
        <f>IF(NFI_Expiration=1,IF($A12&lt;VLOOKUP(P$5,NFI,5,0),1,0)*Table_NFI[[#This Row],[Plastic Bucket]],Table_NFI[Plastic Bucket])</f>
        <v>0</v>
      </c>
      <c r="AH12" s="294">
        <f>IF(NFI_Expiration=1,IF($A12&lt;VLOOKUP(Q$5,NFI,5,0),1,0)*Table_NFI[[#This Row],[Plastic Mat]],Table_NFI[Plastic Mat])*IF(Table_NFI[[#This Row],[Distribution Date]]&gt;"2014-04-01",1,2.5)</f>
        <v>0</v>
      </c>
      <c r="AI12" s="294">
        <f>IF(NFI_Expiration=1,IF($A12&lt;VLOOKUP(R$5,NFI,5,0),1,0)*Table_NFI[[#This Row],[Winter Clothes Adult]],Table_NFI[Winter Clothes Adult])</f>
        <v>0</v>
      </c>
      <c r="AJ12" s="294">
        <f>IF(NFI_Expiration=1,IF($A12&lt;VLOOKUP(S$5,NFI,5,0),1,0)*Table_NFI[[#This Row],[Winter Clothes Children]],Table_NFI[Winter Clothes Children])</f>
        <v>0</v>
      </c>
      <c r="AK12" s="294">
        <f>IF(NFI_Expiration=1,IF($A12&lt;VLOOKUP(T$5,NFI,5,0),1,0)*Table_NFI[[#This Row],[Winter Items Other]],Table_NFI[Winter Items Other])</f>
        <v>0</v>
      </c>
      <c r="AL12" s="294">
        <f>IF(NFI_Expiration=1,IF($A12&lt;VLOOKUP(M$5,NFI,5,0),1,0)*Table_NFI[[#This Row],[Winter Blanket]],Table_NFI[[#This Row],[Winter Blanket]])</f>
        <v>0</v>
      </c>
      <c r="AM12" s="294">
        <f>IF(Table_NFI[[#This Row],[Winter Clothes Adult]]+Table_NFI[[#This Row],[Winter Clothes Children]]+Table_NFI[[#This Row],[Winter Items Other]]+Table_NFI[[#This Row],[Winter Blanket]]&gt;0,1,0)</f>
        <v>0</v>
      </c>
      <c r="AN12" s="331">
        <f>IF(NFI_Expiration=1,IF($A12&lt;VLOOKUP(V$5,NFI,5,0),1,0)*Table_NFI[[#This Row],[Jerry Can]],Table_NFI[Jerry Can])</f>
        <v>2</v>
      </c>
      <c r="AO12" s="331">
        <f>IF(NFI_Expiration=1,IF($A12&lt;VLOOKUP(V$5,NFI,5,0),1,0)*Table_NFI[[#This Row],[Shelter Tool kit]],Table_NFI[Shelter Tool kit])</f>
        <v>0</v>
      </c>
      <c r="AP12" s="331">
        <f>IF(NFI_Expiration=1,IF($A12&lt;VLOOKUP(V$5,NFI,5,0),1,0)*Table_NFI[[#This Row],[Tent]],Table_NFI[Tent])</f>
        <v>0</v>
      </c>
      <c r="AQ12" s="467" t="str">
        <f>IFERROR(VLOOKUP(Table_NFI[[#This Row],[Camp Name]],CL,2,0),"")</f>
        <v>MMR001CMP073</v>
      </c>
      <c r="AR12" s="835">
        <f ca="1">IF(Table_NFI[[#This Row],[Pcode]]="","",IF(OFFSET(CampList[Opening Date],MATCH(Table_NFI[[#This Row],[Pcode]],CampList[CP_Pcode],0)-1,0,1,1)&gt;=NFI_Monitor_Date,1,0))</f>
        <v>0</v>
      </c>
      <c r="AS12" s="467" t="str">
        <f>IFERROR(VLOOKUP(Table_NFI[[#This Row],[Camp Name]],CL,3,0),"")</f>
        <v>Open</v>
      </c>
      <c r="AT12" s="294" t="str">
        <f ca="1">IF(Table_NFI[[#This Row],[Pcode]]="","",OFFSET(CampList[Priority],MATCH(Table_NFI[[#This Row],[Pcode]],CampList[CP_Pcode],0)-1,0,1,1))</f>
        <v>P3</v>
      </c>
      <c r="AU12" s="293">
        <f>IFERROR(Table_NFI[[#This Row],[Kitchen Set]]/VLOOKUP(Table_NFI[[#This Row],[Camp Name]],CL,4,0),"")</f>
        <v>0</v>
      </c>
      <c r="AV12" s="461"/>
      <c r="AW12" s="468" t="s">
        <v>1468</v>
      </c>
    </row>
    <row r="13" spans="1:54" s="476" customFormat="1" ht="15" customHeight="1" x14ac:dyDescent="0.25">
      <c r="A13" s="297">
        <f t="shared" si="0"/>
        <v>3.1</v>
      </c>
      <c r="B13" s="460">
        <v>42643</v>
      </c>
      <c r="C13" s="465" t="s">
        <v>905</v>
      </c>
      <c r="D13" s="465" t="s">
        <v>905</v>
      </c>
      <c r="E13" s="465" t="s">
        <v>380</v>
      </c>
      <c r="F13" s="465" t="s">
        <v>185</v>
      </c>
      <c r="G13" s="465" t="s">
        <v>209</v>
      </c>
      <c r="H13" s="292"/>
      <c r="I13" s="292"/>
      <c r="J13" s="292"/>
      <c r="K13" s="292"/>
      <c r="L13" s="292"/>
      <c r="M13" s="292"/>
      <c r="N13" s="292"/>
      <c r="O13" s="292"/>
      <c r="P13" s="294"/>
      <c r="Q13" s="294"/>
      <c r="R13" s="294"/>
      <c r="S13" s="294"/>
      <c r="T13" s="294"/>
      <c r="U13" s="294"/>
      <c r="V13" s="331">
        <v>1</v>
      </c>
      <c r="W13" s="294"/>
      <c r="X13" s="294"/>
      <c r="Y13" s="294">
        <f>IF(NFI_Expiration=1,IF($A13&lt;VLOOKUP(H$5,NFI,5,0),1,0)*Table_NFI[[#This Row],[Hygiene Kit]],Table_NFI[Hygiene Kit])</f>
        <v>0</v>
      </c>
      <c r="Z13" s="294">
        <f>IF(NFI_Expiration=1,IF($A13&lt;VLOOKUP(I$5,NFI,5,0),1,0)*Table_NFI[[#This Row],[NFI Core Kit]],Table_NFI[NFI Core Kit])</f>
        <v>0</v>
      </c>
      <c r="AA13" s="294">
        <f>IF(NFI_Expiration=1,IF($A13&lt;VLOOKUP(J$5,NFI,5,0),1,0)*Table_NFI[[#This Row],[Sanitary Kit]],Table_NFI[Sanitary Kit])</f>
        <v>0</v>
      </c>
      <c r="AB13" s="294">
        <f>IF(NFI_Expiration=1,IF($A13&lt;VLOOKUP(K$5,NFI,5,0),1,0)*Table_NFI[[#This Row],[Mosquito net]],Table_NFI[Mosquito net])</f>
        <v>0</v>
      </c>
      <c r="AC13" s="294">
        <f>IF(NFI_Expiration=1,IF($A13&lt;VLOOKUP(L$5,NFI,5,0),1,0)*Table_NFI[[#This Row],[Tarpaulin]],Table_NFI[[#This Row],[Tarpaulin]])</f>
        <v>0</v>
      </c>
      <c r="AD13" s="294">
        <f>IF(NFI_Expiration=1,IF($A13&lt;VLOOKUP(M$5,NFI,5,0),1,0)*Table_NFI[[#This Row],[Blanket]],Table_NFI[[#This Row],[Blanket]])</f>
        <v>0</v>
      </c>
      <c r="AE13" s="294">
        <f>IF(NFI_Expiration=1,IF($A13&lt;VLOOKUP(N$5,NFI,5,0),1,0)*Table_NFI[[#This Row],[Kitchen Set]],Table_NFI[Kitchen Set])</f>
        <v>0</v>
      </c>
      <c r="AF13" s="294">
        <f>IF(NFI_Expiration=1,IF($A13&lt;VLOOKUP(O$5,NFI,5,0),1,0)*Table_NFI[[#This Row],[Clothes Kit]],Table_NFI[Clothes Kit])</f>
        <v>0</v>
      </c>
      <c r="AG13" s="294">
        <f>IF(NFI_Expiration=1,IF($A13&lt;VLOOKUP(P$5,NFI,5,0),1,0)*Table_NFI[[#This Row],[Plastic Bucket]],Table_NFI[Plastic Bucket])</f>
        <v>0</v>
      </c>
      <c r="AH13" s="294">
        <f>IF(NFI_Expiration=1,IF($A13&lt;VLOOKUP(Q$5,NFI,5,0),1,0)*Table_NFI[[#This Row],[Plastic Mat]],Table_NFI[Plastic Mat])*IF(Table_NFI[[#This Row],[Distribution Date]]&gt;"2014-04-01",1,2.5)</f>
        <v>0</v>
      </c>
      <c r="AI13" s="294">
        <f>IF(NFI_Expiration=1,IF($A13&lt;VLOOKUP(R$5,NFI,5,0),1,0)*Table_NFI[[#This Row],[Winter Clothes Adult]],Table_NFI[Winter Clothes Adult])</f>
        <v>0</v>
      </c>
      <c r="AJ13" s="294">
        <f>IF(NFI_Expiration=1,IF($A13&lt;VLOOKUP(S$5,NFI,5,0),1,0)*Table_NFI[[#This Row],[Winter Clothes Children]],Table_NFI[Winter Clothes Children])</f>
        <v>0</v>
      </c>
      <c r="AK13" s="294">
        <f>IF(NFI_Expiration=1,IF($A13&lt;VLOOKUP(T$5,NFI,5,0),1,0)*Table_NFI[[#This Row],[Winter Items Other]],Table_NFI[Winter Items Other])</f>
        <v>0</v>
      </c>
      <c r="AL13" s="294">
        <f>IF(NFI_Expiration=1,IF($A13&lt;VLOOKUP(M$5,NFI,5,0),1,0)*Table_NFI[[#This Row],[Winter Blanket]],Table_NFI[[#This Row],[Winter Blanket]])</f>
        <v>0</v>
      </c>
      <c r="AM13" s="294">
        <f>IF(Table_NFI[[#This Row],[Winter Clothes Adult]]+Table_NFI[[#This Row],[Winter Clothes Children]]+Table_NFI[[#This Row],[Winter Items Other]]+Table_NFI[[#This Row],[Winter Blanket]]&gt;0,1,0)</f>
        <v>0</v>
      </c>
      <c r="AN13" s="331">
        <f>IF(NFI_Expiration=1,IF($A13&lt;VLOOKUP(V$5,NFI,5,0),1,0)*Table_NFI[[#This Row],[Jerry Can]],Table_NFI[Jerry Can])</f>
        <v>1</v>
      </c>
      <c r="AO13" s="331">
        <f>IF(NFI_Expiration=1,IF($A13&lt;VLOOKUP(V$5,NFI,5,0),1,0)*Table_NFI[[#This Row],[Shelter Tool kit]],Table_NFI[Shelter Tool kit])</f>
        <v>0</v>
      </c>
      <c r="AP13" s="331">
        <f>IF(NFI_Expiration=1,IF($A13&lt;VLOOKUP(V$5,NFI,5,0),1,0)*Table_NFI[[#This Row],[Tent]],Table_NFI[Tent])</f>
        <v>0</v>
      </c>
      <c r="AQ13" s="467" t="str">
        <f>IFERROR(VLOOKUP(Table_NFI[[#This Row],[Camp Name]],CL,2,0),"")</f>
        <v>MMR001CMP056</v>
      </c>
      <c r="AR13" s="835">
        <f ca="1">IF(Table_NFI[[#This Row],[Pcode]]="","",IF(OFFSET(CampList[Opening Date],MATCH(Table_NFI[[#This Row],[Pcode]],CampList[CP_Pcode],0)-1,0,1,1)&gt;=NFI_Monitor_Date,1,0))</f>
        <v>0</v>
      </c>
      <c r="AS13" s="467" t="str">
        <f>IFERROR(VLOOKUP(Table_NFI[[#This Row],[Camp Name]],CL,3,0),"")</f>
        <v>Open</v>
      </c>
      <c r="AT13" s="294" t="str">
        <f ca="1">IF(Table_NFI[[#This Row],[Pcode]]="","",OFFSET(CampList[Priority],MATCH(Table_NFI[[#This Row],[Pcode]],CampList[CP_Pcode],0)-1,0,1,1))</f>
        <v>P4</v>
      </c>
      <c r="AU13" s="293">
        <f>IFERROR(Table_NFI[[#This Row],[Kitchen Set]]/VLOOKUP(Table_NFI[[#This Row],[Camp Name]],CL,4,0),"")</f>
        <v>0</v>
      </c>
      <c r="AV13" s="461"/>
      <c r="AW13" s="468" t="s">
        <v>1468</v>
      </c>
    </row>
    <row r="14" spans="1:54" s="98" customFormat="1" ht="15" customHeight="1" x14ac:dyDescent="0.25">
      <c r="A14" s="297">
        <f t="shared" si="0"/>
        <v>3.1</v>
      </c>
      <c r="B14" s="460">
        <v>42643</v>
      </c>
      <c r="C14" s="465" t="s">
        <v>1582</v>
      </c>
      <c r="D14" s="465" t="s">
        <v>1582</v>
      </c>
      <c r="E14" s="465" t="s">
        <v>553</v>
      </c>
      <c r="F14" s="465" t="s">
        <v>298</v>
      </c>
      <c r="G14" s="465" t="s">
        <v>821</v>
      </c>
      <c r="H14" s="292">
        <v>11</v>
      </c>
      <c r="I14" s="292"/>
      <c r="J14" s="292"/>
      <c r="K14" s="292"/>
      <c r="L14" s="292">
        <v>11</v>
      </c>
      <c r="M14" s="292"/>
      <c r="N14" s="292"/>
      <c r="O14" s="292"/>
      <c r="P14" s="294"/>
      <c r="Q14" s="294"/>
      <c r="R14" s="294"/>
      <c r="S14" s="294"/>
      <c r="T14" s="294"/>
      <c r="U14" s="294"/>
      <c r="V14" s="431"/>
      <c r="W14" s="294"/>
      <c r="X14" s="294"/>
      <c r="Y14" s="294">
        <f>IF(NFI_Expiration=1,IF($A14&lt;VLOOKUP(H$5,NFI,5,0),1,0)*Table_NFI[[#This Row],[Hygiene Kit]],Table_NFI[Hygiene Kit])</f>
        <v>11</v>
      </c>
      <c r="Z14" s="294">
        <f>IF(NFI_Expiration=1,IF($A14&lt;VLOOKUP(I$5,NFI,5,0),1,0)*Table_NFI[[#This Row],[NFI Core Kit]],Table_NFI[NFI Core Kit])</f>
        <v>0</v>
      </c>
      <c r="AA14" s="294">
        <f>IF(NFI_Expiration=1,IF($A14&lt;VLOOKUP(J$5,NFI,5,0),1,0)*Table_NFI[[#This Row],[Sanitary Kit]],Table_NFI[Sanitary Kit])</f>
        <v>0</v>
      </c>
      <c r="AB14" s="294">
        <f>IF(NFI_Expiration=1,IF($A14&lt;VLOOKUP(K$5,NFI,5,0),1,0)*Table_NFI[[#This Row],[Mosquito net]],Table_NFI[Mosquito net])</f>
        <v>0</v>
      </c>
      <c r="AC14" s="294">
        <f>IF(NFI_Expiration=1,IF($A14&lt;VLOOKUP(L$5,NFI,5,0),1,0)*Table_NFI[[#This Row],[Tarpaulin]],Table_NFI[[#This Row],[Tarpaulin]])</f>
        <v>11</v>
      </c>
      <c r="AD14" s="294">
        <f>IF(NFI_Expiration=1,IF($A14&lt;VLOOKUP(M$5,NFI,5,0),1,0)*Table_NFI[[#This Row],[Blanket]],Table_NFI[[#This Row],[Blanket]])</f>
        <v>0</v>
      </c>
      <c r="AE14" s="294">
        <f>IF(NFI_Expiration=1,IF($A14&lt;VLOOKUP(N$5,NFI,5,0),1,0)*Table_NFI[[#This Row],[Kitchen Set]],Table_NFI[Kitchen Set])</f>
        <v>0</v>
      </c>
      <c r="AF14" s="294">
        <f>IF(NFI_Expiration=1,IF($A14&lt;VLOOKUP(O$5,NFI,5,0),1,0)*Table_NFI[[#This Row],[Clothes Kit]],Table_NFI[Clothes Kit])</f>
        <v>0</v>
      </c>
      <c r="AG14" s="294">
        <f>IF(NFI_Expiration=1,IF($A14&lt;VLOOKUP(P$5,NFI,5,0),1,0)*Table_NFI[[#This Row],[Plastic Bucket]],Table_NFI[Plastic Bucket])</f>
        <v>0</v>
      </c>
      <c r="AH14" s="294">
        <f>IF(NFI_Expiration=1,IF($A14&lt;VLOOKUP(Q$5,NFI,5,0),1,0)*Table_NFI[[#This Row],[Plastic Mat]],Table_NFI[Plastic Mat])*IF(Table_NFI[[#This Row],[Distribution Date]]&gt;"2014-04-01",1,2.5)</f>
        <v>0</v>
      </c>
      <c r="AI14" s="294">
        <f>IF(NFI_Expiration=1,IF($A14&lt;VLOOKUP(R$5,NFI,5,0),1,0)*Table_NFI[[#This Row],[Winter Clothes Adult]],Table_NFI[Winter Clothes Adult])</f>
        <v>0</v>
      </c>
      <c r="AJ14" s="294">
        <f>IF(NFI_Expiration=1,IF($A14&lt;VLOOKUP(S$5,NFI,5,0),1,0)*Table_NFI[[#This Row],[Winter Clothes Children]],Table_NFI[Winter Clothes Children])</f>
        <v>0</v>
      </c>
      <c r="AK14" s="294">
        <f>IF(NFI_Expiration=1,IF($A14&lt;VLOOKUP(T$5,NFI,5,0),1,0)*Table_NFI[[#This Row],[Winter Items Other]],Table_NFI[Winter Items Other])</f>
        <v>0</v>
      </c>
      <c r="AL14" s="294">
        <f>IF(NFI_Expiration=1,IF($A14&lt;VLOOKUP(M$5,NFI,5,0),1,0)*Table_NFI[[#This Row],[Winter Blanket]],Table_NFI[[#This Row],[Winter Blanket]])</f>
        <v>0</v>
      </c>
      <c r="AM14" s="294">
        <f>IF(Table_NFI[[#This Row],[Winter Clothes Adult]]+Table_NFI[[#This Row],[Winter Clothes Children]]+Table_NFI[[#This Row],[Winter Items Other]]+Table_NFI[[#This Row],[Winter Blanket]]&gt;0,1,0)</f>
        <v>0</v>
      </c>
      <c r="AN14" s="331">
        <f>IF(NFI_Expiration=1,IF($A14&lt;VLOOKUP(V$5,NFI,5,0),1,0)*Table_NFI[[#This Row],[Jerry Can]],Table_NFI[Jerry Can])</f>
        <v>0</v>
      </c>
      <c r="AO14" s="331">
        <f>IF(NFI_Expiration=1,IF($A14&lt;VLOOKUP(V$5,NFI,5,0),1,0)*Table_NFI[[#This Row],[Shelter Tool kit]],Table_NFI[Shelter Tool kit])</f>
        <v>0</v>
      </c>
      <c r="AP14" s="331">
        <f>IF(NFI_Expiration=1,IF($A14&lt;VLOOKUP(V$5,NFI,5,0),1,0)*Table_NFI[[#This Row],[Tent]],Table_NFI[Tent])</f>
        <v>0</v>
      </c>
      <c r="AQ14" s="467" t="str">
        <f>IFERROR(VLOOKUP(Table_NFI[[#This Row],[Camp Name]],CL,2,0),"")</f>
        <v>MMR015CMP014</v>
      </c>
      <c r="AR14" s="835">
        <f ca="1">IF(Table_NFI[[#This Row],[Pcode]]="","",IF(OFFSET(CampList[Opening Date],MATCH(Table_NFI[[#This Row],[Pcode]],CampList[CP_Pcode],0)-1,0,1,1)&gt;=NFI_Monitor_Date,1,0))</f>
        <v>0</v>
      </c>
      <c r="AS14" s="467" t="str">
        <f>IFERROR(VLOOKUP(Table_NFI[[#This Row],[Camp Name]],CL,3,0),"")</f>
        <v>Open</v>
      </c>
      <c r="AT14" s="294" t="str">
        <f ca="1">IF(Table_NFI[[#This Row],[Pcode]]="","",OFFSET(CampList[Priority],MATCH(Table_NFI[[#This Row],[Pcode]],CampList[CP_Pcode],0)-1,0,1,1))</f>
        <v>P3</v>
      </c>
      <c r="AU14" s="293">
        <f>IFERROR(Table_NFI[[#This Row],[Kitchen Set]]/VLOOKUP(Table_NFI[[#This Row],[Camp Name]],CL,4,0),"")</f>
        <v>0</v>
      </c>
      <c r="AV14" s="461"/>
      <c r="AW14" s="468" t="s">
        <v>1583</v>
      </c>
    </row>
    <row r="15" spans="1:54" s="464" customFormat="1" ht="15" customHeight="1" x14ac:dyDescent="0.25">
      <c r="A15" s="297">
        <f t="shared" si="0"/>
        <v>3.1</v>
      </c>
      <c r="B15" s="460">
        <v>42643</v>
      </c>
      <c r="C15" s="465" t="s">
        <v>905</v>
      </c>
      <c r="D15" s="465" t="s">
        <v>905</v>
      </c>
      <c r="E15" s="465" t="s">
        <v>380</v>
      </c>
      <c r="F15" s="465" t="s">
        <v>5</v>
      </c>
      <c r="G15" s="465" t="s">
        <v>366</v>
      </c>
      <c r="H15" s="292"/>
      <c r="I15" s="292"/>
      <c r="J15" s="292"/>
      <c r="K15" s="292"/>
      <c r="L15" s="292"/>
      <c r="M15" s="292"/>
      <c r="N15" s="292"/>
      <c r="O15" s="292"/>
      <c r="P15" s="294"/>
      <c r="Q15" s="294"/>
      <c r="R15" s="294"/>
      <c r="S15" s="294"/>
      <c r="T15" s="294"/>
      <c r="U15" s="294"/>
      <c r="V15" s="331">
        <v>1</v>
      </c>
      <c r="W15" s="294"/>
      <c r="X15" s="294"/>
      <c r="Y15" s="294">
        <f>IF(NFI_Expiration=1,IF($A15&lt;VLOOKUP(H$5,NFI,5,0),1,0)*Table_NFI[[#This Row],[Hygiene Kit]],Table_NFI[Hygiene Kit])</f>
        <v>0</v>
      </c>
      <c r="Z15" s="294">
        <f>IF(NFI_Expiration=1,IF($A15&lt;VLOOKUP(I$5,NFI,5,0),1,0)*Table_NFI[[#This Row],[NFI Core Kit]],Table_NFI[NFI Core Kit])</f>
        <v>0</v>
      </c>
      <c r="AA15" s="294">
        <f>IF(NFI_Expiration=1,IF($A15&lt;VLOOKUP(J$5,NFI,5,0),1,0)*Table_NFI[[#This Row],[Sanitary Kit]],Table_NFI[Sanitary Kit])</f>
        <v>0</v>
      </c>
      <c r="AB15" s="294">
        <f>IF(NFI_Expiration=1,IF($A15&lt;VLOOKUP(K$5,NFI,5,0),1,0)*Table_NFI[[#This Row],[Mosquito net]],Table_NFI[Mosquito net])</f>
        <v>0</v>
      </c>
      <c r="AC15" s="294">
        <f>IF(NFI_Expiration=1,IF($A15&lt;VLOOKUP(L$5,NFI,5,0),1,0)*Table_NFI[[#This Row],[Tarpaulin]],Table_NFI[[#This Row],[Tarpaulin]])</f>
        <v>0</v>
      </c>
      <c r="AD15" s="294">
        <f>IF(NFI_Expiration=1,IF($A15&lt;VLOOKUP(M$5,NFI,5,0),1,0)*Table_NFI[[#This Row],[Blanket]],Table_NFI[[#This Row],[Blanket]])</f>
        <v>0</v>
      </c>
      <c r="AE15" s="294">
        <f>IF(NFI_Expiration=1,IF($A15&lt;VLOOKUP(N$5,NFI,5,0),1,0)*Table_NFI[[#This Row],[Kitchen Set]],Table_NFI[Kitchen Set])</f>
        <v>0</v>
      </c>
      <c r="AF15" s="294">
        <f>IF(NFI_Expiration=1,IF($A15&lt;VLOOKUP(O$5,NFI,5,0),1,0)*Table_NFI[[#This Row],[Clothes Kit]],Table_NFI[Clothes Kit])</f>
        <v>0</v>
      </c>
      <c r="AG15" s="294">
        <f>IF(NFI_Expiration=1,IF($A15&lt;VLOOKUP(P$5,NFI,5,0),1,0)*Table_NFI[[#This Row],[Plastic Bucket]],Table_NFI[Plastic Bucket])</f>
        <v>0</v>
      </c>
      <c r="AH15" s="294">
        <f>IF(NFI_Expiration=1,IF($A15&lt;VLOOKUP(Q$5,NFI,5,0),1,0)*Table_NFI[[#This Row],[Plastic Mat]],Table_NFI[Plastic Mat])*IF(Table_NFI[[#This Row],[Distribution Date]]&gt;"2014-04-01",1,2.5)</f>
        <v>0</v>
      </c>
      <c r="AI15" s="294">
        <f>IF(NFI_Expiration=1,IF($A15&lt;VLOOKUP(R$5,NFI,5,0),1,0)*Table_NFI[[#This Row],[Winter Clothes Adult]],Table_NFI[Winter Clothes Adult])</f>
        <v>0</v>
      </c>
      <c r="AJ15" s="294">
        <f>IF(NFI_Expiration=1,IF($A15&lt;VLOOKUP(S$5,NFI,5,0),1,0)*Table_NFI[[#This Row],[Winter Clothes Children]],Table_NFI[Winter Clothes Children])</f>
        <v>0</v>
      </c>
      <c r="AK15" s="294">
        <f>IF(NFI_Expiration=1,IF($A15&lt;VLOOKUP(T$5,NFI,5,0),1,0)*Table_NFI[[#This Row],[Winter Items Other]],Table_NFI[Winter Items Other])</f>
        <v>0</v>
      </c>
      <c r="AL15" s="294">
        <f>IF(NFI_Expiration=1,IF($A15&lt;VLOOKUP(M$5,NFI,5,0),1,0)*Table_NFI[[#This Row],[Winter Blanket]],Table_NFI[[#This Row],[Winter Blanket]])</f>
        <v>0</v>
      </c>
      <c r="AM15" s="294">
        <f>IF(Table_NFI[[#This Row],[Winter Clothes Adult]]+Table_NFI[[#This Row],[Winter Clothes Children]]+Table_NFI[[#This Row],[Winter Items Other]]+Table_NFI[[#This Row],[Winter Blanket]]&gt;0,1,0)</f>
        <v>0</v>
      </c>
      <c r="AN15" s="331">
        <f>IF(NFI_Expiration=1,IF($A15&lt;VLOOKUP(V$5,NFI,5,0),1,0)*Table_NFI[[#This Row],[Jerry Can]],Table_NFI[Jerry Can])</f>
        <v>1</v>
      </c>
      <c r="AO15" s="331">
        <f>IF(NFI_Expiration=1,IF($A15&lt;VLOOKUP(V$5,NFI,5,0),1,0)*Table_NFI[[#This Row],[Shelter Tool kit]],Table_NFI[Shelter Tool kit])</f>
        <v>0</v>
      </c>
      <c r="AP15" s="331">
        <f>IF(NFI_Expiration=1,IF($A15&lt;VLOOKUP(V$5,NFI,5,0),1,0)*Table_NFI[[#This Row],[Tent]],Table_NFI[Tent])</f>
        <v>0</v>
      </c>
      <c r="AQ15" s="467" t="str">
        <f>IFERROR(VLOOKUP(Table_NFI[[#This Row],[Camp Name]],CL,2,0),"")</f>
        <v>MMR001CMP193</v>
      </c>
      <c r="AR15" s="835">
        <f ca="1">IF(Table_NFI[[#This Row],[Pcode]]="","",IF(OFFSET(CampList[Opening Date],MATCH(Table_NFI[[#This Row],[Pcode]],CampList[CP_Pcode],0)-1,0,1,1)&gt;=NFI_Monitor_Date,1,0))</f>
        <v>0</v>
      </c>
      <c r="AS15" s="467" t="str">
        <f>IFERROR(VLOOKUP(Table_NFI[[#This Row],[Camp Name]],CL,3,0),"")</f>
        <v>Open</v>
      </c>
      <c r="AT15" s="294" t="str">
        <f ca="1">IF(Table_NFI[[#This Row],[Pcode]]="","",OFFSET(CampList[Priority],MATCH(Table_NFI[[#This Row],[Pcode]],CampList[CP_Pcode],0)-1,0,1,1))</f>
        <v>P4</v>
      </c>
      <c r="AU15" s="293">
        <f>IFERROR(Table_NFI[[#This Row],[Kitchen Set]]/VLOOKUP(Table_NFI[[#This Row],[Camp Name]],CL,4,0),"")</f>
        <v>0</v>
      </c>
      <c r="AV15" s="461"/>
      <c r="AW15" s="468" t="s">
        <v>1468</v>
      </c>
    </row>
    <row r="16" spans="1:54" s="464" customFormat="1" ht="15" customHeight="1" x14ac:dyDescent="0.25">
      <c r="A16" s="297">
        <f t="shared" si="0"/>
        <v>3.1</v>
      </c>
      <c r="B16" s="460">
        <v>42643</v>
      </c>
      <c r="C16" s="465" t="s">
        <v>1582</v>
      </c>
      <c r="D16" s="465" t="s">
        <v>1582</v>
      </c>
      <c r="E16" s="465" t="s">
        <v>553</v>
      </c>
      <c r="F16" s="465" t="s">
        <v>298</v>
      </c>
      <c r="G16" s="465" t="s">
        <v>1488</v>
      </c>
      <c r="H16" s="292">
        <v>11</v>
      </c>
      <c r="I16" s="292"/>
      <c r="J16" s="292"/>
      <c r="K16" s="292"/>
      <c r="L16" s="292">
        <v>11</v>
      </c>
      <c r="M16" s="292"/>
      <c r="N16" s="292"/>
      <c r="O16" s="292"/>
      <c r="P16" s="294"/>
      <c r="Q16" s="294"/>
      <c r="R16" s="294"/>
      <c r="S16" s="294"/>
      <c r="T16" s="294"/>
      <c r="U16" s="294"/>
      <c r="V16" s="431"/>
      <c r="W16" s="294"/>
      <c r="X16" s="294"/>
      <c r="Y16" s="294">
        <f>IF(NFI_Expiration=1,IF($A16&lt;VLOOKUP(H$5,NFI,5,0),1,0)*Table_NFI[[#This Row],[Hygiene Kit]],Table_NFI[Hygiene Kit])</f>
        <v>11</v>
      </c>
      <c r="Z16" s="294">
        <f>IF(NFI_Expiration=1,IF($A16&lt;VLOOKUP(I$5,NFI,5,0),1,0)*Table_NFI[[#This Row],[NFI Core Kit]],Table_NFI[NFI Core Kit])</f>
        <v>0</v>
      </c>
      <c r="AA16" s="294">
        <f>IF(NFI_Expiration=1,IF($A16&lt;VLOOKUP(J$5,NFI,5,0),1,0)*Table_NFI[[#This Row],[Sanitary Kit]],Table_NFI[Sanitary Kit])</f>
        <v>0</v>
      </c>
      <c r="AB16" s="294">
        <f>IF(NFI_Expiration=1,IF($A16&lt;VLOOKUP(K$5,NFI,5,0),1,0)*Table_NFI[[#This Row],[Mosquito net]],Table_NFI[Mosquito net])</f>
        <v>0</v>
      </c>
      <c r="AC16" s="294">
        <f>IF(NFI_Expiration=1,IF($A16&lt;VLOOKUP(L$5,NFI,5,0),1,0)*Table_NFI[[#This Row],[Tarpaulin]],Table_NFI[[#This Row],[Tarpaulin]])</f>
        <v>11</v>
      </c>
      <c r="AD16" s="294">
        <f>IF(NFI_Expiration=1,IF($A16&lt;VLOOKUP(M$5,NFI,5,0),1,0)*Table_NFI[[#This Row],[Blanket]],Table_NFI[[#This Row],[Blanket]])</f>
        <v>0</v>
      </c>
      <c r="AE16" s="294">
        <f>IF(NFI_Expiration=1,IF($A16&lt;VLOOKUP(N$5,NFI,5,0),1,0)*Table_NFI[[#This Row],[Kitchen Set]],Table_NFI[Kitchen Set])</f>
        <v>0</v>
      </c>
      <c r="AF16" s="294">
        <f>IF(NFI_Expiration=1,IF($A16&lt;VLOOKUP(O$5,NFI,5,0),1,0)*Table_NFI[[#This Row],[Clothes Kit]],Table_NFI[Clothes Kit])</f>
        <v>0</v>
      </c>
      <c r="AG16" s="294">
        <f>IF(NFI_Expiration=1,IF($A16&lt;VLOOKUP(P$5,NFI,5,0),1,0)*Table_NFI[[#This Row],[Plastic Bucket]],Table_NFI[Plastic Bucket])</f>
        <v>0</v>
      </c>
      <c r="AH16" s="294">
        <f>IF(NFI_Expiration=1,IF($A16&lt;VLOOKUP(Q$5,NFI,5,0),1,0)*Table_NFI[[#This Row],[Plastic Mat]],Table_NFI[Plastic Mat])*IF(Table_NFI[[#This Row],[Distribution Date]]&gt;"2014-04-01",1,2.5)</f>
        <v>0</v>
      </c>
      <c r="AI16" s="294">
        <f>IF(NFI_Expiration=1,IF($A16&lt;VLOOKUP(R$5,NFI,5,0),1,0)*Table_NFI[[#This Row],[Winter Clothes Adult]],Table_NFI[Winter Clothes Adult])</f>
        <v>0</v>
      </c>
      <c r="AJ16" s="294">
        <f>IF(NFI_Expiration=1,IF($A16&lt;VLOOKUP(S$5,NFI,5,0),1,0)*Table_NFI[[#This Row],[Winter Clothes Children]],Table_NFI[Winter Clothes Children])</f>
        <v>0</v>
      </c>
      <c r="AK16" s="294">
        <f>IF(NFI_Expiration=1,IF($A16&lt;VLOOKUP(T$5,NFI,5,0),1,0)*Table_NFI[[#This Row],[Winter Items Other]],Table_NFI[Winter Items Other])</f>
        <v>0</v>
      </c>
      <c r="AL16" s="294">
        <f>IF(NFI_Expiration=1,IF($A16&lt;VLOOKUP(M$5,NFI,5,0),1,0)*Table_NFI[[#This Row],[Winter Blanket]],Table_NFI[[#This Row],[Winter Blanket]])</f>
        <v>0</v>
      </c>
      <c r="AM16" s="294">
        <f>IF(Table_NFI[[#This Row],[Winter Clothes Adult]]+Table_NFI[[#This Row],[Winter Clothes Children]]+Table_NFI[[#This Row],[Winter Items Other]]+Table_NFI[[#This Row],[Winter Blanket]]&gt;0,1,0)</f>
        <v>0</v>
      </c>
      <c r="AN16" s="331">
        <f>IF(NFI_Expiration=1,IF($A16&lt;VLOOKUP(V$5,NFI,5,0),1,0)*Table_NFI[[#This Row],[Jerry Can]],Table_NFI[Jerry Can])</f>
        <v>0</v>
      </c>
      <c r="AO16" s="331">
        <f>IF(NFI_Expiration=1,IF($A16&lt;VLOOKUP(V$5,NFI,5,0),1,0)*Table_NFI[[#This Row],[Shelter Tool kit]],Table_NFI[Shelter Tool kit])</f>
        <v>0</v>
      </c>
      <c r="AP16" s="331">
        <f>IF(NFI_Expiration=1,IF($A16&lt;VLOOKUP(V$5,NFI,5,0),1,0)*Table_NFI[[#This Row],[Tent]],Table_NFI[Tent])</f>
        <v>0</v>
      </c>
      <c r="AQ16" s="467" t="str">
        <f>IFERROR(VLOOKUP(Table_NFI[[#This Row],[Camp Name]],CL,2,0),"")</f>
        <v>MMR015CMP228</v>
      </c>
      <c r="AR16" s="835">
        <f ca="1">IF(Table_NFI[[#This Row],[Pcode]]="","",IF(OFFSET(CampList[Opening Date],MATCH(Table_NFI[[#This Row],[Pcode]],CampList[CP_Pcode],0)-1,0,1,1)&gt;=NFI_Monitor_Date,1,0))</f>
        <v>0</v>
      </c>
      <c r="AS16" s="467" t="str">
        <f>IFERROR(VLOOKUP(Table_NFI[[#This Row],[Camp Name]],CL,3,0),"")</f>
        <v>Open</v>
      </c>
      <c r="AT16" s="294">
        <f ca="1">IF(Table_NFI[[#This Row],[Pcode]]="","",OFFSET(CampList[Priority],MATCH(Table_NFI[[#This Row],[Pcode]],CampList[CP_Pcode],0)-1,0,1,1))</f>
        <v>0</v>
      </c>
      <c r="AU16" s="293" t="str">
        <f>IFERROR(Table_NFI[[#This Row],[Kitchen Set]]/VLOOKUP(Table_NFI[[#This Row],[Camp Name]],CL,4,0),"")</f>
        <v/>
      </c>
      <c r="AV16" s="461"/>
      <c r="AW16" s="468" t="s">
        <v>1583</v>
      </c>
    </row>
    <row r="17" spans="1:49" s="464" customFormat="1" ht="15" customHeight="1" x14ac:dyDescent="0.25">
      <c r="A17" s="297">
        <f t="shared" si="0"/>
        <v>3.7</v>
      </c>
      <c r="B17" s="460">
        <v>42625</v>
      </c>
      <c r="C17" s="465" t="s">
        <v>1582</v>
      </c>
      <c r="D17" s="465" t="s">
        <v>1582</v>
      </c>
      <c r="E17" s="465" t="s">
        <v>553</v>
      </c>
      <c r="F17" s="465" t="s">
        <v>298</v>
      </c>
      <c r="G17" s="465" t="s">
        <v>1492</v>
      </c>
      <c r="H17" s="292"/>
      <c r="I17" s="292"/>
      <c r="J17" s="292"/>
      <c r="K17" s="292"/>
      <c r="L17" s="292">
        <v>18</v>
      </c>
      <c r="M17" s="292"/>
      <c r="N17" s="292"/>
      <c r="O17" s="292"/>
      <c r="P17" s="294"/>
      <c r="Q17" s="294"/>
      <c r="R17" s="294"/>
      <c r="S17" s="294"/>
      <c r="T17" s="294"/>
      <c r="U17" s="294"/>
      <c r="V17" s="431"/>
      <c r="W17" s="294"/>
      <c r="X17" s="294"/>
      <c r="Y17" s="294">
        <f>IF(NFI_Expiration=1,IF($A17&lt;VLOOKUP(H$5,NFI,5,0),1,0)*Table_NFI[[#This Row],[Hygiene Kit]],Table_NFI[Hygiene Kit])</f>
        <v>0</v>
      </c>
      <c r="Z17" s="294">
        <f>IF(NFI_Expiration=1,IF($A17&lt;VLOOKUP(I$5,NFI,5,0),1,0)*Table_NFI[[#This Row],[NFI Core Kit]],Table_NFI[NFI Core Kit])</f>
        <v>0</v>
      </c>
      <c r="AA17" s="294">
        <f>IF(NFI_Expiration=1,IF($A17&lt;VLOOKUP(J$5,NFI,5,0),1,0)*Table_NFI[[#This Row],[Sanitary Kit]],Table_NFI[Sanitary Kit])</f>
        <v>0</v>
      </c>
      <c r="AB17" s="294">
        <f>IF(NFI_Expiration=1,IF($A17&lt;VLOOKUP(K$5,NFI,5,0),1,0)*Table_NFI[[#This Row],[Mosquito net]],Table_NFI[Mosquito net])</f>
        <v>0</v>
      </c>
      <c r="AC17" s="294">
        <f>IF(NFI_Expiration=1,IF($A17&lt;VLOOKUP(L$5,NFI,5,0),1,0)*Table_NFI[[#This Row],[Tarpaulin]],Table_NFI[[#This Row],[Tarpaulin]])</f>
        <v>18</v>
      </c>
      <c r="AD17" s="294">
        <f>IF(NFI_Expiration=1,IF($A17&lt;VLOOKUP(M$5,NFI,5,0),1,0)*Table_NFI[[#This Row],[Blanket]],Table_NFI[[#This Row],[Blanket]])</f>
        <v>0</v>
      </c>
      <c r="AE17" s="294">
        <f>IF(NFI_Expiration=1,IF($A17&lt;VLOOKUP(N$5,NFI,5,0),1,0)*Table_NFI[[#This Row],[Kitchen Set]],Table_NFI[Kitchen Set])</f>
        <v>0</v>
      </c>
      <c r="AF17" s="294">
        <f>IF(NFI_Expiration=1,IF($A17&lt;VLOOKUP(O$5,NFI,5,0),1,0)*Table_NFI[[#This Row],[Clothes Kit]],Table_NFI[Clothes Kit])</f>
        <v>0</v>
      </c>
      <c r="AG17" s="294">
        <f>IF(NFI_Expiration=1,IF($A17&lt;VLOOKUP(P$5,NFI,5,0),1,0)*Table_NFI[[#This Row],[Plastic Bucket]],Table_NFI[Plastic Bucket])</f>
        <v>0</v>
      </c>
      <c r="AH17" s="294">
        <f>IF(NFI_Expiration=1,IF($A17&lt;VLOOKUP(Q$5,NFI,5,0),1,0)*Table_NFI[[#This Row],[Plastic Mat]],Table_NFI[Plastic Mat])*IF(Table_NFI[[#This Row],[Distribution Date]]&gt;"2014-04-01",1,2.5)</f>
        <v>0</v>
      </c>
      <c r="AI17" s="294">
        <f>IF(NFI_Expiration=1,IF($A17&lt;VLOOKUP(R$5,NFI,5,0),1,0)*Table_NFI[[#This Row],[Winter Clothes Adult]],Table_NFI[Winter Clothes Adult])</f>
        <v>0</v>
      </c>
      <c r="AJ17" s="294">
        <f>IF(NFI_Expiration=1,IF($A17&lt;VLOOKUP(S$5,NFI,5,0),1,0)*Table_NFI[[#This Row],[Winter Clothes Children]],Table_NFI[Winter Clothes Children])</f>
        <v>0</v>
      </c>
      <c r="AK17" s="294">
        <f>IF(NFI_Expiration=1,IF($A17&lt;VLOOKUP(T$5,NFI,5,0),1,0)*Table_NFI[[#This Row],[Winter Items Other]],Table_NFI[Winter Items Other])</f>
        <v>0</v>
      </c>
      <c r="AL17" s="294">
        <f>IF(NFI_Expiration=1,IF($A17&lt;VLOOKUP(M$5,NFI,5,0),1,0)*Table_NFI[[#This Row],[Winter Blanket]],Table_NFI[[#This Row],[Winter Blanket]])</f>
        <v>0</v>
      </c>
      <c r="AM17" s="294">
        <f>IF(Table_NFI[[#This Row],[Winter Clothes Adult]]+Table_NFI[[#This Row],[Winter Clothes Children]]+Table_NFI[[#This Row],[Winter Items Other]]+Table_NFI[[#This Row],[Winter Blanket]]&gt;0,1,0)</f>
        <v>0</v>
      </c>
      <c r="AN17" s="331">
        <f>IF(NFI_Expiration=1,IF($A17&lt;VLOOKUP(V$5,NFI,5,0),1,0)*Table_NFI[[#This Row],[Jerry Can]],Table_NFI[Jerry Can])</f>
        <v>0</v>
      </c>
      <c r="AO17" s="331">
        <f>IF(NFI_Expiration=1,IF($A17&lt;VLOOKUP(V$5,NFI,5,0),1,0)*Table_NFI[[#This Row],[Shelter Tool kit]],Table_NFI[Shelter Tool kit])</f>
        <v>0</v>
      </c>
      <c r="AP17" s="331">
        <f>IF(NFI_Expiration=1,IF($A17&lt;VLOOKUP(V$5,NFI,5,0),1,0)*Table_NFI[[#This Row],[Tent]],Table_NFI[Tent])</f>
        <v>0</v>
      </c>
      <c r="AQ17" s="467" t="str">
        <f>IFERROR(VLOOKUP(Table_NFI[[#This Row],[Camp Name]],CL,2,0),"")</f>
        <v>MMR015CMP231</v>
      </c>
      <c r="AR17" s="835">
        <f ca="1">IF(Table_NFI[[#This Row],[Pcode]]="","",IF(OFFSET(CampList[Opening Date],MATCH(Table_NFI[[#This Row],[Pcode]],CampList[CP_Pcode],0)-1,0,1,1)&gt;=NFI_Monitor_Date,1,0))</f>
        <v>0</v>
      </c>
      <c r="AS17" s="467" t="str">
        <f>IFERROR(VLOOKUP(Table_NFI[[#This Row],[Camp Name]],CL,3,0),"")</f>
        <v>Open</v>
      </c>
      <c r="AT17" s="294">
        <f ca="1">IF(Table_NFI[[#This Row],[Pcode]]="","",OFFSET(CampList[Priority],MATCH(Table_NFI[[#This Row],[Pcode]],CampList[CP_Pcode],0)-1,0,1,1))</f>
        <v>0</v>
      </c>
      <c r="AU17" s="293" t="str">
        <f>IFERROR(Table_NFI[[#This Row],[Kitchen Set]]/VLOOKUP(Table_NFI[[#This Row],[Camp Name]],CL,4,0),"")</f>
        <v/>
      </c>
      <c r="AV17" s="461"/>
      <c r="AW17" s="468" t="s">
        <v>1583</v>
      </c>
    </row>
    <row r="18" spans="1:49" s="464" customFormat="1" ht="15" customHeight="1" x14ac:dyDescent="0.25">
      <c r="A18" s="297">
        <f t="shared" si="0"/>
        <v>4.0999999999999996</v>
      </c>
      <c r="B18" s="460">
        <v>42613</v>
      </c>
      <c r="C18" s="465" t="s">
        <v>905</v>
      </c>
      <c r="D18" s="465" t="s">
        <v>905</v>
      </c>
      <c r="E18" s="465" t="s">
        <v>380</v>
      </c>
      <c r="F18" s="465" t="s">
        <v>5</v>
      </c>
      <c r="G18" s="465" t="s">
        <v>6</v>
      </c>
      <c r="H18" s="292"/>
      <c r="I18" s="292"/>
      <c r="J18" s="292"/>
      <c r="K18" s="292"/>
      <c r="L18" s="292"/>
      <c r="M18" s="292"/>
      <c r="N18" s="292"/>
      <c r="O18" s="292"/>
      <c r="P18" s="294"/>
      <c r="Q18" s="294"/>
      <c r="R18" s="294"/>
      <c r="S18" s="294"/>
      <c r="T18" s="294"/>
      <c r="U18" s="294"/>
      <c r="V18" s="331">
        <v>1</v>
      </c>
      <c r="W18" s="294"/>
      <c r="X18" s="294"/>
      <c r="Y18" s="294">
        <f>IF(NFI_Expiration=1,IF($A18&lt;VLOOKUP(H$5,NFI,5,0),1,0)*Table_NFI[[#This Row],[Hygiene Kit]],Table_NFI[Hygiene Kit])</f>
        <v>0</v>
      </c>
      <c r="Z18" s="294">
        <f>IF(NFI_Expiration=1,IF($A18&lt;VLOOKUP(I$5,NFI,5,0),1,0)*Table_NFI[[#This Row],[NFI Core Kit]],Table_NFI[NFI Core Kit])</f>
        <v>0</v>
      </c>
      <c r="AA18" s="294">
        <f>IF(NFI_Expiration=1,IF($A18&lt;VLOOKUP(J$5,NFI,5,0),1,0)*Table_NFI[[#This Row],[Sanitary Kit]],Table_NFI[Sanitary Kit])</f>
        <v>0</v>
      </c>
      <c r="AB18" s="294">
        <f>IF(NFI_Expiration=1,IF($A18&lt;VLOOKUP(K$5,NFI,5,0),1,0)*Table_NFI[[#This Row],[Mosquito net]],Table_NFI[Mosquito net])</f>
        <v>0</v>
      </c>
      <c r="AC18" s="294">
        <f>IF(NFI_Expiration=1,IF($A18&lt;VLOOKUP(L$5,NFI,5,0),1,0)*Table_NFI[[#This Row],[Tarpaulin]],Table_NFI[[#This Row],[Tarpaulin]])</f>
        <v>0</v>
      </c>
      <c r="AD18" s="294">
        <f>IF(NFI_Expiration=1,IF($A18&lt;VLOOKUP(M$5,NFI,5,0),1,0)*Table_NFI[[#This Row],[Blanket]],Table_NFI[[#This Row],[Blanket]])</f>
        <v>0</v>
      </c>
      <c r="AE18" s="294">
        <f>IF(NFI_Expiration=1,IF($A18&lt;VLOOKUP(N$5,NFI,5,0),1,0)*Table_NFI[[#This Row],[Kitchen Set]],Table_NFI[Kitchen Set])</f>
        <v>0</v>
      </c>
      <c r="AF18" s="294">
        <f>IF(NFI_Expiration=1,IF($A18&lt;VLOOKUP(O$5,NFI,5,0),1,0)*Table_NFI[[#This Row],[Clothes Kit]],Table_NFI[Clothes Kit])</f>
        <v>0</v>
      </c>
      <c r="AG18" s="294">
        <f>IF(NFI_Expiration=1,IF($A18&lt;VLOOKUP(P$5,NFI,5,0),1,0)*Table_NFI[[#This Row],[Plastic Bucket]],Table_NFI[Plastic Bucket])</f>
        <v>0</v>
      </c>
      <c r="AH18" s="294">
        <f>IF(NFI_Expiration=1,IF($A18&lt;VLOOKUP(Q$5,NFI,5,0),1,0)*Table_NFI[[#This Row],[Plastic Mat]],Table_NFI[Plastic Mat])*IF(Table_NFI[[#This Row],[Distribution Date]]&gt;"2014-04-01",1,2.5)</f>
        <v>0</v>
      </c>
      <c r="AI18" s="294">
        <f>IF(NFI_Expiration=1,IF($A18&lt;VLOOKUP(R$5,NFI,5,0),1,0)*Table_NFI[[#This Row],[Winter Clothes Adult]],Table_NFI[Winter Clothes Adult])</f>
        <v>0</v>
      </c>
      <c r="AJ18" s="294">
        <f>IF(NFI_Expiration=1,IF($A18&lt;VLOOKUP(S$5,NFI,5,0),1,0)*Table_NFI[[#This Row],[Winter Clothes Children]],Table_NFI[Winter Clothes Children])</f>
        <v>0</v>
      </c>
      <c r="AK18" s="294">
        <f>IF(NFI_Expiration=1,IF($A18&lt;VLOOKUP(T$5,NFI,5,0),1,0)*Table_NFI[[#This Row],[Winter Items Other]],Table_NFI[Winter Items Other])</f>
        <v>0</v>
      </c>
      <c r="AL18" s="294">
        <f>IF(NFI_Expiration=1,IF($A18&lt;VLOOKUP(M$5,NFI,5,0),1,0)*Table_NFI[[#This Row],[Winter Blanket]],Table_NFI[[#This Row],[Winter Blanket]])</f>
        <v>0</v>
      </c>
      <c r="AM18" s="294">
        <f>IF(Table_NFI[[#This Row],[Winter Clothes Adult]]+Table_NFI[[#This Row],[Winter Clothes Children]]+Table_NFI[[#This Row],[Winter Items Other]]+Table_NFI[[#This Row],[Winter Blanket]]&gt;0,1,0)</f>
        <v>0</v>
      </c>
      <c r="AN18" s="331">
        <f>IF(NFI_Expiration=1,IF($A18&lt;VLOOKUP(V$5,NFI,5,0),1,0)*Table_NFI[[#This Row],[Jerry Can]],Table_NFI[Jerry Can])</f>
        <v>1</v>
      </c>
      <c r="AO18" s="331">
        <f>IF(NFI_Expiration=1,IF($A18&lt;VLOOKUP(V$5,NFI,5,0),1,0)*Table_NFI[[#This Row],[Shelter Tool kit]],Table_NFI[Shelter Tool kit])</f>
        <v>0</v>
      </c>
      <c r="AP18" s="331">
        <f>IF(NFI_Expiration=1,IF($A18&lt;VLOOKUP(V$5,NFI,5,0),1,0)*Table_NFI[[#This Row],[Tent]],Table_NFI[Tent])</f>
        <v>0</v>
      </c>
      <c r="AQ18" s="467" t="str">
        <f>IFERROR(VLOOKUP(Table_NFI[[#This Row],[Camp Name]],CL,2,0),"")</f>
        <v>MMR001CMP050</v>
      </c>
      <c r="AR18" s="835">
        <f ca="1">IF(Table_NFI[[#This Row],[Pcode]]="","",IF(OFFSET(CampList[Opening Date],MATCH(Table_NFI[[#This Row],[Pcode]],CampList[CP_Pcode],0)-1,0,1,1)&gt;=NFI_Monitor_Date,1,0))</f>
        <v>0</v>
      </c>
      <c r="AS18" s="467" t="str">
        <f>IFERROR(VLOOKUP(Table_NFI[[#This Row],[Camp Name]],CL,3,0),"")</f>
        <v>Open</v>
      </c>
      <c r="AT18" s="294" t="str">
        <f ca="1">IF(Table_NFI[[#This Row],[Pcode]]="","",OFFSET(CampList[Priority],MATCH(Table_NFI[[#This Row],[Pcode]],CampList[CP_Pcode],0)-1,0,1,1))</f>
        <v>P4</v>
      </c>
      <c r="AU18" s="293">
        <f>IFERROR(Table_NFI[[#This Row],[Kitchen Set]]/VLOOKUP(Table_NFI[[#This Row],[Camp Name]],CL,4,0),"")</f>
        <v>0</v>
      </c>
      <c r="AV18" s="461"/>
      <c r="AW18" s="468" t="s">
        <v>1468</v>
      </c>
    </row>
    <row r="19" spans="1:49" s="464" customFormat="1" ht="15" customHeight="1" x14ac:dyDescent="0.25">
      <c r="A19" s="297">
        <f t="shared" si="0"/>
        <v>4.0999999999999996</v>
      </c>
      <c r="B19" s="460">
        <v>42613</v>
      </c>
      <c r="C19" s="465" t="s">
        <v>905</v>
      </c>
      <c r="D19" s="465" t="s">
        <v>905</v>
      </c>
      <c r="E19" s="465" t="s">
        <v>380</v>
      </c>
      <c r="F19" s="465" t="s">
        <v>5</v>
      </c>
      <c r="G19" s="465" t="s">
        <v>22</v>
      </c>
      <c r="H19" s="292"/>
      <c r="I19" s="292"/>
      <c r="J19" s="292"/>
      <c r="K19" s="292"/>
      <c r="L19" s="292"/>
      <c r="M19" s="292"/>
      <c r="N19" s="292"/>
      <c r="O19" s="292"/>
      <c r="P19" s="294"/>
      <c r="Q19" s="294"/>
      <c r="R19" s="294"/>
      <c r="S19" s="294"/>
      <c r="T19" s="294"/>
      <c r="U19" s="294"/>
      <c r="V19" s="331">
        <v>1</v>
      </c>
      <c r="W19" s="294"/>
      <c r="X19" s="294"/>
      <c r="Y19" s="294">
        <f>IF(NFI_Expiration=1,IF($A19&lt;VLOOKUP(H$5,NFI,5,0),1,0)*Table_NFI[[#This Row],[Hygiene Kit]],Table_NFI[Hygiene Kit])</f>
        <v>0</v>
      </c>
      <c r="Z19" s="294">
        <f>IF(NFI_Expiration=1,IF($A19&lt;VLOOKUP(I$5,NFI,5,0),1,0)*Table_NFI[[#This Row],[NFI Core Kit]],Table_NFI[NFI Core Kit])</f>
        <v>0</v>
      </c>
      <c r="AA19" s="294">
        <f>IF(NFI_Expiration=1,IF($A19&lt;VLOOKUP(J$5,NFI,5,0),1,0)*Table_NFI[[#This Row],[Sanitary Kit]],Table_NFI[Sanitary Kit])</f>
        <v>0</v>
      </c>
      <c r="AB19" s="294">
        <f>IF(NFI_Expiration=1,IF($A19&lt;VLOOKUP(K$5,NFI,5,0),1,0)*Table_NFI[[#This Row],[Mosquito net]],Table_NFI[Mosquito net])</f>
        <v>0</v>
      </c>
      <c r="AC19" s="294">
        <f>IF(NFI_Expiration=1,IF($A19&lt;VLOOKUP(L$5,NFI,5,0),1,0)*Table_NFI[[#This Row],[Tarpaulin]],Table_NFI[[#This Row],[Tarpaulin]])</f>
        <v>0</v>
      </c>
      <c r="AD19" s="294">
        <f>IF(NFI_Expiration=1,IF($A19&lt;VLOOKUP(M$5,NFI,5,0),1,0)*Table_NFI[[#This Row],[Blanket]],Table_NFI[[#This Row],[Blanket]])</f>
        <v>0</v>
      </c>
      <c r="AE19" s="294">
        <f>IF(NFI_Expiration=1,IF($A19&lt;VLOOKUP(N$5,NFI,5,0),1,0)*Table_NFI[[#This Row],[Kitchen Set]],Table_NFI[Kitchen Set])</f>
        <v>0</v>
      </c>
      <c r="AF19" s="294">
        <f>IF(NFI_Expiration=1,IF($A19&lt;VLOOKUP(O$5,NFI,5,0),1,0)*Table_NFI[[#This Row],[Clothes Kit]],Table_NFI[Clothes Kit])</f>
        <v>0</v>
      </c>
      <c r="AG19" s="294">
        <f>IF(NFI_Expiration=1,IF($A19&lt;VLOOKUP(P$5,NFI,5,0),1,0)*Table_NFI[[#This Row],[Plastic Bucket]],Table_NFI[Plastic Bucket])</f>
        <v>0</v>
      </c>
      <c r="AH19" s="294">
        <f>IF(NFI_Expiration=1,IF($A19&lt;VLOOKUP(Q$5,NFI,5,0),1,0)*Table_NFI[[#This Row],[Plastic Mat]],Table_NFI[Plastic Mat])*IF(Table_NFI[[#This Row],[Distribution Date]]&gt;"2014-04-01",1,2.5)</f>
        <v>0</v>
      </c>
      <c r="AI19" s="294">
        <f>IF(NFI_Expiration=1,IF($A19&lt;VLOOKUP(R$5,NFI,5,0),1,0)*Table_NFI[[#This Row],[Winter Clothes Adult]],Table_NFI[Winter Clothes Adult])</f>
        <v>0</v>
      </c>
      <c r="AJ19" s="294">
        <f>IF(NFI_Expiration=1,IF($A19&lt;VLOOKUP(S$5,NFI,5,0),1,0)*Table_NFI[[#This Row],[Winter Clothes Children]],Table_NFI[Winter Clothes Children])</f>
        <v>0</v>
      </c>
      <c r="AK19" s="294">
        <f>IF(NFI_Expiration=1,IF($A19&lt;VLOOKUP(T$5,NFI,5,0),1,0)*Table_NFI[[#This Row],[Winter Items Other]],Table_NFI[Winter Items Other])</f>
        <v>0</v>
      </c>
      <c r="AL19" s="294">
        <f>IF(NFI_Expiration=1,IF($A19&lt;VLOOKUP(M$5,NFI,5,0),1,0)*Table_NFI[[#This Row],[Winter Blanket]],Table_NFI[[#This Row],[Winter Blanket]])</f>
        <v>0</v>
      </c>
      <c r="AM19" s="294">
        <f>IF(Table_NFI[[#This Row],[Winter Clothes Adult]]+Table_NFI[[#This Row],[Winter Clothes Children]]+Table_NFI[[#This Row],[Winter Items Other]]+Table_NFI[[#This Row],[Winter Blanket]]&gt;0,1,0)</f>
        <v>0</v>
      </c>
      <c r="AN19" s="331">
        <f>IF(NFI_Expiration=1,IF($A19&lt;VLOOKUP(V$5,NFI,5,0),1,0)*Table_NFI[[#This Row],[Jerry Can]],Table_NFI[Jerry Can])</f>
        <v>1</v>
      </c>
      <c r="AO19" s="331">
        <f>IF(NFI_Expiration=1,IF($A19&lt;VLOOKUP(V$5,NFI,5,0),1,0)*Table_NFI[[#This Row],[Shelter Tool kit]],Table_NFI[Shelter Tool kit])</f>
        <v>0</v>
      </c>
      <c r="AP19" s="331">
        <f>IF(NFI_Expiration=1,IF($A19&lt;VLOOKUP(V$5,NFI,5,0),1,0)*Table_NFI[[#This Row],[Tent]],Table_NFI[Tent])</f>
        <v>0</v>
      </c>
      <c r="AQ19" s="467" t="str">
        <f>IFERROR(VLOOKUP(Table_NFI[[#This Row],[Camp Name]],CL,2,0),"")</f>
        <v>MMR001CMP047</v>
      </c>
      <c r="AR19" s="835">
        <f ca="1">IF(Table_NFI[[#This Row],[Pcode]]="","",IF(OFFSET(CampList[Opening Date],MATCH(Table_NFI[[#This Row],[Pcode]],CampList[CP_Pcode],0)-1,0,1,1)&gt;=NFI_Monitor_Date,1,0))</f>
        <v>0</v>
      </c>
      <c r="AS19" s="467" t="str">
        <f>IFERROR(VLOOKUP(Table_NFI[[#This Row],[Camp Name]],CL,3,0),"")</f>
        <v>Open</v>
      </c>
      <c r="AT19" s="294" t="str">
        <f ca="1">IF(Table_NFI[[#This Row],[Pcode]]="","",OFFSET(CampList[Priority],MATCH(Table_NFI[[#This Row],[Pcode]],CampList[CP_Pcode],0)-1,0,1,1))</f>
        <v>P4</v>
      </c>
      <c r="AU19" s="293">
        <f>IFERROR(Table_NFI[[#This Row],[Kitchen Set]]/VLOOKUP(Table_NFI[[#This Row],[Camp Name]],CL,4,0),"")</f>
        <v>0</v>
      </c>
      <c r="AV19" s="461"/>
      <c r="AW19" s="468" t="s">
        <v>1468</v>
      </c>
    </row>
    <row r="20" spans="1:49" s="464" customFormat="1" ht="15" customHeight="1" x14ac:dyDescent="0.25">
      <c r="A20" s="297">
        <f t="shared" si="0"/>
        <v>4.0999999999999996</v>
      </c>
      <c r="B20" s="460">
        <v>42613</v>
      </c>
      <c r="C20" s="465" t="s">
        <v>905</v>
      </c>
      <c r="D20" s="465" t="s">
        <v>905</v>
      </c>
      <c r="E20" s="465" t="s">
        <v>380</v>
      </c>
      <c r="F20" s="465" t="s">
        <v>527</v>
      </c>
      <c r="G20" s="465" t="s">
        <v>1449</v>
      </c>
      <c r="H20" s="292">
        <v>165</v>
      </c>
      <c r="I20" s="292">
        <v>139</v>
      </c>
      <c r="J20" s="292"/>
      <c r="K20" s="292"/>
      <c r="L20" s="292"/>
      <c r="M20" s="292"/>
      <c r="N20" s="292"/>
      <c r="O20" s="292"/>
      <c r="P20" s="294"/>
      <c r="Q20" s="294"/>
      <c r="R20" s="294"/>
      <c r="S20" s="294"/>
      <c r="T20" s="294"/>
      <c r="U20" s="294"/>
      <c r="V20" s="331">
        <v>8</v>
      </c>
      <c r="W20" s="294"/>
      <c r="X20" s="294"/>
      <c r="Y20" s="294">
        <f>IF(NFI_Expiration=1,IF($A20&lt;VLOOKUP(H$5,NFI,5,0),1,0)*Table_NFI[[#This Row],[Hygiene Kit]],Table_NFI[Hygiene Kit])</f>
        <v>165</v>
      </c>
      <c r="Z20" s="294">
        <f>IF(NFI_Expiration=1,IF($A20&lt;VLOOKUP(I$5,NFI,5,0),1,0)*Table_NFI[[#This Row],[NFI Core Kit]],Table_NFI[NFI Core Kit])</f>
        <v>139</v>
      </c>
      <c r="AA20" s="294">
        <f>IF(NFI_Expiration=1,IF($A20&lt;VLOOKUP(J$5,NFI,5,0),1,0)*Table_NFI[[#This Row],[Sanitary Kit]],Table_NFI[Sanitary Kit])</f>
        <v>0</v>
      </c>
      <c r="AB20" s="294">
        <f>IF(NFI_Expiration=1,IF($A20&lt;VLOOKUP(K$5,NFI,5,0),1,0)*Table_NFI[[#This Row],[Mosquito net]],Table_NFI[Mosquito net])</f>
        <v>0</v>
      </c>
      <c r="AC20" s="294">
        <f>IF(NFI_Expiration=1,IF($A20&lt;VLOOKUP(L$5,NFI,5,0),1,0)*Table_NFI[[#This Row],[Tarpaulin]],Table_NFI[[#This Row],[Tarpaulin]])</f>
        <v>0</v>
      </c>
      <c r="AD20" s="294">
        <f>IF(NFI_Expiration=1,IF($A20&lt;VLOOKUP(M$5,NFI,5,0),1,0)*Table_NFI[[#This Row],[Blanket]],Table_NFI[[#This Row],[Blanket]])</f>
        <v>0</v>
      </c>
      <c r="AE20" s="294">
        <f>IF(NFI_Expiration=1,IF($A20&lt;VLOOKUP(N$5,NFI,5,0),1,0)*Table_NFI[[#This Row],[Kitchen Set]],Table_NFI[Kitchen Set])</f>
        <v>0</v>
      </c>
      <c r="AF20" s="294">
        <f>IF(NFI_Expiration=1,IF($A20&lt;VLOOKUP(O$5,NFI,5,0),1,0)*Table_NFI[[#This Row],[Clothes Kit]],Table_NFI[Clothes Kit])</f>
        <v>0</v>
      </c>
      <c r="AG20" s="294">
        <f>IF(NFI_Expiration=1,IF($A20&lt;VLOOKUP(P$5,NFI,5,0),1,0)*Table_NFI[[#This Row],[Plastic Bucket]],Table_NFI[Plastic Bucket])</f>
        <v>0</v>
      </c>
      <c r="AH20" s="294">
        <f>IF(NFI_Expiration=1,IF($A20&lt;VLOOKUP(Q$5,NFI,5,0),1,0)*Table_NFI[[#This Row],[Plastic Mat]],Table_NFI[Plastic Mat])*IF(Table_NFI[[#This Row],[Distribution Date]]&gt;"2014-04-01",1,2.5)</f>
        <v>0</v>
      </c>
      <c r="AI20" s="294">
        <f>IF(NFI_Expiration=1,IF($A20&lt;VLOOKUP(R$5,NFI,5,0),1,0)*Table_NFI[[#This Row],[Winter Clothes Adult]],Table_NFI[Winter Clothes Adult])</f>
        <v>0</v>
      </c>
      <c r="AJ20" s="294">
        <f>IF(NFI_Expiration=1,IF($A20&lt;VLOOKUP(S$5,NFI,5,0),1,0)*Table_NFI[[#This Row],[Winter Clothes Children]],Table_NFI[Winter Clothes Children])</f>
        <v>0</v>
      </c>
      <c r="AK20" s="294">
        <f>IF(NFI_Expiration=1,IF($A20&lt;VLOOKUP(T$5,NFI,5,0),1,0)*Table_NFI[[#This Row],[Winter Items Other]],Table_NFI[Winter Items Other])</f>
        <v>0</v>
      </c>
      <c r="AL20" s="294">
        <f>IF(NFI_Expiration=1,IF($A20&lt;VLOOKUP(M$5,NFI,5,0),1,0)*Table_NFI[[#This Row],[Winter Blanket]],Table_NFI[[#This Row],[Winter Blanket]])</f>
        <v>0</v>
      </c>
      <c r="AM20" s="294">
        <f>IF(Table_NFI[[#This Row],[Winter Clothes Adult]]+Table_NFI[[#This Row],[Winter Clothes Children]]+Table_NFI[[#This Row],[Winter Items Other]]+Table_NFI[[#This Row],[Winter Blanket]]&gt;0,1,0)</f>
        <v>0</v>
      </c>
      <c r="AN20" s="331">
        <f>IF(NFI_Expiration=1,IF($A20&lt;VLOOKUP(V$5,NFI,5,0),1,0)*Table_NFI[[#This Row],[Jerry Can]],Table_NFI[Jerry Can])</f>
        <v>8</v>
      </c>
      <c r="AO20" s="331">
        <f>IF(NFI_Expiration=1,IF($A20&lt;VLOOKUP(V$5,NFI,5,0),1,0)*Table_NFI[[#This Row],[Shelter Tool kit]],Table_NFI[Shelter Tool kit])</f>
        <v>0</v>
      </c>
      <c r="AP20" s="331">
        <f>IF(NFI_Expiration=1,IF($A20&lt;VLOOKUP(V$5,NFI,5,0),1,0)*Table_NFI[[#This Row],[Tent]],Table_NFI[Tent])</f>
        <v>0</v>
      </c>
      <c r="AQ20" s="467" t="str">
        <f>IFERROR(VLOOKUP(Table_NFI[[#This Row],[Camp Name]],CL,2,0),"")</f>
        <v>MMR001CMP244</v>
      </c>
      <c r="AR20" s="835">
        <f ca="1">IF(Table_NFI[[#This Row],[Pcode]]="","",IF(OFFSET(CampList[Opening Date],MATCH(Table_NFI[[#This Row],[Pcode]],CampList[CP_Pcode],0)-1,0,1,1)&gt;=NFI_Monitor_Date,1,0))</f>
        <v>1</v>
      </c>
      <c r="AS20" s="467" t="str">
        <f>IFERROR(VLOOKUP(Table_NFI[[#This Row],[Camp Name]],CL,3,0),"")</f>
        <v>Open</v>
      </c>
      <c r="AT20" s="294">
        <f ca="1">IF(Table_NFI[[#This Row],[Pcode]]="","",OFFSET(CampList[Priority],MATCH(Table_NFI[[#This Row],[Pcode]],CampList[CP_Pcode],0)-1,0,1,1))</f>
        <v>0</v>
      </c>
      <c r="AU20" s="293">
        <f>IFERROR(Table_NFI[[#This Row],[Kitchen Set]]/VLOOKUP(Table_NFI[[#This Row],[Camp Name]],CL,4,0),"")</f>
        <v>0</v>
      </c>
      <c r="AV20" s="461"/>
      <c r="AW20" s="468" t="s">
        <v>1469</v>
      </c>
    </row>
    <row r="21" spans="1:49" s="464" customFormat="1" ht="15" customHeight="1" x14ac:dyDescent="0.25">
      <c r="A21" s="297">
        <f t="shared" si="0"/>
        <v>4.5333333333333332</v>
      </c>
      <c r="B21" s="460">
        <v>42600</v>
      </c>
      <c r="C21" s="465" t="s">
        <v>573</v>
      </c>
      <c r="D21" s="465" t="s">
        <v>460</v>
      </c>
      <c r="E21" s="465" t="s">
        <v>380</v>
      </c>
      <c r="F21" s="465" t="s">
        <v>237</v>
      </c>
      <c r="G21" s="465" t="s">
        <v>261</v>
      </c>
      <c r="H21" s="292"/>
      <c r="I21" s="292"/>
      <c r="J21" s="292"/>
      <c r="K21" s="292"/>
      <c r="L21" s="292">
        <v>29</v>
      </c>
      <c r="M21" s="292"/>
      <c r="N21" s="292"/>
      <c r="O21" s="292"/>
      <c r="P21" s="294"/>
      <c r="Q21" s="294"/>
      <c r="R21" s="294"/>
      <c r="S21" s="294"/>
      <c r="T21" s="294"/>
      <c r="U21" s="294"/>
      <c r="V21" s="431"/>
      <c r="W21" s="294"/>
      <c r="X21" s="294"/>
      <c r="Y21" s="294">
        <f>IF(NFI_Expiration=1,IF($A21&lt;VLOOKUP(H$5,NFI,5,0),1,0)*Table_NFI[[#This Row],[Hygiene Kit]],Table_NFI[Hygiene Kit])</f>
        <v>0</v>
      </c>
      <c r="Z21" s="294">
        <f>IF(NFI_Expiration=1,IF($A21&lt;VLOOKUP(I$5,NFI,5,0),1,0)*Table_NFI[[#This Row],[NFI Core Kit]],Table_NFI[NFI Core Kit])</f>
        <v>0</v>
      </c>
      <c r="AA21" s="294">
        <f>IF(NFI_Expiration=1,IF($A21&lt;VLOOKUP(J$5,NFI,5,0),1,0)*Table_NFI[[#This Row],[Sanitary Kit]],Table_NFI[Sanitary Kit])</f>
        <v>0</v>
      </c>
      <c r="AB21" s="294">
        <f>IF(NFI_Expiration=1,IF($A21&lt;VLOOKUP(K$5,NFI,5,0),1,0)*Table_NFI[[#This Row],[Mosquito net]],Table_NFI[Mosquito net])</f>
        <v>0</v>
      </c>
      <c r="AC21" s="294">
        <f>IF(NFI_Expiration=1,IF($A21&lt;VLOOKUP(L$5,NFI,5,0),1,0)*Table_NFI[[#This Row],[Tarpaulin]],Table_NFI[[#This Row],[Tarpaulin]])</f>
        <v>29</v>
      </c>
      <c r="AD21" s="294">
        <f>IF(NFI_Expiration=1,IF($A21&lt;VLOOKUP(M$5,NFI,5,0),1,0)*Table_NFI[[#This Row],[Blanket]],Table_NFI[[#This Row],[Blanket]])</f>
        <v>0</v>
      </c>
      <c r="AE21" s="294">
        <f>IF(NFI_Expiration=1,IF($A21&lt;VLOOKUP(N$5,NFI,5,0),1,0)*Table_NFI[[#This Row],[Kitchen Set]],Table_NFI[Kitchen Set])</f>
        <v>0</v>
      </c>
      <c r="AF21" s="294">
        <f>IF(NFI_Expiration=1,IF($A21&lt;VLOOKUP(O$5,NFI,5,0),1,0)*Table_NFI[[#This Row],[Clothes Kit]],Table_NFI[Clothes Kit])</f>
        <v>0</v>
      </c>
      <c r="AG21" s="294">
        <f>IF(NFI_Expiration=1,IF($A21&lt;VLOOKUP(P$5,NFI,5,0),1,0)*Table_NFI[[#This Row],[Plastic Bucket]],Table_NFI[Plastic Bucket])</f>
        <v>0</v>
      </c>
      <c r="AH21" s="294">
        <f>IF(NFI_Expiration=1,IF($A21&lt;VLOOKUP(Q$5,NFI,5,0),1,0)*Table_NFI[[#This Row],[Plastic Mat]],Table_NFI[Plastic Mat])*IF(Table_NFI[[#This Row],[Distribution Date]]&gt;"2014-04-01",1,2.5)</f>
        <v>0</v>
      </c>
      <c r="AI21" s="294">
        <f>IF(NFI_Expiration=1,IF($A21&lt;VLOOKUP(R$5,NFI,5,0),1,0)*Table_NFI[[#This Row],[Winter Clothes Adult]],Table_NFI[Winter Clothes Adult])</f>
        <v>0</v>
      </c>
      <c r="AJ21" s="294">
        <f>IF(NFI_Expiration=1,IF($A21&lt;VLOOKUP(S$5,NFI,5,0),1,0)*Table_NFI[[#This Row],[Winter Clothes Children]],Table_NFI[Winter Clothes Children])</f>
        <v>0</v>
      </c>
      <c r="AK21" s="294">
        <f>IF(NFI_Expiration=1,IF($A21&lt;VLOOKUP(T$5,NFI,5,0),1,0)*Table_NFI[[#This Row],[Winter Items Other]],Table_NFI[Winter Items Other])</f>
        <v>0</v>
      </c>
      <c r="AL21" s="294">
        <f>IF(NFI_Expiration=1,IF($A21&lt;VLOOKUP(M$5,NFI,5,0),1,0)*Table_NFI[[#This Row],[Winter Blanket]],Table_NFI[[#This Row],[Winter Blanket]])</f>
        <v>0</v>
      </c>
      <c r="AM21" s="294">
        <f>IF(Table_NFI[[#This Row],[Winter Clothes Adult]]+Table_NFI[[#This Row],[Winter Clothes Children]]+Table_NFI[[#This Row],[Winter Items Other]]+Table_NFI[[#This Row],[Winter Blanket]]&gt;0,1,0)</f>
        <v>0</v>
      </c>
      <c r="AN21" s="331">
        <f>IF(NFI_Expiration=1,IF($A21&lt;VLOOKUP(V$5,NFI,5,0),1,0)*Table_NFI[[#This Row],[Jerry Can]],Table_NFI[Jerry Can])</f>
        <v>0</v>
      </c>
      <c r="AO21" s="331">
        <f>IF(NFI_Expiration=1,IF($A21&lt;VLOOKUP(V$5,NFI,5,0),1,0)*Table_NFI[[#This Row],[Shelter Tool kit]],Table_NFI[Shelter Tool kit])</f>
        <v>0</v>
      </c>
      <c r="AP21" s="331">
        <f>IF(NFI_Expiration=1,IF($A21&lt;VLOOKUP(V$5,NFI,5,0),1,0)*Table_NFI[[#This Row],[Tent]],Table_NFI[Tent])</f>
        <v>0</v>
      </c>
      <c r="AQ21" s="467" t="str">
        <f>IFERROR(VLOOKUP(Table_NFI[[#This Row],[Camp Name]],CL,2,0),"")</f>
        <v>MMR001CMP008</v>
      </c>
      <c r="AR21" s="835">
        <f ca="1">IF(Table_NFI[[#This Row],[Pcode]]="","",IF(OFFSET(CampList[Opening Date],MATCH(Table_NFI[[#This Row],[Pcode]],CampList[CP_Pcode],0)-1,0,1,1)&gt;=NFI_Monitor_Date,1,0))</f>
        <v>0</v>
      </c>
      <c r="AS21" s="467" t="str">
        <f>IFERROR(VLOOKUP(Table_NFI[[#This Row],[Camp Name]],CL,3,0),"")</f>
        <v>Open</v>
      </c>
      <c r="AT21" s="294" t="str">
        <f ca="1">IF(Table_NFI[[#This Row],[Pcode]]="","",OFFSET(CampList[Priority],MATCH(Table_NFI[[#This Row],[Pcode]],CampList[CP_Pcode],0)-1,0,1,1))</f>
        <v>P4</v>
      </c>
      <c r="AU21" s="293">
        <f>IFERROR(Table_NFI[[#This Row],[Kitchen Set]]/VLOOKUP(Table_NFI[[#This Row],[Camp Name]],CL,4,0),"")</f>
        <v>0</v>
      </c>
      <c r="AV21" s="465"/>
      <c r="AW21" s="468"/>
    </row>
    <row r="22" spans="1:49" s="464" customFormat="1" ht="15" customHeight="1" x14ac:dyDescent="0.25">
      <c r="A22" s="297">
        <f t="shared" si="0"/>
        <v>4.7333333333333334</v>
      </c>
      <c r="B22" s="460">
        <v>42594</v>
      </c>
      <c r="C22" s="465" t="s">
        <v>1582</v>
      </c>
      <c r="D22" s="465" t="s">
        <v>1582</v>
      </c>
      <c r="E22" s="465" t="s">
        <v>553</v>
      </c>
      <c r="F22" s="465" t="s">
        <v>1502</v>
      </c>
      <c r="G22" s="465" t="s">
        <v>1499</v>
      </c>
      <c r="H22" s="292"/>
      <c r="I22" s="292"/>
      <c r="J22" s="292"/>
      <c r="K22" s="292"/>
      <c r="L22" s="292">
        <v>38</v>
      </c>
      <c r="M22" s="292"/>
      <c r="N22" s="292"/>
      <c r="O22" s="292"/>
      <c r="P22" s="294"/>
      <c r="Q22" s="294"/>
      <c r="R22" s="294"/>
      <c r="S22" s="294"/>
      <c r="T22" s="294"/>
      <c r="U22" s="294"/>
      <c r="V22" s="431"/>
      <c r="W22" s="294"/>
      <c r="X22" s="294"/>
      <c r="Y22" s="294">
        <f>IF(NFI_Expiration=1,IF($A22&lt;VLOOKUP(H$5,NFI,5,0),1,0)*Table_NFI[[#This Row],[Hygiene Kit]],Table_NFI[Hygiene Kit])</f>
        <v>0</v>
      </c>
      <c r="Z22" s="294">
        <f>IF(NFI_Expiration=1,IF($A22&lt;VLOOKUP(I$5,NFI,5,0),1,0)*Table_NFI[[#This Row],[NFI Core Kit]],Table_NFI[NFI Core Kit])</f>
        <v>0</v>
      </c>
      <c r="AA22" s="294">
        <f>IF(NFI_Expiration=1,IF($A22&lt;VLOOKUP(J$5,NFI,5,0),1,0)*Table_NFI[[#This Row],[Sanitary Kit]],Table_NFI[Sanitary Kit])</f>
        <v>0</v>
      </c>
      <c r="AB22" s="294">
        <f>IF(NFI_Expiration=1,IF($A22&lt;VLOOKUP(K$5,NFI,5,0),1,0)*Table_NFI[[#This Row],[Mosquito net]],Table_NFI[Mosquito net])</f>
        <v>0</v>
      </c>
      <c r="AC22" s="294">
        <f>IF(NFI_Expiration=1,IF($A22&lt;VLOOKUP(L$5,NFI,5,0),1,0)*Table_NFI[[#This Row],[Tarpaulin]],Table_NFI[[#This Row],[Tarpaulin]])</f>
        <v>38</v>
      </c>
      <c r="AD22" s="294">
        <f>IF(NFI_Expiration=1,IF($A22&lt;VLOOKUP(M$5,NFI,5,0),1,0)*Table_NFI[[#This Row],[Blanket]],Table_NFI[[#This Row],[Blanket]])</f>
        <v>0</v>
      </c>
      <c r="AE22" s="294">
        <f>IF(NFI_Expiration=1,IF($A22&lt;VLOOKUP(N$5,NFI,5,0),1,0)*Table_NFI[[#This Row],[Kitchen Set]],Table_NFI[Kitchen Set])</f>
        <v>0</v>
      </c>
      <c r="AF22" s="294">
        <f>IF(NFI_Expiration=1,IF($A22&lt;VLOOKUP(O$5,NFI,5,0),1,0)*Table_NFI[[#This Row],[Clothes Kit]],Table_NFI[Clothes Kit])</f>
        <v>0</v>
      </c>
      <c r="AG22" s="294">
        <f>IF(NFI_Expiration=1,IF($A22&lt;VLOOKUP(P$5,NFI,5,0),1,0)*Table_NFI[[#This Row],[Plastic Bucket]],Table_NFI[Plastic Bucket])</f>
        <v>0</v>
      </c>
      <c r="AH22" s="294">
        <f>IF(NFI_Expiration=1,IF($A22&lt;VLOOKUP(Q$5,NFI,5,0),1,0)*Table_NFI[[#This Row],[Plastic Mat]],Table_NFI[Plastic Mat])*IF(Table_NFI[[#This Row],[Distribution Date]]&gt;"2014-04-01",1,2.5)</f>
        <v>0</v>
      </c>
      <c r="AI22" s="294">
        <f>IF(NFI_Expiration=1,IF($A22&lt;VLOOKUP(R$5,NFI,5,0),1,0)*Table_NFI[[#This Row],[Winter Clothes Adult]],Table_NFI[Winter Clothes Adult])</f>
        <v>0</v>
      </c>
      <c r="AJ22" s="294">
        <f>IF(NFI_Expiration=1,IF($A22&lt;VLOOKUP(S$5,NFI,5,0),1,0)*Table_NFI[[#This Row],[Winter Clothes Children]],Table_NFI[Winter Clothes Children])</f>
        <v>0</v>
      </c>
      <c r="AK22" s="294">
        <f>IF(NFI_Expiration=1,IF($A22&lt;VLOOKUP(T$5,NFI,5,0),1,0)*Table_NFI[[#This Row],[Winter Items Other]],Table_NFI[Winter Items Other])</f>
        <v>0</v>
      </c>
      <c r="AL22" s="294">
        <f>IF(NFI_Expiration=1,IF($A22&lt;VLOOKUP(M$5,NFI,5,0),1,0)*Table_NFI[[#This Row],[Winter Blanket]],Table_NFI[[#This Row],[Winter Blanket]])</f>
        <v>0</v>
      </c>
      <c r="AM22" s="294">
        <f>IF(Table_NFI[[#This Row],[Winter Clothes Adult]]+Table_NFI[[#This Row],[Winter Clothes Children]]+Table_NFI[[#This Row],[Winter Items Other]]+Table_NFI[[#This Row],[Winter Blanket]]&gt;0,1,0)</f>
        <v>0</v>
      </c>
      <c r="AN22" s="331">
        <f>IF(NFI_Expiration=1,IF($A22&lt;VLOOKUP(V$5,NFI,5,0),1,0)*Table_NFI[[#This Row],[Jerry Can]],Table_NFI[Jerry Can])</f>
        <v>0</v>
      </c>
      <c r="AO22" s="331">
        <f>IF(NFI_Expiration=1,IF($A22&lt;VLOOKUP(V$5,NFI,5,0),1,0)*Table_NFI[[#This Row],[Shelter Tool kit]],Table_NFI[Shelter Tool kit])</f>
        <v>0</v>
      </c>
      <c r="AP22" s="331">
        <f>IF(NFI_Expiration=1,IF($A22&lt;VLOOKUP(V$5,NFI,5,0),1,0)*Table_NFI[[#This Row],[Tent]],Table_NFI[Tent])</f>
        <v>0</v>
      </c>
      <c r="AQ22" s="467" t="str">
        <f>IFERROR(VLOOKUP(Table_NFI[[#This Row],[Camp Name]],CL,2,0),"")</f>
        <v>MMR015CMP244</v>
      </c>
      <c r="AR22" s="835">
        <f ca="1">IF(Table_NFI[[#This Row],[Pcode]]="","",IF(OFFSET(CampList[Opening Date],MATCH(Table_NFI[[#This Row],[Pcode]],CampList[CP_Pcode],0)-1,0,1,1)&gt;=NFI_Monitor_Date,1,0))</f>
        <v>0</v>
      </c>
      <c r="AS22" s="467" t="str">
        <f>IFERROR(VLOOKUP(Table_NFI[[#This Row],[Camp Name]],CL,3,0),"")</f>
        <v>Open</v>
      </c>
      <c r="AT22" s="294">
        <f ca="1">IF(Table_NFI[[#This Row],[Pcode]]="","",OFFSET(CampList[Priority],MATCH(Table_NFI[[#This Row],[Pcode]],CampList[CP_Pcode],0)-1,0,1,1))</f>
        <v>0</v>
      </c>
      <c r="AU22" s="293" t="str">
        <f>IFERROR(Table_NFI[[#This Row],[Kitchen Set]]/VLOOKUP(Table_NFI[[#This Row],[Camp Name]],CL,4,0),"")</f>
        <v/>
      </c>
      <c r="AV22" s="461"/>
      <c r="AW22" s="468" t="s">
        <v>1583</v>
      </c>
    </row>
    <row r="23" spans="1:49" s="464" customFormat="1" ht="15" customHeight="1" x14ac:dyDescent="0.25">
      <c r="A23" s="297">
        <f t="shared" si="0"/>
        <v>4.8</v>
      </c>
      <c r="B23" s="460">
        <v>42592</v>
      </c>
      <c r="C23" s="465" t="s">
        <v>452</v>
      </c>
      <c r="D23" s="465" t="s">
        <v>460</v>
      </c>
      <c r="E23" s="465" t="s">
        <v>380</v>
      </c>
      <c r="F23" s="465" t="s">
        <v>527</v>
      </c>
      <c r="G23" s="465" t="s">
        <v>269</v>
      </c>
      <c r="H23" s="292"/>
      <c r="I23" s="292">
        <v>4</v>
      </c>
      <c r="J23" s="292">
        <v>4</v>
      </c>
      <c r="K23" s="292">
        <v>10</v>
      </c>
      <c r="L23" s="292">
        <v>117</v>
      </c>
      <c r="M23" s="292">
        <v>10</v>
      </c>
      <c r="N23" s="292">
        <v>4</v>
      </c>
      <c r="O23" s="292"/>
      <c r="P23" s="294">
        <v>8</v>
      </c>
      <c r="Q23" s="294">
        <v>16</v>
      </c>
      <c r="R23" s="294"/>
      <c r="S23" s="294"/>
      <c r="T23" s="294"/>
      <c r="U23" s="294"/>
      <c r="V23" s="331">
        <v>4</v>
      </c>
      <c r="W23" s="294"/>
      <c r="X23" s="294"/>
      <c r="Y23" s="294"/>
      <c r="Z23" s="294"/>
      <c r="AA23" s="294"/>
      <c r="AB23" s="294"/>
      <c r="AC23" s="294"/>
      <c r="AD23" s="294"/>
      <c r="AE23" s="294"/>
      <c r="AF23" s="294"/>
      <c r="AG23" s="294"/>
      <c r="AH23" s="294"/>
      <c r="AI23" s="294"/>
      <c r="AJ23" s="294"/>
      <c r="AK23" s="294"/>
      <c r="AL23" s="294"/>
      <c r="AM23" s="294"/>
      <c r="AN23" s="331"/>
      <c r="AO23" s="331">
        <f>IF(NFI_Expiration=1,IF($A23&lt;VLOOKUP(V$5,NFI,5,0),1,0)*Table_NFI[[#This Row],[Shelter Tool kit]],Table_NFI[Shelter Tool kit])</f>
        <v>0</v>
      </c>
      <c r="AP23" s="331">
        <f>IF(NFI_Expiration=1,IF($A23&lt;VLOOKUP(V$5,NFI,5,0),1,0)*Table_NFI[[#This Row],[Tent]],Table_NFI[Tent])</f>
        <v>0</v>
      </c>
      <c r="AQ23" s="467" t="str">
        <f>IFERROR(VLOOKUP(Table_NFI[[#This Row],[Camp Name]],CL,2,0),"")</f>
        <v>MMR001CMP002</v>
      </c>
      <c r="AR23" s="835">
        <f ca="1">IF(Table_NFI[[#This Row],[Pcode]]="","",IF(OFFSET(CampList[Opening Date],MATCH(Table_NFI[[#This Row],[Pcode]],CampList[CP_Pcode],0)-1,0,1,1)&gt;=NFI_Monitor_Date,1,0))</f>
        <v>0</v>
      </c>
      <c r="AS23" s="467" t="str">
        <f>IFERROR(VLOOKUP(Table_NFI[[#This Row],[Camp Name]],CL,3,0),"")</f>
        <v>Open</v>
      </c>
      <c r="AT23" s="294"/>
      <c r="AU23" s="293"/>
      <c r="AV23" s="461"/>
      <c r="AW23" s="468" t="s">
        <v>1462</v>
      </c>
    </row>
    <row r="24" spans="1:49" s="464" customFormat="1" ht="15" customHeight="1" x14ac:dyDescent="0.25">
      <c r="A24" s="297">
        <f t="shared" si="0"/>
        <v>4.9333333333333336</v>
      </c>
      <c r="B24" s="460">
        <v>42588</v>
      </c>
      <c r="C24" s="465" t="s">
        <v>452</v>
      </c>
      <c r="D24" s="465" t="s">
        <v>506</v>
      </c>
      <c r="E24" s="465" t="s">
        <v>380</v>
      </c>
      <c r="F24" s="465" t="s">
        <v>527</v>
      </c>
      <c r="G24" s="465" t="s">
        <v>1445</v>
      </c>
      <c r="H24" s="292"/>
      <c r="I24" s="292">
        <v>21</v>
      </c>
      <c r="J24" s="292">
        <v>21</v>
      </c>
      <c r="K24" s="292">
        <v>27</v>
      </c>
      <c r="L24" s="292">
        <v>21</v>
      </c>
      <c r="M24" s="292">
        <v>30</v>
      </c>
      <c r="N24" s="292">
        <v>21</v>
      </c>
      <c r="O24" s="292"/>
      <c r="P24" s="294">
        <v>21</v>
      </c>
      <c r="Q24" s="294">
        <v>33</v>
      </c>
      <c r="R24" s="294"/>
      <c r="S24" s="294"/>
      <c r="T24" s="294"/>
      <c r="U24" s="294"/>
      <c r="V24" s="331">
        <v>21</v>
      </c>
      <c r="W24" s="294"/>
      <c r="X24" s="294"/>
      <c r="Y24" s="294">
        <f>IF(NFI_Expiration=1,IF($A24&lt;VLOOKUP(H$5,NFI,5,0),1,0)*Table_NFI[[#This Row],[Hygiene Kit]],Table_NFI[Hygiene Kit])</f>
        <v>0</v>
      </c>
      <c r="Z24" s="294">
        <f>IF(NFI_Expiration=1,IF($A24&lt;VLOOKUP(I$5,NFI,5,0),1,0)*Table_NFI[[#This Row],[NFI Core Kit]],Table_NFI[NFI Core Kit])</f>
        <v>21</v>
      </c>
      <c r="AA24" s="294">
        <f>IF(NFI_Expiration=1,IF($A24&lt;VLOOKUP(J$5,NFI,5,0),1,0)*Table_NFI[[#This Row],[Sanitary Kit]],Table_NFI[Sanitary Kit])</f>
        <v>21</v>
      </c>
      <c r="AB24" s="294">
        <f>IF(NFI_Expiration=1,IF($A24&lt;VLOOKUP(K$5,NFI,5,0),1,0)*Table_NFI[[#This Row],[Mosquito net]],Table_NFI[Mosquito net])</f>
        <v>27</v>
      </c>
      <c r="AC24" s="294">
        <f>IF(NFI_Expiration=1,IF($A24&lt;VLOOKUP(L$5,NFI,5,0),1,0)*Table_NFI[[#This Row],[Tarpaulin]],Table_NFI[[#This Row],[Tarpaulin]])</f>
        <v>21</v>
      </c>
      <c r="AD24" s="294">
        <f>IF(NFI_Expiration=1,IF($A24&lt;VLOOKUP(M$5,NFI,5,0),1,0)*Table_NFI[[#This Row],[Blanket]],Table_NFI[[#This Row],[Blanket]])</f>
        <v>30</v>
      </c>
      <c r="AE24" s="294">
        <f>IF(NFI_Expiration=1,IF($A24&lt;VLOOKUP(N$5,NFI,5,0),1,0)*Table_NFI[[#This Row],[Kitchen Set]],Table_NFI[Kitchen Set])</f>
        <v>21</v>
      </c>
      <c r="AF24" s="294">
        <f>IF(NFI_Expiration=1,IF($A24&lt;VLOOKUP(O$5,NFI,5,0),1,0)*Table_NFI[[#This Row],[Clothes Kit]],Table_NFI[Clothes Kit])</f>
        <v>0</v>
      </c>
      <c r="AG24" s="294">
        <f>IF(NFI_Expiration=1,IF($A24&lt;VLOOKUP(P$5,NFI,5,0),1,0)*Table_NFI[[#This Row],[Plastic Bucket]],Table_NFI[Plastic Bucket])</f>
        <v>21</v>
      </c>
      <c r="AH24" s="294">
        <f>IF(NFI_Expiration=1,IF($A24&lt;VLOOKUP(Q$5,NFI,5,0),1,0)*Table_NFI[[#This Row],[Plastic Mat]],Table_NFI[Plastic Mat])*IF(Table_NFI[[#This Row],[Distribution Date]]&gt;"2014-04-01",1,2.5)</f>
        <v>82.5</v>
      </c>
      <c r="AI24" s="294">
        <f>IF(NFI_Expiration=1,IF($A24&lt;VLOOKUP(R$5,NFI,5,0),1,0)*Table_NFI[[#This Row],[Winter Clothes Adult]],Table_NFI[Winter Clothes Adult])</f>
        <v>0</v>
      </c>
      <c r="AJ24" s="294">
        <f>IF(NFI_Expiration=1,IF($A24&lt;VLOOKUP(S$5,NFI,5,0),1,0)*Table_NFI[[#This Row],[Winter Clothes Children]],Table_NFI[Winter Clothes Children])</f>
        <v>0</v>
      </c>
      <c r="AK24" s="294">
        <f>IF(NFI_Expiration=1,IF($A24&lt;VLOOKUP(T$5,NFI,5,0),1,0)*Table_NFI[[#This Row],[Winter Items Other]],Table_NFI[Winter Items Other])</f>
        <v>0</v>
      </c>
      <c r="AL24" s="294">
        <f>IF(NFI_Expiration=1,IF($A24&lt;VLOOKUP(M$5,NFI,5,0),1,0)*Table_NFI[[#This Row],[Winter Blanket]],Table_NFI[[#This Row],[Winter Blanket]])</f>
        <v>0</v>
      </c>
      <c r="AM24" s="294">
        <f>IF(Table_NFI[[#This Row],[Winter Clothes Adult]]+Table_NFI[[#This Row],[Winter Clothes Children]]+Table_NFI[[#This Row],[Winter Items Other]]+Table_NFI[[#This Row],[Winter Blanket]]&gt;0,1,0)</f>
        <v>0</v>
      </c>
      <c r="AN24" s="331">
        <f>IF(NFI_Expiration=1,IF($A24&lt;VLOOKUP(V$5,NFI,5,0),1,0)*Table_NFI[[#This Row],[Jerry Can]],Table_NFI[Jerry Can])</f>
        <v>21</v>
      </c>
      <c r="AO24" s="331">
        <f>IF(NFI_Expiration=1,IF($A24&lt;VLOOKUP(V$5,NFI,5,0),1,0)*Table_NFI[[#This Row],[Shelter Tool kit]],Table_NFI[Shelter Tool kit])</f>
        <v>0</v>
      </c>
      <c r="AP24" s="331">
        <f>IF(NFI_Expiration=1,IF($A24&lt;VLOOKUP(V$5,NFI,5,0),1,0)*Table_NFI[[#This Row],[Tent]],Table_NFI[Tent])</f>
        <v>0</v>
      </c>
      <c r="AQ24" s="467" t="str">
        <f>IFERROR(VLOOKUP(Table_NFI[[#This Row],[Camp Name]],CL,2,0),"")</f>
        <v>MMR001CMP243</v>
      </c>
      <c r="AR24" s="835">
        <f ca="1">IF(Table_NFI[[#This Row],[Pcode]]="","",IF(OFFSET(CampList[Opening Date],MATCH(Table_NFI[[#This Row],[Pcode]],CampList[CP_Pcode],0)-1,0,1,1)&gt;=NFI_Monitor_Date,1,0))</f>
        <v>1</v>
      </c>
      <c r="AS24" s="467" t="str">
        <f>IFERROR(VLOOKUP(Table_NFI[[#This Row],[Camp Name]],CL,3,0),"")</f>
        <v>Open</v>
      </c>
      <c r="AT24" s="294">
        <f ca="1">IF(Table_NFI[[#This Row],[Pcode]]="","",OFFSET(CampList[Priority],MATCH(Table_NFI[[#This Row],[Pcode]],CampList[CP_Pcode],0)-1,0,1,1))</f>
        <v>0</v>
      </c>
      <c r="AU24" s="293">
        <f>IFERROR(Table_NFI[[#This Row],[Kitchen Set]]/VLOOKUP(Table_NFI[[#This Row],[Camp Name]],CL,4,0),"")</f>
        <v>4.931429644937066E-4</v>
      </c>
      <c r="AV24" s="461"/>
      <c r="AW24" s="468"/>
    </row>
    <row r="25" spans="1:49" s="464" customFormat="1" ht="14.45" customHeight="1" x14ac:dyDescent="0.25">
      <c r="A25" s="297">
        <f t="shared" si="0"/>
        <v>4.9333333333333336</v>
      </c>
      <c r="B25" s="460">
        <v>42588</v>
      </c>
      <c r="C25" s="465" t="s">
        <v>452</v>
      </c>
      <c r="D25" s="465" t="s">
        <v>1356</v>
      </c>
      <c r="E25" s="465" t="s">
        <v>380</v>
      </c>
      <c r="F25" s="465" t="s">
        <v>527</v>
      </c>
      <c r="G25" s="465" t="s">
        <v>1445</v>
      </c>
      <c r="H25" s="292"/>
      <c r="I25" s="292">
        <v>21</v>
      </c>
      <c r="J25" s="292">
        <v>21</v>
      </c>
      <c r="K25" s="292">
        <v>27</v>
      </c>
      <c r="L25" s="292">
        <v>21</v>
      </c>
      <c r="M25" s="292">
        <v>30</v>
      </c>
      <c r="N25" s="292">
        <v>21</v>
      </c>
      <c r="O25" s="292"/>
      <c r="P25" s="294">
        <v>21</v>
      </c>
      <c r="Q25" s="294">
        <v>33</v>
      </c>
      <c r="R25" s="294"/>
      <c r="S25" s="294"/>
      <c r="T25" s="294"/>
      <c r="U25" s="294"/>
      <c r="V25" s="331">
        <v>21</v>
      </c>
      <c r="W25" s="294"/>
      <c r="X25" s="294"/>
      <c r="Y25" s="294"/>
      <c r="Z25" s="294"/>
      <c r="AA25" s="294"/>
      <c r="AB25" s="294"/>
      <c r="AC25" s="294"/>
      <c r="AD25" s="294"/>
      <c r="AE25" s="294"/>
      <c r="AF25" s="294"/>
      <c r="AG25" s="294"/>
      <c r="AH25" s="294"/>
      <c r="AI25" s="294"/>
      <c r="AJ25" s="294"/>
      <c r="AK25" s="294"/>
      <c r="AL25" s="294"/>
      <c r="AM25" s="294"/>
      <c r="AN25" s="331"/>
      <c r="AO25" s="331"/>
      <c r="AP25" s="331"/>
      <c r="AQ25" s="467"/>
      <c r="AR25" s="835" t="str">
        <f ca="1">IF(Table_NFI[[#This Row],[Pcode]]="","",IF(OFFSET(CampList[Opening Date],MATCH(Table_NFI[[#This Row],[Pcode]],CampList[CP_Pcode],0)-1,0,1,1)&gt;=NFI_Monitor_Date,1,0))</f>
        <v/>
      </c>
      <c r="AS25" s="467" t="str">
        <f>IFERROR(VLOOKUP(Table_NFI[[#This Row],[Camp Name]],CL,3,0),"")</f>
        <v>Open</v>
      </c>
      <c r="AT25" s="294"/>
      <c r="AU25" s="293"/>
      <c r="AV25" s="461"/>
      <c r="AW25" s="468"/>
    </row>
    <row r="26" spans="1:49" s="464" customFormat="1" x14ac:dyDescent="0.25">
      <c r="A26" s="297">
        <f t="shared" si="0"/>
        <v>4.9333333333333336</v>
      </c>
      <c r="B26" s="460">
        <v>42588</v>
      </c>
      <c r="C26" s="461" t="s">
        <v>452</v>
      </c>
      <c r="D26" s="465" t="s">
        <v>506</v>
      </c>
      <c r="E26" s="465" t="s">
        <v>380</v>
      </c>
      <c r="F26" s="465" t="s">
        <v>527</v>
      </c>
      <c r="G26" s="465" t="s">
        <v>1447</v>
      </c>
      <c r="H26" s="292"/>
      <c r="I26" s="292">
        <v>25</v>
      </c>
      <c r="J26" s="292">
        <v>25</v>
      </c>
      <c r="K26" s="292">
        <v>38</v>
      </c>
      <c r="L26" s="292">
        <v>25</v>
      </c>
      <c r="M26" s="292">
        <v>49</v>
      </c>
      <c r="N26" s="292">
        <v>25</v>
      </c>
      <c r="O26" s="292"/>
      <c r="P26" s="294">
        <v>25</v>
      </c>
      <c r="Q26" s="294">
        <v>47</v>
      </c>
      <c r="R26" s="294"/>
      <c r="S26" s="294"/>
      <c r="T26" s="294"/>
      <c r="U26" s="294"/>
      <c r="V26" s="331">
        <v>25</v>
      </c>
      <c r="W26" s="294"/>
      <c r="X26" s="294"/>
      <c r="Y26" s="294"/>
      <c r="Z26" s="294"/>
      <c r="AA26" s="294"/>
      <c r="AB26" s="294"/>
      <c r="AC26" s="294"/>
      <c r="AD26" s="294"/>
      <c r="AE26" s="294"/>
      <c r="AF26" s="294"/>
      <c r="AG26" s="294"/>
      <c r="AH26" s="294"/>
      <c r="AI26" s="294"/>
      <c r="AJ26" s="294"/>
      <c r="AK26" s="294"/>
      <c r="AL26" s="294"/>
      <c r="AM26" s="294"/>
      <c r="AN26" s="331"/>
      <c r="AO26" s="331">
        <f>IF(NFI_Expiration=1,IF($A26&lt;VLOOKUP(V$5,NFI,5,0),1,0)*Table_NFI[[#This Row],[Shelter Tool kit]],Table_NFI[Shelter Tool kit])</f>
        <v>0</v>
      </c>
      <c r="AP26" s="331">
        <f>IF(NFI_Expiration=1,IF($A26&lt;VLOOKUP(V$5,NFI,5,0),1,0)*Table_NFI[[#This Row],[Tent]],Table_NFI[Tent])</f>
        <v>0</v>
      </c>
      <c r="AQ26" s="467" t="str">
        <f>IFERROR(VLOOKUP(Table_NFI[[#This Row],[Camp Name]],CL,2,0),"")</f>
        <v>MMR001CMP247</v>
      </c>
      <c r="AR26" s="835">
        <f ca="1">IF(Table_NFI[[#This Row],[Pcode]]="","",IF(OFFSET(CampList[Opening Date],MATCH(Table_NFI[[#This Row],[Pcode]],CampList[CP_Pcode],0)-1,0,1,1)&gt;=NFI_Monitor_Date,1,0))</f>
        <v>1</v>
      </c>
      <c r="AS26" s="467" t="str">
        <f>IFERROR(VLOOKUP(Table_NFI[[#This Row],[Camp Name]],CL,3,0),"")</f>
        <v>Open</v>
      </c>
      <c r="AT26" s="294">
        <f ca="1">IF(Table_NFI[[#This Row],[Pcode]]="","",OFFSET(CampList[Priority],MATCH(Table_NFI[[#This Row],[Pcode]],CampList[CP_Pcode],0)-1,0,1,1))</f>
        <v>0</v>
      </c>
      <c r="AU26" s="293">
        <f>IFERROR(Table_NFI[[#This Row],[Kitchen Set]]/VLOOKUP(Table_NFI[[#This Row],[Camp Name]],CL,4,0),"")</f>
        <v>5.8707495773060309E-4</v>
      </c>
      <c r="AV26" s="461" t="s">
        <v>1092</v>
      </c>
      <c r="AW26" s="468" t="s">
        <v>1337</v>
      </c>
    </row>
    <row r="27" spans="1:49" s="464" customFormat="1" ht="16.5" customHeight="1" x14ac:dyDescent="0.25">
      <c r="A27" s="297">
        <f t="shared" si="0"/>
        <v>4.9333333333333336</v>
      </c>
      <c r="B27" s="460">
        <v>42588</v>
      </c>
      <c r="C27" s="461" t="s">
        <v>452</v>
      </c>
      <c r="D27" s="465" t="s">
        <v>506</v>
      </c>
      <c r="E27" s="465" t="s">
        <v>380</v>
      </c>
      <c r="F27" s="465" t="s">
        <v>527</v>
      </c>
      <c r="G27" s="465" t="s">
        <v>1448</v>
      </c>
      <c r="H27" s="292"/>
      <c r="I27" s="292">
        <v>7</v>
      </c>
      <c r="J27" s="292">
        <v>7</v>
      </c>
      <c r="K27" s="292">
        <v>7</v>
      </c>
      <c r="L27" s="292">
        <v>7</v>
      </c>
      <c r="M27" s="292">
        <v>9</v>
      </c>
      <c r="N27" s="292">
        <v>7</v>
      </c>
      <c r="O27" s="292"/>
      <c r="P27" s="294">
        <v>7</v>
      </c>
      <c r="Q27" s="294">
        <v>11</v>
      </c>
      <c r="R27" s="294"/>
      <c r="S27" s="294"/>
      <c r="T27" s="294"/>
      <c r="U27" s="294"/>
      <c r="V27" s="331">
        <v>7</v>
      </c>
      <c r="W27" s="294"/>
      <c r="X27" s="294"/>
      <c r="Y27" s="294">
        <f>IF(NFI_Expiration=1,IF($A27&lt;VLOOKUP(H$5,NFI,5,0),1,0)*Table_NFI[[#This Row],[Hygiene Kit]],Table_NFI[Hygiene Kit])</f>
        <v>0</v>
      </c>
      <c r="Z27" s="294">
        <f>IF(NFI_Expiration=1,IF($A27&lt;VLOOKUP(I$5,NFI,5,0),1,0)*Table_NFI[[#This Row],[NFI Core Kit]],Table_NFI[NFI Core Kit])</f>
        <v>7</v>
      </c>
      <c r="AA27" s="294">
        <f>IF(NFI_Expiration=1,IF($A27&lt;VLOOKUP(J$5,NFI,5,0),1,0)*Table_NFI[[#This Row],[Sanitary Kit]],Table_NFI[Sanitary Kit])</f>
        <v>7</v>
      </c>
      <c r="AB27" s="294">
        <f>IF(NFI_Expiration=1,IF($A27&lt;VLOOKUP(K$5,NFI,5,0),1,0)*Table_NFI[[#This Row],[Mosquito net]],Table_NFI[Mosquito net])</f>
        <v>7</v>
      </c>
      <c r="AC27" s="294">
        <f>IF(NFI_Expiration=1,IF($A27&lt;VLOOKUP(L$5,NFI,5,0),1,0)*Table_NFI[[#This Row],[Tarpaulin]],Table_NFI[[#This Row],[Tarpaulin]])</f>
        <v>7</v>
      </c>
      <c r="AD27" s="294">
        <f>IF(NFI_Expiration=1,IF($A27&lt;VLOOKUP(M$5,NFI,5,0),1,0)*Table_NFI[[#This Row],[Blanket]],Table_NFI[[#This Row],[Blanket]])</f>
        <v>9</v>
      </c>
      <c r="AE27" s="294">
        <f>IF(NFI_Expiration=1,IF($A27&lt;VLOOKUP(N$5,NFI,5,0),1,0)*Table_NFI[[#This Row],[Kitchen Set]],Table_NFI[Kitchen Set])</f>
        <v>7</v>
      </c>
      <c r="AF27" s="294">
        <f>IF(NFI_Expiration=1,IF($A27&lt;VLOOKUP(O$5,NFI,5,0),1,0)*Table_NFI[[#This Row],[Clothes Kit]],Table_NFI[Clothes Kit])</f>
        <v>0</v>
      </c>
      <c r="AG27" s="294">
        <f>IF(NFI_Expiration=1,IF($A27&lt;VLOOKUP(P$5,NFI,5,0),1,0)*Table_NFI[[#This Row],[Plastic Bucket]],Table_NFI[Plastic Bucket])</f>
        <v>7</v>
      </c>
      <c r="AH27" s="294">
        <f>IF(NFI_Expiration=1,IF($A27&lt;VLOOKUP(Q$5,NFI,5,0),1,0)*Table_NFI[[#This Row],[Plastic Mat]],Table_NFI[Plastic Mat])*IF(Table_NFI[[#This Row],[Distribution Date]]&gt;"2014-04-01",1,2.5)</f>
        <v>27.5</v>
      </c>
      <c r="AI27" s="294">
        <f>IF(NFI_Expiration=1,IF($A27&lt;VLOOKUP(R$5,NFI,5,0),1,0)*Table_NFI[[#This Row],[Winter Clothes Adult]],Table_NFI[Winter Clothes Adult])</f>
        <v>0</v>
      </c>
      <c r="AJ27" s="294">
        <f>IF(NFI_Expiration=1,IF($A27&lt;VLOOKUP(S$5,NFI,5,0),1,0)*Table_NFI[[#This Row],[Winter Clothes Children]],Table_NFI[Winter Clothes Children])</f>
        <v>0</v>
      </c>
      <c r="AK27" s="294">
        <f>IF(NFI_Expiration=1,IF($A27&lt;VLOOKUP(T$5,NFI,5,0),1,0)*Table_NFI[[#This Row],[Winter Items Other]],Table_NFI[Winter Items Other])</f>
        <v>0</v>
      </c>
      <c r="AL27" s="294">
        <f>IF(NFI_Expiration=1,IF($A27&lt;VLOOKUP(M$5,NFI,5,0),1,0)*Table_NFI[[#This Row],[Winter Blanket]],Table_NFI[[#This Row],[Winter Blanket]])</f>
        <v>0</v>
      </c>
      <c r="AM27" s="294">
        <f>IF(Table_NFI[[#This Row],[Winter Clothes Adult]]+Table_NFI[[#This Row],[Winter Clothes Children]]+Table_NFI[[#This Row],[Winter Items Other]]+Table_NFI[[#This Row],[Winter Blanket]]&gt;0,1,0)</f>
        <v>0</v>
      </c>
      <c r="AN27" s="331">
        <f>IF(NFI_Expiration=1,IF($A27&lt;VLOOKUP(V$5,NFI,5,0),1,0)*Table_NFI[[#This Row],[Jerry Can]],Table_NFI[Jerry Can])</f>
        <v>7</v>
      </c>
      <c r="AO27" s="331">
        <f>IF(NFI_Expiration=1,IF($A27&lt;VLOOKUP(V$5,NFI,5,0),1,0)*Table_NFI[[#This Row],[Shelter Tool kit]],Table_NFI[Shelter Tool kit])</f>
        <v>0</v>
      </c>
      <c r="AP27" s="331">
        <f>IF(NFI_Expiration=1,IF($A27&lt;VLOOKUP(V$5,NFI,5,0),1,0)*Table_NFI[[#This Row],[Tent]],Table_NFI[Tent])</f>
        <v>0</v>
      </c>
      <c r="AQ27" s="467" t="str">
        <f>IFERROR(VLOOKUP(Table_NFI[[#This Row],[Camp Name]],CL,2,0),"")</f>
        <v>MMR001CMP246</v>
      </c>
      <c r="AR27" s="835">
        <f ca="1">IF(Table_NFI[[#This Row],[Pcode]]="","",IF(OFFSET(CampList[Opening Date],MATCH(Table_NFI[[#This Row],[Pcode]],CampList[CP_Pcode],0)-1,0,1,1)&gt;=NFI_Monitor_Date,1,0))</f>
        <v>1</v>
      </c>
      <c r="AS27" s="467" t="str">
        <f>IFERROR(VLOOKUP(Table_NFI[[#This Row],[Camp Name]],CL,3,0),"")</f>
        <v>Open</v>
      </c>
      <c r="AT27" s="294">
        <f ca="1">IF(Table_NFI[[#This Row],[Pcode]]="","",OFFSET(CampList[Priority],MATCH(Table_NFI[[#This Row],[Pcode]],CampList[CP_Pcode],0)-1,0,1,1))</f>
        <v>0</v>
      </c>
      <c r="AU27" s="293">
        <f>IFERROR(Table_NFI[[#This Row],[Kitchen Set]]/VLOOKUP(Table_NFI[[#This Row],[Camp Name]],CL,4,0),"")</f>
        <v>1.6438098816456886E-4</v>
      </c>
      <c r="AV27" s="461" t="s">
        <v>1092</v>
      </c>
      <c r="AW27" s="468" t="s">
        <v>1337</v>
      </c>
    </row>
    <row r="28" spans="1:49" s="464" customFormat="1" ht="14.45" customHeight="1" x14ac:dyDescent="0.25">
      <c r="A28" s="297">
        <f t="shared" si="0"/>
        <v>4.9666666666666668</v>
      </c>
      <c r="B28" s="460">
        <v>42587</v>
      </c>
      <c r="C28" s="465" t="s">
        <v>452</v>
      </c>
      <c r="D28" s="465" t="s">
        <v>1356</v>
      </c>
      <c r="E28" s="465" t="s">
        <v>380</v>
      </c>
      <c r="F28" s="461" t="s">
        <v>527</v>
      </c>
      <c r="G28" s="465" t="s">
        <v>822</v>
      </c>
      <c r="H28" s="292"/>
      <c r="I28" s="292">
        <v>53</v>
      </c>
      <c r="J28" s="292">
        <v>53</v>
      </c>
      <c r="K28" s="292">
        <v>131</v>
      </c>
      <c r="L28" s="292">
        <v>53</v>
      </c>
      <c r="M28" s="292">
        <v>131</v>
      </c>
      <c r="N28" s="292">
        <v>53</v>
      </c>
      <c r="O28" s="292"/>
      <c r="P28" s="294">
        <v>53</v>
      </c>
      <c r="Q28" s="294">
        <v>131</v>
      </c>
      <c r="R28" s="294"/>
      <c r="S28" s="294"/>
      <c r="T28" s="294"/>
      <c r="U28" s="294"/>
      <c r="V28" s="331">
        <v>53</v>
      </c>
      <c r="W28" s="294"/>
      <c r="X28" s="294"/>
      <c r="Y28" s="294">
        <f>IF(NFI_Expiration=1,IF($A28&lt;VLOOKUP(H$5,NFI,5,0),1,0)*Table_NFI[[#This Row],[Hygiene Kit]],Table_NFI[Hygiene Kit])</f>
        <v>0</v>
      </c>
      <c r="Z28" s="294">
        <f>IF(NFI_Expiration=1,IF($A28&lt;VLOOKUP(I$5,NFI,5,0),1,0)*Table_NFI[[#This Row],[NFI Core Kit]],Table_NFI[NFI Core Kit])</f>
        <v>53</v>
      </c>
      <c r="AA28" s="294">
        <f>IF(NFI_Expiration=1,IF($A28&lt;VLOOKUP(J$5,NFI,5,0),1,0)*Table_NFI[[#This Row],[Sanitary Kit]],Table_NFI[Sanitary Kit])</f>
        <v>53</v>
      </c>
      <c r="AB28" s="294">
        <f>IF(NFI_Expiration=1,IF($A28&lt;VLOOKUP(K$5,NFI,5,0),1,0)*Table_NFI[[#This Row],[Mosquito net]],Table_NFI[Mosquito net])</f>
        <v>131</v>
      </c>
      <c r="AC28" s="294">
        <f>IF(NFI_Expiration=1,IF($A28&lt;VLOOKUP(L$5,NFI,5,0),1,0)*Table_NFI[[#This Row],[Tarpaulin]],Table_NFI[[#This Row],[Tarpaulin]])</f>
        <v>53</v>
      </c>
      <c r="AD28" s="294">
        <f>IF(NFI_Expiration=1,IF($A28&lt;VLOOKUP(M$5,NFI,5,0),1,0)*Table_NFI[[#This Row],[Blanket]],Table_NFI[[#This Row],[Blanket]])</f>
        <v>131</v>
      </c>
      <c r="AE28" s="294">
        <f>IF(NFI_Expiration=1,IF($A28&lt;VLOOKUP(N$5,NFI,5,0),1,0)*Table_NFI[[#This Row],[Kitchen Set]],Table_NFI[Kitchen Set])</f>
        <v>53</v>
      </c>
      <c r="AF28" s="294">
        <f>IF(NFI_Expiration=1,IF($A28&lt;VLOOKUP(O$5,NFI,5,0),1,0)*Table_NFI[[#This Row],[Clothes Kit]],Table_NFI[Clothes Kit])</f>
        <v>0</v>
      </c>
      <c r="AG28" s="294">
        <f>IF(NFI_Expiration=1,IF($A28&lt;VLOOKUP(P$5,NFI,5,0),1,0)*Table_NFI[[#This Row],[Plastic Bucket]],Table_NFI[Plastic Bucket])</f>
        <v>53</v>
      </c>
      <c r="AH28" s="294">
        <f>IF(NFI_Expiration=1,IF($A28&lt;VLOOKUP(Q$5,NFI,5,0),1,0)*Table_NFI[[#This Row],[Plastic Mat]],Table_NFI[Plastic Mat])*IF(Table_NFI[[#This Row],[Distribution Date]]&gt;"2014-04-01",1,2.5)</f>
        <v>327.5</v>
      </c>
      <c r="AI28" s="294">
        <f>IF(NFI_Expiration=1,IF($A28&lt;VLOOKUP(R$5,NFI,5,0),1,0)*Table_NFI[[#This Row],[Winter Clothes Adult]],Table_NFI[Winter Clothes Adult])</f>
        <v>0</v>
      </c>
      <c r="AJ28" s="294">
        <f>IF(NFI_Expiration=1,IF($A28&lt;VLOOKUP(S$5,NFI,5,0),1,0)*Table_NFI[[#This Row],[Winter Clothes Children]],Table_NFI[Winter Clothes Children])</f>
        <v>0</v>
      </c>
      <c r="AK28" s="294">
        <f>IF(NFI_Expiration=1,IF($A28&lt;VLOOKUP(T$5,NFI,5,0),1,0)*Table_NFI[[#This Row],[Winter Items Other]],Table_NFI[Winter Items Other])</f>
        <v>0</v>
      </c>
      <c r="AL28" s="294">
        <f>IF(NFI_Expiration=1,IF($A28&lt;VLOOKUP(M$5,NFI,5,0),1,0)*Table_NFI[[#This Row],[Winter Blanket]],Table_NFI[[#This Row],[Winter Blanket]])</f>
        <v>0</v>
      </c>
      <c r="AM28" s="294">
        <f>IF(Table_NFI[[#This Row],[Winter Clothes Adult]]+Table_NFI[[#This Row],[Winter Clothes Children]]+Table_NFI[[#This Row],[Winter Items Other]]+Table_NFI[[#This Row],[Winter Blanket]]&gt;0,1,0)</f>
        <v>0</v>
      </c>
      <c r="AN28" s="331">
        <f>IF(NFI_Expiration=1,IF($A28&lt;VLOOKUP(V$5,NFI,5,0),1,0)*Table_NFI[[#This Row],[Jerry Can]],Table_NFI[Jerry Can])</f>
        <v>53</v>
      </c>
      <c r="AO28" s="331">
        <f>IF(NFI_Expiration=1,IF($A28&lt;VLOOKUP(V$5,NFI,5,0),1,0)*Table_NFI[[#This Row],[Shelter Tool kit]],Table_NFI[Shelter Tool kit])</f>
        <v>0</v>
      </c>
      <c r="AP28" s="331">
        <f>IF(NFI_Expiration=1,IF($A28&lt;VLOOKUP(V$5,NFI,5,0),1,0)*Table_NFI[[#This Row],[Tent]],Table_NFI[Tent])</f>
        <v>0</v>
      </c>
      <c r="AQ28" s="467" t="str">
        <f>IFERROR(VLOOKUP(Table_NFI[[#This Row],[Camp Name]],CL,2,0),"")</f>
        <v>MMR015CMP209</v>
      </c>
      <c r="AR28" s="835">
        <f ca="1">IF(Table_NFI[[#This Row],[Pcode]]="","",IF(OFFSET(CampList[Opening Date],MATCH(Table_NFI[[#This Row],[Pcode]],CampList[CP_Pcode],0)-1,0,1,1)&gt;=NFI_Monitor_Date,1,0))</f>
        <v>0</v>
      </c>
      <c r="AS28" s="467" t="str">
        <f>IFERROR(VLOOKUP(Table_NFI[[#This Row],[Camp Name]],CL,3,0),"")</f>
        <v>Open</v>
      </c>
      <c r="AT28" s="294" t="str">
        <f ca="1">IF(Table_NFI[[#This Row],[Pcode]]="","",OFFSET(CampList[Priority],MATCH(Table_NFI[[#This Row],[Pcode]],CampList[CP_Pcode],0)-1,0,1,1))</f>
        <v>P3</v>
      </c>
      <c r="AU28" s="293">
        <f>IFERROR(Table_NFI[[#This Row],[Kitchen Set]]/VLOOKUP(Table_NFI[[#This Row],[Camp Name]],CL,4,0),"")</f>
        <v>1.2917377528637581E-3</v>
      </c>
      <c r="AV28" s="461"/>
      <c r="AW28" s="468" t="s">
        <v>1463</v>
      </c>
    </row>
    <row r="29" spans="1:49" s="464" customFormat="1" ht="15" customHeight="1" x14ac:dyDescent="0.25">
      <c r="A29" s="297">
        <f t="shared" si="0"/>
        <v>4.9666666666666668</v>
      </c>
      <c r="B29" s="460">
        <v>42587</v>
      </c>
      <c r="C29" s="465" t="s">
        <v>452</v>
      </c>
      <c r="D29" s="465" t="s">
        <v>460</v>
      </c>
      <c r="E29" s="465" t="s">
        <v>380</v>
      </c>
      <c r="F29" s="461" t="s">
        <v>527</v>
      </c>
      <c r="G29" s="465" t="s">
        <v>1409</v>
      </c>
      <c r="H29" s="292"/>
      <c r="I29" s="292">
        <v>23</v>
      </c>
      <c r="J29" s="292"/>
      <c r="K29" s="292">
        <v>38</v>
      </c>
      <c r="L29" s="292">
        <v>23</v>
      </c>
      <c r="M29" s="292">
        <v>38</v>
      </c>
      <c r="N29" s="292">
        <v>23</v>
      </c>
      <c r="O29" s="292"/>
      <c r="P29" s="294">
        <v>23</v>
      </c>
      <c r="Q29" s="294">
        <v>55</v>
      </c>
      <c r="R29" s="294"/>
      <c r="S29" s="294"/>
      <c r="T29" s="294"/>
      <c r="U29" s="294"/>
      <c r="V29" s="331">
        <v>23</v>
      </c>
      <c r="W29" s="294"/>
      <c r="X29" s="294">
        <v>9</v>
      </c>
      <c r="Y29" s="294">
        <f>IF(NFI_Expiration=1,IF($A29&lt;VLOOKUP(H$5,NFI,5,0),1,0)*Table_NFI[[#This Row],[Hygiene Kit]],Table_NFI[Hygiene Kit])</f>
        <v>0</v>
      </c>
      <c r="Z29" s="294">
        <f>IF(NFI_Expiration=1,IF($A29&lt;VLOOKUP(I$5,NFI,5,0),1,0)*Table_NFI[[#This Row],[NFI Core Kit]],Table_NFI[NFI Core Kit])</f>
        <v>23</v>
      </c>
      <c r="AA29" s="294">
        <f>IF(NFI_Expiration=1,IF($A29&lt;VLOOKUP(J$5,NFI,5,0),1,0)*Table_NFI[[#This Row],[Sanitary Kit]],Table_NFI[Sanitary Kit])</f>
        <v>0</v>
      </c>
      <c r="AB29" s="294">
        <f>IF(NFI_Expiration=1,IF($A29&lt;VLOOKUP(K$5,NFI,5,0),1,0)*Table_NFI[[#This Row],[Mosquito net]],Table_NFI[Mosquito net])</f>
        <v>38</v>
      </c>
      <c r="AC29" s="294">
        <f>IF(NFI_Expiration=1,IF($A29&lt;VLOOKUP(L$5,NFI,5,0),1,0)*Table_NFI[[#This Row],[Tarpaulin]],Table_NFI[[#This Row],[Tarpaulin]])</f>
        <v>23</v>
      </c>
      <c r="AD29" s="294">
        <f>IF(NFI_Expiration=1,IF($A29&lt;VLOOKUP(M$5,NFI,5,0),1,0)*Table_NFI[[#This Row],[Blanket]],Table_NFI[[#This Row],[Blanket]])</f>
        <v>38</v>
      </c>
      <c r="AE29" s="294">
        <f>IF(NFI_Expiration=1,IF($A29&lt;VLOOKUP(N$5,NFI,5,0),1,0)*Table_NFI[[#This Row],[Kitchen Set]],Table_NFI[Kitchen Set])</f>
        <v>23</v>
      </c>
      <c r="AF29" s="294">
        <f>IF(NFI_Expiration=1,IF($A29&lt;VLOOKUP(O$5,NFI,5,0),1,0)*Table_NFI[[#This Row],[Clothes Kit]],Table_NFI[Clothes Kit])</f>
        <v>0</v>
      </c>
      <c r="AG29" s="294">
        <f>IF(NFI_Expiration=1,IF($A29&lt;VLOOKUP(P$5,NFI,5,0),1,0)*Table_NFI[[#This Row],[Plastic Bucket]],Table_NFI[Plastic Bucket])</f>
        <v>23</v>
      </c>
      <c r="AH29" s="294">
        <f>IF(NFI_Expiration=1,IF($A29&lt;VLOOKUP(Q$5,NFI,5,0),1,0)*Table_NFI[[#This Row],[Plastic Mat]],Table_NFI[Plastic Mat])*IF(Table_NFI[[#This Row],[Distribution Date]]&gt;"2014-04-01",1,2.5)</f>
        <v>137.5</v>
      </c>
      <c r="AI29" s="294">
        <f>IF(NFI_Expiration=1,IF($A29&lt;VLOOKUP(R$5,NFI,5,0),1,0)*Table_NFI[[#This Row],[Winter Clothes Adult]],Table_NFI[Winter Clothes Adult])</f>
        <v>0</v>
      </c>
      <c r="AJ29" s="294">
        <f>IF(NFI_Expiration=1,IF($A29&lt;VLOOKUP(S$5,NFI,5,0),1,0)*Table_NFI[[#This Row],[Winter Clothes Children]],Table_NFI[Winter Clothes Children])</f>
        <v>0</v>
      </c>
      <c r="AK29" s="294">
        <f>IF(NFI_Expiration=1,IF($A29&lt;VLOOKUP(T$5,NFI,5,0),1,0)*Table_NFI[[#This Row],[Winter Items Other]],Table_NFI[Winter Items Other])</f>
        <v>0</v>
      </c>
      <c r="AL29" s="294">
        <f>IF(NFI_Expiration=1,IF($A29&lt;VLOOKUP(M$5,NFI,5,0),1,0)*Table_NFI[[#This Row],[Winter Blanket]],Table_NFI[[#This Row],[Winter Blanket]])</f>
        <v>0</v>
      </c>
      <c r="AM29" s="294">
        <f>IF(Table_NFI[[#This Row],[Winter Clothes Adult]]+Table_NFI[[#This Row],[Winter Clothes Children]]+Table_NFI[[#This Row],[Winter Items Other]]+Table_NFI[[#This Row],[Winter Blanket]]&gt;0,1,0)</f>
        <v>0</v>
      </c>
      <c r="AN29" s="331">
        <f>IF(NFI_Expiration=1,IF($A29&lt;VLOOKUP(V$5,NFI,5,0),1,0)*Table_NFI[[#This Row],[Jerry Can]],Table_NFI[Jerry Can])</f>
        <v>23</v>
      </c>
      <c r="AO29" s="331">
        <f>IF(NFI_Expiration=1,IF($A29&lt;VLOOKUP(V$5,NFI,5,0),1,0)*Table_NFI[[#This Row],[Shelter Tool kit]],Table_NFI[Shelter Tool kit])</f>
        <v>0</v>
      </c>
      <c r="AP29" s="331">
        <f>IF(NFI_Expiration=1,IF($A29&lt;VLOOKUP(V$5,NFI,5,0),1,0)*Table_NFI[[#This Row],[Tent]],Table_NFI[Tent])</f>
        <v>9</v>
      </c>
      <c r="AQ29" s="467" t="str">
        <f>IFERROR(VLOOKUP(Table_NFI[[#This Row],[Camp Name]],CL,2,0),"")</f>
        <v>MMR001CMP242</v>
      </c>
      <c r="AR29" s="835">
        <f ca="1">IF(Table_NFI[[#This Row],[Pcode]]="","",IF(OFFSET(CampList[Opening Date],MATCH(Table_NFI[[#This Row],[Pcode]],CampList[CP_Pcode],0)-1,0,1,1)&gt;=NFI_Monitor_Date,1,0))</f>
        <v>1</v>
      </c>
      <c r="AS29" s="467" t="str">
        <f>IFERROR(VLOOKUP(Table_NFI[[#This Row],[Camp Name]],CL,3,0),"")</f>
        <v>Open</v>
      </c>
      <c r="AT29" s="294">
        <f ca="1">IF(Table_NFI[[#This Row],[Pcode]]="","",OFFSET(CampList[Priority],MATCH(Table_NFI[[#This Row],[Pcode]],CampList[CP_Pcode],0)-1,0,1,1))</f>
        <v>0</v>
      </c>
      <c r="AU29" s="293">
        <f>IFERROR(Table_NFI[[#This Row],[Kitchen Set]]/VLOOKUP(Table_NFI[[#This Row],[Camp Name]],CL,4,0),"")</f>
        <v>5.4283691291007793E-4</v>
      </c>
      <c r="AV29" s="461"/>
      <c r="AW29" s="468" t="s">
        <v>1434</v>
      </c>
    </row>
    <row r="30" spans="1:49" s="464" customFormat="1" ht="15" customHeight="1" x14ac:dyDescent="0.25">
      <c r="A30" s="297">
        <f t="shared" si="0"/>
        <v>5.6333333333333337</v>
      </c>
      <c r="B30" s="460">
        <v>42567</v>
      </c>
      <c r="C30" s="465" t="s">
        <v>1582</v>
      </c>
      <c r="D30" s="465" t="s">
        <v>1582</v>
      </c>
      <c r="E30" s="465" t="s">
        <v>553</v>
      </c>
      <c r="F30" s="465" t="s">
        <v>298</v>
      </c>
      <c r="G30" s="465" t="s">
        <v>821</v>
      </c>
      <c r="H30" s="292">
        <v>40</v>
      </c>
      <c r="I30" s="292"/>
      <c r="J30" s="292"/>
      <c r="K30" s="292"/>
      <c r="L30" s="292">
        <v>40</v>
      </c>
      <c r="M30" s="292"/>
      <c r="N30" s="292"/>
      <c r="O30" s="292"/>
      <c r="P30" s="294"/>
      <c r="Q30" s="294"/>
      <c r="R30" s="294"/>
      <c r="S30" s="294"/>
      <c r="T30" s="294"/>
      <c r="U30" s="294"/>
      <c r="V30" s="431"/>
      <c r="W30" s="294"/>
      <c r="X30" s="294"/>
      <c r="Y30" s="294">
        <f>IF(NFI_Expiration=1,IF($A30&lt;VLOOKUP(H$5,NFI,5,0),1,0)*Table_NFI[[#This Row],[Hygiene Kit]],Table_NFI[Hygiene Kit])</f>
        <v>40</v>
      </c>
      <c r="Z30" s="294">
        <f>IF(NFI_Expiration=1,IF($A30&lt;VLOOKUP(I$5,NFI,5,0),1,0)*Table_NFI[[#This Row],[NFI Core Kit]],Table_NFI[NFI Core Kit])</f>
        <v>0</v>
      </c>
      <c r="AA30" s="294">
        <f>IF(NFI_Expiration=1,IF($A30&lt;VLOOKUP(J$5,NFI,5,0),1,0)*Table_NFI[[#This Row],[Sanitary Kit]],Table_NFI[Sanitary Kit])</f>
        <v>0</v>
      </c>
      <c r="AB30" s="294">
        <f>IF(NFI_Expiration=1,IF($A30&lt;VLOOKUP(K$5,NFI,5,0),1,0)*Table_NFI[[#This Row],[Mosquito net]],Table_NFI[Mosquito net])</f>
        <v>0</v>
      </c>
      <c r="AC30" s="294">
        <f>IF(NFI_Expiration=1,IF($A30&lt;VLOOKUP(L$5,NFI,5,0),1,0)*Table_NFI[[#This Row],[Tarpaulin]],Table_NFI[[#This Row],[Tarpaulin]])</f>
        <v>40</v>
      </c>
      <c r="AD30" s="294">
        <f>IF(NFI_Expiration=1,IF($A30&lt;VLOOKUP(M$5,NFI,5,0),1,0)*Table_NFI[[#This Row],[Blanket]],Table_NFI[[#This Row],[Blanket]])</f>
        <v>0</v>
      </c>
      <c r="AE30" s="294">
        <f>IF(NFI_Expiration=1,IF($A30&lt;VLOOKUP(N$5,NFI,5,0),1,0)*Table_NFI[[#This Row],[Kitchen Set]],Table_NFI[Kitchen Set])</f>
        <v>0</v>
      </c>
      <c r="AF30" s="294">
        <f>IF(NFI_Expiration=1,IF($A30&lt;VLOOKUP(O$5,NFI,5,0),1,0)*Table_NFI[[#This Row],[Clothes Kit]],Table_NFI[Clothes Kit])</f>
        <v>0</v>
      </c>
      <c r="AG30" s="294">
        <f>IF(NFI_Expiration=1,IF($A30&lt;VLOOKUP(P$5,NFI,5,0),1,0)*Table_NFI[[#This Row],[Plastic Bucket]],Table_NFI[Plastic Bucket])</f>
        <v>0</v>
      </c>
      <c r="AH30" s="294">
        <f>IF(NFI_Expiration=1,IF($A30&lt;VLOOKUP(Q$5,NFI,5,0),1,0)*Table_NFI[[#This Row],[Plastic Mat]],Table_NFI[Plastic Mat])*IF(Table_NFI[[#This Row],[Distribution Date]]&gt;"2014-04-01",1,2.5)</f>
        <v>0</v>
      </c>
      <c r="AI30" s="294">
        <f>IF(NFI_Expiration=1,IF($A30&lt;VLOOKUP(R$5,NFI,5,0),1,0)*Table_NFI[[#This Row],[Winter Clothes Adult]],Table_NFI[Winter Clothes Adult])</f>
        <v>0</v>
      </c>
      <c r="AJ30" s="294">
        <f>IF(NFI_Expiration=1,IF($A30&lt;VLOOKUP(S$5,NFI,5,0),1,0)*Table_NFI[[#This Row],[Winter Clothes Children]],Table_NFI[Winter Clothes Children])</f>
        <v>0</v>
      </c>
      <c r="AK30" s="294">
        <f>IF(NFI_Expiration=1,IF($A30&lt;VLOOKUP(T$5,NFI,5,0),1,0)*Table_NFI[[#This Row],[Winter Items Other]],Table_NFI[Winter Items Other])</f>
        <v>0</v>
      </c>
      <c r="AL30" s="294">
        <f>IF(NFI_Expiration=1,IF($A30&lt;VLOOKUP(M$5,NFI,5,0),1,0)*Table_NFI[[#This Row],[Winter Blanket]],Table_NFI[[#This Row],[Winter Blanket]])</f>
        <v>0</v>
      </c>
      <c r="AM30" s="294">
        <f>IF(Table_NFI[[#This Row],[Winter Clothes Adult]]+Table_NFI[[#This Row],[Winter Clothes Children]]+Table_NFI[[#This Row],[Winter Items Other]]+Table_NFI[[#This Row],[Winter Blanket]]&gt;0,1,0)</f>
        <v>0</v>
      </c>
      <c r="AN30" s="331">
        <f>IF(NFI_Expiration=1,IF($A30&lt;VLOOKUP(V$5,NFI,5,0),1,0)*Table_NFI[[#This Row],[Jerry Can]],Table_NFI[Jerry Can])</f>
        <v>0</v>
      </c>
      <c r="AO30" s="331">
        <f>IF(NFI_Expiration=1,IF($A30&lt;VLOOKUP(V$5,NFI,5,0),1,0)*Table_NFI[[#This Row],[Shelter Tool kit]],Table_NFI[Shelter Tool kit])</f>
        <v>0</v>
      </c>
      <c r="AP30" s="331">
        <f>IF(NFI_Expiration=1,IF($A30&lt;VLOOKUP(V$5,NFI,5,0),1,0)*Table_NFI[[#This Row],[Tent]],Table_NFI[Tent])</f>
        <v>0</v>
      </c>
      <c r="AQ30" s="467" t="str">
        <f>IFERROR(VLOOKUP(Table_NFI[[#This Row],[Camp Name]],CL,2,0),"")</f>
        <v>MMR015CMP014</v>
      </c>
      <c r="AR30" s="835">
        <f ca="1">IF(Table_NFI[[#This Row],[Pcode]]="","",IF(OFFSET(CampList[Opening Date],MATCH(Table_NFI[[#This Row],[Pcode]],CampList[CP_Pcode],0)-1,0,1,1)&gt;=NFI_Monitor_Date,1,0))</f>
        <v>0</v>
      </c>
      <c r="AS30" s="467" t="str">
        <f>IFERROR(VLOOKUP(Table_NFI[[#This Row],[Camp Name]],CL,3,0),"")</f>
        <v>Open</v>
      </c>
      <c r="AT30" s="294" t="str">
        <f ca="1">IF(Table_NFI[[#This Row],[Pcode]]="","",OFFSET(CampList[Priority],MATCH(Table_NFI[[#This Row],[Pcode]],CampList[CP_Pcode],0)-1,0,1,1))</f>
        <v>P3</v>
      </c>
      <c r="AU30" s="293">
        <f>IFERROR(Table_NFI[[#This Row],[Kitchen Set]]/VLOOKUP(Table_NFI[[#This Row],[Camp Name]],CL,4,0),"")</f>
        <v>0</v>
      </c>
      <c r="AV30" s="461"/>
      <c r="AW30" s="468" t="s">
        <v>1583</v>
      </c>
    </row>
    <row r="31" spans="1:49" s="464" customFormat="1" ht="15" customHeight="1" x14ac:dyDescent="0.25">
      <c r="A31" s="297">
        <f t="shared" si="0"/>
        <v>5.6333333333333337</v>
      </c>
      <c r="B31" s="460">
        <v>42567</v>
      </c>
      <c r="C31" s="465" t="s">
        <v>1582</v>
      </c>
      <c r="D31" s="465" t="s">
        <v>1582</v>
      </c>
      <c r="E31" s="465" t="s">
        <v>553</v>
      </c>
      <c r="F31" s="465" t="s">
        <v>298</v>
      </c>
      <c r="G31" s="465" t="s">
        <v>1488</v>
      </c>
      <c r="H31" s="292">
        <v>59</v>
      </c>
      <c r="I31" s="292"/>
      <c r="J31" s="292"/>
      <c r="K31" s="292"/>
      <c r="L31" s="292">
        <v>59</v>
      </c>
      <c r="M31" s="292"/>
      <c r="N31" s="292"/>
      <c r="O31" s="292"/>
      <c r="P31" s="294"/>
      <c r="Q31" s="294"/>
      <c r="R31" s="294"/>
      <c r="S31" s="294"/>
      <c r="T31" s="294"/>
      <c r="U31" s="294"/>
      <c r="V31" s="431"/>
      <c r="W31" s="294"/>
      <c r="X31" s="294"/>
      <c r="Y31" s="294">
        <f>IF(NFI_Expiration=1,IF($A31&lt;VLOOKUP(H$5,NFI,5,0),1,0)*Table_NFI[[#This Row],[Hygiene Kit]],Table_NFI[Hygiene Kit])</f>
        <v>59</v>
      </c>
      <c r="Z31" s="294">
        <f>IF(NFI_Expiration=1,IF($A31&lt;VLOOKUP(I$5,NFI,5,0),1,0)*Table_NFI[[#This Row],[NFI Core Kit]],Table_NFI[NFI Core Kit])</f>
        <v>0</v>
      </c>
      <c r="AA31" s="294">
        <f>IF(NFI_Expiration=1,IF($A31&lt;VLOOKUP(J$5,NFI,5,0),1,0)*Table_NFI[[#This Row],[Sanitary Kit]],Table_NFI[Sanitary Kit])</f>
        <v>0</v>
      </c>
      <c r="AB31" s="294">
        <f>IF(NFI_Expiration=1,IF($A31&lt;VLOOKUP(K$5,NFI,5,0),1,0)*Table_NFI[[#This Row],[Mosquito net]],Table_NFI[Mosquito net])</f>
        <v>0</v>
      </c>
      <c r="AC31" s="294">
        <f>IF(NFI_Expiration=1,IF($A31&lt;VLOOKUP(L$5,NFI,5,0),1,0)*Table_NFI[[#This Row],[Tarpaulin]],Table_NFI[[#This Row],[Tarpaulin]])</f>
        <v>59</v>
      </c>
      <c r="AD31" s="294">
        <f>IF(NFI_Expiration=1,IF($A31&lt;VLOOKUP(M$5,NFI,5,0),1,0)*Table_NFI[[#This Row],[Blanket]],Table_NFI[[#This Row],[Blanket]])</f>
        <v>0</v>
      </c>
      <c r="AE31" s="294">
        <f>IF(NFI_Expiration=1,IF($A31&lt;VLOOKUP(N$5,NFI,5,0),1,0)*Table_NFI[[#This Row],[Kitchen Set]],Table_NFI[Kitchen Set])</f>
        <v>0</v>
      </c>
      <c r="AF31" s="294">
        <f>IF(NFI_Expiration=1,IF($A31&lt;VLOOKUP(O$5,NFI,5,0),1,0)*Table_NFI[[#This Row],[Clothes Kit]],Table_NFI[Clothes Kit])</f>
        <v>0</v>
      </c>
      <c r="AG31" s="294">
        <f>IF(NFI_Expiration=1,IF($A31&lt;VLOOKUP(P$5,NFI,5,0),1,0)*Table_NFI[[#This Row],[Plastic Bucket]],Table_NFI[Plastic Bucket])</f>
        <v>0</v>
      </c>
      <c r="AH31" s="294">
        <f>IF(NFI_Expiration=1,IF($A31&lt;VLOOKUP(Q$5,NFI,5,0),1,0)*Table_NFI[[#This Row],[Plastic Mat]],Table_NFI[Plastic Mat])*IF(Table_NFI[[#This Row],[Distribution Date]]&gt;"2014-04-01",1,2.5)</f>
        <v>0</v>
      </c>
      <c r="AI31" s="294">
        <f>IF(NFI_Expiration=1,IF($A31&lt;VLOOKUP(R$5,NFI,5,0),1,0)*Table_NFI[[#This Row],[Winter Clothes Adult]],Table_NFI[Winter Clothes Adult])</f>
        <v>0</v>
      </c>
      <c r="AJ31" s="294">
        <f>IF(NFI_Expiration=1,IF($A31&lt;VLOOKUP(S$5,NFI,5,0),1,0)*Table_NFI[[#This Row],[Winter Clothes Children]],Table_NFI[Winter Clothes Children])</f>
        <v>0</v>
      </c>
      <c r="AK31" s="294">
        <f>IF(NFI_Expiration=1,IF($A31&lt;VLOOKUP(T$5,NFI,5,0),1,0)*Table_NFI[[#This Row],[Winter Items Other]],Table_NFI[Winter Items Other])</f>
        <v>0</v>
      </c>
      <c r="AL31" s="294">
        <f>IF(NFI_Expiration=1,IF($A31&lt;VLOOKUP(M$5,NFI,5,0),1,0)*Table_NFI[[#This Row],[Winter Blanket]],Table_NFI[[#This Row],[Winter Blanket]])</f>
        <v>0</v>
      </c>
      <c r="AM31" s="294">
        <f>IF(Table_NFI[[#This Row],[Winter Clothes Adult]]+Table_NFI[[#This Row],[Winter Clothes Children]]+Table_NFI[[#This Row],[Winter Items Other]]+Table_NFI[[#This Row],[Winter Blanket]]&gt;0,1,0)</f>
        <v>0</v>
      </c>
      <c r="AN31" s="331">
        <f>IF(NFI_Expiration=1,IF($A31&lt;VLOOKUP(V$5,NFI,5,0),1,0)*Table_NFI[[#This Row],[Jerry Can]],Table_NFI[Jerry Can])</f>
        <v>0</v>
      </c>
      <c r="AO31" s="331">
        <f>IF(NFI_Expiration=1,IF($A31&lt;VLOOKUP(V$5,NFI,5,0),1,0)*Table_NFI[[#This Row],[Shelter Tool kit]],Table_NFI[Shelter Tool kit])</f>
        <v>0</v>
      </c>
      <c r="AP31" s="331">
        <f>IF(NFI_Expiration=1,IF($A31&lt;VLOOKUP(V$5,NFI,5,0),1,0)*Table_NFI[[#This Row],[Tent]],Table_NFI[Tent])</f>
        <v>0</v>
      </c>
      <c r="AQ31" s="467" t="str">
        <f>IFERROR(VLOOKUP(Table_NFI[[#This Row],[Camp Name]],CL,2,0),"")</f>
        <v>MMR015CMP228</v>
      </c>
      <c r="AR31" s="835">
        <f ca="1">IF(Table_NFI[[#This Row],[Pcode]]="","",IF(OFFSET(CampList[Opening Date],MATCH(Table_NFI[[#This Row],[Pcode]],CampList[CP_Pcode],0)-1,0,1,1)&gt;=NFI_Monitor_Date,1,0))</f>
        <v>0</v>
      </c>
      <c r="AS31" s="467" t="str">
        <f>IFERROR(VLOOKUP(Table_NFI[[#This Row],[Camp Name]],CL,3,0),"")</f>
        <v>Open</v>
      </c>
      <c r="AT31" s="294">
        <f ca="1">IF(Table_NFI[[#This Row],[Pcode]]="","",OFFSET(CampList[Priority],MATCH(Table_NFI[[#This Row],[Pcode]],CampList[CP_Pcode],0)-1,0,1,1))</f>
        <v>0</v>
      </c>
      <c r="AU31" s="293" t="str">
        <f>IFERROR(Table_NFI[[#This Row],[Kitchen Set]]/VLOOKUP(Table_NFI[[#This Row],[Camp Name]],CL,4,0),"")</f>
        <v/>
      </c>
      <c r="AV31" s="461"/>
      <c r="AW31" s="468" t="s">
        <v>1583</v>
      </c>
    </row>
    <row r="32" spans="1:49" s="464" customFormat="1" x14ac:dyDescent="0.25">
      <c r="A32" s="297">
        <f t="shared" si="0"/>
        <v>6.166666666666667</v>
      </c>
      <c r="B32" s="460">
        <v>42551</v>
      </c>
      <c r="C32" s="465" t="s">
        <v>905</v>
      </c>
      <c r="D32" s="465" t="s">
        <v>905</v>
      </c>
      <c r="E32" s="465" t="s">
        <v>380</v>
      </c>
      <c r="F32" s="465" t="s">
        <v>5</v>
      </c>
      <c r="G32" s="465" t="s">
        <v>6</v>
      </c>
      <c r="H32" s="292"/>
      <c r="I32" s="292"/>
      <c r="J32" s="292"/>
      <c r="K32" s="292"/>
      <c r="L32" s="292"/>
      <c r="M32" s="292"/>
      <c r="N32" s="292"/>
      <c r="O32" s="292"/>
      <c r="P32" s="294"/>
      <c r="Q32" s="294"/>
      <c r="R32" s="294"/>
      <c r="S32" s="294"/>
      <c r="T32" s="294"/>
      <c r="U32" s="294"/>
      <c r="V32" s="331">
        <v>2</v>
      </c>
      <c r="W32" s="294"/>
      <c r="X32" s="294"/>
      <c r="Y32" s="294">
        <f>IF(NFI_Expiration=1,IF($A32&lt;VLOOKUP(H$5,NFI,5,0),1,0)*Table_NFI[[#This Row],[Hygiene Kit]],Table_NFI[Hygiene Kit])</f>
        <v>0</v>
      </c>
      <c r="Z32" s="294">
        <f>IF(NFI_Expiration=1,IF($A32&lt;VLOOKUP(I$5,NFI,5,0),1,0)*Table_NFI[[#This Row],[NFI Core Kit]],Table_NFI[NFI Core Kit])</f>
        <v>0</v>
      </c>
      <c r="AA32" s="294">
        <f>IF(NFI_Expiration=1,IF($A32&lt;VLOOKUP(J$5,NFI,5,0),1,0)*Table_NFI[[#This Row],[Sanitary Kit]],Table_NFI[Sanitary Kit])</f>
        <v>0</v>
      </c>
      <c r="AB32" s="294">
        <f>IF(NFI_Expiration=1,IF($A32&lt;VLOOKUP(K$5,NFI,5,0),1,0)*Table_NFI[[#This Row],[Mosquito net]],Table_NFI[Mosquito net])</f>
        <v>0</v>
      </c>
      <c r="AC32" s="294">
        <f>IF(NFI_Expiration=1,IF($A32&lt;VLOOKUP(L$5,NFI,5,0),1,0)*Table_NFI[[#This Row],[Tarpaulin]],Table_NFI[[#This Row],[Tarpaulin]])</f>
        <v>0</v>
      </c>
      <c r="AD32" s="294">
        <f>IF(NFI_Expiration=1,IF($A32&lt;VLOOKUP(M$5,NFI,5,0),1,0)*Table_NFI[[#This Row],[Blanket]],Table_NFI[[#This Row],[Blanket]])</f>
        <v>0</v>
      </c>
      <c r="AE32" s="294">
        <f>IF(NFI_Expiration=1,IF($A32&lt;VLOOKUP(N$5,NFI,5,0),1,0)*Table_NFI[[#This Row],[Kitchen Set]],Table_NFI[Kitchen Set])</f>
        <v>0</v>
      </c>
      <c r="AF32" s="294">
        <f>IF(NFI_Expiration=1,IF($A32&lt;VLOOKUP(O$5,NFI,5,0),1,0)*Table_NFI[[#This Row],[Clothes Kit]],Table_NFI[Clothes Kit])</f>
        <v>0</v>
      </c>
      <c r="AG32" s="294">
        <f>IF(NFI_Expiration=1,IF($A32&lt;VLOOKUP(P$5,NFI,5,0),1,0)*Table_NFI[[#This Row],[Plastic Bucket]],Table_NFI[Plastic Bucket])</f>
        <v>0</v>
      </c>
      <c r="AH32" s="294">
        <f>IF(NFI_Expiration=1,IF($A32&lt;VLOOKUP(Q$5,NFI,5,0),1,0)*Table_NFI[[#This Row],[Plastic Mat]],Table_NFI[Plastic Mat])*IF(Table_NFI[[#This Row],[Distribution Date]]&gt;"2014-04-01",1,2.5)</f>
        <v>0</v>
      </c>
      <c r="AI32" s="294">
        <f>IF(NFI_Expiration=1,IF($A32&lt;VLOOKUP(R$5,NFI,5,0),1,0)*Table_NFI[[#This Row],[Winter Clothes Adult]],Table_NFI[Winter Clothes Adult])</f>
        <v>0</v>
      </c>
      <c r="AJ32" s="294">
        <f>IF(NFI_Expiration=1,IF($A32&lt;VLOOKUP(S$5,NFI,5,0),1,0)*Table_NFI[[#This Row],[Winter Clothes Children]],Table_NFI[Winter Clothes Children])</f>
        <v>0</v>
      </c>
      <c r="AK32" s="294">
        <f>IF(NFI_Expiration=1,IF($A32&lt;VLOOKUP(T$5,NFI,5,0),1,0)*Table_NFI[[#This Row],[Winter Items Other]],Table_NFI[Winter Items Other])</f>
        <v>0</v>
      </c>
      <c r="AL32" s="294">
        <f>IF(NFI_Expiration=1,IF($A32&lt;VLOOKUP(M$5,NFI,5,0),1,0)*Table_NFI[[#This Row],[Winter Blanket]],Table_NFI[[#This Row],[Winter Blanket]])</f>
        <v>0</v>
      </c>
      <c r="AM32" s="294">
        <f>IF(Table_NFI[[#This Row],[Winter Clothes Adult]]+Table_NFI[[#This Row],[Winter Clothes Children]]+Table_NFI[[#This Row],[Winter Items Other]]+Table_NFI[[#This Row],[Winter Blanket]]&gt;0,1,0)</f>
        <v>0</v>
      </c>
      <c r="AN32" s="331">
        <f>IF(NFI_Expiration=1,IF($A32&lt;VLOOKUP(V$5,NFI,5,0),1,0)*Table_NFI[[#This Row],[Jerry Can]],Table_NFI[Jerry Can])</f>
        <v>2</v>
      </c>
      <c r="AO32" s="331">
        <f>IF(NFI_Expiration=1,IF($A32&lt;VLOOKUP(V$5,NFI,5,0),1,0)*Table_NFI[[#This Row],[Shelter Tool kit]],Table_NFI[Shelter Tool kit])</f>
        <v>0</v>
      </c>
      <c r="AP32" s="331">
        <f>IF(NFI_Expiration=1,IF($A32&lt;VLOOKUP(V$5,NFI,5,0),1,0)*Table_NFI[[#This Row],[Tent]],Table_NFI[Tent])</f>
        <v>0</v>
      </c>
      <c r="AQ32" s="467" t="str">
        <f>IFERROR(VLOOKUP(Table_NFI[[#This Row],[Camp Name]],CL,2,0),"")</f>
        <v>MMR001CMP050</v>
      </c>
      <c r="AR32" s="835">
        <f ca="1">IF(Table_NFI[[#This Row],[Pcode]]="","",IF(OFFSET(CampList[Opening Date],MATCH(Table_NFI[[#This Row],[Pcode]],CampList[CP_Pcode],0)-1,0,1,1)&gt;=NFI_Monitor_Date,1,0))</f>
        <v>0</v>
      </c>
      <c r="AS32" s="467" t="str">
        <f>IFERROR(VLOOKUP(Table_NFI[[#This Row],[Camp Name]],CL,3,0),"")</f>
        <v>Open</v>
      </c>
      <c r="AT32" s="294" t="str">
        <f ca="1">IF(Table_NFI[[#This Row],[Pcode]]="","",OFFSET(CampList[Priority],MATCH(Table_NFI[[#This Row],[Pcode]],CampList[CP_Pcode],0)-1,0,1,1))</f>
        <v>P4</v>
      </c>
      <c r="AU32" s="293">
        <f>IFERROR(Table_NFI[[#This Row],[Kitchen Set]]/VLOOKUP(Table_NFI[[#This Row],[Camp Name]],CL,4,0),"")</f>
        <v>0</v>
      </c>
      <c r="AV32" s="461"/>
      <c r="AW32" s="468" t="s">
        <v>1468</v>
      </c>
    </row>
    <row r="33" spans="1:49" s="464" customFormat="1" x14ac:dyDescent="0.25">
      <c r="A33" s="297">
        <f t="shared" si="0"/>
        <v>6.166666666666667</v>
      </c>
      <c r="B33" s="460">
        <v>42551</v>
      </c>
      <c r="C33" s="465" t="s">
        <v>905</v>
      </c>
      <c r="D33" s="465" t="s">
        <v>905</v>
      </c>
      <c r="E33" s="465" t="s">
        <v>380</v>
      </c>
      <c r="F33" s="465" t="s">
        <v>185</v>
      </c>
      <c r="G33" s="465" t="s">
        <v>186</v>
      </c>
      <c r="H33" s="292"/>
      <c r="I33" s="292"/>
      <c r="J33" s="292"/>
      <c r="K33" s="292"/>
      <c r="L33" s="292"/>
      <c r="M33" s="292"/>
      <c r="N33" s="292"/>
      <c r="O33" s="292"/>
      <c r="P33" s="294"/>
      <c r="Q33" s="294"/>
      <c r="R33" s="294"/>
      <c r="S33" s="294"/>
      <c r="T33" s="294"/>
      <c r="U33" s="294"/>
      <c r="V33" s="331">
        <v>2</v>
      </c>
      <c r="W33" s="331"/>
      <c r="X33" s="331"/>
      <c r="Y33" s="294">
        <f>IF(NFI_Expiration=1,IF($A33&lt;VLOOKUP(H$5,NFI,5,0),1,0)*Table_NFI[[#This Row],[Hygiene Kit]],Table_NFI[Hygiene Kit])</f>
        <v>0</v>
      </c>
      <c r="Z33" s="294">
        <f>IF(NFI_Expiration=1,IF($A33&lt;VLOOKUP(I$5,NFI,5,0),1,0)*Table_NFI[[#This Row],[NFI Core Kit]],Table_NFI[NFI Core Kit])</f>
        <v>0</v>
      </c>
      <c r="AA33" s="294">
        <f>IF(NFI_Expiration=1,IF($A33&lt;VLOOKUP(J$5,NFI,5,0),1,0)*Table_NFI[[#This Row],[Sanitary Kit]],Table_NFI[Sanitary Kit])</f>
        <v>0</v>
      </c>
      <c r="AB33" s="294">
        <f>IF(NFI_Expiration=1,IF($A33&lt;VLOOKUP(K$5,NFI,5,0),1,0)*Table_NFI[[#This Row],[Mosquito net]],Table_NFI[Mosquito net])</f>
        <v>0</v>
      </c>
      <c r="AC33" s="294">
        <f>IF(NFI_Expiration=1,IF($A33&lt;VLOOKUP(L$5,NFI,5,0),1,0)*Table_NFI[[#This Row],[Tarpaulin]],Table_NFI[[#This Row],[Tarpaulin]])</f>
        <v>0</v>
      </c>
      <c r="AD33" s="294">
        <f>IF(NFI_Expiration=1,IF($A33&lt;VLOOKUP(M$5,NFI,5,0),1,0)*Table_NFI[[#This Row],[Blanket]],Table_NFI[[#This Row],[Blanket]])</f>
        <v>0</v>
      </c>
      <c r="AE33" s="294">
        <f>IF(NFI_Expiration=1,IF($A33&lt;VLOOKUP(N$5,NFI,5,0),1,0)*Table_NFI[[#This Row],[Kitchen Set]],Table_NFI[Kitchen Set])</f>
        <v>0</v>
      </c>
      <c r="AF33" s="294">
        <f>IF(NFI_Expiration=1,IF($A33&lt;VLOOKUP(O$5,NFI,5,0),1,0)*Table_NFI[[#This Row],[Clothes Kit]],Table_NFI[Clothes Kit])</f>
        <v>0</v>
      </c>
      <c r="AG33" s="294">
        <f>IF(NFI_Expiration=1,IF($A33&lt;VLOOKUP(P$5,NFI,5,0),1,0)*Table_NFI[[#This Row],[Plastic Bucket]],Table_NFI[Plastic Bucket])</f>
        <v>0</v>
      </c>
      <c r="AH33" s="294">
        <f>IF(NFI_Expiration=1,IF($A33&lt;VLOOKUP(Q$5,NFI,5,0),1,0)*Table_NFI[[#This Row],[Plastic Mat]],Table_NFI[Plastic Mat])*IF(Table_NFI[[#This Row],[Distribution Date]]&gt;"2014-04-01",1,2.5)</f>
        <v>0</v>
      </c>
      <c r="AI33" s="294">
        <f>IF(NFI_Expiration=1,IF($A33&lt;VLOOKUP(R$5,NFI,5,0),1,0)*Table_NFI[[#This Row],[Winter Clothes Adult]],Table_NFI[Winter Clothes Adult])</f>
        <v>0</v>
      </c>
      <c r="AJ33" s="294">
        <f>IF(NFI_Expiration=1,IF($A33&lt;VLOOKUP(S$5,NFI,5,0),1,0)*Table_NFI[[#This Row],[Winter Clothes Children]],Table_NFI[Winter Clothes Children])</f>
        <v>0</v>
      </c>
      <c r="AK33" s="294">
        <f>IF(NFI_Expiration=1,IF($A33&lt;VLOOKUP(T$5,NFI,5,0),1,0)*Table_NFI[[#This Row],[Winter Items Other]],Table_NFI[Winter Items Other])</f>
        <v>0</v>
      </c>
      <c r="AL33" s="294">
        <f>IF(NFI_Expiration=1,IF($A33&lt;VLOOKUP(M$5,NFI,5,0),1,0)*Table_NFI[[#This Row],[Winter Blanket]],Table_NFI[[#This Row],[Winter Blanket]])</f>
        <v>0</v>
      </c>
      <c r="AM33" s="294">
        <f>IF(Table_NFI[[#This Row],[Winter Clothes Adult]]+Table_NFI[[#This Row],[Winter Clothes Children]]+Table_NFI[[#This Row],[Winter Items Other]]+Table_NFI[[#This Row],[Winter Blanket]]&gt;0,1,0)</f>
        <v>0</v>
      </c>
      <c r="AN33" s="331">
        <f>IF(NFI_Expiration=1,IF($A33&lt;VLOOKUP(V$5,NFI,5,0),1,0)*Table_NFI[[#This Row],[Jerry Can]],Table_NFI[Jerry Can])</f>
        <v>2</v>
      </c>
      <c r="AO33" s="331">
        <f>IF(NFI_Expiration=1,IF($A33&lt;VLOOKUP(V$5,NFI,5,0),1,0)*Table_NFI[[#This Row],[Shelter Tool kit]],Table_NFI[Shelter Tool kit])</f>
        <v>0</v>
      </c>
      <c r="AP33" s="331">
        <f>IF(NFI_Expiration=1,IF($A33&lt;VLOOKUP(V$5,NFI,5,0),1,0)*Table_NFI[[#This Row],[Tent]],Table_NFI[Tent])</f>
        <v>0</v>
      </c>
      <c r="AQ33" s="467" t="str">
        <f>IFERROR(VLOOKUP(Table_NFI[[#This Row],[Camp Name]],CL,2,0),"")</f>
        <v>MMR001CMP071</v>
      </c>
      <c r="AR33" s="835">
        <f ca="1">IF(Table_NFI[[#This Row],[Pcode]]="","",IF(OFFSET(CampList[Opening Date],MATCH(Table_NFI[[#This Row],[Pcode]],CampList[CP_Pcode],0)-1,0,1,1)&gt;=NFI_Monitor_Date,1,0))</f>
        <v>0</v>
      </c>
      <c r="AS33" s="467" t="str">
        <f>IFERROR(VLOOKUP(Table_NFI[[#This Row],[Camp Name]],CL,3,0),"")</f>
        <v>Open</v>
      </c>
      <c r="AT33" s="294" t="str">
        <f ca="1">IF(Table_NFI[[#This Row],[Pcode]]="","",OFFSET(CampList[Priority],MATCH(Table_NFI[[#This Row],[Pcode]],CampList[CP_Pcode],0)-1,0,1,1))</f>
        <v>P3</v>
      </c>
      <c r="AU33" s="293">
        <f>IFERROR(Table_NFI[[#This Row],[Kitchen Set]]/VLOOKUP(Table_NFI[[#This Row],[Camp Name]],CL,4,0),"")</f>
        <v>0</v>
      </c>
      <c r="AV33" s="461"/>
      <c r="AW33" s="468" t="s">
        <v>1468</v>
      </c>
    </row>
    <row r="34" spans="1:49" s="464" customFormat="1" x14ac:dyDescent="0.25">
      <c r="A34" s="297">
        <f t="shared" si="0"/>
        <v>6.166666666666667</v>
      </c>
      <c r="B34" s="460">
        <v>42551</v>
      </c>
      <c r="C34" s="465" t="s">
        <v>905</v>
      </c>
      <c r="D34" s="465" t="s">
        <v>905</v>
      </c>
      <c r="E34" s="465" t="s">
        <v>380</v>
      </c>
      <c r="F34" s="465" t="s">
        <v>185</v>
      </c>
      <c r="G34" s="465" t="s">
        <v>190</v>
      </c>
      <c r="H34" s="292"/>
      <c r="I34" s="292"/>
      <c r="J34" s="292"/>
      <c r="K34" s="292"/>
      <c r="L34" s="292"/>
      <c r="M34" s="292"/>
      <c r="N34" s="292"/>
      <c r="O34" s="292"/>
      <c r="P34" s="294"/>
      <c r="Q34" s="294"/>
      <c r="R34" s="294"/>
      <c r="S34" s="294"/>
      <c r="T34" s="294"/>
      <c r="U34" s="294"/>
      <c r="V34" s="331">
        <v>1</v>
      </c>
      <c r="W34" s="331"/>
      <c r="X34" s="331"/>
      <c r="Y34" s="294">
        <f>IF(NFI_Expiration=1,IF($A34&lt;VLOOKUP(H$5,NFI,5,0),1,0)*Table_NFI[[#This Row],[Hygiene Kit]],Table_NFI[Hygiene Kit])</f>
        <v>0</v>
      </c>
      <c r="Z34" s="294">
        <f>IF(NFI_Expiration=1,IF($A34&lt;VLOOKUP(I$5,NFI,5,0),1,0)*Table_NFI[[#This Row],[NFI Core Kit]],Table_NFI[NFI Core Kit])</f>
        <v>0</v>
      </c>
      <c r="AA34" s="294">
        <f>IF(NFI_Expiration=1,IF($A34&lt;VLOOKUP(J$5,NFI,5,0),1,0)*Table_NFI[[#This Row],[Sanitary Kit]],Table_NFI[Sanitary Kit])</f>
        <v>0</v>
      </c>
      <c r="AB34" s="294">
        <f>IF(NFI_Expiration=1,IF($A34&lt;VLOOKUP(K$5,NFI,5,0),1,0)*Table_NFI[[#This Row],[Mosquito net]],Table_NFI[Mosquito net])</f>
        <v>0</v>
      </c>
      <c r="AC34" s="294">
        <f>IF(NFI_Expiration=1,IF($A34&lt;VLOOKUP(L$5,NFI,5,0),1,0)*Table_NFI[[#This Row],[Tarpaulin]],Table_NFI[[#This Row],[Tarpaulin]])</f>
        <v>0</v>
      </c>
      <c r="AD34" s="294">
        <f>IF(NFI_Expiration=1,IF($A34&lt;VLOOKUP(M$5,NFI,5,0),1,0)*Table_NFI[[#This Row],[Blanket]],Table_NFI[[#This Row],[Blanket]])</f>
        <v>0</v>
      </c>
      <c r="AE34" s="294">
        <f>IF(NFI_Expiration=1,IF($A34&lt;VLOOKUP(N$5,NFI,5,0),1,0)*Table_NFI[[#This Row],[Kitchen Set]],Table_NFI[Kitchen Set])</f>
        <v>0</v>
      </c>
      <c r="AF34" s="294">
        <f>IF(NFI_Expiration=1,IF($A34&lt;VLOOKUP(O$5,NFI,5,0),1,0)*Table_NFI[[#This Row],[Clothes Kit]],Table_NFI[Clothes Kit])</f>
        <v>0</v>
      </c>
      <c r="AG34" s="294">
        <f>IF(NFI_Expiration=1,IF($A34&lt;VLOOKUP(P$5,NFI,5,0),1,0)*Table_NFI[[#This Row],[Plastic Bucket]],Table_NFI[Plastic Bucket])</f>
        <v>0</v>
      </c>
      <c r="AH34" s="294">
        <f>IF(NFI_Expiration=1,IF($A34&lt;VLOOKUP(Q$5,NFI,5,0),1,0)*Table_NFI[[#This Row],[Plastic Mat]],Table_NFI[Plastic Mat])*IF(Table_NFI[[#This Row],[Distribution Date]]&gt;"2014-04-01",1,2.5)</f>
        <v>0</v>
      </c>
      <c r="AI34" s="294">
        <f>IF(NFI_Expiration=1,IF($A34&lt;VLOOKUP(R$5,NFI,5,0),1,0)*Table_NFI[[#This Row],[Winter Clothes Adult]],Table_NFI[Winter Clothes Adult])</f>
        <v>0</v>
      </c>
      <c r="AJ34" s="294">
        <f>IF(NFI_Expiration=1,IF($A34&lt;VLOOKUP(S$5,NFI,5,0),1,0)*Table_NFI[[#This Row],[Winter Clothes Children]],Table_NFI[Winter Clothes Children])</f>
        <v>0</v>
      </c>
      <c r="AK34" s="294">
        <f>IF(NFI_Expiration=1,IF($A34&lt;VLOOKUP(T$5,NFI,5,0),1,0)*Table_NFI[[#This Row],[Winter Items Other]],Table_NFI[Winter Items Other])</f>
        <v>0</v>
      </c>
      <c r="AL34" s="294">
        <f>IF(NFI_Expiration=1,IF($A34&lt;VLOOKUP(M$5,NFI,5,0),1,0)*Table_NFI[[#This Row],[Winter Blanket]],Table_NFI[[#This Row],[Winter Blanket]])</f>
        <v>0</v>
      </c>
      <c r="AM34" s="294">
        <f>IF(Table_NFI[[#This Row],[Winter Clothes Adult]]+Table_NFI[[#This Row],[Winter Clothes Children]]+Table_NFI[[#This Row],[Winter Items Other]]+Table_NFI[[#This Row],[Winter Blanket]]&gt;0,1,0)</f>
        <v>0</v>
      </c>
      <c r="AN34" s="331">
        <f>IF(NFI_Expiration=1,IF($A34&lt;VLOOKUP(V$5,NFI,5,0),1,0)*Table_NFI[[#This Row],[Jerry Can]],Table_NFI[Jerry Can])</f>
        <v>1</v>
      </c>
      <c r="AO34" s="331">
        <f>IF(NFI_Expiration=1,IF($A34&lt;VLOOKUP(V$5,NFI,5,0),1,0)*Table_NFI[[#This Row],[Shelter Tool kit]],Table_NFI[Shelter Tool kit])</f>
        <v>0</v>
      </c>
      <c r="AP34" s="331">
        <f>IF(NFI_Expiration=1,IF($A34&lt;VLOOKUP(V$5,NFI,5,0),1,0)*Table_NFI[[#This Row],[Tent]],Table_NFI[Tent])</f>
        <v>0</v>
      </c>
      <c r="AQ34" s="467" t="str">
        <f>IFERROR(VLOOKUP(Table_NFI[[#This Row],[Camp Name]],CL,2,0),"")</f>
        <v>MMR001CMP070</v>
      </c>
      <c r="AR34" s="835">
        <f ca="1">IF(Table_NFI[[#This Row],[Pcode]]="","",IF(OFFSET(CampList[Opening Date],MATCH(Table_NFI[[#This Row],[Pcode]],CampList[CP_Pcode],0)-1,0,1,1)&gt;=NFI_Monitor_Date,1,0))</f>
        <v>0</v>
      </c>
      <c r="AS34" s="467" t="str">
        <f>IFERROR(VLOOKUP(Table_NFI[[#This Row],[Camp Name]],CL,3,0),"")</f>
        <v>Open</v>
      </c>
      <c r="AT34" s="294" t="str">
        <f ca="1">IF(Table_NFI[[#This Row],[Pcode]]="","",OFFSET(CampList[Priority],MATCH(Table_NFI[[#This Row],[Pcode]],CampList[CP_Pcode],0)-1,0,1,1))</f>
        <v>P3</v>
      </c>
      <c r="AU34" s="293">
        <f>IFERROR(Table_NFI[[#This Row],[Kitchen Set]]/VLOOKUP(Table_NFI[[#This Row],[Camp Name]],CL,4,0),"")</f>
        <v>0</v>
      </c>
      <c r="AV34" s="461"/>
      <c r="AW34" s="468" t="s">
        <v>1468</v>
      </c>
    </row>
    <row r="35" spans="1:49" s="464" customFormat="1" ht="15" customHeight="1" x14ac:dyDescent="0.25">
      <c r="A35" s="297">
        <f t="shared" si="0"/>
        <v>6.166666666666667</v>
      </c>
      <c r="B35" s="460">
        <v>42551</v>
      </c>
      <c r="C35" s="465" t="s">
        <v>905</v>
      </c>
      <c r="D35" s="465" t="s">
        <v>905</v>
      </c>
      <c r="E35" s="465" t="s">
        <v>380</v>
      </c>
      <c r="F35" s="465" t="s">
        <v>185</v>
      </c>
      <c r="G35" s="465" t="s">
        <v>229</v>
      </c>
      <c r="H35" s="292"/>
      <c r="I35" s="292"/>
      <c r="J35" s="292"/>
      <c r="K35" s="292"/>
      <c r="L35" s="292"/>
      <c r="M35" s="292"/>
      <c r="N35" s="292"/>
      <c r="O35" s="292"/>
      <c r="P35" s="294"/>
      <c r="Q35" s="294"/>
      <c r="R35" s="294"/>
      <c r="S35" s="294"/>
      <c r="T35" s="294"/>
      <c r="U35" s="294"/>
      <c r="V35" s="331">
        <v>1</v>
      </c>
      <c r="W35" s="331"/>
      <c r="X35" s="331"/>
      <c r="Y35" s="294">
        <f>IF(NFI_Expiration=1,IF($A35&lt;VLOOKUP(H$5,NFI,5,0),1,0)*Table_NFI[[#This Row],[Hygiene Kit]],Table_NFI[Hygiene Kit])</f>
        <v>0</v>
      </c>
      <c r="Z35" s="294">
        <f>IF(NFI_Expiration=1,IF($A35&lt;VLOOKUP(I$5,NFI,5,0),1,0)*Table_NFI[[#This Row],[NFI Core Kit]],Table_NFI[NFI Core Kit])</f>
        <v>0</v>
      </c>
      <c r="AA35" s="294">
        <f>IF(NFI_Expiration=1,IF($A35&lt;VLOOKUP(J$5,NFI,5,0),1,0)*Table_NFI[[#This Row],[Sanitary Kit]],Table_NFI[Sanitary Kit])</f>
        <v>0</v>
      </c>
      <c r="AB35" s="294">
        <f>IF(NFI_Expiration=1,IF($A35&lt;VLOOKUP(K$5,NFI,5,0),1,0)*Table_NFI[[#This Row],[Mosquito net]],Table_NFI[Mosquito net])</f>
        <v>0</v>
      </c>
      <c r="AC35" s="294">
        <f>IF(NFI_Expiration=1,IF($A35&lt;VLOOKUP(L$5,NFI,5,0),1,0)*Table_NFI[[#This Row],[Tarpaulin]],Table_NFI[[#This Row],[Tarpaulin]])</f>
        <v>0</v>
      </c>
      <c r="AD35" s="294">
        <f>IF(NFI_Expiration=1,IF($A35&lt;VLOOKUP(M$5,NFI,5,0),1,0)*Table_NFI[[#This Row],[Blanket]],Table_NFI[[#This Row],[Blanket]])</f>
        <v>0</v>
      </c>
      <c r="AE35" s="294">
        <f>IF(NFI_Expiration=1,IF($A35&lt;VLOOKUP(N$5,NFI,5,0),1,0)*Table_NFI[[#This Row],[Kitchen Set]],Table_NFI[Kitchen Set])</f>
        <v>0</v>
      </c>
      <c r="AF35" s="294">
        <f>IF(NFI_Expiration=1,IF($A35&lt;VLOOKUP(O$5,NFI,5,0),1,0)*Table_NFI[[#This Row],[Clothes Kit]],Table_NFI[Clothes Kit])</f>
        <v>0</v>
      </c>
      <c r="AG35" s="294">
        <f>IF(NFI_Expiration=1,IF($A35&lt;VLOOKUP(P$5,NFI,5,0),1,0)*Table_NFI[[#This Row],[Plastic Bucket]],Table_NFI[Plastic Bucket])</f>
        <v>0</v>
      </c>
      <c r="AH35" s="294">
        <f>IF(NFI_Expiration=1,IF($A35&lt;VLOOKUP(Q$5,NFI,5,0),1,0)*Table_NFI[[#This Row],[Plastic Mat]],Table_NFI[Plastic Mat])*IF(Table_NFI[[#This Row],[Distribution Date]]&gt;"2014-04-01",1,2.5)</f>
        <v>0</v>
      </c>
      <c r="AI35" s="294">
        <f>IF(NFI_Expiration=1,IF($A35&lt;VLOOKUP(R$5,NFI,5,0),1,0)*Table_NFI[[#This Row],[Winter Clothes Adult]],Table_NFI[Winter Clothes Adult])</f>
        <v>0</v>
      </c>
      <c r="AJ35" s="294">
        <f>IF(NFI_Expiration=1,IF($A35&lt;VLOOKUP(S$5,NFI,5,0),1,0)*Table_NFI[[#This Row],[Winter Clothes Children]],Table_NFI[Winter Clothes Children])</f>
        <v>0</v>
      </c>
      <c r="AK35" s="294">
        <f>IF(NFI_Expiration=1,IF($A35&lt;VLOOKUP(T$5,NFI,5,0),1,0)*Table_NFI[[#This Row],[Winter Items Other]],Table_NFI[Winter Items Other])</f>
        <v>0</v>
      </c>
      <c r="AL35" s="294">
        <f>IF(NFI_Expiration=1,IF($A35&lt;VLOOKUP(M$5,NFI,5,0),1,0)*Table_NFI[[#This Row],[Winter Blanket]],Table_NFI[[#This Row],[Winter Blanket]])</f>
        <v>0</v>
      </c>
      <c r="AM35" s="294">
        <f>IF(Table_NFI[[#This Row],[Winter Clothes Adult]]+Table_NFI[[#This Row],[Winter Clothes Children]]+Table_NFI[[#This Row],[Winter Items Other]]+Table_NFI[[#This Row],[Winter Blanket]]&gt;0,1,0)</f>
        <v>0</v>
      </c>
      <c r="AN35" s="331">
        <f>IF(NFI_Expiration=1,IF($A35&lt;VLOOKUP(V$5,NFI,5,0),1,0)*Table_NFI[[#This Row],[Jerry Can]],Table_NFI[Jerry Can])</f>
        <v>1</v>
      </c>
      <c r="AO35" s="331">
        <f>IF(NFI_Expiration=1,IF($A35&lt;VLOOKUP(V$5,NFI,5,0),1,0)*Table_NFI[[#This Row],[Shelter Tool kit]],Table_NFI[Shelter Tool kit])</f>
        <v>0</v>
      </c>
      <c r="AP35" s="331">
        <f>IF(NFI_Expiration=1,IF($A35&lt;VLOOKUP(V$5,NFI,5,0),1,0)*Table_NFI[[#This Row],[Tent]],Table_NFI[Tent])</f>
        <v>0</v>
      </c>
      <c r="AQ35" s="467" t="str">
        <f>IFERROR(VLOOKUP(Table_NFI[[#This Row],[Camp Name]],CL,2,0),"")</f>
        <v>MMR001CMP072</v>
      </c>
      <c r="AR35" s="835">
        <f ca="1">IF(Table_NFI[[#This Row],[Pcode]]="","",IF(OFFSET(CampList[Opening Date],MATCH(Table_NFI[[#This Row],[Pcode]],CampList[CP_Pcode],0)-1,0,1,1)&gt;=NFI_Monitor_Date,1,0))</f>
        <v>0</v>
      </c>
      <c r="AS35" s="467" t="str">
        <f>IFERROR(VLOOKUP(Table_NFI[[#This Row],[Camp Name]],CL,3,0),"")</f>
        <v>Open</v>
      </c>
      <c r="AT35" s="294" t="str">
        <f ca="1">IF(Table_NFI[[#This Row],[Pcode]]="","",OFFSET(CampList[Priority],MATCH(Table_NFI[[#This Row],[Pcode]],CampList[CP_Pcode],0)-1,0,1,1))</f>
        <v>P3</v>
      </c>
      <c r="AU35" s="293">
        <f>IFERROR(Table_NFI[[#This Row],[Kitchen Set]]/VLOOKUP(Table_NFI[[#This Row],[Camp Name]],CL,4,0),"")</f>
        <v>0</v>
      </c>
      <c r="AV35" s="461"/>
      <c r="AW35" s="468" t="s">
        <v>1468</v>
      </c>
    </row>
    <row r="36" spans="1:49" s="464" customFormat="1" x14ac:dyDescent="0.25">
      <c r="A36" s="297">
        <f t="shared" si="0"/>
        <v>6.166666666666667</v>
      </c>
      <c r="B36" s="460">
        <v>42551</v>
      </c>
      <c r="C36" s="465" t="s">
        <v>905</v>
      </c>
      <c r="D36" s="465" t="s">
        <v>905</v>
      </c>
      <c r="E36" s="465" t="s">
        <v>380</v>
      </c>
      <c r="F36" s="465" t="s">
        <v>5</v>
      </c>
      <c r="G36" s="465" t="s">
        <v>366</v>
      </c>
      <c r="H36" s="292"/>
      <c r="I36" s="292"/>
      <c r="J36" s="292"/>
      <c r="K36" s="292"/>
      <c r="L36" s="292"/>
      <c r="M36" s="292"/>
      <c r="N36" s="292"/>
      <c r="O36" s="292"/>
      <c r="P36" s="294"/>
      <c r="Q36" s="294"/>
      <c r="R36" s="294"/>
      <c r="S36" s="294"/>
      <c r="T36" s="294"/>
      <c r="U36" s="294"/>
      <c r="V36" s="331">
        <v>4</v>
      </c>
      <c r="W36" s="331"/>
      <c r="X36" s="331"/>
      <c r="Y36" s="294">
        <f>IF(NFI_Expiration=1,IF($A36&lt;VLOOKUP(H$5,NFI,5,0),1,0)*Table_NFI[[#This Row],[Hygiene Kit]],Table_NFI[Hygiene Kit])</f>
        <v>0</v>
      </c>
      <c r="Z36" s="294">
        <f>IF(NFI_Expiration=1,IF($A36&lt;VLOOKUP(I$5,NFI,5,0),1,0)*Table_NFI[[#This Row],[NFI Core Kit]],Table_NFI[NFI Core Kit])</f>
        <v>0</v>
      </c>
      <c r="AA36" s="294">
        <f>IF(NFI_Expiration=1,IF($A36&lt;VLOOKUP(J$5,NFI,5,0),1,0)*Table_NFI[[#This Row],[Sanitary Kit]],Table_NFI[Sanitary Kit])</f>
        <v>0</v>
      </c>
      <c r="AB36" s="294">
        <f>IF(NFI_Expiration=1,IF($A36&lt;VLOOKUP(K$5,NFI,5,0),1,0)*Table_NFI[[#This Row],[Mosquito net]],Table_NFI[Mosquito net])</f>
        <v>0</v>
      </c>
      <c r="AC36" s="294">
        <f>IF(NFI_Expiration=1,IF($A36&lt;VLOOKUP(L$5,NFI,5,0),1,0)*Table_NFI[[#This Row],[Tarpaulin]],Table_NFI[[#This Row],[Tarpaulin]])</f>
        <v>0</v>
      </c>
      <c r="AD36" s="294">
        <f>IF(NFI_Expiration=1,IF($A36&lt;VLOOKUP(M$5,NFI,5,0),1,0)*Table_NFI[[#This Row],[Blanket]],Table_NFI[[#This Row],[Blanket]])</f>
        <v>0</v>
      </c>
      <c r="AE36" s="294">
        <f>IF(NFI_Expiration=1,IF($A36&lt;VLOOKUP(N$5,NFI,5,0),1,0)*Table_NFI[[#This Row],[Kitchen Set]],Table_NFI[Kitchen Set])</f>
        <v>0</v>
      </c>
      <c r="AF36" s="294">
        <f>IF(NFI_Expiration=1,IF($A36&lt;VLOOKUP(O$5,NFI,5,0),1,0)*Table_NFI[[#This Row],[Clothes Kit]],Table_NFI[Clothes Kit])</f>
        <v>0</v>
      </c>
      <c r="AG36" s="294">
        <f>IF(NFI_Expiration=1,IF($A36&lt;VLOOKUP(P$5,NFI,5,0),1,0)*Table_NFI[[#This Row],[Plastic Bucket]],Table_NFI[Plastic Bucket])</f>
        <v>0</v>
      </c>
      <c r="AH36" s="294">
        <f>IF(NFI_Expiration=1,IF($A36&lt;VLOOKUP(Q$5,NFI,5,0),1,0)*Table_NFI[[#This Row],[Plastic Mat]],Table_NFI[Plastic Mat])*IF(Table_NFI[[#This Row],[Distribution Date]]&gt;"2014-04-01",1,2.5)</f>
        <v>0</v>
      </c>
      <c r="AI36" s="294">
        <f>IF(NFI_Expiration=1,IF($A36&lt;VLOOKUP(R$5,NFI,5,0),1,0)*Table_NFI[[#This Row],[Winter Clothes Adult]],Table_NFI[Winter Clothes Adult])</f>
        <v>0</v>
      </c>
      <c r="AJ36" s="294">
        <f>IF(NFI_Expiration=1,IF($A36&lt;VLOOKUP(S$5,NFI,5,0),1,0)*Table_NFI[[#This Row],[Winter Clothes Children]],Table_NFI[Winter Clothes Children])</f>
        <v>0</v>
      </c>
      <c r="AK36" s="294">
        <f>IF(NFI_Expiration=1,IF($A36&lt;VLOOKUP(T$5,NFI,5,0),1,0)*Table_NFI[[#This Row],[Winter Items Other]],Table_NFI[Winter Items Other])</f>
        <v>0</v>
      </c>
      <c r="AL36" s="294">
        <f>IF(NFI_Expiration=1,IF($A36&lt;VLOOKUP(M$5,NFI,5,0),1,0)*Table_NFI[[#This Row],[Winter Blanket]],Table_NFI[[#This Row],[Winter Blanket]])</f>
        <v>0</v>
      </c>
      <c r="AM36" s="294">
        <f>IF(Table_NFI[[#This Row],[Winter Clothes Adult]]+Table_NFI[[#This Row],[Winter Clothes Children]]+Table_NFI[[#This Row],[Winter Items Other]]+Table_NFI[[#This Row],[Winter Blanket]]&gt;0,1,0)</f>
        <v>0</v>
      </c>
      <c r="AN36" s="331">
        <f>IF(NFI_Expiration=1,IF($A36&lt;VLOOKUP(V$5,NFI,5,0),1,0)*Table_NFI[[#This Row],[Jerry Can]],Table_NFI[Jerry Can])</f>
        <v>4</v>
      </c>
      <c r="AO36" s="331">
        <f>IF(NFI_Expiration=1,IF($A36&lt;VLOOKUP(V$5,NFI,5,0),1,0)*Table_NFI[[#This Row],[Shelter Tool kit]],Table_NFI[Shelter Tool kit])</f>
        <v>0</v>
      </c>
      <c r="AP36" s="331">
        <f>IF(NFI_Expiration=1,IF($A36&lt;VLOOKUP(V$5,NFI,5,0),1,0)*Table_NFI[[#This Row],[Tent]],Table_NFI[Tent])</f>
        <v>0</v>
      </c>
      <c r="AQ36" s="467" t="str">
        <f>IFERROR(VLOOKUP(Table_NFI[[#This Row],[Camp Name]],CL,2,0),"")</f>
        <v>MMR001CMP193</v>
      </c>
      <c r="AR36" s="835">
        <f ca="1">IF(Table_NFI[[#This Row],[Pcode]]="","",IF(OFFSET(CampList[Opening Date],MATCH(Table_NFI[[#This Row],[Pcode]],CampList[CP_Pcode],0)-1,0,1,1)&gt;=NFI_Monitor_Date,1,0))</f>
        <v>0</v>
      </c>
      <c r="AS36" s="467" t="str">
        <f>IFERROR(VLOOKUP(Table_NFI[[#This Row],[Camp Name]],CL,3,0),"")</f>
        <v>Open</v>
      </c>
      <c r="AT36" s="294" t="str">
        <f ca="1">IF(Table_NFI[[#This Row],[Pcode]]="","",OFFSET(CampList[Priority],MATCH(Table_NFI[[#This Row],[Pcode]],CampList[CP_Pcode],0)-1,0,1,1))</f>
        <v>P4</v>
      </c>
      <c r="AU36" s="293">
        <f>IFERROR(Table_NFI[[#This Row],[Kitchen Set]]/VLOOKUP(Table_NFI[[#This Row],[Camp Name]],CL,4,0),"")</f>
        <v>0</v>
      </c>
      <c r="AV36" s="461"/>
      <c r="AW36" s="468" t="s">
        <v>1468</v>
      </c>
    </row>
    <row r="37" spans="1:49" s="464" customFormat="1" x14ac:dyDescent="0.25">
      <c r="A37" s="297">
        <f t="shared" si="0"/>
        <v>6.166666666666667</v>
      </c>
      <c r="B37" s="460">
        <v>42551</v>
      </c>
      <c r="C37" s="465" t="s">
        <v>905</v>
      </c>
      <c r="D37" s="465" t="s">
        <v>905</v>
      </c>
      <c r="E37" s="465" t="s">
        <v>380</v>
      </c>
      <c r="F37" s="465" t="s">
        <v>185</v>
      </c>
      <c r="G37" s="465" t="s">
        <v>225</v>
      </c>
      <c r="H37" s="292"/>
      <c r="I37" s="292"/>
      <c r="J37" s="292"/>
      <c r="K37" s="292"/>
      <c r="L37" s="292"/>
      <c r="M37" s="292"/>
      <c r="N37" s="292"/>
      <c r="O37" s="292"/>
      <c r="P37" s="294"/>
      <c r="Q37" s="294"/>
      <c r="R37" s="294"/>
      <c r="S37" s="294"/>
      <c r="T37" s="294"/>
      <c r="U37" s="294"/>
      <c r="V37" s="331">
        <v>1</v>
      </c>
      <c r="W37" s="294"/>
      <c r="X37" s="294"/>
      <c r="Y37" s="294">
        <f>IF(NFI_Expiration=1,IF($A37&lt;VLOOKUP(H$5,NFI,5,0),1,0)*Table_NFI[[#This Row],[Hygiene Kit]],Table_NFI[Hygiene Kit])</f>
        <v>0</v>
      </c>
      <c r="Z37" s="294">
        <f>IF(NFI_Expiration=1,IF($A37&lt;VLOOKUP(I$5,NFI,5,0),1,0)*Table_NFI[[#This Row],[NFI Core Kit]],Table_NFI[NFI Core Kit])</f>
        <v>0</v>
      </c>
      <c r="AA37" s="294">
        <f>IF(NFI_Expiration=1,IF($A37&lt;VLOOKUP(J$5,NFI,5,0),1,0)*Table_NFI[[#This Row],[Sanitary Kit]],Table_NFI[Sanitary Kit])</f>
        <v>0</v>
      </c>
      <c r="AB37" s="294">
        <f>IF(NFI_Expiration=1,IF($A37&lt;VLOOKUP(K$5,NFI,5,0),1,0)*Table_NFI[[#This Row],[Mosquito net]],Table_NFI[Mosquito net])</f>
        <v>0</v>
      </c>
      <c r="AC37" s="294">
        <f>IF(NFI_Expiration=1,IF($A37&lt;VLOOKUP(L$5,NFI,5,0),1,0)*Table_NFI[[#This Row],[Tarpaulin]],Table_NFI[[#This Row],[Tarpaulin]])</f>
        <v>0</v>
      </c>
      <c r="AD37" s="294">
        <f>IF(NFI_Expiration=1,IF($A37&lt;VLOOKUP(M$5,NFI,5,0),1,0)*Table_NFI[[#This Row],[Blanket]],Table_NFI[[#This Row],[Blanket]])</f>
        <v>0</v>
      </c>
      <c r="AE37" s="294">
        <f>IF(NFI_Expiration=1,IF($A37&lt;VLOOKUP(N$5,NFI,5,0),1,0)*Table_NFI[[#This Row],[Kitchen Set]],Table_NFI[Kitchen Set])</f>
        <v>0</v>
      </c>
      <c r="AF37" s="294">
        <f>IF(NFI_Expiration=1,IF($A37&lt;VLOOKUP(O$5,NFI,5,0),1,0)*Table_NFI[[#This Row],[Clothes Kit]],Table_NFI[Clothes Kit])</f>
        <v>0</v>
      </c>
      <c r="AG37" s="294">
        <f>IF(NFI_Expiration=1,IF($A37&lt;VLOOKUP(P$5,NFI,5,0),1,0)*Table_NFI[[#This Row],[Plastic Bucket]],Table_NFI[Plastic Bucket])</f>
        <v>0</v>
      </c>
      <c r="AH37" s="294">
        <f>IF(NFI_Expiration=1,IF($A37&lt;VLOOKUP(Q$5,NFI,5,0),1,0)*Table_NFI[[#This Row],[Plastic Mat]],Table_NFI[Plastic Mat])*IF(Table_NFI[[#This Row],[Distribution Date]]&gt;"2014-04-01",1,2.5)</f>
        <v>0</v>
      </c>
      <c r="AI37" s="294">
        <f>IF(NFI_Expiration=1,IF($A37&lt;VLOOKUP(R$5,NFI,5,0),1,0)*Table_NFI[[#This Row],[Winter Clothes Adult]],Table_NFI[Winter Clothes Adult])</f>
        <v>0</v>
      </c>
      <c r="AJ37" s="294">
        <f>IF(NFI_Expiration=1,IF($A37&lt;VLOOKUP(S$5,NFI,5,0),1,0)*Table_NFI[[#This Row],[Winter Clothes Children]],Table_NFI[Winter Clothes Children])</f>
        <v>0</v>
      </c>
      <c r="AK37" s="294">
        <f>IF(NFI_Expiration=1,IF($A37&lt;VLOOKUP(T$5,NFI,5,0),1,0)*Table_NFI[[#This Row],[Winter Items Other]],Table_NFI[Winter Items Other])</f>
        <v>0</v>
      </c>
      <c r="AL37" s="294">
        <f>IF(NFI_Expiration=1,IF($A37&lt;VLOOKUP(M$5,NFI,5,0),1,0)*Table_NFI[[#This Row],[Winter Blanket]],Table_NFI[[#This Row],[Winter Blanket]])</f>
        <v>0</v>
      </c>
      <c r="AM37" s="294">
        <f>IF(Table_NFI[[#This Row],[Winter Clothes Adult]]+Table_NFI[[#This Row],[Winter Clothes Children]]+Table_NFI[[#This Row],[Winter Items Other]]+Table_NFI[[#This Row],[Winter Blanket]]&gt;0,1,0)</f>
        <v>0</v>
      </c>
      <c r="AN37" s="331">
        <f>IF(NFI_Expiration=1,IF($A37&lt;VLOOKUP(V$5,NFI,5,0),1,0)*Table_NFI[[#This Row],[Jerry Can]],Table_NFI[Jerry Can])</f>
        <v>1</v>
      </c>
      <c r="AO37" s="331">
        <f>IF(NFI_Expiration=1,IF($A37&lt;VLOOKUP(V$5,NFI,5,0),1,0)*Table_NFI[[#This Row],[Shelter Tool kit]],Table_NFI[Shelter Tool kit])</f>
        <v>0</v>
      </c>
      <c r="AP37" s="331">
        <f>IF(NFI_Expiration=1,IF($A37&lt;VLOOKUP(V$5,NFI,5,0),1,0)*Table_NFI[[#This Row],[Tent]],Table_NFI[Tent])</f>
        <v>0</v>
      </c>
      <c r="AQ37" s="467" t="str">
        <f>IFERROR(VLOOKUP(Table_NFI[[#This Row],[Camp Name]],CL,2,0),"")</f>
        <v>MMR001CMP073</v>
      </c>
      <c r="AR37" s="835">
        <f ca="1">IF(Table_NFI[[#This Row],[Pcode]]="","",IF(OFFSET(CampList[Opening Date],MATCH(Table_NFI[[#This Row],[Pcode]],CampList[CP_Pcode],0)-1,0,1,1)&gt;=NFI_Monitor_Date,1,0))</f>
        <v>0</v>
      </c>
      <c r="AS37" s="467" t="str">
        <f>IFERROR(VLOOKUP(Table_NFI[[#This Row],[Camp Name]],CL,3,0),"")</f>
        <v>Open</v>
      </c>
      <c r="AT37" s="294" t="str">
        <f ca="1">IF(Table_NFI[[#This Row],[Pcode]]="","",OFFSET(CampList[Priority],MATCH(Table_NFI[[#This Row],[Pcode]],CampList[CP_Pcode],0)-1,0,1,1))</f>
        <v>P3</v>
      </c>
      <c r="AU37" s="293">
        <f>IFERROR(Table_NFI[[#This Row],[Kitchen Set]]/VLOOKUP(Table_NFI[[#This Row],[Camp Name]],CL,4,0),"")</f>
        <v>0</v>
      </c>
      <c r="AV37" s="461"/>
      <c r="AW37" s="468" t="s">
        <v>1468</v>
      </c>
    </row>
    <row r="38" spans="1:49" s="464" customFormat="1" x14ac:dyDescent="0.25">
      <c r="A38" s="297">
        <f t="shared" si="0"/>
        <v>6.166666666666667</v>
      </c>
      <c r="B38" s="460">
        <v>42551</v>
      </c>
      <c r="C38" s="465" t="s">
        <v>905</v>
      </c>
      <c r="D38" s="465" t="s">
        <v>905</v>
      </c>
      <c r="E38" s="465" t="s">
        <v>380</v>
      </c>
      <c r="F38" s="465" t="s">
        <v>5</v>
      </c>
      <c r="G38" s="465" t="s">
        <v>24</v>
      </c>
      <c r="H38" s="292"/>
      <c r="I38" s="292"/>
      <c r="J38" s="292"/>
      <c r="K38" s="292"/>
      <c r="L38" s="292"/>
      <c r="M38" s="292"/>
      <c r="N38" s="292"/>
      <c r="O38" s="292"/>
      <c r="P38" s="294"/>
      <c r="Q38" s="294"/>
      <c r="R38" s="294"/>
      <c r="S38" s="294"/>
      <c r="T38" s="294"/>
      <c r="U38" s="294"/>
      <c r="V38" s="331">
        <v>2</v>
      </c>
      <c r="W38" s="331"/>
      <c r="X38" s="331"/>
      <c r="Y38" s="294">
        <f>IF(NFI_Expiration=1,IF($A38&lt;VLOOKUP(H$5,NFI,5,0),1,0)*Table_NFI[[#This Row],[Hygiene Kit]],Table_NFI[Hygiene Kit])</f>
        <v>0</v>
      </c>
      <c r="Z38" s="294">
        <f>IF(NFI_Expiration=1,IF($A38&lt;VLOOKUP(I$5,NFI,5,0),1,0)*Table_NFI[[#This Row],[NFI Core Kit]],Table_NFI[NFI Core Kit])</f>
        <v>0</v>
      </c>
      <c r="AA38" s="294">
        <f>IF(NFI_Expiration=1,IF($A38&lt;VLOOKUP(J$5,NFI,5,0),1,0)*Table_NFI[[#This Row],[Sanitary Kit]],Table_NFI[Sanitary Kit])</f>
        <v>0</v>
      </c>
      <c r="AB38" s="294">
        <f>IF(NFI_Expiration=1,IF($A38&lt;VLOOKUP(K$5,NFI,5,0),1,0)*Table_NFI[[#This Row],[Mosquito net]],Table_NFI[Mosquito net])</f>
        <v>0</v>
      </c>
      <c r="AC38" s="294">
        <f>IF(NFI_Expiration=1,IF($A38&lt;VLOOKUP(L$5,NFI,5,0),1,0)*Table_NFI[[#This Row],[Tarpaulin]],Table_NFI[[#This Row],[Tarpaulin]])</f>
        <v>0</v>
      </c>
      <c r="AD38" s="294">
        <f>IF(NFI_Expiration=1,IF($A38&lt;VLOOKUP(M$5,NFI,5,0),1,0)*Table_NFI[[#This Row],[Blanket]],Table_NFI[[#This Row],[Blanket]])</f>
        <v>0</v>
      </c>
      <c r="AE38" s="294">
        <f>IF(NFI_Expiration=1,IF($A38&lt;VLOOKUP(N$5,NFI,5,0),1,0)*Table_NFI[[#This Row],[Kitchen Set]],Table_NFI[Kitchen Set])</f>
        <v>0</v>
      </c>
      <c r="AF38" s="294">
        <f>IF(NFI_Expiration=1,IF($A38&lt;VLOOKUP(O$5,NFI,5,0),1,0)*Table_NFI[[#This Row],[Clothes Kit]],Table_NFI[Clothes Kit])</f>
        <v>0</v>
      </c>
      <c r="AG38" s="294">
        <f>IF(NFI_Expiration=1,IF($A38&lt;VLOOKUP(P$5,NFI,5,0),1,0)*Table_NFI[[#This Row],[Plastic Bucket]],Table_NFI[Plastic Bucket])</f>
        <v>0</v>
      </c>
      <c r="AH38" s="294">
        <f>IF(NFI_Expiration=1,IF($A38&lt;VLOOKUP(Q$5,NFI,5,0),1,0)*Table_NFI[[#This Row],[Plastic Mat]],Table_NFI[Plastic Mat])*IF(Table_NFI[[#This Row],[Distribution Date]]&gt;"2014-04-01",1,2.5)</f>
        <v>0</v>
      </c>
      <c r="AI38" s="294">
        <f>IF(NFI_Expiration=1,IF($A38&lt;VLOOKUP(R$5,NFI,5,0),1,0)*Table_NFI[[#This Row],[Winter Clothes Adult]],Table_NFI[Winter Clothes Adult])</f>
        <v>0</v>
      </c>
      <c r="AJ38" s="294">
        <f>IF(NFI_Expiration=1,IF($A38&lt;VLOOKUP(S$5,NFI,5,0),1,0)*Table_NFI[[#This Row],[Winter Clothes Children]],Table_NFI[Winter Clothes Children])</f>
        <v>0</v>
      </c>
      <c r="AK38" s="294">
        <f>IF(NFI_Expiration=1,IF($A38&lt;VLOOKUP(T$5,NFI,5,0),1,0)*Table_NFI[[#This Row],[Winter Items Other]],Table_NFI[Winter Items Other])</f>
        <v>0</v>
      </c>
      <c r="AL38" s="294">
        <f>IF(NFI_Expiration=1,IF($A38&lt;VLOOKUP(M$5,NFI,5,0),1,0)*Table_NFI[[#This Row],[Winter Blanket]],Table_NFI[[#This Row],[Winter Blanket]])</f>
        <v>0</v>
      </c>
      <c r="AM38" s="294">
        <f>IF(Table_NFI[[#This Row],[Winter Clothes Adult]]+Table_NFI[[#This Row],[Winter Clothes Children]]+Table_NFI[[#This Row],[Winter Items Other]]+Table_NFI[[#This Row],[Winter Blanket]]&gt;0,1,0)</f>
        <v>0</v>
      </c>
      <c r="AN38" s="331">
        <f>IF(NFI_Expiration=1,IF($A38&lt;VLOOKUP(V$5,NFI,5,0),1,0)*Table_NFI[[#This Row],[Jerry Can]],Table_NFI[Jerry Can])</f>
        <v>2</v>
      </c>
      <c r="AO38" s="331">
        <f>IF(NFI_Expiration=1,IF($A38&lt;VLOOKUP(V$5,NFI,5,0),1,0)*Table_NFI[[#This Row],[Shelter Tool kit]],Table_NFI[Shelter Tool kit])</f>
        <v>0</v>
      </c>
      <c r="AP38" s="331">
        <f>IF(NFI_Expiration=1,IF($A38&lt;VLOOKUP(V$5,NFI,5,0),1,0)*Table_NFI[[#This Row],[Tent]],Table_NFI[Tent])</f>
        <v>0</v>
      </c>
      <c r="AQ38" s="467" t="str">
        <f>IFERROR(VLOOKUP(Table_NFI[[#This Row],[Camp Name]],CL,2,0),"")</f>
        <v>MMR001CMP055</v>
      </c>
      <c r="AR38" s="835">
        <f ca="1">IF(Table_NFI[[#This Row],[Pcode]]="","",IF(OFFSET(CampList[Opening Date],MATCH(Table_NFI[[#This Row],[Pcode]],CampList[CP_Pcode],0)-1,0,1,1)&gt;=NFI_Monitor_Date,1,0))</f>
        <v>0</v>
      </c>
      <c r="AS38" s="467" t="str">
        <f>IFERROR(VLOOKUP(Table_NFI[[#This Row],[Camp Name]],CL,3,0),"")</f>
        <v>Open</v>
      </c>
      <c r="AT38" s="294" t="str">
        <f ca="1">IF(Table_NFI[[#This Row],[Pcode]]="","",OFFSET(CampList[Priority],MATCH(Table_NFI[[#This Row],[Pcode]],CampList[CP_Pcode],0)-1,0,1,1))</f>
        <v>P4</v>
      </c>
      <c r="AU38" s="293">
        <f>IFERROR(Table_NFI[[#This Row],[Kitchen Set]]/VLOOKUP(Table_NFI[[#This Row],[Camp Name]],CL,4,0),"")</f>
        <v>0</v>
      </c>
      <c r="AV38" s="461"/>
      <c r="AW38" s="468" t="s">
        <v>1468</v>
      </c>
    </row>
    <row r="39" spans="1:49" s="464" customFormat="1" x14ac:dyDescent="0.25">
      <c r="A39" s="297">
        <f t="shared" si="0"/>
        <v>6.7666666666666666</v>
      </c>
      <c r="B39" s="460">
        <v>42533</v>
      </c>
      <c r="C39" s="465" t="s">
        <v>1582</v>
      </c>
      <c r="D39" s="465" t="s">
        <v>1582</v>
      </c>
      <c r="E39" s="465" t="s">
        <v>553</v>
      </c>
      <c r="F39" s="465" t="s">
        <v>298</v>
      </c>
      <c r="G39" s="465" t="s">
        <v>1491</v>
      </c>
      <c r="H39" s="292"/>
      <c r="I39" s="292"/>
      <c r="J39" s="292"/>
      <c r="K39" s="292"/>
      <c r="L39" s="292">
        <v>41</v>
      </c>
      <c r="M39" s="292"/>
      <c r="N39" s="292"/>
      <c r="O39" s="292"/>
      <c r="P39" s="294"/>
      <c r="Q39" s="294"/>
      <c r="R39" s="294"/>
      <c r="S39" s="294"/>
      <c r="T39" s="294"/>
      <c r="U39" s="294"/>
      <c r="V39" s="431"/>
      <c r="W39" s="331"/>
      <c r="X39" s="331"/>
      <c r="Y39" s="294">
        <f>IF(NFI_Expiration=1,IF($A39&lt;VLOOKUP(H$5,NFI,5,0),1,0)*Table_NFI[[#This Row],[Hygiene Kit]],Table_NFI[Hygiene Kit])</f>
        <v>0</v>
      </c>
      <c r="Z39" s="294">
        <f>IF(NFI_Expiration=1,IF($A39&lt;VLOOKUP(I$5,NFI,5,0),1,0)*Table_NFI[[#This Row],[NFI Core Kit]],Table_NFI[NFI Core Kit])</f>
        <v>0</v>
      </c>
      <c r="AA39" s="294">
        <f>IF(NFI_Expiration=1,IF($A39&lt;VLOOKUP(J$5,NFI,5,0),1,0)*Table_NFI[[#This Row],[Sanitary Kit]],Table_NFI[Sanitary Kit])</f>
        <v>0</v>
      </c>
      <c r="AB39" s="294">
        <f>IF(NFI_Expiration=1,IF($A39&lt;VLOOKUP(K$5,NFI,5,0),1,0)*Table_NFI[[#This Row],[Mosquito net]],Table_NFI[Mosquito net])</f>
        <v>0</v>
      </c>
      <c r="AC39" s="294">
        <f>IF(NFI_Expiration=1,IF($A39&lt;VLOOKUP(L$5,NFI,5,0),1,0)*Table_NFI[[#This Row],[Tarpaulin]],Table_NFI[[#This Row],[Tarpaulin]])</f>
        <v>41</v>
      </c>
      <c r="AD39" s="294">
        <f>IF(NFI_Expiration=1,IF($A39&lt;VLOOKUP(M$5,NFI,5,0),1,0)*Table_NFI[[#This Row],[Blanket]],Table_NFI[[#This Row],[Blanket]])</f>
        <v>0</v>
      </c>
      <c r="AE39" s="294">
        <f>IF(NFI_Expiration=1,IF($A39&lt;VLOOKUP(N$5,NFI,5,0),1,0)*Table_NFI[[#This Row],[Kitchen Set]],Table_NFI[Kitchen Set])</f>
        <v>0</v>
      </c>
      <c r="AF39" s="294">
        <f>IF(NFI_Expiration=1,IF($A39&lt;VLOOKUP(O$5,NFI,5,0),1,0)*Table_NFI[[#This Row],[Clothes Kit]],Table_NFI[Clothes Kit])</f>
        <v>0</v>
      </c>
      <c r="AG39" s="294">
        <f>IF(NFI_Expiration=1,IF($A39&lt;VLOOKUP(P$5,NFI,5,0),1,0)*Table_NFI[[#This Row],[Plastic Bucket]],Table_NFI[Plastic Bucket])</f>
        <v>0</v>
      </c>
      <c r="AH39" s="294">
        <f>IF(NFI_Expiration=1,IF($A39&lt;VLOOKUP(Q$5,NFI,5,0),1,0)*Table_NFI[[#This Row],[Plastic Mat]],Table_NFI[Plastic Mat])*IF(Table_NFI[[#This Row],[Distribution Date]]&gt;"2014-04-01",1,2.5)</f>
        <v>0</v>
      </c>
      <c r="AI39" s="294">
        <f>IF(NFI_Expiration=1,IF($A39&lt;VLOOKUP(R$5,NFI,5,0),1,0)*Table_NFI[[#This Row],[Winter Clothes Adult]],Table_NFI[Winter Clothes Adult])</f>
        <v>0</v>
      </c>
      <c r="AJ39" s="294">
        <f>IF(NFI_Expiration=1,IF($A39&lt;VLOOKUP(S$5,NFI,5,0),1,0)*Table_NFI[[#This Row],[Winter Clothes Children]],Table_NFI[Winter Clothes Children])</f>
        <v>0</v>
      </c>
      <c r="AK39" s="294">
        <f>IF(NFI_Expiration=1,IF($A39&lt;VLOOKUP(T$5,NFI,5,0),1,0)*Table_NFI[[#This Row],[Winter Items Other]],Table_NFI[Winter Items Other])</f>
        <v>0</v>
      </c>
      <c r="AL39" s="294">
        <f>IF(NFI_Expiration=1,IF($A39&lt;VLOOKUP(M$5,NFI,5,0),1,0)*Table_NFI[[#This Row],[Winter Blanket]],Table_NFI[[#This Row],[Winter Blanket]])</f>
        <v>0</v>
      </c>
      <c r="AM39" s="294">
        <f>IF(Table_NFI[[#This Row],[Winter Clothes Adult]]+Table_NFI[[#This Row],[Winter Clothes Children]]+Table_NFI[[#This Row],[Winter Items Other]]+Table_NFI[[#This Row],[Winter Blanket]]&gt;0,1,0)</f>
        <v>0</v>
      </c>
      <c r="AN39" s="331">
        <f>IF(NFI_Expiration=1,IF($A39&lt;VLOOKUP(V$5,NFI,5,0),1,0)*Table_NFI[[#This Row],[Jerry Can]],Table_NFI[Jerry Can])</f>
        <v>0</v>
      </c>
      <c r="AO39" s="331">
        <f>IF(NFI_Expiration=1,IF($A39&lt;VLOOKUP(V$5,NFI,5,0),1,0)*Table_NFI[[#This Row],[Shelter Tool kit]],Table_NFI[Shelter Tool kit])</f>
        <v>0</v>
      </c>
      <c r="AP39" s="331">
        <f>IF(NFI_Expiration=1,IF($A39&lt;VLOOKUP(V$5,NFI,5,0),1,0)*Table_NFI[[#This Row],[Tent]],Table_NFI[Tent])</f>
        <v>0</v>
      </c>
      <c r="AQ39" s="467" t="str">
        <f>IFERROR(VLOOKUP(Table_NFI[[#This Row],[Camp Name]],CL,2,0),"")</f>
        <v>MMR015CMP230</v>
      </c>
      <c r="AR39" s="835">
        <f ca="1">IF(Table_NFI[[#This Row],[Pcode]]="","",IF(OFFSET(CampList[Opening Date],MATCH(Table_NFI[[#This Row],[Pcode]],CampList[CP_Pcode],0)-1,0,1,1)&gt;=NFI_Monitor_Date,1,0))</f>
        <v>0</v>
      </c>
      <c r="AS39" s="467" t="str">
        <f>IFERROR(VLOOKUP(Table_NFI[[#This Row],[Camp Name]],CL,3,0),"")</f>
        <v>Open</v>
      </c>
      <c r="AT39" s="294">
        <f ca="1">IF(Table_NFI[[#This Row],[Pcode]]="","",OFFSET(CampList[Priority],MATCH(Table_NFI[[#This Row],[Pcode]],CampList[CP_Pcode],0)-1,0,1,1))</f>
        <v>0</v>
      </c>
      <c r="AU39" s="293" t="str">
        <f>IFERROR(Table_NFI[[#This Row],[Kitchen Set]]/VLOOKUP(Table_NFI[[#This Row],[Camp Name]],CL,4,0),"")</f>
        <v/>
      </c>
      <c r="AV39" s="461"/>
      <c r="AW39" s="468" t="s">
        <v>1583</v>
      </c>
    </row>
    <row r="40" spans="1:49" s="464" customFormat="1" x14ac:dyDescent="0.25">
      <c r="A40" s="297">
        <f t="shared" si="0"/>
        <v>6.7666666666666666</v>
      </c>
      <c r="B40" s="460">
        <v>42533</v>
      </c>
      <c r="C40" s="465" t="s">
        <v>1582</v>
      </c>
      <c r="D40" s="465" t="s">
        <v>1582</v>
      </c>
      <c r="E40" s="465" t="s">
        <v>553</v>
      </c>
      <c r="F40" s="465" t="s">
        <v>298</v>
      </c>
      <c r="G40" s="465" t="s">
        <v>1490</v>
      </c>
      <c r="H40" s="292"/>
      <c r="I40" s="292"/>
      <c r="J40" s="292"/>
      <c r="K40" s="292"/>
      <c r="L40" s="292">
        <v>23</v>
      </c>
      <c r="M40" s="292"/>
      <c r="N40" s="292"/>
      <c r="O40" s="292"/>
      <c r="P40" s="294"/>
      <c r="Q40" s="294"/>
      <c r="R40" s="294"/>
      <c r="S40" s="294"/>
      <c r="T40" s="294"/>
      <c r="U40" s="294"/>
      <c r="V40" s="431"/>
      <c r="W40" s="331"/>
      <c r="X40" s="331"/>
      <c r="Y40" s="294">
        <f>IF(NFI_Expiration=1,IF($A40&lt;VLOOKUP(H$5,NFI,5,0),1,0)*Table_NFI[[#This Row],[Hygiene Kit]],Table_NFI[Hygiene Kit])</f>
        <v>0</v>
      </c>
      <c r="Z40" s="294">
        <f>IF(NFI_Expiration=1,IF($A40&lt;VLOOKUP(I$5,NFI,5,0),1,0)*Table_NFI[[#This Row],[NFI Core Kit]],Table_NFI[NFI Core Kit])</f>
        <v>0</v>
      </c>
      <c r="AA40" s="294">
        <f>IF(NFI_Expiration=1,IF($A40&lt;VLOOKUP(J$5,NFI,5,0),1,0)*Table_NFI[[#This Row],[Sanitary Kit]],Table_NFI[Sanitary Kit])</f>
        <v>0</v>
      </c>
      <c r="AB40" s="294">
        <f>IF(NFI_Expiration=1,IF($A40&lt;VLOOKUP(K$5,NFI,5,0),1,0)*Table_NFI[[#This Row],[Mosquito net]],Table_NFI[Mosquito net])</f>
        <v>0</v>
      </c>
      <c r="AC40" s="294">
        <f>IF(NFI_Expiration=1,IF($A40&lt;VLOOKUP(L$5,NFI,5,0),1,0)*Table_NFI[[#This Row],[Tarpaulin]],Table_NFI[[#This Row],[Tarpaulin]])</f>
        <v>23</v>
      </c>
      <c r="AD40" s="294">
        <f>IF(NFI_Expiration=1,IF($A40&lt;VLOOKUP(M$5,NFI,5,0),1,0)*Table_NFI[[#This Row],[Blanket]],Table_NFI[[#This Row],[Blanket]])</f>
        <v>0</v>
      </c>
      <c r="AE40" s="294">
        <f>IF(NFI_Expiration=1,IF($A40&lt;VLOOKUP(N$5,NFI,5,0),1,0)*Table_NFI[[#This Row],[Kitchen Set]],Table_NFI[Kitchen Set])</f>
        <v>0</v>
      </c>
      <c r="AF40" s="294">
        <f>IF(NFI_Expiration=1,IF($A40&lt;VLOOKUP(O$5,NFI,5,0),1,0)*Table_NFI[[#This Row],[Clothes Kit]],Table_NFI[Clothes Kit])</f>
        <v>0</v>
      </c>
      <c r="AG40" s="294">
        <f>IF(NFI_Expiration=1,IF($A40&lt;VLOOKUP(P$5,NFI,5,0),1,0)*Table_NFI[[#This Row],[Plastic Bucket]],Table_NFI[Plastic Bucket])</f>
        <v>0</v>
      </c>
      <c r="AH40" s="294">
        <f>IF(NFI_Expiration=1,IF($A40&lt;VLOOKUP(Q$5,NFI,5,0),1,0)*Table_NFI[[#This Row],[Plastic Mat]],Table_NFI[Plastic Mat])*IF(Table_NFI[[#This Row],[Distribution Date]]&gt;"2014-04-01",1,2.5)</f>
        <v>0</v>
      </c>
      <c r="AI40" s="294">
        <f>IF(NFI_Expiration=1,IF($A40&lt;VLOOKUP(R$5,NFI,5,0),1,0)*Table_NFI[[#This Row],[Winter Clothes Adult]],Table_NFI[Winter Clothes Adult])</f>
        <v>0</v>
      </c>
      <c r="AJ40" s="294">
        <f>IF(NFI_Expiration=1,IF($A40&lt;VLOOKUP(S$5,NFI,5,0),1,0)*Table_NFI[[#This Row],[Winter Clothes Children]],Table_NFI[Winter Clothes Children])</f>
        <v>0</v>
      </c>
      <c r="AK40" s="294">
        <f>IF(NFI_Expiration=1,IF($A40&lt;VLOOKUP(T$5,NFI,5,0),1,0)*Table_NFI[[#This Row],[Winter Items Other]],Table_NFI[Winter Items Other])</f>
        <v>0</v>
      </c>
      <c r="AL40" s="294">
        <f>IF(NFI_Expiration=1,IF($A40&lt;VLOOKUP(M$5,NFI,5,0),1,0)*Table_NFI[[#This Row],[Winter Blanket]],Table_NFI[[#This Row],[Winter Blanket]])</f>
        <v>0</v>
      </c>
      <c r="AM40" s="294">
        <f>IF(Table_NFI[[#This Row],[Winter Clothes Adult]]+Table_NFI[[#This Row],[Winter Clothes Children]]+Table_NFI[[#This Row],[Winter Items Other]]+Table_NFI[[#This Row],[Winter Blanket]]&gt;0,1,0)</f>
        <v>0</v>
      </c>
      <c r="AN40" s="331">
        <f>IF(NFI_Expiration=1,IF($A40&lt;VLOOKUP(V$5,NFI,5,0),1,0)*Table_NFI[[#This Row],[Jerry Can]],Table_NFI[Jerry Can])</f>
        <v>0</v>
      </c>
      <c r="AO40" s="331">
        <f>IF(NFI_Expiration=1,IF($A40&lt;VLOOKUP(V$5,NFI,5,0),1,0)*Table_NFI[[#This Row],[Shelter Tool kit]],Table_NFI[Shelter Tool kit])</f>
        <v>0</v>
      </c>
      <c r="AP40" s="331">
        <f>IF(NFI_Expiration=1,IF($A40&lt;VLOOKUP(V$5,NFI,5,0),1,0)*Table_NFI[[#This Row],[Tent]],Table_NFI[Tent])</f>
        <v>0</v>
      </c>
      <c r="AQ40" s="467" t="str">
        <f>IFERROR(VLOOKUP(Table_NFI[[#This Row],[Camp Name]],CL,2,0),"")</f>
        <v>MMR015CMP229</v>
      </c>
      <c r="AR40" s="835">
        <f ca="1">IF(Table_NFI[[#This Row],[Pcode]]="","",IF(OFFSET(CampList[Opening Date],MATCH(Table_NFI[[#This Row],[Pcode]],CampList[CP_Pcode],0)-1,0,1,1)&gt;=NFI_Monitor_Date,1,0))</f>
        <v>0</v>
      </c>
      <c r="AS40" s="467" t="str">
        <f>IFERROR(VLOOKUP(Table_NFI[[#This Row],[Camp Name]],CL,3,0),"")</f>
        <v>Open</v>
      </c>
      <c r="AT40" s="294">
        <f ca="1">IF(Table_NFI[[#This Row],[Pcode]]="","",OFFSET(CampList[Priority],MATCH(Table_NFI[[#This Row],[Pcode]],CampList[CP_Pcode],0)-1,0,1,1))</f>
        <v>0</v>
      </c>
      <c r="AU40" s="293" t="str">
        <f>IFERROR(Table_NFI[[#This Row],[Kitchen Set]]/VLOOKUP(Table_NFI[[#This Row],[Camp Name]],CL,4,0),"")</f>
        <v/>
      </c>
      <c r="AV40" s="461"/>
      <c r="AW40" s="468" t="s">
        <v>1583</v>
      </c>
    </row>
    <row r="41" spans="1:49" s="464" customFormat="1" ht="15" customHeight="1" x14ac:dyDescent="0.25">
      <c r="A41" s="297">
        <f t="shared" si="0"/>
        <v>6.833333333333333</v>
      </c>
      <c r="B41" s="460">
        <v>42531</v>
      </c>
      <c r="C41" s="465" t="s">
        <v>452</v>
      </c>
      <c r="D41" s="465" t="s">
        <v>452</v>
      </c>
      <c r="E41" s="465" t="s">
        <v>380</v>
      </c>
      <c r="F41" s="465" t="s">
        <v>808</v>
      </c>
      <c r="G41" s="465" t="s">
        <v>1433</v>
      </c>
      <c r="H41" s="292"/>
      <c r="I41" s="292"/>
      <c r="J41" s="292"/>
      <c r="K41" s="292">
        <v>25</v>
      </c>
      <c r="L41" s="292">
        <v>8</v>
      </c>
      <c r="M41" s="292">
        <v>66</v>
      </c>
      <c r="N41" s="292">
        <v>34</v>
      </c>
      <c r="O41" s="292"/>
      <c r="P41" s="294">
        <v>6</v>
      </c>
      <c r="Q41" s="294">
        <v>104</v>
      </c>
      <c r="R41" s="294"/>
      <c r="S41" s="294"/>
      <c r="T41" s="294"/>
      <c r="U41" s="294"/>
      <c r="V41" s="431"/>
      <c r="W41" s="294"/>
      <c r="X41" s="294"/>
      <c r="Y41" s="294">
        <f>IF(NFI_Expiration=1,IF($A41&lt;VLOOKUP(H$5,NFI,5,0),1,0)*Table_NFI[[#This Row],[Hygiene Kit]],Table_NFI[Hygiene Kit])</f>
        <v>0</v>
      </c>
      <c r="Z41" s="294">
        <f>IF(NFI_Expiration=1,IF($A41&lt;VLOOKUP(I$5,NFI,5,0),1,0)*Table_NFI[[#This Row],[NFI Core Kit]],Table_NFI[NFI Core Kit])</f>
        <v>0</v>
      </c>
      <c r="AA41" s="294">
        <f>IF(NFI_Expiration=1,IF($A41&lt;VLOOKUP(J$5,NFI,5,0),1,0)*Table_NFI[[#This Row],[Sanitary Kit]],Table_NFI[Sanitary Kit])</f>
        <v>0</v>
      </c>
      <c r="AB41" s="294">
        <f>IF(NFI_Expiration=1,IF($A41&lt;VLOOKUP(K$5,NFI,5,0),1,0)*Table_NFI[[#This Row],[Mosquito net]],Table_NFI[Mosquito net])</f>
        <v>25</v>
      </c>
      <c r="AC41" s="294">
        <f>IF(NFI_Expiration=1,IF($A41&lt;VLOOKUP(L$5,NFI,5,0),1,0)*Table_NFI[[#This Row],[Tarpaulin]],Table_NFI[[#This Row],[Tarpaulin]])</f>
        <v>8</v>
      </c>
      <c r="AD41" s="294">
        <f>IF(NFI_Expiration=1,IF($A41&lt;VLOOKUP(M$5,NFI,5,0),1,0)*Table_NFI[[#This Row],[Blanket]],Table_NFI[[#This Row],[Blanket]])</f>
        <v>66</v>
      </c>
      <c r="AE41" s="294">
        <f>IF(NFI_Expiration=1,IF($A41&lt;VLOOKUP(N$5,NFI,5,0),1,0)*Table_NFI[[#This Row],[Kitchen Set]],Table_NFI[Kitchen Set])</f>
        <v>34</v>
      </c>
      <c r="AF41" s="294">
        <f>IF(NFI_Expiration=1,IF($A41&lt;VLOOKUP(O$5,NFI,5,0),1,0)*Table_NFI[[#This Row],[Clothes Kit]],Table_NFI[Clothes Kit])</f>
        <v>0</v>
      </c>
      <c r="AG41" s="294">
        <f>IF(NFI_Expiration=1,IF($A41&lt;VLOOKUP(P$5,NFI,5,0),1,0)*Table_NFI[[#This Row],[Plastic Bucket]],Table_NFI[Plastic Bucket])</f>
        <v>6</v>
      </c>
      <c r="AH41" s="294">
        <f>IF(NFI_Expiration=1,IF($A41&lt;VLOOKUP(Q$5,NFI,5,0),1,0)*Table_NFI[[#This Row],[Plastic Mat]],Table_NFI[Plastic Mat])*IF(Table_NFI[[#This Row],[Distribution Date]]&gt;"2014-04-01",1,2.5)</f>
        <v>260</v>
      </c>
      <c r="AI41" s="294">
        <f>IF(NFI_Expiration=1,IF($A41&lt;VLOOKUP(R$5,NFI,5,0),1,0)*Table_NFI[[#This Row],[Winter Clothes Adult]],Table_NFI[Winter Clothes Adult])</f>
        <v>0</v>
      </c>
      <c r="AJ41" s="294">
        <f>IF(NFI_Expiration=1,IF($A41&lt;VLOOKUP(S$5,NFI,5,0),1,0)*Table_NFI[[#This Row],[Winter Clothes Children]],Table_NFI[Winter Clothes Children])</f>
        <v>0</v>
      </c>
      <c r="AK41" s="294">
        <f>IF(NFI_Expiration=1,IF($A41&lt;VLOOKUP(T$5,NFI,5,0),1,0)*Table_NFI[[#This Row],[Winter Items Other]],Table_NFI[Winter Items Other])</f>
        <v>0</v>
      </c>
      <c r="AL41" s="294">
        <f>IF(NFI_Expiration=1,IF($A41&lt;VLOOKUP(M$5,NFI,5,0),1,0)*Table_NFI[[#This Row],[Winter Blanket]],Table_NFI[[#This Row],[Winter Blanket]])</f>
        <v>0</v>
      </c>
      <c r="AM41" s="294">
        <f>IF(Table_NFI[[#This Row],[Winter Clothes Adult]]+Table_NFI[[#This Row],[Winter Clothes Children]]+Table_NFI[[#This Row],[Winter Items Other]]+Table_NFI[[#This Row],[Winter Blanket]]&gt;0,1,0)</f>
        <v>0</v>
      </c>
      <c r="AN41" s="331">
        <f>IF(NFI_Expiration=1,IF($A41&lt;VLOOKUP(V$5,NFI,5,0),1,0)*Table_NFI[[#This Row],[Jerry Can]],Table_NFI[Jerry Can])</f>
        <v>0</v>
      </c>
      <c r="AO41" s="331">
        <f>IF(NFI_Expiration=1,IF($A41&lt;VLOOKUP(V$5,NFI,5,0),1,0)*Table_NFI[[#This Row],[Shelter Tool kit]],Table_NFI[Shelter Tool kit])</f>
        <v>0</v>
      </c>
      <c r="AP41" s="331">
        <f>IF(NFI_Expiration=1,IF($A41&lt;VLOOKUP(V$5,NFI,5,0),1,0)*Table_NFI[[#This Row],[Tent]],Table_NFI[Tent])</f>
        <v>0</v>
      </c>
      <c r="AQ41" s="467" t="str">
        <f>IFERROR(VLOOKUP(Table_NFI[[#This Row],[Camp Name]],CL,2,0),"")</f>
        <v/>
      </c>
      <c r="AR41" s="835" t="str">
        <f ca="1">IF(Table_NFI[[#This Row],[Pcode]]="","",IF(OFFSET(CampList[Opening Date],MATCH(Table_NFI[[#This Row],[Pcode]],CampList[CP_Pcode],0)-1,0,1,1)&gt;=NFI_Monitor_Date,1,0))</f>
        <v/>
      </c>
      <c r="AS41" s="467" t="str">
        <f>IFERROR(VLOOKUP(Table_NFI[[#This Row],[Camp Name]],CL,3,0),"")</f>
        <v/>
      </c>
      <c r="AT41" s="294" t="str">
        <f ca="1">IF(Table_NFI[[#This Row],[Pcode]]="","",OFFSET(CampList[Priority],MATCH(Table_NFI[[#This Row],[Pcode]],CampList[CP_Pcode],0)-1,0,1,1))</f>
        <v/>
      </c>
      <c r="AU41" s="293" t="str">
        <f>IFERROR(Table_NFI[[#This Row],[Kitchen Set]]/VLOOKUP(Table_NFI[[#This Row],[Camp Name]],CL,4,0),"")</f>
        <v/>
      </c>
      <c r="AV41" s="661" t="s">
        <v>1092</v>
      </c>
      <c r="AW41" s="468"/>
    </row>
    <row r="42" spans="1:49" s="464" customFormat="1" x14ac:dyDescent="0.25">
      <c r="A42" s="297">
        <f t="shared" si="0"/>
        <v>7.166666666666667</v>
      </c>
      <c r="B42" s="460">
        <v>42521</v>
      </c>
      <c r="C42" s="461" t="s">
        <v>905</v>
      </c>
      <c r="D42" s="461" t="s">
        <v>905</v>
      </c>
      <c r="E42" s="461" t="s">
        <v>380</v>
      </c>
      <c r="F42" s="461" t="s">
        <v>151</v>
      </c>
      <c r="G42" s="461" t="s">
        <v>885</v>
      </c>
      <c r="H42" s="294">
        <v>25</v>
      </c>
      <c r="I42" s="294">
        <v>25</v>
      </c>
      <c r="J42" s="291"/>
      <c r="K42" s="291"/>
      <c r="L42" s="292">
        <v>25</v>
      </c>
      <c r="M42" s="292"/>
      <c r="N42" s="292"/>
      <c r="O42" s="292"/>
      <c r="P42" s="294"/>
      <c r="Q42" s="294"/>
      <c r="R42" s="294"/>
      <c r="S42" s="294"/>
      <c r="T42" s="294"/>
      <c r="U42" s="294"/>
      <c r="V42" s="431"/>
      <c r="W42" s="331"/>
      <c r="X42" s="331"/>
      <c r="Y42" s="294">
        <f>IF(NFI_Expiration=1,IF($A42&lt;VLOOKUP(H$5,NFI,5,0),1,0)*Table_NFI[[#This Row],[Hygiene Kit]],Table_NFI[Hygiene Kit])</f>
        <v>25</v>
      </c>
      <c r="Z42" s="294">
        <f>IF(NFI_Expiration=1,IF($A42&lt;VLOOKUP(I$5,NFI,5,0),1,0)*Table_NFI[[#This Row],[NFI Core Kit]],Table_NFI[NFI Core Kit])</f>
        <v>25</v>
      </c>
      <c r="AA42" s="294">
        <f>IF(NFI_Expiration=1,IF($A42&lt;VLOOKUP(J$5,NFI,5,0),1,0)*Table_NFI[[#This Row],[Sanitary Kit]],Table_NFI[Sanitary Kit])</f>
        <v>0</v>
      </c>
      <c r="AB42" s="294">
        <f>IF(NFI_Expiration=1,IF($A42&lt;VLOOKUP(K$5,NFI,5,0),1,0)*Table_NFI[[#This Row],[Mosquito net]],Table_NFI[Mosquito net])</f>
        <v>0</v>
      </c>
      <c r="AC42" s="294">
        <f>IF(NFI_Expiration=1,IF($A42&lt;VLOOKUP(L$5,NFI,5,0),1,0)*Table_NFI[[#This Row],[Tarpaulin]],Table_NFI[[#This Row],[Tarpaulin]])</f>
        <v>25</v>
      </c>
      <c r="AD42" s="294">
        <f>IF(NFI_Expiration=1,IF($A42&lt;VLOOKUP(M$5,NFI,5,0),1,0)*Table_NFI[[#This Row],[Blanket]],Table_NFI[[#This Row],[Blanket]])</f>
        <v>0</v>
      </c>
      <c r="AE42" s="294">
        <f>IF(NFI_Expiration=1,IF($A42&lt;VLOOKUP(N$5,NFI,5,0),1,0)*Table_NFI[[#This Row],[Kitchen Set]],Table_NFI[Kitchen Set])</f>
        <v>0</v>
      </c>
      <c r="AF42" s="294">
        <f>IF(NFI_Expiration=1,IF($A42&lt;VLOOKUP(O$5,NFI,5,0),1,0)*Table_NFI[[#This Row],[Clothes Kit]],Table_NFI[Clothes Kit])</f>
        <v>0</v>
      </c>
      <c r="AG42" s="294">
        <f>IF(NFI_Expiration=1,IF($A42&lt;VLOOKUP(P$5,NFI,5,0),1,0)*Table_NFI[[#This Row],[Plastic Bucket]],Table_NFI[Plastic Bucket])</f>
        <v>0</v>
      </c>
      <c r="AH42" s="294">
        <f>IF(NFI_Expiration=1,IF($A42&lt;VLOOKUP(Q$5,NFI,5,0),1,0)*Table_NFI[[#This Row],[Plastic Mat]],Table_NFI[Plastic Mat])*IF(Table_NFI[[#This Row],[Distribution Date]]&gt;"2014-04-01",1,2.5)</f>
        <v>0</v>
      </c>
      <c r="AI42" s="294">
        <f>IF(NFI_Expiration=1,IF($A42&lt;VLOOKUP(R$5,NFI,5,0),1,0)*Table_NFI[[#This Row],[Winter Clothes Adult]],Table_NFI[Winter Clothes Adult])</f>
        <v>0</v>
      </c>
      <c r="AJ42" s="294">
        <f>IF(NFI_Expiration=1,IF($A42&lt;VLOOKUP(S$5,NFI,5,0),1,0)*Table_NFI[[#This Row],[Winter Clothes Children]],Table_NFI[Winter Clothes Children])</f>
        <v>0</v>
      </c>
      <c r="AK42" s="294">
        <f>IF(NFI_Expiration=1,IF($A42&lt;VLOOKUP(T$5,NFI,5,0),1,0)*Table_NFI[[#This Row],[Winter Items Other]],Table_NFI[Winter Items Other])</f>
        <v>0</v>
      </c>
      <c r="AL42" s="294">
        <f>IF(NFI_Expiration=1,IF($A42&lt;VLOOKUP(M$5,NFI,5,0),1,0)*Table_NFI[[#This Row],[Winter Blanket]],Table_NFI[[#This Row],[Winter Blanket]])</f>
        <v>0</v>
      </c>
      <c r="AM42" s="294">
        <f>IF(Table_NFI[[#This Row],[Winter Clothes Adult]]+Table_NFI[[#This Row],[Winter Clothes Children]]+Table_NFI[[#This Row],[Winter Items Other]]+Table_NFI[[#This Row],[Winter Blanket]]&gt;0,1,0)</f>
        <v>0</v>
      </c>
      <c r="AN42" s="331">
        <f>IF(NFI_Expiration=1,IF($A42&lt;VLOOKUP(V$5,NFI,5,0),1,0)*Table_NFI[[#This Row],[Jerry Can]],Table_NFI[Jerry Can])</f>
        <v>0</v>
      </c>
      <c r="AO42" s="331">
        <f>IF(NFI_Expiration=1,IF($A42&lt;VLOOKUP(V$5,NFI,5,0),1,0)*Table_NFI[[#This Row],[Shelter Tool kit]],Table_NFI[Shelter Tool kit])</f>
        <v>0</v>
      </c>
      <c r="AP42" s="331">
        <f>IF(NFI_Expiration=1,IF($A42&lt;VLOOKUP(V$5,NFI,5,0),1,0)*Table_NFI[[#This Row],[Tent]],Table_NFI[Tent])</f>
        <v>0</v>
      </c>
      <c r="AQ42" s="467" t="str">
        <f>IFERROR(VLOOKUP(Table_NFI[[#This Row],[Camp Name]],CL,2,0),"")</f>
        <v>MMR001CMP218</v>
      </c>
      <c r="AR42" s="835">
        <f ca="1">IF(Table_NFI[[#This Row],[Pcode]]="","",IF(OFFSET(CampList[Opening Date],MATCH(Table_NFI[[#This Row],[Pcode]],CampList[CP_Pcode],0)-1,0,1,1)&gt;=NFI_Monitor_Date,1,0))</f>
        <v>0</v>
      </c>
      <c r="AS42" s="467" t="str">
        <f>IFERROR(VLOOKUP(Table_NFI[[#This Row],[Camp Name]],CL,3,0),"")</f>
        <v>Open</v>
      </c>
      <c r="AT42" s="294" t="str">
        <f ca="1">IF(Table_NFI[[#This Row],[Pcode]]="","",OFFSET(CampList[Priority],MATCH(Table_NFI[[#This Row],[Pcode]],CampList[CP_Pcode],0)-1,0,1,1))</f>
        <v>P4</v>
      </c>
      <c r="AU42" s="293">
        <f>IFERROR(Table_NFI[[#This Row],[Kitchen Set]]/VLOOKUP(Table_NFI[[#This Row],[Camp Name]],CL,4,0),"")</f>
        <v>0</v>
      </c>
      <c r="AV42" s="461"/>
      <c r="AW42" s="463"/>
    </row>
    <row r="43" spans="1:49" s="464" customFormat="1" ht="14.45" customHeight="1" x14ac:dyDescent="0.25">
      <c r="A43" s="492">
        <f t="shared" si="0"/>
        <v>8.0333333333333332</v>
      </c>
      <c r="B43" s="460">
        <v>42495</v>
      </c>
      <c r="C43" s="461" t="s">
        <v>452</v>
      </c>
      <c r="D43" s="461" t="s">
        <v>1356</v>
      </c>
      <c r="E43" s="461" t="s">
        <v>380</v>
      </c>
      <c r="F43" s="461" t="s">
        <v>173</v>
      </c>
      <c r="G43" s="461" t="s">
        <v>1268</v>
      </c>
      <c r="H43" s="494"/>
      <c r="I43" s="494">
        <v>7</v>
      </c>
      <c r="J43" s="494">
        <v>7</v>
      </c>
      <c r="K43" s="494">
        <v>13</v>
      </c>
      <c r="L43" s="494">
        <v>7</v>
      </c>
      <c r="M43" s="494">
        <v>13</v>
      </c>
      <c r="N43" s="494">
        <v>7</v>
      </c>
      <c r="O43" s="494">
        <v>7</v>
      </c>
      <c r="P43" s="495">
        <v>7</v>
      </c>
      <c r="Q43" s="495">
        <v>13</v>
      </c>
      <c r="R43" s="495"/>
      <c r="S43" s="495"/>
      <c r="T43" s="495"/>
      <c r="U43" s="495"/>
      <c r="V43" s="497">
        <v>7</v>
      </c>
      <c r="W43" s="495"/>
      <c r="X43" s="495"/>
      <c r="Y43" s="495">
        <f>IF(NFI_Expiration=1,IF($A43&lt;VLOOKUP(H$5,NFI,5,0),1,0)*Table_NFI[[#This Row],[Hygiene Kit]],Table_NFI[Hygiene Kit])</f>
        <v>0</v>
      </c>
      <c r="Z43" s="495">
        <f>IF(NFI_Expiration=1,IF($A43&lt;VLOOKUP(I$5,NFI,5,0),1,0)*Table_NFI[[#This Row],[NFI Core Kit]],Table_NFI[NFI Core Kit])</f>
        <v>7</v>
      </c>
      <c r="AA43" s="495">
        <f>IF(NFI_Expiration=1,IF($A43&lt;VLOOKUP(J$5,NFI,5,0),1,0)*Table_NFI[[#This Row],[Sanitary Kit]],Table_NFI[Sanitary Kit])</f>
        <v>7</v>
      </c>
      <c r="AB43" s="495">
        <f>IF(NFI_Expiration=1,IF($A43&lt;VLOOKUP(K$5,NFI,5,0),1,0)*Table_NFI[[#This Row],[Mosquito net]],Table_NFI[Mosquito net])</f>
        <v>13</v>
      </c>
      <c r="AC43" s="495">
        <f>IF(NFI_Expiration=1,IF($A43&lt;VLOOKUP(L$5,NFI,5,0),1,0)*Table_NFI[[#This Row],[Tarpaulin]],Table_NFI[[#This Row],[Tarpaulin]])</f>
        <v>7</v>
      </c>
      <c r="AD43" s="495">
        <f>IF(NFI_Expiration=1,IF($A43&lt;VLOOKUP(M$5,NFI,5,0),1,0)*Table_NFI[[#This Row],[Blanket]],Table_NFI[[#This Row],[Blanket]])</f>
        <v>13</v>
      </c>
      <c r="AE43" s="495">
        <f>IF(NFI_Expiration=1,IF($A43&lt;VLOOKUP(N$5,NFI,5,0),1,0)*Table_NFI[[#This Row],[Kitchen Set]],Table_NFI[Kitchen Set])</f>
        <v>7</v>
      </c>
      <c r="AF43" s="495">
        <f>IF(NFI_Expiration=1,IF($A43&lt;VLOOKUP(O$5,NFI,5,0),1,0)*Table_NFI[[#This Row],[Clothes Kit]],Table_NFI[Clothes Kit])</f>
        <v>7</v>
      </c>
      <c r="AG43" s="495">
        <f>IF(NFI_Expiration=1,IF($A43&lt;VLOOKUP(P$5,NFI,5,0),1,0)*Table_NFI[[#This Row],[Plastic Bucket]],Table_NFI[Plastic Bucket])</f>
        <v>7</v>
      </c>
      <c r="AH43" s="495">
        <f>IF(NFI_Expiration=1,IF($A43&lt;VLOOKUP(Q$5,NFI,5,0),1,0)*Table_NFI[[#This Row],[Plastic Mat]],Table_NFI[Plastic Mat])*IF(Table_NFI[[#This Row],[Distribution Date]]&gt;"2014-04-01",1,2.5)</f>
        <v>32.5</v>
      </c>
      <c r="AI43" s="495">
        <f>IF(NFI_Expiration=1,IF($A43&lt;VLOOKUP(R$5,NFI,5,0),1,0)*Table_NFI[[#This Row],[Winter Clothes Adult]],Table_NFI[Winter Clothes Adult])</f>
        <v>0</v>
      </c>
      <c r="AJ43" s="495">
        <f>IF(NFI_Expiration=1,IF($A43&lt;VLOOKUP(S$5,NFI,5,0),1,0)*Table_NFI[[#This Row],[Winter Clothes Children]],Table_NFI[Winter Clothes Children])</f>
        <v>0</v>
      </c>
      <c r="AK43" s="495">
        <f>IF(NFI_Expiration=1,IF($A43&lt;VLOOKUP(T$5,NFI,5,0),1,0)*Table_NFI[[#This Row],[Winter Items Other]],Table_NFI[Winter Items Other])</f>
        <v>0</v>
      </c>
      <c r="AL43" s="495">
        <f>IF(NFI_Expiration=1,IF($A43&lt;VLOOKUP(M$5,NFI,5,0),1,0)*Table_NFI[[#This Row],[Winter Blanket]],Table_NFI[[#This Row],[Winter Blanket]])</f>
        <v>0</v>
      </c>
      <c r="AM43" s="495">
        <f>IF(Table_NFI[[#This Row],[Winter Clothes Adult]]+Table_NFI[[#This Row],[Winter Clothes Children]]+Table_NFI[[#This Row],[Winter Items Other]]+Table_NFI[[#This Row],[Winter Blanket]]&gt;0,1,0)</f>
        <v>0</v>
      </c>
      <c r="AN43" s="497">
        <f>IF(NFI_Expiration=1,IF($A43&lt;VLOOKUP(V$5,NFI,5,0),1,0)*Table_NFI[[#This Row],[Jerry Can]],Table_NFI[Jerry Can])</f>
        <v>7</v>
      </c>
      <c r="AO43" s="497">
        <f>IF(NFI_Expiration=1,IF($A43&lt;VLOOKUP(V$5,NFI,5,0),1,0)*Table_NFI[[#This Row],[Shelter Tool kit]],Table_NFI[Shelter Tool kit])</f>
        <v>0</v>
      </c>
      <c r="AP43" s="497">
        <f>IF(NFI_Expiration=1,IF($A43&lt;VLOOKUP(V$5,NFI,5,0),1,0)*Table_NFI[[#This Row],[Tent]],Table_NFI[Tent])</f>
        <v>0</v>
      </c>
      <c r="AQ43" s="498" t="str">
        <f>IFERROR(VLOOKUP(Table_NFI[[#This Row],[Camp Name]],CL,2,0),"")</f>
        <v>MMR001CMP237</v>
      </c>
      <c r="AR43" s="835">
        <f ca="1">IF(Table_NFI[[#This Row],[Pcode]]="","",IF(OFFSET(CampList[Opening Date],MATCH(Table_NFI[[#This Row],[Pcode]],CampList[CP_Pcode],0)-1,0,1,1)&gt;=NFI_Monitor_Date,1,0))</f>
        <v>1</v>
      </c>
      <c r="AS43" s="467" t="str">
        <f>IFERROR(VLOOKUP(Table_NFI[[#This Row],[Camp Name]],CL,3,0),"")</f>
        <v>Open</v>
      </c>
      <c r="AT43" s="495">
        <f ca="1">IF(Table_NFI[[#This Row],[Pcode]]="","",OFFSET(CampList[Priority],MATCH(Table_NFI[[#This Row],[Pcode]],CampList[CP_Pcode],0)-1,0,1,1))</f>
        <v>0</v>
      </c>
      <c r="AU43" s="499">
        <f>IFERROR(Table_NFI[[#This Row],[Kitchen Set]]/VLOOKUP(Table_NFI[[#This Row],[Camp Name]],CL,4,0),"")</f>
        <v>1.6617210682492583E-4</v>
      </c>
      <c r="AV43" s="493"/>
      <c r="AW43" s="500"/>
    </row>
    <row r="44" spans="1:49" s="464" customFormat="1" ht="15" customHeight="1" x14ac:dyDescent="0.25">
      <c r="A44" s="297">
        <f t="shared" si="0"/>
        <v>8.1999999999999993</v>
      </c>
      <c r="B44" s="460">
        <v>42490</v>
      </c>
      <c r="C44" s="461" t="s">
        <v>905</v>
      </c>
      <c r="D44" s="462" t="s">
        <v>905</v>
      </c>
      <c r="E44" s="461" t="s">
        <v>380</v>
      </c>
      <c r="F44" s="290" t="s">
        <v>185</v>
      </c>
      <c r="G44" s="290" t="s">
        <v>186</v>
      </c>
      <c r="H44" s="291"/>
      <c r="I44" s="291"/>
      <c r="J44" s="292"/>
      <c r="K44" s="291"/>
      <c r="L44" s="292"/>
      <c r="M44" s="292"/>
      <c r="N44" s="292"/>
      <c r="O44" s="292"/>
      <c r="P44" s="294"/>
      <c r="Q44" s="294"/>
      <c r="R44" s="294"/>
      <c r="S44" s="294"/>
      <c r="T44" s="294"/>
      <c r="U44" s="294"/>
      <c r="V44" s="431"/>
      <c r="W44" s="294">
        <v>3</v>
      </c>
      <c r="X44" s="294"/>
      <c r="Y44" s="294">
        <f>IF(NFI_Expiration=1,IF($A44&lt;VLOOKUP(H$5,NFI,5,0),1,0)*Table_NFI[[#This Row],[Hygiene Kit]],Table_NFI[Hygiene Kit])</f>
        <v>0</v>
      </c>
      <c r="Z44" s="294">
        <f>IF(NFI_Expiration=1,IF($A44&lt;VLOOKUP(I$5,NFI,5,0),1,0)*Table_NFI[[#This Row],[NFI Core Kit]],Table_NFI[NFI Core Kit])</f>
        <v>0</v>
      </c>
      <c r="AA44" s="294">
        <f>IF(NFI_Expiration=1,IF($A44&lt;VLOOKUP(J$5,NFI,5,0),1,0)*Table_NFI[[#This Row],[Sanitary Kit]],Table_NFI[Sanitary Kit])</f>
        <v>0</v>
      </c>
      <c r="AB44" s="294">
        <f>IF(NFI_Expiration=1,IF($A44&lt;VLOOKUP(K$5,NFI,5,0),1,0)*Table_NFI[[#This Row],[Mosquito net]],Table_NFI[Mosquito net])</f>
        <v>0</v>
      </c>
      <c r="AC44" s="294">
        <f>IF(NFI_Expiration=1,IF($A44&lt;VLOOKUP(L$5,NFI,5,0),1,0)*Table_NFI[[#This Row],[Tarpaulin]],Table_NFI[[#This Row],[Tarpaulin]])</f>
        <v>0</v>
      </c>
      <c r="AD44" s="294">
        <f>IF(NFI_Expiration=1,IF($A44&lt;VLOOKUP(M$5,NFI,5,0),1,0)*Table_NFI[[#This Row],[Blanket]],Table_NFI[[#This Row],[Blanket]])</f>
        <v>0</v>
      </c>
      <c r="AE44" s="294">
        <f>IF(NFI_Expiration=1,IF($A44&lt;VLOOKUP(N$5,NFI,5,0),1,0)*Table_NFI[[#This Row],[Kitchen Set]],Table_NFI[Kitchen Set])</f>
        <v>0</v>
      </c>
      <c r="AF44" s="294">
        <f>IF(NFI_Expiration=1,IF($A44&lt;VLOOKUP(O$5,NFI,5,0),1,0)*Table_NFI[[#This Row],[Clothes Kit]],Table_NFI[Clothes Kit])</f>
        <v>0</v>
      </c>
      <c r="AG44" s="294">
        <f>IF(NFI_Expiration=1,IF($A44&lt;VLOOKUP(P$5,NFI,5,0),1,0)*Table_NFI[[#This Row],[Plastic Bucket]],Table_NFI[Plastic Bucket])</f>
        <v>0</v>
      </c>
      <c r="AH44" s="294">
        <f>IF(NFI_Expiration=1,IF($A44&lt;VLOOKUP(Q$5,NFI,5,0),1,0)*Table_NFI[[#This Row],[Plastic Mat]],Table_NFI[Plastic Mat])*IF(Table_NFI[[#This Row],[Distribution Date]]&gt;"2014-04-01",1,2.5)</f>
        <v>0</v>
      </c>
      <c r="AI44" s="294">
        <f>IF(NFI_Expiration=1,IF($A44&lt;VLOOKUP(R$5,NFI,5,0),1,0)*Table_NFI[[#This Row],[Winter Clothes Adult]],Table_NFI[Winter Clothes Adult])</f>
        <v>0</v>
      </c>
      <c r="AJ44" s="294">
        <f>IF(NFI_Expiration=1,IF($A44&lt;VLOOKUP(S$5,NFI,5,0),1,0)*Table_NFI[[#This Row],[Winter Clothes Children]],Table_NFI[Winter Clothes Children])</f>
        <v>0</v>
      </c>
      <c r="AK44" s="294">
        <f>IF(NFI_Expiration=1,IF($A44&lt;VLOOKUP(T$5,NFI,5,0),1,0)*Table_NFI[[#This Row],[Winter Items Other]],Table_NFI[Winter Items Other])</f>
        <v>0</v>
      </c>
      <c r="AL44" s="294">
        <f>IF(NFI_Expiration=1,IF($A44&lt;VLOOKUP(M$5,NFI,5,0),1,0)*Table_NFI[[#This Row],[Winter Blanket]],Table_NFI[[#This Row],[Winter Blanket]])</f>
        <v>0</v>
      </c>
      <c r="AM44" s="294">
        <f>IF(Table_NFI[[#This Row],[Winter Clothes Adult]]+Table_NFI[[#This Row],[Winter Clothes Children]]+Table_NFI[[#This Row],[Winter Items Other]]+Table_NFI[[#This Row],[Winter Blanket]]&gt;0,1,0)</f>
        <v>0</v>
      </c>
      <c r="AN44" s="331">
        <f>IF(NFI_Expiration=1,IF($A44&lt;VLOOKUP(V$5,NFI,5,0),1,0)*Table_NFI[[#This Row],[Jerry Can]],Table_NFI[Jerry Can])</f>
        <v>0</v>
      </c>
      <c r="AO44" s="331">
        <f>IF(NFI_Expiration=1,IF($A44&lt;VLOOKUP(V$5,NFI,5,0),1,0)*Table_NFI[[#This Row],[Shelter Tool kit]],Table_NFI[Shelter Tool kit])</f>
        <v>3</v>
      </c>
      <c r="AP44" s="331">
        <f>IF(NFI_Expiration=1,IF($A44&lt;VLOOKUP(V$5,NFI,5,0),1,0)*Table_NFI[[#This Row],[Tent]],Table_NFI[Tent])</f>
        <v>0</v>
      </c>
      <c r="AQ44" s="467" t="str">
        <f>IFERROR(VLOOKUP(Table_NFI[[#This Row],[Camp Name]],CL,2,0),"")</f>
        <v>MMR001CMP071</v>
      </c>
      <c r="AR44" s="835">
        <f ca="1">IF(Table_NFI[[#This Row],[Pcode]]="","",IF(OFFSET(CampList[Opening Date],MATCH(Table_NFI[[#This Row],[Pcode]],CampList[CP_Pcode],0)-1,0,1,1)&gt;=NFI_Monitor_Date,1,0))</f>
        <v>0</v>
      </c>
      <c r="AS44" s="467" t="str">
        <f>IFERROR(VLOOKUP(Table_NFI[[#This Row],[Camp Name]],CL,3,0),"")</f>
        <v>Open</v>
      </c>
      <c r="AT44" s="294" t="str">
        <f ca="1">IF(Table_NFI[[#This Row],[Pcode]]="","",OFFSET(CampList[Priority],MATCH(Table_NFI[[#This Row],[Pcode]],CampList[CP_Pcode],0)-1,0,1,1))</f>
        <v>P3</v>
      </c>
      <c r="AU44" s="293">
        <f>IFERROR(Table_NFI[[#This Row],[Kitchen Set]]/VLOOKUP(Table_NFI[[#This Row],[Camp Name]],CL,4,0),"")</f>
        <v>0</v>
      </c>
      <c r="AV44" s="461"/>
      <c r="AW44" s="463"/>
    </row>
    <row r="45" spans="1:49" s="464" customFormat="1" ht="14.45" customHeight="1" x14ac:dyDescent="0.25">
      <c r="A45" s="297">
        <f t="shared" si="0"/>
        <v>8.1999999999999993</v>
      </c>
      <c r="B45" s="460">
        <v>42490</v>
      </c>
      <c r="C45" s="461" t="s">
        <v>905</v>
      </c>
      <c r="D45" s="462" t="s">
        <v>905</v>
      </c>
      <c r="E45" s="461" t="s">
        <v>380</v>
      </c>
      <c r="F45" s="290" t="s">
        <v>185</v>
      </c>
      <c r="G45" s="290" t="s">
        <v>186</v>
      </c>
      <c r="H45" s="291"/>
      <c r="I45" s="291"/>
      <c r="J45" s="292"/>
      <c r="K45" s="291"/>
      <c r="L45" s="292"/>
      <c r="M45" s="292"/>
      <c r="N45" s="292"/>
      <c r="O45" s="292"/>
      <c r="P45" s="294"/>
      <c r="Q45" s="294"/>
      <c r="R45" s="294"/>
      <c r="S45" s="294"/>
      <c r="T45" s="294"/>
      <c r="U45" s="294"/>
      <c r="V45" s="431"/>
      <c r="W45" s="294"/>
      <c r="X45" s="294"/>
      <c r="Y45" s="294">
        <f>IF(NFI_Expiration=1,IF($A45&lt;VLOOKUP(H$5,NFI,5,0),1,0)*Table_NFI[[#This Row],[Hygiene Kit]],Table_NFI[Hygiene Kit])</f>
        <v>0</v>
      </c>
      <c r="Z45" s="294">
        <f>IF(NFI_Expiration=1,IF($A45&lt;VLOOKUP(I$5,NFI,5,0),1,0)*Table_NFI[[#This Row],[NFI Core Kit]],Table_NFI[NFI Core Kit])</f>
        <v>0</v>
      </c>
      <c r="AA45" s="294">
        <f>IF(NFI_Expiration=1,IF($A45&lt;VLOOKUP(J$5,NFI,5,0),1,0)*Table_NFI[[#This Row],[Sanitary Kit]],Table_NFI[Sanitary Kit])</f>
        <v>0</v>
      </c>
      <c r="AB45" s="294">
        <f>IF(NFI_Expiration=1,IF($A45&lt;VLOOKUP(K$5,NFI,5,0),1,0)*Table_NFI[[#This Row],[Mosquito net]],Table_NFI[Mosquito net])</f>
        <v>0</v>
      </c>
      <c r="AC45" s="294">
        <f>IF(NFI_Expiration=1,IF($A45&lt;VLOOKUP(L$5,NFI,5,0),1,0)*Table_NFI[[#This Row],[Tarpaulin]],Table_NFI[[#This Row],[Tarpaulin]])</f>
        <v>0</v>
      </c>
      <c r="AD45" s="294">
        <f>IF(NFI_Expiration=1,IF($A45&lt;VLOOKUP(M$5,NFI,5,0),1,0)*Table_NFI[[#This Row],[Blanket]],Table_NFI[[#This Row],[Blanket]])</f>
        <v>0</v>
      </c>
      <c r="AE45" s="294">
        <f>IF(NFI_Expiration=1,IF($A45&lt;VLOOKUP(N$5,NFI,5,0),1,0)*Table_NFI[[#This Row],[Kitchen Set]],Table_NFI[Kitchen Set])</f>
        <v>0</v>
      </c>
      <c r="AF45" s="294">
        <f>IF(NFI_Expiration=1,IF($A45&lt;VLOOKUP(O$5,NFI,5,0),1,0)*Table_NFI[[#This Row],[Clothes Kit]],Table_NFI[Clothes Kit])</f>
        <v>0</v>
      </c>
      <c r="AG45" s="294">
        <f>IF(NFI_Expiration=1,IF($A45&lt;VLOOKUP(P$5,NFI,5,0),1,0)*Table_NFI[[#This Row],[Plastic Bucket]],Table_NFI[Plastic Bucket])</f>
        <v>0</v>
      </c>
      <c r="AH45" s="294">
        <f>IF(NFI_Expiration=1,IF($A45&lt;VLOOKUP(Q$5,NFI,5,0),1,0)*Table_NFI[[#This Row],[Plastic Mat]],Table_NFI[Plastic Mat])*IF(Table_NFI[[#This Row],[Distribution Date]]&gt;"2014-04-01",1,2.5)</f>
        <v>0</v>
      </c>
      <c r="AI45" s="294">
        <f>IF(NFI_Expiration=1,IF($A45&lt;VLOOKUP(R$5,NFI,5,0),1,0)*Table_NFI[[#This Row],[Winter Clothes Adult]],Table_NFI[Winter Clothes Adult])</f>
        <v>0</v>
      </c>
      <c r="AJ45" s="294">
        <f>IF(NFI_Expiration=1,IF($A45&lt;VLOOKUP(S$5,NFI,5,0),1,0)*Table_NFI[[#This Row],[Winter Clothes Children]],Table_NFI[Winter Clothes Children])</f>
        <v>0</v>
      </c>
      <c r="AK45" s="294">
        <f>IF(NFI_Expiration=1,IF($A45&lt;VLOOKUP(T$5,NFI,5,0),1,0)*Table_NFI[[#This Row],[Winter Items Other]],Table_NFI[Winter Items Other])</f>
        <v>0</v>
      </c>
      <c r="AL45" s="294">
        <f>IF(NFI_Expiration=1,IF($A45&lt;VLOOKUP(M$5,NFI,5,0),1,0)*Table_NFI[[#This Row],[Winter Blanket]],Table_NFI[[#This Row],[Winter Blanket]])</f>
        <v>0</v>
      </c>
      <c r="AM45" s="294">
        <f>IF(Table_NFI[[#This Row],[Winter Clothes Adult]]+Table_NFI[[#This Row],[Winter Clothes Children]]+Table_NFI[[#This Row],[Winter Items Other]]+Table_NFI[[#This Row],[Winter Blanket]]&gt;0,1,0)</f>
        <v>0</v>
      </c>
      <c r="AN45" s="331">
        <f>IF(NFI_Expiration=1,IF($A45&lt;VLOOKUP(V$5,NFI,5,0),1,0)*Table_NFI[[#This Row],[Jerry Can]],Table_NFI[Jerry Can])</f>
        <v>0</v>
      </c>
      <c r="AO45" s="331">
        <f>IF(NFI_Expiration=1,IF($A45&lt;VLOOKUP(V$5,NFI,5,0),1,0)*Table_NFI[[#This Row],[Shelter Tool kit]],Table_NFI[Shelter Tool kit])</f>
        <v>0</v>
      </c>
      <c r="AP45" s="331">
        <f>IF(NFI_Expiration=1,IF($A45&lt;VLOOKUP(V$5,NFI,5,0),1,0)*Table_NFI[[#This Row],[Tent]],Table_NFI[Tent])</f>
        <v>0</v>
      </c>
      <c r="AQ45" s="467" t="str">
        <f>IFERROR(VLOOKUP(Table_NFI[[#This Row],[Camp Name]],CL,2,0),"")</f>
        <v>MMR001CMP071</v>
      </c>
      <c r="AR45" s="835">
        <f ca="1">IF(Table_NFI[[#This Row],[Pcode]]="","",IF(OFFSET(CampList[Opening Date],MATCH(Table_NFI[[#This Row],[Pcode]],CampList[CP_Pcode],0)-1,0,1,1)&gt;=NFI_Monitor_Date,1,0))</f>
        <v>0</v>
      </c>
      <c r="AS45" s="467" t="str">
        <f>IFERROR(VLOOKUP(Table_NFI[[#This Row],[Camp Name]],CL,3,0),"")</f>
        <v>Open</v>
      </c>
      <c r="AT45" s="294" t="str">
        <f ca="1">IF(Table_NFI[[#This Row],[Pcode]]="","",OFFSET(CampList[Priority],MATCH(Table_NFI[[#This Row],[Pcode]],CampList[CP_Pcode],0)-1,0,1,1))</f>
        <v>P3</v>
      </c>
      <c r="AU45" s="293">
        <f>IFERROR(Table_NFI[[#This Row],[Kitchen Set]]/VLOOKUP(Table_NFI[[#This Row],[Camp Name]],CL,4,0),"")</f>
        <v>0</v>
      </c>
      <c r="AV45" s="461"/>
      <c r="AW45" s="463"/>
    </row>
    <row r="46" spans="1:49" s="464" customFormat="1" ht="14.45" customHeight="1" x14ac:dyDescent="0.25">
      <c r="A46" s="297">
        <f t="shared" si="0"/>
        <v>8.1999999999999993</v>
      </c>
      <c r="B46" s="460">
        <v>42490</v>
      </c>
      <c r="C46" s="461" t="s">
        <v>905</v>
      </c>
      <c r="D46" s="462" t="s">
        <v>905</v>
      </c>
      <c r="E46" s="461" t="s">
        <v>380</v>
      </c>
      <c r="F46" s="290" t="s">
        <v>185</v>
      </c>
      <c r="G46" s="290" t="s">
        <v>223</v>
      </c>
      <c r="H46" s="291"/>
      <c r="I46" s="291"/>
      <c r="J46" s="292"/>
      <c r="K46" s="291"/>
      <c r="L46" s="292"/>
      <c r="M46" s="292"/>
      <c r="N46" s="292"/>
      <c r="O46" s="292"/>
      <c r="P46" s="294"/>
      <c r="Q46" s="294"/>
      <c r="R46" s="294"/>
      <c r="S46" s="294"/>
      <c r="T46" s="294"/>
      <c r="U46" s="294"/>
      <c r="V46" s="431"/>
      <c r="W46" s="294">
        <v>6</v>
      </c>
      <c r="X46" s="294"/>
      <c r="Y46" s="294">
        <f>IF(NFI_Expiration=1,IF($A46&lt;VLOOKUP(H$5,NFI,5,0),1,0)*Table_NFI[[#This Row],[Hygiene Kit]],Table_NFI[Hygiene Kit])</f>
        <v>0</v>
      </c>
      <c r="Z46" s="294">
        <f>IF(NFI_Expiration=1,IF($A46&lt;VLOOKUP(I$5,NFI,5,0),1,0)*Table_NFI[[#This Row],[NFI Core Kit]],Table_NFI[NFI Core Kit])</f>
        <v>0</v>
      </c>
      <c r="AA46" s="294">
        <f>IF(NFI_Expiration=1,IF($A46&lt;VLOOKUP(J$5,NFI,5,0),1,0)*Table_NFI[[#This Row],[Sanitary Kit]],Table_NFI[Sanitary Kit])</f>
        <v>0</v>
      </c>
      <c r="AB46" s="294">
        <f>IF(NFI_Expiration=1,IF($A46&lt;VLOOKUP(K$5,NFI,5,0),1,0)*Table_NFI[[#This Row],[Mosquito net]],Table_NFI[Mosquito net])</f>
        <v>0</v>
      </c>
      <c r="AC46" s="294">
        <f>IF(NFI_Expiration=1,IF($A46&lt;VLOOKUP(L$5,NFI,5,0),1,0)*Table_NFI[[#This Row],[Tarpaulin]],Table_NFI[[#This Row],[Tarpaulin]])</f>
        <v>0</v>
      </c>
      <c r="AD46" s="294">
        <f>IF(NFI_Expiration=1,IF($A46&lt;VLOOKUP(M$5,NFI,5,0),1,0)*Table_NFI[[#This Row],[Blanket]],Table_NFI[[#This Row],[Blanket]])</f>
        <v>0</v>
      </c>
      <c r="AE46" s="294">
        <f>IF(NFI_Expiration=1,IF($A46&lt;VLOOKUP(N$5,NFI,5,0),1,0)*Table_NFI[[#This Row],[Kitchen Set]],Table_NFI[Kitchen Set])</f>
        <v>0</v>
      </c>
      <c r="AF46" s="294">
        <f>IF(NFI_Expiration=1,IF($A46&lt;VLOOKUP(O$5,NFI,5,0),1,0)*Table_NFI[[#This Row],[Clothes Kit]],Table_NFI[Clothes Kit])</f>
        <v>0</v>
      </c>
      <c r="AG46" s="294">
        <f>IF(NFI_Expiration=1,IF($A46&lt;VLOOKUP(P$5,NFI,5,0),1,0)*Table_NFI[[#This Row],[Plastic Bucket]],Table_NFI[Plastic Bucket])</f>
        <v>0</v>
      </c>
      <c r="AH46" s="294">
        <f>IF(NFI_Expiration=1,IF($A46&lt;VLOOKUP(Q$5,NFI,5,0),1,0)*Table_NFI[[#This Row],[Plastic Mat]],Table_NFI[Plastic Mat])*IF(Table_NFI[[#This Row],[Distribution Date]]&gt;"2014-04-01",1,2.5)</f>
        <v>0</v>
      </c>
      <c r="AI46" s="294">
        <f>IF(NFI_Expiration=1,IF($A46&lt;VLOOKUP(R$5,NFI,5,0),1,0)*Table_NFI[[#This Row],[Winter Clothes Adult]],Table_NFI[Winter Clothes Adult])</f>
        <v>0</v>
      </c>
      <c r="AJ46" s="294">
        <f>IF(NFI_Expiration=1,IF($A46&lt;VLOOKUP(S$5,NFI,5,0),1,0)*Table_NFI[[#This Row],[Winter Clothes Children]],Table_NFI[Winter Clothes Children])</f>
        <v>0</v>
      </c>
      <c r="AK46" s="294">
        <f>IF(NFI_Expiration=1,IF($A46&lt;VLOOKUP(T$5,NFI,5,0),1,0)*Table_NFI[[#This Row],[Winter Items Other]],Table_NFI[Winter Items Other])</f>
        <v>0</v>
      </c>
      <c r="AL46" s="294">
        <f>IF(NFI_Expiration=1,IF($A46&lt;VLOOKUP(M$5,NFI,5,0),1,0)*Table_NFI[[#This Row],[Winter Blanket]],Table_NFI[[#This Row],[Winter Blanket]])</f>
        <v>0</v>
      </c>
      <c r="AM46" s="294">
        <f>IF(Table_NFI[[#This Row],[Winter Clothes Adult]]+Table_NFI[[#This Row],[Winter Clothes Children]]+Table_NFI[[#This Row],[Winter Items Other]]+Table_NFI[[#This Row],[Winter Blanket]]&gt;0,1,0)</f>
        <v>0</v>
      </c>
      <c r="AN46" s="331">
        <f>IF(NFI_Expiration=1,IF($A46&lt;VLOOKUP(V$5,NFI,5,0),1,0)*Table_NFI[[#This Row],[Jerry Can]],Table_NFI[Jerry Can])</f>
        <v>0</v>
      </c>
      <c r="AO46" s="331">
        <f>IF(NFI_Expiration=1,IF($A46&lt;VLOOKUP(V$5,NFI,5,0),1,0)*Table_NFI[[#This Row],[Shelter Tool kit]],Table_NFI[Shelter Tool kit])</f>
        <v>6</v>
      </c>
      <c r="AP46" s="331">
        <f>IF(NFI_Expiration=1,IF($A46&lt;VLOOKUP(V$5,NFI,5,0),1,0)*Table_NFI[[#This Row],[Tent]],Table_NFI[Tent])</f>
        <v>0</v>
      </c>
      <c r="AQ46" s="467" t="str">
        <f>IFERROR(VLOOKUP(Table_NFI[[#This Row],[Camp Name]],CL,2,0),"")</f>
        <v>MMR001CMP069</v>
      </c>
      <c r="AR46" s="835">
        <f ca="1">IF(Table_NFI[[#This Row],[Pcode]]="","",IF(OFFSET(CampList[Opening Date],MATCH(Table_NFI[[#This Row],[Pcode]],CampList[CP_Pcode],0)-1,0,1,1)&gt;=NFI_Monitor_Date,1,0))</f>
        <v>0</v>
      </c>
      <c r="AS46" s="467" t="str">
        <f>IFERROR(VLOOKUP(Table_NFI[[#This Row],[Camp Name]],CL,3,0),"")</f>
        <v>Open</v>
      </c>
      <c r="AT46" s="294" t="str">
        <f ca="1">IF(Table_NFI[[#This Row],[Pcode]]="","",OFFSET(CampList[Priority],MATCH(Table_NFI[[#This Row],[Pcode]],CampList[CP_Pcode],0)-1,0,1,1))</f>
        <v>P3</v>
      </c>
      <c r="AU46" s="293">
        <f>IFERROR(Table_NFI[[#This Row],[Kitchen Set]]/VLOOKUP(Table_NFI[[#This Row],[Camp Name]],CL,4,0),"")</f>
        <v>0</v>
      </c>
      <c r="AV46" s="461"/>
      <c r="AW46" s="463"/>
    </row>
    <row r="47" spans="1:49" s="98" customFormat="1" ht="14.45" customHeight="1" x14ac:dyDescent="0.25">
      <c r="A47" s="297">
        <f t="shared" si="0"/>
        <v>8.1999999999999993</v>
      </c>
      <c r="B47" s="460">
        <v>42490</v>
      </c>
      <c r="C47" s="461" t="s">
        <v>905</v>
      </c>
      <c r="D47" s="462" t="s">
        <v>905</v>
      </c>
      <c r="E47" s="461" t="s">
        <v>380</v>
      </c>
      <c r="F47" s="290" t="s">
        <v>185</v>
      </c>
      <c r="G47" s="290" t="s">
        <v>190</v>
      </c>
      <c r="H47" s="291"/>
      <c r="I47" s="291"/>
      <c r="J47" s="292"/>
      <c r="K47" s="291"/>
      <c r="L47" s="292"/>
      <c r="M47" s="292"/>
      <c r="N47" s="292"/>
      <c r="O47" s="292"/>
      <c r="P47" s="294"/>
      <c r="Q47" s="294"/>
      <c r="R47" s="294"/>
      <c r="S47" s="294"/>
      <c r="T47" s="294"/>
      <c r="U47" s="294"/>
      <c r="V47" s="431"/>
      <c r="W47" s="294">
        <v>14</v>
      </c>
      <c r="X47" s="294"/>
      <c r="Y47" s="294">
        <f>IF(NFI_Expiration=1,IF($A47&lt;VLOOKUP(H$5,NFI,5,0),1,0)*Table_NFI[[#This Row],[Hygiene Kit]],Table_NFI[Hygiene Kit])</f>
        <v>0</v>
      </c>
      <c r="Z47" s="294">
        <f>IF(NFI_Expiration=1,IF($A47&lt;VLOOKUP(I$5,NFI,5,0),1,0)*Table_NFI[[#This Row],[NFI Core Kit]],Table_NFI[NFI Core Kit])</f>
        <v>0</v>
      </c>
      <c r="AA47" s="294">
        <f>IF(NFI_Expiration=1,IF($A47&lt;VLOOKUP(J$5,NFI,5,0),1,0)*Table_NFI[[#This Row],[Sanitary Kit]],Table_NFI[Sanitary Kit])</f>
        <v>0</v>
      </c>
      <c r="AB47" s="294">
        <f>IF(NFI_Expiration=1,IF($A47&lt;VLOOKUP(K$5,NFI,5,0),1,0)*Table_NFI[[#This Row],[Mosquito net]],Table_NFI[Mosquito net])</f>
        <v>0</v>
      </c>
      <c r="AC47" s="294">
        <f>IF(NFI_Expiration=1,IF($A47&lt;VLOOKUP(L$5,NFI,5,0),1,0)*Table_NFI[[#This Row],[Tarpaulin]],Table_NFI[[#This Row],[Tarpaulin]])</f>
        <v>0</v>
      </c>
      <c r="AD47" s="294">
        <f>IF(NFI_Expiration=1,IF($A47&lt;VLOOKUP(M$5,NFI,5,0),1,0)*Table_NFI[[#This Row],[Blanket]],Table_NFI[[#This Row],[Blanket]])</f>
        <v>0</v>
      </c>
      <c r="AE47" s="294">
        <f>IF(NFI_Expiration=1,IF($A47&lt;VLOOKUP(N$5,NFI,5,0),1,0)*Table_NFI[[#This Row],[Kitchen Set]],Table_NFI[Kitchen Set])</f>
        <v>0</v>
      </c>
      <c r="AF47" s="294">
        <f>IF(NFI_Expiration=1,IF($A47&lt;VLOOKUP(O$5,NFI,5,0),1,0)*Table_NFI[[#This Row],[Clothes Kit]],Table_NFI[Clothes Kit])</f>
        <v>0</v>
      </c>
      <c r="AG47" s="294">
        <f>IF(NFI_Expiration=1,IF($A47&lt;VLOOKUP(P$5,NFI,5,0),1,0)*Table_NFI[[#This Row],[Plastic Bucket]],Table_NFI[Plastic Bucket])</f>
        <v>0</v>
      </c>
      <c r="AH47" s="294">
        <f>IF(NFI_Expiration=1,IF($A47&lt;VLOOKUP(Q$5,NFI,5,0),1,0)*Table_NFI[[#This Row],[Plastic Mat]],Table_NFI[Plastic Mat])*IF(Table_NFI[[#This Row],[Distribution Date]]&gt;"2014-04-01",1,2.5)</f>
        <v>0</v>
      </c>
      <c r="AI47" s="294">
        <f>IF(NFI_Expiration=1,IF($A47&lt;VLOOKUP(R$5,NFI,5,0),1,0)*Table_NFI[[#This Row],[Winter Clothes Adult]],Table_NFI[Winter Clothes Adult])</f>
        <v>0</v>
      </c>
      <c r="AJ47" s="294">
        <f>IF(NFI_Expiration=1,IF($A47&lt;VLOOKUP(S$5,NFI,5,0),1,0)*Table_NFI[[#This Row],[Winter Clothes Children]],Table_NFI[Winter Clothes Children])</f>
        <v>0</v>
      </c>
      <c r="AK47" s="294">
        <f>IF(NFI_Expiration=1,IF($A47&lt;VLOOKUP(T$5,NFI,5,0),1,0)*Table_NFI[[#This Row],[Winter Items Other]],Table_NFI[Winter Items Other])</f>
        <v>0</v>
      </c>
      <c r="AL47" s="294">
        <f>IF(NFI_Expiration=1,IF($A47&lt;VLOOKUP(M$5,NFI,5,0),1,0)*Table_NFI[[#This Row],[Winter Blanket]],Table_NFI[[#This Row],[Winter Blanket]])</f>
        <v>0</v>
      </c>
      <c r="AM47" s="294">
        <f>IF(Table_NFI[[#This Row],[Winter Clothes Adult]]+Table_NFI[[#This Row],[Winter Clothes Children]]+Table_NFI[[#This Row],[Winter Items Other]]+Table_NFI[[#This Row],[Winter Blanket]]&gt;0,1,0)</f>
        <v>0</v>
      </c>
      <c r="AN47" s="331">
        <f>IF(NFI_Expiration=1,IF($A47&lt;VLOOKUP(V$5,NFI,5,0),1,0)*Table_NFI[[#This Row],[Jerry Can]],Table_NFI[Jerry Can])</f>
        <v>0</v>
      </c>
      <c r="AO47" s="331">
        <f>IF(NFI_Expiration=1,IF($A47&lt;VLOOKUP(V$5,NFI,5,0),1,0)*Table_NFI[[#This Row],[Shelter Tool kit]],Table_NFI[Shelter Tool kit])</f>
        <v>14</v>
      </c>
      <c r="AP47" s="331">
        <f>IF(NFI_Expiration=1,IF($A47&lt;VLOOKUP(V$5,NFI,5,0),1,0)*Table_NFI[[#This Row],[Tent]],Table_NFI[Tent])</f>
        <v>0</v>
      </c>
      <c r="AQ47" s="467" t="str">
        <f>IFERROR(VLOOKUP(Table_NFI[[#This Row],[Camp Name]],CL,2,0),"")</f>
        <v>MMR001CMP070</v>
      </c>
      <c r="AR47" s="835">
        <f ca="1">IF(Table_NFI[[#This Row],[Pcode]]="","",IF(OFFSET(CampList[Opening Date],MATCH(Table_NFI[[#This Row],[Pcode]],CampList[CP_Pcode],0)-1,0,1,1)&gt;=NFI_Monitor_Date,1,0))</f>
        <v>0</v>
      </c>
      <c r="AS47" s="467" t="str">
        <f>IFERROR(VLOOKUP(Table_NFI[[#This Row],[Camp Name]],CL,3,0),"")</f>
        <v>Open</v>
      </c>
      <c r="AT47" s="294" t="str">
        <f ca="1">IF(Table_NFI[[#This Row],[Pcode]]="","",OFFSET(CampList[Priority],MATCH(Table_NFI[[#This Row],[Pcode]],CampList[CP_Pcode],0)-1,0,1,1))</f>
        <v>P3</v>
      </c>
      <c r="AU47" s="293">
        <f>IFERROR(Table_NFI[[#This Row],[Kitchen Set]]/VLOOKUP(Table_NFI[[#This Row],[Camp Name]],CL,4,0),"")</f>
        <v>0</v>
      </c>
      <c r="AV47" s="461"/>
      <c r="AW47" s="463"/>
    </row>
    <row r="48" spans="1:49" s="464" customFormat="1" ht="14.45" customHeight="1" x14ac:dyDescent="0.25">
      <c r="A48" s="297">
        <f t="shared" si="0"/>
        <v>8.1999999999999993</v>
      </c>
      <c r="B48" s="460">
        <v>42490</v>
      </c>
      <c r="C48" s="461" t="s">
        <v>905</v>
      </c>
      <c r="D48" s="461" t="s">
        <v>905</v>
      </c>
      <c r="E48" s="461" t="s">
        <v>380</v>
      </c>
      <c r="F48" s="290" t="s">
        <v>185</v>
      </c>
      <c r="G48" s="290" t="s">
        <v>229</v>
      </c>
      <c r="H48" s="291"/>
      <c r="I48" s="291"/>
      <c r="J48" s="292"/>
      <c r="K48" s="291"/>
      <c r="L48" s="292"/>
      <c r="M48" s="292"/>
      <c r="N48" s="292"/>
      <c r="O48" s="292"/>
      <c r="P48" s="294"/>
      <c r="Q48" s="294"/>
      <c r="R48" s="294"/>
      <c r="S48" s="294"/>
      <c r="T48" s="294"/>
      <c r="U48" s="294"/>
      <c r="V48" s="431"/>
      <c r="W48" s="294">
        <v>5</v>
      </c>
      <c r="X48" s="294"/>
      <c r="Y48" s="294">
        <f>IF(NFI_Expiration=1,IF($A48&lt;VLOOKUP(H$5,NFI,5,0),1,0)*Table_NFI[[#This Row],[Hygiene Kit]],Table_NFI[Hygiene Kit])</f>
        <v>0</v>
      </c>
      <c r="Z48" s="294">
        <f>IF(NFI_Expiration=1,IF($A48&lt;VLOOKUP(I$5,NFI,5,0),1,0)*Table_NFI[[#This Row],[NFI Core Kit]],Table_NFI[NFI Core Kit])</f>
        <v>0</v>
      </c>
      <c r="AA48" s="294">
        <f>IF(NFI_Expiration=1,IF($A48&lt;VLOOKUP(J$5,NFI,5,0),1,0)*Table_NFI[[#This Row],[Sanitary Kit]],Table_NFI[Sanitary Kit])</f>
        <v>0</v>
      </c>
      <c r="AB48" s="294">
        <f>IF(NFI_Expiration=1,IF($A48&lt;VLOOKUP(K$5,NFI,5,0),1,0)*Table_NFI[[#This Row],[Mosquito net]],Table_NFI[Mosquito net])</f>
        <v>0</v>
      </c>
      <c r="AC48" s="294">
        <f>IF(NFI_Expiration=1,IF($A48&lt;VLOOKUP(L$5,NFI,5,0),1,0)*Table_NFI[[#This Row],[Tarpaulin]],Table_NFI[[#This Row],[Tarpaulin]])</f>
        <v>0</v>
      </c>
      <c r="AD48" s="294">
        <f>IF(NFI_Expiration=1,IF($A48&lt;VLOOKUP(M$5,NFI,5,0),1,0)*Table_NFI[[#This Row],[Blanket]],Table_NFI[[#This Row],[Blanket]])</f>
        <v>0</v>
      </c>
      <c r="AE48" s="294">
        <f>IF(NFI_Expiration=1,IF($A48&lt;VLOOKUP(N$5,NFI,5,0),1,0)*Table_NFI[[#This Row],[Kitchen Set]],Table_NFI[Kitchen Set])</f>
        <v>0</v>
      </c>
      <c r="AF48" s="294">
        <f>IF(NFI_Expiration=1,IF($A48&lt;VLOOKUP(O$5,NFI,5,0),1,0)*Table_NFI[[#This Row],[Clothes Kit]],Table_NFI[Clothes Kit])</f>
        <v>0</v>
      </c>
      <c r="AG48" s="294">
        <f>IF(NFI_Expiration=1,IF($A48&lt;VLOOKUP(P$5,NFI,5,0),1,0)*Table_NFI[[#This Row],[Plastic Bucket]],Table_NFI[Plastic Bucket])</f>
        <v>0</v>
      </c>
      <c r="AH48" s="294">
        <f>IF(NFI_Expiration=1,IF($A48&lt;VLOOKUP(Q$5,NFI,5,0),1,0)*Table_NFI[[#This Row],[Plastic Mat]],Table_NFI[Plastic Mat])*IF(Table_NFI[[#This Row],[Distribution Date]]&gt;"2014-04-01",1,2.5)</f>
        <v>0</v>
      </c>
      <c r="AI48" s="294">
        <f>IF(NFI_Expiration=1,IF($A48&lt;VLOOKUP(R$5,NFI,5,0),1,0)*Table_NFI[[#This Row],[Winter Clothes Adult]],Table_NFI[Winter Clothes Adult])</f>
        <v>0</v>
      </c>
      <c r="AJ48" s="294">
        <f>IF(NFI_Expiration=1,IF($A48&lt;VLOOKUP(S$5,NFI,5,0),1,0)*Table_NFI[[#This Row],[Winter Clothes Children]],Table_NFI[Winter Clothes Children])</f>
        <v>0</v>
      </c>
      <c r="AK48" s="294">
        <f>IF(NFI_Expiration=1,IF($A48&lt;VLOOKUP(T$5,NFI,5,0),1,0)*Table_NFI[[#This Row],[Winter Items Other]],Table_NFI[Winter Items Other])</f>
        <v>0</v>
      </c>
      <c r="AL48" s="294">
        <f>IF(NFI_Expiration=1,IF($A48&lt;VLOOKUP(M$5,NFI,5,0),1,0)*Table_NFI[[#This Row],[Winter Blanket]],Table_NFI[[#This Row],[Winter Blanket]])</f>
        <v>0</v>
      </c>
      <c r="AM48" s="294">
        <f>IF(Table_NFI[[#This Row],[Winter Clothes Adult]]+Table_NFI[[#This Row],[Winter Clothes Children]]+Table_NFI[[#This Row],[Winter Items Other]]+Table_NFI[[#This Row],[Winter Blanket]]&gt;0,1,0)</f>
        <v>0</v>
      </c>
      <c r="AN48" s="331">
        <f>IF(NFI_Expiration=1,IF($A48&lt;VLOOKUP(V$5,NFI,5,0),1,0)*Table_NFI[[#This Row],[Jerry Can]],Table_NFI[Jerry Can])</f>
        <v>0</v>
      </c>
      <c r="AO48" s="331">
        <f>IF(NFI_Expiration=1,IF($A48&lt;VLOOKUP(V$5,NFI,5,0),1,0)*Table_NFI[[#This Row],[Shelter Tool kit]],Table_NFI[Shelter Tool kit])</f>
        <v>5</v>
      </c>
      <c r="AP48" s="331">
        <f>IF(NFI_Expiration=1,IF($A48&lt;VLOOKUP(V$5,NFI,5,0),1,0)*Table_NFI[[#This Row],[Tent]],Table_NFI[Tent])</f>
        <v>0</v>
      </c>
      <c r="AQ48" s="467" t="str">
        <f>IFERROR(VLOOKUP(Table_NFI[[#This Row],[Camp Name]],CL,2,0),"")</f>
        <v>MMR001CMP072</v>
      </c>
      <c r="AR48" s="835">
        <f ca="1">IF(Table_NFI[[#This Row],[Pcode]]="","",IF(OFFSET(CampList[Opening Date],MATCH(Table_NFI[[#This Row],[Pcode]],CampList[CP_Pcode],0)-1,0,1,1)&gt;=NFI_Monitor_Date,1,0))</f>
        <v>0</v>
      </c>
      <c r="AS48" s="467" t="str">
        <f>IFERROR(VLOOKUP(Table_NFI[[#This Row],[Camp Name]],CL,3,0),"")</f>
        <v>Open</v>
      </c>
      <c r="AT48" s="294" t="str">
        <f ca="1">IF(Table_NFI[[#This Row],[Pcode]]="","",OFFSET(CampList[Priority],MATCH(Table_NFI[[#This Row],[Pcode]],CampList[CP_Pcode],0)-1,0,1,1))</f>
        <v>P3</v>
      </c>
      <c r="AU48" s="293">
        <f>IFERROR(Table_NFI[[#This Row],[Kitchen Set]]/VLOOKUP(Table_NFI[[#This Row],[Camp Name]],CL,4,0),"")</f>
        <v>0</v>
      </c>
      <c r="AV48" s="461"/>
      <c r="AW48" s="463"/>
    </row>
    <row r="49" spans="1:49" s="464" customFormat="1" ht="14.45" customHeight="1" x14ac:dyDescent="0.25">
      <c r="A49" s="297">
        <f t="shared" si="0"/>
        <v>8.1999999999999993</v>
      </c>
      <c r="B49" s="460">
        <v>42490</v>
      </c>
      <c r="C49" s="461" t="s">
        <v>905</v>
      </c>
      <c r="D49" s="462" t="s">
        <v>905</v>
      </c>
      <c r="E49" s="461" t="s">
        <v>380</v>
      </c>
      <c r="F49" s="290" t="s">
        <v>185</v>
      </c>
      <c r="G49" s="290" t="s">
        <v>225</v>
      </c>
      <c r="H49" s="291"/>
      <c r="I49" s="291"/>
      <c r="J49" s="292"/>
      <c r="K49" s="291"/>
      <c r="L49" s="292"/>
      <c r="M49" s="292"/>
      <c r="N49" s="292"/>
      <c r="O49" s="292"/>
      <c r="P49" s="294"/>
      <c r="Q49" s="294"/>
      <c r="R49" s="294"/>
      <c r="S49" s="294"/>
      <c r="T49" s="294"/>
      <c r="U49" s="294"/>
      <c r="V49" s="431"/>
      <c r="W49" s="294">
        <v>4</v>
      </c>
      <c r="X49" s="294"/>
      <c r="Y49" s="294">
        <f>IF(NFI_Expiration=1,IF($A49&lt;VLOOKUP(H$5,NFI,5,0),1,0)*Table_NFI[[#This Row],[Hygiene Kit]],Table_NFI[Hygiene Kit])</f>
        <v>0</v>
      </c>
      <c r="Z49" s="294">
        <f>IF(NFI_Expiration=1,IF($A49&lt;VLOOKUP(I$5,NFI,5,0),1,0)*Table_NFI[[#This Row],[NFI Core Kit]],Table_NFI[NFI Core Kit])</f>
        <v>0</v>
      </c>
      <c r="AA49" s="294">
        <f>IF(NFI_Expiration=1,IF($A49&lt;VLOOKUP(J$5,NFI,5,0),1,0)*Table_NFI[[#This Row],[Sanitary Kit]],Table_NFI[Sanitary Kit])</f>
        <v>0</v>
      </c>
      <c r="AB49" s="294">
        <f>IF(NFI_Expiration=1,IF($A49&lt;VLOOKUP(K$5,NFI,5,0),1,0)*Table_NFI[[#This Row],[Mosquito net]],Table_NFI[Mosquito net])</f>
        <v>0</v>
      </c>
      <c r="AC49" s="294">
        <f>IF(NFI_Expiration=1,IF($A49&lt;VLOOKUP(L$5,NFI,5,0),1,0)*Table_NFI[[#This Row],[Tarpaulin]],Table_NFI[[#This Row],[Tarpaulin]])</f>
        <v>0</v>
      </c>
      <c r="AD49" s="294">
        <f>IF(NFI_Expiration=1,IF($A49&lt;VLOOKUP(M$5,NFI,5,0),1,0)*Table_NFI[[#This Row],[Blanket]],Table_NFI[[#This Row],[Blanket]])</f>
        <v>0</v>
      </c>
      <c r="AE49" s="294">
        <f>IF(NFI_Expiration=1,IF($A49&lt;VLOOKUP(N$5,NFI,5,0),1,0)*Table_NFI[[#This Row],[Kitchen Set]],Table_NFI[Kitchen Set])</f>
        <v>0</v>
      </c>
      <c r="AF49" s="294">
        <f>IF(NFI_Expiration=1,IF($A49&lt;VLOOKUP(O$5,NFI,5,0),1,0)*Table_NFI[[#This Row],[Clothes Kit]],Table_NFI[Clothes Kit])</f>
        <v>0</v>
      </c>
      <c r="AG49" s="294">
        <f>IF(NFI_Expiration=1,IF($A49&lt;VLOOKUP(P$5,NFI,5,0),1,0)*Table_NFI[[#This Row],[Plastic Bucket]],Table_NFI[Plastic Bucket])</f>
        <v>0</v>
      </c>
      <c r="AH49" s="294">
        <f>IF(NFI_Expiration=1,IF($A49&lt;VLOOKUP(Q$5,NFI,5,0),1,0)*Table_NFI[[#This Row],[Plastic Mat]],Table_NFI[Plastic Mat])*IF(Table_NFI[[#This Row],[Distribution Date]]&gt;"2014-04-01",1,2.5)</f>
        <v>0</v>
      </c>
      <c r="AI49" s="294">
        <f>IF(NFI_Expiration=1,IF($A49&lt;VLOOKUP(R$5,NFI,5,0),1,0)*Table_NFI[[#This Row],[Winter Clothes Adult]],Table_NFI[Winter Clothes Adult])</f>
        <v>0</v>
      </c>
      <c r="AJ49" s="294">
        <f>IF(NFI_Expiration=1,IF($A49&lt;VLOOKUP(S$5,NFI,5,0),1,0)*Table_NFI[[#This Row],[Winter Clothes Children]],Table_NFI[Winter Clothes Children])</f>
        <v>0</v>
      </c>
      <c r="AK49" s="294">
        <f>IF(NFI_Expiration=1,IF($A49&lt;VLOOKUP(T$5,NFI,5,0),1,0)*Table_NFI[[#This Row],[Winter Items Other]],Table_NFI[Winter Items Other])</f>
        <v>0</v>
      </c>
      <c r="AL49" s="294">
        <f>IF(NFI_Expiration=1,IF($A49&lt;VLOOKUP(M$5,NFI,5,0),1,0)*Table_NFI[[#This Row],[Winter Blanket]],Table_NFI[[#This Row],[Winter Blanket]])</f>
        <v>0</v>
      </c>
      <c r="AM49" s="294">
        <f>IF(Table_NFI[[#This Row],[Winter Clothes Adult]]+Table_NFI[[#This Row],[Winter Clothes Children]]+Table_NFI[[#This Row],[Winter Items Other]]+Table_NFI[[#This Row],[Winter Blanket]]&gt;0,1,0)</f>
        <v>0</v>
      </c>
      <c r="AN49" s="331">
        <f>IF(NFI_Expiration=1,IF($A49&lt;VLOOKUP(V$5,NFI,5,0),1,0)*Table_NFI[[#This Row],[Jerry Can]],Table_NFI[Jerry Can])</f>
        <v>0</v>
      </c>
      <c r="AO49" s="331">
        <f>IF(NFI_Expiration=1,IF($A49&lt;VLOOKUP(V$5,NFI,5,0),1,0)*Table_NFI[[#This Row],[Shelter Tool kit]],Table_NFI[Shelter Tool kit])</f>
        <v>4</v>
      </c>
      <c r="AP49" s="331">
        <f>IF(NFI_Expiration=1,IF($A49&lt;VLOOKUP(V$5,NFI,5,0),1,0)*Table_NFI[[#This Row],[Tent]],Table_NFI[Tent])</f>
        <v>0</v>
      </c>
      <c r="AQ49" s="467" t="str">
        <f>IFERROR(VLOOKUP(Table_NFI[[#This Row],[Camp Name]],CL,2,0),"")</f>
        <v>MMR001CMP073</v>
      </c>
      <c r="AR49" s="835">
        <f ca="1">IF(Table_NFI[[#This Row],[Pcode]]="","",IF(OFFSET(CampList[Opening Date],MATCH(Table_NFI[[#This Row],[Pcode]],CampList[CP_Pcode],0)-1,0,1,1)&gt;=NFI_Monitor_Date,1,0))</f>
        <v>0</v>
      </c>
      <c r="AS49" s="467" t="str">
        <f>IFERROR(VLOOKUP(Table_NFI[[#This Row],[Camp Name]],CL,3,0),"")</f>
        <v>Open</v>
      </c>
      <c r="AT49" s="294" t="str">
        <f ca="1">IF(Table_NFI[[#This Row],[Pcode]]="","",OFFSET(CampList[Priority],MATCH(Table_NFI[[#This Row],[Pcode]],CampList[CP_Pcode],0)-1,0,1,1))</f>
        <v>P3</v>
      </c>
      <c r="AU49" s="293">
        <f>IFERROR(Table_NFI[[#This Row],[Kitchen Set]]/VLOOKUP(Table_NFI[[#This Row],[Camp Name]],CL,4,0),"")</f>
        <v>0</v>
      </c>
      <c r="AV49" s="461"/>
      <c r="AW49" s="463"/>
    </row>
    <row r="50" spans="1:49" s="464" customFormat="1" ht="15" customHeight="1" x14ac:dyDescent="0.25">
      <c r="A50" s="297">
        <f t="shared" si="0"/>
        <v>8.2333333333333325</v>
      </c>
      <c r="B50" s="460">
        <v>42489</v>
      </c>
      <c r="C50" s="461" t="s">
        <v>905</v>
      </c>
      <c r="D50" s="461" t="s">
        <v>905</v>
      </c>
      <c r="E50" s="461" t="s">
        <v>380</v>
      </c>
      <c r="F50" s="290" t="s">
        <v>5</v>
      </c>
      <c r="G50" s="290" t="s">
        <v>6</v>
      </c>
      <c r="H50" s="291"/>
      <c r="I50" s="291"/>
      <c r="J50" s="291"/>
      <c r="K50" s="291"/>
      <c r="L50" s="292"/>
      <c r="M50" s="292"/>
      <c r="N50" s="292"/>
      <c r="O50" s="292"/>
      <c r="P50" s="294"/>
      <c r="Q50" s="294"/>
      <c r="R50" s="294"/>
      <c r="S50" s="294"/>
      <c r="T50" s="294"/>
      <c r="U50" s="294"/>
      <c r="V50" s="431"/>
      <c r="W50" s="294">
        <v>74</v>
      </c>
      <c r="X50" s="294"/>
      <c r="Y50" s="294">
        <f>IF(NFI_Expiration=1,IF($A50&lt;VLOOKUP(H$5,NFI,5,0),1,0)*Table_NFI[[#This Row],[Hygiene Kit]],Table_NFI[Hygiene Kit])</f>
        <v>0</v>
      </c>
      <c r="Z50" s="294">
        <f>IF(NFI_Expiration=1,IF($A50&lt;VLOOKUP(I$5,NFI,5,0),1,0)*Table_NFI[[#This Row],[NFI Core Kit]],Table_NFI[NFI Core Kit])</f>
        <v>0</v>
      </c>
      <c r="AA50" s="294">
        <f>IF(NFI_Expiration=1,IF($A50&lt;VLOOKUP(J$5,NFI,5,0),1,0)*Table_NFI[[#This Row],[Sanitary Kit]],Table_NFI[Sanitary Kit])</f>
        <v>0</v>
      </c>
      <c r="AB50" s="294">
        <f>IF(NFI_Expiration=1,IF($A50&lt;VLOOKUP(K$5,NFI,5,0),1,0)*Table_NFI[[#This Row],[Mosquito net]],Table_NFI[Mosquito net])</f>
        <v>0</v>
      </c>
      <c r="AC50" s="294">
        <f>IF(NFI_Expiration=1,IF($A50&lt;VLOOKUP(L$5,NFI,5,0),1,0)*Table_NFI[[#This Row],[Tarpaulin]],Table_NFI[[#This Row],[Tarpaulin]])</f>
        <v>0</v>
      </c>
      <c r="AD50" s="294">
        <f>IF(NFI_Expiration=1,IF($A50&lt;VLOOKUP(M$5,NFI,5,0),1,0)*Table_NFI[[#This Row],[Blanket]],Table_NFI[[#This Row],[Blanket]])</f>
        <v>0</v>
      </c>
      <c r="AE50" s="294">
        <f>IF(NFI_Expiration=1,IF($A50&lt;VLOOKUP(N$5,NFI,5,0),1,0)*Table_NFI[[#This Row],[Kitchen Set]],Table_NFI[Kitchen Set])</f>
        <v>0</v>
      </c>
      <c r="AF50" s="294">
        <f>IF(NFI_Expiration=1,IF($A50&lt;VLOOKUP(O$5,NFI,5,0),1,0)*Table_NFI[[#This Row],[Clothes Kit]],Table_NFI[Clothes Kit])</f>
        <v>0</v>
      </c>
      <c r="AG50" s="294">
        <f>IF(NFI_Expiration=1,IF($A50&lt;VLOOKUP(P$5,NFI,5,0),1,0)*Table_NFI[[#This Row],[Plastic Bucket]],Table_NFI[Plastic Bucket])</f>
        <v>0</v>
      </c>
      <c r="AH50" s="294">
        <f>IF(NFI_Expiration=1,IF($A50&lt;VLOOKUP(Q$5,NFI,5,0),1,0)*Table_NFI[[#This Row],[Plastic Mat]],Table_NFI[Plastic Mat])*IF(Table_NFI[[#This Row],[Distribution Date]]&gt;"2014-04-01",1,2.5)</f>
        <v>0</v>
      </c>
      <c r="AI50" s="294">
        <f>IF(NFI_Expiration=1,IF($A50&lt;VLOOKUP(R$5,NFI,5,0),1,0)*Table_NFI[[#This Row],[Winter Clothes Adult]],Table_NFI[Winter Clothes Adult])</f>
        <v>0</v>
      </c>
      <c r="AJ50" s="294">
        <f>IF(NFI_Expiration=1,IF($A50&lt;VLOOKUP(S$5,NFI,5,0),1,0)*Table_NFI[[#This Row],[Winter Clothes Children]],Table_NFI[Winter Clothes Children])</f>
        <v>0</v>
      </c>
      <c r="AK50" s="294">
        <f>IF(NFI_Expiration=1,IF($A50&lt;VLOOKUP(T$5,NFI,5,0),1,0)*Table_NFI[[#This Row],[Winter Items Other]],Table_NFI[Winter Items Other])</f>
        <v>0</v>
      </c>
      <c r="AL50" s="294">
        <f>IF(NFI_Expiration=1,IF($A50&lt;VLOOKUP(M$5,NFI,5,0),1,0)*Table_NFI[[#This Row],[Winter Blanket]],Table_NFI[[#This Row],[Winter Blanket]])</f>
        <v>0</v>
      </c>
      <c r="AM50" s="294">
        <f>IF(Table_NFI[[#This Row],[Winter Clothes Adult]]+Table_NFI[[#This Row],[Winter Clothes Children]]+Table_NFI[[#This Row],[Winter Items Other]]+Table_NFI[[#This Row],[Winter Blanket]]&gt;0,1,0)</f>
        <v>0</v>
      </c>
      <c r="AN50" s="331">
        <f>IF(NFI_Expiration=1,IF($A50&lt;VLOOKUP(V$5,NFI,5,0),1,0)*Table_NFI[[#This Row],[Jerry Can]],Table_NFI[Jerry Can])</f>
        <v>0</v>
      </c>
      <c r="AO50" s="331">
        <f>IF(NFI_Expiration=1,IF($A50&lt;VLOOKUP(V$5,NFI,5,0),1,0)*Table_NFI[[#This Row],[Shelter Tool kit]],Table_NFI[Shelter Tool kit])</f>
        <v>74</v>
      </c>
      <c r="AP50" s="331">
        <f>IF(NFI_Expiration=1,IF($A50&lt;VLOOKUP(V$5,NFI,5,0),1,0)*Table_NFI[[#This Row],[Tent]],Table_NFI[Tent])</f>
        <v>0</v>
      </c>
      <c r="AQ50" s="467" t="str">
        <f>IFERROR(VLOOKUP(Table_NFI[[#This Row],[Camp Name]],CL,2,0),"")</f>
        <v>MMR001CMP050</v>
      </c>
      <c r="AR50" s="835">
        <f ca="1">IF(Table_NFI[[#This Row],[Pcode]]="","",IF(OFFSET(CampList[Opening Date],MATCH(Table_NFI[[#This Row],[Pcode]],CampList[CP_Pcode],0)-1,0,1,1)&gt;=NFI_Monitor_Date,1,0))</f>
        <v>0</v>
      </c>
      <c r="AS50" s="467" t="str">
        <f>IFERROR(VLOOKUP(Table_NFI[[#This Row],[Camp Name]],CL,3,0),"")</f>
        <v>Open</v>
      </c>
      <c r="AT50" s="294" t="str">
        <f ca="1">IF(Table_NFI[[#This Row],[Pcode]]="","",OFFSET(CampList[Priority],MATCH(Table_NFI[[#This Row],[Pcode]],CampList[CP_Pcode],0)-1,0,1,1))</f>
        <v>P4</v>
      </c>
      <c r="AU50" s="293">
        <f>IFERROR(Table_NFI[[#This Row],[Kitchen Set]]/VLOOKUP(Table_NFI[[#This Row],[Camp Name]],CL,4,0),"")</f>
        <v>0</v>
      </c>
      <c r="AV50" s="461"/>
      <c r="AW50" s="463"/>
    </row>
    <row r="51" spans="1:49" s="464" customFormat="1" ht="14.45" customHeight="1" x14ac:dyDescent="0.25">
      <c r="A51" s="297">
        <f t="shared" si="0"/>
        <v>8.2333333333333325</v>
      </c>
      <c r="B51" s="460">
        <v>42489</v>
      </c>
      <c r="C51" s="461" t="s">
        <v>905</v>
      </c>
      <c r="D51" s="462" t="s">
        <v>905</v>
      </c>
      <c r="E51" s="461" t="s">
        <v>380</v>
      </c>
      <c r="F51" s="290" t="s">
        <v>185</v>
      </c>
      <c r="G51" s="290" t="s">
        <v>1431</v>
      </c>
      <c r="H51" s="291"/>
      <c r="I51" s="291"/>
      <c r="J51" s="292"/>
      <c r="K51" s="291"/>
      <c r="L51" s="292"/>
      <c r="M51" s="292"/>
      <c r="N51" s="292"/>
      <c r="O51" s="292"/>
      <c r="P51" s="294"/>
      <c r="Q51" s="294"/>
      <c r="R51" s="294"/>
      <c r="S51" s="294"/>
      <c r="T51" s="294"/>
      <c r="U51" s="294"/>
      <c r="V51" s="431"/>
      <c r="W51" s="294">
        <v>26</v>
      </c>
      <c r="X51" s="294"/>
      <c r="Y51" s="294">
        <f>IF(NFI_Expiration=1,IF($A51&lt;VLOOKUP(H$5,NFI,5,0),1,0)*Table_NFI[[#This Row],[Hygiene Kit]],Table_NFI[Hygiene Kit])</f>
        <v>0</v>
      </c>
      <c r="Z51" s="294">
        <f>IF(NFI_Expiration=1,IF($A51&lt;VLOOKUP(I$5,NFI,5,0),1,0)*Table_NFI[[#This Row],[NFI Core Kit]],Table_NFI[NFI Core Kit])</f>
        <v>0</v>
      </c>
      <c r="AA51" s="294">
        <f>IF(NFI_Expiration=1,IF($A51&lt;VLOOKUP(J$5,NFI,5,0),1,0)*Table_NFI[[#This Row],[Sanitary Kit]],Table_NFI[Sanitary Kit])</f>
        <v>0</v>
      </c>
      <c r="AB51" s="294">
        <f>IF(NFI_Expiration=1,IF($A51&lt;VLOOKUP(K$5,NFI,5,0),1,0)*Table_NFI[[#This Row],[Mosquito net]],Table_NFI[Mosquito net])</f>
        <v>0</v>
      </c>
      <c r="AC51" s="294">
        <f>IF(NFI_Expiration=1,IF($A51&lt;VLOOKUP(L$5,NFI,5,0),1,0)*Table_NFI[[#This Row],[Tarpaulin]],Table_NFI[[#This Row],[Tarpaulin]])</f>
        <v>0</v>
      </c>
      <c r="AD51" s="294">
        <f>IF(NFI_Expiration=1,IF($A51&lt;VLOOKUP(M$5,NFI,5,0),1,0)*Table_NFI[[#This Row],[Blanket]],Table_NFI[[#This Row],[Blanket]])</f>
        <v>0</v>
      </c>
      <c r="AE51" s="294">
        <f>IF(NFI_Expiration=1,IF($A51&lt;VLOOKUP(N$5,NFI,5,0),1,0)*Table_NFI[[#This Row],[Kitchen Set]],Table_NFI[Kitchen Set])</f>
        <v>0</v>
      </c>
      <c r="AF51" s="294">
        <f>IF(NFI_Expiration=1,IF($A51&lt;VLOOKUP(O$5,NFI,5,0),1,0)*Table_NFI[[#This Row],[Clothes Kit]],Table_NFI[Clothes Kit])</f>
        <v>0</v>
      </c>
      <c r="AG51" s="294">
        <f>IF(NFI_Expiration=1,IF($A51&lt;VLOOKUP(P$5,NFI,5,0),1,0)*Table_NFI[[#This Row],[Plastic Bucket]],Table_NFI[Plastic Bucket])</f>
        <v>0</v>
      </c>
      <c r="AH51" s="294">
        <f>IF(NFI_Expiration=1,IF($A51&lt;VLOOKUP(Q$5,NFI,5,0),1,0)*Table_NFI[[#This Row],[Plastic Mat]],Table_NFI[Plastic Mat])*IF(Table_NFI[[#This Row],[Distribution Date]]&gt;"2014-04-01",1,2.5)</f>
        <v>0</v>
      </c>
      <c r="AI51" s="294">
        <f>IF(NFI_Expiration=1,IF($A51&lt;VLOOKUP(R$5,NFI,5,0),1,0)*Table_NFI[[#This Row],[Winter Clothes Adult]],Table_NFI[Winter Clothes Adult])</f>
        <v>0</v>
      </c>
      <c r="AJ51" s="294">
        <f>IF(NFI_Expiration=1,IF($A51&lt;VLOOKUP(S$5,NFI,5,0),1,0)*Table_NFI[[#This Row],[Winter Clothes Children]],Table_NFI[Winter Clothes Children])</f>
        <v>0</v>
      </c>
      <c r="AK51" s="294">
        <f>IF(NFI_Expiration=1,IF($A51&lt;VLOOKUP(T$5,NFI,5,0),1,0)*Table_NFI[[#This Row],[Winter Items Other]],Table_NFI[Winter Items Other])</f>
        <v>0</v>
      </c>
      <c r="AL51" s="294">
        <f>IF(NFI_Expiration=1,IF($A51&lt;VLOOKUP(M$5,NFI,5,0),1,0)*Table_NFI[[#This Row],[Winter Blanket]],Table_NFI[[#This Row],[Winter Blanket]])</f>
        <v>0</v>
      </c>
      <c r="AM51" s="294">
        <f>IF(Table_NFI[[#This Row],[Winter Clothes Adult]]+Table_NFI[[#This Row],[Winter Clothes Children]]+Table_NFI[[#This Row],[Winter Items Other]]+Table_NFI[[#This Row],[Winter Blanket]]&gt;0,1,0)</f>
        <v>0</v>
      </c>
      <c r="AN51" s="331">
        <f>IF(NFI_Expiration=1,IF($A51&lt;VLOOKUP(V$5,NFI,5,0),1,0)*Table_NFI[[#This Row],[Jerry Can]],Table_NFI[Jerry Can])</f>
        <v>0</v>
      </c>
      <c r="AO51" s="331">
        <f>IF(NFI_Expiration=1,IF($A51&lt;VLOOKUP(V$5,NFI,5,0),1,0)*Table_NFI[[#This Row],[Shelter Tool kit]],Table_NFI[Shelter Tool kit])</f>
        <v>26</v>
      </c>
      <c r="AP51" s="331">
        <f>IF(NFI_Expiration=1,IF($A51&lt;VLOOKUP(V$5,NFI,5,0),1,0)*Table_NFI[[#This Row],[Tent]],Table_NFI[Tent])</f>
        <v>0</v>
      </c>
      <c r="AQ51" s="467" t="str">
        <f>IFERROR(VLOOKUP(Table_NFI[[#This Row],[Camp Name]],CL,2,0),"")</f>
        <v/>
      </c>
      <c r="AR51" s="835" t="str">
        <f ca="1">IF(Table_NFI[[#This Row],[Pcode]]="","",IF(OFFSET(CampList[Opening Date],MATCH(Table_NFI[[#This Row],[Pcode]],CampList[CP_Pcode],0)-1,0,1,1)&gt;=NFI_Monitor_Date,1,0))</f>
        <v/>
      </c>
      <c r="AS51" s="467" t="str">
        <f>IFERROR(VLOOKUP(Table_NFI[[#This Row],[Camp Name]],CL,3,0),"")</f>
        <v/>
      </c>
      <c r="AT51" s="294" t="str">
        <f ca="1">IF(Table_NFI[[#This Row],[Pcode]]="","",OFFSET(CampList[Priority],MATCH(Table_NFI[[#This Row],[Pcode]],CampList[CP_Pcode],0)-1,0,1,1))</f>
        <v/>
      </c>
      <c r="AU51" s="293" t="str">
        <f>IFERROR(Table_NFI[[#This Row],[Kitchen Set]]/VLOOKUP(Table_NFI[[#This Row],[Camp Name]],CL,4,0),"")</f>
        <v/>
      </c>
      <c r="AV51" s="461"/>
      <c r="AW51" s="463"/>
    </row>
    <row r="52" spans="1:49" s="464" customFormat="1" ht="14.45" customHeight="1" x14ac:dyDescent="0.25">
      <c r="A52" s="297">
        <f t="shared" si="0"/>
        <v>8.2333333333333325</v>
      </c>
      <c r="B52" s="460">
        <v>42489</v>
      </c>
      <c r="C52" s="461" t="s">
        <v>905</v>
      </c>
      <c r="D52" s="461" t="s">
        <v>905</v>
      </c>
      <c r="E52" s="461" t="s">
        <v>380</v>
      </c>
      <c r="F52" s="461" t="s">
        <v>185</v>
      </c>
      <c r="G52" s="290" t="s">
        <v>217</v>
      </c>
      <c r="H52" s="291"/>
      <c r="I52" s="291"/>
      <c r="J52" s="292"/>
      <c r="K52" s="291"/>
      <c r="L52" s="292"/>
      <c r="M52" s="292"/>
      <c r="N52" s="292"/>
      <c r="O52" s="292"/>
      <c r="P52" s="294"/>
      <c r="Q52" s="294"/>
      <c r="R52" s="294"/>
      <c r="S52" s="294"/>
      <c r="T52" s="294"/>
      <c r="U52" s="294"/>
      <c r="V52" s="431"/>
      <c r="W52" s="294">
        <v>10</v>
      </c>
      <c r="X52" s="294"/>
      <c r="Y52" s="294">
        <f>IF(NFI_Expiration=1,IF($A52&lt;VLOOKUP(H$5,NFI,5,0),1,0)*Table_NFI[[#This Row],[Hygiene Kit]],Table_NFI[Hygiene Kit])</f>
        <v>0</v>
      </c>
      <c r="Z52" s="294">
        <f>IF(NFI_Expiration=1,IF($A52&lt;VLOOKUP(I$5,NFI,5,0),1,0)*Table_NFI[[#This Row],[NFI Core Kit]],Table_NFI[NFI Core Kit])</f>
        <v>0</v>
      </c>
      <c r="AA52" s="294">
        <f>IF(NFI_Expiration=1,IF($A52&lt;VLOOKUP(J$5,NFI,5,0),1,0)*Table_NFI[[#This Row],[Sanitary Kit]],Table_NFI[Sanitary Kit])</f>
        <v>0</v>
      </c>
      <c r="AB52" s="294">
        <f>IF(NFI_Expiration=1,IF($A52&lt;VLOOKUP(K$5,NFI,5,0),1,0)*Table_NFI[[#This Row],[Mosquito net]],Table_NFI[Mosquito net])</f>
        <v>0</v>
      </c>
      <c r="AC52" s="294">
        <f>IF(NFI_Expiration=1,IF($A52&lt;VLOOKUP(L$5,NFI,5,0),1,0)*Table_NFI[[#This Row],[Tarpaulin]],Table_NFI[[#This Row],[Tarpaulin]])</f>
        <v>0</v>
      </c>
      <c r="AD52" s="294">
        <f>IF(NFI_Expiration=1,IF($A52&lt;VLOOKUP(M$5,NFI,5,0),1,0)*Table_NFI[[#This Row],[Blanket]],Table_NFI[[#This Row],[Blanket]])</f>
        <v>0</v>
      </c>
      <c r="AE52" s="294">
        <f>IF(NFI_Expiration=1,IF($A52&lt;VLOOKUP(N$5,NFI,5,0),1,0)*Table_NFI[[#This Row],[Kitchen Set]],Table_NFI[Kitchen Set])</f>
        <v>0</v>
      </c>
      <c r="AF52" s="294">
        <f>IF(NFI_Expiration=1,IF($A52&lt;VLOOKUP(O$5,NFI,5,0),1,0)*Table_NFI[[#This Row],[Clothes Kit]],Table_NFI[Clothes Kit])</f>
        <v>0</v>
      </c>
      <c r="AG52" s="294">
        <f>IF(NFI_Expiration=1,IF($A52&lt;VLOOKUP(P$5,NFI,5,0),1,0)*Table_NFI[[#This Row],[Plastic Bucket]],Table_NFI[Plastic Bucket])</f>
        <v>0</v>
      </c>
      <c r="AH52" s="294">
        <f>IF(NFI_Expiration=1,IF($A52&lt;VLOOKUP(Q$5,NFI,5,0),1,0)*Table_NFI[[#This Row],[Plastic Mat]],Table_NFI[Plastic Mat])*IF(Table_NFI[[#This Row],[Distribution Date]]&gt;"2014-04-01",1,2.5)</f>
        <v>0</v>
      </c>
      <c r="AI52" s="294">
        <f>IF(NFI_Expiration=1,IF($A52&lt;VLOOKUP(R$5,NFI,5,0),1,0)*Table_NFI[[#This Row],[Winter Clothes Adult]],Table_NFI[Winter Clothes Adult])</f>
        <v>0</v>
      </c>
      <c r="AJ52" s="294">
        <f>IF(NFI_Expiration=1,IF($A52&lt;VLOOKUP(S$5,NFI,5,0),1,0)*Table_NFI[[#This Row],[Winter Clothes Children]],Table_NFI[Winter Clothes Children])</f>
        <v>0</v>
      </c>
      <c r="AK52" s="294">
        <f>IF(NFI_Expiration=1,IF($A52&lt;VLOOKUP(T$5,NFI,5,0),1,0)*Table_NFI[[#This Row],[Winter Items Other]],Table_NFI[Winter Items Other])</f>
        <v>0</v>
      </c>
      <c r="AL52" s="294">
        <f>IF(NFI_Expiration=1,IF($A52&lt;VLOOKUP(M$5,NFI,5,0),1,0)*Table_NFI[[#This Row],[Winter Blanket]],Table_NFI[[#This Row],[Winter Blanket]])</f>
        <v>0</v>
      </c>
      <c r="AM52" s="294">
        <f>IF(Table_NFI[[#This Row],[Winter Clothes Adult]]+Table_NFI[[#This Row],[Winter Clothes Children]]+Table_NFI[[#This Row],[Winter Items Other]]+Table_NFI[[#This Row],[Winter Blanket]]&gt;0,1,0)</f>
        <v>0</v>
      </c>
      <c r="AN52" s="331">
        <f>IF(NFI_Expiration=1,IF($A52&lt;VLOOKUP(V$5,NFI,5,0),1,0)*Table_NFI[[#This Row],[Jerry Can]],Table_NFI[Jerry Can])</f>
        <v>0</v>
      </c>
      <c r="AO52" s="331">
        <f>IF(NFI_Expiration=1,IF($A52&lt;VLOOKUP(V$5,NFI,5,0),1,0)*Table_NFI[[#This Row],[Shelter Tool kit]],Table_NFI[Shelter Tool kit])</f>
        <v>10</v>
      </c>
      <c r="AP52" s="331">
        <f>IF(NFI_Expiration=1,IF($A52&lt;VLOOKUP(V$5,NFI,5,0),1,0)*Table_NFI[[#This Row],[Tent]],Table_NFI[Tent])</f>
        <v>0</v>
      </c>
      <c r="AQ52" s="467" t="str">
        <f>IFERROR(VLOOKUP(Table_NFI[[#This Row],[Camp Name]],CL,2,0),"")</f>
        <v>MMR001CMP059</v>
      </c>
      <c r="AR52" s="835">
        <f ca="1">IF(Table_NFI[[#This Row],[Pcode]]="","",IF(OFFSET(CampList[Opening Date],MATCH(Table_NFI[[#This Row],[Pcode]],CampList[CP_Pcode],0)-1,0,1,1)&gt;=NFI_Monitor_Date,1,0))</f>
        <v>0</v>
      </c>
      <c r="AS52" s="467" t="str">
        <f>IFERROR(VLOOKUP(Table_NFI[[#This Row],[Camp Name]],CL,3,0),"")</f>
        <v>Closed</v>
      </c>
      <c r="AT52" s="294" t="str">
        <f ca="1">IF(Table_NFI[[#This Row],[Pcode]]="","",OFFSET(CampList[Priority],MATCH(Table_NFI[[#This Row],[Pcode]],CampList[CP_Pcode],0)-1,0,1,1))</f>
        <v>P4</v>
      </c>
      <c r="AU52" s="293">
        <f>IFERROR(Table_NFI[[#This Row],[Kitchen Set]]/VLOOKUP(Table_NFI[[#This Row],[Camp Name]],CL,4,0),"")</f>
        <v>0</v>
      </c>
      <c r="AV52" s="461"/>
      <c r="AW52" s="463"/>
    </row>
    <row r="53" spans="1:49" s="464" customFormat="1" ht="15" customHeight="1" x14ac:dyDescent="0.25">
      <c r="A53" s="297">
        <f t="shared" si="0"/>
        <v>8.2333333333333325</v>
      </c>
      <c r="B53" s="460">
        <v>42489</v>
      </c>
      <c r="C53" s="461" t="s">
        <v>905</v>
      </c>
      <c r="D53" s="461" t="s">
        <v>905</v>
      </c>
      <c r="E53" s="461" t="s">
        <v>380</v>
      </c>
      <c r="F53" s="461" t="s">
        <v>5</v>
      </c>
      <c r="G53" s="461" t="s">
        <v>366</v>
      </c>
      <c r="H53" s="291"/>
      <c r="I53" s="291"/>
      <c r="J53" s="291"/>
      <c r="K53" s="291"/>
      <c r="L53" s="292"/>
      <c r="M53" s="292"/>
      <c r="N53" s="292"/>
      <c r="O53" s="292"/>
      <c r="P53" s="294"/>
      <c r="Q53" s="294"/>
      <c r="R53" s="294"/>
      <c r="S53" s="294"/>
      <c r="T53" s="294"/>
      <c r="U53" s="294"/>
      <c r="V53" s="431"/>
      <c r="W53" s="294">
        <v>48</v>
      </c>
      <c r="X53" s="294"/>
      <c r="Y53" s="294">
        <f>IF(NFI_Expiration=1,IF($A53&lt;VLOOKUP(H$5,NFI,5,0),1,0)*Table_NFI[[#This Row],[Hygiene Kit]],Table_NFI[Hygiene Kit])</f>
        <v>0</v>
      </c>
      <c r="Z53" s="294">
        <f>IF(NFI_Expiration=1,IF($A53&lt;VLOOKUP(I$5,NFI,5,0),1,0)*Table_NFI[[#This Row],[NFI Core Kit]],Table_NFI[NFI Core Kit])</f>
        <v>0</v>
      </c>
      <c r="AA53" s="294">
        <f>IF(NFI_Expiration=1,IF($A53&lt;VLOOKUP(J$5,NFI,5,0),1,0)*Table_NFI[[#This Row],[Sanitary Kit]],Table_NFI[Sanitary Kit])</f>
        <v>0</v>
      </c>
      <c r="AB53" s="294">
        <f>IF(NFI_Expiration=1,IF($A53&lt;VLOOKUP(K$5,NFI,5,0),1,0)*Table_NFI[[#This Row],[Mosquito net]],Table_NFI[Mosquito net])</f>
        <v>0</v>
      </c>
      <c r="AC53" s="294">
        <f>IF(NFI_Expiration=1,IF($A53&lt;VLOOKUP(L$5,NFI,5,0),1,0)*Table_NFI[[#This Row],[Tarpaulin]],Table_NFI[[#This Row],[Tarpaulin]])</f>
        <v>0</v>
      </c>
      <c r="AD53" s="294">
        <f>IF(NFI_Expiration=1,IF($A53&lt;VLOOKUP(M$5,NFI,5,0),1,0)*Table_NFI[[#This Row],[Blanket]],Table_NFI[[#This Row],[Blanket]])</f>
        <v>0</v>
      </c>
      <c r="AE53" s="294">
        <f>IF(NFI_Expiration=1,IF($A53&lt;VLOOKUP(N$5,NFI,5,0),1,0)*Table_NFI[[#This Row],[Kitchen Set]],Table_NFI[Kitchen Set])</f>
        <v>0</v>
      </c>
      <c r="AF53" s="294">
        <f>IF(NFI_Expiration=1,IF($A53&lt;VLOOKUP(O$5,NFI,5,0),1,0)*Table_NFI[[#This Row],[Clothes Kit]],Table_NFI[Clothes Kit])</f>
        <v>0</v>
      </c>
      <c r="AG53" s="294">
        <f>IF(NFI_Expiration=1,IF($A53&lt;VLOOKUP(P$5,NFI,5,0),1,0)*Table_NFI[[#This Row],[Plastic Bucket]],Table_NFI[Plastic Bucket])</f>
        <v>0</v>
      </c>
      <c r="AH53" s="294">
        <f>IF(NFI_Expiration=1,IF($A53&lt;VLOOKUP(Q$5,NFI,5,0),1,0)*Table_NFI[[#This Row],[Plastic Mat]],Table_NFI[Plastic Mat])*IF(Table_NFI[[#This Row],[Distribution Date]]&gt;"2014-04-01",1,2.5)</f>
        <v>0</v>
      </c>
      <c r="AI53" s="294">
        <f>IF(NFI_Expiration=1,IF($A53&lt;VLOOKUP(R$5,NFI,5,0),1,0)*Table_NFI[[#This Row],[Winter Clothes Adult]],Table_NFI[Winter Clothes Adult])</f>
        <v>0</v>
      </c>
      <c r="AJ53" s="294">
        <f>IF(NFI_Expiration=1,IF($A53&lt;VLOOKUP(S$5,NFI,5,0),1,0)*Table_NFI[[#This Row],[Winter Clothes Children]],Table_NFI[Winter Clothes Children])</f>
        <v>0</v>
      </c>
      <c r="AK53" s="294">
        <f>IF(NFI_Expiration=1,IF($A53&lt;VLOOKUP(T$5,NFI,5,0),1,0)*Table_NFI[[#This Row],[Winter Items Other]],Table_NFI[Winter Items Other])</f>
        <v>0</v>
      </c>
      <c r="AL53" s="294">
        <f>IF(NFI_Expiration=1,IF($A53&lt;VLOOKUP(M$5,NFI,5,0),1,0)*Table_NFI[[#This Row],[Winter Blanket]],Table_NFI[[#This Row],[Winter Blanket]])</f>
        <v>0</v>
      </c>
      <c r="AM53" s="294">
        <f>IF(Table_NFI[[#This Row],[Winter Clothes Adult]]+Table_NFI[[#This Row],[Winter Clothes Children]]+Table_NFI[[#This Row],[Winter Items Other]]+Table_NFI[[#This Row],[Winter Blanket]]&gt;0,1,0)</f>
        <v>0</v>
      </c>
      <c r="AN53" s="331">
        <f>IF(NFI_Expiration=1,IF($A53&lt;VLOOKUP(V$5,NFI,5,0),1,0)*Table_NFI[[#This Row],[Jerry Can]],Table_NFI[Jerry Can])</f>
        <v>0</v>
      </c>
      <c r="AO53" s="331">
        <f>IF(NFI_Expiration=1,IF($A53&lt;VLOOKUP(V$5,NFI,5,0),1,0)*Table_NFI[[#This Row],[Shelter Tool kit]],Table_NFI[Shelter Tool kit])</f>
        <v>48</v>
      </c>
      <c r="AP53" s="331">
        <f>IF(NFI_Expiration=1,IF($A53&lt;VLOOKUP(V$5,NFI,5,0),1,0)*Table_NFI[[#This Row],[Tent]],Table_NFI[Tent])</f>
        <v>0</v>
      </c>
      <c r="AQ53" s="467" t="str">
        <f>IFERROR(VLOOKUP(Table_NFI[[#This Row],[Camp Name]],CL,2,0),"")</f>
        <v>MMR001CMP193</v>
      </c>
      <c r="AR53" s="835">
        <f ca="1">IF(Table_NFI[[#This Row],[Pcode]]="","",IF(OFFSET(CampList[Opening Date],MATCH(Table_NFI[[#This Row],[Pcode]],CampList[CP_Pcode],0)-1,0,1,1)&gt;=NFI_Monitor_Date,1,0))</f>
        <v>0</v>
      </c>
      <c r="AS53" s="467" t="str">
        <f>IFERROR(VLOOKUP(Table_NFI[[#This Row],[Camp Name]],CL,3,0),"")</f>
        <v>Open</v>
      </c>
      <c r="AT53" s="294" t="str">
        <f ca="1">IF(Table_NFI[[#This Row],[Pcode]]="","",OFFSET(CampList[Priority],MATCH(Table_NFI[[#This Row],[Pcode]],CampList[CP_Pcode],0)-1,0,1,1))</f>
        <v>P4</v>
      </c>
      <c r="AU53" s="293">
        <f>IFERROR(Table_NFI[[#This Row],[Kitchen Set]]/VLOOKUP(Table_NFI[[#This Row],[Camp Name]],CL,4,0),"")</f>
        <v>0</v>
      </c>
      <c r="AV53" s="461"/>
      <c r="AW53" s="463"/>
    </row>
    <row r="54" spans="1:49" s="464" customFormat="1" ht="14.45" customHeight="1" x14ac:dyDescent="0.2">
      <c r="A54" s="297">
        <f t="shared" si="0"/>
        <v>8.2333333333333325</v>
      </c>
      <c r="B54" s="460">
        <v>42489</v>
      </c>
      <c r="C54" s="461" t="s">
        <v>905</v>
      </c>
      <c r="D54" s="462" t="s">
        <v>905</v>
      </c>
      <c r="E54" s="461" t="s">
        <v>380</v>
      </c>
      <c r="F54" s="290" t="s">
        <v>5</v>
      </c>
      <c r="G54" s="290" t="s">
        <v>22</v>
      </c>
      <c r="H54" s="291"/>
      <c r="I54" s="291"/>
      <c r="J54" s="291"/>
      <c r="K54" s="291"/>
      <c r="L54" s="292"/>
      <c r="M54" s="292"/>
      <c r="N54" s="292"/>
      <c r="O54" s="292"/>
      <c r="P54" s="294"/>
      <c r="Q54" s="294"/>
      <c r="R54" s="294"/>
      <c r="S54" s="294"/>
      <c r="T54" s="294"/>
      <c r="U54" s="294"/>
      <c r="V54" s="431"/>
      <c r="W54" s="576">
        <v>152</v>
      </c>
      <c r="X54" s="294"/>
      <c r="Y54" s="294">
        <f>IF(NFI_Expiration=1,IF($A54&lt;VLOOKUP(H$5,NFI,5,0),1,0)*Table_NFI[[#This Row],[Hygiene Kit]],Table_NFI[Hygiene Kit])</f>
        <v>0</v>
      </c>
      <c r="Z54" s="294">
        <f>IF(NFI_Expiration=1,IF($A54&lt;VLOOKUP(I$5,NFI,5,0),1,0)*Table_NFI[[#This Row],[NFI Core Kit]],Table_NFI[NFI Core Kit])</f>
        <v>0</v>
      </c>
      <c r="AA54" s="294">
        <f>IF(NFI_Expiration=1,IF($A54&lt;VLOOKUP(J$5,NFI,5,0),1,0)*Table_NFI[[#This Row],[Sanitary Kit]],Table_NFI[Sanitary Kit])</f>
        <v>0</v>
      </c>
      <c r="AB54" s="294">
        <f>IF(NFI_Expiration=1,IF($A54&lt;VLOOKUP(K$5,NFI,5,0),1,0)*Table_NFI[[#This Row],[Mosquito net]],Table_NFI[Mosquito net])</f>
        <v>0</v>
      </c>
      <c r="AC54" s="294">
        <f>IF(NFI_Expiration=1,IF($A54&lt;VLOOKUP(L$5,NFI,5,0),1,0)*Table_NFI[[#This Row],[Tarpaulin]],Table_NFI[[#This Row],[Tarpaulin]])</f>
        <v>0</v>
      </c>
      <c r="AD54" s="294">
        <f>IF(NFI_Expiration=1,IF($A54&lt;VLOOKUP(M$5,NFI,5,0),1,0)*Table_NFI[[#This Row],[Blanket]],Table_NFI[[#This Row],[Blanket]])</f>
        <v>0</v>
      </c>
      <c r="AE54" s="294">
        <f>IF(NFI_Expiration=1,IF($A54&lt;VLOOKUP(N$5,NFI,5,0),1,0)*Table_NFI[[#This Row],[Kitchen Set]],Table_NFI[Kitchen Set])</f>
        <v>0</v>
      </c>
      <c r="AF54" s="294">
        <f>IF(NFI_Expiration=1,IF($A54&lt;VLOOKUP(O$5,NFI,5,0),1,0)*Table_NFI[[#This Row],[Clothes Kit]],Table_NFI[Clothes Kit])</f>
        <v>0</v>
      </c>
      <c r="AG54" s="294">
        <f>IF(NFI_Expiration=1,IF($A54&lt;VLOOKUP(P$5,NFI,5,0),1,0)*Table_NFI[[#This Row],[Plastic Bucket]],Table_NFI[Plastic Bucket])</f>
        <v>0</v>
      </c>
      <c r="AH54" s="294">
        <f>IF(NFI_Expiration=1,IF($A54&lt;VLOOKUP(Q$5,NFI,5,0),1,0)*Table_NFI[[#This Row],[Plastic Mat]],Table_NFI[Plastic Mat])*IF(Table_NFI[[#This Row],[Distribution Date]]&gt;"2014-04-01",1,2.5)</f>
        <v>0</v>
      </c>
      <c r="AI54" s="294">
        <f>IF(NFI_Expiration=1,IF($A54&lt;VLOOKUP(R$5,NFI,5,0),1,0)*Table_NFI[[#This Row],[Winter Clothes Adult]],Table_NFI[Winter Clothes Adult])</f>
        <v>0</v>
      </c>
      <c r="AJ54" s="294">
        <f>IF(NFI_Expiration=1,IF($A54&lt;VLOOKUP(S$5,NFI,5,0),1,0)*Table_NFI[[#This Row],[Winter Clothes Children]],Table_NFI[Winter Clothes Children])</f>
        <v>0</v>
      </c>
      <c r="AK54" s="294">
        <f>IF(NFI_Expiration=1,IF($A54&lt;VLOOKUP(T$5,NFI,5,0),1,0)*Table_NFI[[#This Row],[Winter Items Other]],Table_NFI[Winter Items Other])</f>
        <v>0</v>
      </c>
      <c r="AL54" s="294">
        <f>IF(NFI_Expiration=1,IF($A54&lt;VLOOKUP(M$5,NFI,5,0),1,0)*Table_NFI[[#This Row],[Winter Blanket]],Table_NFI[[#This Row],[Winter Blanket]])</f>
        <v>0</v>
      </c>
      <c r="AM54" s="294">
        <f>IF(Table_NFI[[#This Row],[Winter Clothes Adult]]+Table_NFI[[#This Row],[Winter Clothes Children]]+Table_NFI[[#This Row],[Winter Items Other]]+Table_NFI[[#This Row],[Winter Blanket]]&gt;0,1,0)</f>
        <v>0</v>
      </c>
      <c r="AN54" s="331">
        <f>IF(NFI_Expiration=1,IF($A54&lt;VLOOKUP(V$5,NFI,5,0),1,0)*Table_NFI[[#This Row],[Jerry Can]],Table_NFI[Jerry Can])</f>
        <v>0</v>
      </c>
      <c r="AO54" s="331">
        <f>IF(NFI_Expiration=1,IF($A54&lt;VLOOKUP(V$5,NFI,5,0),1,0)*Table_NFI[[#This Row],[Shelter Tool kit]],Table_NFI[Shelter Tool kit])</f>
        <v>152</v>
      </c>
      <c r="AP54" s="331">
        <f>IF(NFI_Expiration=1,IF($A54&lt;VLOOKUP(V$5,NFI,5,0),1,0)*Table_NFI[[#This Row],[Tent]],Table_NFI[Tent])</f>
        <v>0</v>
      </c>
      <c r="AQ54" s="467" t="str">
        <f>IFERROR(VLOOKUP(Table_NFI[[#This Row],[Camp Name]],CL,2,0),"")</f>
        <v>MMR001CMP047</v>
      </c>
      <c r="AR54" s="835">
        <f ca="1">IF(Table_NFI[[#This Row],[Pcode]]="","",IF(OFFSET(CampList[Opening Date],MATCH(Table_NFI[[#This Row],[Pcode]],CampList[CP_Pcode],0)-1,0,1,1)&gt;=NFI_Monitor_Date,1,0))</f>
        <v>0</v>
      </c>
      <c r="AS54" s="467" t="str">
        <f>IFERROR(VLOOKUP(Table_NFI[[#This Row],[Camp Name]],CL,3,0),"")</f>
        <v>Open</v>
      </c>
      <c r="AT54" s="294" t="str">
        <f ca="1">IF(Table_NFI[[#This Row],[Pcode]]="","",OFFSET(CampList[Priority],MATCH(Table_NFI[[#This Row],[Pcode]],CampList[CP_Pcode],0)-1,0,1,1))</f>
        <v>P4</v>
      </c>
      <c r="AU54" s="293">
        <f>IFERROR(Table_NFI[[#This Row],[Kitchen Set]]/VLOOKUP(Table_NFI[[#This Row],[Camp Name]],CL,4,0),"")</f>
        <v>0</v>
      </c>
      <c r="AV54" s="461"/>
      <c r="AW54" s="463"/>
    </row>
    <row r="55" spans="1:49" s="464" customFormat="1" ht="14.45" customHeight="1" x14ac:dyDescent="0.25">
      <c r="A55" s="297">
        <f t="shared" si="0"/>
        <v>8.2333333333333325</v>
      </c>
      <c r="B55" s="460">
        <v>42489</v>
      </c>
      <c r="C55" s="461" t="s">
        <v>905</v>
      </c>
      <c r="D55" s="461" t="s">
        <v>905</v>
      </c>
      <c r="E55" s="461" t="s">
        <v>380</v>
      </c>
      <c r="F55" s="461" t="s">
        <v>5</v>
      </c>
      <c r="G55" s="461" t="s">
        <v>24</v>
      </c>
      <c r="H55" s="291"/>
      <c r="I55" s="291"/>
      <c r="J55" s="292"/>
      <c r="K55" s="291"/>
      <c r="L55" s="292"/>
      <c r="M55" s="292"/>
      <c r="N55" s="292"/>
      <c r="O55" s="292"/>
      <c r="P55" s="294"/>
      <c r="Q55" s="294"/>
      <c r="R55" s="294"/>
      <c r="S55" s="294"/>
      <c r="T55" s="294"/>
      <c r="U55" s="294"/>
      <c r="V55" s="431"/>
      <c r="W55" s="294">
        <v>10</v>
      </c>
      <c r="X55" s="294"/>
      <c r="Y55" s="294">
        <f>IF(NFI_Expiration=1,IF($A55&lt;VLOOKUP(H$5,NFI,5,0),1,0)*Table_NFI[[#This Row],[Hygiene Kit]],Table_NFI[Hygiene Kit])</f>
        <v>0</v>
      </c>
      <c r="Z55" s="294">
        <f>IF(NFI_Expiration=1,IF($A55&lt;VLOOKUP(I$5,NFI,5,0),1,0)*Table_NFI[[#This Row],[NFI Core Kit]],Table_NFI[NFI Core Kit])</f>
        <v>0</v>
      </c>
      <c r="AA55" s="294">
        <f>IF(NFI_Expiration=1,IF($A55&lt;VLOOKUP(J$5,NFI,5,0),1,0)*Table_NFI[[#This Row],[Sanitary Kit]],Table_NFI[Sanitary Kit])</f>
        <v>0</v>
      </c>
      <c r="AB55" s="294">
        <f>IF(NFI_Expiration=1,IF($A55&lt;VLOOKUP(K$5,NFI,5,0),1,0)*Table_NFI[[#This Row],[Mosquito net]],Table_NFI[Mosquito net])</f>
        <v>0</v>
      </c>
      <c r="AC55" s="294">
        <f>IF(NFI_Expiration=1,IF($A55&lt;VLOOKUP(L$5,NFI,5,0),1,0)*Table_NFI[[#This Row],[Tarpaulin]],Table_NFI[[#This Row],[Tarpaulin]])</f>
        <v>0</v>
      </c>
      <c r="AD55" s="294">
        <f>IF(NFI_Expiration=1,IF($A55&lt;VLOOKUP(M$5,NFI,5,0),1,0)*Table_NFI[[#This Row],[Blanket]],Table_NFI[[#This Row],[Blanket]])</f>
        <v>0</v>
      </c>
      <c r="AE55" s="294">
        <f>IF(NFI_Expiration=1,IF($A55&lt;VLOOKUP(N$5,NFI,5,0),1,0)*Table_NFI[[#This Row],[Kitchen Set]],Table_NFI[Kitchen Set])</f>
        <v>0</v>
      </c>
      <c r="AF55" s="294">
        <f>IF(NFI_Expiration=1,IF($A55&lt;VLOOKUP(O$5,NFI,5,0),1,0)*Table_NFI[[#This Row],[Clothes Kit]],Table_NFI[Clothes Kit])</f>
        <v>0</v>
      </c>
      <c r="AG55" s="294">
        <f>IF(NFI_Expiration=1,IF($A55&lt;VLOOKUP(P$5,NFI,5,0),1,0)*Table_NFI[[#This Row],[Plastic Bucket]],Table_NFI[Plastic Bucket])</f>
        <v>0</v>
      </c>
      <c r="AH55" s="294">
        <f>IF(NFI_Expiration=1,IF($A55&lt;VLOOKUP(Q$5,NFI,5,0),1,0)*Table_NFI[[#This Row],[Plastic Mat]],Table_NFI[Plastic Mat])*IF(Table_NFI[[#This Row],[Distribution Date]]&gt;"2014-04-01",1,2.5)</f>
        <v>0</v>
      </c>
      <c r="AI55" s="294">
        <f>IF(NFI_Expiration=1,IF($A55&lt;VLOOKUP(R$5,NFI,5,0),1,0)*Table_NFI[[#This Row],[Winter Clothes Adult]],Table_NFI[Winter Clothes Adult])</f>
        <v>0</v>
      </c>
      <c r="AJ55" s="294">
        <f>IF(NFI_Expiration=1,IF($A55&lt;VLOOKUP(S$5,NFI,5,0),1,0)*Table_NFI[[#This Row],[Winter Clothes Children]],Table_NFI[Winter Clothes Children])</f>
        <v>0</v>
      </c>
      <c r="AK55" s="294">
        <f>IF(NFI_Expiration=1,IF($A55&lt;VLOOKUP(T$5,NFI,5,0),1,0)*Table_NFI[[#This Row],[Winter Items Other]],Table_NFI[Winter Items Other])</f>
        <v>0</v>
      </c>
      <c r="AL55" s="294">
        <f>IF(NFI_Expiration=1,IF($A55&lt;VLOOKUP(M$5,NFI,5,0),1,0)*Table_NFI[[#This Row],[Winter Blanket]],Table_NFI[[#This Row],[Winter Blanket]])</f>
        <v>0</v>
      </c>
      <c r="AM55" s="294">
        <f>IF(Table_NFI[[#This Row],[Winter Clothes Adult]]+Table_NFI[[#This Row],[Winter Clothes Children]]+Table_NFI[[#This Row],[Winter Items Other]]+Table_NFI[[#This Row],[Winter Blanket]]&gt;0,1,0)</f>
        <v>0</v>
      </c>
      <c r="AN55" s="331">
        <f>IF(NFI_Expiration=1,IF($A55&lt;VLOOKUP(V$5,NFI,5,0),1,0)*Table_NFI[[#This Row],[Jerry Can]],Table_NFI[Jerry Can])</f>
        <v>0</v>
      </c>
      <c r="AO55" s="331">
        <f>IF(NFI_Expiration=1,IF($A55&lt;VLOOKUP(V$5,NFI,5,0),1,0)*Table_NFI[[#This Row],[Shelter Tool kit]],Table_NFI[Shelter Tool kit])</f>
        <v>10</v>
      </c>
      <c r="AP55" s="331">
        <f>IF(NFI_Expiration=1,IF($A55&lt;VLOOKUP(V$5,NFI,5,0),1,0)*Table_NFI[[#This Row],[Tent]],Table_NFI[Tent])</f>
        <v>0</v>
      </c>
      <c r="AQ55" s="467" t="str">
        <f>IFERROR(VLOOKUP(Table_NFI[[#This Row],[Camp Name]],CL,2,0),"")</f>
        <v>MMR001CMP055</v>
      </c>
      <c r="AR55" s="835">
        <f ca="1">IF(Table_NFI[[#This Row],[Pcode]]="","",IF(OFFSET(CampList[Opening Date],MATCH(Table_NFI[[#This Row],[Pcode]],CampList[CP_Pcode],0)-1,0,1,1)&gt;=NFI_Monitor_Date,1,0))</f>
        <v>0</v>
      </c>
      <c r="AS55" s="467" t="str">
        <f>IFERROR(VLOOKUP(Table_NFI[[#This Row],[Camp Name]],CL,3,0),"")</f>
        <v>Open</v>
      </c>
      <c r="AT55" s="294" t="str">
        <f ca="1">IF(Table_NFI[[#This Row],[Pcode]]="","",OFFSET(CampList[Priority],MATCH(Table_NFI[[#This Row],[Pcode]],CampList[CP_Pcode],0)-1,0,1,1))</f>
        <v>P4</v>
      </c>
      <c r="AU55" s="293">
        <f>IFERROR(Table_NFI[[#This Row],[Kitchen Set]]/VLOOKUP(Table_NFI[[#This Row],[Camp Name]],CL,4,0),"")</f>
        <v>0</v>
      </c>
      <c r="AV55" s="461"/>
      <c r="AW55" s="463"/>
    </row>
    <row r="56" spans="1:49" s="464" customFormat="1" ht="14.45" customHeight="1" x14ac:dyDescent="0.25">
      <c r="A56" s="492">
        <f t="shared" si="0"/>
        <v>8.8333333333333339</v>
      </c>
      <c r="B56" s="460">
        <v>42471</v>
      </c>
      <c r="C56" s="465" t="s">
        <v>452</v>
      </c>
      <c r="D56" s="465" t="s">
        <v>460</v>
      </c>
      <c r="E56" s="461" t="s">
        <v>553</v>
      </c>
      <c r="F56" s="461" t="s">
        <v>289</v>
      </c>
      <c r="G56" s="465" t="s">
        <v>1388</v>
      </c>
      <c r="H56" s="494"/>
      <c r="I56" s="494"/>
      <c r="J56" s="494"/>
      <c r="K56" s="494">
        <v>126</v>
      </c>
      <c r="L56" s="494"/>
      <c r="M56" s="494">
        <v>126</v>
      </c>
      <c r="N56" s="494">
        <v>64</v>
      </c>
      <c r="O56" s="494"/>
      <c r="P56" s="495"/>
      <c r="Q56" s="495">
        <v>122</v>
      </c>
      <c r="R56" s="495"/>
      <c r="S56" s="495"/>
      <c r="T56" s="495"/>
      <c r="U56" s="495"/>
      <c r="V56" s="497">
        <v>64</v>
      </c>
      <c r="W56" s="495"/>
      <c r="X56" s="495"/>
      <c r="Y56" s="495">
        <f>IF(NFI_Expiration=1,IF($A56&lt;VLOOKUP(H$5,NFI,5,0),1,0)*Table_NFI[[#This Row],[Hygiene Kit]],Table_NFI[Hygiene Kit])</f>
        <v>0</v>
      </c>
      <c r="Z56" s="495">
        <f>IF(NFI_Expiration=1,IF($A56&lt;VLOOKUP(I$5,NFI,5,0),1,0)*Table_NFI[[#This Row],[NFI Core Kit]],Table_NFI[NFI Core Kit])</f>
        <v>0</v>
      </c>
      <c r="AA56" s="495">
        <f>IF(NFI_Expiration=1,IF($A56&lt;VLOOKUP(J$5,NFI,5,0),1,0)*Table_NFI[[#This Row],[Sanitary Kit]],Table_NFI[Sanitary Kit])</f>
        <v>0</v>
      </c>
      <c r="AB56" s="495">
        <f>IF(NFI_Expiration=1,IF($A56&lt;VLOOKUP(K$5,NFI,5,0),1,0)*Table_NFI[[#This Row],[Mosquito net]],Table_NFI[Mosquito net])</f>
        <v>126</v>
      </c>
      <c r="AC56" s="495">
        <f>IF(NFI_Expiration=1,IF($A56&lt;VLOOKUP(L$5,NFI,5,0),1,0)*Table_NFI[[#This Row],[Tarpaulin]],Table_NFI[[#This Row],[Tarpaulin]])</f>
        <v>0</v>
      </c>
      <c r="AD56" s="495">
        <f>IF(NFI_Expiration=1,IF($A56&lt;VLOOKUP(M$5,NFI,5,0),1,0)*Table_NFI[[#This Row],[Blanket]],Table_NFI[[#This Row],[Blanket]])</f>
        <v>126</v>
      </c>
      <c r="AE56" s="495">
        <f>IF(NFI_Expiration=1,IF($A56&lt;VLOOKUP(N$5,NFI,5,0),1,0)*Table_NFI[[#This Row],[Kitchen Set]],Table_NFI[Kitchen Set])</f>
        <v>64</v>
      </c>
      <c r="AF56" s="495">
        <f>IF(NFI_Expiration=1,IF($A56&lt;VLOOKUP(O$5,NFI,5,0),1,0)*Table_NFI[[#This Row],[Clothes Kit]],Table_NFI[Clothes Kit])</f>
        <v>0</v>
      </c>
      <c r="AG56" s="495">
        <f>IF(NFI_Expiration=1,IF($A56&lt;VLOOKUP(P$5,NFI,5,0),1,0)*Table_NFI[[#This Row],[Plastic Bucket]],Table_NFI[Plastic Bucket])</f>
        <v>0</v>
      </c>
      <c r="AH56" s="495">
        <f>IF(NFI_Expiration=1,IF($A56&lt;VLOOKUP(Q$5,NFI,5,0),1,0)*Table_NFI[[#This Row],[Plastic Mat]],Table_NFI[Plastic Mat])*IF(Table_NFI[[#This Row],[Distribution Date]]&gt;"2014-04-01",1,2.5)</f>
        <v>305</v>
      </c>
      <c r="AI56" s="495">
        <f>IF(NFI_Expiration=1,IF($A56&lt;VLOOKUP(R$5,NFI,5,0),1,0)*Table_NFI[[#This Row],[Winter Clothes Adult]],Table_NFI[Winter Clothes Adult])</f>
        <v>0</v>
      </c>
      <c r="AJ56" s="495">
        <f>IF(NFI_Expiration=1,IF($A56&lt;VLOOKUP(S$5,NFI,5,0),1,0)*Table_NFI[[#This Row],[Winter Clothes Children]],Table_NFI[Winter Clothes Children])</f>
        <v>0</v>
      </c>
      <c r="AK56" s="495">
        <f>IF(NFI_Expiration=1,IF($A56&lt;VLOOKUP(T$5,NFI,5,0),1,0)*Table_NFI[[#This Row],[Winter Items Other]],Table_NFI[Winter Items Other])</f>
        <v>0</v>
      </c>
      <c r="AL56" s="495">
        <f>IF(NFI_Expiration=1,IF($A56&lt;VLOOKUP(M$5,NFI,5,0),1,0)*Table_NFI[[#This Row],[Winter Blanket]],Table_NFI[[#This Row],[Winter Blanket]])</f>
        <v>0</v>
      </c>
      <c r="AM56" s="495">
        <f>IF(Table_NFI[[#This Row],[Winter Clothes Adult]]+Table_NFI[[#This Row],[Winter Clothes Children]]+Table_NFI[[#This Row],[Winter Items Other]]+Table_NFI[[#This Row],[Winter Blanket]]&gt;0,1,0)</f>
        <v>0</v>
      </c>
      <c r="AN56" s="497">
        <f>IF(NFI_Expiration=1,IF($A56&lt;VLOOKUP(V$5,NFI,5,0),1,0)*Table_NFI[[#This Row],[Jerry Can]],Table_NFI[Jerry Can])</f>
        <v>64</v>
      </c>
      <c r="AO56" s="497">
        <f>IF(NFI_Expiration=1,IF($A56&lt;VLOOKUP(V$5,NFI,5,0),1,0)*Table_NFI[[#This Row],[Shelter Tool kit]],Table_NFI[Shelter Tool kit])</f>
        <v>0</v>
      </c>
      <c r="AP56" s="497">
        <f>IF(NFI_Expiration=1,IF($A56&lt;VLOOKUP(V$5,NFI,5,0),1,0)*Table_NFI[[#This Row],[Tent]],Table_NFI[Tent])</f>
        <v>0</v>
      </c>
      <c r="AQ56" s="498" t="str">
        <f>IFERROR(VLOOKUP(Table_NFI[[#This Row],[Camp Name]],CL,2,0),"")</f>
        <v/>
      </c>
      <c r="AR56" s="835" t="str">
        <f ca="1">IF(Table_NFI[[#This Row],[Pcode]]="","",IF(OFFSET(CampList[Opening Date],MATCH(Table_NFI[[#This Row],[Pcode]],CampList[CP_Pcode],0)-1,0,1,1)&gt;=NFI_Monitor_Date,1,0))</f>
        <v/>
      </c>
      <c r="AS56" s="660" t="str">
        <f>IFERROR(VLOOKUP(Table_NFI[[#This Row],[Camp Name]],CL,3,0),"")</f>
        <v/>
      </c>
      <c r="AT56" s="495" t="str">
        <f ca="1">IF(Table_NFI[[#This Row],[Pcode]]="","",OFFSET(CampList[Priority],MATCH(Table_NFI[[#This Row],[Pcode]],CampList[CP_Pcode],0)-1,0,1,1))</f>
        <v/>
      </c>
      <c r="AU56" s="499" t="str">
        <f>IFERROR(Table_NFI[[#This Row],[Kitchen Set]]/VLOOKUP(Table_NFI[[#This Row],[Camp Name]],CL,4,0),"")</f>
        <v/>
      </c>
      <c r="AV56" s="493"/>
      <c r="AW56" s="503"/>
    </row>
    <row r="57" spans="1:49" s="464" customFormat="1" ht="14.45" customHeight="1" x14ac:dyDescent="0.25">
      <c r="A57" s="492">
        <f t="shared" si="0"/>
        <v>8.9333333333333336</v>
      </c>
      <c r="B57" s="460">
        <v>42468</v>
      </c>
      <c r="C57" s="461" t="s">
        <v>452</v>
      </c>
      <c r="D57" s="461" t="s">
        <v>460</v>
      </c>
      <c r="E57" s="461" t="s">
        <v>380</v>
      </c>
      <c r="F57" s="461" t="s">
        <v>5</v>
      </c>
      <c r="G57" s="461" t="s">
        <v>18</v>
      </c>
      <c r="H57" s="494"/>
      <c r="I57" s="494"/>
      <c r="J57" s="494"/>
      <c r="K57" s="494"/>
      <c r="L57" s="494">
        <v>10</v>
      </c>
      <c r="M57" s="494"/>
      <c r="N57" s="494"/>
      <c r="O57" s="494"/>
      <c r="P57" s="495"/>
      <c r="Q57" s="495"/>
      <c r="R57" s="495"/>
      <c r="S57" s="495"/>
      <c r="T57" s="495"/>
      <c r="U57" s="495"/>
      <c r="V57" s="496"/>
      <c r="W57" s="495"/>
      <c r="X57" s="495"/>
      <c r="Y57" s="495">
        <f>IF(NFI_Expiration=1,IF($A57&lt;VLOOKUP(H$5,NFI,5,0),1,0)*Table_NFI[[#This Row],[Hygiene Kit]],Table_NFI[Hygiene Kit])</f>
        <v>0</v>
      </c>
      <c r="Z57" s="495">
        <f>IF(NFI_Expiration=1,IF($A57&lt;VLOOKUP(I$5,NFI,5,0),1,0)*Table_NFI[[#This Row],[NFI Core Kit]],Table_NFI[NFI Core Kit])</f>
        <v>0</v>
      </c>
      <c r="AA57" s="495">
        <f>IF(NFI_Expiration=1,IF($A57&lt;VLOOKUP(J$5,NFI,5,0),1,0)*Table_NFI[[#This Row],[Sanitary Kit]],Table_NFI[Sanitary Kit])</f>
        <v>0</v>
      </c>
      <c r="AB57" s="495">
        <f>IF(NFI_Expiration=1,IF($A57&lt;VLOOKUP(K$5,NFI,5,0),1,0)*Table_NFI[[#This Row],[Mosquito net]],Table_NFI[Mosquito net])</f>
        <v>0</v>
      </c>
      <c r="AC57" s="495">
        <f>IF(NFI_Expiration=1,IF($A57&lt;VLOOKUP(L$5,NFI,5,0),1,0)*Table_NFI[[#This Row],[Tarpaulin]],Table_NFI[[#This Row],[Tarpaulin]])</f>
        <v>10</v>
      </c>
      <c r="AD57" s="495">
        <f>IF(NFI_Expiration=1,IF($A57&lt;VLOOKUP(M$5,NFI,5,0),1,0)*Table_NFI[[#This Row],[Blanket]],Table_NFI[[#This Row],[Blanket]])</f>
        <v>0</v>
      </c>
      <c r="AE57" s="495">
        <f>IF(NFI_Expiration=1,IF($A57&lt;VLOOKUP(N$5,NFI,5,0),1,0)*Table_NFI[[#This Row],[Kitchen Set]],Table_NFI[Kitchen Set])</f>
        <v>0</v>
      </c>
      <c r="AF57" s="495">
        <f>IF(NFI_Expiration=1,IF($A57&lt;VLOOKUP(O$5,NFI,5,0),1,0)*Table_NFI[[#This Row],[Clothes Kit]],Table_NFI[Clothes Kit])</f>
        <v>0</v>
      </c>
      <c r="AG57" s="495">
        <f>IF(NFI_Expiration=1,IF($A57&lt;VLOOKUP(P$5,NFI,5,0),1,0)*Table_NFI[[#This Row],[Plastic Bucket]],Table_NFI[Plastic Bucket])</f>
        <v>0</v>
      </c>
      <c r="AH57" s="495">
        <f>IF(NFI_Expiration=1,IF($A57&lt;VLOOKUP(Q$5,NFI,5,0),1,0)*Table_NFI[[#This Row],[Plastic Mat]],Table_NFI[Plastic Mat])*IF(Table_NFI[[#This Row],[Distribution Date]]&gt;"2014-04-01",1,2.5)</f>
        <v>0</v>
      </c>
      <c r="AI57" s="495">
        <f>IF(NFI_Expiration=1,IF($A57&lt;VLOOKUP(R$5,NFI,5,0),1,0)*Table_NFI[[#This Row],[Winter Clothes Adult]],Table_NFI[Winter Clothes Adult])</f>
        <v>0</v>
      </c>
      <c r="AJ57" s="495">
        <f>IF(NFI_Expiration=1,IF($A57&lt;VLOOKUP(S$5,NFI,5,0),1,0)*Table_NFI[[#This Row],[Winter Clothes Children]],Table_NFI[Winter Clothes Children])</f>
        <v>0</v>
      </c>
      <c r="AK57" s="495">
        <f>IF(NFI_Expiration=1,IF($A57&lt;VLOOKUP(T$5,NFI,5,0),1,0)*Table_NFI[[#This Row],[Winter Items Other]],Table_NFI[Winter Items Other])</f>
        <v>0</v>
      </c>
      <c r="AL57" s="495">
        <f>IF(NFI_Expiration=1,IF($A57&lt;VLOOKUP(M$5,NFI,5,0),1,0)*Table_NFI[[#This Row],[Winter Blanket]],Table_NFI[[#This Row],[Winter Blanket]])</f>
        <v>0</v>
      </c>
      <c r="AM57" s="495">
        <f>IF(Table_NFI[[#This Row],[Winter Clothes Adult]]+Table_NFI[[#This Row],[Winter Clothes Children]]+Table_NFI[[#This Row],[Winter Items Other]]+Table_NFI[[#This Row],[Winter Blanket]]&gt;0,1,0)</f>
        <v>0</v>
      </c>
      <c r="AN57" s="497">
        <f>IF(NFI_Expiration=1,IF($A57&lt;VLOOKUP(V$5,NFI,5,0),1,0)*Table_NFI[[#This Row],[Jerry Can]],Table_NFI[Jerry Can])</f>
        <v>0</v>
      </c>
      <c r="AO57" s="497">
        <f>IF(NFI_Expiration=1,IF($A57&lt;VLOOKUP(V$5,NFI,5,0),1,0)*Table_NFI[[#This Row],[Shelter Tool kit]],Table_NFI[Shelter Tool kit])</f>
        <v>0</v>
      </c>
      <c r="AP57" s="497">
        <f>IF(NFI_Expiration=1,IF($A57&lt;VLOOKUP(V$5,NFI,5,0),1,0)*Table_NFI[[#This Row],[Tent]],Table_NFI[Tent])</f>
        <v>0</v>
      </c>
      <c r="AQ57" s="498" t="str">
        <f>IFERROR(VLOOKUP(Table_NFI[[#This Row],[Camp Name]],CL,2,0),"")</f>
        <v>MMR001CMP049</v>
      </c>
      <c r="AR57" s="835">
        <f ca="1">IF(Table_NFI[[#This Row],[Pcode]]="","",IF(OFFSET(CampList[Opening Date],MATCH(Table_NFI[[#This Row],[Pcode]],CampList[CP_Pcode],0)-1,0,1,1)&gt;=NFI_Monitor_Date,1,0))</f>
        <v>0</v>
      </c>
      <c r="AS57" s="498" t="str">
        <f>IFERROR(VLOOKUP(Table_NFI[[#This Row],[Camp Name]],CL,3,0),"")</f>
        <v>Open</v>
      </c>
      <c r="AT57" s="495" t="str">
        <f ca="1">IF(Table_NFI[[#This Row],[Pcode]]="","",OFFSET(CampList[Priority],MATCH(Table_NFI[[#This Row],[Pcode]],CampList[CP_Pcode],0)-1,0,1,1))</f>
        <v>P4</v>
      </c>
      <c r="AU57" s="499">
        <f>IFERROR(Table_NFI[[#This Row],[Kitchen Set]]/VLOOKUP(Table_NFI[[#This Row],[Camp Name]],CL,4,0),"")</f>
        <v>0</v>
      </c>
      <c r="AV57" s="493"/>
      <c r="AW57" s="500"/>
    </row>
    <row r="58" spans="1:49" s="464" customFormat="1" ht="14.45" customHeight="1" x14ac:dyDescent="0.25">
      <c r="A58" s="492">
        <f t="shared" si="0"/>
        <v>9.1999999999999993</v>
      </c>
      <c r="B58" s="460">
        <v>42460</v>
      </c>
      <c r="C58" s="461" t="s">
        <v>452</v>
      </c>
      <c r="D58" s="461" t="s">
        <v>505</v>
      </c>
      <c r="E58" s="461" t="s">
        <v>380</v>
      </c>
      <c r="F58" s="461" t="s">
        <v>5</v>
      </c>
      <c r="G58" s="461" t="s">
        <v>8</v>
      </c>
      <c r="H58" s="494"/>
      <c r="I58" s="494"/>
      <c r="J58" s="494"/>
      <c r="K58" s="494"/>
      <c r="L58" s="494">
        <v>4</v>
      </c>
      <c r="M58" s="494"/>
      <c r="N58" s="494"/>
      <c r="O58" s="494"/>
      <c r="P58" s="495"/>
      <c r="Q58" s="495"/>
      <c r="R58" s="495"/>
      <c r="S58" s="495"/>
      <c r="T58" s="495"/>
      <c r="U58" s="495"/>
      <c r="V58" s="496"/>
      <c r="W58" s="495"/>
      <c r="X58" s="495"/>
      <c r="Y58" s="495">
        <f>IF(NFI_Expiration=1,IF($A58&lt;VLOOKUP(H$5,NFI,5,0),1,0)*Table_NFI[[#This Row],[Hygiene Kit]],Table_NFI[Hygiene Kit])</f>
        <v>0</v>
      </c>
      <c r="Z58" s="495">
        <f>IF(NFI_Expiration=1,IF($A58&lt;VLOOKUP(I$5,NFI,5,0),1,0)*Table_NFI[[#This Row],[NFI Core Kit]],Table_NFI[NFI Core Kit])</f>
        <v>0</v>
      </c>
      <c r="AA58" s="495">
        <f>IF(NFI_Expiration=1,IF($A58&lt;VLOOKUP(J$5,NFI,5,0),1,0)*Table_NFI[[#This Row],[Sanitary Kit]],Table_NFI[Sanitary Kit])</f>
        <v>0</v>
      </c>
      <c r="AB58" s="495">
        <f>IF(NFI_Expiration=1,IF($A58&lt;VLOOKUP(K$5,NFI,5,0),1,0)*Table_NFI[[#This Row],[Mosquito net]],Table_NFI[Mosquito net])</f>
        <v>0</v>
      </c>
      <c r="AC58" s="495">
        <f>IF(NFI_Expiration=1,IF($A58&lt;VLOOKUP(L$5,NFI,5,0),1,0)*Table_NFI[[#This Row],[Tarpaulin]],Table_NFI[[#This Row],[Tarpaulin]])</f>
        <v>4</v>
      </c>
      <c r="AD58" s="495">
        <f>IF(NFI_Expiration=1,IF($A58&lt;VLOOKUP(M$5,NFI,5,0),1,0)*Table_NFI[[#This Row],[Blanket]],Table_NFI[[#This Row],[Blanket]])</f>
        <v>0</v>
      </c>
      <c r="AE58" s="495">
        <f>IF(NFI_Expiration=1,IF($A58&lt;VLOOKUP(N$5,NFI,5,0),1,0)*Table_NFI[[#This Row],[Kitchen Set]],Table_NFI[Kitchen Set])</f>
        <v>0</v>
      </c>
      <c r="AF58" s="495">
        <f>IF(NFI_Expiration=1,IF($A58&lt;VLOOKUP(O$5,NFI,5,0),1,0)*Table_NFI[[#This Row],[Clothes Kit]],Table_NFI[Clothes Kit])</f>
        <v>0</v>
      </c>
      <c r="AG58" s="495">
        <f>IF(NFI_Expiration=1,IF($A58&lt;VLOOKUP(P$5,NFI,5,0),1,0)*Table_NFI[[#This Row],[Plastic Bucket]],Table_NFI[Plastic Bucket])</f>
        <v>0</v>
      </c>
      <c r="AH58" s="495">
        <f>IF(NFI_Expiration=1,IF($A58&lt;VLOOKUP(Q$5,NFI,5,0),1,0)*Table_NFI[[#This Row],[Plastic Mat]],Table_NFI[Plastic Mat])*IF(Table_NFI[[#This Row],[Distribution Date]]&gt;"2014-04-01",1,2.5)</f>
        <v>0</v>
      </c>
      <c r="AI58" s="495">
        <f>IF(NFI_Expiration=1,IF($A58&lt;VLOOKUP(R$5,NFI,5,0),1,0)*Table_NFI[[#This Row],[Winter Clothes Adult]],Table_NFI[Winter Clothes Adult])</f>
        <v>0</v>
      </c>
      <c r="AJ58" s="495">
        <f>IF(NFI_Expiration=1,IF($A58&lt;VLOOKUP(S$5,NFI,5,0),1,0)*Table_NFI[[#This Row],[Winter Clothes Children]],Table_NFI[Winter Clothes Children])</f>
        <v>0</v>
      </c>
      <c r="AK58" s="495">
        <f>IF(NFI_Expiration=1,IF($A58&lt;VLOOKUP(T$5,NFI,5,0),1,0)*Table_NFI[[#This Row],[Winter Items Other]],Table_NFI[Winter Items Other])</f>
        <v>0</v>
      </c>
      <c r="AL58" s="495">
        <f>IF(NFI_Expiration=1,IF($A58&lt;VLOOKUP(M$5,NFI,5,0),1,0)*Table_NFI[[#This Row],[Winter Blanket]],Table_NFI[[#This Row],[Winter Blanket]])</f>
        <v>0</v>
      </c>
      <c r="AM58" s="495">
        <f>IF(Table_NFI[[#This Row],[Winter Clothes Adult]]+Table_NFI[[#This Row],[Winter Clothes Children]]+Table_NFI[[#This Row],[Winter Items Other]]+Table_NFI[[#This Row],[Winter Blanket]]&gt;0,1,0)</f>
        <v>0</v>
      </c>
      <c r="AN58" s="497">
        <f>IF(NFI_Expiration=1,IF($A58&lt;VLOOKUP(V$5,NFI,5,0),1,0)*Table_NFI[[#This Row],[Jerry Can]],Table_NFI[Jerry Can])</f>
        <v>0</v>
      </c>
      <c r="AO58" s="497">
        <f>IF(NFI_Expiration=1,IF($A58&lt;VLOOKUP(V$5,NFI,5,0),1,0)*Table_NFI[[#This Row],[Shelter Tool kit]],Table_NFI[Shelter Tool kit])</f>
        <v>0</v>
      </c>
      <c r="AP58" s="497">
        <f>IF(NFI_Expiration=1,IF($A58&lt;VLOOKUP(V$5,NFI,5,0),1,0)*Table_NFI[[#This Row],[Tent]],Table_NFI[Tent])</f>
        <v>0</v>
      </c>
      <c r="AQ58" s="498" t="str">
        <f>IFERROR(VLOOKUP(Table_NFI[[#This Row],[Camp Name]],CL,2,0),"")</f>
        <v>MMR001CMP051</v>
      </c>
      <c r="AR58" s="835">
        <f ca="1">IF(Table_NFI[[#This Row],[Pcode]]="","",IF(OFFSET(CampList[Opening Date],MATCH(Table_NFI[[#This Row],[Pcode]],CampList[CP_Pcode],0)-1,0,1,1)&gt;=NFI_Monitor_Date,1,0))</f>
        <v>0</v>
      </c>
      <c r="AS58" s="498" t="str">
        <f>IFERROR(VLOOKUP(Table_NFI[[#This Row],[Camp Name]],CL,3,0),"")</f>
        <v>Open</v>
      </c>
      <c r="AT58" s="495" t="str">
        <f ca="1">IF(Table_NFI[[#This Row],[Pcode]]="","",OFFSET(CampList[Priority],MATCH(Table_NFI[[#This Row],[Pcode]],CampList[CP_Pcode],0)-1,0,1,1))</f>
        <v>P4</v>
      </c>
      <c r="AU58" s="499">
        <f>IFERROR(Table_NFI[[#This Row],[Kitchen Set]]/VLOOKUP(Table_NFI[[#This Row],[Camp Name]],CL,4,0),"")</f>
        <v>0</v>
      </c>
      <c r="AV58" s="493"/>
      <c r="AW58" s="500"/>
    </row>
    <row r="59" spans="1:49" s="464" customFormat="1" ht="14.45" customHeight="1" x14ac:dyDescent="0.2">
      <c r="A59" s="297">
        <f t="shared" si="0"/>
        <v>9.6666666666666661</v>
      </c>
      <c r="B59" s="460">
        <v>42446</v>
      </c>
      <c r="C59" s="461" t="s">
        <v>905</v>
      </c>
      <c r="D59" s="462" t="s">
        <v>905</v>
      </c>
      <c r="E59" s="461" t="s">
        <v>380</v>
      </c>
      <c r="F59" s="290" t="s">
        <v>5</v>
      </c>
      <c r="G59" s="290" t="s">
        <v>22</v>
      </c>
      <c r="H59" s="291"/>
      <c r="I59" s="291"/>
      <c r="J59" s="291"/>
      <c r="K59" s="291"/>
      <c r="L59" s="292"/>
      <c r="M59" s="292"/>
      <c r="N59" s="292"/>
      <c r="O59" s="292"/>
      <c r="P59" s="294"/>
      <c r="Q59" s="294"/>
      <c r="R59" s="294"/>
      <c r="S59" s="294"/>
      <c r="T59" s="294"/>
      <c r="U59" s="294"/>
      <c r="V59" s="612">
        <v>1</v>
      </c>
      <c r="W59" s="294"/>
      <c r="X59" s="294"/>
      <c r="Y59" s="294">
        <f>IF(NFI_Expiration=1,IF($A59&lt;VLOOKUP(H$5,NFI,5,0),1,0)*Table_NFI[[#This Row],[Hygiene Kit]],Table_NFI[Hygiene Kit])</f>
        <v>0</v>
      </c>
      <c r="Z59" s="294">
        <f>IF(NFI_Expiration=1,IF($A59&lt;VLOOKUP(I$5,NFI,5,0),1,0)*Table_NFI[[#This Row],[NFI Core Kit]],Table_NFI[NFI Core Kit])</f>
        <v>0</v>
      </c>
      <c r="AA59" s="294">
        <f>IF(NFI_Expiration=1,IF($A59&lt;VLOOKUP(J$5,NFI,5,0),1,0)*Table_NFI[[#This Row],[Sanitary Kit]],Table_NFI[Sanitary Kit])</f>
        <v>0</v>
      </c>
      <c r="AB59" s="294">
        <f>IF(NFI_Expiration=1,IF($A59&lt;VLOOKUP(K$5,NFI,5,0),1,0)*Table_NFI[[#This Row],[Mosquito net]],Table_NFI[Mosquito net])</f>
        <v>0</v>
      </c>
      <c r="AC59" s="294">
        <f>IF(NFI_Expiration=1,IF($A59&lt;VLOOKUP(L$5,NFI,5,0),1,0)*Table_NFI[[#This Row],[Tarpaulin]],Table_NFI[[#This Row],[Tarpaulin]])</f>
        <v>0</v>
      </c>
      <c r="AD59" s="294">
        <f>IF(NFI_Expiration=1,IF($A59&lt;VLOOKUP(M$5,NFI,5,0),1,0)*Table_NFI[[#This Row],[Blanket]],Table_NFI[[#This Row],[Blanket]])</f>
        <v>0</v>
      </c>
      <c r="AE59" s="294">
        <f>IF(NFI_Expiration=1,IF($A59&lt;VLOOKUP(N$5,NFI,5,0),1,0)*Table_NFI[[#This Row],[Kitchen Set]],Table_NFI[Kitchen Set])</f>
        <v>0</v>
      </c>
      <c r="AF59" s="294">
        <f>IF(NFI_Expiration=1,IF($A59&lt;VLOOKUP(O$5,NFI,5,0),1,0)*Table_NFI[[#This Row],[Clothes Kit]],Table_NFI[Clothes Kit])</f>
        <v>0</v>
      </c>
      <c r="AG59" s="294">
        <f>IF(NFI_Expiration=1,IF($A59&lt;VLOOKUP(P$5,NFI,5,0),1,0)*Table_NFI[[#This Row],[Plastic Bucket]],Table_NFI[Plastic Bucket])</f>
        <v>0</v>
      </c>
      <c r="AH59" s="294">
        <f>IF(NFI_Expiration=1,IF($A59&lt;VLOOKUP(Q$5,NFI,5,0),1,0)*Table_NFI[[#This Row],[Plastic Mat]],Table_NFI[Plastic Mat])*IF(Table_NFI[[#This Row],[Distribution Date]]&gt;"2014-04-01",1,2.5)</f>
        <v>0</v>
      </c>
      <c r="AI59" s="294">
        <f>IF(NFI_Expiration=1,IF($A59&lt;VLOOKUP(R$5,NFI,5,0),1,0)*Table_NFI[[#This Row],[Winter Clothes Adult]],Table_NFI[Winter Clothes Adult])</f>
        <v>0</v>
      </c>
      <c r="AJ59" s="294">
        <f>IF(NFI_Expiration=1,IF($A59&lt;VLOOKUP(S$5,NFI,5,0),1,0)*Table_NFI[[#This Row],[Winter Clothes Children]],Table_NFI[Winter Clothes Children])</f>
        <v>0</v>
      </c>
      <c r="AK59" s="294">
        <f>IF(NFI_Expiration=1,IF($A59&lt;VLOOKUP(T$5,NFI,5,0),1,0)*Table_NFI[[#This Row],[Winter Items Other]],Table_NFI[Winter Items Other])</f>
        <v>0</v>
      </c>
      <c r="AL59" s="294">
        <f>IF(NFI_Expiration=1,IF($A59&lt;VLOOKUP(M$5,NFI,5,0),1,0)*Table_NFI[[#This Row],[Winter Blanket]],Table_NFI[[#This Row],[Winter Blanket]])</f>
        <v>0</v>
      </c>
      <c r="AM59" s="294">
        <f>IF(Table_NFI[[#This Row],[Winter Clothes Adult]]+Table_NFI[[#This Row],[Winter Clothes Children]]+Table_NFI[[#This Row],[Winter Items Other]]+Table_NFI[[#This Row],[Winter Blanket]]&gt;0,1,0)</f>
        <v>0</v>
      </c>
      <c r="AN59" s="331">
        <f>IF(NFI_Expiration=1,IF($A59&lt;VLOOKUP(V$5,NFI,5,0),1,0)*Table_NFI[[#This Row],[Jerry Can]],Table_NFI[Jerry Can])</f>
        <v>1</v>
      </c>
      <c r="AO59" s="331">
        <f>IF(NFI_Expiration=1,IF($A59&lt;VLOOKUP(V$5,NFI,5,0),1,0)*Table_NFI[[#This Row],[Shelter Tool kit]],Table_NFI[Shelter Tool kit])</f>
        <v>0</v>
      </c>
      <c r="AP59" s="331">
        <f>IF(NFI_Expiration=1,IF($A59&lt;VLOOKUP(V$5,NFI,5,0),1,0)*Table_NFI[[#This Row],[Tent]],Table_NFI[Tent])</f>
        <v>0</v>
      </c>
      <c r="AQ59" s="467" t="str">
        <f>IFERROR(VLOOKUP(Table_NFI[[#This Row],[Camp Name]],CL,2,0),"")</f>
        <v>MMR001CMP047</v>
      </c>
      <c r="AR59" s="835">
        <f ca="1">IF(Table_NFI[[#This Row],[Pcode]]="","",IF(OFFSET(CampList[Opening Date],MATCH(Table_NFI[[#This Row],[Pcode]],CampList[CP_Pcode],0)-1,0,1,1)&gt;=NFI_Monitor_Date,1,0))</f>
        <v>0</v>
      </c>
      <c r="AS59" s="467" t="str">
        <f>IFERROR(VLOOKUP(Table_NFI[[#This Row],[Camp Name]],CL,3,0),"")</f>
        <v>Open</v>
      </c>
      <c r="AT59" s="294" t="str">
        <f ca="1">IF(Table_NFI[[#This Row],[Pcode]]="","",OFFSET(CampList[Priority],MATCH(Table_NFI[[#This Row],[Pcode]],CampList[CP_Pcode],0)-1,0,1,1))</f>
        <v>P4</v>
      </c>
      <c r="AU59" s="293">
        <f>IFERROR(Table_NFI[[#This Row],[Kitchen Set]]/VLOOKUP(Table_NFI[[#This Row],[Camp Name]],CL,4,0),"")</f>
        <v>0</v>
      </c>
      <c r="AV59" s="461"/>
      <c r="AW59" s="463"/>
    </row>
    <row r="60" spans="1:49" s="464" customFormat="1" ht="14.45" customHeight="1" x14ac:dyDescent="0.2">
      <c r="A60" s="297">
        <f t="shared" si="0"/>
        <v>9.6999999999999993</v>
      </c>
      <c r="B60" s="460">
        <v>42445</v>
      </c>
      <c r="C60" s="461" t="s">
        <v>905</v>
      </c>
      <c r="D60" s="461" t="s">
        <v>905</v>
      </c>
      <c r="E60" s="461" t="s">
        <v>380</v>
      </c>
      <c r="F60" s="461" t="s">
        <v>185</v>
      </c>
      <c r="G60" s="290" t="s">
        <v>217</v>
      </c>
      <c r="H60" s="291"/>
      <c r="I60" s="291"/>
      <c r="J60" s="292"/>
      <c r="K60" s="291"/>
      <c r="L60" s="292"/>
      <c r="M60" s="292"/>
      <c r="N60" s="292"/>
      <c r="O60" s="292"/>
      <c r="P60" s="294"/>
      <c r="Q60" s="294"/>
      <c r="R60" s="294"/>
      <c r="S60" s="294"/>
      <c r="T60" s="294"/>
      <c r="U60" s="294"/>
      <c r="V60" s="612">
        <v>1</v>
      </c>
      <c r="W60" s="294"/>
      <c r="X60" s="294"/>
      <c r="Y60" s="294">
        <f>IF(NFI_Expiration=1,IF($A60&lt;VLOOKUP(H$5,NFI,5,0),1,0)*Table_NFI[[#This Row],[Hygiene Kit]],Table_NFI[Hygiene Kit])</f>
        <v>0</v>
      </c>
      <c r="Z60" s="294">
        <f>IF(NFI_Expiration=1,IF($A60&lt;VLOOKUP(I$5,NFI,5,0),1,0)*Table_NFI[[#This Row],[NFI Core Kit]],Table_NFI[NFI Core Kit])</f>
        <v>0</v>
      </c>
      <c r="AA60" s="294">
        <f>IF(NFI_Expiration=1,IF($A60&lt;VLOOKUP(J$5,NFI,5,0),1,0)*Table_NFI[[#This Row],[Sanitary Kit]],Table_NFI[Sanitary Kit])</f>
        <v>0</v>
      </c>
      <c r="AB60" s="294">
        <f>IF(NFI_Expiration=1,IF($A60&lt;VLOOKUP(K$5,NFI,5,0),1,0)*Table_NFI[[#This Row],[Mosquito net]],Table_NFI[Mosquito net])</f>
        <v>0</v>
      </c>
      <c r="AC60" s="294">
        <f>IF(NFI_Expiration=1,IF($A60&lt;VLOOKUP(L$5,NFI,5,0),1,0)*Table_NFI[[#This Row],[Tarpaulin]],Table_NFI[[#This Row],[Tarpaulin]])</f>
        <v>0</v>
      </c>
      <c r="AD60" s="294">
        <f>IF(NFI_Expiration=1,IF($A60&lt;VLOOKUP(M$5,NFI,5,0),1,0)*Table_NFI[[#This Row],[Blanket]],Table_NFI[[#This Row],[Blanket]])</f>
        <v>0</v>
      </c>
      <c r="AE60" s="294">
        <f>IF(NFI_Expiration=1,IF($A60&lt;VLOOKUP(N$5,NFI,5,0),1,0)*Table_NFI[[#This Row],[Kitchen Set]],Table_NFI[Kitchen Set])</f>
        <v>0</v>
      </c>
      <c r="AF60" s="294">
        <f>IF(NFI_Expiration=1,IF($A60&lt;VLOOKUP(O$5,NFI,5,0),1,0)*Table_NFI[[#This Row],[Clothes Kit]],Table_NFI[Clothes Kit])</f>
        <v>0</v>
      </c>
      <c r="AG60" s="294">
        <f>IF(NFI_Expiration=1,IF($A60&lt;VLOOKUP(P$5,NFI,5,0),1,0)*Table_NFI[[#This Row],[Plastic Bucket]],Table_NFI[Plastic Bucket])</f>
        <v>0</v>
      </c>
      <c r="AH60" s="294">
        <f>IF(NFI_Expiration=1,IF($A60&lt;VLOOKUP(Q$5,NFI,5,0),1,0)*Table_NFI[[#This Row],[Plastic Mat]],Table_NFI[Plastic Mat])*IF(Table_NFI[[#This Row],[Distribution Date]]&gt;"2014-04-01",1,2.5)</f>
        <v>0</v>
      </c>
      <c r="AI60" s="294">
        <f>IF(NFI_Expiration=1,IF($A60&lt;VLOOKUP(R$5,NFI,5,0),1,0)*Table_NFI[[#This Row],[Winter Clothes Adult]],Table_NFI[Winter Clothes Adult])</f>
        <v>0</v>
      </c>
      <c r="AJ60" s="294">
        <f>IF(NFI_Expiration=1,IF($A60&lt;VLOOKUP(S$5,NFI,5,0),1,0)*Table_NFI[[#This Row],[Winter Clothes Children]],Table_NFI[Winter Clothes Children])</f>
        <v>0</v>
      </c>
      <c r="AK60" s="294">
        <f>IF(NFI_Expiration=1,IF($A60&lt;VLOOKUP(T$5,NFI,5,0),1,0)*Table_NFI[[#This Row],[Winter Items Other]],Table_NFI[Winter Items Other])</f>
        <v>0</v>
      </c>
      <c r="AL60" s="294">
        <f>IF(NFI_Expiration=1,IF($A60&lt;VLOOKUP(M$5,NFI,5,0),1,0)*Table_NFI[[#This Row],[Winter Blanket]],Table_NFI[[#This Row],[Winter Blanket]])</f>
        <v>0</v>
      </c>
      <c r="AM60" s="294">
        <f>IF(Table_NFI[[#This Row],[Winter Clothes Adult]]+Table_NFI[[#This Row],[Winter Clothes Children]]+Table_NFI[[#This Row],[Winter Items Other]]+Table_NFI[[#This Row],[Winter Blanket]]&gt;0,1,0)</f>
        <v>0</v>
      </c>
      <c r="AN60" s="331">
        <f>IF(NFI_Expiration=1,IF($A60&lt;VLOOKUP(V$5,NFI,5,0),1,0)*Table_NFI[[#This Row],[Jerry Can]],Table_NFI[Jerry Can])</f>
        <v>1</v>
      </c>
      <c r="AO60" s="331">
        <f>IF(NFI_Expiration=1,IF($A60&lt;VLOOKUP(V$5,NFI,5,0),1,0)*Table_NFI[[#This Row],[Shelter Tool kit]],Table_NFI[Shelter Tool kit])</f>
        <v>0</v>
      </c>
      <c r="AP60" s="331">
        <f>IF(NFI_Expiration=1,IF($A60&lt;VLOOKUP(V$5,NFI,5,0),1,0)*Table_NFI[[#This Row],[Tent]],Table_NFI[Tent])</f>
        <v>0</v>
      </c>
      <c r="AQ60" s="467" t="str">
        <f>IFERROR(VLOOKUP(Table_NFI[[#This Row],[Camp Name]],CL,2,0),"")</f>
        <v>MMR001CMP059</v>
      </c>
      <c r="AR60" s="835">
        <f ca="1">IF(Table_NFI[[#This Row],[Pcode]]="","",IF(OFFSET(CampList[Opening Date],MATCH(Table_NFI[[#This Row],[Pcode]],CampList[CP_Pcode],0)-1,0,1,1)&gt;=NFI_Monitor_Date,1,0))</f>
        <v>0</v>
      </c>
      <c r="AS60" s="467" t="str">
        <f>IFERROR(VLOOKUP(Table_NFI[[#This Row],[Camp Name]],CL,3,0),"")</f>
        <v>Closed</v>
      </c>
      <c r="AT60" s="294" t="str">
        <f ca="1">IF(Table_NFI[[#This Row],[Pcode]]="","",OFFSET(CampList[Priority],MATCH(Table_NFI[[#This Row],[Pcode]],CampList[CP_Pcode],0)-1,0,1,1))</f>
        <v>P4</v>
      </c>
      <c r="AU60" s="293">
        <f>IFERROR(Table_NFI[[#This Row],[Kitchen Set]]/VLOOKUP(Table_NFI[[#This Row],[Camp Name]],CL,4,0),"")</f>
        <v>0</v>
      </c>
      <c r="AV60" s="461"/>
      <c r="AW60" s="463"/>
    </row>
    <row r="61" spans="1:49" s="464" customFormat="1" ht="15" customHeight="1" x14ac:dyDescent="0.2">
      <c r="A61" s="297">
        <f t="shared" si="0"/>
        <v>9.6999999999999993</v>
      </c>
      <c r="B61" s="460">
        <v>42445</v>
      </c>
      <c r="C61" s="461" t="s">
        <v>905</v>
      </c>
      <c r="D61" s="461" t="s">
        <v>905</v>
      </c>
      <c r="E61" s="461" t="s">
        <v>380</v>
      </c>
      <c r="F61" s="461" t="s">
        <v>5</v>
      </c>
      <c r="G61" s="461" t="s">
        <v>366</v>
      </c>
      <c r="H61" s="291"/>
      <c r="I61" s="291"/>
      <c r="J61" s="291"/>
      <c r="K61" s="291"/>
      <c r="L61" s="292"/>
      <c r="M61" s="292"/>
      <c r="N61" s="292"/>
      <c r="O61" s="292"/>
      <c r="P61" s="294"/>
      <c r="Q61" s="294"/>
      <c r="R61" s="294"/>
      <c r="S61" s="294"/>
      <c r="T61" s="294"/>
      <c r="U61" s="294"/>
      <c r="V61" s="612">
        <v>4</v>
      </c>
      <c r="W61" s="294"/>
      <c r="X61" s="294"/>
      <c r="Y61" s="294">
        <f>IF(NFI_Expiration=1,IF($A61&lt;VLOOKUP(H$5,NFI,5,0),1,0)*Table_NFI[[#This Row],[Hygiene Kit]],Table_NFI[Hygiene Kit])</f>
        <v>0</v>
      </c>
      <c r="Z61" s="294">
        <f>IF(NFI_Expiration=1,IF($A61&lt;VLOOKUP(I$5,NFI,5,0),1,0)*Table_NFI[[#This Row],[NFI Core Kit]],Table_NFI[NFI Core Kit])</f>
        <v>0</v>
      </c>
      <c r="AA61" s="294">
        <f>IF(NFI_Expiration=1,IF($A61&lt;VLOOKUP(J$5,NFI,5,0),1,0)*Table_NFI[[#This Row],[Sanitary Kit]],Table_NFI[Sanitary Kit])</f>
        <v>0</v>
      </c>
      <c r="AB61" s="294">
        <f>IF(NFI_Expiration=1,IF($A61&lt;VLOOKUP(K$5,NFI,5,0),1,0)*Table_NFI[[#This Row],[Mosquito net]],Table_NFI[Mosquito net])</f>
        <v>0</v>
      </c>
      <c r="AC61" s="294">
        <f>IF(NFI_Expiration=1,IF($A61&lt;VLOOKUP(L$5,NFI,5,0),1,0)*Table_NFI[[#This Row],[Tarpaulin]],Table_NFI[[#This Row],[Tarpaulin]])</f>
        <v>0</v>
      </c>
      <c r="AD61" s="294">
        <f>IF(NFI_Expiration=1,IF($A61&lt;VLOOKUP(M$5,NFI,5,0),1,0)*Table_NFI[[#This Row],[Blanket]],Table_NFI[[#This Row],[Blanket]])</f>
        <v>0</v>
      </c>
      <c r="AE61" s="294">
        <f>IF(NFI_Expiration=1,IF($A61&lt;VLOOKUP(N$5,NFI,5,0),1,0)*Table_NFI[[#This Row],[Kitchen Set]],Table_NFI[Kitchen Set])</f>
        <v>0</v>
      </c>
      <c r="AF61" s="294">
        <f>IF(NFI_Expiration=1,IF($A61&lt;VLOOKUP(O$5,NFI,5,0),1,0)*Table_NFI[[#This Row],[Clothes Kit]],Table_NFI[Clothes Kit])</f>
        <v>0</v>
      </c>
      <c r="AG61" s="294">
        <f>IF(NFI_Expiration=1,IF($A61&lt;VLOOKUP(P$5,NFI,5,0),1,0)*Table_NFI[[#This Row],[Plastic Bucket]],Table_NFI[Plastic Bucket])</f>
        <v>0</v>
      </c>
      <c r="AH61" s="294">
        <f>IF(NFI_Expiration=1,IF($A61&lt;VLOOKUP(Q$5,NFI,5,0),1,0)*Table_NFI[[#This Row],[Plastic Mat]],Table_NFI[Plastic Mat])*IF(Table_NFI[[#This Row],[Distribution Date]]&gt;"2014-04-01",1,2.5)</f>
        <v>0</v>
      </c>
      <c r="AI61" s="294">
        <f>IF(NFI_Expiration=1,IF($A61&lt;VLOOKUP(R$5,NFI,5,0),1,0)*Table_NFI[[#This Row],[Winter Clothes Adult]],Table_NFI[Winter Clothes Adult])</f>
        <v>0</v>
      </c>
      <c r="AJ61" s="294">
        <f>IF(NFI_Expiration=1,IF($A61&lt;VLOOKUP(S$5,NFI,5,0),1,0)*Table_NFI[[#This Row],[Winter Clothes Children]],Table_NFI[Winter Clothes Children])</f>
        <v>0</v>
      </c>
      <c r="AK61" s="294">
        <f>IF(NFI_Expiration=1,IF($A61&lt;VLOOKUP(T$5,NFI,5,0),1,0)*Table_NFI[[#This Row],[Winter Items Other]],Table_NFI[Winter Items Other])</f>
        <v>0</v>
      </c>
      <c r="AL61" s="294">
        <f>IF(NFI_Expiration=1,IF($A61&lt;VLOOKUP(M$5,NFI,5,0),1,0)*Table_NFI[[#This Row],[Winter Blanket]],Table_NFI[[#This Row],[Winter Blanket]])</f>
        <v>0</v>
      </c>
      <c r="AM61" s="294">
        <f>IF(Table_NFI[[#This Row],[Winter Clothes Adult]]+Table_NFI[[#This Row],[Winter Clothes Children]]+Table_NFI[[#This Row],[Winter Items Other]]+Table_NFI[[#This Row],[Winter Blanket]]&gt;0,1,0)</f>
        <v>0</v>
      </c>
      <c r="AN61" s="331">
        <f>IF(NFI_Expiration=1,IF($A61&lt;VLOOKUP(V$5,NFI,5,0),1,0)*Table_NFI[[#This Row],[Jerry Can]],Table_NFI[Jerry Can])</f>
        <v>4</v>
      </c>
      <c r="AO61" s="331">
        <f>IF(NFI_Expiration=1,IF($A61&lt;VLOOKUP(V$5,NFI,5,0),1,0)*Table_NFI[[#This Row],[Shelter Tool kit]],Table_NFI[Shelter Tool kit])</f>
        <v>0</v>
      </c>
      <c r="AP61" s="331">
        <f>IF(NFI_Expiration=1,IF($A61&lt;VLOOKUP(V$5,NFI,5,0),1,0)*Table_NFI[[#This Row],[Tent]],Table_NFI[Tent])</f>
        <v>0</v>
      </c>
      <c r="AQ61" s="467" t="str">
        <f>IFERROR(VLOOKUP(Table_NFI[[#This Row],[Camp Name]],CL,2,0),"")</f>
        <v>MMR001CMP193</v>
      </c>
      <c r="AR61" s="835">
        <f ca="1">IF(Table_NFI[[#This Row],[Pcode]]="","",IF(OFFSET(CampList[Opening Date],MATCH(Table_NFI[[#This Row],[Pcode]],CampList[CP_Pcode],0)-1,0,1,1)&gt;=NFI_Monitor_Date,1,0))</f>
        <v>0</v>
      </c>
      <c r="AS61" s="467" t="str">
        <f>IFERROR(VLOOKUP(Table_NFI[[#This Row],[Camp Name]],CL,3,0),"")</f>
        <v>Open</v>
      </c>
      <c r="AT61" s="294" t="str">
        <f ca="1">IF(Table_NFI[[#This Row],[Pcode]]="","",OFFSET(CampList[Priority],MATCH(Table_NFI[[#This Row],[Pcode]],CampList[CP_Pcode],0)-1,0,1,1))</f>
        <v>P4</v>
      </c>
      <c r="AU61" s="293">
        <f>IFERROR(Table_NFI[[#This Row],[Kitchen Set]]/VLOOKUP(Table_NFI[[#This Row],[Camp Name]],CL,4,0),"")</f>
        <v>0</v>
      </c>
      <c r="AV61" s="461"/>
      <c r="AW61" s="463"/>
    </row>
    <row r="62" spans="1:49" s="464" customFormat="1" ht="14.45" customHeight="1" x14ac:dyDescent="0.25">
      <c r="A62" s="297">
        <f t="shared" si="0"/>
        <v>9.9666666666666668</v>
      </c>
      <c r="B62" s="460">
        <v>42437</v>
      </c>
      <c r="C62" s="465" t="s">
        <v>452</v>
      </c>
      <c r="D62" s="465" t="s">
        <v>1350</v>
      </c>
      <c r="E62" s="461" t="s">
        <v>553</v>
      </c>
      <c r="F62" s="461" t="s">
        <v>146</v>
      </c>
      <c r="G62" s="465"/>
      <c r="H62" s="292"/>
      <c r="I62" s="292"/>
      <c r="J62" s="292"/>
      <c r="K62" s="292">
        <v>600</v>
      </c>
      <c r="L62" s="292"/>
      <c r="M62" s="292"/>
      <c r="N62" s="292"/>
      <c r="O62" s="292"/>
      <c r="P62" s="294"/>
      <c r="Q62" s="294"/>
      <c r="R62" s="294"/>
      <c r="S62" s="294"/>
      <c r="T62" s="294"/>
      <c r="U62" s="294"/>
      <c r="V62" s="431"/>
      <c r="W62" s="294"/>
      <c r="X62" s="294"/>
      <c r="Y62" s="294">
        <f>IF(NFI_Expiration=1,IF($A62&lt;VLOOKUP(H$5,NFI,5,0),1,0)*Table_NFI[[#This Row],[Hygiene Kit]],Table_NFI[Hygiene Kit])</f>
        <v>0</v>
      </c>
      <c r="Z62" s="294">
        <f>IF(NFI_Expiration=1,IF($A62&lt;VLOOKUP(I$5,NFI,5,0),1,0)*Table_NFI[[#This Row],[NFI Core Kit]],Table_NFI[NFI Core Kit])</f>
        <v>0</v>
      </c>
      <c r="AA62" s="294">
        <f>IF(NFI_Expiration=1,IF($A62&lt;VLOOKUP(J$5,NFI,5,0),1,0)*Table_NFI[[#This Row],[Sanitary Kit]],Table_NFI[Sanitary Kit])</f>
        <v>0</v>
      </c>
      <c r="AB62" s="294">
        <f>IF(NFI_Expiration=1,IF($A62&lt;VLOOKUP(K$5,NFI,5,0),1,0)*Table_NFI[[#This Row],[Mosquito net]],Table_NFI[Mosquito net])</f>
        <v>600</v>
      </c>
      <c r="AC62" s="294">
        <f>IF(NFI_Expiration=1,IF($A62&lt;VLOOKUP(L$5,NFI,5,0),1,0)*Table_NFI[[#This Row],[Tarpaulin]],Table_NFI[[#This Row],[Tarpaulin]])</f>
        <v>0</v>
      </c>
      <c r="AD62" s="294">
        <f>IF(NFI_Expiration=1,IF($A62&lt;VLOOKUP(M$5,NFI,5,0),1,0)*Table_NFI[[#This Row],[Blanket]],Table_NFI[[#This Row],[Blanket]])</f>
        <v>0</v>
      </c>
      <c r="AE62" s="294">
        <f>IF(NFI_Expiration=1,IF($A62&lt;VLOOKUP(N$5,NFI,5,0),1,0)*Table_NFI[[#This Row],[Kitchen Set]],Table_NFI[Kitchen Set])</f>
        <v>0</v>
      </c>
      <c r="AF62" s="294">
        <f>IF(NFI_Expiration=1,IF($A62&lt;VLOOKUP(O$5,NFI,5,0),1,0)*Table_NFI[[#This Row],[Clothes Kit]],Table_NFI[Clothes Kit])</f>
        <v>0</v>
      </c>
      <c r="AG62" s="294">
        <f>IF(NFI_Expiration=1,IF($A62&lt;VLOOKUP(P$5,NFI,5,0),1,0)*Table_NFI[[#This Row],[Plastic Bucket]],Table_NFI[Plastic Bucket])</f>
        <v>0</v>
      </c>
      <c r="AH62" s="294">
        <f>IF(NFI_Expiration=1,IF($A62&lt;VLOOKUP(Q$5,NFI,5,0),1,0)*Table_NFI[[#This Row],[Plastic Mat]],Table_NFI[Plastic Mat])*IF(Table_NFI[[#This Row],[Distribution Date]]&gt;"2014-04-01",1,2.5)</f>
        <v>0</v>
      </c>
      <c r="AI62" s="294">
        <f>IF(NFI_Expiration=1,IF($A62&lt;VLOOKUP(R$5,NFI,5,0),1,0)*Table_NFI[[#This Row],[Winter Clothes Adult]],Table_NFI[Winter Clothes Adult])</f>
        <v>0</v>
      </c>
      <c r="AJ62" s="294">
        <f>IF(NFI_Expiration=1,IF($A62&lt;VLOOKUP(S$5,NFI,5,0),1,0)*Table_NFI[[#This Row],[Winter Clothes Children]],Table_NFI[Winter Clothes Children])</f>
        <v>0</v>
      </c>
      <c r="AK62" s="294">
        <f>IF(NFI_Expiration=1,IF($A62&lt;VLOOKUP(T$5,NFI,5,0),1,0)*Table_NFI[[#This Row],[Winter Items Other]],Table_NFI[Winter Items Other])</f>
        <v>0</v>
      </c>
      <c r="AL62" s="294">
        <f>IF(NFI_Expiration=1,IF($A62&lt;VLOOKUP(M$5,NFI,5,0),1,0)*Table_NFI[[#This Row],[Winter Blanket]],Table_NFI[[#This Row],[Winter Blanket]])</f>
        <v>0</v>
      </c>
      <c r="AM62" s="294">
        <f>IF(Table_NFI[[#This Row],[Winter Clothes Adult]]+Table_NFI[[#This Row],[Winter Clothes Children]]+Table_NFI[[#This Row],[Winter Items Other]]+Table_NFI[[#This Row],[Winter Blanket]]&gt;0,1,0)</f>
        <v>0</v>
      </c>
      <c r="AN62" s="331">
        <f>IF(NFI_Expiration=1,IF($A62&lt;VLOOKUP(V$5,NFI,5,0),1,0)*Table_NFI[[#This Row],[Jerry Can]],Table_NFI[Jerry Can])</f>
        <v>0</v>
      </c>
      <c r="AO62" s="331">
        <f>IF(NFI_Expiration=1,IF($A62&lt;VLOOKUP(V$5,NFI,5,0),1,0)*Table_NFI[[#This Row],[Shelter Tool kit]],Table_NFI[Shelter Tool kit])</f>
        <v>0</v>
      </c>
      <c r="AP62" s="331">
        <f>IF(NFI_Expiration=1,IF($A62&lt;VLOOKUP(V$5,NFI,5,0),1,0)*Table_NFI[[#This Row],[Tent]],Table_NFI[Tent])</f>
        <v>0</v>
      </c>
      <c r="AQ62" s="467" t="str">
        <f>IFERROR(VLOOKUP(Table_NFI[[#This Row],[Camp Name]],CL,2,0),"")</f>
        <v/>
      </c>
      <c r="AR62" s="835" t="str">
        <f ca="1">IF(Table_NFI[[#This Row],[Pcode]]="","",IF(OFFSET(CampList[Opening Date],MATCH(Table_NFI[[#This Row],[Pcode]],CampList[CP_Pcode],0)-1,0,1,1)&gt;=NFI_Monitor_Date,1,0))</f>
        <v/>
      </c>
      <c r="AS62" s="659" t="str">
        <f>IFERROR(VLOOKUP(Table_NFI[[#This Row],[Camp Name]],CL,3,0),"")</f>
        <v/>
      </c>
      <c r="AT62" s="294" t="str">
        <f ca="1">IF(Table_NFI[[#This Row],[Pcode]]="","",OFFSET(CampList[Priority],MATCH(Table_NFI[[#This Row],[Pcode]],CampList[CP_Pcode],0)-1,0,1,1))</f>
        <v/>
      </c>
      <c r="AU62" s="499" t="str">
        <f>IFERROR(Table_NFI[[#This Row],[Kitchen Set]]/VLOOKUP(Table_NFI[[#This Row],[Camp Name]],CL,4,0),"")</f>
        <v/>
      </c>
      <c r="AV62" s="465"/>
      <c r="AW62" s="468" t="s">
        <v>1351</v>
      </c>
    </row>
    <row r="63" spans="1:49" s="464" customFormat="1" ht="15" customHeight="1" x14ac:dyDescent="0.25">
      <c r="A63" s="297">
        <f t="shared" si="0"/>
        <v>10.233333333333333</v>
      </c>
      <c r="B63" s="460">
        <v>42429</v>
      </c>
      <c r="C63" s="461" t="s">
        <v>905</v>
      </c>
      <c r="D63" s="462" t="s">
        <v>905</v>
      </c>
      <c r="E63" s="461" t="s">
        <v>380</v>
      </c>
      <c r="F63" s="290" t="s">
        <v>185</v>
      </c>
      <c r="G63" s="290" t="s">
        <v>1431</v>
      </c>
      <c r="H63" s="291"/>
      <c r="I63" s="291"/>
      <c r="J63" s="292"/>
      <c r="K63" s="291"/>
      <c r="L63" s="292"/>
      <c r="M63" s="292"/>
      <c r="N63" s="292"/>
      <c r="O63" s="292"/>
      <c r="P63" s="294"/>
      <c r="Q63" s="294"/>
      <c r="R63" s="294"/>
      <c r="S63" s="294"/>
      <c r="T63" s="294"/>
      <c r="U63" s="294"/>
      <c r="V63" s="431"/>
      <c r="W63" s="294"/>
      <c r="X63" s="294"/>
      <c r="Y63" s="294">
        <f>IF(NFI_Expiration=1,IF($A63&lt;VLOOKUP(H$5,NFI,5,0),1,0)*Table_NFI[[#This Row],[Hygiene Kit]],Table_NFI[Hygiene Kit])</f>
        <v>0</v>
      </c>
      <c r="Z63" s="294">
        <f>IF(NFI_Expiration=1,IF($A63&lt;VLOOKUP(I$5,NFI,5,0),1,0)*Table_NFI[[#This Row],[NFI Core Kit]],Table_NFI[NFI Core Kit])</f>
        <v>0</v>
      </c>
      <c r="AA63" s="294">
        <f>IF(NFI_Expiration=1,IF($A63&lt;VLOOKUP(J$5,NFI,5,0),1,0)*Table_NFI[[#This Row],[Sanitary Kit]],Table_NFI[Sanitary Kit])</f>
        <v>0</v>
      </c>
      <c r="AB63" s="294">
        <f>IF(NFI_Expiration=1,IF($A63&lt;VLOOKUP(K$5,NFI,5,0),1,0)*Table_NFI[[#This Row],[Mosquito net]],Table_NFI[Mosquito net])</f>
        <v>0</v>
      </c>
      <c r="AC63" s="294">
        <f>IF(NFI_Expiration=1,IF($A63&lt;VLOOKUP(L$5,NFI,5,0),1,0)*Table_NFI[[#This Row],[Tarpaulin]],Table_NFI[[#This Row],[Tarpaulin]])</f>
        <v>0</v>
      </c>
      <c r="AD63" s="294">
        <f>IF(NFI_Expiration=1,IF($A63&lt;VLOOKUP(M$5,NFI,5,0),1,0)*Table_NFI[[#This Row],[Blanket]],Table_NFI[[#This Row],[Blanket]])</f>
        <v>0</v>
      </c>
      <c r="AE63" s="294">
        <f>IF(NFI_Expiration=1,IF($A63&lt;VLOOKUP(N$5,NFI,5,0),1,0)*Table_NFI[[#This Row],[Kitchen Set]],Table_NFI[Kitchen Set])</f>
        <v>0</v>
      </c>
      <c r="AF63" s="294">
        <f>IF(NFI_Expiration=1,IF($A63&lt;VLOOKUP(O$5,NFI,5,0),1,0)*Table_NFI[[#This Row],[Clothes Kit]],Table_NFI[Clothes Kit])</f>
        <v>0</v>
      </c>
      <c r="AG63" s="294">
        <f>IF(NFI_Expiration=1,IF($A63&lt;VLOOKUP(P$5,NFI,5,0),1,0)*Table_NFI[[#This Row],[Plastic Bucket]],Table_NFI[Plastic Bucket])</f>
        <v>0</v>
      </c>
      <c r="AH63" s="294">
        <f>IF(NFI_Expiration=1,IF($A63&lt;VLOOKUP(Q$5,NFI,5,0),1,0)*Table_NFI[[#This Row],[Plastic Mat]],Table_NFI[Plastic Mat])*IF(Table_NFI[[#This Row],[Distribution Date]]&gt;"2014-04-01",1,2.5)</f>
        <v>0</v>
      </c>
      <c r="AI63" s="294">
        <f>IF(NFI_Expiration=1,IF($A63&lt;VLOOKUP(R$5,NFI,5,0),1,0)*Table_NFI[[#This Row],[Winter Clothes Adult]],Table_NFI[Winter Clothes Adult])</f>
        <v>0</v>
      </c>
      <c r="AJ63" s="294">
        <f>IF(NFI_Expiration=1,IF($A63&lt;VLOOKUP(S$5,NFI,5,0),1,0)*Table_NFI[[#This Row],[Winter Clothes Children]],Table_NFI[Winter Clothes Children])</f>
        <v>0</v>
      </c>
      <c r="AK63" s="294">
        <f>IF(NFI_Expiration=1,IF($A63&lt;VLOOKUP(T$5,NFI,5,0),1,0)*Table_NFI[[#This Row],[Winter Items Other]],Table_NFI[Winter Items Other])</f>
        <v>0</v>
      </c>
      <c r="AL63" s="294">
        <f>IF(NFI_Expiration=1,IF($A63&lt;VLOOKUP(M$5,NFI,5,0),1,0)*Table_NFI[[#This Row],[Winter Blanket]],Table_NFI[[#This Row],[Winter Blanket]])</f>
        <v>0</v>
      </c>
      <c r="AM63" s="294">
        <f>IF(Table_NFI[[#This Row],[Winter Clothes Adult]]+Table_NFI[[#This Row],[Winter Clothes Children]]+Table_NFI[[#This Row],[Winter Items Other]]+Table_NFI[[#This Row],[Winter Blanket]]&gt;0,1,0)</f>
        <v>0</v>
      </c>
      <c r="AN63" s="331">
        <f>IF(NFI_Expiration=1,IF($A63&lt;VLOOKUP(V$5,NFI,5,0),1,0)*Table_NFI[[#This Row],[Jerry Can]],Table_NFI[Jerry Can])</f>
        <v>0</v>
      </c>
      <c r="AO63" s="331">
        <f>IF(NFI_Expiration=1,IF($A63&lt;VLOOKUP(V$5,NFI,5,0),1,0)*Table_NFI[[#This Row],[Shelter Tool kit]],Table_NFI[Shelter Tool kit])</f>
        <v>0</v>
      </c>
      <c r="AP63" s="331">
        <f>IF(NFI_Expiration=1,IF($A63&lt;VLOOKUP(V$5,NFI,5,0),1,0)*Table_NFI[[#This Row],[Tent]],Table_NFI[Tent])</f>
        <v>0</v>
      </c>
      <c r="AQ63" s="467" t="str">
        <f>IFERROR(VLOOKUP(Table_NFI[[#This Row],[Camp Name]],CL,2,0),"")</f>
        <v/>
      </c>
      <c r="AR63" s="835" t="str">
        <f ca="1">IF(Table_NFI[[#This Row],[Pcode]]="","",IF(OFFSET(CampList[Opening Date],MATCH(Table_NFI[[#This Row],[Pcode]],CampList[CP_Pcode],0)-1,0,1,1)&gt;=NFI_Monitor_Date,1,0))</f>
        <v/>
      </c>
      <c r="AS63" s="659" t="str">
        <f>IFERROR(VLOOKUP(Table_NFI[[#This Row],[Camp Name]],CL,3,0),"")</f>
        <v/>
      </c>
      <c r="AT63" s="294" t="str">
        <f ca="1">IF(Table_NFI[[#This Row],[Pcode]]="","",OFFSET(CampList[Priority],MATCH(Table_NFI[[#This Row],[Pcode]],CampList[CP_Pcode],0)-1,0,1,1))</f>
        <v/>
      </c>
      <c r="AU63" s="293" t="str">
        <f>IFERROR(Table_NFI[[#This Row],[Kitchen Set]]/VLOOKUP(Table_NFI[[#This Row],[Camp Name]],CL,4,0),"")</f>
        <v/>
      </c>
      <c r="AV63" s="461"/>
      <c r="AW63" s="463"/>
    </row>
    <row r="64" spans="1:49" s="464" customFormat="1" ht="14.45" customHeight="1" x14ac:dyDescent="0.25">
      <c r="A64" s="297">
        <f t="shared" si="0"/>
        <v>10.233333333333333</v>
      </c>
      <c r="B64" s="460">
        <v>42429</v>
      </c>
      <c r="C64" s="461" t="s">
        <v>905</v>
      </c>
      <c r="D64" s="461" t="s">
        <v>905</v>
      </c>
      <c r="E64" s="461" t="s">
        <v>380</v>
      </c>
      <c r="F64" s="461" t="s">
        <v>185</v>
      </c>
      <c r="G64" s="290" t="s">
        <v>217</v>
      </c>
      <c r="H64" s="291"/>
      <c r="I64" s="291"/>
      <c r="J64" s="292"/>
      <c r="K64" s="291"/>
      <c r="L64" s="292"/>
      <c r="M64" s="292"/>
      <c r="N64" s="292"/>
      <c r="O64" s="292"/>
      <c r="P64" s="294"/>
      <c r="Q64" s="294"/>
      <c r="R64" s="294"/>
      <c r="S64" s="294"/>
      <c r="T64" s="294"/>
      <c r="U64" s="294"/>
      <c r="V64" s="431"/>
      <c r="W64" s="294"/>
      <c r="X64" s="294"/>
      <c r="Y64" s="294">
        <f>IF(NFI_Expiration=1,IF($A64&lt;VLOOKUP(H$5,NFI,5,0),1,0)*Table_NFI[[#This Row],[Hygiene Kit]],Table_NFI[Hygiene Kit])</f>
        <v>0</v>
      </c>
      <c r="Z64" s="294">
        <f>IF(NFI_Expiration=1,IF($A64&lt;VLOOKUP(I$5,NFI,5,0),1,0)*Table_NFI[[#This Row],[NFI Core Kit]],Table_NFI[NFI Core Kit])</f>
        <v>0</v>
      </c>
      <c r="AA64" s="294">
        <f>IF(NFI_Expiration=1,IF($A64&lt;VLOOKUP(J$5,NFI,5,0),1,0)*Table_NFI[[#This Row],[Sanitary Kit]],Table_NFI[Sanitary Kit])</f>
        <v>0</v>
      </c>
      <c r="AB64" s="294">
        <f>IF(NFI_Expiration=1,IF($A64&lt;VLOOKUP(K$5,NFI,5,0),1,0)*Table_NFI[[#This Row],[Mosquito net]],Table_NFI[Mosquito net])</f>
        <v>0</v>
      </c>
      <c r="AC64" s="294">
        <f>IF(NFI_Expiration=1,IF($A64&lt;VLOOKUP(L$5,NFI,5,0),1,0)*Table_NFI[[#This Row],[Tarpaulin]],Table_NFI[[#This Row],[Tarpaulin]])</f>
        <v>0</v>
      </c>
      <c r="AD64" s="294">
        <f>IF(NFI_Expiration=1,IF($A64&lt;VLOOKUP(M$5,NFI,5,0),1,0)*Table_NFI[[#This Row],[Blanket]],Table_NFI[[#This Row],[Blanket]])</f>
        <v>0</v>
      </c>
      <c r="AE64" s="294">
        <f>IF(NFI_Expiration=1,IF($A64&lt;VLOOKUP(N$5,NFI,5,0),1,0)*Table_NFI[[#This Row],[Kitchen Set]],Table_NFI[Kitchen Set])</f>
        <v>0</v>
      </c>
      <c r="AF64" s="294">
        <f>IF(NFI_Expiration=1,IF($A64&lt;VLOOKUP(O$5,NFI,5,0),1,0)*Table_NFI[[#This Row],[Clothes Kit]],Table_NFI[Clothes Kit])</f>
        <v>0</v>
      </c>
      <c r="AG64" s="294">
        <f>IF(NFI_Expiration=1,IF($A64&lt;VLOOKUP(P$5,NFI,5,0),1,0)*Table_NFI[[#This Row],[Plastic Bucket]],Table_NFI[Plastic Bucket])</f>
        <v>0</v>
      </c>
      <c r="AH64" s="294">
        <f>IF(NFI_Expiration=1,IF($A64&lt;VLOOKUP(Q$5,NFI,5,0),1,0)*Table_NFI[[#This Row],[Plastic Mat]],Table_NFI[Plastic Mat])*IF(Table_NFI[[#This Row],[Distribution Date]]&gt;"2014-04-01",1,2.5)</f>
        <v>0</v>
      </c>
      <c r="AI64" s="294">
        <f>IF(NFI_Expiration=1,IF($A64&lt;VLOOKUP(R$5,NFI,5,0),1,0)*Table_NFI[[#This Row],[Winter Clothes Adult]],Table_NFI[Winter Clothes Adult])</f>
        <v>0</v>
      </c>
      <c r="AJ64" s="294">
        <f>IF(NFI_Expiration=1,IF($A64&lt;VLOOKUP(S$5,NFI,5,0),1,0)*Table_NFI[[#This Row],[Winter Clothes Children]],Table_NFI[Winter Clothes Children])</f>
        <v>0</v>
      </c>
      <c r="AK64" s="294">
        <f>IF(NFI_Expiration=1,IF($A64&lt;VLOOKUP(T$5,NFI,5,0),1,0)*Table_NFI[[#This Row],[Winter Items Other]],Table_NFI[Winter Items Other])</f>
        <v>0</v>
      </c>
      <c r="AL64" s="294">
        <f>IF(NFI_Expiration=1,IF($A64&lt;VLOOKUP(M$5,NFI,5,0),1,0)*Table_NFI[[#This Row],[Winter Blanket]],Table_NFI[[#This Row],[Winter Blanket]])</f>
        <v>0</v>
      </c>
      <c r="AM64" s="294">
        <f>IF(Table_NFI[[#This Row],[Winter Clothes Adult]]+Table_NFI[[#This Row],[Winter Clothes Children]]+Table_NFI[[#This Row],[Winter Items Other]]+Table_NFI[[#This Row],[Winter Blanket]]&gt;0,1,0)</f>
        <v>0</v>
      </c>
      <c r="AN64" s="331">
        <f>IF(NFI_Expiration=1,IF($A64&lt;VLOOKUP(V$5,NFI,5,0),1,0)*Table_NFI[[#This Row],[Jerry Can]],Table_NFI[Jerry Can])</f>
        <v>0</v>
      </c>
      <c r="AO64" s="331">
        <f>IF(NFI_Expiration=1,IF($A64&lt;VLOOKUP(V$5,NFI,5,0),1,0)*Table_NFI[[#This Row],[Shelter Tool kit]],Table_NFI[Shelter Tool kit])</f>
        <v>0</v>
      </c>
      <c r="AP64" s="331">
        <f>IF(NFI_Expiration=1,IF($A64&lt;VLOOKUP(V$5,NFI,5,0),1,0)*Table_NFI[[#This Row],[Tent]],Table_NFI[Tent])</f>
        <v>0</v>
      </c>
      <c r="AQ64" s="467" t="str">
        <f>IFERROR(VLOOKUP(Table_NFI[[#This Row],[Camp Name]],CL,2,0),"")</f>
        <v>MMR001CMP059</v>
      </c>
      <c r="AR64" s="835">
        <f ca="1">IF(Table_NFI[[#This Row],[Pcode]]="","",IF(OFFSET(CampList[Opening Date],MATCH(Table_NFI[[#This Row],[Pcode]],CampList[CP_Pcode],0)-1,0,1,1)&gt;=NFI_Monitor_Date,1,0))</f>
        <v>0</v>
      </c>
      <c r="AS64" s="467" t="str">
        <f>IFERROR(VLOOKUP(Table_NFI[[#This Row],[Camp Name]],CL,3,0),"")</f>
        <v>Closed</v>
      </c>
      <c r="AT64" s="294" t="str">
        <f ca="1">IF(Table_NFI[[#This Row],[Pcode]]="","",OFFSET(CampList[Priority],MATCH(Table_NFI[[#This Row],[Pcode]],CampList[CP_Pcode],0)-1,0,1,1))</f>
        <v>P4</v>
      </c>
      <c r="AU64" s="293">
        <f>IFERROR(Table_NFI[[#This Row],[Kitchen Set]]/VLOOKUP(Table_NFI[[#This Row],[Camp Name]],CL,4,0),"")</f>
        <v>0</v>
      </c>
      <c r="AV64" s="461"/>
      <c r="AW64" s="463"/>
    </row>
    <row r="65" spans="1:49" s="464" customFormat="1" ht="14.45" customHeight="1" x14ac:dyDescent="0.25">
      <c r="A65" s="492">
        <f t="shared" si="0"/>
        <v>10.266666666666667</v>
      </c>
      <c r="B65" s="460">
        <v>42428</v>
      </c>
      <c r="C65" s="465" t="s">
        <v>452</v>
      </c>
      <c r="D65" s="465" t="s">
        <v>460</v>
      </c>
      <c r="E65" s="461" t="s">
        <v>380</v>
      </c>
      <c r="F65" s="461" t="s">
        <v>27</v>
      </c>
      <c r="G65" s="465" t="s">
        <v>364</v>
      </c>
      <c r="H65" s="494"/>
      <c r="I65" s="494"/>
      <c r="J65" s="494"/>
      <c r="K65" s="494"/>
      <c r="L65" s="494"/>
      <c r="M65" s="494">
        <v>345</v>
      </c>
      <c r="N65" s="494"/>
      <c r="O65" s="494"/>
      <c r="P65" s="495"/>
      <c r="Q65" s="495"/>
      <c r="R65" s="495"/>
      <c r="S65" s="495">
        <v>765</v>
      </c>
      <c r="T65" s="495"/>
      <c r="U65" s="495"/>
      <c r="V65" s="496"/>
      <c r="W65" s="495"/>
      <c r="X65" s="495"/>
      <c r="Y65" s="495">
        <f>IF(NFI_Expiration=1,IF($A65&lt;VLOOKUP(H$5,NFI,5,0),1,0)*Table_NFI[[#This Row],[Hygiene Kit]],Table_NFI[Hygiene Kit])</f>
        <v>0</v>
      </c>
      <c r="Z65" s="495">
        <f>IF(NFI_Expiration=1,IF($A65&lt;VLOOKUP(I$5,NFI,5,0),1,0)*Table_NFI[[#This Row],[NFI Core Kit]],Table_NFI[NFI Core Kit])</f>
        <v>0</v>
      </c>
      <c r="AA65" s="495">
        <f>IF(NFI_Expiration=1,IF($A65&lt;VLOOKUP(J$5,NFI,5,0),1,0)*Table_NFI[[#This Row],[Sanitary Kit]],Table_NFI[Sanitary Kit])</f>
        <v>0</v>
      </c>
      <c r="AB65" s="495">
        <f>IF(NFI_Expiration=1,IF($A65&lt;VLOOKUP(K$5,NFI,5,0),1,0)*Table_NFI[[#This Row],[Mosquito net]],Table_NFI[Mosquito net])</f>
        <v>0</v>
      </c>
      <c r="AC65" s="495">
        <f>IF(NFI_Expiration=1,IF($A65&lt;VLOOKUP(L$5,NFI,5,0),1,0)*Table_NFI[[#This Row],[Tarpaulin]],Table_NFI[[#This Row],[Tarpaulin]])</f>
        <v>0</v>
      </c>
      <c r="AD65" s="495">
        <f>IF(NFI_Expiration=1,IF($A65&lt;VLOOKUP(M$5,NFI,5,0),1,0)*Table_NFI[[#This Row],[Blanket]],Table_NFI[[#This Row],[Blanket]])</f>
        <v>345</v>
      </c>
      <c r="AE65" s="495">
        <f>IF(NFI_Expiration=1,IF($A65&lt;VLOOKUP(N$5,NFI,5,0),1,0)*Table_NFI[[#This Row],[Kitchen Set]],Table_NFI[Kitchen Set])</f>
        <v>0</v>
      </c>
      <c r="AF65" s="495">
        <f>IF(NFI_Expiration=1,IF($A65&lt;VLOOKUP(O$5,NFI,5,0),1,0)*Table_NFI[[#This Row],[Clothes Kit]],Table_NFI[Clothes Kit])</f>
        <v>0</v>
      </c>
      <c r="AG65" s="495">
        <f>IF(NFI_Expiration=1,IF($A65&lt;VLOOKUP(P$5,NFI,5,0),1,0)*Table_NFI[[#This Row],[Plastic Bucket]],Table_NFI[Plastic Bucket])</f>
        <v>0</v>
      </c>
      <c r="AH65" s="495">
        <f>IF(NFI_Expiration=1,IF($A65&lt;VLOOKUP(Q$5,NFI,5,0),1,0)*Table_NFI[[#This Row],[Plastic Mat]],Table_NFI[Plastic Mat])*IF(Table_NFI[[#This Row],[Distribution Date]]&gt;"2014-04-01",1,2.5)</f>
        <v>0</v>
      </c>
      <c r="AI65" s="495">
        <f>IF(NFI_Expiration=1,IF($A65&lt;VLOOKUP(R$5,NFI,5,0),1,0)*Table_NFI[[#This Row],[Winter Clothes Adult]],Table_NFI[Winter Clothes Adult])</f>
        <v>0</v>
      </c>
      <c r="AJ65" s="495">
        <f>IF(NFI_Expiration=1,IF($A65&lt;VLOOKUP(S$5,NFI,5,0),1,0)*Table_NFI[[#This Row],[Winter Clothes Children]],Table_NFI[Winter Clothes Children])</f>
        <v>765</v>
      </c>
      <c r="AK65" s="495">
        <f>IF(NFI_Expiration=1,IF($A65&lt;VLOOKUP(T$5,NFI,5,0),1,0)*Table_NFI[[#This Row],[Winter Items Other]],Table_NFI[Winter Items Other])</f>
        <v>0</v>
      </c>
      <c r="AL65" s="495">
        <f>IF(NFI_Expiration=1,IF($A65&lt;VLOOKUP(M$5,NFI,5,0),1,0)*Table_NFI[[#This Row],[Winter Blanket]],Table_NFI[[#This Row],[Winter Blanket]])</f>
        <v>0</v>
      </c>
      <c r="AM65" s="495">
        <f>IF(Table_NFI[[#This Row],[Winter Clothes Adult]]+Table_NFI[[#This Row],[Winter Clothes Children]]+Table_NFI[[#This Row],[Winter Items Other]]+Table_NFI[[#This Row],[Winter Blanket]]&gt;0,1,0)</f>
        <v>1</v>
      </c>
      <c r="AN65" s="497">
        <f>IF(NFI_Expiration=1,IF($A65&lt;VLOOKUP(V$5,NFI,5,0),1,0)*Table_NFI[[#This Row],[Jerry Can]],Table_NFI[Jerry Can])</f>
        <v>0</v>
      </c>
      <c r="AO65" s="497">
        <f>IF(NFI_Expiration=1,IF($A65&lt;VLOOKUP(V$5,NFI,5,0),1,0)*Table_NFI[[#This Row],[Shelter Tool kit]],Table_NFI[Shelter Tool kit])</f>
        <v>0</v>
      </c>
      <c r="AP65" s="497">
        <f>IF(NFI_Expiration=1,IF($A65&lt;VLOOKUP(V$5,NFI,5,0),1,0)*Table_NFI[[#This Row],[Tent]],Table_NFI[Tent])</f>
        <v>0</v>
      </c>
      <c r="AQ65" s="498" t="str">
        <f>IFERROR(VLOOKUP(Table_NFI[[#This Row],[Camp Name]],CL,2,0),"")</f>
        <v>MMR001CMP043</v>
      </c>
      <c r="AR65" s="835">
        <f ca="1">IF(Table_NFI[[#This Row],[Pcode]]="","",IF(OFFSET(CampList[Opening Date],MATCH(Table_NFI[[#This Row],[Pcode]],CampList[CP_Pcode],0)-1,0,1,1)&gt;=NFI_Monitor_Date,1,0))</f>
        <v>0</v>
      </c>
      <c r="AS65" s="498" t="str">
        <f>IFERROR(VLOOKUP(Table_NFI[[#This Row],[Camp Name]],CL,3,0),"")</f>
        <v>Open</v>
      </c>
      <c r="AT65" s="495" t="str">
        <f ca="1">IF(Table_NFI[[#This Row],[Pcode]]="","",OFFSET(CampList[Priority],MATCH(Table_NFI[[#This Row],[Pcode]],CampList[CP_Pcode],0)-1,0,1,1))</f>
        <v>P1</v>
      </c>
      <c r="AU65" s="499">
        <f>IFERROR(Table_NFI[[#This Row],[Kitchen Set]]/VLOOKUP(Table_NFI[[#This Row],[Camp Name]],CL,4,0),"")</f>
        <v>0</v>
      </c>
      <c r="AV65" s="493"/>
      <c r="AW65" s="503"/>
    </row>
    <row r="66" spans="1:49" s="464" customFormat="1" ht="15" customHeight="1" x14ac:dyDescent="0.25">
      <c r="A66" s="297">
        <f t="shared" si="0"/>
        <v>10.3</v>
      </c>
      <c r="B66" s="460">
        <v>42427</v>
      </c>
      <c r="C66" s="461" t="s">
        <v>452</v>
      </c>
      <c r="D66" s="461" t="s">
        <v>460</v>
      </c>
      <c r="E66" s="461" t="s">
        <v>380</v>
      </c>
      <c r="F66" s="461" t="s">
        <v>310</v>
      </c>
      <c r="G66" s="290" t="s">
        <v>364</v>
      </c>
      <c r="H66" s="291"/>
      <c r="I66" s="292"/>
      <c r="J66" s="294"/>
      <c r="K66" s="294"/>
      <c r="L66" s="292"/>
      <c r="M66" s="292"/>
      <c r="N66" s="292"/>
      <c r="O66" s="292"/>
      <c r="P66" s="294"/>
      <c r="Q66" s="294"/>
      <c r="R66" s="294">
        <v>380</v>
      </c>
      <c r="S66" s="294">
        <v>380</v>
      </c>
      <c r="T66" s="294"/>
      <c r="U66" s="294"/>
      <c r="V66" s="431"/>
      <c r="W66" s="294"/>
      <c r="X66" s="294"/>
      <c r="Y66" s="294">
        <f>IF(NFI_Expiration=1,IF($A66&lt;VLOOKUP(H$5,NFI,5,0),1,0)*Table_NFI[[#This Row],[Hygiene Kit]],Table_NFI[Hygiene Kit])</f>
        <v>0</v>
      </c>
      <c r="Z66" s="294">
        <f>IF(NFI_Expiration=1,IF($A66&lt;VLOOKUP(I$5,NFI,5,0),1,0)*Table_NFI[[#This Row],[NFI Core Kit]],Table_NFI[NFI Core Kit])</f>
        <v>0</v>
      </c>
      <c r="AA66" s="294">
        <f>IF(NFI_Expiration=1,IF($A66&lt;VLOOKUP(J$5,NFI,5,0),1,0)*Table_NFI[[#This Row],[Sanitary Kit]],Table_NFI[Sanitary Kit])</f>
        <v>0</v>
      </c>
      <c r="AB66" s="294">
        <f>IF(NFI_Expiration=1,IF($A66&lt;VLOOKUP(K$5,NFI,5,0),1,0)*Table_NFI[[#This Row],[Mosquito net]],Table_NFI[Mosquito net])</f>
        <v>0</v>
      </c>
      <c r="AC66" s="294">
        <f>IF(NFI_Expiration=1,IF($A66&lt;VLOOKUP(L$5,NFI,5,0),1,0)*Table_NFI[[#This Row],[Tarpaulin]],Table_NFI[[#This Row],[Tarpaulin]])</f>
        <v>0</v>
      </c>
      <c r="AD66" s="294">
        <f>IF(NFI_Expiration=1,IF($A66&lt;VLOOKUP(M$5,NFI,5,0),1,0)*Table_NFI[[#This Row],[Blanket]],Table_NFI[[#This Row],[Blanket]])</f>
        <v>0</v>
      </c>
      <c r="AE66" s="294">
        <f>IF(NFI_Expiration=1,IF($A66&lt;VLOOKUP(N$5,NFI,5,0),1,0)*Table_NFI[[#This Row],[Kitchen Set]],Table_NFI[Kitchen Set])</f>
        <v>0</v>
      </c>
      <c r="AF66" s="294">
        <f>IF(NFI_Expiration=1,IF($A66&lt;VLOOKUP(O$5,NFI,5,0),1,0)*Table_NFI[[#This Row],[Clothes Kit]],Table_NFI[Clothes Kit])</f>
        <v>0</v>
      </c>
      <c r="AG66" s="294">
        <f>IF(NFI_Expiration=1,IF($A66&lt;VLOOKUP(P$5,NFI,5,0),1,0)*Table_NFI[[#This Row],[Plastic Bucket]],Table_NFI[Plastic Bucket])</f>
        <v>0</v>
      </c>
      <c r="AH66" s="294">
        <f>IF(NFI_Expiration=1,IF($A66&lt;VLOOKUP(Q$5,NFI,5,0),1,0)*Table_NFI[[#This Row],[Plastic Mat]],Table_NFI[Plastic Mat])*IF(Table_NFI[[#This Row],[Distribution Date]]&gt;"2014-04-01",1,2.5)</f>
        <v>0</v>
      </c>
      <c r="AI66" s="294">
        <f>IF(NFI_Expiration=1,IF($A66&lt;VLOOKUP(R$5,NFI,5,0),1,0)*Table_NFI[[#This Row],[Winter Clothes Adult]],Table_NFI[Winter Clothes Adult])</f>
        <v>380</v>
      </c>
      <c r="AJ66" s="294">
        <f>IF(NFI_Expiration=1,IF($A66&lt;VLOOKUP(S$5,NFI,5,0),1,0)*Table_NFI[[#This Row],[Winter Clothes Children]],Table_NFI[Winter Clothes Children])</f>
        <v>380</v>
      </c>
      <c r="AK66" s="294">
        <f>IF(NFI_Expiration=1,IF($A66&lt;VLOOKUP(T$5,NFI,5,0),1,0)*Table_NFI[[#This Row],[Winter Items Other]],Table_NFI[Winter Items Other])</f>
        <v>0</v>
      </c>
      <c r="AL66" s="294">
        <f>IF(NFI_Expiration=1,IF($A66&lt;VLOOKUP(M$5,NFI,5,0),1,0)*Table_NFI[[#This Row],[Winter Blanket]],Table_NFI[[#This Row],[Winter Blanket]])</f>
        <v>0</v>
      </c>
      <c r="AM66" s="294">
        <f>IF(Table_NFI[[#This Row],[Winter Clothes Adult]]+Table_NFI[[#This Row],[Winter Clothes Children]]+Table_NFI[[#This Row],[Winter Items Other]]+Table_NFI[[#This Row],[Winter Blanket]]&gt;0,1,0)</f>
        <v>1</v>
      </c>
      <c r="AN66" s="331">
        <f>IF(NFI_Expiration=1,IF($A66&lt;VLOOKUP(V$5,NFI,5,0),1,0)*Table_NFI[[#This Row],[Jerry Can]],Table_NFI[Jerry Can])</f>
        <v>0</v>
      </c>
      <c r="AO66" s="331">
        <f>IF(NFI_Expiration=1,IF($A66&lt;VLOOKUP(V$5,NFI,5,0),1,0)*Table_NFI[[#This Row],[Shelter Tool kit]],Table_NFI[Shelter Tool kit])</f>
        <v>0</v>
      </c>
      <c r="AP66" s="331">
        <f>IF(NFI_Expiration=1,IF($A66&lt;VLOOKUP(V$5,NFI,5,0),1,0)*Table_NFI[[#This Row],[Tent]],Table_NFI[Tent])</f>
        <v>0</v>
      </c>
      <c r="AQ66" s="467" t="str">
        <f>IFERROR(VLOOKUP(Table_NFI[[#This Row],[Camp Name]],CL,2,0),"")</f>
        <v>MMR001CMP043</v>
      </c>
      <c r="AR66" s="835">
        <f ca="1">IF(Table_NFI[[#This Row],[Pcode]]="","",IF(OFFSET(CampList[Opening Date],MATCH(Table_NFI[[#This Row],[Pcode]],CampList[CP_Pcode],0)-1,0,1,1)&gt;=NFI_Monitor_Date,1,0))</f>
        <v>0</v>
      </c>
      <c r="AS66" s="467" t="str">
        <f>IFERROR(VLOOKUP(Table_NFI[[#This Row],[Camp Name]],CL,3,0),"")</f>
        <v>Open</v>
      </c>
      <c r="AT66" s="294" t="str">
        <f ca="1">IF(Table_NFI[[#This Row],[Pcode]]="","",OFFSET(CampList[Priority],MATCH(Table_NFI[[#This Row],[Pcode]],CampList[CP_Pcode],0)-1,0,1,1))</f>
        <v>P1</v>
      </c>
      <c r="AU66" s="499">
        <f>IFERROR(Table_NFI[[#This Row],[Kitchen Set]]/VLOOKUP(Table_NFI[[#This Row],[Camp Name]],CL,4,0),"")</f>
        <v>0</v>
      </c>
      <c r="AV66" s="465"/>
      <c r="AW66" s="502" t="s">
        <v>1357</v>
      </c>
    </row>
    <row r="67" spans="1:49" s="98" customFormat="1" ht="15" customHeight="1" x14ac:dyDescent="0.25">
      <c r="A67" s="492">
        <f t="shared" si="0"/>
        <v>10.3</v>
      </c>
      <c r="B67" s="460">
        <v>42427</v>
      </c>
      <c r="C67" s="461" t="s">
        <v>452</v>
      </c>
      <c r="D67" s="461" t="s">
        <v>460</v>
      </c>
      <c r="E67" s="461" t="s">
        <v>380</v>
      </c>
      <c r="F67" s="461" t="s">
        <v>310</v>
      </c>
      <c r="G67" s="461" t="s">
        <v>1243</v>
      </c>
      <c r="H67" s="494"/>
      <c r="I67" s="494"/>
      <c r="J67" s="494"/>
      <c r="K67" s="494"/>
      <c r="L67" s="494"/>
      <c r="M67" s="494"/>
      <c r="N67" s="494"/>
      <c r="O67" s="494"/>
      <c r="P67" s="495"/>
      <c r="Q67" s="495"/>
      <c r="R67" s="495">
        <v>330</v>
      </c>
      <c r="S67" s="495">
        <v>330</v>
      </c>
      <c r="T67" s="495"/>
      <c r="U67" s="495">
        <v>346</v>
      </c>
      <c r="V67" s="496"/>
      <c r="W67" s="495"/>
      <c r="X67" s="495"/>
      <c r="Y67" s="495">
        <f>IF(NFI_Expiration=1,IF($A67&lt;VLOOKUP(H$5,NFI,5,0),1,0)*Table_NFI[[#This Row],[Hygiene Kit]],Table_NFI[Hygiene Kit])</f>
        <v>0</v>
      </c>
      <c r="Z67" s="495">
        <f>IF(NFI_Expiration=1,IF($A67&lt;VLOOKUP(I$5,NFI,5,0),1,0)*Table_NFI[[#This Row],[NFI Core Kit]],Table_NFI[NFI Core Kit])</f>
        <v>0</v>
      </c>
      <c r="AA67" s="495">
        <f>IF(NFI_Expiration=1,IF($A67&lt;VLOOKUP(J$5,NFI,5,0),1,0)*Table_NFI[[#This Row],[Sanitary Kit]],Table_NFI[Sanitary Kit])</f>
        <v>0</v>
      </c>
      <c r="AB67" s="495">
        <f>IF(NFI_Expiration=1,IF($A67&lt;VLOOKUP(K$5,NFI,5,0),1,0)*Table_NFI[[#This Row],[Mosquito net]],Table_NFI[Mosquito net])</f>
        <v>0</v>
      </c>
      <c r="AC67" s="495">
        <f>IF(NFI_Expiration=1,IF($A67&lt;VLOOKUP(L$5,NFI,5,0),1,0)*Table_NFI[[#This Row],[Tarpaulin]],Table_NFI[[#This Row],[Tarpaulin]])</f>
        <v>0</v>
      </c>
      <c r="AD67" s="495">
        <f>IF(NFI_Expiration=1,IF($A67&lt;VLOOKUP(M$5,NFI,5,0),1,0)*Table_NFI[[#This Row],[Blanket]],Table_NFI[[#This Row],[Blanket]])</f>
        <v>0</v>
      </c>
      <c r="AE67" s="495">
        <f>IF(NFI_Expiration=1,IF($A67&lt;VLOOKUP(N$5,NFI,5,0),1,0)*Table_NFI[[#This Row],[Kitchen Set]],Table_NFI[Kitchen Set])</f>
        <v>0</v>
      </c>
      <c r="AF67" s="495">
        <f>IF(NFI_Expiration=1,IF($A67&lt;VLOOKUP(O$5,NFI,5,0),1,0)*Table_NFI[[#This Row],[Clothes Kit]],Table_NFI[Clothes Kit])</f>
        <v>0</v>
      </c>
      <c r="AG67" s="495">
        <f>IF(NFI_Expiration=1,IF($A67&lt;VLOOKUP(P$5,NFI,5,0),1,0)*Table_NFI[[#This Row],[Plastic Bucket]],Table_NFI[Plastic Bucket])</f>
        <v>0</v>
      </c>
      <c r="AH67" s="495">
        <f>IF(NFI_Expiration=1,IF($A67&lt;VLOOKUP(Q$5,NFI,5,0),1,0)*Table_NFI[[#This Row],[Plastic Mat]],Table_NFI[Plastic Mat])*IF(Table_NFI[[#This Row],[Distribution Date]]&gt;"2014-04-01",1,2.5)</f>
        <v>0</v>
      </c>
      <c r="AI67" s="495">
        <f>IF(NFI_Expiration=1,IF($A67&lt;VLOOKUP(R$5,NFI,5,0),1,0)*Table_NFI[[#This Row],[Winter Clothes Adult]],Table_NFI[Winter Clothes Adult])</f>
        <v>330</v>
      </c>
      <c r="AJ67" s="495">
        <f>IF(NFI_Expiration=1,IF($A67&lt;VLOOKUP(S$5,NFI,5,0),1,0)*Table_NFI[[#This Row],[Winter Clothes Children]],Table_NFI[Winter Clothes Children])</f>
        <v>330</v>
      </c>
      <c r="AK67" s="495">
        <f>IF(NFI_Expiration=1,IF($A67&lt;VLOOKUP(T$5,NFI,5,0),1,0)*Table_NFI[[#This Row],[Winter Items Other]],Table_NFI[Winter Items Other])</f>
        <v>0</v>
      </c>
      <c r="AL67" s="495">
        <f>IF(NFI_Expiration=1,IF($A67&lt;VLOOKUP(M$5,NFI,5,0),1,0)*Table_NFI[[#This Row],[Winter Blanket]],Table_NFI[[#This Row],[Winter Blanket]])</f>
        <v>346</v>
      </c>
      <c r="AM67" s="495">
        <f>IF(Table_NFI[[#This Row],[Winter Clothes Adult]]+Table_NFI[[#This Row],[Winter Clothes Children]]+Table_NFI[[#This Row],[Winter Items Other]]+Table_NFI[[#This Row],[Winter Blanket]]&gt;0,1,0)</f>
        <v>1</v>
      </c>
      <c r="AN67" s="497">
        <f>IF(NFI_Expiration=1,IF($A67&lt;VLOOKUP(V$5,NFI,5,0),1,0)*Table_NFI[[#This Row],[Jerry Can]],Table_NFI[Jerry Can])</f>
        <v>0</v>
      </c>
      <c r="AO67" s="497">
        <f>IF(NFI_Expiration=1,IF($A67&lt;VLOOKUP(V$5,NFI,5,0),1,0)*Table_NFI[[#This Row],[Shelter Tool kit]],Table_NFI[Shelter Tool kit])</f>
        <v>0</v>
      </c>
      <c r="AP67" s="497">
        <f>IF(NFI_Expiration=1,IF($A67&lt;VLOOKUP(V$5,NFI,5,0),1,0)*Table_NFI[[#This Row],[Tent]],Table_NFI[Tent])</f>
        <v>0</v>
      </c>
      <c r="AQ67" s="498" t="str">
        <f>IFERROR(VLOOKUP(Table_NFI[[#This Row],[Camp Name]],CL,2,0),"")</f>
        <v>MMR001CMP120</v>
      </c>
      <c r="AR67" s="835">
        <f ca="1">IF(Table_NFI[[#This Row],[Pcode]]="","",IF(OFFSET(CampList[Opening Date],MATCH(Table_NFI[[#This Row],[Pcode]],CampList[CP_Pcode],0)-1,0,1,1)&gt;=NFI_Monitor_Date,1,0))</f>
        <v>0</v>
      </c>
      <c r="AS67" s="498" t="str">
        <f>IFERROR(VLOOKUP(Table_NFI[[#This Row],[Camp Name]],CL,3,0),"")</f>
        <v>Open</v>
      </c>
      <c r="AT67" s="495" t="str">
        <f ca="1">IF(Table_NFI[[#This Row],[Pcode]]="","",OFFSET(CampList[Priority],MATCH(Table_NFI[[#This Row],[Pcode]],CampList[CP_Pcode],0)-1,0,1,1))</f>
        <v>P1</v>
      </c>
      <c r="AU67" s="499">
        <f>IFERROR(Table_NFI[[#This Row],[Kitchen Set]]/VLOOKUP(Table_NFI[[#This Row],[Camp Name]],CL,4,0),"")</f>
        <v>0</v>
      </c>
      <c r="AV67" s="493"/>
      <c r="AW67" s="503" t="s">
        <v>1358</v>
      </c>
    </row>
    <row r="68" spans="1:49" s="464" customFormat="1" ht="14.45" customHeight="1" x14ac:dyDescent="0.25">
      <c r="A68" s="492">
        <f t="shared" si="0"/>
        <v>10.3</v>
      </c>
      <c r="B68" s="460">
        <v>42427</v>
      </c>
      <c r="C68" s="465" t="s">
        <v>452</v>
      </c>
      <c r="D68" s="465" t="s">
        <v>460</v>
      </c>
      <c r="E68" s="461" t="s">
        <v>380</v>
      </c>
      <c r="F68" s="461" t="s">
        <v>310</v>
      </c>
      <c r="G68" s="465" t="s">
        <v>1243</v>
      </c>
      <c r="H68" s="494"/>
      <c r="I68" s="494"/>
      <c r="J68" s="494"/>
      <c r="K68" s="494"/>
      <c r="L68" s="494"/>
      <c r="M68" s="494">
        <v>670</v>
      </c>
      <c r="N68" s="494"/>
      <c r="O68" s="494"/>
      <c r="P68" s="495">
        <v>345</v>
      </c>
      <c r="Q68" s="495"/>
      <c r="R68" s="495"/>
      <c r="S68" s="495"/>
      <c r="T68" s="495"/>
      <c r="U68" s="495"/>
      <c r="V68" s="496"/>
      <c r="W68" s="495"/>
      <c r="X68" s="495"/>
      <c r="Y68" s="495">
        <f>IF(NFI_Expiration=1,IF($A68&lt;VLOOKUP(H$5,NFI,5,0),1,0)*Table_NFI[[#This Row],[Hygiene Kit]],Table_NFI[Hygiene Kit])</f>
        <v>0</v>
      </c>
      <c r="Z68" s="495">
        <f>IF(NFI_Expiration=1,IF($A68&lt;VLOOKUP(I$5,NFI,5,0),1,0)*Table_NFI[[#This Row],[NFI Core Kit]],Table_NFI[NFI Core Kit])</f>
        <v>0</v>
      </c>
      <c r="AA68" s="495">
        <f>IF(NFI_Expiration=1,IF($A68&lt;VLOOKUP(J$5,NFI,5,0),1,0)*Table_NFI[[#This Row],[Sanitary Kit]],Table_NFI[Sanitary Kit])</f>
        <v>0</v>
      </c>
      <c r="AB68" s="495">
        <f>IF(NFI_Expiration=1,IF($A68&lt;VLOOKUP(K$5,NFI,5,0),1,0)*Table_NFI[[#This Row],[Mosquito net]],Table_NFI[Mosquito net])</f>
        <v>0</v>
      </c>
      <c r="AC68" s="495">
        <f>IF(NFI_Expiration=1,IF($A68&lt;VLOOKUP(L$5,NFI,5,0),1,0)*Table_NFI[[#This Row],[Tarpaulin]],Table_NFI[[#This Row],[Tarpaulin]])</f>
        <v>0</v>
      </c>
      <c r="AD68" s="495">
        <f>IF(NFI_Expiration=1,IF($A68&lt;VLOOKUP(M$5,NFI,5,0),1,0)*Table_NFI[[#This Row],[Blanket]],Table_NFI[[#This Row],[Blanket]])</f>
        <v>670</v>
      </c>
      <c r="AE68" s="495">
        <f>IF(NFI_Expiration=1,IF($A68&lt;VLOOKUP(N$5,NFI,5,0),1,0)*Table_NFI[[#This Row],[Kitchen Set]],Table_NFI[Kitchen Set])</f>
        <v>0</v>
      </c>
      <c r="AF68" s="495">
        <f>IF(NFI_Expiration=1,IF($A68&lt;VLOOKUP(O$5,NFI,5,0),1,0)*Table_NFI[[#This Row],[Clothes Kit]],Table_NFI[Clothes Kit])</f>
        <v>0</v>
      </c>
      <c r="AG68" s="495">
        <f>IF(NFI_Expiration=1,IF($A68&lt;VLOOKUP(P$5,NFI,5,0),1,0)*Table_NFI[[#This Row],[Plastic Bucket]],Table_NFI[Plastic Bucket])</f>
        <v>345</v>
      </c>
      <c r="AH68" s="495">
        <f>IF(NFI_Expiration=1,IF($A68&lt;VLOOKUP(Q$5,NFI,5,0),1,0)*Table_NFI[[#This Row],[Plastic Mat]],Table_NFI[Plastic Mat])*IF(Table_NFI[[#This Row],[Distribution Date]]&gt;"2014-04-01",1,2.5)</f>
        <v>0</v>
      </c>
      <c r="AI68" s="495">
        <f>IF(NFI_Expiration=1,IF($A68&lt;VLOOKUP(R$5,NFI,5,0),1,0)*Table_NFI[[#This Row],[Winter Clothes Adult]],Table_NFI[Winter Clothes Adult])</f>
        <v>0</v>
      </c>
      <c r="AJ68" s="495">
        <f>IF(NFI_Expiration=1,IF($A68&lt;VLOOKUP(S$5,NFI,5,0),1,0)*Table_NFI[[#This Row],[Winter Clothes Children]],Table_NFI[Winter Clothes Children])</f>
        <v>0</v>
      </c>
      <c r="AK68" s="495">
        <f>IF(NFI_Expiration=1,IF($A68&lt;VLOOKUP(T$5,NFI,5,0),1,0)*Table_NFI[[#This Row],[Winter Items Other]],Table_NFI[Winter Items Other])</f>
        <v>0</v>
      </c>
      <c r="AL68" s="495">
        <f>IF(NFI_Expiration=1,IF($A68&lt;VLOOKUP(M$5,NFI,5,0),1,0)*Table_NFI[[#This Row],[Winter Blanket]],Table_NFI[[#This Row],[Winter Blanket]])</f>
        <v>0</v>
      </c>
      <c r="AM68" s="495">
        <f>IF(Table_NFI[[#This Row],[Winter Clothes Adult]]+Table_NFI[[#This Row],[Winter Clothes Children]]+Table_NFI[[#This Row],[Winter Items Other]]+Table_NFI[[#This Row],[Winter Blanket]]&gt;0,1,0)</f>
        <v>0</v>
      </c>
      <c r="AN68" s="497">
        <f>IF(NFI_Expiration=1,IF($A68&lt;VLOOKUP(V$5,NFI,5,0),1,0)*Table_NFI[[#This Row],[Jerry Can]],Table_NFI[Jerry Can])</f>
        <v>0</v>
      </c>
      <c r="AO68" s="497">
        <f>IF(NFI_Expiration=1,IF($A68&lt;VLOOKUP(V$5,NFI,5,0),1,0)*Table_NFI[[#This Row],[Shelter Tool kit]],Table_NFI[Shelter Tool kit])</f>
        <v>0</v>
      </c>
      <c r="AP68" s="497">
        <f>IF(NFI_Expiration=1,IF($A68&lt;VLOOKUP(V$5,NFI,5,0),1,0)*Table_NFI[[#This Row],[Tent]],Table_NFI[Tent])</f>
        <v>0</v>
      </c>
      <c r="AQ68" s="498" t="str">
        <f>IFERROR(VLOOKUP(Table_NFI[[#This Row],[Camp Name]],CL,2,0),"")</f>
        <v>MMR001CMP120</v>
      </c>
      <c r="AR68" s="835">
        <f ca="1">IF(Table_NFI[[#This Row],[Pcode]]="","",IF(OFFSET(CampList[Opening Date],MATCH(Table_NFI[[#This Row],[Pcode]],CampList[CP_Pcode],0)-1,0,1,1)&gt;=NFI_Monitor_Date,1,0))</f>
        <v>0</v>
      </c>
      <c r="AS68" s="498" t="str">
        <f>IFERROR(VLOOKUP(Table_NFI[[#This Row],[Camp Name]],CL,3,0),"")</f>
        <v>Open</v>
      </c>
      <c r="AT68" s="495" t="str">
        <f ca="1">IF(Table_NFI[[#This Row],[Pcode]]="","",OFFSET(CampList[Priority],MATCH(Table_NFI[[#This Row],[Pcode]],CampList[CP_Pcode],0)-1,0,1,1))</f>
        <v>P1</v>
      </c>
      <c r="AU68" s="499">
        <f>IFERROR(Table_NFI[[#This Row],[Kitchen Set]]/VLOOKUP(Table_NFI[[#This Row],[Camp Name]],CL,4,0),"")</f>
        <v>0</v>
      </c>
      <c r="AV68" s="493"/>
      <c r="AW68" s="503"/>
    </row>
    <row r="69" spans="1:49" s="464" customFormat="1" ht="14.45" customHeight="1" x14ac:dyDescent="0.25">
      <c r="A69" s="297">
        <f t="shared" si="0"/>
        <v>10.333333333333334</v>
      </c>
      <c r="B69" s="460">
        <v>42426</v>
      </c>
      <c r="C69" s="461" t="s">
        <v>905</v>
      </c>
      <c r="D69" s="461" t="s">
        <v>905</v>
      </c>
      <c r="E69" s="461" t="s">
        <v>380</v>
      </c>
      <c r="F69" s="290" t="s">
        <v>5</v>
      </c>
      <c r="G69" s="290" t="s">
        <v>6</v>
      </c>
      <c r="H69" s="291"/>
      <c r="I69" s="291"/>
      <c r="J69" s="291"/>
      <c r="K69" s="291"/>
      <c r="L69" s="292"/>
      <c r="M69" s="292"/>
      <c r="N69" s="292"/>
      <c r="O69" s="292"/>
      <c r="P69" s="294"/>
      <c r="Q69" s="294"/>
      <c r="R69" s="294"/>
      <c r="S69" s="294"/>
      <c r="T69" s="294"/>
      <c r="U69" s="294"/>
      <c r="V69" s="431"/>
      <c r="W69" s="294"/>
      <c r="X69" s="294"/>
      <c r="Y69" s="294">
        <f>IF(NFI_Expiration=1,IF($A69&lt;VLOOKUP(H$5,NFI,5,0),1,0)*Table_NFI[[#This Row],[Hygiene Kit]],Table_NFI[Hygiene Kit])</f>
        <v>0</v>
      </c>
      <c r="Z69" s="294">
        <f>IF(NFI_Expiration=1,IF($A69&lt;VLOOKUP(I$5,NFI,5,0),1,0)*Table_NFI[[#This Row],[NFI Core Kit]],Table_NFI[NFI Core Kit])</f>
        <v>0</v>
      </c>
      <c r="AA69" s="294">
        <f>IF(NFI_Expiration=1,IF($A69&lt;VLOOKUP(J$5,NFI,5,0),1,0)*Table_NFI[[#This Row],[Sanitary Kit]],Table_NFI[Sanitary Kit])</f>
        <v>0</v>
      </c>
      <c r="AB69" s="294">
        <f>IF(NFI_Expiration=1,IF($A69&lt;VLOOKUP(K$5,NFI,5,0),1,0)*Table_NFI[[#This Row],[Mosquito net]],Table_NFI[Mosquito net])</f>
        <v>0</v>
      </c>
      <c r="AC69" s="294">
        <f>IF(NFI_Expiration=1,IF($A69&lt;VLOOKUP(L$5,NFI,5,0),1,0)*Table_NFI[[#This Row],[Tarpaulin]],Table_NFI[[#This Row],[Tarpaulin]])</f>
        <v>0</v>
      </c>
      <c r="AD69" s="294">
        <f>IF(NFI_Expiration=1,IF($A69&lt;VLOOKUP(M$5,NFI,5,0),1,0)*Table_NFI[[#This Row],[Blanket]],Table_NFI[[#This Row],[Blanket]])</f>
        <v>0</v>
      </c>
      <c r="AE69" s="294">
        <f>IF(NFI_Expiration=1,IF($A69&lt;VLOOKUP(N$5,NFI,5,0),1,0)*Table_NFI[[#This Row],[Kitchen Set]],Table_NFI[Kitchen Set])</f>
        <v>0</v>
      </c>
      <c r="AF69" s="294">
        <f>IF(NFI_Expiration=1,IF($A69&lt;VLOOKUP(O$5,NFI,5,0),1,0)*Table_NFI[[#This Row],[Clothes Kit]],Table_NFI[Clothes Kit])</f>
        <v>0</v>
      </c>
      <c r="AG69" s="294">
        <f>IF(NFI_Expiration=1,IF($A69&lt;VLOOKUP(P$5,NFI,5,0),1,0)*Table_NFI[[#This Row],[Plastic Bucket]],Table_NFI[Plastic Bucket])</f>
        <v>0</v>
      </c>
      <c r="AH69" s="294">
        <f>IF(NFI_Expiration=1,IF($A69&lt;VLOOKUP(Q$5,NFI,5,0),1,0)*Table_NFI[[#This Row],[Plastic Mat]],Table_NFI[Plastic Mat])*IF(Table_NFI[[#This Row],[Distribution Date]]&gt;"2014-04-01",1,2.5)</f>
        <v>0</v>
      </c>
      <c r="AI69" s="294">
        <f>IF(NFI_Expiration=1,IF($A69&lt;VLOOKUP(R$5,NFI,5,0),1,0)*Table_NFI[[#This Row],[Winter Clothes Adult]],Table_NFI[Winter Clothes Adult])</f>
        <v>0</v>
      </c>
      <c r="AJ69" s="294">
        <f>IF(NFI_Expiration=1,IF($A69&lt;VLOOKUP(S$5,NFI,5,0),1,0)*Table_NFI[[#This Row],[Winter Clothes Children]],Table_NFI[Winter Clothes Children])</f>
        <v>0</v>
      </c>
      <c r="AK69" s="294">
        <f>IF(NFI_Expiration=1,IF($A69&lt;VLOOKUP(T$5,NFI,5,0),1,0)*Table_NFI[[#This Row],[Winter Items Other]],Table_NFI[Winter Items Other])</f>
        <v>0</v>
      </c>
      <c r="AL69" s="294">
        <f>IF(NFI_Expiration=1,IF($A69&lt;VLOOKUP(M$5,NFI,5,0),1,0)*Table_NFI[[#This Row],[Winter Blanket]],Table_NFI[[#This Row],[Winter Blanket]])</f>
        <v>0</v>
      </c>
      <c r="AM69" s="294">
        <f>IF(Table_NFI[[#This Row],[Winter Clothes Adult]]+Table_NFI[[#This Row],[Winter Clothes Children]]+Table_NFI[[#This Row],[Winter Items Other]]+Table_NFI[[#This Row],[Winter Blanket]]&gt;0,1,0)</f>
        <v>0</v>
      </c>
      <c r="AN69" s="331">
        <f>IF(NFI_Expiration=1,IF($A69&lt;VLOOKUP(V$5,NFI,5,0),1,0)*Table_NFI[[#This Row],[Jerry Can]],Table_NFI[Jerry Can])</f>
        <v>0</v>
      </c>
      <c r="AO69" s="331">
        <f>IF(NFI_Expiration=1,IF($A69&lt;VLOOKUP(V$5,NFI,5,0),1,0)*Table_NFI[[#This Row],[Shelter Tool kit]],Table_NFI[Shelter Tool kit])</f>
        <v>0</v>
      </c>
      <c r="AP69" s="331">
        <f>IF(NFI_Expiration=1,IF($A69&lt;VLOOKUP(V$5,NFI,5,0),1,0)*Table_NFI[[#This Row],[Tent]],Table_NFI[Tent])</f>
        <v>0</v>
      </c>
      <c r="AQ69" s="467" t="str">
        <f>IFERROR(VLOOKUP(Table_NFI[[#This Row],[Camp Name]],CL,2,0),"")</f>
        <v>MMR001CMP050</v>
      </c>
      <c r="AR69" s="835">
        <f ca="1">IF(Table_NFI[[#This Row],[Pcode]]="","",IF(OFFSET(CampList[Opening Date],MATCH(Table_NFI[[#This Row],[Pcode]],CampList[CP_Pcode],0)-1,0,1,1)&gt;=NFI_Monitor_Date,1,0))</f>
        <v>0</v>
      </c>
      <c r="AS69" s="467" t="str">
        <f>IFERROR(VLOOKUP(Table_NFI[[#This Row],[Camp Name]],CL,3,0),"")</f>
        <v>Open</v>
      </c>
      <c r="AT69" s="294" t="str">
        <f ca="1">IF(Table_NFI[[#This Row],[Pcode]]="","",OFFSET(CampList[Priority],MATCH(Table_NFI[[#This Row],[Pcode]],CampList[CP_Pcode],0)-1,0,1,1))</f>
        <v>P4</v>
      </c>
      <c r="AU69" s="293">
        <f>IFERROR(Table_NFI[[#This Row],[Kitchen Set]]/VLOOKUP(Table_NFI[[#This Row],[Camp Name]],CL,4,0),"")</f>
        <v>0</v>
      </c>
      <c r="AV69" s="461"/>
      <c r="AW69" s="463"/>
    </row>
    <row r="70" spans="1:49" s="98" customFormat="1" ht="14.45" customHeight="1" x14ac:dyDescent="0.25">
      <c r="A70" s="297">
        <f t="shared" ref="A70:A133" si="1">IF(ISBLANK(B70),"",(Report_Date-B70)/30)</f>
        <v>10.333333333333334</v>
      </c>
      <c r="B70" s="460">
        <v>42426</v>
      </c>
      <c r="C70" s="461" t="s">
        <v>905</v>
      </c>
      <c r="D70" s="461" t="s">
        <v>905</v>
      </c>
      <c r="E70" s="461" t="s">
        <v>380</v>
      </c>
      <c r="F70" s="461" t="s">
        <v>5</v>
      </c>
      <c r="G70" s="461" t="s">
        <v>24</v>
      </c>
      <c r="H70" s="291"/>
      <c r="I70" s="291"/>
      <c r="J70" s="292"/>
      <c r="K70" s="291"/>
      <c r="L70" s="292"/>
      <c r="M70" s="292"/>
      <c r="N70" s="292"/>
      <c r="O70" s="292"/>
      <c r="P70" s="294"/>
      <c r="Q70" s="294"/>
      <c r="R70" s="294"/>
      <c r="S70" s="294"/>
      <c r="T70" s="294"/>
      <c r="U70" s="294"/>
      <c r="V70" s="431"/>
      <c r="W70" s="294"/>
      <c r="X70" s="294"/>
      <c r="Y70" s="294">
        <f>IF(NFI_Expiration=1,IF($A70&lt;VLOOKUP(H$5,NFI,5,0),1,0)*Table_NFI[[#This Row],[Hygiene Kit]],Table_NFI[Hygiene Kit])</f>
        <v>0</v>
      </c>
      <c r="Z70" s="294">
        <f>IF(NFI_Expiration=1,IF($A70&lt;VLOOKUP(I$5,NFI,5,0),1,0)*Table_NFI[[#This Row],[NFI Core Kit]],Table_NFI[NFI Core Kit])</f>
        <v>0</v>
      </c>
      <c r="AA70" s="294">
        <f>IF(NFI_Expiration=1,IF($A70&lt;VLOOKUP(J$5,NFI,5,0),1,0)*Table_NFI[[#This Row],[Sanitary Kit]],Table_NFI[Sanitary Kit])</f>
        <v>0</v>
      </c>
      <c r="AB70" s="294">
        <f>IF(NFI_Expiration=1,IF($A70&lt;VLOOKUP(K$5,NFI,5,0),1,0)*Table_NFI[[#This Row],[Mosquito net]],Table_NFI[Mosquito net])</f>
        <v>0</v>
      </c>
      <c r="AC70" s="294">
        <f>IF(NFI_Expiration=1,IF($A70&lt;VLOOKUP(L$5,NFI,5,0),1,0)*Table_NFI[[#This Row],[Tarpaulin]],Table_NFI[[#This Row],[Tarpaulin]])</f>
        <v>0</v>
      </c>
      <c r="AD70" s="294">
        <f>IF(NFI_Expiration=1,IF($A70&lt;VLOOKUP(M$5,NFI,5,0),1,0)*Table_NFI[[#This Row],[Blanket]],Table_NFI[[#This Row],[Blanket]])</f>
        <v>0</v>
      </c>
      <c r="AE70" s="294">
        <f>IF(NFI_Expiration=1,IF($A70&lt;VLOOKUP(N$5,NFI,5,0),1,0)*Table_NFI[[#This Row],[Kitchen Set]],Table_NFI[Kitchen Set])</f>
        <v>0</v>
      </c>
      <c r="AF70" s="294">
        <f>IF(NFI_Expiration=1,IF($A70&lt;VLOOKUP(O$5,NFI,5,0),1,0)*Table_NFI[[#This Row],[Clothes Kit]],Table_NFI[Clothes Kit])</f>
        <v>0</v>
      </c>
      <c r="AG70" s="294">
        <f>IF(NFI_Expiration=1,IF($A70&lt;VLOOKUP(P$5,NFI,5,0),1,0)*Table_NFI[[#This Row],[Plastic Bucket]],Table_NFI[Plastic Bucket])</f>
        <v>0</v>
      </c>
      <c r="AH70" s="294">
        <f>IF(NFI_Expiration=1,IF($A70&lt;VLOOKUP(Q$5,NFI,5,0),1,0)*Table_NFI[[#This Row],[Plastic Mat]],Table_NFI[Plastic Mat])*IF(Table_NFI[[#This Row],[Distribution Date]]&gt;"2014-04-01",1,2.5)</f>
        <v>0</v>
      </c>
      <c r="AI70" s="294">
        <f>IF(NFI_Expiration=1,IF($A70&lt;VLOOKUP(R$5,NFI,5,0),1,0)*Table_NFI[[#This Row],[Winter Clothes Adult]],Table_NFI[Winter Clothes Adult])</f>
        <v>0</v>
      </c>
      <c r="AJ70" s="294">
        <f>IF(NFI_Expiration=1,IF($A70&lt;VLOOKUP(S$5,NFI,5,0),1,0)*Table_NFI[[#This Row],[Winter Clothes Children]],Table_NFI[Winter Clothes Children])</f>
        <v>0</v>
      </c>
      <c r="AK70" s="294">
        <f>IF(NFI_Expiration=1,IF($A70&lt;VLOOKUP(T$5,NFI,5,0),1,0)*Table_NFI[[#This Row],[Winter Items Other]],Table_NFI[Winter Items Other])</f>
        <v>0</v>
      </c>
      <c r="AL70" s="294">
        <f>IF(NFI_Expiration=1,IF($A70&lt;VLOOKUP(M$5,NFI,5,0),1,0)*Table_NFI[[#This Row],[Winter Blanket]],Table_NFI[[#This Row],[Winter Blanket]])</f>
        <v>0</v>
      </c>
      <c r="AM70" s="294">
        <f>IF(Table_NFI[[#This Row],[Winter Clothes Adult]]+Table_NFI[[#This Row],[Winter Clothes Children]]+Table_NFI[[#This Row],[Winter Items Other]]+Table_NFI[[#This Row],[Winter Blanket]]&gt;0,1,0)</f>
        <v>0</v>
      </c>
      <c r="AN70" s="331">
        <f>IF(NFI_Expiration=1,IF($A70&lt;VLOOKUP(V$5,NFI,5,0),1,0)*Table_NFI[[#This Row],[Jerry Can]],Table_NFI[Jerry Can])</f>
        <v>0</v>
      </c>
      <c r="AO70" s="331">
        <f>IF(NFI_Expiration=1,IF($A70&lt;VLOOKUP(V$5,NFI,5,0),1,0)*Table_NFI[[#This Row],[Shelter Tool kit]],Table_NFI[Shelter Tool kit])</f>
        <v>0</v>
      </c>
      <c r="AP70" s="331">
        <f>IF(NFI_Expiration=1,IF($A70&lt;VLOOKUP(V$5,NFI,5,0),1,0)*Table_NFI[[#This Row],[Tent]],Table_NFI[Tent])</f>
        <v>0</v>
      </c>
      <c r="AQ70" s="467" t="str">
        <f>IFERROR(VLOOKUP(Table_NFI[[#This Row],[Camp Name]],CL,2,0),"")</f>
        <v>MMR001CMP055</v>
      </c>
      <c r="AR70" s="835">
        <f ca="1">IF(Table_NFI[[#This Row],[Pcode]]="","",IF(OFFSET(CampList[Opening Date],MATCH(Table_NFI[[#This Row],[Pcode]],CampList[CP_Pcode],0)-1,0,1,1)&gt;=NFI_Monitor_Date,1,0))</f>
        <v>0</v>
      </c>
      <c r="AS70" s="467" t="str">
        <f>IFERROR(VLOOKUP(Table_NFI[[#This Row],[Camp Name]],CL,3,0),"")</f>
        <v>Open</v>
      </c>
      <c r="AT70" s="294" t="str">
        <f ca="1">IF(Table_NFI[[#This Row],[Pcode]]="","",OFFSET(CampList[Priority],MATCH(Table_NFI[[#This Row],[Pcode]],CampList[CP_Pcode],0)-1,0,1,1))</f>
        <v>P4</v>
      </c>
      <c r="AU70" s="293">
        <f>IFERROR(Table_NFI[[#This Row],[Kitchen Set]]/VLOOKUP(Table_NFI[[#This Row],[Camp Name]],CL,4,0),"")</f>
        <v>0</v>
      </c>
      <c r="AV70" s="461"/>
      <c r="AW70" s="463"/>
    </row>
    <row r="71" spans="1:49" s="464" customFormat="1" ht="14.45" customHeight="1" x14ac:dyDescent="0.25">
      <c r="A71" s="297">
        <f t="shared" si="1"/>
        <v>10.366666666666667</v>
      </c>
      <c r="B71" s="460">
        <v>42425</v>
      </c>
      <c r="C71" s="461" t="s">
        <v>905</v>
      </c>
      <c r="D71" s="461" t="s">
        <v>905</v>
      </c>
      <c r="E71" s="461" t="s">
        <v>380</v>
      </c>
      <c r="F71" s="461" t="s">
        <v>5</v>
      </c>
      <c r="G71" s="461" t="s">
        <v>366</v>
      </c>
      <c r="H71" s="291"/>
      <c r="I71" s="291"/>
      <c r="J71" s="291"/>
      <c r="K71" s="291"/>
      <c r="L71" s="292"/>
      <c r="M71" s="292"/>
      <c r="N71" s="292"/>
      <c r="O71" s="292"/>
      <c r="P71" s="294"/>
      <c r="Q71" s="294"/>
      <c r="R71" s="294"/>
      <c r="S71" s="294"/>
      <c r="T71" s="294"/>
      <c r="U71" s="294"/>
      <c r="V71" s="431"/>
      <c r="W71" s="294"/>
      <c r="X71" s="294"/>
      <c r="Y71" s="294">
        <f>IF(NFI_Expiration=1,IF($A71&lt;VLOOKUP(H$5,NFI,5,0),1,0)*Table_NFI[[#This Row],[Hygiene Kit]],Table_NFI[Hygiene Kit])</f>
        <v>0</v>
      </c>
      <c r="Z71" s="294">
        <f>IF(NFI_Expiration=1,IF($A71&lt;VLOOKUP(I$5,NFI,5,0),1,0)*Table_NFI[[#This Row],[NFI Core Kit]],Table_NFI[NFI Core Kit])</f>
        <v>0</v>
      </c>
      <c r="AA71" s="294">
        <f>IF(NFI_Expiration=1,IF($A71&lt;VLOOKUP(J$5,NFI,5,0),1,0)*Table_NFI[[#This Row],[Sanitary Kit]],Table_NFI[Sanitary Kit])</f>
        <v>0</v>
      </c>
      <c r="AB71" s="294">
        <f>IF(NFI_Expiration=1,IF($A71&lt;VLOOKUP(K$5,NFI,5,0),1,0)*Table_NFI[[#This Row],[Mosquito net]],Table_NFI[Mosquito net])</f>
        <v>0</v>
      </c>
      <c r="AC71" s="294">
        <f>IF(NFI_Expiration=1,IF($A71&lt;VLOOKUP(L$5,NFI,5,0),1,0)*Table_NFI[[#This Row],[Tarpaulin]],Table_NFI[[#This Row],[Tarpaulin]])</f>
        <v>0</v>
      </c>
      <c r="AD71" s="294">
        <f>IF(NFI_Expiration=1,IF($A71&lt;VLOOKUP(M$5,NFI,5,0),1,0)*Table_NFI[[#This Row],[Blanket]],Table_NFI[[#This Row],[Blanket]])</f>
        <v>0</v>
      </c>
      <c r="AE71" s="294">
        <f>IF(NFI_Expiration=1,IF($A71&lt;VLOOKUP(N$5,NFI,5,0),1,0)*Table_NFI[[#This Row],[Kitchen Set]],Table_NFI[Kitchen Set])</f>
        <v>0</v>
      </c>
      <c r="AF71" s="294">
        <f>IF(NFI_Expiration=1,IF($A71&lt;VLOOKUP(O$5,NFI,5,0),1,0)*Table_NFI[[#This Row],[Clothes Kit]],Table_NFI[Clothes Kit])</f>
        <v>0</v>
      </c>
      <c r="AG71" s="294">
        <f>IF(NFI_Expiration=1,IF($A71&lt;VLOOKUP(P$5,NFI,5,0),1,0)*Table_NFI[[#This Row],[Plastic Bucket]],Table_NFI[Plastic Bucket])</f>
        <v>0</v>
      </c>
      <c r="AH71" s="294">
        <f>IF(NFI_Expiration=1,IF($A71&lt;VLOOKUP(Q$5,NFI,5,0),1,0)*Table_NFI[[#This Row],[Plastic Mat]],Table_NFI[Plastic Mat])*IF(Table_NFI[[#This Row],[Distribution Date]]&gt;"2014-04-01",1,2.5)</f>
        <v>0</v>
      </c>
      <c r="AI71" s="294">
        <f>IF(NFI_Expiration=1,IF($A71&lt;VLOOKUP(R$5,NFI,5,0),1,0)*Table_NFI[[#This Row],[Winter Clothes Adult]],Table_NFI[Winter Clothes Adult])</f>
        <v>0</v>
      </c>
      <c r="AJ71" s="294">
        <f>IF(NFI_Expiration=1,IF($A71&lt;VLOOKUP(S$5,NFI,5,0),1,0)*Table_NFI[[#This Row],[Winter Clothes Children]],Table_NFI[Winter Clothes Children])</f>
        <v>0</v>
      </c>
      <c r="AK71" s="294">
        <f>IF(NFI_Expiration=1,IF($A71&lt;VLOOKUP(T$5,NFI,5,0),1,0)*Table_NFI[[#This Row],[Winter Items Other]],Table_NFI[Winter Items Other])</f>
        <v>0</v>
      </c>
      <c r="AL71" s="294">
        <f>IF(NFI_Expiration=1,IF($A71&lt;VLOOKUP(M$5,NFI,5,0),1,0)*Table_NFI[[#This Row],[Winter Blanket]],Table_NFI[[#This Row],[Winter Blanket]])</f>
        <v>0</v>
      </c>
      <c r="AM71" s="294">
        <f>IF(Table_NFI[[#This Row],[Winter Clothes Adult]]+Table_NFI[[#This Row],[Winter Clothes Children]]+Table_NFI[[#This Row],[Winter Items Other]]+Table_NFI[[#This Row],[Winter Blanket]]&gt;0,1,0)</f>
        <v>0</v>
      </c>
      <c r="AN71" s="331">
        <f>IF(NFI_Expiration=1,IF($A71&lt;VLOOKUP(V$5,NFI,5,0),1,0)*Table_NFI[[#This Row],[Jerry Can]],Table_NFI[Jerry Can])</f>
        <v>0</v>
      </c>
      <c r="AO71" s="331">
        <f>IF(NFI_Expiration=1,IF($A71&lt;VLOOKUP(V$5,NFI,5,0),1,0)*Table_NFI[[#This Row],[Shelter Tool kit]],Table_NFI[Shelter Tool kit])</f>
        <v>0</v>
      </c>
      <c r="AP71" s="331">
        <f>IF(NFI_Expiration=1,IF($A71&lt;VLOOKUP(V$5,NFI,5,0),1,0)*Table_NFI[[#This Row],[Tent]],Table_NFI[Tent])</f>
        <v>0</v>
      </c>
      <c r="AQ71" s="467" t="str">
        <f>IFERROR(VLOOKUP(Table_NFI[[#This Row],[Camp Name]],CL,2,0),"")</f>
        <v>MMR001CMP193</v>
      </c>
      <c r="AR71" s="835">
        <f ca="1">IF(Table_NFI[[#This Row],[Pcode]]="","",IF(OFFSET(CampList[Opening Date],MATCH(Table_NFI[[#This Row],[Pcode]],CampList[CP_Pcode],0)-1,0,1,1)&gt;=NFI_Monitor_Date,1,0))</f>
        <v>0</v>
      </c>
      <c r="AS71" s="467" t="str">
        <f>IFERROR(VLOOKUP(Table_NFI[[#This Row],[Camp Name]],CL,3,0),"")</f>
        <v>Open</v>
      </c>
      <c r="AT71" s="294" t="str">
        <f ca="1">IF(Table_NFI[[#This Row],[Pcode]]="","",OFFSET(CampList[Priority],MATCH(Table_NFI[[#This Row],[Pcode]],CampList[CP_Pcode],0)-1,0,1,1))</f>
        <v>P4</v>
      </c>
      <c r="AU71" s="293">
        <f>IFERROR(Table_NFI[[#This Row],[Kitchen Set]]/VLOOKUP(Table_NFI[[#This Row],[Camp Name]],CL,4,0),"")</f>
        <v>0</v>
      </c>
      <c r="AV71" s="461"/>
      <c r="AW71" s="463"/>
    </row>
    <row r="72" spans="1:49" s="464" customFormat="1" ht="15" customHeight="1" x14ac:dyDescent="0.2">
      <c r="A72" s="297">
        <f t="shared" si="1"/>
        <v>10.366666666666667</v>
      </c>
      <c r="B72" s="460">
        <v>42425</v>
      </c>
      <c r="C72" s="461" t="s">
        <v>905</v>
      </c>
      <c r="D72" s="462" t="s">
        <v>905</v>
      </c>
      <c r="E72" s="461" t="s">
        <v>380</v>
      </c>
      <c r="F72" s="290" t="s">
        <v>5</v>
      </c>
      <c r="G72" s="290" t="s">
        <v>22</v>
      </c>
      <c r="H72" s="291"/>
      <c r="I72" s="291"/>
      <c r="J72" s="291"/>
      <c r="K72" s="291"/>
      <c r="L72" s="292"/>
      <c r="M72" s="292"/>
      <c r="N72" s="292"/>
      <c r="O72" s="292"/>
      <c r="P72" s="294"/>
      <c r="Q72" s="294"/>
      <c r="R72" s="294"/>
      <c r="S72" s="294"/>
      <c r="T72" s="294"/>
      <c r="U72" s="294"/>
      <c r="V72" s="431"/>
      <c r="W72" s="576"/>
      <c r="X72" s="294"/>
      <c r="Y72" s="294">
        <f>IF(NFI_Expiration=1,IF($A72&lt;VLOOKUP(H$5,NFI,5,0),1,0)*Table_NFI[[#This Row],[Hygiene Kit]],Table_NFI[Hygiene Kit])</f>
        <v>0</v>
      </c>
      <c r="Z72" s="294">
        <f>IF(NFI_Expiration=1,IF($A72&lt;VLOOKUP(I$5,NFI,5,0),1,0)*Table_NFI[[#This Row],[NFI Core Kit]],Table_NFI[NFI Core Kit])</f>
        <v>0</v>
      </c>
      <c r="AA72" s="294">
        <f>IF(NFI_Expiration=1,IF($A72&lt;VLOOKUP(J$5,NFI,5,0),1,0)*Table_NFI[[#This Row],[Sanitary Kit]],Table_NFI[Sanitary Kit])</f>
        <v>0</v>
      </c>
      <c r="AB72" s="294">
        <f>IF(NFI_Expiration=1,IF($A72&lt;VLOOKUP(K$5,NFI,5,0),1,0)*Table_NFI[[#This Row],[Mosquito net]],Table_NFI[Mosquito net])</f>
        <v>0</v>
      </c>
      <c r="AC72" s="294">
        <f>IF(NFI_Expiration=1,IF($A72&lt;VLOOKUP(L$5,NFI,5,0),1,0)*Table_NFI[[#This Row],[Tarpaulin]],Table_NFI[[#This Row],[Tarpaulin]])</f>
        <v>0</v>
      </c>
      <c r="AD72" s="294">
        <f>IF(NFI_Expiration=1,IF($A72&lt;VLOOKUP(M$5,NFI,5,0),1,0)*Table_NFI[[#This Row],[Blanket]],Table_NFI[[#This Row],[Blanket]])</f>
        <v>0</v>
      </c>
      <c r="AE72" s="294">
        <f>IF(NFI_Expiration=1,IF($A72&lt;VLOOKUP(N$5,NFI,5,0),1,0)*Table_NFI[[#This Row],[Kitchen Set]],Table_NFI[Kitchen Set])</f>
        <v>0</v>
      </c>
      <c r="AF72" s="294">
        <f>IF(NFI_Expiration=1,IF($A72&lt;VLOOKUP(O$5,NFI,5,0),1,0)*Table_NFI[[#This Row],[Clothes Kit]],Table_NFI[Clothes Kit])</f>
        <v>0</v>
      </c>
      <c r="AG72" s="294">
        <f>IF(NFI_Expiration=1,IF($A72&lt;VLOOKUP(P$5,NFI,5,0),1,0)*Table_NFI[[#This Row],[Plastic Bucket]],Table_NFI[Plastic Bucket])</f>
        <v>0</v>
      </c>
      <c r="AH72" s="294">
        <f>IF(NFI_Expiration=1,IF($A72&lt;VLOOKUP(Q$5,NFI,5,0),1,0)*Table_NFI[[#This Row],[Plastic Mat]],Table_NFI[Plastic Mat])*IF(Table_NFI[[#This Row],[Distribution Date]]&gt;"2014-04-01",1,2.5)</f>
        <v>0</v>
      </c>
      <c r="AI72" s="294">
        <f>IF(NFI_Expiration=1,IF($A72&lt;VLOOKUP(R$5,NFI,5,0),1,0)*Table_NFI[[#This Row],[Winter Clothes Adult]],Table_NFI[Winter Clothes Adult])</f>
        <v>0</v>
      </c>
      <c r="AJ72" s="294">
        <f>IF(NFI_Expiration=1,IF($A72&lt;VLOOKUP(S$5,NFI,5,0),1,0)*Table_NFI[[#This Row],[Winter Clothes Children]],Table_NFI[Winter Clothes Children])</f>
        <v>0</v>
      </c>
      <c r="AK72" s="294">
        <f>IF(NFI_Expiration=1,IF($A72&lt;VLOOKUP(T$5,NFI,5,0),1,0)*Table_NFI[[#This Row],[Winter Items Other]],Table_NFI[Winter Items Other])</f>
        <v>0</v>
      </c>
      <c r="AL72" s="294">
        <f>IF(NFI_Expiration=1,IF($A72&lt;VLOOKUP(M$5,NFI,5,0),1,0)*Table_NFI[[#This Row],[Winter Blanket]],Table_NFI[[#This Row],[Winter Blanket]])</f>
        <v>0</v>
      </c>
      <c r="AM72" s="294">
        <f>IF(Table_NFI[[#This Row],[Winter Clothes Adult]]+Table_NFI[[#This Row],[Winter Clothes Children]]+Table_NFI[[#This Row],[Winter Items Other]]+Table_NFI[[#This Row],[Winter Blanket]]&gt;0,1,0)</f>
        <v>0</v>
      </c>
      <c r="AN72" s="331">
        <f>IF(NFI_Expiration=1,IF($A72&lt;VLOOKUP(V$5,NFI,5,0),1,0)*Table_NFI[[#This Row],[Jerry Can]],Table_NFI[Jerry Can])</f>
        <v>0</v>
      </c>
      <c r="AO72" s="331">
        <f>IF(NFI_Expiration=1,IF($A72&lt;VLOOKUP(V$5,NFI,5,0),1,0)*Table_NFI[[#This Row],[Shelter Tool kit]],Table_NFI[Shelter Tool kit])</f>
        <v>0</v>
      </c>
      <c r="AP72" s="331">
        <f>IF(NFI_Expiration=1,IF($A72&lt;VLOOKUP(V$5,NFI,5,0),1,0)*Table_NFI[[#This Row],[Tent]],Table_NFI[Tent])</f>
        <v>0</v>
      </c>
      <c r="AQ72" s="467" t="str">
        <f>IFERROR(VLOOKUP(Table_NFI[[#This Row],[Camp Name]],CL,2,0),"")</f>
        <v>MMR001CMP047</v>
      </c>
      <c r="AR72" s="835">
        <f ca="1">IF(Table_NFI[[#This Row],[Pcode]]="","",IF(OFFSET(CampList[Opening Date],MATCH(Table_NFI[[#This Row],[Pcode]],CampList[CP_Pcode],0)-1,0,1,1)&gt;=NFI_Monitor_Date,1,0))</f>
        <v>0</v>
      </c>
      <c r="AS72" s="467" t="str">
        <f>IFERROR(VLOOKUP(Table_NFI[[#This Row],[Camp Name]],CL,3,0),"")</f>
        <v>Open</v>
      </c>
      <c r="AT72" s="294" t="str">
        <f ca="1">IF(Table_NFI[[#This Row],[Pcode]]="","",OFFSET(CampList[Priority],MATCH(Table_NFI[[#This Row],[Pcode]],CampList[CP_Pcode],0)-1,0,1,1))</f>
        <v>P4</v>
      </c>
      <c r="AU72" s="293">
        <f>IFERROR(Table_NFI[[#This Row],[Kitchen Set]]/VLOOKUP(Table_NFI[[#This Row],[Camp Name]],CL,4,0),"")</f>
        <v>0</v>
      </c>
      <c r="AV72" s="461"/>
      <c r="AW72" s="463"/>
    </row>
    <row r="73" spans="1:49" s="464" customFormat="1" ht="15" customHeight="1" x14ac:dyDescent="0.25">
      <c r="A73" s="297">
        <f t="shared" si="1"/>
        <v>10.4</v>
      </c>
      <c r="B73" s="460">
        <v>42424</v>
      </c>
      <c r="C73" s="461" t="s">
        <v>905</v>
      </c>
      <c r="D73" s="461" t="s">
        <v>460</v>
      </c>
      <c r="E73" s="461" t="s">
        <v>380</v>
      </c>
      <c r="F73" s="290" t="s">
        <v>185</v>
      </c>
      <c r="G73" s="290" t="s">
        <v>196</v>
      </c>
      <c r="H73" s="291"/>
      <c r="I73" s="291"/>
      <c r="J73" s="292"/>
      <c r="K73" s="291"/>
      <c r="L73" s="292"/>
      <c r="M73" s="292"/>
      <c r="N73" s="292"/>
      <c r="O73" s="292"/>
      <c r="P73" s="294"/>
      <c r="Q73" s="294"/>
      <c r="R73" s="294"/>
      <c r="S73" s="294"/>
      <c r="T73" s="294"/>
      <c r="U73" s="294"/>
      <c r="V73" s="431"/>
      <c r="W73" s="294"/>
      <c r="X73" s="294"/>
      <c r="Y73" s="294">
        <f>IF(NFI_Expiration=1,IF($A73&lt;VLOOKUP(H$5,NFI,5,0),1,0)*Table_NFI[[#This Row],[Hygiene Kit]],Table_NFI[Hygiene Kit])</f>
        <v>0</v>
      </c>
      <c r="Z73" s="294">
        <f>IF(NFI_Expiration=1,IF($A73&lt;VLOOKUP(I$5,NFI,5,0),1,0)*Table_NFI[[#This Row],[NFI Core Kit]],Table_NFI[NFI Core Kit])</f>
        <v>0</v>
      </c>
      <c r="AA73" s="294">
        <f>IF(NFI_Expiration=1,IF($A73&lt;VLOOKUP(J$5,NFI,5,0),1,0)*Table_NFI[[#This Row],[Sanitary Kit]],Table_NFI[Sanitary Kit])</f>
        <v>0</v>
      </c>
      <c r="AB73" s="294">
        <f>IF(NFI_Expiration=1,IF($A73&lt;VLOOKUP(K$5,NFI,5,0),1,0)*Table_NFI[[#This Row],[Mosquito net]],Table_NFI[Mosquito net])</f>
        <v>0</v>
      </c>
      <c r="AC73" s="294">
        <f>IF(NFI_Expiration=1,IF($A73&lt;VLOOKUP(L$5,NFI,5,0),1,0)*Table_NFI[[#This Row],[Tarpaulin]],Table_NFI[[#This Row],[Tarpaulin]])</f>
        <v>0</v>
      </c>
      <c r="AD73" s="294">
        <f>IF(NFI_Expiration=1,IF($A73&lt;VLOOKUP(M$5,NFI,5,0),1,0)*Table_NFI[[#This Row],[Blanket]],Table_NFI[[#This Row],[Blanket]])</f>
        <v>0</v>
      </c>
      <c r="AE73" s="294">
        <f>IF(NFI_Expiration=1,IF($A73&lt;VLOOKUP(N$5,NFI,5,0),1,0)*Table_NFI[[#This Row],[Kitchen Set]],Table_NFI[Kitchen Set])</f>
        <v>0</v>
      </c>
      <c r="AF73" s="294">
        <f>IF(NFI_Expiration=1,IF($A73&lt;VLOOKUP(O$5,NFI,5,0),1,0)*Table_NFI[[#This Row],[Clothes Kit]],Table_NFI[Clothes Kit])</f>
        <v>0</v>
      </c>
      <c r="AG73" s="294">
        <f>IF(NFI_Expiration=1,IF($A73&lt;VLOOKUP(P$5,NFI,5,0),1,0)*Table_NFI[[#This Row],[Plastic Bucket]],Table_NFI[Plastic Bucket])</f>
        <v>0</v>
      </c>
      <c r="AH73" s="294">
        <f>IF(NFI_Expiration=1,IF($A73&lt;VLOOKUP(Q$5,NFI,5,0),1,0)*Table_NFI[[#This Row],[Plastic Mat]],Table_NFI[Plastic Mat])*IF(Table_NFI[[#This Row],[Distribution Date]]&gt;"2014-04-01",1,2.5)</f>
        <v>0</v>
      </c>
      <c r="AI73" s="294">
        <f>IF(NFI_Expiration=1,IF($A73&lt;VLOOKUP(R$5,NFI,5,0),1,0)*Table_NFI[[#This Row],[Winter Clothes Adult]],Table_NFI[Winter Clothes Adult])</f>
        <v>0</v>
      </c>
      <c r="AJ73" s="294">
        <f>IF(NFI_Expiration=1,IF($A73&lt;VLOOKUP(S$5,NFI,5,0),1,0)*Table_NFI[[#This Row],[Winter Clothes Children]],Table_NFI[Winter Clothes Children])</f>
        <v>0</v>
      </c>
      <c r="AK73" s="294">
        <f>IF(NFI_Expiration=1,IF($A73&lt;VLOOKUP(T$5,NFI,5,0),1,0)*Table_NFI[[#This Row],[Winter Items Other]],Table_NFI[Winter Items Other])</f>
        <v>0</v>
      </c>
      <c r="AL73" s="294">
        <f>IF(NFI_Expiration=1,IF($A73&lt;VLOOKUP(M$5,NFI,5,0),1,0)*Table_NFI[[#This Row],[Winter Blanket]],Table_NFI[[#This Row],[Winter Blanket]])</f>
        <v>0</v>
      </c>
      <c r="AM73" s="294">
        <f>IF(Table_NFI[[#This Row],[Winter Clothes Adult]]+Table_NFI[[#This Row],[Winter Clothes Children]]+Table_NFI[[#This Row],[Winter Items Other]]+Table_NFI[[#This Row],[Winter Blanket]]&gt;0,1,0)</f>
        <v>0</v>
      </c>
      <c r="AN73" s="331">
        <f>IF(NFI_Expiration=1,IF($A73&lt;VLOOKUP(V$5,NFI,5,0),1,0)*Table_NFI[[#This Row],[Jerry Can]],Table_NFI[Jerry Can])</f>
        <v>0</v>
      </c>
      <c r="AO73" s="331">
        <f>IF(NFI_Expiration=1,IF($A73&lt;VLOOKUP(V$5,NFI,5,0),1,0)*Table_NFI[[#This Row],[Shelter Tool kit]],Table_NFI[Shelter Tool kit])</f>
        <v>0</v>
      </c>
      <c r="AP73" s="331">
        <f>IF(NFI_Expiration=1,IF($A73&lt;VLOOKUP(V$5,NFI,5,0),1,0)*Table_NFI[[#This Row],[Tent]],Table_NFI[Tent])</f>
        <v>0</v>
      </c>
      <c r="AQ73" s="467" t="str">
        <f>IFERROR(VLOOKUP(Table_NFI[[#This Row],[Camp Name]],CL,2,0),"")</f>
        <v>MMR001CMP121</v>
      </c>
      <c r="AR73" s="835">
        <f ca="1">IF(Table_NFI[[#This Row],[Pcode]]="","",IF(OFFSET(CampList[Opening Date],MATCH(Table_NFI[[#This Row],[Pcode]],CampList[CP_Pcode],0)-1,0,1,1)&gt;=NFI_Monitor_Date,1,0))</f>
        <v>0</v>
      </c>
      <c r="AS73" s="467" t="str">
        <f>IFERROR(VLOOKUP(Table_NFI[[#This Row],[Camp Name]],CL,3,0),"")</f>
        <v>Open</v>
      </c>
      <c r="AT73" s="294" t="str">
        <f ca="1">IF(Table_NFI[[#This Row],[Pcode]]="","",OFFSET(CampList[Priority],MATCH(Table_NFI[[#This Row],[Pcode]],CampList[CP_Pcode],0)-1,0,1,1))</f>
        <v>P2</v>
      </c>
      <c r="AU73" s="293">
        <f>IFERROR(Table_NFI[[#This Row],[Kitchen Set]]/VLOOKUP(Table_NFI[[#This Row],[Camp Name]],CL,4,0),"")</f>
        <v>0</v>
      </c>
      <c r="AV73" s="461"/>
      <c r="AW73" s="463"/>
    </row>
    <row r="74" spans="1:49" s="98" customFormat="1" ht="14.45" customHeight="1" x14ac:dyDescent="0.2">
      <c r="A74" s="297">
        <f t="shared" si="1"/>
        <v>10.433333333333334</v>
      </c>
      <c r="B74" s="460">
        <v>42423</v>
      </c>
      <c r="C74" s="461" t="s">
        <v>905</v>
      </c>
      <c r="D74" s="461" t="s">
        <v>460</v>
      </c>
      <c r="E74" s="461" t="s">
        <v>380</v>
      </c>
      <c r="F74" s="461" t="s">
        <v>185</v>
      </c>
      <c r="G74" s="290" t="s">
        <v>196</v>
      </c>
      <c r="H74" s="291"/>
      <c r="I74" s="291"/>
      <c r="J74" s="575">
        <v>1807</v>
      </c>
      <c r="K74" s="291"/>
      <c r="L74" s="292"/>
      <c r="M74" s="292"/>
      <c r="N74" s="292"/>
      <c r="O74" s="292"/>
      <c r="P74" s="294"/>
      <c r="Q74" s="294"/>
      <c r="R74" s="294"/>
      <c r="S74" s="294"/>
      <c r="T74" s="294"/>
      <c r="U74" s="294"/>
      <c r="V74" s="431"/>
      <c r="W74" s="294"/>
      <c r="X74" s="294"/>
      <c r="Y74" s="294">
        <f>IF(NFI_Expiration=1,IF($A74&lt;VLOOKUP(H$5,NFI,5,0),1,0)*Table_NFI[[#This Row],[Hygiene Kit]],Table_NFI[Hygiene Kit])</f>
        <v>0</v>
      </c>
      <c r="Z74" s="294">
        <f>IF(NFI_Expiration=1,IF($A74&lt;VLOOKUP(I$5,NFI,5,0),1,0)*Table_NFI[[#This Row],[NFI Core Kit]],Table_NFI[NFI Core Kit])</f>
        <v>0</v>
      </c>
      <c r="AA74" s="294">
        <f>IF(NFI_Expiration=1,IF($A74&lt;VLOOKUP(J$5,NFI,5,0),1,0)*Table_NFI[[#This Row],[Sanitary Kit]],Table_NFI[Sanitary Kit])</f>
        <v>1807</v>
      </c>
      <c r="AB74" s="294">
        <f>IF(NFI_Expiration=1,IF($A74&lt;VLOOKUP(K$5,NFI,5,0),1,0)*Table_NFI[[#This Row],[Mosquito net]],Table_NFI[Mosquito net])</f>
        <v>0</v>
      </c>
      <c r="AC74" s="294">
        <f>IF(NFI_Expiration=1,IF($A74&lt;VLOOKUP(L$5,NFI,5,0),1,0)*Table_NFI[[#This Row],[Tarpaulin]],Table_NFI[[#This Row],[Tarpaulin]])</f>
        <v>0</v>
      </c>
      <c r="AD74" s="294">
        <f>IF(NFI_Expiration=1,IF($A74&lt;VLOOKUP(M$5,NFI,5,0),1,0)*Table_NFI[[#This Row],[Blanket]],Table_NFI[[#This Row],[Blanket]])</f>
        <v>0</v>
      </c>
      <c r="AE74" s="294">
        <f>IF(NFI_Expiration=1,IF($A74&lt;VLOOKUP(N$5,NFI,5,0),1,0)*Table_NFI[[#This Row],[Kitchen Set]],Table_NFI[Kitchen Set])</f>
        <v>0</v>
      </c>
      <c r="AF74" s="294">
        <f>IF(NFI_Expiration=1,IF($A74&lt;VLOOKUP(O$5,NFI,5,0),1,0)*Table_NFI[[#This Row],[Clothes Kit]],Table_NFI[Clothes Kit])</f>
        <v>0</v>
      </c>
      <c r="AG74" s="294">
        <f>IF(NFI_Expiration=1,IF($A74&lt;VLOOKUP(P$5,NFI,5,0),1,0)*Table_NFI[[#This Row],[Plastic Bucket]],Table_NFI[Plastic Bucket])</f>
        <v>0</v>
      </c>
      <c r="AH74" s="294">
        <f>IF(NFI_Expiration=1,IF($A74&lt;VLOOKUP(Q$5,NFI,5,0),1,0)*Table_NFI[[#This Row],[Plastic Mat]],Table_NFI[Plastic Mat])*IF(Table_NFI[[#This Row],[Distribution Date]]&gt;"2014-04-01",1,2.5)</f>
        <v>0</v>
      </c>
      <c r="AI74" s="294">
        <f>IF(NFI_Expiration=1,IF($A74&lt;VLOOKUP(R$5,NFI,5,0),1,0)*Table_NFI[[#This Row],[Winter Clothes Adult]],Table_NFI[Winter Clothes Adult])</f>
        <v>0</v>
      </c>
      <c r="AJ74" s="294">
        <f>IF(NFI_Expiration=1,IF($A74&lt;VLOOKUP(S$5,NFI,5,0),1,0)*Table_NFI[[#This Row],[Winter Clothes Children]],Table_NFI[Winter Clothes Children])</f>
        <v>0</v>
      </c>
      <c r="AK74" s="294">
        <f>IF(NFI_Expiration=1,IF($A74&lt;VLOOKUP(T$5,NFI,5,0),1,0)*Table_NFI[[#This Row],[Winter Items Other]],Table_NFI[Winter Items Other])</f>
        <v>0</v>
      </c>
      <c r="AL74" s="294">
        <f>IF(NFI_Expiration=1,IF($A74&lt;VLOOKUP(M$5,NFI,5,0),1,0)*Table_NFI[[#This Row],[Winter Blanket]],Table_NFI[[#This Row],[Winter Blanket]])</f>
        <v>0</v>
      </c>
      <c r="AM74" s="294">
        <f>IF(Table_NFI[[#This Row],[Winter Clothes Adult]]+Table_NFI[[#This Row],[Winter Clothes Children]]+Table_NFI[[#This Row],[Winter Items Other]]+Table_NFI[[#This Row],[Winter Blanket]]&gt;0,1,0)</f>
        <v>0</v>
      </c>
      <c r="AN74" s="331">
        <f>IF(NFI_Expiration=1,IF($A74&lt;VLOOKUP(V$5,NFI,5,0),1,0)*Table_NFI[[#This Row],[Jerry Can]],Table_NFI[Jerry Can])</f>
        <v>0</v>
      </c>
      <c r="AO74" s="331">
        <f>IF(NFI_Expiration=1,IF($A74&lt;VLOOKUP(V$5,NFI,5,0),1,0)*Table_NFI[[#This Row],[Shelter Tool kit]],Table_NFI[Shelter Tool kit])</f>
        <v>0</v>
      </c>
      <c r="AP74" s="331">
        <f>IF(NFI_Expiration=1,IF($A74&lt;VLOOKUP(V$5,NFI,5,0),1,0)*Table_NFI[[#This Row],[Tent]],Table_NFI[Tent])</f>
        <v>0</v>
      </c>
      <c r="AQ74" s="467" t="str">
        <f>IFERROR(VLOOKUP(Table_NFI[[#This Row],[Camp Name]],CL,2,0),"")</f>
        <v>MMR001CMP121</v>
      </c>
      <c r="AR74" s="835">
        <f ca="1">IF(Table_NFI[[#This Row],[Pcode]]="","",IF(OFFSET(CampList[Opening Date],MATCH(Table_NFI[[#This Row],[Pcode]],CampList[CP_Pcode],0)-1,0,1,1)&gt;=NFI_Monitor_Date,1,0))</f>
        <v>0</v>
      </c>
      <c r="AS74" s="467" t="str">
        <f>IFERROR(VLOOKUP(Table_NFI[[#This Row],[Camp Name]],CL,3,0),"")</f>
        <v>Open</v>
      </c>
      <c r="AT74" s="294" t="str">
        <f ca="1">IF(Table_NFI[[#This Row],[Pcode]]="","",OFFSET(CampList[Priority],MATCH(Table_NFI[[#This Row],[Pcode]],CampList[CP_Pcode],0)-1,0,1,1))</f>
        <v>P2</v>
      </c>
      <c r="AU74" s="293">
        <f>IFERROR(Table_NFI[[#This Row],[Kitchen Set]]/VLOOKUP(Table_NFI[[#This Row],[Camp Name]],CL,4,0),"")</f>
        <v>0</v>
      </c>
      <c r="AV74" s="461"/>
      <c r="AW74" s="463"/>
    </row>
    <row r="75" spans="1:49" s="98" customFormat="1" ht="14.45" customHeight="1" x14ac:dyDescent="0.25">
      <c r="A75" s="492">
        <f t="shared" si="1"/>
        <v>10.466666666666667</v>
      </c>
      <c r="B75" s="460">
        <v>42422</v>
      </c>
      <c r="C75" s="461" t="s">
        <v>452</v>
      </c>
      <c r="D75" s="461" t="s">
        <v>460</v>
      </c>
      <c r="E75" s="461" t="s">
        <v>553</v>
      </c>
      <c r="F75" s="461" t="s">
        <v>146</v>
      </c>
      <c r="G75" s="461"/>
      <c r="H75" s="494"/>
      <c r="I75" s="494"/>
      <c r="J75" s="494"/>
      <c r="K75" s="494"/>
      <c r="L75" s="494"/>
      <c r="M75" s="494"/>
      <c r="N75" s="494"/>
      <c r="O75" s="494"/>
      <c r="P75" s="495"/>
      <c r="Q75" s="495"/>
      <c r="R75" s="495"/>
      <c r="S75" s="495"/>
      <c r="T75" s="495"/>
      <c r="U75" s="495"/>
      <c r="V75" s="496"/>
      <c r="W75" s="495"/>
      <c r="X75" s="495">
        <v>71</v>
      </c>
      <c r="Y75" s="495">
        <f>IF(NFI_Expiration=1,IF($A75&lt;VLOOKUP(H$5,NFI,5,0),1,0)*Table_NFI[[#This Row],[Hygiene Kit]],Table_NFI[Hygiene Kit])</f>
        <v>0</v>
      </c>
      <c r="Z75" s="495">
        <f>IF(NFI_Expiration=1,IF($A75&lt;VLOOKUP(I$5,NFI,5,0),1,0)*Table_NFI[[#This Row],[NFI Core Kit]],Table_NFI[NFI Core Kit])</f>
        <v>0</v>
      </c>
      <c r="AA75" s="495">
        <f>IF(NFI_Expiration=1,IF($A75&lt;VLOOKUP(J$5,NFI,5,0),1,0)*Table_NFI[[#This Row],[Sanitary Kit]],Table_NFI[Sanitary Kit])</f>
        <v>0</v>
      </c>
      <c r="AB75" s="495">
        <f>IF(NFI_Expiration=1,IF($A75&lt;VLOOKUP(K$5,NFI,5,0),1,0)*Table_NFI[[#This Row],[Mosquito net]],Table_NFI[Mosquito net])</f>
        <v>0</v>
      </c>
      <c r="AC75" s="495">
        <f>IF(NFI_Expiration=1,IF($A75&lt;VLOOKUP(L$5,NFI,5,0),1,0)*Table_NFI[[#This Row],[Tarpaulin]],Table_NFI[[#This Row],[Tarpaulin]])</f>
        <v>0</v>
      </c>
      <c r="AD75" s="495">
        <f>IF(NFI_Expiration=1,IF($A75&lt;VLOOKUP(M$5,NFI,5,0),1,0)*Table_NFI[[#This Row],[Blanket]],Table_NFI[[#This Row],[Blanket]])</f>
        <v>0</v>
      </c>
      <c r="AE75" s="495">
        <f>IF(NFI_Expiration=1,IF($A75&lt;VLOOKUP(N$5,NFI,5,0),1,0)*Table_NFI[[#This Row],[Kitchen Set]],Table_NFI[Kitchen Set])</f>
        <v>0</v>
      </c>
      <c r="AF75" s="495">
        <f>IF(NFI_Expiration=1,IF($A75&lt;VLOOKUP(O$5,NFI,5,0),1,0)*Table_NFI[[#This Row],[Clothes Kit]],Table_NFI[Clothes Kit])</f>
        <v>0</v>
      </c>
      <c r="AG75" s="495">
        <f>IF(NFI_Expiration=1,IF($A75&lt;VLOOKUP(P$5,NFI,5,0),1,0)*Table_NFI[[#This Row],[Plastic Bucket]],Table_NFI[Plastic Bucket])</f>
        <v>0</v>
      </c>
      <c r="AH75" s="495">
        <f>IF(NFI_Expiration=1,IF($A75&lt;VLOOKUP(Q$5,NFI,5,0),1,0)*Table_NFI[[#This Row],[Plastic Mat]],Table_NFI[Plastic Mat])*IF(Table_NFI[[#This Row],[Distribution Date]]&gt;"2014-04-01",1,2.5)</f>
        <v>0</v>
      </c>
      <c r="AI75" s="495">
        <f>IF(NFI_Expiration=1,IF($A75&lt;VLOOKUP(R$5,NFI,5,0),1,0)*Table_NFI[[#This Row],[Winter Clothes Adult]],Table_NFI[Winter Clothes Adult])</f>
        <v>0</v>
      </c>
      <c r="AJ75" s="495">
        <f>IF(NFI_Expiration=1,IF($A75&lt;VLOOKUP(S$5,NFI,5,0),1,0)*Table_NFI[[#This Row],[Winter Clothes Children]],Table_NFI[Winter Clothes Children])</f>
        <v>0</v>
      </c>
      <c r="AK75" s="495">
        <f>IF(NFI_Expiration=1,IF($A75&lt;VLOOKUP(T$5,NFI,5,0),1,0)*Table_NFI[[#This Row],[Winter Items Other]],Table_NFI[Winter Items Other])</f>
        <v>0</v>
      </c>
      <c r="AL75" s="495">
        <f>IF(NFI_Expiration=1,IF($A75&lt;VLOOKUP(M$5,NFI,5,0),1,0)*Table_NFI[[#This Row],[Winter Blanket]],Table_NFI[[#This Row],[Winter Blanket]])</f>
        <v>0</v>
      </c>
      <c r="AM75" s="495">
        <f>IF(Table_NFI[[#This Row],[Winter Clothes Adult]]+Table_NFI[[#This Row],[Winter Clothes Children]]+Table_NFI[[#This Row],[Winter Items Other]]+Table_NFI[[#This Row],[Winter Blanket]]&gt;0,1,0)</f>
        <v>0</v>
      </c>
      <c r="AN75" s="497">
        <f>IF(NFI_Expiration=1,IF($A75&lt;VLOOKUP(V$5,NFI,5,0),1,0)*Table_NFI[[#This Row],[Jerry Can]],Table_NFI[Jerry Can])</f>
        <v>0</v>
      </c>
      <c r="AO75" s="497">
        <f>IF(NFI_Expiration=1,IF($A75&lt;VLOOKUP(V$5,NFI,5,0),1,0)*Table_NFI[[#This Row],[Shelter Tool kit]],Table_NFI[Shelter Tool kit])</f>
        <v>0</v>
      </c>
      <c r="AP75" s="497">
        <f>IF(NFI_Expiration=1,IF($A75&lt;VLOOKUP(V$5,NFI,5,0),1,0)*Table_NFI[[#This Row],[Tent]],Table_NFI[Tent])</f>
        <v>71</v>
      </c>
      <c r="AQ75" s="498" t="str">
        <f>IFERROR(VLOOKUP(Table_NFI[[#This Row],[Camp Name]],CL,2,0),"")</f>
        <v/>
      </c>
      <c r="AR75" s="835" t="str">
        <f ca="1">IF(Table_NFI[[#This Row],[Pcode]]="","",IF(OFFSET(CampList[Opening Date],MATCH(Table_NFI[[#This Row],[Pcode]],CampList[CP_Pcode],0)-1,0,1,1)&gt;=NFI_Monitor_Date,1,0))</f>
        <v/>
      </c>
      <c r="AS75" s="660" t="str">
        <f>IFERROR(VLOOKUP(Table_NFI[[#This Row],[Camp Name]],CL,3,0),"")</f>
        <v/>
      </c>
      <c r="AT75" s="495" t="str">
        <f ca="1">IF(Table_NFI[[#This Row],[Pcode]]="","",OFFSET(CampList[Priority],MATCH(Table_NFI[[#This Row],[Pcode]],CampList[CP_Pcode],0)-1,0,1,1))</f>
        <v/>
      </c>
      <c r="AU75" s="499" t="str">
        <f>IFERROR(Table_NFI[[#This Row],[Kitchen Set]]/VLOOKUP(Table_NFI[[#This Row],[Camp Name]],CL,4,0),"")</f>
        <v/>
      </c>
      <c r="AV75" s="493"/>
      <c r="AW75" s="503" t="s">
        <v>1359</v>
      </c>
    </row>
    <row r="76" spans="1:49" s="98" customFormat="1" ht="14.45" customHeight="1" x14ac:dyDescent="0.2">
      <c r="A76" s="297">
        <f t="shared" si="1"/>
        <v>10.933333333333334</v>
      </c>
      <c r="B76" s="460">
        <v>42408</v>
      </c>
      <c r="C76" s="461" t="s">
        <v>905</v>
      </c>
      <c r="D76" s="461" t="s">
        <v>905</v>
      </c>
      <c r="E76" s="461" t="s">
        <v>380</v>
      </c>
      <c r="F76" s="290" t="s">
        <v>185</v>
      </c>
      <c r="G76" s="290" t="s">
        <v>229</v>
      </c>
      <c r="H76" s="291"/>
      <c r="I76" s="291"/>
      <c r="J76" s="575">
        <v>82</v>
      </c>
      <c r="K76" s="291"/>
      <c r="L76" s="292"/>
      <c r="M76" s="292"/>
      <c r="N76" s="292"/>
      <c r="O76" s="292"/>
      <c r="P76" s="294"/>
      <c r="Q76" s="294"/>
      <c r="R76" s="294"/>
      <c r="S76" s="294"/>
      <c r="T76" s="294"/>
      <c r="U76" s="294"/>
      <c r="V76" s="431"/>
      <c r="W76" s="294"/>
      <c r="X76" s="294"/>
      <c r="Y76" s="294">
        <f>IF(NFI_Expiration=1,IF($A76&lt;VLOOKUP(H$5,NFI,5,0),1,0)*Table_NFI[[#This Row],[Hygiene Kit]],Table_NFI[Hygiene Kit])</f>
        <v>0</v>
      </c>
      <c r="Z76" s="294">
        <f>IF(NFI_Expiration=1,IF($A76&lt;VLOOKUP(I$5,NFI,5,0),1,0)*Table_NFI[[#This Row],[NFI Core Kit]],Table_NFI[NFI Core Kit])</f>
        <v>0</v>
      </c>
      <c r="AA76" s="294">
        <f>IF(NFI_Expiration=1,IF($A76&lt;VLOOKUP(J$5,NFI,5,0),1,0)*Table_NFI[[#This Row],[Sanitary Kit]],Table_NFI[Sanitary Kit])</f>
        <v>82</v>
      </c>
      <c r="AB76" s="294">
        <f>IF(NFI_Expiration=1,IF($A76&lt;VLOOKUP(K$5,NFI,5,0),1,0)*Table_NFI[[#This Row],[Mosquito net]],Table_NFI[Mosquito net])</f>
        <v>0</v>
      </c>
      <c r="AC76" s="294">
        <f>IF(NFI_Expiration=1,IF($A76&lt;VLOOKUP(L$5,NFI,5,0),1,0)*Table_NFI[[#This Row],[Tarpaulin]],Table_NFI[[#This Row],[Tarpaulin]])</f>
        <v>0</v>
      </c>
      <c r="AD76" s="294">
        <f>IF(NFI_Expiration=1,IF($A76&lt;VLOOKUP(M$5,NFI,5,0),1,0)*Table_NFI[[#This Row],[Blanket]],Table_NFI[[#This Row],[Blanket]])</f>
        <v>0</v>
      </c>
      <c r="AE76" s="294">
        <f>IF(NFI_Expiration=1,IF($A76&lt;VLOOKUP(N$5,NFI,5,0),1,0)*Table_NFI[[#This Row],[Kitchen Set]],Table_NFI[Kitchen Set])</f>
        <v>0</v>
      </c>
      <c r="AF76" s="294">
        <f>IF(NFI_Expiration=1,IF($A76&lt;VLOOKUP(O$5,NFI,5,0),1,0)*Table_NFI[[#This Row],[Clothes Kit]],Table_NFI[Clothes Kit])</f>
        <v>0</v>
      </c>
      <c r="AG76" s="294">
        <f>IF(NFI_Expiration=1,IF($A76&lt;VLOOKUP(P$5,NFI,5,0),1,0)*Table_NFI[[#This Row],[Plastic Bucket]],Table_NFI[Plastic Bucket])</f>
        <v>0</v>
      </c>
      <c r="AH76" s="294">
        <f>IF(NFI_Expiration=1,IF($A76&lt;VLOOKUP(Q$5,NFI,5,0),1,0)*Table_NFI[[#This Row],[Plastic Mat]],Table_NFI[Plastic Mat])*IF(Table_NFI[[#This Row],[Distribution Date]]&gt;"2014-04-01",1,2.5)</f>
        <v>0</v>
      </c>
      <c r="AI76" s="294">
        <f>IF(NFI_Expiration=1,IF($A76&lt;VLOOKUP(R$5,NFI,5,0),1,0)*Table_NFI[[#This Row],[Winter Clothes Adult]],Table_NFI[Winter Clothes Adult])</f>
        <v>0</v>
      </c>
      <c r="AJ76" s="294">
        <f>IF(NFI_Expiration=1,IF($A76&lt;VLOOKUP(S$5,NFI,5,0),1,0)*Table_NFI[[#This Row],[Winter Clothes Children]],Table_NFI[Winter Clothes Children])</f>
        <v>0</v>
      </c>
      <c r="AK76" s="294">
        <f>IF(NFI_Expiration=1,IF($A76&lt;VLOOKUP(T$5,NFI,5,0),1,0)*Table_NFI[[#This Row],[Winter Items Other]],Table_NFI[Winter Items Other])</f>
        <v>0</v>
      </c>
      <c r="AL76" s="294">
        <f>IF(NFI_Expiration=1,IF($A76&lt;VLOOKUP(M$5,NFI,5,0),1,0)*Table_NFI[[#This Row],[Winter Blanket]],Table_NFI[[#This Row],[Winter Blanket]])</f>
        <v>0</v>
      </c>
      <c r="AM76" s="294">
        <f>IF(Table_NFI[[#This Row],[Winter Clothes Adult]]+Table_NFI[[#This Row],[Winter Clothes Children]]+Table_NFI[[#This Row],[Winter Items Other]]+Table_NFI[[#This Row],[Winter Blanket]]&gt;0,1,0)</f>
        <v>0</v>
      </c>
      <c r="AN76" s="331">
        <f>IF(NFI_Expiration=1,IF($A76&lt;VLOOKUP(V$5,NFI,5,0),1,0)*Table_NFI[[#This Row],[Jerry Can]],Table_NFI[Jerry Can])</f>
        <v>0</v>
      </c>
      <c r="AO76" s="331">
        <f>IF(NFI_Expiration=1,IF($A76&lt;VLOOKUP(V$5,NFI,5,0),1,0)*Table_NFI[[#This Row],[Shelter Tool kit]],Table_NFI[Shelter Tool kit])</f>
        <v>0</v>
      </c>
      <c r="AP76" s="331">
        <f>IF(NFI_Expiration=1,IF($A76&lt;VLOOKUP(V$5,NFI,5,0),1,0)*Table_NFI[[#This Row],[Tent]],Table_NFI[Tent])</f>
        <v>0</v>
      </c>
      <c r="AQ76" s="467" t="str">
        <f>IFERROR(VLOOKUP(Table_NFI[[#This Row],[Camp Name]],CL,2,0),"")</f>
        <v>MMR001CMP072</v>
      </c>
      <c r="AR76" s="835">
        <f ca="1">IF(Table_NFI[[#This Row],[Pcode]]="","",IF(OFFSET(CampList[Opening Date],MATCH(Table_NFI[[#This Row],[Pcode]],CampList[CP_Pcode],0)-1,0,1,1)&gt;=NFI_Monitor_Date,1,0))</f>
        <v>0</v>
      </c>
      <c r="AS76" s="467" t="str">
        <f>IFERROR(VLOOKUP(Table_NFI[[#This Row],[Camp Name]],CL,3,0),"")</f>
        <v>Open</v>
      </c>
      <c r="AT76" s="294" t="str">
        <f ca="1">IF(Table_NFI[[#This Row],[Pcode]]="","",OFFSET(CampList[Priority],MATCH(Table_NFI[[#This Row],[Pcode]],CampList[CP_Pcode],0)-1,0,1,1))</f>
        <v>P3</v>
      </c>
      <c r="AU76" s="293">
        <f>IFERROR(Table_NFI[[#This Row],[Kitchen Set]]/VLOOKUP(Table_NFI[[#This Row],[Camp Name]],CL,4,0),"")</f>
        <v>0</v>
      </c>
      <c r="AV76" s="461"/>
      <c r="AW76" s="463"/>
    </row>
    <row r="77" spans="1:49" s="464" customFormat="1" ht="14.45" customHeight="1" x14ac:dyDescent="0.2">
      <c r="A77" s="297">
        <f t="shared" si="1"/>
        <v>10.933333333333334</v>
      </c>
      <c r="B77" s="460">
        <v>42408</v>
      </c>
      <c r="C77" s="461" t="s">
        <v>905</v>
      </c>
      <c r="D77" s="462" t="s">
        <v>905</v>
      </c>
      <c r="E77" s="461" t="s">
        <v>380</v>
      </c>
      <c r="F77" s="290" t="s">
        <v>5</v>
      </c>
      <c r="G77" s="290" t="s">
        <v>22</v>
      </c>
      <c r="H77" s="291"/>
      <c r="I77" s="291"/>
      <c r="J77" s="575">
        <v>996</v>
      </c>
      <c r="K77" s="291"/>
      <c r="L77" s="292"/>
      <c r="M77" s="292"/>
      <c r="N77" s="292"/>
      <c r="O77" s="292"/>
      <c r="P77" s="294"/>
      <c r="Q77" s="294"/>
      <c r="R77" s="294"/>
      <c r="S77" s="294"/>
      <c r="T77" s="294"/>
      <c r="U77" s="294"/>
      <c r="V77" s="431"/>
      <c r="W77" s="294"/>
      <c r="X77" s="294"/>
      <c r="Y77" s="294">
        <f>IF(NFI_Expiration=1,IF($A77&lt;VLOOKUP(H$5,NFI,5,0),1,0)*Table_NFI[[#This Row],[Hygiene Kit]],Table_NFI[Hygiene Kit])</f>
        <v>0</v>
      </c>
      <c r="Z77" s="294">
        <f>IF(NFI_Expiration=1,IF($A77&lt;VLOOKUP(I$5,NFI,5,0),1,0)*Table_NFI[[#This Row],[NFI Core Kit]],Table_NFI[NFI Core Kit])</f>
        <v>0</v>
      </c>
      <c r="AA77" s="294">
        <f>IF(NFI_Expiration=1,IF($A77&lt;VLOOKUP(J$5,NFI,5,0),1,0)*Table_NFI[[#This Row],[Sanitary Kit]],Table_NFI[Sanitary Kit])</f>
        <v>996</v>
      </c>
      <c r="AB77" s="294">
        <f>IF(NFI_Expiration=1,IF($A77&lt;VLOOKUP(K$5,NFI,5,0),1,0)*Table_NFI[[#This Row],[Mosquito net]],Table_NFI[Mosquito net])</f>
        <v>0</v>
      </c>
      <c r="AC77" s="294">
        <f>IF(NFI_Expiration=1,IF($A77&lt;VLOOKUP(L$5,NFI,5,0),1,0)*Table_NFI[[#This Row],[Tarpaulin]],Table_NFI[[#This Row],[Tarpaulin]])</f>
        <v>0</v>
      </c>
      <c r="AD77" s="294">
        <f>IF(NFI_Expiration=1,IF($A77&lt;VLOOKUP(M$5,NFI,5,0),1,0)*Table_NFI[[#This Row],[Blanket]],Table_NFI[[#This Row],[Blanket]])</f>
        <v>0</v>
      </c>
      <c r="AE77" s="294">
        <f>IF(NFI_Expiration=1,IF($A77&lt;VLOOKUP(N$5,NFI,5,0),1,0)*Table_NFI[[#This Row],[Kitchen Set]],Table_NFI[Kitchen Set])</f>
        <v>0</v>
      </c>
      <c r="AF77" s="294">
        <f>IF(NFI_Expiration=1,IF($A77&lt;VLOOKUP(O$5,NFI,5,0),1,0)*Table_NFI[[#This Row],[Clothes Kit]],Table_NFI[Clothes Kit])</f>
        <v>0</v>
      </c>
      <c r="AG77" s="294">
        <f>IF(NFI_Expiration=1,IF($A77&lt;VLOOKUP(P$5,NFI,5,0),1,0)*Table_NFI[[#This Row],[Plastic Bucket]],Table_NFI[Plastic Bucket])</f>
        <v>0</v>
      </c>
      <c r="AH77" s="294">
        <f>IF(NFI_Expiration=1,IF($A77&lt;VLOOKUP(Q$5,NFI,5,0),1,0)*Table_NFI[[#This Row],[Plastic Mat]],Table_NFI[Plastic Mat])*IF(Table_NFI[[#This Row],[Distribution Date]]&gt;"2014-04-01",1,2.5)</f>
        <v>0</v>
      </c>
      <c r="AI77" s="294">
        <f>IF(NFI_Expiration=1,IF($A77&lt;VLOOKUP(R$5,NFI,5,0),1,0)*Table_NFI[[#This Row],[Winter Clothes Adult]],Table_NFI[Winter Clothes Adult])</f>
        <v>0</v>
      </c>
      <c r="AJ77" s="294">
        <f>IF(NFI_Expiration=1,IF($A77&lt;VLOOKUP(S$5,NFI,5,0),1,0)*Table_NFI[[#This Row],[Winter Clothes Children]],Table_NFI[Winter Clothes Children])</f>
        <v>0</v>
      </c>
      <c r="AK77" s="294">
        <f>IF(NFI_Expiration=1,IF($A77&lt;VLOOKUP(T$5,NFI,5,0),1,0)*Table_NFI[[#This Row],[Winter Items Other]],Table_NFI[Winter Items Other])</f>
        <v>0</v>
      </c>
      <c r="AL77" s="294">
        <f>IF(NFI_Expiration=1,IF($A77&lt;VLOOKUP(M$5,NFI,5,0),1,0)*Table_NFI[[#This Row],[Winter Blanket]],Table_NFI[[#This Row],[Winter Blanket]])</f>
        <v>0</v>
      </c>
      <c r="AM77" s="294">
        <f>IF(Table_NFI[[#This Row],[Winter Clothes Adult]]+Table_NFI[[#This Row],[Winter Clothes Children]]+Table_NFI[[#This Row],[Winter Items Other]]+Table_NFI[[#This Row],[Winter Blanket]]&gt;0,1,0)</f>
        <v>0</v>
      </c>
      <c r="AN77" s="331">
        <f>IF(NFI_Expiration=1,IF($A77&lt;VLOOKUP(V$5,NFI,5,0),1,0)*Table_NFI[[#This Row],[Jerry Can]],Table_NFI[Jerry Can])</f>
        <v>0</v>
      </c>
      <c r="AO77" s="331">
        <f>IF(NFI_Expiration=1,IF($A77&lt;VLOOKUP(V$5,NFI,5,0),1,0)*Table_NFI[[#This Row],[Shelter Tool kit]],Table_NFI[Shelter Tool kit])</f>
        <v>0</v>
      </c>
      <c r="AP77" s="331">
        <f>IF(NFI_Expiration=1,IF($A77&lt;VLOOKUP(V$5,NFI,5,0),1,0)*Table_NFI[[#This Row],[Tent]],Table_NFI[Tent])</f>
        <v>0</v>
      </c>
      <c r="AQ77" s="467" t="str">
        <f>IFERROR(VLOOKUP(Table_NFI[[#This Row],[Camp Name]],CL,2,0),"")</f>
        <v>MMR001CMP047</v>
      </c>
      <c r="AR77" s="835">
        <f ca="1">IF(Table_NFI[[#This Row],[Pcode]]="","",IF(OFFSET(CampList[Opening Date],MATCH(Table_NFI[[#This Row],[Pcode]],CampList[CP_Pcode],0)-1,0,1,1)&gt;=NFI_Monitor_Date,1,0))</f>
        <v>0</v>
      </c>
      <c r="AS77" s="467" t="str">
        <f>IFERROR(VLOOKUP(Table_NFI[[#This Row],[Camp Name]],CL,3,0),"")</f>
        <v>Open</v>
      </c>
      <c r="AT77" s="294" t="str">
        <f ca="1">IF(Table_NFI[[#This Row],[Pcode]]="","",OFFSET(CampList[Priority],MATCH(Table_NFI[[#This Row],[Pcode]],CampList[CP_Pcode],0)-1,0,1,1))</f>
        <v>P4</v>
      </c>
      <c r="AU77" s="293">
        <f>IFERROR(Table_NFI[[#This Row],[Kitchen Set]]/VLOOKUP(Table_NFI[[#This Row],[Camp Name]],CL,4,0),"")</f>
        <v>0</v>
      </c>
      <c r="AV77" s="461"/>
      <c r="AW77" s="463"/>
    </row>
    <row r="78" spans="1:49" s="464" customFormat="1" ht="14.45" customHeight="1" x14ac:dyDescent="0.2">
      <c r="A78" s="297">
        <f t="shared" si="1"/>
        <v>10.933333333333334</v>
      </c>
      <c r="B78" s="460">
        <v>42408</v>
      </c>
      <c r="C78" s="461" t="s">
        <v>905</v>
      </c>
      <c r="D78" s="462" t="s">
        <v>905</v>
      </c>
      <c r="E78" s="461" t="s">
        <v>380</v>
      </c>
      <c r="F78" s="290" t="s">
        <v>185</v>
      </c>
      <c r="G78" s="290" t="s">
        <v>225</v>
      </c>
      <c r="H78" s="291"/>
      <c r="I78" s="291"/>
      <c r="J78" s="575">
        <v>62</v>
      </c>
      <c r="K78" s="291"/>
      <c r="L78" s="292"/>
      <c r="M78" s="292"/>
      <c r="N78" s="292"/>
      <c r="O78" s="292"/>
      <c r="P78" s="294"/>
      <c r="Q78" s="294"/>
      <c r="R78" s="294"/>
      <c r="S78" s="294"/>
      <c r="T78" s="294"/>
      <c r="U78" s="294"/>
      <c r="V78" s="431"/>
      <c r="W78" s="294"/>
      <c r="X78" s="294"/>
      <c r="Y78" s="294">
        <f>IF(NFI_Expiration=1,IF($A78&lt;VLOOKUP(H$5,NFI,5,0),1,0)*Table_NFI[[#This Row],[Hygiene Kit]],Table_NFI[Hygiene Kit])</f>
        <v>0</v>
      </c>
      <c r="Z78" s="294">
        <f>IF(NFI_Expiration=1,IF($A78&lt;VLOOKUP(I$5,NFI,5,0),1,0)*Table_NFI[[#This Row],[NFI Core Kit]],Table_NFI[NFI Core Kit])</f>
        <v>0</v>
      </c>
      <c r="AA78" s="294">
        <f>IF(NFI_Expiration=1,IF($A78&lt;VLOOKUP(J$5,NFI,5,0),1,0)*Table_NFI[[#This Row],[Sanitary Kit]],Table_NFI[Sanitary Kit])</f>
        <v>62</v>
      </c>
      <c r="AB78" s="294">
        <f>IF(NFI_Expiration=1,IF($A78&lt;VLOOKUP(K$5,NFI,5,0),1,0)*Table_NFI[[#This Row],[Mosquito net]],Table_NFI[Mosquito net])</f>
        <v>0</v>
      </c>
      <c r="AC78" s="294">
        <f>IF(NFI_Expiration=1,IF($A78&lt;VLOOKUP(L$5,NFI,5,0),1,0)*Table_NFI[[#This Row],[Tarpaulin]],Table_NFI[[#This Row],[Tarpaulin]])</f>
        <v>0</v>
      </c>
      <c r="AD78" s="294">
        <f>IF(NFI_Expiration=1,IF($A78&lt;VLOOKUP(M$5,NFI,5,0),1,0)*Table_NFI[[#This Row],[Blanket]],Table_NFI[[#This Row],[Blanket]])</f>
        <v>0</v>
      </c>
      <c r="AE78" s="294">
        <f>IF(NFI_Expiration=1,IF($A78&lt;VLOOKUP(N$5,NFI,5,0),1,0)*Table_NFI[[#This Row],[Kitchen Set]],Table_NFI[Kitchen Set])</f>
        <v>0</v>
      </c>
      <c r="AF78" s="294">
        <f>IF(NFI_Expiration=1,IF($A78&lt;VLOOKUP(O$5,NFI,5,0),1,0)*Table_NFI[[#This Row],[Clothes Kit]],Table_NFI[Clothes Kit])</f>
        <v>0</v>
      </c>
      <c r="AG78" s="294">
        <f>IF(NFI_Expiration=1,IF($A78&lt;VLOOKUP(P$5,NFI,5,0),1,0)*Table_NFI[[#This Row],[Plastic Bucket]],Table_NFI[Plastic Bucket])</f>
        <v>0</v>
      </c>
      <c r="AH78" s="294">
        <f>IF(NFI_Expiration=1,IF($A78&lt;VLOOKUP(Q$5,NFI,5,0),1,0)*Table_NFI[[#This Row],[Plastic Mat]],Table_NFI[Plastic Mat])*IF(Table_NFI[[#This Row],[Distribution Date]]&gt;"2014-04-01",1,2.5)</f>
        <v>0</v>
      </c>
      <c r="AI78" s="294">
        <f>IF(NFI_Expiration=1,IF($A78&lt;VLOOKUP(R$5,NFI,5,0),1,0)*Table_NFI[[#This Row],[Winter Clothes Adult]],Table_NFI[Winter Clothes Adult])</f>
        <v>0</v>
      </c>
      <c r="AJ78" s="294">
        <f>IF(NFI_Expiration=1,IF($A78&lt;VLOOKUP(S$5,NFI,5,0),1,0)*Table_NFI[[#This Row],[Winter Clothes Children]],Table_NFI[Winter Clothes Children])</f>
        <v>0</v>
      </c>
      <c r="AK78" s="294">
        <f>IF(NFI_Expiration=1,IF($A78&lt;VLOOKUP(T$5,NFI,5,0),1,0)*Table_NFI[[#This Row],[Winter Items Other]],Table_NFI[Winter Items Other])</f>
        <v>0</v>
      </c>
      <c r="AL78" s="294">
        <f>IF(NFI_Expiration=1,IF($A78&lt;VLOOKUP(M$5,NFI,5,0),1,0)*Table_NFI[[#This Row],[Winter Blanket]],Table_NFI[[#This Row],[Winter Blanket]])</f>
        <v>0</v>
      </c>
      <c r="AM78" s="294">
        <f>IF(Table_NFI[[#This Row],[Winter Clothes Adult]]+Table_NFI[[#This Row],[Winter Clothes Children]]+Table_NFI[[#This Row],[Winter Items Other]]+Table_NFI[[#This Row],[Winter Blanket]]&gt;0,1,0)</f>
        <v>0</v>
      </c>
      <c r="AN78" s="331">
        <f>IF(NFI_Expiration=1,IF($A78&lt;VLOOKUP(V$5,NFI,5,0),1,0)*Table_NFI[[#This Row],[Jerry Can]],Table_NFI[Jerry Can])</f>
        <v>0</v>
      </c>
      <c r="AO78" s="331">
        <f>IF(NFI_Expiration=1,IF($A78&lt;VLOOKUP(V$5,NFI,5,0),1,0)*Table_NFI[[#This Row],[Shelter Tool kit]],Table_NFI[Shelter Tool kit])</f>
        <v>0</v>
      </c>
      <c r="AP78" s="331">
        <f>IF(NFI_Expiration=1,IF($A78&lt;VLOOKUP(V$5,NFI,5,0),1,0)*Table_NFI[[#This Row],[Tent]],Table_NFI[Tent])</f>
        <v>0</v>
      </c>
      <c r="AQ78" s="467" t="str">
        <f>IFERROR(VLOOKUP(Table_NFI[[#This Row],[Camp Name]],CL,2,0),"")</f>
        <v>MMR001CMP073</v>
      </c>
      <c r="AR78" s="835">
        <f ca="1">IF(Table_NFI[[#This Row],[Pcode]]="","",IF(OFFSET(CampList[Opening Date],MATCH(Table_NFI[[#This Row],[Pcode]],CampList[CP_Pcode],0)-1,0,1,1)&gt;=NFI_Monitor_Date,1,0))</f>
        <v>0</v>
      </c>
      <c r="AS78" s="467" t="str">
        <f>IFERROR(VLOOKUP(Table_NFI[[#This Row],[Camp Name]],CL,3,0),"")</f>
        <v>Open</v>
      </c>
      <c r="AT78" s="294" t="str">
        <f ca="1">IF(Table_NFI[[#This Row],[Pcode]]="","",OFFSET(CampList[Priority],MATCH(Table_NFI[[#This Row],[Pcode]],CampList[CP_Pcode],0)-1,0,1,1))</f>
        <v>P3</v>
      </c>
      <c r="AU78" s="293">
        <f>IFERROR(Table_NFI[[#This Row],[Kitchen Set]]/VLOOKUP(Table_NFI[[#This Row],[Camp Name]],CL,4,0),"")</f>
        <v>0</v>
      </c>
      <c r="AV78" s="461"/>
      <c r="AW78" s="463"/>
    </row>
    <row r="79" spans="1:49" s="464" customFormat="1" ht="14.45" customHeight="1" x14ac:dyDescent="0.2">
      <c r="A79" s="297">
        <f t="shared" si="1"/>
        <v>11.033333333333333</v>
      </c>
      <c r="B79" s="460">
        <v>42405</v>
      </c>
      <c r="C79" s="461" t="s">
        <v>905</v>
      </c>
      <c r="D79" s="462" t="s">
        <v>905</v>
      </c>
      <c r="E79" s="461" t="s">
        <v>380</v>
      </c>
      <c r="F79" s="290" t="s">
        <v>185</v>
      </c>
      <c r="G79" s="290" t="s">
        <v>190</v>
      </c>
      <c r="H79" s="291"/>
      <c r="I79" s="291"/>
      <c r="J79" s="575">
        <v>258</v>
      </c>
      <c r="K79" s="291"/>
      <c r="L79" s="292"/>
      <c r="M79" s="292"/>
      <c r="N79" s="292"/>
      <c r="O79" s="292"/>
      <c r="P79" s="294"/>
      <c r="Q79" s="294"/>
      <c r="R79" s="294"/>
      <c r="S79" s="294"/>
      <c r="T79" s="294"/>
      <c r="U79" s="294"/>
      <c r="V79" s="431"/>
      <c r="W79" s="294"/>
      <c r="X79" s="294"/>
      <c r="Y79" s="294">
        <f>IF(NFI_Expiration=1,IF($A79&lt;VLOOKUP(H$5,NFI,5,0),1,0)*Table_NFI[[#This Row],[Hygiene Kit]],Table_NFI[Hygiene Kit])</f>
        <v>0</v>
      </c>
      <c r="Z79" s="294">
        <f>IF(NFI_Expiration=1,IF($A79&lt;VLOOKUP(I$5,NFI,5,0),1,0)*Table_NFI[[#This Row],[NFI Core Kit]],Table_NFI[NFI Core Kit])</f>
        <v>0</v>
      </c>
      <c r="AA79" s="294">
        <f>IF(NFI_Expiration=1,IF($A79&lt;VLOOKUP(J$5,NFI,5,0),1,0)*Table_NFI[[#This Row],[Sanitary Kit]],Table_NFI[Sanitary Kit])</f>
        <v>258</v>
      </c>
      <c r="AB79" s="294">
        <f>IF(NFI_Expiration=1,IF($A79&lt;VLOOKUP(K$5,NFI,5,0),1,0)*Table_NFI[[#This Row],[Mosquito net]],Table_NFI[Mosquito net])</f>
        <v>0</v>
      </c>
      <c r="AC79" s="294">
        <f>IF(NFI_Expiration=1,IF($A79&lt;VLOOKUP(L$5,NFI,5,0),1,0)*Table_NFI[[#This Row],[Tarpaulin]],Table_NFI[[#This Row],[Tarpaulin]])</f>
        <v>0</v>
      </c>
      <c r="AD79" s="294">
        <f>IF(NFI_Expiration=1,IF($A79&lt;VLOOKUP(M$5,NFI,5,0),1,0)*Table_NFI[[#This Row],[Blanket]],Table_NFI[[#This Row],[Blanket]])</f>
        <v>0</v>
      </c>
      <c r="AE79" s="294">
        <f>IF(NFI_Expiration=1,IF($A79&lt;VLOOKUP(N$5,NFI,5,0),1,0)*Table_NFI[[#This Row],[Kitchen Set]],Table_NFI[Kitchen Set])</f>
        <v>0</v>
      </c>
      <c r="AF79" s="294">
        <f>IF(NFI_Expiration=1,IF($A79&lt;VLOOKUP(O$5,NFI,5,0),1,0)*Table_NFI[[#This Row],[Clothes Kit]],Table_NFI[Clothes Kit])</f>
        <v>0</v>
      </c>
      <c r="AG79" s="294">
        <f>IF(NFI_Expiration=1,IF($A79&lt;VLOOKUP(P$5,NFI,5,0),1,0)*Table_NFI[[#This Row],[Plastic Bucket]],Table_NFI[Plastic Bucket])</f>
        <v>0</v>
      </c>
      <c r="AH79" s="294">
        <f>IF(NFI_Expiration=1,IF($A79&lt;VLOOKUP(Q$5,NFI,5,0),1,0)*Table_NFI[[#This Row],[Plastic Mat]],Table_NFI[Plastic Mat])*IF(Table_NFI[[#This Row],[Distribution Date]]&gt;"2014-04-01",1,2.5)</f>
        <v>0</v>
      </c>
      <c r="AI79" s="294">
        <f>IF(NFI_Expiration=1,IF($A79&lt;VLOOKUP(R$5,NFI,5,0),1,0)*Table_NFI[[#This Row],[Winter Clothes Adult]],Table_NFI[Winter Clothes Adult])</f>
        <v>0</v>
      </c>
      <c r="AJ79" s="294">
        <f>IF(NFI_Expiration=1,IF($A79&lt;VLOOKUP(S$5,NFI,5,0),1,0)*Table_NFI[[#This Row],[Winter Clothes Children]],Table_NFI[Winter Clothes Children])</f>
        <v>0</v>
      </c>
      <c r="AK79" s="294">
        <f>IF(NFI_Expiration=1,IF($A79&lt;VLOOKUP(T$5,NFI,5,0),1,0)*Table_NFI[[#This Row],[Winter Items Other]],Table_NFI[Winter Items Other])</f>
        <v>0</v>
      </c>
      <c r="AL79" s="294">
        <f>IF(NFI_Expiration=1,IF($A79&lt;VLOOKUP(M$5,NFI,5,0),1,0)*Table_NFI[[#This Row],[Winter Blanket]],Table_NFI[[#This Row],[Winter Blanket]])</f>
        <v>0</v>
      </c>
      <c r="AM79" s="294">
        <f>IF(Table_NFI[[#This Row],[Winter Clothes Adult]]+Table_NFI[[#This Row],[Winter Clothes Children]]+Table_NFI[[#This Row],[Winter Items Other]]+Table_NFI[[#This Row],[Winter Blanket]]&gt;0,1,0)</f>
        <v>0</v>
      </c>
      <c r="AN79" s="331">
        <f>IF(NFI_Expiration=1,IF($A79&lt;VLOOKUP(V$5,NFI,5,0),1,0)*Table_NFI[[#This Row],[Jerry Can]],Table_NFI[Jerry Can])</f>
        <v>0</v>
      </c>
      <c r="AO79" s="331">
        <f>IF(NFI_Expiration=1,IF($A79&lt;VLOOKUP(V$5,NFI,5,0),1,0)*Table_NFI[[#This Row],[Shelter Tool kit]],Table_NFI[Shelter Tool kit])</f>
        <v>0</v>
      </c>
      <c r="AP79" s="331">
        <f>IF(NFI_Expiration=1,IF($A79&lt;VLOOKUP(V$5,NFI,5,0),1,0)*Table_NFI[[#This Row],[Tent]],Table_NFI[Tent])</f>
        <v>0</v>
      </c>
      <c r="AQ79" s="467" t="str">
        <f>IFERROR(VLOOKUP(Table_NFI[[#This Row],[Camp Name]],CL,2,0),"")</f>
        <v>MMR001CMP070</v>
      </c>
      <c r="AR79" s="835">
        <f ca="1">IF(Table_NFI[[#This Row],[Pcode]]="","",IF(OFFSET(CampList[Opening Date],MATCH(Table_NFI[[#This Row],[Pcode]],CampList[CP_Pcode],0)-1,0,1,1)&gt;=NFI_Monitor_Date,1,0))</f>
        <v>0</v>
      </c>
      <c r="AS79" s="467" t="str">
        <f>IFERROR(VLOOKUP(Table_NFI[[#This Row],[Camp Name]],CL,3,0),"")</f>
        <v>Open</v>
      </c>
      <c r="AT79" s="294" t="str">
        <f ca="1">IF(Table_NFI[[#This Row],[Pcode]]="","",OFFSET(CampList[Priority],MATCH(Table_NFI[[#This Row],[Pcode]],CampList[CP_Pcode],0)-1,0,1,1))</f>
        <v>P3</v>
      </c>
      <c r="AU79" s="293">
        <f>IFERROR(Table_NFI[[#This Row],[Kitchen Set]]/VLOOKUP(Table_NFI[[#This Row],[Camp Name]],CL,4,0),"")</f>
        <v>0</v>
      </c>
      <c r="AV79" s="461"/>
      <c r="AW79" s="463"/>
    </row>
    <row r="80" spans="1:49" s="464" customFormat="1" ht="14.45" customHeight="1" x14ac:dyDescent="0.25">
      <c r="A80" s="297">
        <f t="shared" si="1"/>
        <v>11.066666666666666</v>
      </c>
      <c r="B80" s="460">
        <v>42404</v>
      </c>
      <c r="C80" s="461" t="s">
        <v>905</v>
      </c>
      <c r="D80" s="461" t="s">
        <v>905</v>
      </c>
      <c r="E80" s="461" t="s">
        <v>380</v>
      </c>
      <c r="F80" s="290" t="s">
        <v>185</v>
      </c>
      <c r="G80" s="290" t="s">
        <v>1431</v>
      </c>
      <c r="H80" s="291"/>
      <c r="I80" s="291"/>
      <c r="J80" s="294">
        <v>96</v>
      </c>
      <c r="K80" s="291"/>
      <c r="L80" s="292"/>
      <c r="M80" s="292"/>
      <c r="N80" s="292"/>
      <c r="O80" s="292"/>
      <c r="P80" s="294"/>
      <c r="Q80" s="294"/>
      <c r="R80" s="294"/>
      <c r="S80" s="294"/>
      <c r="T80" s="294"/>
      <c r="U80" s="294"/>
      <c r="V80" s="431"/>
      <c r="W80" s="294"/>
      <c r="X80" s="294"/>
      <c r="Y80" s="294">
        <f>IF(NFI_Expiration=1,IF($A80&lt;VLOOKUP(H$5,NFI,5,0),1,0)*Table_NFI[[#This Row],[Hygiene Kit]],Table_NFI[Hygiene Kit])</f>
        <v>0</v>
      </c>
      <c r="Z80" s="294">
        <f>IF(NFI_Expiration=1,IF($A80&lt;VLOOKUP(I$5,NFI,5,0),1,0)*Table_NFI[[#This Row],[NFI Core Kit]],Table_NFI[NFI Core Kit])</f>
        <v>0</v>
      </c>
      <c r="AA80" s="294">
        <f>IF(NFI_Expiration=1,IF($A80&lt;VLOOKUP(J$5,NFI,5,0),1,0)*Table_NFI[[#This Row],[Sanitary Kit]],Table_NFI[Sanitary Kit])</f>
        <v>96</v>
      </c>
      <c r="AB80" s="294">
        <f>IF(NFI_Expiration=1,IF($A80&lt;VLOOKUP(K$5,NFI,5,0),1,0)*Table_NFI[[#This Row],[Mosquito net]],Table_NFI[Mosquito net])</f>
        <v>0</v>
      </c>
      <c r="AC80" s="294">
        <f>IF(NFI_Expiration=1,IF($A80&lt;VLOOKUP(L$5,NFI,5,0),1,0)*Table_NFI[[#This Row],[Tarpaulin]],Table_NFI[[#This Row],[Tarpaulin]])</f>
        <v>0</v>
      </c>
      <c r="AD80" s="294">
        <f>IF(NFI_Expiration=1,IF($A80&lt;VLOOKUP(M$5,NFI,5,0),1,0)*Table_NFI[[#This Row],[Blanket]],Table_NFI[[#This Row],[Blanket]])</f>
        <v>0</v>
      </c>
      <c r="AE80" s="294">
        <f>IF(NFI_Expiration=1,IF($A80&lt;VLOOKUP(N$5,NFI,5,0),1,0)*Table_NFI[[#This Row],[Kitchen Set]],Table_NFI[Kitchen Set])</f>
        <v>0</v>
      </c>
      <c r="AF80" s="294">
        <f>IF(NFI_Expiration=1,IF($A80&lt;VLOOKUP(O$5,NFI,5,0),1,0)*Table_NFI[[#This Row],[Clothes Kit]],Table_NFI[Clothes Kit])</f>
        <v>0</v>
      </c>
      <c r="AG80" s="294">
        <f>IF(NFI_Expiration=1,IF($A80&lt;VLOOKUP(P$5,NFI,5,0),1,0)*Table_NFI[[#This Row],[Plastic Bucket]],Table_NFI[Plastic Bucket])</f>
        <v>0</v>
      </c>
      <c r="AH80" s="294">
        <f>IF(NFI_Expiration=1,IF($A80&lt;VLOOKUP(Q$5,NFI,5,0),1,0)*Table_NFI[[#This Row],[Plastic Mat]],Table_NFI[Plastic Mat])*IF(Table_NFI[[#This Row],[Distribution Date]]&gt;"2014-04-01",1,2.5)</f>
        <v>0</v>
      </c>
      <c r="AI80" s="294">
        <f>IF(NFI_Expiration=1,IF($A80&lt;VLOOKUP(R$5,NFI,5,0),1,0)*Table_NFI[[#This Row],[Winter Clothes Adult]],Table_NFI[Winter Clothes Adult])</f>
        <v>0</v>
      </c>
      <c r="AJ80" s="294">
        <f>IF(NFI_Expiration=1,IF($A80&lt;VLOOKUP(S$5,NFI,5,0),1,0)*Table_NFI[[#This Row],[Winter Clothes Children]],Table_NFI[Winter Clothes Children])</f>
        <v>0</v>
      </c>
      <c r="AK80" s="294">
        <f>IF(NFI_Expiration=1,IF($A80&lt;VLOOKUP(T$5,NFI,5,0),1,0)*Table_NFI[[#This Row],[Winter Items Other]],Table_NFI[Winter Items Other])</f>
        <v>0</v>
      </c>
      <c r="AL80" s="294">
        <f>IF(NFI_Expiration=1,IF($A80&lt;VLOOKUP(M$5,NFI,5,0),1,0)*Table_NFI[[#This Row],[Winter Blanket]],Table_NFI[[#This Row],[Winter Blanket]])</f>
        <v>0</v>
      </c>
      <c r="AM80" s="294">
        <f>IF(Table_NFI[[#This Row],[Winter Clothes Adult]]+Table_NFI[[#This Row],[Winter Clothes Children]]+Table_NFI[[#This Row],[Winter Items Other]]+Table_NFI[[#This Row],[Winter Blanket]]&gt;0,1,0)</f>
        <v>0</v>
      </c>
      <c r="AN80" s="331">
        <f>IF(NFI_Expiration=1,IF($A80&lt;VLOOKUP(V$5,NFI,5,0),1,0)*Table_NFI[[#This Row],[Jerry Can]],Table_NFI[Jerry Can])</f>
        <v>0</v>
      </c>
      <c r="AO80" s="331">
        <f>IF(NFI_Expiration=1,IF($A80&lt;VLOOKUP(V$5,NFI,5,0),1,0)*Table_NFI[[#This Row],[Shelter Tool kit]],Table_NFI[Shelter Tool kit])</f>
        <v>0</v>
      </c>
      <c r="AP80" s="331">
        <f>IF(NFI_Expiration=1,IF($A80&lt;VLOOKUP(V$5,NFI,5,0),1,0)*Table_NFI[[#This Row],[Tent]],Table_NFI[Tent])</f>
        <v>0</v>
      </c>
      <c r="AQ80" s="467" t="str">
        <f>IFERROR(VLOOKUP(Table_NFI[[#This Row],[Camp Name]],CL,2,0),"")</f>
        <v/>
      </c>
      <c r="AR80" s="835" t="str">
        <f ca="1">IF(Table_NFI[[#This Row],[Pcode]]="","",IF(OFFSET(CampList[Opening Date],MATCH(Table_NFI[[#This Row],[Pcode]],CampList[CP_Pcode],0)-1,0,1,1)&gt;=NFI_Monitor_Date,1,0))</f>
        <v/>
      </c>
      <c r="AS80" s="659" t="str">
        <f>IFERROR(VLOOKUP(Table_NFI[[#This Row],[Camp Name]],CL,3,0),"")</f>
        <v/>
      </c>
      <c r="AT80" s="294" t="str">
        <f ca="1">IF(Table_NFI[[#This Row],[Pcode]]="","",OFFSET(CampList[Priority],MATCH(Table_NFI[[#This Row],[Pcode]],CampList[CP_Pcode],0)-1,0,1,1))</f>
        <v/>
      </c>
      <c r="AU80" s="293" t="str">
        <f>IFERROR(Table_NFI[[#This Row],[Kitchen Set]]/VLOOKUP(Table_NFI[[#This Row],[Camp Name]],CL,4,0),"")</f>
        <v/>
      </c>
      <c r="AV80" s="461"/>
      <c r="AW80" s="463"/>
    </row>
    <row r="81" spans="1:49" s="464" customFormat="1" ht="14.45" customHeight="1" x14ac:dyDescent="0.2">
      <c r="A81" s="297">
        <f t="shared" si="1"/>
        <v>11.066666666666666</v>
      </c>
      <c r="B81" s="460">
        <v>42404</v>
      </c>
      <c r="C81" s="461" t="s">
        <v>905</v>
      </c>
      <c r="D81" s="461" t="s">
        <v>905</v>
      </c>
      <c r="E81" s="461" t="s">
        <v>380</v>
      </c>
      <c r="F81" s="461" t="s">
        <v>185</v>
      </c>
      <c r="G81" s="290" t="s">
        <v>217</v>
      </c>
      <c r="H81" s="291"/>
      <c r="I81" s="291"/>
      <c r="J81" s="575">
        <v>33</v>
      </c>
      <c r="K81" s="291"/>
      <c r="L81" s="292"/>
      <c r="M81" s="292"/>
      <c r="N81" s="292"/>
      <c r="O81" s="292"/>
      <c r="P81" s="294"/>
      <c r="Q81" s="294"/>
      <c r="R81" s="294"/>
      <c r="S81" s="294"/>
      <c r="T81" s="294"/>
      <c r="U81" s="294"/>
      <c r="V81" s="431"/>
      <c r="W81" s="294"/>
      <c r="X81" s="294"/>
      <c r="Y81" s="294">
        <f>IF(NFI_Expiration=1,IF($A81&lt;VLOOKUP(H$5,NFI,5,0),1,0)*Table_NFI[[#This Row],[Hygiene Kit]],Table_NFI[Hygiene Kit])</f>
        <v>0</v>
      </c>
      <c r="Z81" s="294">
        <f>IF(NFI_Expiration=1,IF($A81&lt;VLOOKUP(I$5,NFI,5,0),1,0)*Table_NFI[[#This Row],[NFI Core Kit]],Table_NFI[NFI Core Kit])</f>
        <v>0</v>
      </c>
      <c r="AA81" s="294">
        <f>IF(NFI_Expiration=1,IF($A81&lt;VLOOKUP(J$5,NFI,5,0),1,0)*Table_NFI[[#This Row],[Sanitary Kit]],Table_NFI[Sanitary Kit])</f>
        <v>33</v>
      </c>
      <c r="AB81" s="294">
        <f>IF(NFI_Expiration=1,IF($A81&lt;VLOOKUP(K$5,NFI,5,0),1,0)*Table_NFI[[#This Row],[Mosquito net]],Table_NFI[Mosquito net])</f>
        <v>0</v>
      </c>
      <c r="AC81" s="294">
        <f>IF(NFI_Expiration=1,IF($A81&lt;VLOOKUP(L$5,NFI,5,0),1,0)*Table_NFI[[#This Row],[Tarpaulin]],Table_NFI[[#This Row],[Tarpaulin]])</f>
        <v>0</v>
      </c>
      <c r="AD81" s="294">
        <f>IF(NFI_Expiration=1,IF($A81&lt;VLOOKUP(M$5,NFI,5,0),1,0)*Table_NFI[[#This Row],[Blanket]],Table_NFI[[#This Row],[Blanket]])</f>
        <v>0</v>
      </c>
      <c r="AE81" s="294">
        <f>IF(NFI_Expiration=1,IF($A81&lt;VLOOKUP(N$5,NFI,5,0),1,0)*Table_NFI[[#This Row],[Kitchen Set]],Table_NFI[Kitchen Set])</f>
        <v>0</v>
      </c>
      <c r="AF81" s="294">
        <f>IF(NFI_Expiration=1,IF($A81&lt;VLOOKUP(O$5,NFI,5,0),1,0)*Table_NFI[[#This Row],[Clothes Kit]],Table_NFI[Clothes Kit])</f>
        <v>0</v>
      </c>
      <c r="AG81" s="294">
        <f>IF(NFI_Expiration=1,IF($A81&lt;VLOOKUP(P$5,NFI,5,0),1,0)*Table_NFI[[#This Row],[Plastic Bucket]],Table_NFI[Plastic Bucket])</f>
        <v>0</v>
      </c>
      <c r="AH81" s="294">
        <f>IF(NFI_Expiration=1,IF($A81&lt;VLOOKUP(Q$5,NFI,5,0),1,0)*Table_NFI[[#This Row],[Plastic Mat]],Table_NFI[Plastic Mat])*IF(Table_NFI[[#This Row],[Distribution Date]]&gt;"2014-04-01",1,2.5)</f>
        <v>0</v>
      </c>
      <c r="AI81" s="294">
        <f>IF(NFI_Expiration=1,IF($A81&lt;VLOOKUP(R$5,NFI,5,0),1,0)*Table_NFI[[#This Row],[Winter Clothes Adult]],Table_NFI[Winter Clothes Adult])</f>
        <v>0</v>
      </c>
      <c r="AJ81" s="294">
        <f>IF(NFI_Expiration=1,IF($A81&lt;VLOOKUP(S$5,NFI,5,0),1,0)*Table_NFI[[#This Row],[Winter Clothes Children]],Table_NFI[Winter Clothes Children])</f>
        <v>0</v>
      </c>
      <c r="AK81" s="294">
        <f>IF(NFI_Expiration=1,IF($A81&lt;VLOOKUP(T$5,NFI,5,0),1,0)*Table_NFI[[#This Row],[Winter Items Other]],Table_NFI[Winter Items Other])</f>
        <v>0</v>
      </c>
      <c r="AL81" s="294">
        <f>IF(NFI_Expiration=1,IF($A81&lt;VLOOKUP(M$5,NFI,5,0),1,0)*Table_NFI[[#This Row],[Winter Blanket]],Table_NFI[[#This Row],[Winter Blanket]])</f>
        <v>0</v>
      </c>
      <c r="AM81" s="294">
        <f>IF(Table_NFI[[#This Row],[Winter Clothes Adult]]+Table_NFI[[#This Row],[Winter Clothes Children]]+Table_NFI[[#This Row],[Winter Items Other]]+Table_NFI[[#This Row],[Winter Blanket]]&gt;0,1,0)</f>
        <v>0</v>
      </c>
      <c r="AN81" s="331">
        <f>IF(NFI_Expiration=1,IF($A81&lt;VLOOKUP(V$5,NFI,5,0),1,0)*Table_NFI[[#This Row],[Jerry Can]],Table_NFI[Jerry Can])</f>
        <v>0</v>
      </c>
      <c r="AO81" s="331">
        <f>IF(NFI_Expiration=1,IF($A81&lt;VLOOKUP(V$5,NFI,5,0),1,0)*Table_NFI[[#This Row],[Shelter Tool kit]],Table_NFI[Shelter Tool kit])</f>
        <v>0</v>
      </c>
      <c r="AP81" s="331">
        <f>IF(NFI_Expiration=1,IF($A81&lt;VLOOKUP(V$5,NFI,5,0),1,0)*Table_NFI[[#This Row],[Tent]],Table_NFI[Tent])</f>
        <v>0</v>
      </c>
      <c r="AQ81" s="467" t="str">
        <f>IFERROR(VLOOKUP(Table_NFI[[#This Row],[Camp Name]],CL,2,0),"")</f>
        <v>MMR001CMP059</v>
      </c>
      <c r="AR81" s="835">
        <f ca="1">IF(Table_NFI[[#This Row],[Pcode]]="","",IF(OFFSET(CampList[Opening Date],MATCH(Table_NFI[[#This Row],[Pcode]],CampList[CP_Pcode],0)-1,0,1,1)&gt;=NFI_Monitor_Date,1,0))</f>
        <v>0</v>
      </c>
      <c r="AS81" s="467" t="str">
        <f>IFERROR(VLOOKUP(Table_NFI[[#This Row],[Camp Name]],CL,3,0),"")</f>
        <v>Closed</v>
      </c>
      <c r="AT81" s="294" t="str">
        <f ca="1">IF(Table_NFI[[#This Row],[Pcode]]="","",OFFSET(CampList[Priority],MATCH(Table_NFI[[#This Row],[Pcode]],CampList[CP_Pcode],0)-1,0,1,1))</f>
        <v>P4</v>
      </c>
      <c r="AU81" s="293">
        <f>IFERROR(Table_NFI[[#This Row],[Kitchen Set]]/VLOOKUP(Table_NFI[[#This Row],[Camp Name]],CL,4,0),"")</f>
        <v>0</v>
      </c>
      <c r="AV81" s="461"/>
      <c r="AW81" s="463"/>
    </row>
    <row r="82" spans="1:49" s="464" customFormat="1" ht="25.5" customHeight="1" x14ac:dyDescent="0.2">
      <c r="A82" s="297">
        <f t="shared" si="1"/>
        <v>11.066666666666666</v>
      </c>
      <c r="B82" s="460">
        <v>42404</v>
      </c>
      <c r="C82" s="461" t="s">
        <v>905</v>
      </c>
      <c r="D82" s="462" t="s">
        <v>905</v>
      </c>
      <c r="E82" s="461" t="s">
        <v>380</v>
      </c>
      <c r="F82" s="290" t="s">
        <v>185</v>
      </c>
      <c r="G82" s="290" t="s">
        <v>186</v>
      </c>
      <c r="H82" s="291"/>
      <c r="I82" s="291"/>
      <c r="J82" s="575">
        <v>55</v>
      </c>
      <c r="K82" s="291"/>
      <c r="L82" s="292"/>
      <c r="M82" s="292"/>
      <c r="N82" s="292"/>
      <c r="O82" s="292"/>
      <c r="P82" s="294"/>
      <c r="Q82" s="294"/>
      <c r="R82" s="294"/>
      <c r="S82" s="294"/>
      <c r="T82" s="294"/>
      <c r="U82" s="294"/>
      <c r="V82" s="431"/>
      <c r="W82" s="294"/>
      <c r="X82" s="294"/>
      <c r="Y82" s="294">
        <f>IF(NFI_Expiration=1,IF($A82&lt;VLOOKUP(H$5,NFI,5,0),1,0)*Table_NFI[[#This Row],[Hygiene Kit]],Table_NFI[Hygiene Kit])</f>
        <v>0</v>
      </c>
      <c r="Z82" s="294">
        <f>IF(NFI_Expiration=1,IF($A82&lt;VLOOKUP(I$5,NFI,5,0),1,0)*Table_NFI[[#This Row],[NFI Core Kit]],Table_NFI[NFI Core Kit])</f>
        <v>0</v>
      </c>
      <c r="AA82" s="294">
        <f>IF(NFI_Expiration=1,IF($A82&lt;VLOOKUP(J$5,NFI,5,0),1,0)*Table_NFI[[#This Row],[Sanitary Kit]],Table_NFI[Sanitary Kit])</f>
        <v>55</v>
      </c>
      <c r="AB82" s="294">
        <f>IF(NFI_Expiration=1,IF($A82&lt;VLOOKUP(K$5,NFI,5,0),1,0)*Table_NFI[[#This Row],[Mosquito net]],Table_NFI[Mosquito net])</f>
        <v>0</v>
      </c>
      <c r="AC82" s="294">
        <f>IF(NFI_Expiration=1,IF($A82&lt;VLOOKUP(L$5,NFI,5,0),1,0)*Table_NFI[[#This Row],[Tarpaulin]],Table_NFI[[#This Row],[Tarpaulin]])</f>
        <v>0</v>
      </c>
      <c r="AD82" s="294">
        <f>IF(NFI_Expiration=1,IF($A82&lt;VLOOKUP(M$5,NFI,5,0),1,0)*Table_NFI[[#This Row],[Blanket]],Table_NFI[[#This Row],[Blanket]])</f>
        <v>0</v>
      </c>
      <c r="AE82" s="294">
        <f>IF(NFI_Expiration=1,IF($A82&lt;VLOOKUP(N$5,NFI,5,0),1,0)*Table_NFI[[#This Row],[Kitchen Set]],Table_NFI[Kitchen Set])</f>
        <v>0</v>
      </c>
      <c r="AF82" s="294">
        <f>IF(NFI_Expiration=1,IF($A82&lt;VLOOKUP(O$5,NFI,5,0),1,0)*Table_NFI[[#This Row],[Clothes Kit]],Table_NFI[Clothes Kit])</f>
        <v>0</v>
      </c>
      <c r="AG82" s="294">
        <f>IF(NFI_Expiration=1,IF($A82&lt;VLOOKUP(P$5,NFI,5,0),1,0)*Table_NFI[[#This Row],[Plastic Bucket]],Table_NFI[Plastic Bucket])</f>
        <v>0</v>
      </c>
      <c r="AH82" s="294">
        <f>IF(NFI_Expiration=1,IF($A82&lt;VLOOKUP(Q$5,NFI,5,0),1,0)*Table_NFI[[#This Row],[Plastic Mat]],Table_NFI[Plastic Mat])*IF(Table_NFI[[#This Row],[Distribution Date]]&gt;"2014-04-01",1,2.5)</f>
        <v>0</v>
      </c>
      <c r="AI82" s="294">
        <f>IF(NFI_Expiration=1,IF($A82&lt;VLOOKUP(R$5,NFI,5,0),1,0)*Table_NFI[[#This Row],[Winter Clothes Adult]],Table_NFI[Winter Clothes Adult])</f>
        <v>0</v>
      </c>
      <c r="AJ82" s="294">
        <f>IF(NFI_Expiration=1,IF($A82&lt;VLOOKUP(S$5,NFI,5,0),1,0)*Table_NFI[[#This Row],[Winter Clothes Children]],Table_NFI[Winter Clothes Children])</f>
        <v>0</v>
      </c>
      <c r="AK82" s="294">
        <f>IF(NFI_Expiration=1,IF($A82&lt;VLOOKUP(T$5,NFI,5,0),1,0)*Table_NFI[[#This Row],[Winter Items Other]],Table_NFI[Winter Items Other])</f>
        <v>0</v>
      </c>
      <c r="AL82" s="294">
        <f>IF(NFI_Expiration=1,IF($A82&lt;VLOOKUP(M$5,NFI,5,0),1,0)*Table_NFI[[#This Row],[Winter Blanket]],Table_NFI[[#This Row],[Winter Blanket]])</f>
        <v>0</v>
      </c>
      <c r="AM82" s="294">
        <f>IF(Table_NFI[[#This Row],[Winter Clothes Adult]]+Table_NFI[[#This Row],[Winter Clothes Children]]+Table_NFI[[#This Row],[Winter Items Other]]+Table_NFI[[#This Row],[Winter Blanket]]&gt;0,1,0)</f>
        <v>0</v>
      </c>
      <c r="AN82" s="331">
        <f>IF(NFI_Expiration=1,IF($A82&lt;VLOOKUP(V$5,NFI,5,0),1,0)*Table_NFI[[#This Row],[Jerry Can]],Table_NFI[Jerry Can])</f>
        <v>0</v>
      </c>
      <c r="AO82" s="331">
        <f>IF(NFI_Expiration=1,IF($A82&lt;VLOOKUP(V$5,NFI,5,0),1,0)*Table_NFI[[#This Row],[Shelter Tool kit]],Table_NFI[Shelter Tool kit])</f>
        <v>0</v>
      </c>
      <c r="AP82" s="331">
        <f>IF(NFI_Expiration=1,IF($A82&lt;VLOOKUP(V$5,NFI,5,0),1,0)*Table_NFI[[#This Row],[Tent]],Table_NFI[Tent])</f>
        <v>0</v>
      </c>
      <c r="AQ82" s="467" t="str">
        <f>IFERROR(VLOOKUP(Table_NFI[[#This Row],[Camp Name]],CL,2,0),"")</f>
        <v>MMR001CMP071</v>
      </c>
      <c r="AR82" s="835">
        <f ca="1">IF(Table_NFI[[#This Row],[Pcode]]="","",IF(OFFSET(CampList[Opening Date],MATCH(Table_NFI[[#This Row],[Pcode]],CampList[CP_Pcode],0)-1,0,1,1)&gt;=NFI_Monitor_Date,1,0))</f>
        <v>0</v>
      </c>
      <c r="AS82" s="467" t="str">
        <f>IFERROR(VLOOKUP(Table_NFI[[#This Row],[Camp Name]],CL,3,0),"")</f>
        <v>Open</v>
      </c>
      <c r="AT82" s="294" t="str">
        <f ca="1">IF(Table_NFI[[#This Row],[Pcode]]="","",OFFSET(CampList[Priority],MATCH(Table_NFI[[#This Row],[Pcode]],CampList[CP_Pcode],0)-1,0,1,1))</f>
        <v>P3</v>
      </c>
      <c r="AU82" s="293">
        <f>IFERROR(Table_NFI[[#This Row],[Kitchen Set]]/VLOOKUP(Table_NFI[[#This Row],[Camp Name]],CL,4,0),"")</f>
        <v>0</v>
      </c>
      <c r="AV82" s="461"/>
      <c r="AW82" s="463"/>
    </row>
    <row r="83" spans="1:49" s="464" customFormat="1" ht="15" customHeight="1" x14ac:dyDescent="0.2">
      <c r="A83" s="297">
        <f t="shared" si="1"/>
        <v>11.066666666666666</v>
      </c>
      <c r="B83" s="460">
        <v>42404</v>
      </c>
      <c r="C83" s="461" t="s">
        <v>905</v>
      </c>
      <c r="D83" s="462" t="s">
        <v>905</v>
      </c>
      <c r="E83" s="461" t="s">
        <v>380</v>
      </c>
      <c r="F83" s="290" t="s">
        <v>185</v>
      </c>
      <c r="G83" s="290" t="s">
        <v>186</v>
      </c>
      <c r="H83" s="291"/>
      <c r="I83" s="291"/>
      <c r="J83" s="575"/>
      <c r="K83" s="291"/>
      <c r="L83" s="292"/>
      <c r="M83" s="292"/>
      <c r="N83" s="292"/>
      <c r="O83" s="292"/>
      <c r="P83" s="294"/>
      <c r="Q83" s="294"/>
      <c r="R83" s="294"/>
      <c r="S83" s="294"/>
      <c r="T83" s="294"/>
      <c r="U83" s="294"/>
      <c r="V83" s="431"/>
      <c r="W83" s="294"/>
      <c r="X83" s="294"/>
      <c r="Y83" s="294">
        <f>IF(NFI_Expiration=1,IF($A83&lt;VLOOKUP(H$5,NFI,5,0),1,0)*Table_NFI[[#This Row],[Hygiene Kit]],Table_NFI[Hygiene Kit])</f>
        <v>0</v>
      </c>
      <c r="Z83" s="294">
        <f>IF(NFI_Expiration=1,IF($A83&lt;VLOOKUP(I$5,NFI,5,0),1,0)*Table_NFI[[#This Row],[NFI Core Kit]],Table_NFI[NFI Core Kit])</f>
        <v>0</v>
      </c>
      <c r="AA83" s="294">
        <f>IF(NFI_Expiration=1,IF($A83&lt;VLOOKUP(J$5,NFI,5,0),1,0)*Table_NFI[[#This Row],[Sanitary Kit]],Table_NFI[Sanitary Kit])</f>
        <v>0</v>
      </c>
      <c r="AB83" s="294">
        <f>IF(NFI_Expiration=1,IF($A83&lt;VLOOKUP(K$5,NFI,5,0),1,0)*Table_NFI[[#This Row],[Mosquito net]],Table_NFI[Mosquito net])</f>
        <v>0</v>
      </c>
      <c r="AC83" s="294">
        <f>IF(NFI_Expiration=1,IF($A83&lt;VLOOKUP(L$5,NFI,5,0),1,0)*Table_NFI[[#This Row],[Tarpaulin]],Table_NFI[[#This Row],[Tarpaulin]])</f>
        <v>0</v>
      </c>
      <c r="AD83" s="294">
        <f>IF(NFI_Expiration=1,IF($A83&lt;VLOOKUP(M$5,NFI,5,0),1,0)*Table_NFI[[#This Row],[Blanket]],Table_NFI[[#This Row],[Blanket]])</f>
        <v>0</v>
      </c>
      <c r="AE83" s="294">
        <f>IF(NFI_Expiration=1,IF($A83&lt;VLOOKUP(N$5,NFI,5,0),1,0)*Table_NFI[[#This Row],[Kitchen Set]],Table_NFI[Kitchen Set])</f>
        <v>0</v>
      </c>
      <c r="AF83" s="294">
        <f>IF(NFI_Expiration=1,IF($A83&lt;VLOOKUP(O$5,NFI,5,0),1,0)*Table_NFI[[#This Row],[Clothes Kit]],Table_NFI[Clothes Kit])</f>
        <v>0</v>
      </c>
      <c r="AG83" s="294">
        <f>IF(NFI_Expiration=1,IF($A83&lt;VLOOKUP(P$5,NFI,5,0),1,0)*Table_NFI[[#This Row],[Plastic Bucket]],Table_NFI[Plastic Bucket])</f>
        <v>0</v>
      </c>
      <c r="AH83" s="294">
        <f>IF(NFI_Expiration=1,IF($A83&lt;VLOOKUP(Q$5,NFI,5,0),1,0)*Table_NFI[[#This Row],[Plastic Mat]],Table_NFI[Plastic Mat])*IF(Table_NFI[[#This Row],[Distribution Date]]&gt;"2014-04-01",1,2.5)</f>
        <v>0</v>
      </c>
      <c r="AI83" s="294">
        <f>IF(NFI_Expiration=1,IF($A83&lt;VLOOKUP(R$5,NFI,5,0),1,0)*Table_NFI[[#This Row],[Winter Clothes Adult]],Table_NFI[Winter Clothes Adult])</f>
        <v>0</v>
      </c>
      <c r="AJ83" s="294">
        <f>IF(NFI_Expiration=1,IF($A83&lt;VLOOKUP(S$5,NFI,5,0),1,0)*Table_NFI[[#This Row],[Winter Clothes Children]],Table_NFI[Winter Clothes Children])</f>
        <v>0</v>
      </c>
      <c r="AK83" s="294">
        <f>IF(NFI_Expiration=1,IF($A83&lt;VLOOKUP(T$5,NFI,5,0),1,0)*Table_NFI[[#This Row],[Winter Items Other]],Table_NFI[Winter Items Other])</f>
        <v>0</v>
      </c>
      <c r="AL83" s="294">
        <f>IF(NFI_Expiration=1,IF($A83&lt;VLOOKUP(M$5,NFI,5,0),1,0)*Table_NFI[[#This Row],[Winter Blanket]],Table_NFI[[#This Row],[Winter Blanket]])</f>
        <v>0</v>
      </c>
      <c r="AM83" s="294">
        <f>IF(Table_NFI[[#This Row],[Winter Clothes Adult]]+Table_NFI[[#This Row],[Winter Clothes Children]]+Table_NFI[[#This Row],[Winter Items Other]]+Table_NFI[[#This Row],[Winter Blanket]]&gt;0,1,0)</f>
        <v>0</v>
      </c>
      <c r="AN83" s="331">
        <f>IF(NFI_Expiration=1,IF($A83&lt;VLOOKUP(V$5,NFI,5,0),1,0)*Table_NFI[[#This Row],[Jerry Can]],Table_NFI[Jerry Can])</f>
        <v>0</v>
      </c>
      <c r="AO83" s="331">
        <f>IF(NFI_Expiration=1,IF($A83&lt;VLOOKUP(V$5,NFI,5,0),1,0)*Table_NFI[[#This Row],[Shelter Tool kit]],Table_NFI[Shelter Tool kit])</f>
        <v>0</v>
      </c>
      <c r="AP83" s="331">
        <f>IF(NFI_Expiration=1,IF($A83&lt;VLOOKUP(V$5,NFI,5,0),1,0)*Table_NFI[[#This Row],[Tent]],Table_NFI[Tent])</f>
        <v>0</v>
      </c>
      <c r="AQ83" s="467" t="str">
        <f>IFERROR(VLOOKUP(Table_NFI[[#This Row],[Camp Name]],CL,2,0),"")</f>
        <v>MMR001CMP071</v>
      </c>
      <c r="AR83" s="835">
        <f ca="1">IF(Table_NFI[[#This Row],[Pcode]]="","",IF(OFFSET(CampList[Opening Date],MATCH(Table_NFI[[#This Row],[Pcode]],CampList[CP_Pcode],0)-1,0,1,1)&gt;=NFI_Monitor_Date,1,0))</f>
        <v>0</v>
      </c>
      <c r="AS83" s="467" t="str">
        <f>IFERROR(VLOOKUP(Table_NFI[[#This Row],[Camp Name]],CL,3,0),"")</f>
        <v>Open</v>
      </c>
      <c r="AT83" s="294" t="str">
        <f ca="1">IF(Table_NFI[[#This Row],[Pcode]]="","",OFFSET(CampList[Priority],MATCH(Table_NFI[[#This Row],[Pcode]],CampList[CP_Pcode],0)-1,0,1,1))</f>
        <v>P3</v>
      </c>
      <c r="AU83" s="293">
        <f>IFERROR(Table_NFI[[#This Row],[Kitchen Set]]/VLOOKUP(Table_NFI[[#This Row],[Camp Name]],CL,4,0),"")</f>
        <v>0</v>
      </c>
      <c r="AV83" s="461"/>
      <c r="AW83" s="463"/>
    </row>
    <row r="84" spans="1:49" s="464" customFormat="1" ht="15" customHeight="1" x14ac:dyDescent="0.25">
      <c r="A84" s="297">
        <f t="shared" si="1"/>
        <v>11.066666666666666</v>
      </c>
      <c r="B84" s="460">
        <v>42404</v>
      </c>
      <c r="C84" s="461" t="s">
        <v>905</v>
      </c>
      <c r="D84" s="461" t="s">
        <v>905</v>
      </c>
      <c r="E84" s="461" t="s">
        <v>380</v>
      </c>
      <c r="F84" s="461" t="s">
        <v>185</v>
      </c>
      <c r="G84" s="290" t="s">
        <v>223</v>
      </c>
      <c r="H84" s="291"/>
      <c r="I84" s="291"/>
      <c r="J84" s="292">
        <v>71</v>
      </c>
      <c r="K84" s="291"/>
      <c r="L84" s="292"/>
      <c r="M84" s="292"/>
      <c r="N84" s="292"/>
      <c r="O84" s="292"/>
      <c r="P84" s="294"/>
      <c r="Q84" s="294"/>
      <c r="R84" s="294"/>
      <c r="S84" s="294"/>
      <c r="T84" s="294"/>
      <c r="U84" s="294"/>
      <c r="V84" s="431"/>
      <c r="W84" s="294"/>
      <c r="X84" s="294"/>
      <c r="Y84" s="294">
        <f>IF(NFI_Expiration=1,IF($A84&lt;VLOOKUP(H$5,NFI,5,0),1,0)*Table_NFI[[#This Row],[Hygiene Kit]],Table_NFI[Hygiene Kit])</f>
        <v>0</v>
      </c>
      <c r="Z84" s="294">
        <f>IF(NFI_Expiration=1,IF($A84&lt;VLOOKUP(I$5,NFI,5,0),1,0)*Table_NFI[[#This Row],[NFI Core Kit]],Table_NFI[NFI Core Kit])</f>
        <v>0</v>
      </c>
      <c r="AA84" s="294">
        <f>IF(NFI_Expiration=1,IF($A84&lt;VLOOKUP(J$5,NFI,5,0),1,0)*Table_NFI[[#This Row],[Sanitary Kit]],Table_NFI[Sanitary Kit])</f>
        <v>71</v>
      </c>
      <c r="AB84" s="294">
        <f>IF(NFI_Expiration=1,IF($A84&lt;VLOOKUP(K$5,NFI,5,0),1,0)*Table_NFI[[#This Row],[Mosquito net]],Table_NFI[Mosquito net])</f>
        <v>0</v>
      </c>
      <c r="AC84" s="294">
        <f>IF(NFI_Expiration=1,IF($A84&lt;VLOOKUP(L$5,NFI,5,0),1,0)*Table_NFI[[#This Row],[Tarpaulin]],Table_NFI[[#This Row],[Tarpaulin]])</f>
        <v>0</v>
      </c>
      <c r="AD84" s="294">
        <f>IF(NFI_Expiration=1,IF($A84&lt;VLOOKUP(M$5,NFI,5,0),1,0)*Table_NFI[[#This Row],[Blanket]],Table_NFI[[#This Row],[Blanket]])</f>
        <v>0</v>
      </c>
      <c r="AE84" s="294">
        <f>IF(NFI_Expiration=1,IF($A84&lt;VLOOKUP(N$5,NFI,5,0),1,0)*Table_NFI[[#This Row],[Kitchen Set]],Table_NFI[Kitchen Set])</f>
        <v>0</v>
      </c>
      <c r="AF84" s="294">
        <f>IF(NFI_Expiration=1,IF($A84&lt;VLOOKUP(O$5,NFI,5,0),1,0)*Table_NFI[[#This Row],[Clothes Kit]],Table_NFI[Clothes Kit])</f>
        <v>0</v>
      </c>
      <c r="AG84" s="294">
        <f>IF(NFI_Expiration=1,IF($A84&lt;VLOOKUP(P$5,NFI,5,0),1,0)*Table_NFI[[#This Row],[Plastic Bucket]],Table_NFI[Plastic Bucket])</f>
        <v>0</v>
      </c>
      <c r="AH84" s="294">
        <f>IF(NFI_Expiration=1,IF($A84&lt;VLOOKUP(Q$5,NFI,5,0),1,0)*Table_NFI[[#This Row],[Plastic Mat]],Table_NFI[Plastic Mat])*IF(Table_NFI[[#This Row],[Distribution Date]]&gt;"2014-04-01",1,2.5)</f>
        <v>0</v>
      </c>
      <c r="AI84" s="294">
        <f>IF(NFI_Expiration=1,IF($A84&lt;VLOOKUP(R$5,NFI,5,0),1,0)*Table_NFI[[#This Row],[Winter Clothes Adult]],Table_NFI[Winter Clothes Adult])</f>
        <v>0</v>
      </c>
      <c r="AJ84" s="294">
        <f>IF(NFI_Expiration=1,IF($A84&lt;VLOOKUP(S$5,NFI,5,0),1,0)*Table_NFI[[#This Row],[Winter Clothes Children]],Table_NFI[Winter Clothes Children])</f>
        <v>0</v>
      </c>
      <c r="AK84" s="294">
        <f>IF(NFI_Expiration=1,IF($A84&lt;VLOOKUP(T$5,NFI,5,0),1,0)*Table_NFI[[#This Row],[Winter Items Other]],Table_NFI[Winter Items Other])</f>
        <v>0</v>
      </c>
      <c r="AL84" s="294">
        <f>IF(NFI_Expiration=1,IF($A84&lt;VLOOKUP(M$5,NFI,5,0),1,0)*Table_NFI[[#This Row],[Winter Blanket]],Table_NFI[[#This Row],[Winter Blanket]])</f>
        <v>0</v>
      </c>
      <c r="AM84" s="294">
        <f>IF(Table_NFI[[#This Row],[Winter Clothes Adult]]+Table_NFI[[#This Row],[Winter Clothes Children]]+Table_NFI[[#This Row],[Winter Items Other]]+Table_NFI[[#This Row],[Winter Blanket]]&gt;0,1,0)</f>
        <v>0</v>
      </c>
      <c r="AN84" s="331">
        <f>IF(NFI_Expiration=1,IF($A84&lt;VLOOKUP(V$5,NFI,5,0),1,0)*Table_NFI[[#This Row],[Jerry Can]],Table_NFI[Jerry Can])</f>
        <v>0</v>
      </c>
      <c r="AO84" s="331">
        <f>IF(NFI_Expiration=1,IF($A84&lt;VLOOKUP(V$5,NFI,5,0),1,0)*Table_NFI[[#This Row],[Shelter Tool kit]],Table_NFI[Shelter Tool kit])</f>
        <v>0</v>
      </c>
      <c r="AP84" s="331">
        <f>IF(NFI_Expiration=1,IF($A84&lt;VLOOKUP(V$5,NFI,5,0),1,0)*Table_NFI[[#This Row],[Tent]],Table_NFI[Tent])</f>
        <v>0</v>
      </c>
      <c r="AQ84" s="467" t="str">
        <f>IFERROR(VLOOKUP(Table_NFI[[#This Row],[Camp Name]],CL,2,0),"")</f>
        <v>MMR001CMP069</v>
      </c>
      <c r="AR84" s="835">
        <f ca="1">IF(Table_NFI[[#This Row],[Pcode]]="","",IF(OFFSET(CampList[Opening Date],MATCH(Table_NFI[[#This Row],[Pcode]],CampList[CP_Pcode],0)-1,0,1,1)&gt;=NFI_Monitor_Date,1,0))</f>
        <v>0</v>
      </c>
      <c r="AS84" s="467" t="str">
        <f>IFERROR(VLOOKUP(Table_NFI[[#This Row],[Camp Name]],CL,3,0),"")</f>
        <v>Open</v>
      </c>
      <c r="AT84" s="294" t="str">
        <f ca="1">IF(Table_NFI[[#This Row],[Pcode]]="","",OFFSET(CampList[Priority],MATCH(Table_NFI[[#This Row],[Pcode]],CampList[CP_Pcode],0)-1,0,1,1))</f>
        <v>P3</v>
      </c>
      <c r="AU84" s="293">
        <f>IFERROR(Table_NFI[[#This Row],[Kitchen Set]]/VLOOKUP(Table_NFI[[#This Row],[Camp Name]],CL,4,0),"")</f>
        <v>0</v>
      </c>
      <c r="AV84" s="461"/>
      <c r="AW84" s="463"/>
    </row>
    <row r="85" spans="1:49" s="98" customFormat="1" ht="15" customHeight="1" x14ac:dyDescent="0.2">
      <c r="A85" s="297">
        <f t="shared" si="1"/>
        <v>11.066666666666666</v>
      </c>
      <c r="B85" s="460">
        <v>42404</v>
      </c>
      <c r="C85" s="461" t="s">
        <v>905</v>
      </c>
      <c r="D85" s="461" t="s">
        <v>905</v>
      </c>
      <c r="E85" s="461" t="s">
        <v>380</v>
      </c>
      <c r="F85" s="461" t="s">
        <v>5</v>
      </c>
      <c r="G85" s="461" t="s">
        <v>24</v>
      </c>
      <c r="H85" s="291"/>
      <c r="I85" s="291"/>
      <c r="J85" s="575">
        <v>29</v>
      </c>
      <c r="K85" s="291"/>
      <c r="L85" s="292"/>
      <c r="M85" s="292"/>
      <c r="N85" s="292"/>
      <c r="O85" s="292"/>
      <c r="P85" s="294"/>
      <c r="Q85" s="294"/>
      <c r="R85" s="294"/>
      <c r="S85" s="294"/>
      <c r="T85" s="294"/>
      <c r="U85" s="294"/>
      <c r="V85" s="431"/>
      <c r="W85" s="294"/>
      <c r="X85" s="294"/>
      <c r="Y85" s="294">
        <f>IF(NFI_Expiration=1,IF($A85&lt;VLOOKUP(H$5,NFI,5,0),1,0)*Table_NFI[[#This Row],[Hygiene Kit]],Table_NFI[Hygiene Kit])</f>
        <v>0</v>
      </c>
      <c r="Z85" s="294">
        <f>IF(NFI_Expiration=1,IF($A85&lt;VLOOKUP(I$5,NFI,5,0),1,0)*Table_NFI[[#This Row],[NFI Core Kit]],Table_NFI[NFI Core Kit])</f>
        <v>0</v>
      </c>
      <c r="AA85" s="294">
        <f>IF(NFI_Expiration=1,IF($A85&lt;VLOOKUP(J$5,NFI,5,0),1,0)*Table_NFI[[#This Row],[Sanitary Kit]],Table_NFI[Sanitary Kit])</f>
        <v>29</v>
      </c>
      <c r="AB85" s="294">
        <f>IF(NFI_Expiration=1,IF($A85&lt;VLOOKUP(K$5,NFI,5,0),1,0)*Table_NFI[[#This Row],[Mosquito net]],Table_NFI[Mosquito net])</f>
        <v>0</v>
      </c>
      <c r="AC85" s="294">
        <f>IF(NFI_Expiration=1,IF($A85&lt;VLOOKUP(L$5,NFI,5,0),1,0)*Table_NFI[[#This Row],[Tarpaulin]],Table_NFI[[#This Row],[Tarpaulin]])</f>
        <v>0</v>
      </c>
      <c r="AD85" s="294">
        <f>IF(NFI_Expiration=1,IF($A85&lt;VLOOKUP(M$5,NFI,5,0),1,0)*Table_NFI[[#This Row],[Blanket]],Table_NFI[[#This Row],[Blanket]])</f>
        <v>0</v>
      </c>
      <c r="AE85" s="294">
        <f>IF(NFI_Expiration=1,IF($A85&lt;VLOOKUP(N$5,NFI,5,0),1,0)*Table_NFI[[#This Row],[Kitchen Set]],Table_NFI[Kitchen Set])</f>
        <v>0</v>
      </c>
      <c r="AF85" s="294">
        <f>IF(NFI_Expiration=1,IF($A85&lt;VLOOKUP(O$5,NFI,5,0),1,0)*Table_NFI[[#This Row],[Clothes Kit]],Table_NFI[Clothes Kit])</f>
        <v>0</v>
      </c>
      <c r="AG85" s="294">
        <f>IF(NFI_Expiration=1,IF($A85&lt;VLOOKUP(P$5,NFI,5,0),1,0)*Table_NFI[[#This Row],[Plastic Bucket]],Table_NFI[Plastic Bucket])</f>
        <v>0</v>
      </c>
      <c r="AH85" s="294">
        <f>IF(NFI_Expiration=1,IF($A85&lt;VLOOKUP(Q$5,NFI,5,0),1,0)*Table_NFI[[#This Row],[Plastic Mat]],Table_NFI[Plastic Mat])*IF(Table_NFI[[#This Row],[Distribution Date]]&gt;"2014-04-01",1,2.5)</f>
        <v>0</v>
      </c>
      <c r="AI85" s="294">
        <f>IF(NFI_Expiration=1,IF($A85&lt;VLOOKUP(R$5,NFI,5,0),1,0)*Table_NFI[[#This Row],[Winter Clothes Adult]],Table_NFI[Winter Clothes Adult])</f>
        <v>0</v>
      </c>
      <c r="AJ85" s="294">
        <f>IF(NFI_Expiration=1,IF($A85&lt;VLOOKUP(S$5,NFI,5,0),1,0)*Table_NFI[[#This Row],[Winter Clothes Children]],Table_NFI[Winter Clothes Children])</f>
        <v>0</v>
      </c>
      <c r="AK85" s="294">
        <f>IF(NFI_Expiration=1,IF($A85&lt;VLOOKUP(T$5,NFI,5,0),1,0)*Table_NFI[[#This Row],[Winter Items Other]],Table_NFI[Winter Items Other])</f>
        <v>0</v>
      </c>
      <c r="AL85" s="294">
        <f>IF(NFI_Expiration=1,IF($A85&lt;VLOOKUP(M$5,NFI,5,0),1,0)*Table_NFI[[#This Row],[Winter Blanket]],Table_NFI[[#This Row],[Winter Blanket]])</f>
        <v>0</v>
      </c>
      <c r="AM85" s="294">
        <f>IF(Table_NFI[[#This Row],[Winter Clothes Adult]]+Table_NFI[[#This Row],[Winter Clothes Children]]+Table_NFI[[#This Row],[Winter Items Other]]+Table_NFI[[#This Row],[Winter Blanket]]&gt;0,1,0)</f>
        <v>0</v>
      </c>
      <c r="AN85" s="331">
        <f>IF(NFI_Expiration=1,IF($A85&lt;VLOOKUP(V$5,NFI,5,0),1,0)*Table_NFI[[#This Row],[Jerry Can]],Table_NFI[Jerry Can])</f>
        <v>0</v>
      </c>
      <c r="AO85" s="331">
        <f>IF(NFI_Expiration=1,IF($A85&lt;VLOOKUP(V$5,NFI,5,0),1,0)*Table_NFI[[#This Row],[Shelter Tool kit]],Table_NFI[Shelter Tool kit])</f>
        <v>0</v>
      </c>
      <c r="AP85" s="331">
        <f>IF(NFI_Expiration=1,IF($A85&lt;VLOOKUP(V$5,NFI,5,0),1,0)*Table_NFI[[#This Row],[Tent]],Table_NFI[Tent])</f>
        <v>0</v>
      </c>
      <c r="AQ85" s="467" t="str">
        <f>IFERROR(VLOOKUP(Table_NFI[[#This Row],[Camp Name]],CL,2,0),"")</f>
        <v>MMR001CMP055</v>
      </c>
      <c r="AR85" s="835">
        <f ca="1">IF(Table_NFI[[#This Row],[Pcode]]="","",IF(OFFSET(CampList[Opening Date],MATCH(Table_NFI[[#This Row],[Pcode]],CampList[CP_Pcode],0)-1,0,1,1)&gt;=NFI_Monitor_Date,1,0))</f>
        <v>0</v>
      </c>
      <c r="AS85" s="467" t="str">
        <f>IFERROR(VLOOKUP(Table_NFI[[#This Row],[Camp Name]],CL,3,0),"")</f>
        <v>Open</v>
      </c>
      <c r="AT85" s="294" t="str">
        <f ca="1">IF(Table_NFI[[#This Row],[Pcode]]="","",OFFSET(CampList[Priority],MATCH(Table_NFI[[#This Row],[Pcode]],CampList[CP_Pcode],0)-1,0,1,1))</f>
        <v>P4</v>
      </c>
      <c r="AU85" s="293">
        <f>IFERROR(Table_NFI[[#This Row],[Kitchen Set]]/VLOOKUP(Table_NFI[[#This Row],[Camp Name]],CL,4,0),"")</f>
        <v>0</v>
      </c>
      <c r="AV85" s="461"/>
      <c r="AW85" s="463"/>
    </row>
    <row r="86" spans="1:49" s="464" customFormat="1" ht="15" customHeight="1" x14ac:dyDescent="0.25">
      <c r="A86" s="297">
        <f t="shared" si="1"/>
        <v>11.133333333333333</v>
      </c>
      <c r="B86" s="460">
        <v>42402</v>
      </c>
      <c r="C86" s="461" t="s">
        <v>905</v>
      </c>
      <c r="D86" s="461" t="s">
        <v>905</v>
      </c>
      <c r="E86" s="461" t="s">
        <v>380</v>
      </c>
      <c r="F86" s="290" t="s">
        <v>5</v>
      </c>
      <c r="G86" s="290" t="s">
        <v>6</v>
      </c>
      <c r="H86" s="291"/>
      <c r="I86" s="291"/>
      <c r="J86" s="294">
        <v>310</v>
      </c>
      <c r="K86" s="291"/>
      <c r="L86" s="292"/>
      <c r="M86" s="292"/>
      <c r="N86" s="292"/>
      <c r="O86" s="292"/>
      <c r="P86" s="294"/>
      <c r="Q86" s="294"/>
      <c r="R86" s="294"/>
      <c r="S86" s="294"/>
      <c r="T86" s="294"/>
      <c r="U86" s="294"/>
      <c r="V86" s="431"/>
      <c r="W86" s="294"/>
      <c r="X86" s="294"/>
      <c r="Y86" s="294">
        <f>IF(NFI_Expiration=1,IF($A86&lt;VLOOKUP(H$5,NFI,5,0),1,0)*Table_NFI[[#This Row],[Hygiene Kit]],Table_NFI[Hygiene Kit])</f>
        <v>0</v>
      </c>
      <c r="Z86" s="294">
        <f>IF(NFI_Expiration=1,IF($A86&lt;VLOOKUP(I$5,NFI,5,0),1,0)*Table_NFI[[#This Row],[NFI Core Kit]],Table_NFI[NFI Core Kit])</f>
        <v>0</v>
      </c>
      <c r="AA86" s="294">
        <f>IF(NFI_Expiration=1,IF($A86&lt;VLOOKUP(J$5,NFI,5,0),1,0)*Table_NFI[[#This Row],[Sanitary Kit]],Table_NFI[Sanitary Kit])</f>
        <v>310</v>
      </c>
      <c r="AB86" s="294">
        <f>IF(NFI_Expiration=1,IF($A86&lt;VLOOKUP(K$5,NFI,5,0),1,0)*Table_NFI[[#This Row],[Mosquito net]],Table_NFI[Mosquito net])</f>
        <v>0</v>
      </c>
      <c r="AC86" s="294">
        <f>IF(NFI_Expiration=1,IF($A86&lt;VLOOKUP(L$5,NFI,5,0),1,0)*Table_NFI[[#This Row],[Tarpaulin]],Table_NFI[[#This Row],[Tarpaulin]])</f>
        <v>0</v>
      </c>
      <c r="AD86" s="294">
        <f>IF(NFI_Expiration=1,IF($A86&lt;VLOOKUP(M$5,NFI,5,0),1,0)*Table_NFI[[#This Row],[Blanket]],Table_NFI[[#This Row],[Blanket]])</f>
        <v>0</v>
      </c>
      <c r="AE86" s="294">
        <f>IF(NFI_Expiration=1,IF($A86&lt;VLOOKUP(N$5,NFI,5,0),1,0)*Table_NFI[[#This Row],[Kitchen Set]],Table_NFI[Kitchen Set])</f>
        <v>0</v>
      </c>
      <c r="AF86" s="294">
        <f>IF(NFI_Expiration=1,IF($A86&lt;VLOOKUP(O$5,NFI,5,0),1,0)*Table_NFI[[#This Row],[Clothes Kit]],Table_NFI[Clothes Kit])</f>
        <v>0</v>
      </c>
      <c r="AG86" s="294">
        <f>IF(NFI_Expiration=1,IF($A86&lt;VLOOKUP(P$5,NFI,5,0),1,0)*Table_NFI[[#This Row],[Plastic Bucket]],Table_NFI[Plastic Bucket])</f>
        <v>0</v>
      </c>
      <c r="AH86" s="294">
        <f>IF(NFI_Expiration=1,IF($A86&lt;VLOOKUP(Q$5,NFI,5,0),1,0)*Table_NFI[[#This Row],[Plastic Mat]],Table_NFI[Plastic Mat])*IF(Table_NFI[[#This Row],[Distribution Date]]&gt;"2014-04-01",1,2.5)</f>
        <v>0</v>
      </c>
      <c r="AI86" s="294">
        <f>IF(NFI_Expiration=1,IF($A86&lt;VLOOKUP(R$5,NFI,5,0),1,0)*Table_NFI[[#This Row],[Winter Clothes Adult]],Table_NFI[Winter Clothes Adult])</f>
        <v>0</v>
      </c>
      <c r="AJ86" s="294">
        <f>IF(NFI_Expiration=1,IF($A86&lt;VLOOKUP(S$5,NFI,5,0),1,0)*Table_NFI[[#This Row],[Winter Clothes Children]],Table_NFI[Winter Clothes Children])</f>
        <v>0</v>
      </c>
      <c r="AK86" s="294">
        <f>IF(NFI_Expiration=1,IF($A86&lt;VLOOKUP(T$5,NFI,5,0),1,0)*Table_NFI[[#This Row],[Winter Items Other]],Table_NFI[Winter Items Other])</f>
        <v>0</v>
      </c>
      <c r="AL86" s="294">
        <f>IF(NFI_Expiration=1,IF($A86&lt;VLOOKUP(M$5,NFI,5,0),1,0)*Table_NFI[[#This Row],[Winter Blanket]],Table_NFI[[#This Row],[Winter Blanket]])</f>
        <v>0</v>
      </c>
      <c r="AM86" s="294">
        <f>IF(Table_NFI[[#This Row],[Winter Clothes Adult]]+Table_NFI[[#This Row],[Winter Clothes Children]]+Table_NFI[[#This Row],[Winter Items Other]]+Table_NFI[[#This Row],[Winter Blanket]]&gt;0,1,0)</f>
        <v>0</v>
      </c>
      <c r="AN86" s="331">
        <f>IF(NFI_Expiration=1,IF($A86&lt;VLOOKUP(V$5,NFI,5,0),1,0)*Table_NFI[[#This Row],[Jerry Can]],Table_NFI[Jerry Can])</f>
        <v>0</v>
      </c>
      <c r="AO86" s="331">
        <f>IF(NFI_Expiration=1,IF($A86&lt;VLOOKUP(V$5,NFI,5,0),1,0)*Table_NFI[[#This Row],[Shelter Tool kit]],Table_NFI[Shelter Tool kit])</f>
        <v>0</v>
      </c>
      <c r="AP86" s="331">
        <f>IF(NFI_Expiration=1,IF($A86&lt;VLOOKUP(V$5,NFI,5,0),1,0)*Table_NFI[[#This Row],[Tent]],Table_NFI[Tent])</f>
        <v>0</v>
      </c>
      <c r="AQ86" s="467" t="str">
        <f>IFERROR(VLOOKUP(Table_NFI[[#This Row],[Camp Name]],CL,2,0),"")</f>
        <v>MMR001CMP050</v>
      </c>
      <c r="AR86" s="835">
        <f ca="1">IF(Table_NFI[[#This Row],[Pcode]]="","",IF(OFFSET(CampList[Opening Date],MATCH(Table_NFI[[#This Row],[Pcode]],CampList[CP_Pcode],0)-1,0,1,1)&gt;=NFI_Monitor_Date,1,0))</f>
        <v>0</v>
      </c>
      <c r="AS86" s="467" t="str">
        <f>IFERROR(VLOOKUP(Table_NFI[[#This Row],[Camp Name]],CL,3,0),"")</f>
        <v>Open</v>
      </c>
      <c r="AT86" s="294" t="str">
        <f ca="1">IF(Table_NFI[[#This Row],[Pcode]]="","",OFFSET(CampList[Priority],MATCH(Table_NFI[[#This Row],[Pcode]],CampList[CP_Pcode],0)-1,0,1,1))</f>
        <v>P4</v>
      </c>
      <c r="AU86" s="293">
        <f>IFERROR(Table_NFI[[#This Row],[Kitchen Set]]/VLOOKUP(Table_NFI[[#This Row],[Camp Name]],CL,4,0),"")</f>
        <v>0</v>
      </c>
      <c r="AV86" s="461"/>
      <c r="AW86" s="463"/>
    </row>
    <row r="87" spans="1:49" s="98" customFormat="1" ht="15" customHeight="1" x14ac:dyDescent="0.2">
      <c r="A87" s="297">
        <f t="shared" si="1"/>
        <v>11.133333333333333</v>
      </c>
      <c r="B87" s="460">
        <v>42402</v>
      </c>
      <c r="C87" s="461" t="s">
        <v>905</v>
      </c>
      <c r="D87" s="461" t="s">
        <v>905</v>
      </c>
      <c r="E87" s="461" t="s">
        <v>380</v>
      </c>
      <c r="F87" s="461" t="s">
        <v>5</v>
      </c>
      <c r="G87" s="461" t="s">
        <v>366</v>
      </c>
      <c r="H87" s="291"/>
      <c r="I87" s="291"/>
      <c r="J87" s="575">
        <v>204</v>
      </c>
      <c r="K87" s="291"/>
      <c r="L87" s="292"/>
      <c r="M87" s="292"/>
      <c r="N87" s="292"/>
      <c r="O87" s="292"/>
      <c r="P87" s="294"/>
      <c r="Q87" s="294"/>
      <c r="R87" s="294"/>
      <c r="S87" s="294"/>
      <c r="T87" s="294"/>
      <c r="U87" s="294"/>
      <c r="V87" s="431"/>
      <c r="W87" s="294"/>
      <c r="X87" s="294"/>
      <c r="Y87" s="294">
        <f>IF(NFI_Expiration=1,IF($A87&lt;VLOOKUP(H$5,NFI,5,0),1,0)*Table_NFI[[#This Row],[Hygiene Kit]],Table_NFI[Hygiene Kit])</f>
        <v>0</v>
      </c>
      <c r="Z87" s="294">
        <f>IF(NFI_Expiration=1,IF($A87&lt;VLOOKUP(I$5,NFI,5,0),1,0)*Table_NFI[[#This Row],[NFI Core Kit]],Table_NFI[NFI Core Kit])</f>
        <v>0</v>
      </c>
      <c r="AA87" s="294">
        <f>IF(NFI_Expiration=1,IF($A87&lt;VLOOKUP(J$5,NFI,5,0),1,0)*Table_NFI[[#This Row],[Sanitary Kit]],Table_NFI[Sanitary Kit])</f>
        <v>204</v>
      </c>
      <c r="AB87" s="294">
        <f>IF(NFI_Expiration=1,IF($A87&lt;VLOOKUP(K$5,NFI,5,0),1,0)*Table_NFI[[#This Row],[Mosquito net]],Table_NFI[Mosquito net])</f>
        <v>0</v>
      </c>
      <c r="AC87" s="294">
        <f>IF(NFI_Expiration=1,IF($A87&lt;VLOOKUP(L$5,NFI,5,0),1,0)*Table_NFI[[#This Row],[Tarpaulin]],Table_NFI[[#This Row],[Tarpaulin]])</f>
        <v>0</v>
      </c>
      <c r="AD87" s="294">
        <f>IF(NFI_Expiration=1,IF($A87&lt;VLOOKUP(M$5,NFI,5,0),1,0)*Table_NFI[[#This Row],[Blanket]],Table_NFI[[#This Row],[Blanket]])</f>
        <v>0</v>
      </c>
      <c r="AE87" s="294">
        <f>IF(NFI_Expiration=1,IF($A87&lt;VLOOKUP(N$5,NFI,5,0),1,0)*Table_NFI[[#This Row],[Kitchen Set]],Table_NFI[Kitchen Set])</f>
        <v>0</v>
      </c>
      <c r="AF87" s="294">
        <f>IF(NFI_Expiration=1,IF($A87&lt;VLOOKUP(O$5,NFI,5,0),1,0)*Table_NFI[[#This Row],[Clothes Kit]],Table_NFI[Clothes Kit])</f>
        <v>0</v>
      </c>
      <c r="AG87" s="294">
        <f>IF(NFI_Expiration=1,IF($A87&lt;VLOOKUP(P$5,NFI,5,0),1,0)*Table_NFI[[#This Row],[Plastic Bucket]],Table_NFI[Plastic Bucket])</f>
        <v>0</v>
      </c>
      <c r="AH87" s="294">
        <f>IF(NFI_Expiration=1,IF($A87&lt;VLOOKUP(Q$5,NFI,5,0),1,0)*Table_NFI[[#This Row],[Plastic Mat]],Table_NFI[Plastic Mat])*IF(Table_NFI[[#This Row],[Distribution Date]]&gt;"2014-04-01",1,2.5)</f>
        <v>0</v>
      </c>
      <c r="AI87" s="294">
        <f>IF(NFI_Expiration=1,IF($A87&lt;VLOOKUP(R$5,NFI,5,0),1,0)*Table_NFI[[#This Row],[Winter Clothes Adult]],Table_NFI[Winter Clothes Adult])</f>
        <v>0</v>
      </c>
      <c r="AJ87" s="294">
        <f>IF(NFI_Expiration=1,IF($A87&lt;VLOOKUP(S$5,NFI,5,0),1,0)*Table_NFI[[#This Row],[Winter Clothes Children]],Table_NFI[Winter Clothes Children])</f>
        <v>0</v>
      </c>
      <c r="AK87" s="294">
        <f>IF(NFI_Expiration=1,IF($A87&lt;VLOOKUP(T$5,NFI,5,0),1,0)*Table_NFI[[#This Row],[Winter Items Other]],Table_NFI[Winter Items Other])</f>
        <v>0</v>
      </c>
      <c r="AL87" s="294">
        <f>IF(NFI_Expiration=1,IF($A87&lt;VLOOKUP(M$5,NFI,5,0),1,0)*Table_NFI[[#This Row],[Winter Blanket]],Table_NFI[[#This Row],[Winter Blanket]])</f>
        <v>0</v>
      </c>
      <c r="AM87" s="294">
        <f>IF(Table_NFI[[#This Row],[Winter Clothes Adult]]+Table_NFI[[#This Row],[Winter Clothes Children]]+Table_NFI[[#This Row],[Winter Items Other]]+Table_NFI[[#This Row],[Winter Blanket]]&gt;0,1,0)</f>
        <v>0</v>
      </c>
      <c r="AN87" s="331">
        <f>IF(NFI_Expiration=1,IF($A87&lt;VLOOKUP(V$5,NFI,5,0),1,0)*Table_NFI[[#This Row],[Jerry Can]],Table_NFI[Jerry Can])</f>
        <v>0</v>
      </c>
      <c r="AO87" s="331">
        <f>IF(NFI_Expiration=1,IF($A87&lt;VLOOKUP(V$5,NFI,5,0),1,0)*Table_NFI[[#This Row],[Shelter Tool kit]],Table_NFI[Shelter Tool kit])</f>
        <v>0</v>
      </c>
      <c r="AP87" s="331">
        <f>IF(NFI_Expiration=1,IF($A87&lt;VLOOKUP(V$5,NFI,5,0),1,0)*Table_NFI[[#This Row],[Tent]],Table_NFI[Tent])</f>
        <v>0</v>
      </c>
      <c r="AQ87" s="467" t="str">
        <f>IFERROR(VLOOKUP(Table_NFI[[#This Row],[Camp Name]],CL,2,0),"")</f>
        <v>MMR001CMP193</v>
      </c>
      <c r="AR87" s="835">
        <f ca="1">IF(Table_NFI[[#This Row],[Pcode]]="","",IF(OFFSET(CampList[Opening Date],MATCH(Table_NFI[[#This Row],[Pcode]],CampList[CP_Pcode],0)-1,0,1,1)&gt;=NFI_Monitor_Date,1,0))</f>
        <v>0</v>
      </c>
      <c r="AS87" s="467" t="str">
        <f>IFERROR(VLOOKUP(Table_NFI[[#This Row],[Camp Name]],CL,3,0),"")</f>
        <v>Open</v>
      </c>
      <c r="AT87" s="294" t="str">
        <f ca="1">IF(Table_NFI[[#This Row],[Pcode]]="","",OFFSET(CampList[Priority],MATCH(Table_NFI[[#This Row],[Pcode]],CampList[CP_Pcode],0)-1,0,1,1))</f>
        <v>P4</v>
      </c>
      <c r="AU87" s="293">
        <f>IFERROR(Table_NFI[[#This Row],[Kitchen Set]]/VLOOKUP(Table_NFI[[#This Row],[Camp Name]],CL,4,0),"")</f>
        <v>0</v>
      </c>
      <c r="AV87" s="461"/>
      <c r="AW87" s="463"/>
    </row>
    <row r="88" spans="1:49" s="464" customFormat="1" ht="15" customHeight="1" x14ac:dyDescent="0.2">
      <c r="A88" s="297">
        <f t="shared" si="1"/>
        <v>11.266666666666667</v>
      </c>
      <c r="B88" s="460">
        <v>42398</v>
      </c>
      <c r="C88" s="461" t="s">
        <v>905</v>
      </c>
      <c r="D88" s="462" t="s">
        <v>905</v>
      </c>
      <c r="E88" s="461" t="s">
        <v>380</v>
      </c>
      <c r="F88" s="290" t="s">
        <v>185</v>
      </c>
      <c r="G88" s="290" t="s">
        <v>186</v>
      </c>
      <c r="H88" s="291"/>
      <c r="I88" s="291"/>
      <c r="J88" s="292"/>
      <c r="K88" s="291"/>
      <c r="L88" s="292"/>
      <c r="M88" s="292"/>
      <c r="N88" s="292"/>
      <c r="O88" s="292"/>
      <c r="P88" s="294"/>
      <c r="Q88" s="294"/>
      <c r="R88" s="294"/>
      <c r="S88" s="294"/>
      <c r="T88" s="294"/>
      <c r="U88" s="294"/>
      <c r="V88" s="612">
        <v>2</v>
      </c>
      <c r="W88" s="294"/>
      <c r="X88" s="294"/>
      <c r="Y88" s="294">
        <f>IF(NFI_Expiration=1,IF($A88&lt;VLOOKUP(H$5,NFI,5,0),1,0)*Table_NFI[[#This Row],[Hygiene Kit]],Table_NFI[Hygiene Kit])</f>
        <v>0</v>
      </c>
      <c r="Z88" s="294">
        <f>IF(NFI_Expiration=1,IF($A88&lt;VLOOKUP(I$5,NFI,5,0),1,0)*Table_NFI[[#This Row],[NFI Core Kit]],Table_NFI[NFI Core Kit])</f>
        <v>0</v>
      </c>
      <c r="AA88" s="294">
        <f>IF(NFI_Expiration=1,IF($A88&lt;VLOOKUP(J$5,NFI,5,0),1,0)*Table_NFI[[#This Row],[Sanitary Kit]],Table_NFI[Sanitary Kit])</f>
        <v>0</v>
      </c>
      <c r="AB88" s="294">
        <f>IF(NFI_Expiration=1,IF($A88&lt;VLOOKUP(K$5,NFI,5,0),1,0)*Table_NFI[[#This Row],[Mosquito net]],Table_NFI[Mosquito net])</f>
        <v>0</v>
      </c>
      <c r="AC88" s="294">
        <f>IF(NFI_Expiration=1,IF($A88&lt;VLOOKUP(L$5,NFI,5,0),1,0)*Table_NFI[[#This Row],[Tarpaulin]],Table_NFI[[#This Row],[Tarpaulin]])</f>
        <v>0</v>
      </c>
      <c r="AD88" s="294">
        <f>IF(NFI_Expiration=1,IF($A88&lt;VLOOKUP(M$5,NFI,5,0),1,0)*Table_NFI[[#This Row],[Blanket]],Table_NFI[[#This Row],[Blanket]])</f>
        <v>0</v>
      </c>
      <c r="AE88" s="294">
        <f>IF(NFI_Expiration=1,IF($A88&lt;VLOOKUP(N$5,NFI,5,0),1,0)*Table_NFI[[#This Row],[Kitchen Set]],Table_NFI[Kitchen Set])</f>
        <v>0</v>
      </c>
      <c r="AF88" s="294">
        <f>IF(NFI_Expiration=1,IF($A88&lt;VLOOKUP(O$5,NFI,5,0),1,0)*Table_NFI[[#This Row],[Clothes Kit]],Table_NFI[Clothes Kit])</f>
        <v>0</v>
      </c>
      <c r="AG88" s="294">
        <f>IF(NFI_Expiration=1,IF($A88&lt;VLOOKUP(P$5,NFI,5,0),1,0)*Table_NFI[[#This Row],[Plastic Bucket]],Table_NFI[Plastic Bucket])</f>
        <v>0</v>
      </c>
      <c r="AH88" s="294">
        <f>IF(NFI_Expiration=1,IF($A88&lt;VLOOKUP(Q$5,NFI,5,0),1,0)*Table_NFI[[#This Row],[Plastic Mat]],Table_NFI[Plastic Mat])*IF(Table_NFI[[#This Row],[Distribution Date]]&gt;"2014-04-01",1,2.5)</f>
        <v>0</v>
      </c>
      <c r="AI88" s="294">
        <f>IF(NFI_Expiration=1,IF($A88&lt;VLOOKUP(R$5,NFI,5,0),1,0)*Table_NFI[[#This Row],[Winter Clothes Adult]],Table_NFI[Winter Clothes Adult])</f>
        <v>0</v>
      </c>
      <c r="AJ88" s="294">
        <f>IF(NFI_Expiration=1,IF($A88&lt;VLOOKUP(S$5,NFI,5,0),1,0)*Table_NFI[[#This Row],[Winter Clothes Children]],Table_NFI[Winter Clothes Children])</f>
        <v>0</v>
      </c>
      <c r="AK88" s="294">
        <f>IF(NFI_Expiration=1,IF($A88&lt;VLOOKUP(T$5,NFI,5,0),1,0)*Table_NFI[[#This Row],[Winter Items Other]],Table_NFI[Winter Items Other])</f>
        <v>0</v>
      </c>
      <c r="AL88" s="294">
        <f>IF(NFI_Expiration=1,IF($A88&lt;VLOOKUP(M$5,NFI,5,0),1,0)*Table_NFI[[#This Row],[Winter Blanket]],Table_NFI[[#This Row],[Winter Blanket]])</f>
        <v>0</v>
      </c>
      <c r="AM88" s="294">
        <f>IF(Table_NFI[[#This Row],[Winter Clothes Adult]]+Table_NFI[[#This Row],[Winter Clothes Children]]+Table_NFI[[#This Row],[Winter Items Other]]+Table_NFI[[#This Row],[Winter Blanket]]&gt;0,1,0)</f>
        <v>0</v>
      </c>
      <c r="AN88" s="331">
        <f>IF(NFI_Expiration=1,IF($A88&lt;VLOOKUP(V$5,NFI,5,0),1,0)*Table_NFI[[#This Row],[Jerry Can]],Table_NFI[Jerry Can])</f>
        <v>2</v>
      </c>
      <c r="AO88" s="331">
        <f>IF(NFI_Expiration=1,IF($A88&lt;VLOOKUP(V$5,NFI,5,0),1,0)*Table_NFI[[#This Row],[Shelter Tool kit]],Table_NFI[Shelter Tool kit])</f>
        <v>0</v>
      </c>
      <c r="AP88" s="331">
        <f>IF(NFI_Expiration=1,IF($A88&lt;VLOOKUP(V$5,NFI,5,0),1,0)*Table_NFI[[#This Row],[Tent]],Table_NFI[Tent])</f>
        <v>0</v>
      </c>
      <c r="AQ88" s="467" t="str">
        <f>IFERROR(VLOOKUP(Table_NFI[[#This Row],[Camp Name]],CL,2,0),"")</f>
        <v>MMR001CMP071</v>
      </c>
      <c r="AR88" s="835">
        <f ca="1">IF(Table_NFI[[#This Row],[Pcode]]="","",IF(OFFSET(CampList[Opening Date],MATCH(Table_NFI[[#This Row],[Pcode]],CampList[CP_Pcode],0)-1,0,1,1)&gt;=NFI_Monitor_Date,1,0))</f>
        <v>0</v>
      </c>
      <c r="AS88" s="467" t="str">
        <f>IFERROR(VLOOKUP(Table_NFI[[#This Row],[Camp Name]],CL,3,0),"")</f>
        <v>Open</v>
      </c>
      <c r="AT88" s="294" t="str">
        <f ca="1">IF(Table_NFI[[#This Row],[Pcode]]="","",OFFSET(CampList[Priority],MATCH(Table_NFI[[#This Row],[Pcode]],CampList[CP_Pcode],0)-1,0,1,1))</f>
        <v>P3</v>
      </c>
      <c r="AU88" s="293">
        <f>IFERROR(Table_NFI[[#This Row],[Kitchen Set]]/VLOOKUP(Table_NFI[[#This Row],[Camp Name]],CL,4,0),"")</f>
        <v>0</v>
      </c>
      <c r="AV88" s="461"/>
      <c r="AW88" s="463"/>
    </row>
    <row r="89" spans="1:49" s="98" customFormat="1" ht="15" customHeight="1" x14ac:dyDescent="0.2">
      <c r="A89" s="297">
        <f t="shared" si="1"/>
        <v>11.266666666666667</v>
      </c>
      <c r="B89" s="460">
        <v>42398</v>
      </c>
      <c r="C89" s="461" t="s">
        <v>905</v>
      </c>
      <c r="D89" s="462" t="s">
        <v>905</v>
      </c>
      <c r="E89" s="461" t="s">
        <v>380</v>
      </c>
      <c r="F89" s="290" t="s">
        <v>185</v>
      </c>
      <c r="G89" s="290" t="s">
        <v>190</v>
      </c>
      <c r="H89" s="291"/>
      <c r="I89" s="291"/>
      <c r="J89" s="292"/>
      <c r="K89" s="291"/>
      <c r="L89" s="292"/>
      <c r="M89" s="292"/>
      <c r="N89" s="292"/>
      <c r="O89" s="292"/>
      <c r="P89" s="294"/>
      <c r="Q89" s="294"/>
      <c r="R89" s="294"/>
      <c r="S89" s="294"/>
      <c r="T89" s="294"/>
      <c r="U89" s="294"/>
      <c r="V89" s="612">
        <v>3</v>
      </c>
      <c r="W89" s="294"/>
      <c r="X89" s="294"/>
      <c r="Y89" s="294">
        <f>IF(NFI_Expiration=1,IF($A89&lt;VLOOKUP(H$5,NFI,5,0),1,0)*Table_NFI[[#This Row],[Hygiene Kit]],Table_NFI[Hygiene Kit])</f>
        <v>0</v>
      </c>
      <c r="Z89" s="294">
        <f>IF(NFI_Expiration=1,IF($A89&lt;VLOOKUP(I$5,NFI,5,0),1,0)*Table_NFI[[#This Row],[NFI Core Kit]],Table_NFI[NFI Core Kit])</f>
        <v>0</v>
      </c>
      <c r="AA89" s="294">
        <f>IF(NFI_Expiration=1,IF($A89&lt;VLOOKUP(J$5,NFI,5,0),1,0)*Table_NFI[[#This Row],[Sanitary Kit]],Table_NFI[Sanitary Kit])</f>
        <v>0</v>
      </c>
      <c r="AB89" s="294">
        <f>IF(NFI_Expiration=1,IF($A89&lt;VLOOKUP(K$5,NFI,5,0),1,0)*Table_NFI[[#This Row],[Mosquito net]],Table_NFI[Mosquito net])</f>
        <v>0</v>
      </c>
      <c r="AC89" s="294">
        <f>IF(NFI_Expiration=1,IF($A89&lt;VLOOKUP(L$5,NFI,5,0),1,0)*Table_NFI[[#This Row],[Tarpaulin]],Table_NFI[[#This Row],[Tarpaulin]])</f>
        <v>0</v>
      </c>
      <c r="AD89" s="294">
        <f>IF(NFI_Expiration=1,IF($A89&lt;VLOOKUP(M$5,NFI,5,0),1,0)*Table_NFI[[#This Row],[Blanket]],Table_NFI[[#This Row],[Blanket]])</f>
        <v>0</v>
      </c>
      <c r="AE89" s="294">
        <f>IF(NFI_Expiration=1,IF($A89&lt;VLOOKUP(N$5,NFI,5,0),1,0)*Table_NFI[[#This Row],[Kitchen Set]],Table_NFI[Kitchen Set])</f>
        <v>0</v>
      </c>
      <c r="AF89" s="294">
        <f>IF(NFI_Expiration=1,IF($A89&lt;VLOOKUP(O$5,NFI,5,0),1,0)*Table_NFI[[#This Row],[Clothes Kit]],Table_NFI[Clothes Kit])</f>
        <v>0</v>
      </c>
      <c r="AG89" s="294">
        <f>IF(NFI_Expiration=1,IF($A89&lt;VLOOKUP(P$5,NFI,5,0),1,0)*Table_NFI[[#This Row],[Plastic Bucket]],Table_NFI[Plastic Bucket])</f>
        <v>0</v>
      </c>
      <c r="AH89" s="294">
        <f>IF(NFI_Expiration=1,IF($A89&lt;VLOOKUP(Q$5,NFI,5,0),1,0)*Table_NFI[[#This Row],[Plastic Mat]],Table_NFI[Plastic Mat])*IF(Table_NFI[[#This Row],[Distribution Date]]&gt;"2014-04-01",1,2.5)</f>
        <v>0</v>
      </c>
      <c r="AI89" s="294">
        <f>IF(NFI_Expiration=1,IF($A89&lt;VLOOKUP(R$5,NFI,5,0),1,0)*Table_NFI[[#This Row],[Winter Clothes Adult]],Table_NFI[Winter Clothes Adult])</f>
        <v>0</v>
      </c>
      <c r="AJ89" s="294">
        <f>IF(NFI_Expiration=1,IF($A89&lt;VLOOKUP(S$5,NFI,5,0),1,0)*Table_NFI[[#This Row],[Winter Clothes Children]],Table_NFI[Winter Clothes Children])</f>
        <v>0</v>
      </c>
      <c r="AK89" s="294">
        <f>IF(NFI_Expiration=1,IF($A89&lt;VLOOKUP(T$5,NFI,5,0),1,0)*Table_NFI[[#This Row],[Winter Items Other]],Table_NFI[Winter Items Other])</f>
        <v>0</v>
      </c>
      <c r="AL89" s="294">
        <f>IF(NFI_Expiration=1,IF($A89&lt;VLOOKUP(M$5,NFI,5,0),1,0)*Table_NFI[[#This Row],[Winter Blanket]],Table_NFI[[#This Row],[Winter Blanket]])</f>
        <v>0</v>
      </c>
      <c r="AM89" s="294">
        <f>IF(Table_NFI[[#This Row],[Winter Clothes Adult]]+Table_NFI[[#This Row],[Winter Clothes Children]]+Table_NFI[[#This Row],[Winter Items Other]]+Table_NFI[[#This Row],[Winter Blanket]]&gt;0,1,0)</f>
        <v>0</v>
      </c>
      <c r="AN89" s="331">
        <f>IF(NFI_Expiration=1,IF($A89&lt;VLOOKUP(V$5,NFI,5,0),1,0)*Table_NFI[[#This Row],[Jerry Can]],Table_NFI[Jerry Can])</f>
        <v>3</v>
      </c>
      <c r="AO89" s="331">
        <f>IF(NFI_Expiration=1,IF($A89&lt;VLOOKUP(V$5,NFI,5,0),1,0)*Table_NFI[[#This Row],[Shelter Tool kit]],Table_NFI[Shelter Tool kit])</f>
        <v>0</v>
      </c>
      <c r="AP89" s="331">
        <f>IF(NFI_Expiration=1,IF($A89&lt;VLOOKUP(V$5,NFI,5,0),1,0)*Table_NFI[[#This Row],[Tent]],Table_NFI[Tent])</f>
        <v>0</v>
      </c>
      <c r="AQ89" s="467" t="str">
        <f>IFERROR(VLOOKUP(Table_NFI[[#This Row],[Camp Name]],CL,2,0),"")</f>
        <v>MMR001CMP070</v>
      </c>
      <c r="AR89" s="835">
        <f ca="1">IF(Table_NFI[[#This Row],[Pcode]]="","",IF(OFFSET(CampList[Opening Date],MATCH(Table_NFI[[#This Row],[Pcode]],CampList[CP_Pcode],0)-1,0,1,1)&gt;=NFI_Monitor_Date,1,0))</f>
        <v>0</v>
      </c>
      <c r="AS89" s="467" t="str">
        <f>IFERROR(VLOOKUP(Table_NFI[[#This Row],[Camp Name]],CL,3,0),"")</f>
        <v>Open</v>
      </c>
      <c r="AT89" s="294" t="str">
        <f ca="1">IF(Table_NFI[[#This Row],[Pcode]]="","",OFFSET(CampList[Priority],MATCH(Table_NFI[[#This Row],[Pcode]],CampList[CP_Pcode],0)-1,0,1,1))</f>
        <v>P3</v>
      </c>
      <c r="AU89" s="293">
        <f>IFERROR(Table_NFI[[#This Row],[Kitchen Set]]/VLOOKUP(Table_NFI[[#This Row],[Camp Name]],CL,4,0),"")</f>
        <v>0</v>
      </c>
      <c r="AV89" s="461"/>
      <c r="AW89" s="463"/>
    </row>
    <row r="90" spans="1:49" s="98" customFormat="1" ht="15" customHeight="1" x14ac:dyDescent="0.2">
      <c r="A90" s="297">
        <f t="shared" si="1"/>
        <v>11.266666666666667</v>
      </c>
      <c r="B90" s="460">
        <v>42398</v>
      </c>
      <c r="C90" s="461" t="s">
        <v>905</v>
      </c>
      <c r="D90" s="462" t="s">
        <v>905</v>
      </c>
      <c r="E90" s="461" t="s">
        <v>380</v>
      </c>
      <c r="F90" s="290" t="s">
        <v>185</v>
      </c>
      <c r="G90" s="290" t="s">
        <v>225</v>
      </c>
      <c r="H90" s="291"/>
      <c r="I90" s="291"/>
      <c r="J90" s="292"/>
      <c r="K90" s="291"/>
      <c r="L90" s="292"/>
      <c r="M90" s="292"/>
      <c r="N90" s="292"/>
      <c r="O90" s="292"/>
      <c r="P90" s="294"/>
      <c r="Q90" s="294"/>
      <c r="R90" s="294"/>
      <c r="S90" s="294"/>
      <c r="T90" s="294"/>
      <c r="U90" s="294"/>
      <c r="V90" s="612">
        <v>3</v>
      </c>
      <c r="W90" s="294"/>
      <c r="X90" s="294"/>
      <c r="Y90" s="294">
        <f>IF(NFI_Expiration=1,IF($A90&lt;VLOOKUP(H$5,NFI,5,0),1,0)*Table_NFI[[#This Row],[Hygiene Kit]],Table_NFI[Hygiene Kit])</f>
        <v>0</v>
      </c>
      <c r="Z90" s="294">
        <f>IF(NFI_Expiration=1,IF($A90&lt;VLOOKUP(I$5,NFI,5,0),1,0)*Table_NFI[[#This Row],[NFI Core Kit]],Table_NFI[NFI Core Kit])</f>
        <v>0</v>
      </c>
      <c r="AA90" s="294">
        <f>IF(NFI_Expiration=1,IF($A90&lt;VLOOKUP(J$5,NFI,5,0),1,0)*Table_NFI[[#This Row],[Sanitary Kit]],Table_NFI[Sanitary Kit])</f>
        <v>0</v>
      </c>
      <c r="AB90" s="294">
        <f>IF(NFI_Expiration=1,IF($A90&lt;VLOOKUP(K$5,NFI,5,0),1,0)*Table_NFI[[#This Row],[Mosquito net]],Table_NFI[Mosquito net])</f>
        <v>0</v>
      </c>
      <c r="AC90" s="294">
        <f>IF(NFI_Expiration=1,IF($A90&lt;VLOOKUP(L$5,NFI,5,0),1,0)*Table_NFI[[#This Row],[Tarpaulin]],Table_NFI[[#This Row],[Tarpaulin]])</f>
        <v>0</v>
      </c>
      <c r="AD90" s="294">
        <f>IF(NFI_Expiration=1,IF($A90&lt;VLOOKUP(M$5,NFI,5,0),1,0)*Table_NFI[[#This Row],[Blanket]],Table_NFI[[#This Row],[Blanket]])</f>
        <v>0</v>
      </c>
      <c r="AE90" s="294">
        <f>IF(NFI_Expiration=1,IF($A90&lt;VLOOKUP(N$5,NFI,5,0),1,0)*Table_NFI[[#This Row],[Kitchen Set]],Table_NFI[Kitchen Set])</f>
        <v>0</v>
      </c>
      <c r="AF90" s="294">
        <f>IF(NFI_Expiration=1,IF($A90&lt;VLOOKUP(O$5,NFI,5,0),1,0)*Table_NFI[[#This Row],[Clothes Kit]],Table_NFI[Clothes Kit])</f>
        <v>0</v>
      </c>
      <c r="AG90" s="294">
        <f>IF(NFI_Expiration=1,IF($A90&lt;VLOOKUP(P$5,NFI,5,0),1,0)*Table_NFI[[#This Row],[Plastic Bucket]],Table_NFI[Plastic Bucket])</f>
        <v>0</v>
      </c>
      <c r="AH90" s="294">
        <f>IF(NFI_Expiration=1,IF($A90&lt;VLOOKUP(Q$5,NFI,5,0),1,0)*Table_NFI[[#This Row],[Plastic Mat]],Table_NFI[Plastic Mat])*IF(Table_NFI[[#This Row],[Distribution Date]]&gt;"2014-04-01",1,2.5)</f>
        <v>0</v>
      </c>
      <c r="AI90" s="294">
        <f>IF(NFI_Expiration=1,IF($A90&lt;VLOOKUP(R$5,NFI,5,0),1,0)*Table_NFI[[#This Row],[Winter Clothes Adult]],Table_NFI[Winter Clothes Adult])</f>
        <v>0</v>
      </c>
      <c r="AJ90" s="294">
        <f>IF(NFI_Expiration=1,IF($A90&lt;VLOOKUP(S$5,NFI,5,0),1,0)*Table_NFI[[#This Row],[Winter Clothes Children]],Table_NFI[Winter Clothes Children])</f>
        <v>0</v>
      </c>
      <c r="AK90" s="294">
        <f>IF(NFI_Expiration=1,IF($A90&lt;VLOOKUP(T$5,NFI,5,0),1,0)*Table_NFI[[#This Row],[Winter Items Other]],Table_NFI[Winter Items Other])</f>
        <v>0</v>
      </c>
      <c r="AL90" s="294">
        <f>IF(NFI_Expiration=1,IF($A90&lt;VLOOKUP(M$5,NFI,5,0),1,0)*Table_NFI[[#This Row],[Winter Blanket]],Table_NFI[[#This Row],[Winter Blanket]])</f>
        <v>0</v>
      </c>
      <c r="AM90" s="294">
        <f>IF(Table_NFI[[#This Row],[Winter Clothes Adult]]+Table_NFI[[#This Row],[Winter Clothes Children]]+Table_NFI[[#This Row],[Winter Items Other]]+Table_NFI[[#This Row],[Winter Blanket]]&gt;0,1,0)</f>
        <v>0</v>
      </c>
      <c r="AN90" s="331">
        <f>IF(NFI_Expiration=1,IF($A90&lt;VLOOKUP(V$5,NFI,5,0),1,0)*Table_NFI[[#This Row],[Jerry Can]],Table_NFI[Jerry Can])</f>
        <v>3</v>
      </c>
      <c r="AO90" s="331">
        <f>IF(NFI_Expiration=1,IF($A90&lt;VLOOKUP(V$5,NFI,5,0),1,0)*Table_NFI[[#This Row],[Shelter Tool kit]],Table_NFI[Shelter Tool kit])</f>
        <v>0</v>
      </c>
      <c r="AP90" s="331">
        <f>IF(NFI_Expiration=1,IF($A90&lt;VLOOKUP(V$5,NFI,5,0),1,0)*Table_NFI[[#This Row],[Tent]],Table_NFI[Tent])</f>
        <v>0</v>
      </c>
      <c r="AQ90" s="467" t="str">
        <f>IFERROR(VLOOKUP(Table_NFI[[#This Row],[Camp Name]],CL,2,0),"")</f>
        <v>MMR001CMP073</v>
      </c>
      <c r="AR90" s="835">
        <f ca="1">IF(Table_NFI[[#This Row],[Pcode]]="","",IF(OFFSET(CampList[Opening Date],MATCH(Table_NFI[[#This Row],[Pcode]],CampList[CP_Pcode],0)-1,0,1,1)&gt;=NFI_Monitor_Date,1,0))</f>
        <v>0</v>
      </c>
      <c r="AS90" s="467" t="str">
        <f>IFERROR(VLOOKUP(Table_NFI[[#This Row],[Camp Name]],CL,3,0),"")</f>
        <v>Open</v>
      </c>
      <c r="AT90" s="294" t="str">
        <f ca="1">IF(Table_NFI[[#This Row],[Pcode]]="","",OFFSET(CampList[Priority],MATCH(Table_NFI[[#This Row],[Pcode]],CampList[CP_Pcode],0)-1,0,1,1))</f>
        <v>P3</v>
      </c>
      <c r="AU90" s="293">
        <f>IFERROR(Table_NFI[[#This Row],[Kitchen Set]]/VLOOKUP(Table_NFI[[#This Row],[Camp Name]],CL,4,0),"")</f>
        <v>0</v>
      </c>
      <c r="AV90" s="461"/>
      <c r="AW90" s="463"/>
    </row>
    <row r="91" spans="1:49" s="98" customFormat="1" ht="15" customHeight="1" x14ac:dyDescent="0.2">
      <c r="A91" s="297">
        <f t="shared" si="1"/>
        <v>11.366666666666667</v>
      </c>
      <c r="B91" s="460">
        <v>42395</v>
      </c>
      <c r="C91" s="461" t="s">
        <v>905</v>
      </c>
      <c r="D91" s="462" t="s">
        <v>905</v>
      </c>
      <c r="E91" s="461" t="s">
        <v>380</v>
      </c>
      <c r="F91" s="290" t="s">
        <v>5</v>
      </c>
      <c r="G91" s="290" t="s">
        <v>22</v>
      </c>
      <c r="H91" s="291"/>
      <c r="I91" s="291"/>
      <c r="J91" s="291"/>
      <c r="K91" s="291"/>
      <c r="L91" s="292"/>
      <c r="M91" s="292"/>
      <c r="N91" s="292"/>
      <c r="O91" s="292"/>
      <c r="P91" s="294"/>
      <c r="Q91" s="294"/>
      <c r="R91" s="294"/>
      <c r="S91" s="294"/>
      <c r="T91" s="294"/>
      <c r="U91" s="294"/>
      <c r="V91" s="612">
        <v>5</v>
      </c>
      <c r="W91" s="294"/>
      <c r="X91" s="294"/>
      <c r="Y91" s="294">
        <f>IF(NFI_Expiration=1,IF($A91&lt;VLOOKUP(H$5,NFI,5,0),1,0)*Table_NFI[[#This Row],[Hygiene Kit]],Table_NFI[Hygiene Kit])</f>
        <v>0</v>
      </c>
      <c r="Z91" s="294">
        <f>IF(NFI_Expiration=1,IF($A91&lt;VLOOKUP(I$5,NFI,5,0),1,0)*Table_NFI[[#This Row],[NFI Core Kit]],Table_NFI[NFI Core Kit])</f>
        <v>0</v>
      </c>
      <c r="AA91" s="294">
        <f>IF(NFI_Expiration=1,IF($A91&lt;VLOOKUP(J$5,NFI,5,0),1,0)*Table_NFI[[#This Row],[Sanitary Kit]],Table_NFI[Sanitary Kit])</f>
        <v>0</v>
      </c>
      <c r="AB91" s="294">
        <f>IF(NFI_Expiration=1,IF($A91&lt;VLOOKUP(K$5,NFI,5,0),1,0)*Table_NFI[[#This Row],[Mosquito net]],Table_NFI[Mosquito net])</f>
        <v>0</v>
      </c>
      <c r="AC91" s="294">
        <f>IF(NFI_Expiration=1,IF($A91&lt;VLOOKUP(L$5,NFI,5,0),1,0)*Table_NFI[[#This Row],[Tarpaulin]],Table_NFI[[#This Row],[Tarpaulin]])</f>
        <v>0</v>
      </c>
      <c r="AD91" s="294">
        <f>IF(NFI_Expiration=1,IF($A91&lt;VLOOKUP(M$5,NFI,5,0),1,0)*Table_NFI[[#This Row],[Blanket]],Table_NFI[[#This Row],[Blanket]])</f>
        <v>0</v>
      </c>
      <c r="AE91" s="294">
        <f>IF(NFI_Expiration=1,IF($A91&lt;VLOOKUP(N$5,NFI,5,0),1,0)*Table_NFI[[#This Row],[Kitchen Set]],Table_NFI[Kitchen Set])</f>
        <v>0</v>
      </c>
      <c r="AF91" s="294">
        <f>IF(NFI_Expiration=1,IF($A91&lt;VLOOKUP(O$5,NFI,5,0),1,0)*Table_NFI[[#This Row],[Clothes Kit]],Table_NFI[Clothes Kit])</f>
        <v>0</v>
      </c>
      <c r="AG91" s="294">
        <f>IF(NFI_Expiration=1,IF($A91&lt;VLOOKUP(P$5,NFI,5,0),1,0)*Table_NFI[[#This Row],[Plastic Bucket]],Table_NFI[Plastic Bucket])</f>
        <v>0</v>
      </c>
      <c r="AH91" s="294">
        <f>IF(NFI_Expiration=1,IF($A91&lt;VLOOKUP(Q$5,NFI,5,0),1,0)*Table_NFI[[#This Row],[Plastic Mat]],Table_NFI[Plastic Mat])*IF(Table_NFI[[#This Row],[Distribution Date]]&gt;"2014-04-01",1,2.5)</f>
        <v>0</v>
      </c>
      <c r="AI91" s="294">
        <f>IF(NFI_Expiration=1,IF($A91&lt;VLOOKUP(R$5,NFI,5,0),1,0)*Table_NFI[[#This Row],[Winter Clothes Adult]],Table_NFI[Winter Clothes Adult])</f>
        <v>0</v>
      </c>
      <c r="AJ91" s="294">
        <f>IF(NFI_Expiration=1,IF($A91&lt;VLOOKUP(S$5,NFI,5,0),1,0)*Table_NFI[[#This Row],[Winter Clothes Children]],Table_NFI[Winter Clothes Children])</f>
        <v>0</v>
      </c>
      <c r="AK91" s="294">
        <f>IF(NFI_Expiration=1,IF($A91&lt;VLOOKUP(T$5,NFI,5,0),1,0)*Table_NFI[[#This Row],[Winter Items Other]],Table_NFI[Winter Items Other])</f>
        <v>0</v>
      </c>
      <c r="AL91" s="294">
        <f>IF(NFI_Expiration=1,IF($A91&lt;VLOOKUP(M$5,NFI,5,0),1,0)*Table_NFI[[#This Row],[Winter Blanket]],Table_NFI[[#This Row],[Winter Blanket]])</f>
        <v>0</v>
      </c>
      <c r="AM91" s="294">
        <f>IF(Table_NFI[[#This Row],[Winter Clothes Adult]]+Table_NFI[[#This Row],[Winter Clothes Children]]+Table_NFI[[#This Row],[Winter Items Other]]+Table_NFI[[#This Row],[Winter Blanket]]&gt;0,1,0)</f>
        <v>0</v>
      </c>
      <c r="AN91" s="331">
        <f>IF(NFI_Expiration=1,IF($A91&lt;VLOOKUP(V$5,NFI,5,0),1,0)*Table_NFI[[#This Row],[Jerry Can]],Table_NFI[Jerry Can])</f>
        <v>5</v>
      </c>
      <c r="AO91" s="331">
        <f>IF(NFI_Expiration=1,IF($A91&lt;VLOOKUP(V$5,NFI,5,0),1,0)*Table_NFI[[#This Row],[Shelter Tool kit]],Table_NFI[Shelter Tool kit])</f>
        <v>0</v>
      </c>
      <c r="AP91" s="331">
        <f>IF(NFI_Expiration=1,IF($A91&lt;VLOOKUP(V$5,NFI,5,0),1,0)*Table_NFI[[#This Row],[Tent]],Table_NFI[Tent])</f>
        <v>0</v>
      </c>
      <c r="AQ91" s="467" t="str">
        <f>IFERROR(VLOOKUP(Table_NFI[[#This Row],[Camp Name]],CL,2,0),"")</f>
        <v>MMR001CMP047</v>
      </c>
      <c r="AR91" s="835">
        <f ca="1">IF(Table_NFI[[#This Row],[Pcode]]="","",IF(OFFSET(CampList[Opening Date],MATCH(Table_NFI[[#This Row],[Pcode]],CampList[CP_Pcode],0)-1,0,1,1)&gt;=NFI_Monitor_Date,1,0))</f>
        <v>0</v>
      </c>
      <c r="AS91" s="467" t="str">
        <f>IFERROR(VLOOKUP(Table_NFI[[#This Row],[Camp Name]],CL,3,0),"")</f>
        <v>Open</v>
      </c>
      <c r="AT91" s="294" t="str">
        <f ca="1">IF(Table_NFI[[#This Row],[Pcode]]="","",OFFSET(CampList[Priority],MATCH(Table_NFI[[#This Row],[Pcode]],CampList[CP_Pcode],0)-1,0,1,1))</f>
        <v>P4</v>
      </c>
      <c r="AU91" s="293">
        <f>IFERROR(Table_NFI[[#This Row],[Kitchen Set]]/VLOOKUP(Table_NFI[[#This Row],[Camp Name]],CL,4,0),"")</f>
        <v>0</v>
      </c>
      <c r="AV91" s="461"/>
      <c r="AW91" s="463"/>
    </row>
    <row r="92" spans="1:49" s="98" customFormat="1" ht="15" customHeight="1" x14ac:dyDescent="0.2">
      <c r="A92" s="297">
        <f t="shared" si="1"/>
        <v>11.5</v>
      </c>
      <c r="B92" s="460">
        <v>42391</v>
      </c>
      <c r="C92" s="461" t="s">
        <v>905</v>
      </c>
      <c r="D92" s="461" t="s">
        <v>905</v>
      </c>
      <c r="E92" s="461" t="s">
        <v>380</v>
      </c>
      <c r="F92" s="461" t="s">
        <v>5</v>
      </c>
      <c r="G92" s="461" t="s">
        <v>366</v>
      </c>
      <c r="H92" s="291"/>
      <c r="I92" s="291"/>
      <c r="J92" s="291"/>
      <c r="K92" s="291"/>
      <c r="L92" s="292"/>
      <c r="M92" s="292"/>
      <c r="N92" s="292"/>
      <c r="O92" s="292"/>
      <c r="P92" s="294"/>
      <c r="Q92" s="294"/>
      <c r="R92" s="294"/>
      <c r="S92" s="294"/>
      <c r="T92" s="294"/>
      <c r="U92" s="294"/>
      <c r="V92" s="612">
        <v>4</v>
      </c>
      <c r="W92" s="294"/>
      <c r="X92" s="294"/>
      <c r="Y92" s="294">
        <f>IF(NFI_Expiration=1,IF($A92&lt;VLOOKUP(H$5,NFI,5,0),1,0)*Table_NFI[[#This Row],[Hygiene Kit]],Table_NFI[Hygiene Kit])</f>
        <v>0</v>
      </c>
      <c r="Z92" s="294">
        <f>IF(NFI_Expiration=1,IF($A92&lt;VLOOKUP(I$5,NFI,5,0),1,0)*Table_NFI[[#This Row],[NFI Core Kit]],Table_NFI[NFI Core Kit])</f>
        <v>0</v>
      </c>
      <c r="AA92" s="294">
        <f>IF(NFI_Expiration=1,IF($A92&lt;VLOOKUP(J$5,NFI,5,0),1,0)*Table_NFI[[#This Row],[Sanitary Kit]],Table_NFI[Sanitary Kit])</f>
        <v>0</v>
      </c>
      <c r="AB92" s="294">
        <f>IF(NFI_Expiration=1,IF($A92&lt;VLOOKUP(K$5,NFI,5,0),1,0)*Table_NFI[[#This Row],[Mosquito net]],Table_NFI[Mosquito net])</f>
        <v>0</v>
      </c>
      <c r="AC92" s="294">
        <f>IF(NFI_Expiration=1,IF($A92&lt;VLOOKUP(L$5,NFI,5,0),1,0)*Table_NFI[[#This Row],[Tarpaulin]],Table_NFI[[#This Row],[Tarpaulin]])</f>
        <v>0</v>
      </c>
      <c r="AD92" s="294">
        <f>IF(NFI_Expiration=1,IF($A92&lt;VLOOKUP(M$5,NFI,5,0),1,0)*Table_NFI[[#This Row],[Blanket]],Table_NFI[[#This Row],[Blanket]])</f>
        <v>0</v>
      </c>
      <c r="AE92" s="294">
        <f>IF(NFI_Expiration=1,IF($A92&lt;VLOOKUP(N$5,NFI,5,0),1,0)*Table_NFI[[#This Row],[Kitchen Set]],Table_NFI[Kitchen Set])</f>
        <v>0</v>
      </c>
      <c r="AF92" s="294">
        <f>IF(NFI_Expiration=1,IF($A92&lt;VLOOKUP(O$5,NFI,5,0),1,0)*Table_NFI[[#This Row],[Clothes Kit]],Table_NFI[Clothes Kit])</f>
        <v>0</v>
      </c>
      <c r="AG92" s="294">
        <f>IF(NFI_Expiration=1,IF($A92&lt;VLOOKUP(P$5,NFI,5,0),1,0)*Table_NFI[[#This Row],[Plastic Bucket]],Table_NFI[Plastic Bucket])</f>
        <v>0</v>
      </c>
      <c r="AH92" s="294">
        <f>IF(NFI_Expiration=1,IF($A92&lt;VLOOKUP(Q$5,NFI,5,0),1,0)*Table_NFI[[#This Row],[Plastic Mat]],Table_NFI[Plastic Mat])*IF(Table_NFI[[#This Row],[Distribution Date]]&gt;"2014-04-01",1,2.5)</f>
        <v>0</v>
      </c>
      <c r="AI92" s="294">
        <f>IF(NFI_Expiration=1,IF($A92&lt;VLOOKUP(R$5,NFI,5,0),1,0)*Table_NFI[[#This Row],[Winter Clothes Adult]],Table_NFI[Winter Clothes Adult])</f>
        <v>0</v>
      </c>
      <c r="AJ92" s="294">
        <f>IF(NFI_Expiration=1,IF($A92&lt;VLOOKUP(S$5,NFI,5,0),1,0)*Table_NFI[[#This Row],[Winter Clothes Children]],Table_NFI[Winter Clothes Children])</f>
        <v>0</v>
      </c>
      <c r="AK92" s="294">
        <f>IF(NFI_Expiration=1,IF($A92&lt;VLOOKUP(T$5,NFI,5,0),1,0)*Table_NFI[[#This Row],[Winter Items Other]],Table_NFI[Winter Items Other])</f>
        <v>0</v>
      </c>
      <c r="AL92" s="294">
        <f>IF(NFI_Expiration=1,IF($A92&lt;VLOOKUP(M$5,NFI,5,0),1,0)*Table_NFI[[#This Row],[Winter Blanket]],Table_NFI[[#This Row],[Winter Blanket]])</f>
        <v>0</v>
      </c>
      <c r="AM92" s="294">
        <f>IF(Table_NFI[[#This Row],[Winter Clothes Adult]]+Table_NFI[[#This Row],[Winter Clothes Children]]+Table_NFI[[#This Row],[Winter Items Other]]+Table_NFI[[#This Row],[Winter Blanket]]&gt;0,1,0)</f>
        <v>0</v>
      </c>
      <c r="AN92" s="331">
        <f>IF(NFI_Expiration=1,IF($A92&lt;VLOOKUP(V$5,NFI,5,0),1,0)*Table_NFI[[#This Row],[Jerry Can]],Table_NFI[Jerry Can])</f>
        <v>4</v>
      </c>
      <c r="AO92" s="331">
        <f>IF(NFI_Expiration=1,IF($A92&lt;VLOOKUP(V$5,NFI,5,0),1,0)*Table_NFI[[#This Row],[Shelter Tool kit]],Table_NFI[Shelter Tool kit])</f>
        <v>0</v>
      </c>
      <c r="AP92" s="331">
        <f>IF(NFI_Expiration=1,IF($A92&lt;VLOOKUP(V$5,NFI,5,0),1,0)*Table_NFI[[#This Row],[Tent]],Table_NFI[Tent])</f>
        <v>0</v>
      </c>
      <c r="AQ92" s="467" t="str">
        <f>IFERROR(VLOOKUP(Table_NFI[[#This Row],[Camp Name]],CL,2,0),"")</f>
        <v>MMR001CMP193</v>
      </c>
      <c r="AR92" s="835">
        <f ca="1">IF(Table_NFI[[#This Row],[Pcode]]="","",IF(OFFSET(CampList[Opening Date],MATCH(Table_NFI[[#This Row],[Pcode]],CampList[CP_Pcode],0)-1,0,1,1)&gt;=NFI_Monitor_Date,1,0))</f>
        <v>0</v>
      </c>
      <c r="AS92" s="467" t="str">
        <f>IFERROR(VLOOKUP(Table_NFI[[#This Row],[Camp Name]],CL,3,0),"")</f>
        <v>Open</v>
      </c>
      <c r="AT92" s="294" t="str">
        <f ca="1">IF(Table_NFI[[#This Row],[Pcode]]="","",OFFSET(CampList[Priority],MATCH(Table_NFI[[#This Row],[Pcode]],CampList[CP_Pcode],0)-1,0,1,1))</f>
        <v>P4</v>
      </c>
      <c r="AU92" s="293">
        <f>IFERROR(Table_NFI[[#This Row],[Kitchen Set]]/VLOOKUP(Table_NFI[[#This Row],[Camp Name]],CL,4,0),"")</f>
        <v>0</v>
      </c>
      <c r="AV92" s="461"/>
      <c r="AW92" s="463"/>
    </row>
    <row r="93" spans="1:49" s="98" customFormat="1" ht="15" customHeight="1" x14ac:dyDescent="0.25">
      <c r="A93" s="492">
        <f t="shared" si="1"/>
        <v>11.966666666666667</v>
      </c>
      <c r="B93" s="460">
        <v>42377</v>
      </c>
      <c r="C93" s="465" t="s">
        <v>452</v>
      </c>
      <c r="D93" s="465" t="s">
        <v>460</v>
      </c>
      <c r="E93" s="461" t="s">
        <v>553</v>
      </c>
      <c r="F93" s="461" t="s">
        <v>298</v>
      </c>
      <c r="G93" s="465" t="s">
        <v>821</v>
      </c>
      <c r="H93" s="494"/>
      <c r="I93" s="494"/>
      <c r="J93" s="494"/>
      <c r="K93" s="494">
        <v>35</v>
      </c>
      <c r="L93" s="494"/>
      <c r="M93" s="494">
        <v>35</v>
      </c>
      <c r="N93" s="494">
        <v>18</v>
      </c>
      <c r="O93" s="494"/>
      <c r="P93" s="495">
        <v>18</v>
      </c>
      <c r="Q93" s="495">
        <v>82</v>
      </c>
      <c r="R93" s="495"/>
      <c r="S93" s="495"/>
      <c r="T93" s="495"/>
      <c r="U93" s="495"/>
      <c r="V93" s="497">
        <v>18</v>
      </c>
      <c r="W93" s="495"/>
      <c r="X93" s="495"/>
      <c r="Y93" s="495">
        <f>IF(NFI_Expiration=1,IF($A93&lt;VLOOKUP(H$5,NFI,5,0),1,0)*Table_NFI[[#This Row],[Hygiene Kit]],Table_NFI[Hygiene Kit])</f>
        <v>0</v>
      </c>
      <c r="Z93" s="495">
        <f>IF(NFI_Expiration=1,IF($A93&lt;VLOOKUP(I$5,NFI,5,0),1,0)*Table_NFI[[#This Row],[NFI Core Kit]],Table_NFI[NFI Core Kit])</f>
        <v>0</v>
      </c>
      <c r="AA93" s="495">
        <f>IF(NFI_Expiration=1,IF($A93&lt;VLOOKUP(J$5,NFI,5,0),1,0)*Table_NFI[[#This Row],[Sanitary Kit]],Table_NFI[Sanitary Kit])</f>
        <v>0</v>
      </c>
      <c r="AB93" s="495">
        <f>IF(NFI_Expiration=1,IF($A93&lt;VLOOKUP(K$5,NFI,5,0),1,0)*Table_NFI[[#This Row],[Mosquito net]],Table_NFI[Mosquito net])</f>
        <v>35</v>
      </c>
      <c r="AC93" s="495">
        <f>IF(NFI_Expiration=1,IF($A93&lt;VLOOKUP(L$5,NFI,5,0),1,0)*Table_NFI[[#This Row],[Tarpaulin]],Table_NFI[[#This Row],[Tarpaulin]])</f>
        <v>0</v>
      </c>
      <c r="AD93" s="495">
        <f>IF(NFI_Expiration=1,IF($A93&lt;VLOOKUP(M$5,NFI,5,0),1,0)*Table_NFI[[#This Row],[Blanket]],Table_NFI[[#This Row],[Blanket]])</f>
        <v>35</v>
      </c>
      <c r="AE93" s="495">
        <f>IF(NFI_Expiration=1,IF($A93&lt;VLOOKUP(N$5,NFI,5,0),1,0)*Table_NFI[[#This Row],[Kitchen Set]],Table_NFI[Kitchen Set])</f>
        <v>18</v>
      </c>
      <c r="AF93" s="495">
        <f>IF(NFI_Expiration=1,IF($A93&lt;VLOOKUP(O$5,NFI,5,0),1,0)*Table_NFI[[#This Row],[Clothes Kit]],Table_NFI[Clothes Kit])</f>
        <v>0</v>
      </c>
      <c r="AG93" s="495">
        <f>IF(NFI_Expiration=1,IF($A93&lt;VLOOKUP(P$5,NFI,5,0),1,0)*Table_NFI[[#This Row],[Plastic Bucket]],Table_NFI[Plastic Bucket])</f>
        <v>18</v>
      </c>
      <c r="AH93" s="495">
        <f>IF(NFI_Expiration=1,IF($A93&lt;VLOOKUP(Q$5,NFI,5,0),1,0)*Table_NFI[[#This Row],[Plastic Mat]],Table_NFI[Plastic Mat])*IF(Table_NFI[[#This Row],[Distribution Date]]&gt;"2014-04-01",1,2.5)</f>
        <v>205</v>
      </c>
      <c r="AI93" s="495">
        <f>IF(NFI_Expiration=1,IF($A93&lt;VLOOKUP(R$5,NFI,5,0),1,0)*Table_NFI[[#This Row],[Winter Clothes Adult]],Table_NFI[Winter Clothes Adult])</f>
        <v>0</v>
      </c>
      <c r="AJ93" s="495">
        <f>IF(NFI_Expiration=1,IF($A93&lt;VLOOKUP(S$5,NFI,5,0),1,0)*Table_NFI[[#This Row],[Winter Clothes Children]],Table_NFI[Winter Clothes Children])</f>
        <v>0</v>
      </c>
      <c r="AK93" s="495">
        <f>IF(NFI_Expiration=1,IF($A93&lt;VLOOKUP(T$5,NFI,5,0),1,0)*Table_NFI[[#This Row],[Winter Items Other]],Table_NFI[Winter Items Other])</f>
        <v>0</v>
      </c>
      <c r="AL93" s="495">
        <f>IF(NFI_Expiration=1,IF($A93&lt;VLOOKUP(M$5,NFI,5,0),1,0)*Table_NFI[[#This Row],[Winter Blanket]],Table_NFI[[#This Row],[Winter Blanket]])</f>
        <v>0</v>
      </c>
      <c r="AM93" s="495">
        <f>IF(Table_NFI[[#This Row],[Winter Clothes Adult]]+Table_NFI[[#This Row],[Winter Clothes Children]]+Table_NFI[[#This Row],[Winter Items Other]]+Table_NFI[[#This Row],[Winter Blanket]]&gt;0,1,0)</f>
        <v>0</v>
      </c>
      <c r="AN93" s="497">
        <f>IF(NFI_Expiration=1,IF($A93&lt;VLOOKUP(V$5,NFI,5,0),1,0)*Table_NFI[[#This Row],[Jerry Can]],Table_NFI[Jerry Can])</f>
        <v>18</v>
      </c>
      <c r="AO93" s="497">
        <f>IF(NFI_Expiration=1,IF($A93&lt;VLOOKUP(V$5,NFI,5,0),1,0)*Table_NFI[[#This Row],[Shelter Tool kit]],Table_NFI[Shelter Tool kit])</f>
        <v>0</v>
      </c>
      <c r="AP93" s="497">
        <f>IF(NFI_Expiration=1,IF($A93&lt;VLOOKUP(V$5,NFI,5,0),1,0)*Table_NFI[[#This Row],[Tent]],Table_NFI[Tent])</f>
        <v>0</v>
      </c>
      <c r="AQ93" s="498" t="str">
        <f>IFERROR(VLOOKUP(Table_NFI[[#This Row],[Camp Name]],CL,2,0),"")</f>
        <v>MMR015CMP014</v>
      </c>
      <c r="AR93" s="835">
        <f ca="1">IF(Table_NFI[[#This Row],[Pcode]]="","",IF(OFFSET(CampList[Opening Date],MATCH(Table_NFI[[#This Row],[Pcode]],CampList[CP_Pcode],0)-1,0,1,1)&gt;=NFI_Monitor_Date,1,0))</f>
        <v>0</v>
      </c>
      <c r="AS93" s="498" t="str">
        <f>IFERROR(VLOOKUP(Table_NFI[[#This Row],[Camp Name]],CL,3,0),"")</f>
        <v>Open</v>
      </c>
      <c r="AT93" s="495" t="str">
        <f ca="1">IF(Table_NFI[[#This Row],[Pcode]]="","",OFFSET(CampList[Priority],MATCH(Table_NFI[[#This Row],[Pcode]],CampList[CP_Pcode],0)-1,0,1,1))</f>
        <v>P3</v>
      </c>
      <c r="AU93" s="499">
        <f>IFERROR(Table_NFI[[#This Row],[Kitchen Set]]/VLOOKUP(Table_NFI[[#This Row],[Camp Name]],CL,4,0),"")</f>
        <v>4.3902439024390245E-4</v>
      </c>
      <c r="AV93" s="493"/>
      <c r="AW93" s="503"/>
    </row>
    <row r="94" spans="1:49" s="98" customFormat="1" ht="14.45" customHeight="1" x14ac:dyDescent="0.25">
      <c r="A94" s="297">
        <f t="shared" si="1"/>
        <v>12.166666666666666</v>
      </c>
      <c r="B94" s="460">
        <v>42371</v>
      </c>
      <c r="C94" s="461" t="s">
        <v>452</v>
      </c>
      <c r="D94" s="461" t="s">
        <v>460</v>
      </c>
      <c r="E94" s="461" t="s">
        <v>553</v>
      </c>
      <c r="F94" s="461" t="s">
        <v>289</v>
      </c>
      <c r="G94" s="461"/>
      <c r="H94" s="291"/>
      <c r="I94" s="291"/>
      <c r="J94" s="291"/>
      <c r="K94" s="294"/>
      <c r="L94" s="292"/>
      <c r="M94" s="292"/>
      <c r="N94" s="292"/>
      <c r="O94" s="292"/>
      <c r="P94" s="294"/>
      <c r="Q94" s="294"/>
      <c r="R94" s="294"/>
      <c r="S94" s="294"/>
      <c r="T94" s="294"/>
      <c r="U94" s="294"/>
      <c r="V94" s="431"/>
      <c r="W94" s="294"/>
      <c r="X94" s="294">
        <v>37</v>
      </c>
      <c r="Y94" s="294">
        <f>IF(NFI_Expiration=1,IF($A94&lt;VLOOKUP(H$5,NFI,5,0),1,0)*Table_NFI[[#This Row],[Hygiene Kit]],Table_NFI[Hygiene Kit])</f>
        <v>0</v>
      </c>
      <c r="Z94" s="294">
        <f>IF(NFI_Expiration=1,IF($A94&lt;VLOOKUP(I$5,NFI,5,0),1,0)*Table_NFI[[#This Row],[NFI Core Kit]],Table_NFI[NFI Core Kit])</f>
        <v>0</v>
      </c>
      <c r="AA94" s="294">
        <f>IF(NFI_Expiration=1,IF($A94&lt;VLOOKUP(J$5,NFI,5,0),1,0)*Table_NFI[[#This Row],[Sanitary Kit]],Table_NFI[Sanitary Kit])</f>
        <v>0</v>
      </c>
      <c r="AB94" s="294">
        <f>IF(NFI_Expiration=1,IF($A94&lt;VLOOKUP(K$5,NFI,5,0),1,0)*Table_NFI[[#This Row],[Mosquito net]],Table_NFI[Mosquito net])</f>
        <v>0</v>
      </c>
      <c r="AC94" s="294">
        <f>IF(NFI_Expiration=1,IF($A94&lt;VLOOKUP(L$5,NFI,5,0),1,0)*Table_NFI[[#This Row],[Tarpaulin]],Table_NFI[[#This Row],[Tarpaulin]])</f>
        <v>0</v>
      </c>
      <c r="AD94" s="294">
        <f>IF(NFI_Expiration=1,IF($A94&lt;VLOOKUP(M$5,NFI,5,0),1,0)*Table_NFI[[#This Row],[Blanket]],Table_NFI[[#This Row],[Blanket]])</f>
        <v>0</v>
      </c>
      <c r="AE94" s="294">
        <f>IF(NFI_Expiration=1,IF($A94&lt;VLOOKUP(N$5,NFI,5,0),1,0)*Table_NFI[[#This Row],[Kitchen Set]],Table_NFI[Kitchen Set])</f>
        <v>0</v>
      </c>
      <c r="AF94" s="294">
        <f>IF(NFI_Expiration=1,IF($A94&lt;VLOOKUP(O$5,NFI,5,0),1,0)*Table_NFI[[#This Row],[Clothes Kit]],Table_NFI[Clothes Kit])</f>
        <v>0</v>
      </c>
      <c r="AG94" s="294">
        <f>IF(NFI_Expiration=1,IF($A94&lt;VLOOKUP(P$5,NFI,5,0),1,0)*Table_NFI[[#This Row],[Plastic Bucket]],Table_NFI[Plastic Bucket])</f>
        <v>0</v>
      </c>
      <c r="AH94" s="294">
        <f>IF(NFI_Expiration=1,IF($A94&lt;VLOOKUP(Q$5,NFI,5,0),1,0)*Table_NFI[[#This Row],[Plastic Mat]],Table_NFI[Plastic Mat])*IF(Table_NFI[[#This Row],[Distribution Date]]&gt;"2014-04-01",1,2.5)</f>
        <v>0</v>
      </c>
      <c r="AI94" s="294">
        <f>IF(NFI_Expiration=1,IF($A94&lt;VLOOKUP(R$5,NFI,5,0),1,0)*Table_NFI[[#This Row],[Winter Clothes Adult]],Table_NFI[Winter Clothes Adult])</f>
        <v>0</v>
      </c>
      <c r="AJ94" s="294">
        <f>IF(NFI_Expiration=1,IF($A94&lt;VLOOKUP(S$5,NFI,5,0),1,0)*Table_NFI[[#This Row],[Winter Clothes Children]],Table_NFI[Winter Clothes Children])</f>
        <v>0</v>
      </c>
      <c r="AK94" s="294">
        <f>IF(NFI_Expiration=1,IF($A94&lt;VLOOKUP(T$5,NFI,5,0),1,0)*Table_NFI[[#This Row],[Winter Items Other]],Table_NFI[Winter Items Other])</f>
        <v>0</v>
      </c>
      <c r="AL94" s="294">
        <f>IF(NFI_Expiration=1,IF($A94&lt;VLOOKUP(M$5,NFI,5,0),1,0)*Table_NFI[[#This Row],[Winter Blanket]],Table_NFI[[#This Row],[Winter Blanket]])</f>
        <v>0</v>
      </c>
      <c r="AM94" s="294">
        <f>IF(Table_NFI[[#This Row],[Winter Clothes Adult]]+Table_NFI[[#This Row],[Winter Clothes Children]]+Table_NFI[[#This Row],[Winter Items Other]]+Table_NFI[[#This Row],[Winter Blanket]]&gt;0,1,0)</f>
        <v>0</v>
      </c>
      <c r="AN94" s="331">
        <f>IF(NFI_Expiration=1,IF($A94&lt;VLOOKUP(V$5,NFI,5,0),1,0)*Table_NFI[[#This Row],[Jerry Can]],Table_NFI[Jerry Can])</f>
        <v>0</v>
      </c>
      <c r="AO94" s="331">
        <f>IF(NFI_Expiration=1,IF($A94&lt;VLOOKUP(V$5,NFI,5,0),1,0)*Table_NFI[[#This Row],[Shelter Tool kit]],Table_NFI[Shelter Tool kit])</f>
        <v>0</v>
      </c>
      <c r="AP94" s="331">
        <f>IF(NFI_Expiration=1,IF($A94&lt;VLOOKUP(V$5,NFI,5,0),1,0)*Table_NFI[[#This Row],[Tent]],Table_NFI[Tent])</f>
        <v>0</v>
      </c>
      <c r="AQ94" s="467" t="str">
        <f>IFERROR(VLOOKUP(Table_NFI[[#This Row],[Camp Name]],CL,2,0),"")</f>
        <v/>
      </c>
      <c r="AR94" s="835" t="str">
        <f ca="1">IF(Table_NFI[[#This Row],[Pcode]]="","",IF(OFFSET(CampList[Opening Date],MATCH(Table_NFI[[#This Row],[Pcode]],CampList[CP_Pcode],0)-1,0,1,1)&gt;=NFI_Monitor_Date,1,0))</f>
        <v/>
      </c>
      <c r="AS94" s="659" t="str">
        <f>IFERROR(VLOOKUP(Table_NFI[[#This Row],[Camp Name]],CL,3,0),"")</f>
        <v/>
      </c>
      <c r="AT94" s="294" t="str">
        <f ca="1">IF(Table_NFI[[#This Row],[Pcode]]="","",OFFSET(CampList[Priority],MATCH(Table_NFI[[#This Row],[Pcode]],CampList[CP_Pcode],0)-1,0,1,1))</f>
        <v/>
      </c>
      <c r="AU94" s="499" t="str">
        <f>IFERROR(Table_NFI[[#This Row],[Kitchen Set]]/VLOOKUP(Table_NFI[[#This Row],[Camp Name]],CL,4,0),"")</f>
        <v/>
      </c>
      <c r="AV94" s="461"/>
      <c r="AW94" s="463" t="s">
        <v>1349</v>
      </c>
    </row>
    <row r="95" spans="1:49" s="98" customFormat="1" ht="14.45" customHeight="1" x14ac:dyDescent="0.25">
      <c r="A95" s="297">
        <f t="shared" si="1"/>
        <v>12.666666666666666</v>
      </c>
      <c r="B95" s="460">
        <v>42356</v>
      </c>
      <c r="C95" s="461" t="s">
        <v>905</v>
      </c>
      <c r="D95" s="462" t="s">
        <v>905</v>
      </c>
      <c r="E95" s="461" t="s">
        <v>380</v>
      </c>
      <c r="F95" s="290" t="s">
        <v>185</v>
      </c>
      <c r="G95" s="290" t="s">
        <v>1431</v>
      </c>
      <c r="H95" s="291"/>
      <c r="I95" s="291"/>
      <c r="J95" s="292"/>
      <c r="K95" s="291"/>
      <c r="L95" s="292"/>
      <c r="M95" s="292"/>
      <c r="N95" s="292"/>
      <c r="O95" s="292"/>
      <c r="P95" s="294"/>
      <c r="Q95" s="294"/>
      <c r="R95" s="294"/>
      <c r="S95" s="294"/>
      <c r="T95" s="294"/>
      <c r="U95" s="294"/>
      <c r="V95" s="431"/>
      <c r="W95" s="294">
        <v>13</v>
      </c>
      <c r="X95" s="294"/>
      <c r="Y95" s="294">
        <f>IF(NFI_Expiration=1,IF($A95&lt;VLOOKUP(H$5,NFI,5,0),1,0)*Table_NFI[[#This Row],[Hygiene Kit]],Table_NFI[Hygiene Kit])</f>
        <v>0</v>
      </c>
      <c r="Z95" s="294">
        <f>IF(NFI_Expiration=1,IF($A95&lt;VLOOKUP(I$5,NFI,5,0),1,0)*Table_NFI[[#This Row],[NFI Core Kit]],Table_NFI[NFI Core Kit])</f>
        <v>0</v>
      </c>
      <c r="AA95" s="294">
        <f>IF(NFI_Expiration=1,IF($A95&lt;VLOOKUP(J$5,NFI,5,0),1,0)*Table_NFI[[#This Row],[Sanitary Kit]],Table_NFI[Sanitary Kit])</f>
        <v>0</v>
      </c>
      <c r="AB95" s="294">
        <f>IF(NFI_Expiration=1,IF($A95&lt;VLOOKUP(K$5,NFI,5,0),1,0)*Table_NFI[[#This Row],[Mosquito net]],Table_NFI[Mosquito net])</f>
        <v>0</v>
      </c>
      <c r="AC95" s="294">
        <f>IF(NFI_Expiration=1,IF($A95&lt;VLOOKUP(L$5,NFI,5,0),1,0)*Table_NFI[[#This Row],[Tarpaulin]],Table_NFI[[#This Row],[Tarpaulin]])</f>
        <v>0</v>
      </c>
      <c r="AD95" s="294">
        <f>IF(NFI_Expiration=1,IF($A95&lt;VLOOKUP(M$5,NFI,5,0),1,0)*Table_NFI[[#This Row],[Blanket]],Table_NFI[[#This Row],[Blanket]])</f>
        <v>0</v>
      </c>
      <c r="AE95" s="294">
        <f>IF(NFI_Expiration=1,IF($A95&lt;VLOOKUP(N$5,NFI,5,0),1,0)*Table_NFI[[#This Row],[Kitchen Set]],Table_NFI[Kitchen Set])</f>
        <v>0</v>
      </c>
      <c r="AF95" s="294">
        <f>IF(NFI_Expiration=1,IF($A95&lt;VLOOKUP(O$5,NFI,5,0),1,0)*Table_NFI[[#This Row],[Clothes Kit]],Table_NFI[Clothes Kit])</f>
        <v>0</v>
      </c>
      <c r="AG95" s="294">
        <f>IF(NFI_Expiration=1,IF($A95&lt;VLOOKUP(P$5,NFI,5,0),1,0)*Table_NFI[[#This Row],[Plastic Bucket]],Table_NFI[Plastic Bucket])</f>
        <v>0</v>
      </c>
      <c r="AH95" s="294">
        <f>IF(NFI_Expiration=1,IF($A95&lt;VLOOKUP(Q$5,NFI,5,0),1,0)*Table_NFI[[#This Row],[Plastic Mat]],Table_NFI[Plastic Mat])*IF(Table_NFI[[#This Row],[Distribution Date]]&gt;"2014-04-01",1,2.5)</f>
        <v>0</v>
      </c>
      <c r="AI95" s="294">
        <f>IF(NFI_Expiration=1,IF($A95&lt;VLOOKUP(R$5,NFI,5,0),1,0)*Table_NFI[[#This Row],[Winter Clothes Adult]],Table_NFI[Winter Clothes Adult])</f>
        <v>0</v>
      </c>
      <c r="AJ95" s="294">
        <f>IF(NFI_Expiration=1,IF($A95&lt;VLOOKUP(S$5,NFI,5,0),1,0)*Table_NFI[[#This Row],[Winter Clothes Children]],Table_NFI[Winter Clothes Children])</f>
        <v>0</v>
      </c>
      <c r="AK95" s="294">
        <f>IF(NFI_Expiration=1,IF($A95&lt;VLOOKUP(T$5,NFI,5,0),1,0)*Table_NFI[[#This Row],[Winter Items Other]],Table_NFI[Winter Items Other])</f>
        <v>0</v>
      </c>
      <c r="AL95" s="294">
        <f>IF(NFI_Expiration=1,IF($A95&lt;VLOOKUP(M$5,NFI,5,0),1,0)*Table_NFI[[#This Row],[Winter Blanket]],Table_NFI[[#This Row],[Winter Blanket]])</f>
        <v>0</v>
      </c>
      <c r="AM95" s="294">
        <f>IF(Table_NFI[[#This Row],[Winter Clothes Adult]]+Table_NFI[[#This Row],[Winter Clothes Children]]+Table_NFI[[#This Row],[Winter Items Other]]+Table_NFI[[#This Row],[Winter Blanket]]&gt;0,1,0)</f>
        <v>0</v>
      </c>
      <c r="AN95" s="331">
        <f>IF(NFI_Expiration=1,IF($A95&lt;VLOOKUP(V$5,NFI,5,0),1,0)*Table_NFI[[#This Row],[Jerry Can]],Table_NFI[Jerry Can])</f>
        <v>0</v>
      </c>
      <c r="AO95" s="331">
        <f>IF(NFI_Expiration=1,IF($A95&lt;VLOOKUP(V$5,NFI,5,0),1,0)*Table_NFI[[#This Row],[Shelter Tool kit]],Table_NFI[Shelter Tool kit])</f>
        <v>0</v>
      </c>
      <c r="AP95" s="331">
        <f>IF(NFI_Expiration=1,IF($A95&lt;VLOOKUP(V$5,NFI,5,0),1,0)*Table_NFI[[#This Row],[Tent]],Table_NFI[Tent])</f>
        <v>0</v>
      </c>
      <c r="AQ95" s="467" t="str">
        <f>IFERROR(VLOOKUP(Table_NFI[[#This Row],[Camp Name]],CL,2,0),"")</f>
        <v/>
      </c>
      <c r="AR95" s="835" t="str">
        <f ca="1">IF(Table_NFI[[#This Row],[Pcode]]="","",IF(OFFSET(CampList[Opening Date],MATCH(Table_NFI[[#This Row],[Pcode]],CampList[CP_Pcode],0)-1,0,1,1)&gt;=NFI_Monitor_Date,1,0))</f>
        <v/>
      </c>
      <c r="AS95" s="659" t="str">
        <f>IFERROR(VLOOKUP(Table_NFI[[#This Row],[Camp Name]],CL,3,0),"")</f>
        <v/>
      </c>
      <c r="AT95" s="294" t="str">
        <f ca="1">IF(Table_NFI[[#This Row],[Pcode]]="","",OFFSET(CampList[Priority],MATCH(Table_NFI[[#This Row],[Pcode]],CampList[CP_Pcode],0)-1,0,1,1))</f>
        <v/>
      </c>
      <c r="AU95" s="293" t="str">
        <f>IFERROR(Table_NFI[[#This Row],[Kitchen Set]]/VLOOKUP(Table_NFI[[#This Row],[Camp Name]],CL,4,0),"")</f>
        <v/>
      </c>
      <c r="AV95" s="461"/>
      <c r="AW95" s="463"/>
    </row>
    <row r="96" spans="1:49" s="464" customFormat="1" ht="14.45" customHeight="1" x14ac:dyDescent="0.25">
      <c r="A96" s="297">
        <f t="shared" si="1"/>
        <v>12.666666666666666</v>
      </c>
      <c r="B96" s="460">
        <v>42356</v>
      </c>
      <c r="C96" s="461" t="s">
        <v>905</v>
      </c>
      <c r="D96" s="461" t="s">
        <v>905</v>
      </c>
      <c r="E96" s="461" t="s">
        <v>380</v>
      </c>
      <c r="F96" s="461" t="s">
        <v>185</v>
      </c>
      <c r="G96" s="290" t="s">
        <v>217</v>
      </c>
      <c r="H96" s="291"/>
      <c r="I96" s="291"/>
      <c r="J96" s="292"/>
      <c r="K96" s="291"/>
      <c r="L96" s="292"/>
      <c r="M96" s="292"/>
      <c r="N96" s="292"/>
      <c r="O96" s="292"/>
      <c r="P96" s="294"/>
      <c r="Q96" s="294"/>
      <c r="R96" s="294"/>
      <c r="S96" s="294"/>
      <c r="T96" s="294"/>
      <c r="U96" s="294"/>
      <c r="V96" s="431"/>
      <c r="W96" s="294">
        <v>5</v>
      </c>
      <c r="X96" s="294"/>
      <c r="Y96" s="294">
        <f>IF(NFI_Expiration=1,IF($A96&lt;VLOOKUP(H$5,NFI,5,0),1,0)*Table_NFI[[#This Row],[Hygiene Kit]],Table_NFI[Hygiene Kit])</f>
        <v>0</v>
      </c>
      <c r="Z96" s="294">
        <f>IF(NFI_Expiration=1,IF($A96&lt;VLOOKUP(I$5,NFI,5,0),1,0)*Table_NFI[[#This Row],[NFI Core Kit]],Table_NFI[NFI Core Kit])</f>
        <v>0</v>
      </c>
      <c r="AA96" s="294">
        <f>IF(NFI_Expiration=1,IF($A96&lt;VLOOKUP(J$5,NFI,5,0),1,0)*Table_NFI[[#This Row],[Sanitary Kit]],Table_NFI[Sanitary Kit])</f>
        <v>0</v>
      </c>
      <c r="AB96" s="294">
        <f>IF(NFI_Expiration=1,IF($A96&lt;VLOOKUP(K$5,NFI,5,0),1,0)*Table_NFI[[#This Row],[Mosquito net]],Table_NFI[Mosquito net])</f>
        <v>0</v>
      </c>
      <c r="AC96" s="294">
        <f>IF(NFI_Expiration=1,IF($A96&lt;VLOOKUP(L$5,NFI,5,0),1,0)*Table_NFI[[#This Row],[Tarpaulin]],Table_NFI[[#This Row],[Tarpaulin]])</f>
        <v>0</v>
      </c>
      <c r="AD96" s="294">
        <f>IF(NFI_Expiration=1,IF($A96&lt;VLOOKUP(M$5,NFI,5,0),1,0)*Table_NFI[[#This Row],[Blanket]],Table_NFI[[#This Row],[Blanket]])</f>
        <v>0</v>
      </c>
      <c r="AE96" s="294">
        <f>IF(NFI_Expiration=1,IF($A96&lt;VLOOKUP(N$5,NFI,5,0),1,0)*Table_NFI[[#This Row],[Kitchen Set]],Table_NFI[Kitchen Set])</f>
        <v>0</v>
      </c>
      <c r="AF96" s="294">
        <f>IF(NFI_Expiration=1,IF($A96&lt;VLOOKUP(O$5,NFI,5,0),1,0)*Table_NFI[[#This Row],[Clothes Kit]],Table_NFI[Clothes Kit])</f>
        <v>0</v>
      </c>
      <c r="AG96" s="294">
        <f>IF(NFI_Expiration=1,IF($A96&lt;VLOOKUP(P$5,NFI,5,0),1,0)*Table_NFI[[#This Row],[Plastic Bucket]],Table_NFI[Plastic Bucket])</f>
        <v>0</v>
      </c>
      <c r="AH96" s="294">
        <f>IF(NFI_Expiration=1,IF($A96&lt;VLOOKUP(Q$5,NFI,5,0),1,0)*Table_NFI[[#This Row],[Plastic Mat]],Table_NFI[Plastic Mat])*IF(Table_NFI[[#This Row],[Distribution Date]]&gt;"2014-04-01",1,2.5)</f>
        <v>0</v>
      </c>
      <c r="AI96" s="294">
        <f>IF(NFI_Expiration=1,IF($A96&lt;VLOOKUP(R$5,NFI,5,0),1,0)*Table_NFI[[#This Row],[Winter Clothes Adult]],Table_NFI[Winter Clothes Adult])</f>
        <v>0</v>
      </c>
      <c r="AJ96" s="294">
        <f>IF(NFI_Expiration=1,IF($A96&lt;VLOOKUP(S$5,NFI,5,0),1,0)*Table_NFI[[#This Row],[Winter Clothes Children]],Table_NFI[Winter Clothes Children])</f>
        <v>0</v>
      </c>
      <c r="AK96" s="294">
        <f>IF(NFI_Expiration=1,IF($A96&lt;VLOOKUP(T$5,NFI,5,0),1,0)*Table_NFI[[#This Row],[Winter Items Other]],Table_NFI[Winter Items Other])</f>
        <v>0</v>
      </c>
      <c r="AL96" s="294">
        <f>IF(NFI_Expiration=1,IF($A96&lt;VLOOKUP(M$5,NFI,5,0),1,0)*Table_NFI[[#This Row],[Winter Blanket]],Table_NFI[[#This Row],[Winter Blanket]])</f>
        <v>0</v>
      </c>
      <c r="AM96" s="294">
        <f>IF(Table_NFI[[#This Row],[Winter Clothes Adult]]+Table_NFI[[#This Row],[Winter Clothes Children]]+Table_NFI[[#This Row],[Winter Items Other]]+Table_NFI[[#This Row],[Winter Blanket]]&gt;0,1,0)</f>
        <v>0</v>
      </c>
      <c r="AN96" s="331">
        <f>IF(NFI_Expiration=1,IF($A96&lt;VLOOKUP(V$5,NFI,5,0),1,0)*Table_NFI[[#This Row],[Jerry Can]],Table_NFI[Jerry Can])</f>
        <v>0</v>
      </c>
      <c r="AO96" s="331">
        <f>IF(NFI_Expiration=1,IF($A96&lt;VLOOKUP(V$5,NFI,5,0),1,0)*Table_NFI[[#This Row],[Shelter Tool kit]],Table_NFI[Shelter Tool kit])</f>
        <v>0</v>
      </c>
      <c r="AP96" s="331">
        <f>IF(NFI_Expiration=1,IF($A96&lt;VLOOKUP(V$5,NFI,5,0),1,0)*Table_NFI[[#This Row],[Tent]],Table_NFI[Tent])</f>
        <v>0</v>
      </c>
      <c r="AQ96" s="467" t="str">
        <f>IFERROR(VLOOKUP(Table_NFI[[#This Row],[Camp Name]],CL,2,0),"")</f>
        <v>MMR001CMP059</v>
      </c>
      <c r="AR96" s="835">
        <f ca="1">IF(Table_NFI[[#This Row],[Pcode]]="","",IF(OFFSET(CampList[Opening Date],MATCH(Table_NFI[[#This Row],[Pcode]],CampList[CP_Pcode],0)-1,0,1,1)&gt;=NFI_Monitor_Date,1,0))</f>
        <v>0</v>
      </c>
      <c r="AS96" s="467" t="str">
        <f>IFERROR(VLOOKUP(Table_NFI[[#This Row],[Camp Name]],CL,3,0),"")</f>
        <v>Closed</v>
      </c>
      <c r="AT96" s="294" t="str">
        <f ca="1">IF(Table_NFI[[#This Row],[Pcode]]="","",OFFSET(CampList[Priority],MATCH(Table_NFI[[#This Row],[Pcode]],CampList[CP_Pcode],0)-1,0,1,1))</f>
        <v>P4</v>
      </c>
      <c r="AU96" s="293">
        <f>IFERROR(Table_NFI[[#This Row],[Kitchen Set]]/VLOOKUP(Table_NFI[[#This Row],[Camp Name]],CL,4,0),"")</f>
        <v>0</v>
      </c>
      <c r="AV96" s="461"/>
      <c r="AW96" s="463"/>
    </row>
    <row r="97" spans="1:49" s="98" customFormat="1" ht="14.45" customHeight="1" x14ac:dyDescent="0.25">
      <c r="A97" s="297">
        <f t="shared" si="1"/>
        <v>12.666666666666666</v>
      </c>
      <c r="B97" s="460">
        <v>42356</v>
      </c>
      <c r="C97" s="461" t="s">
        <v>905</v>
      </c>
      <c r="D97" s="461" t="s">
        <v>905</v>
      </c>
      <c r="E97" s="461" t="s">
        <v>380</v>
      </c>
      <c r="F97" s="461" t="s">
        <v>5</v>
      </c>
      <c r="G97" s="461" t="s">
        <v>366</v>
      </c>
      <c r="H97" s="291"/>
      <c r="I97" s="291"/>
      <c r="J97" s="291"/>
      <c r="K97" s="291"/>
      <c r="L97" s="292"/>
      <c r="M97" s="292"/>
      <c r="N97" s="292"/>
      <c r="O97" s="292"/>
      <c r="P97" s="294"/>
      <c r="Q97" s="294"/>
      <c r="R97" s="294"/>
      <c r="S97" s="294"/>
      <c r="T97" s="294"/>
      <c r="U97" s="294"/>
      <c r="V97" s="431"/>
      <c r="W97" s="294">
        <v>24</v>
      </c>
      <c r="X97" s="294"/>
      <c r="Y97" s="294">
        <f>IF(NFI_Expiration=1,IF($A97&lt;VLOOKUP(H$5,NFI,5,0),1,0)*Table_NFI[[#This Row],[Hygiene Kit]],Table_NFI[Hygiene Kit])</f>
        <v>0</v>
      </c>
      <c r="Z97" s="294">
        <f>IF(NFI_Expiration=1,IF($A97&lt;VLOOKUP(I$5,NFI,5,0),1,0)*Table_NFI[[#This Row],[NFI Core Kit]],Table_NFI[NFI Core Kit])</f>
        <v>0</v>
      </c>
      <c r="AA97" s="294">
        <f>IF(NFI_Expiration=1,IF($A97&lt;VLOOKUP(J$5,NFI,5,0),1,0)*Table_NFI[[#This Row],[Sanitary Kit]],Table_NFI[Sanitary Kit])</f>
        <v>0</v>
      </c>
      <c r="AB97" s="294">
        <f>IF(NFI_Expiration=1,IF($A97&lt;VLOOKUP(K$5,NFI,5,0),1,0)*Table_NFI[[#This Row],[Mosquito net]],Table_NFI[Mosquito net])</f>
        <v>0</v>
      </c>
      <c r="AC97" s="294">
        <f>IF(NFI_Expiration=1,IF($A97&lt;VLOOKUP(L$5,NFI,5,0),1,0)*Table_NFI[[#This Row],[Tarpaulin]],Table_NFI[[#This Row],[Tarpaulin]])</f>
        <v>0</v>
      </c>
      <c r="AD97" s="294">
        <f>IF(NFI_Expiration=1,IF($A97&lt;VLOOKUP(M$5,NFI,5,0),1,0)*Table_NFI[[#This Row],[Blanket]],Table_NFI[[#This Row],[Blanket]])</f>
        <v>0</v>
      </c>
      <c r="AE97" s="294">
        <f>IF(NFI_Expiration=1,IF($A97&lt;VLOOKUP(N$5,NFI,5,0),1,0)*Table_NFI[[#This Row],[Kitchen Set]],Table_NFI[Kitchen Set])</f>
        <v>0</v>
      </c>
      <c r="AF97" s="294">
        <f>IF(NFI_Expiration=1,IF($A97&lt;VLOOKUP(O$5,NFI,5,0),1,0)*Table_NFI[[#This Row],[Clothes Kit]],Table_NFI[Clothes Kit])</f>
        <v>0</v>
      </c>
      <c r="AG97" s="294">
        <f>IF(NFI_Expiration=1,IF($A97&lt;VLOOKUP(P$5,NFI,5,0),1,0)*Table_NFI[[#This Row],[Plastic Bucket]],Table_NFI[Plastic Bucket])</f>
        <v>0</v>
      </c>
      <c r="AH97" s="294">
        <f>IF(NFI_Expiration=1,IF($A97&lt;VLOOKUP(Q$5,NFI,5,0),1,0)*Table_NFI[[#This Row],[Plastic Mat]],Table_NFI[Plastic Mat])*IF(Table_NFI[[#This Row],[Distribution Date]]&gt;"2014-04-01",1,2.5)</f>
        <v>0</v>
      </c>
      <c r="AI97" s="294">
        <f>IF(NFI_Expiration=1,IF($A97&lt;VLOOKUP(R$5,NFI,5,0),1,0)*Table_NFI[[#This Row],[Winter Clothes Adult]],Table_NFI[Winter Clothes Adult])</f>
        <v>0</v>
      </c>
      <c r="AJ97" s="294">
        <f>IF(NFI_Expiration=1,IF($A97&lt;VLOOKUP(S$5,NFI,5,0),1,0)*Table_NFI[[#This Row],[Winter Clothes Children]],Table_NFI[Winter Clothes Children])</f>
        <v>0</v>
      </c>
      <c r="AK97" s="294">
        <f>IF(NFI_Expiration=1,IF($A97&lt;VLOOKUP(T$5,NFI,5,0),1,0)*Table_NFI[[#This Row],[Winter Items Other]],Table_NFI[Winter Items Other])</f>
        <v>0</v>
      </c>
      <c r="AL97" s="294">
        <f>IF(NFI_Expiration=1,IF($A97&lt;VLOOKUP(M$5,NFI,5,0),1,0)*Table_NFI[[#This Row],[Winter Blanket]],Table_NFI[[#This Row],[Winter Blanket]])</f>
        <v>0</v>
      </c>
      <c r="AM97" s="294">
        <f>IF(Table_NFI[[#This Row],[Winter Clothes Adult]]+Table_NFI[[#This Row],[Winter Clothes Children]]+Table_NFI[[#This Row],[Winter Items Other]]+Table_NFI[[#This Row],[Winter Blanket]]&gt;0,1,0)</f>
        <v>0</v>
      </c>
      <c r="AN97" s="331">
        <f>IF(NFI_Expiration=1,IF($A97&lt;VLOOKUP(V$5,NFI,5,0),1,0)*Table_NFI[[#This Row],[Jerry Can]],Table_NFI[Jerry Can])</f>
        <v>0</v>
      </c>
      <c r="AO97" s="331">
        <f>IF(NFI_Expiration=1,IF($A97&lt;VLOOKUP(V$5,NFI,5,0),1,0)*Table_NFI[[#This Row],[Shelter Tool kit]],Table_NFI[Shelter Tool kit])</f>
        <v>0</v>
      </c>
      <c r="AP97" s="331">
        <f>IF(NFI_Expiration=1,IF($A97&lt;VLOOKUP(V$5,NFI,5,0),1,0)*Table_NFI[[#This Row],[Tent]],Table_NFI[Tent])</f>
        <v>0</v>
      </c>
      <c r="AQ97" s="467" t="str">
        <f>IFERROR(VLOOKUP(Table_NFI[[#This Row],[Camp Name]],CL,2,0),"")</f>
        <v>MMR001CMP193</v>
      </c>
      <c r="AR97" s="835">
        <f ca="1">IF(Table_NFI[[#This Row],[Pcode]]="","",IF(OFFSET(CampList[Opening Date],MATCH(Table_NFI[[#This Row],[Pcode]],CampList[CP_Pcode],0)-1,0,1,1)&gt;=NFI_Monitor_Date,1,0))</f>
        <v>0</v>
      </c>
      <c r="AS97" s="467" t="str">
        <f>IFERROR(VLOOKUP(Table_NFI[[#This Row],[Camp Name]],CL,3,0),"")</f>
        <v>Open</v>
      </c>
      <c r="AT97" s="294" t="str">
        <f ca="1">IF(Table_NFI[[#This Row],[Pcode]]="","",OFFSET(CampList[Priority],MATCH(Table_NFI[[#This Row],[Pcode]],CampList[CP_Pcode],0)-1,0,1,1))</f>
        <v>P4</v>
      </c>
      <c r="AU97" s="293">
        <f>IFERROR(Table_NFI[[#This Row],[Kitchen Set]]/VLOOKUP(Table_NFI[[#This Row],[Camp Name]],CL,4,0),"")</f>
        <v>0</v>
      </c>
      <c r="AV97" s="461"/>
      <c r="AW97" s="463"/>
    </row>
    <row r="98" spans="1:49" s="98" customFormat="1" ht="14.45" customHeight="1" x14ac:dyDescent="0.25">
      <c r="A98" s="297">
        <f t="shared" si="1"/>
        <v>12.666666666666666</v>
      </c>
      <c r="B98" s="460">
        <v>42356</v>
      </c>
      <c r="C98" s="461" t="s">
        <v>905</v>
      </c>
      <c r="D98" s="461" t="s">
        <v>905</v>
      </c>
      <c r="E98" s="461" t="s">
        <v>380</v>
      </c>
      <c r="F98" s="461" t="s">
        <v>5</v>
      </c>
      <c r="G98" s="461" t="s">
        <v>24</v>
      </c>
      <c r="H98" s="291"/>
      <c r="I98" s="291"/>
      <c r="J98" s="292"/>
      <c r="K98" s="291"/>
      <c r="L98" s="292"/>
      <c r="M98" s="292"/>
      <c r="N98" s="292"/>
      <c r="O98" s="292"/>
      <c r="P98" s="294"/>
      <c r="Q98" s="294"/>
      <c r="R98" s="294"/>
      <c r="S98" s="294"/>
      <c r="T98" s="294"/>
      <c r="U98" s="294"/>
      <c r="V98" s="431"/>
      <c r="W98" s="294">
        <v>5</v>
      </c>
      <c r="X98" s="294"/>
      <c r="Y98" s="294">
        <f>IF(NFI_Expiration=1,IF($A98&lt;VLOOKUP(H$5,NFI,5,0),1,0)*Table_NFI[[#This Row],[Hygiene Kit]],Table_NFI[Hygiene Kit])</f>
        <v>0</v>
      </c>
      <c r="Z98" s="294">
        <f>IF(NFI_Expiration=1,IF($A98&lt;VLOOKUP(I$5,NFI,5,0),1,0)*Table_NFI[[#This Row],[NFI Core Kit]],Table_NFI[NFI Core Kit])</f>
        <v>0</v>
      </c>
      <c r="AA98" s="294">
        <f>IF(NFI_Expiration=1,IF($A98&lt;VLOOKUP(J$5,NFI,5,0),1,0)*Table_NFI[[#This Row],[Sanitary Kit]],Table_NFI[Sanitary Kit])</f>
        <v>0</v>
      </c>
      <c r="AB98" s="294">
        <f>IF(NFI_Expiration=1,IF($A98&lt;VLOOKUP(K$5,NFI,5,0),1,0)*Table_NFI[[#This Row],[Mosquito net]],Table_NFI[Mosquito net])</f>
        <v>0</v>
      </c>
      <c r="AC98" s="294">
        <f>IF(NFI_Expiration=1,IF($A98&lt;VLOOKUP(L$5,NFI,5,0),1,0)*Table_NFI[[#This Row],[Tarpaulin]],Table_NFI[[#This Row],[Tarpaulin]])</f>
        <v>0</v>
      </c>
      <c r="AD98" s="294">
        <f>IF(NFI_Expiration=1,IF($A98&lt;VLOOKUP(M$5,NFI,5,0),1,0)*Table_NFI[[#This Row],[Blanket]],Table_NFI[[#This Row],[Blanket]])</f>
        <v>0</v>
      </c>
      <c r="AE98" s="294">
        <f>IF(NFI_Expiration=1,IF($A98&lt;VLOOKUP(N$5,NFI,5,0),1,0)*Table_NFI[[#This Row],[Kitchen Set]],Table_NFI[Kitchen Set])</f>
        <v>0</v>
      </c>
      <c r="AF98" s="294">
        <f>IF(NFI_Expiration=1,IF($A98&lt;VLOOKUP(O$5,NFI,5,0),1,0)*Table_NFI[[#This Row],[Clothes Kit]],Table_NFI[Clothes Kit])</f>
        <v>0</v>
      </c>
      <c r="AG98" s="294">
        <f>IF(NFI_Expiration=1,IF($A98&lt;VLOOKUP(P$5,NFI,5,0),1,0)*Table_NFI[[#This Row],[Plastic Bucket]],Table_NFI[Plastic Bucket])</f>
        <v>0</v>
      </c>
      <c r="AH98" s="294">
        <f>IF(NFI_Expiration=1,IF($A98&lt;VLOOKUP(Q$5,NFI,5,0),1,0)*Table_NFI[[#This Row],[Plastic Mat]],Table_NFI[Plastic Mat])*IF(Table_NFI[[#This Row],[Distribution Date]]&gt;"2014-04-01",1,2.5)</f>
        <v>0</v>
      </c>
      <c r="AI98" s="294">
        <f>IF(NFI_Expiration=1,IF($A98&lt;VLOOKUP(R$5,NFI,5,0),1,0)*Table_NFI[[#This Row],[Winter Clothes Adult]],Table_NFI[Winter Clothes Adult])</f>
        <v>0</v>
      </c>
      <c r="AJ98" s="294">
        <f>IF(NFI_Expiration=1,IF($A98&lt;VLOOKUP(S$5,NFI,5,0),1,0)*Table_NFI[[#This Row],[Winter Clothes Children]],Table_NFI[Winter Clothes Children])</f>
        <v>0</v>
      </c>
      <c r="AK98" s="294">
        <f>IF(NFI_Expiration=1,IF($A98&lt;VLOOKUP(T$5,NFI,5,0),1,0)*Table_NFI[[#This Row],[Winter Items Other]],Table_NFI[Winter Items Other])</f>
        <v>0</v>
      </c>
      <c r="AL98" s="294">
        <f>IF(NFI_Expiration=1,IF($A98&lt;VLOOKUP(M$5,NFI,5,0),1,0)*Table_NFI[[#This Row],[Winter Blanket]],Table_NFI[[#This Row],[Winter Blanket]])</f>
        <v>0</v>
      </c>
      <c r="AM98" s="294">
        <f>IF(Table_NFI[[#This Row],[Winter Clothes Adult]]+Table_NFI[[#This Row],[Winter Clothes Children]]+Table_NFI[[#This Row],[Winter Items Other]]+Table_NFI[[#This Row],[Winter Blanket]]&gt;0,1,0)</f>
        <v>0</v>
      </c>
      <c r="AN98" s="331">
        <f>IF(NFI_Expiration=1,IF($A98&lt;VLOOKUP(V$5,NFI,5,0),1,0)*Table_NFI[[#This Row],[Jerry Can]],Table_NFI[Jerry Can])</f>
        <v>0</v>
      </c>
      <c r="AO98" s="331">
        <f>IF(NFI_Expiration=1,IF($A98&lt;VLOOKUP(V$5,NFI,5,0),1,0)*Table_NFI[[#This Row],[Shelter Tool kit]],Table_NFI[Shelter Tool kit])</f>
        <v>0</v>
      </c>
      <c r="AP98" s="331">
        <f>IF(NFI_Expiration=1,IF($A98&lt;VLOOKUP(V$5,NFI,5,0),1,0)*Table_NFI[[#This Row],[Tent]],Table_NFI[Tent])</f>
        <v>0</v>
      </c>
      <c r="AQ98" s="467" t="str">
        <f>IFERROR(VLOOKUP(Table_NFI[[#This Row],[Camp Name]],CL,2,0),"")</f>
        <v>MMR001CMP055</v>
      </c>
      <c r="AR98" s="835">
        <f ca="1">IF(Table_NFI[[#This Row],[Pcode]]="","",IF(OFFSET(CampList[Opening Date],MATCH(Table_NFI[[#This Row],[Pcode]],CampList[CP_Pcode],0)-1,0,1,1)&gt;=NFI_Monitor_Date,1,0))</f>
        <v>0</v>
      </c>
      <c r="AS98" s="467" t="str">
        <f>IFERROR(VLOOKUP(Table_NFI[[#This Row],[Camp Name]],CL,3,0),"")</f>
        <v>Open</v>
      </c>
      <c r="AT98" s="294" t="str">
        <f ca="1">IF(Table_NFI[[#This Row],[Pcode]]="","",OFFSET(CampList[Priority],MATCH(Table_NFI[[#This Row],[Pcode]],CampList[CP_Pcode],0)-1,0,1,1))</f>
        <v>P4</v>
      </c>
      <c r="AU98" s="293">
        <f>IFERROR(Table_NFI[[#This Row],[Kitchen Set]]/VLOOKUP(Table_NFI[[#This Row],[Camp Name]],CL,4,0),"")</f>
        <v>0</v>
      </c>
      <c r="AV98" s="461"/>
      <c r="AW98" s="463"/>
    </row>
    <row r="99" spans="1:49" s="98" customFormat="1" ht="14.45" customHeight="1" x14ac:dyDescent="0.25">
      <c r="A99" s="297">
        <f t="shared" si="1"/>
        <v>12.7</v>
      </c>
      <c r="B99" s="460">
        <v>42355</v>
      </c>
      <c r="C99" s="461" t="s">
        <v>905</v>
      </c>
      <c r="D99" s="461" t="s">
        <v>905</v>
      </c>
      <c r="E99" s="461" t="s">
        <v>380</v>
      </c>
      <c r="F99" s="290" t="s">
        <v>5</v>
      </c>
      <c r="G99" s="290" t="s">
        <v>6</v>
      </c>
      <c r="H99" s="291"/>
      <c r="I99" s="291"/>
      <c r="J99" s="291"/>
      <c r="K99" s="291"/>
      <c r="L99" s="292"/>
      <c r="M99" s="292"/>
      <c r="N99" s="292"/>
      <c r="O99" s="292"/>
      <c r="P99" s="294"/>
      <c r="Q99" s="294"/>
      <c r="R99" s="294"/>
      <c r="S99" s="294"/>
      <c r="T99" s="294"/>
      <c r="U99" s="294"/>
      <c r="V99" s="431"/>
      <c r="W99" s="294">
        <v>38</v>
      </c>
      <c r="X99" s="294"/>
      <c r="Y99" s="294">
        <f>IF(NFI_Expiration=1,IF($A99&lt;VLOOKUP(H$5,NFI,5,0),1,0)*Table_NFI[[#This Row],[Hygiene Kit]],Table_NFI[Hygiene Kit])</f>
        <v>0</v>
      </c>
      <c r="Z99" s="294">
        <f>IF(NFI_Expiration=1,IF($A99&lt;VLOOKUP(I$5,NFI,5,0),1,0)*Table_NFI[[#This Row],[NFI Core Kit]],Table_NFI[NFI Core Kit])</f>
        <v>0</v>
      </c>
      <c r="AA99" s="294">
        <f>IF(NFI_Expiration=1,IF($A99&lt;VLOOKUP(J$5,NFI,5,0),1,0)*Table_NFI[[#This Row],[Sanitary Kit]],Table_NFI[Sanitary Kit])</f>
        <v>0</v>
      </c>
      <c r="AB99" s="294">
        <f>IF(NFI_Expiration=1,IF($A99&lt;VLOOKUP(K$5,NFI,5,0),1,0)*Table_NFI[[#This Row],[Mosquito net]],Table_NFI[Mosquito net])</f>
        <v>0</v>
      </c>
      <c r="AC99" s="294">
        <f>IF(NFI_Expiration=1,IF($A99&lt;VLOOKUP(L$5,NFI,5,0),1,0)*Table_NFI[[#This Row],[Tarpaulin]],Table_NFI[[#This Row],[Tarpaulin]])</f>
        <v>0</v>
      </c>
      <c r="AD99" s="294">
        <f>IF(NFI_Expiration=1,IF($A99&lt;VLOOKUP(M$5,NFI,5,0),1,0)*Table_NFI[[#This Row],[Blanket]],Table_NFI[[#This Row],[Blanket]])</f>
        <v>0</v>
      </c>
      <c r="AE99" s="294">
        <f>IF(NFI_Expiration=1,IF($A99&lt;VLOOKUP(N$5,NFI,5,0),1,0)*Table_NFI[[#This Row],[Kitchen Set]],Table_NFI[Kitchen Set])</f>
        <v>0</v>
      </c>
      <c r="AF99" s="294">
        <f>IF(NFI_Expiration=1,IF($A99&lt;VLOOKUP(O$5,NFI,5,0),1,0)*Table_NFI[[#This Row],[Clothes Kit]],Table_NFI[Clothes Kit])</f>
        <v>0</v>
      </c>
      <c r="AG99" s="294">
        <f>IF(NFI_Expiration=1,IF($A99&lt;VLOOKUP(P$5,NFI,5,0),1,0)*Table_NFI[[#This Row],[Plastic Bucket]],Table_NFI[Plastic Bucket])</f>
        <v>0</v>
      </c>
      <c r="AH99" s="294">
        <f>IF(NFI_Expiration=1,IF($A99&lt;VLOOKUP(Q$5,NFI,5,0),1,0)*Table_NFI[[#This Row],[Plastic Mat]],Table_NFI[Plastic Mat])*IF(Table_NFI[[#This Row],[Distribution Date]]&gt;"2014-04-01",1,2.5)</f>
        <v>0</v>
      </c>
      <c r="AI99" s="294">
        <f>IF(NFI_Expiration=1,IF($A99&lt;VLOOKUP(R$5,NFI,5,0),1,0)*Table_NFI[[#This Row],[Winter Clothes Adult]],Table_NFI[Winter Clothes Adult])</f>
        <v>0</v>
      </c>
      <c r="AJ99" s="294">
        <f>IF(NFI_Expiration=1,IF($A99&lt;VLOOKUP(S$5,NFI,5,0),1,0)*Table_NFI[[#This Row],[Winter Clothes Children]],Table_NFI[Winter Clothes Children])</f>
        <v>0</v>
      </c>
      <c r="AK99" s="294">
        <f>IF(NFI_Expiration=1,IF($A99&lt;VLOOKUP(T$5,NFI,5,0),1,0)*Table_NFI[[#This Row],[Winter Items Other]],Table_NFI[Winter Items Other])</f>
        <v>0</v>
      </c>
      <c r="AL99" s="294">
        <f>IF(NFI_Expiration=1,IF($A99&lt;VLOOKUP(M$5,NFI,5,0),1,0)*Table_NFI[[#This Row],[Winter Blanket]],Table_NFI[[#This Row],[Winter Blanket]])</f>
        <v>0</v>
      </c>
      <c r="AM99" s="294">
        <f>IF(Table_NFI[[#This Row],[Winter Clothes Adult]]+Table_NFI[[#This Row],[Winter Clothes Children]]+Table_NFI[[#This Row],[Winter Items Other]]+Table_NFI[[#This Row],[Winter Blanket]]&gt;0,1,0)</f>
        <v>0</v>
      </c>
      <c r="AN99" s="331">
        <f>IF(NFI_Expiration=1,IF($A99&lt;VLOOKUP(V$5,NFI,5,0),1,0)*Table_NFI[[#This Row],[Jerry Can]],Table_NFI[Jerry Can])</f>
        <v>0</v>
      </c>
      <c r="AO99" s="331">
        <f>IF(NFI_Expiration=1,IF($A99&lt;VLOOKUP(V$5,NFI,5,0),1,0)*Table_NFI[[#This Row],[Shelter Tool kit]],Table_NFI[Shelter Tool kit])</f>
        <v>0</v>
      </c>
      <c r="AP99" s="331">
        <f>IF(NFI_Expiration=1,IF($A99&lt;VLOOKUP(V$5,NFI,5,0),1,0)*Table_NFI[[#This Row],[Tent]],Table_NFI[Tent])</f>
        <v>0</v>
      </c>
      <c r="AQ99" s="467" t="str">
        <f>IFERROR(VLOOKUP(Table_NFI[[#This Row],[Camp Name]],CL,2,0),"")</f>
        <v>MMR001CMP050</v>
      </c>
      <c r="AR99" s="835">
        <f ca="1">IF(Table_NFI[[#This Row],[Pcode]]="","",IF(OFFSET(CampList[Opening Date],MATCH(Table_NFI[[#This Row],[Pcode]],CampList[CP_Pcode],0)-1,0,1,1)&gt;=NFI_Monitor_Date,1,0))</f>
        <v>0</v>
      </c>
      <c r="AS99" s="467" t="str">
        <f>IFERROR(VLOOKUP(Table_NFI[[#This Row],[Camp Name]],CL,3,0),"")</f>
        <v>Open</v>
      </c>
      <c r="AT99" s="294" t="str">
        <f ca="1">IF(Table_NFI[[#This Row],[Pcode]]="","",OFFSET(CampList[Priority],MATCH(Table_NFI[[#This Row],[Pcode]],CampList[CP_Pcode],0)-1,0,1,1))</f>
        <v>P4</v>
      </c>
      <c r="AU99" s="293">
        <f>IFERROR(Table_NFI[[#This Row],[Kitchen Set]]/VLOOKUP(Table_NFI[[#This Row],[Camp Name]],CL,4,0),"")</f>
        <v>0</v>
      </c>
      <c r="AV99" s="461"/>
      <c r="AW99" s="463"/>
    </row>
    <row r="100" spans="1:49" s="98" customFormat="1" ht="14.45" customHeight="1" x14ac:dyDescent="0.2">
      <c r="A100" s="297">
        <f t="shared" si="1"/>
        <v>12.7</v>
      </c>
      <c r="B100" s="460">
        <v>42355</v>
      </c>
      <c r="C100" s="461" t="s">
        <v>905</v>
      </c>
      <c r="D100" s="462" t="s">
        <v>905</v>
      </c>
      <c r="E100" s="461" t="s">
        <v>380</v>
      </c>
      <c r="F100" s="290" t="s">
        <v>5</v>
      </c>
      <c r="G100" s="290" t="s">
        <v>22</v>
      </c>
      <c r="H100" s="291"/>
      <c r="I100" s="291"/>
      <c r="J100" s="291"/>
      <c r="K100" s="291"/>
      <c r="L100" s="292"/>
      <c r="M100" s="292"/>
      <c r="N100" s="292"/>
      <c r="O100" s="292"/>
      <c r="P100" s="294"/>
      <c r="Q100" s="294"/>
      <c r="R100" s="294"/>
      <c r="S100" s="294"/>
      <c r="T100" s="294"/>
      <c r="U100" s="294"/>
      <c r="V100" s="431"/>
      <c r="W100" s="576">
        <v>76</v>
      </c>
      <c r="X100" s="294"/>
      <c r="Y100" s="294">
        <f>IF(NFI_Expiration=1,IF($A100&lt;VLOOKUP(H$5,NFI,5,0),1,0)*Table_NFI[[#This Row],[Hygiene Kit]],Table_NFI[Hygiene Kit])</f>
        <v>0</v>
      </c>
      <c r="Z100" s="294">
        <f>IF(NFI_Expiration=1,IF($A100&lt;VLOOKUP(I$5,NFI,5,0),1,0)*Table_NFI[[#This Row],[NFI Core Kit]],Table_NFI[NFI Core Kit])</f>
        <v>0</v>
      </c>
      <c r="AA100" s="294">
        <f>IF(NFI_Expiration=1,IF($A100&lt;VLOOKUP(J$5,NFI,5,0),1,0)*Table_NFI[[#This Row],[Sanitary Kit]],Table_NFI[Sanitary Kit])</f>
        <v>0</v>
      </c>
      <c r="AB100" s="294">
        <f>IF(NFI_Expiration=1,IF($A100&lt;VLOOKUP(K$5,NFI,5,0),1,0)*Table_NFI[[#This Row],[Mosquito net]],Table_NFI[Mosquito net])</f>
        <v>0</v>
      </c>
      <c r="AC100" s="294">
        <f>IF(NFI_Expiration=1,IF($A100&lt;VLOOKUP(L$5,NFI,5,0),1,0)*Table_NFI[[#This Row],[Tarpaulin]],Table_NFI[[#This Row],[Tarpaulin]])</f>
        <v>0</v>
      </c>
      <c r="AD100" s="294">
        <f>IF(NFI_Expiration=1,IF($A100&lt;VLOOKUP(M$5,NFI,5,0),1,0)*Table_NFI[[#This Row],[Blanket]],Table_NFI[[#This Row],[Blanket]])</f>
        <v>0</v>
      </c>
      <c r="AE100" s="294">
        <f>IF(NFI_Expiration=1,IF($A100&lt;VLOOKUP(N$5,NFI,5,0),1,0)*Table_NFI[[#This Row],[Kitchen Set]],Table_NFI[Kitchen Set])</f>
        <v>0</v>
      </c>
      <c r="AF100" s="294">
        <f>IF(NFI_Expiration=1,IF($A100&lt;VLOOKUP(O$5,NFI,5,0),1,0)*Table_NFI[[#This Row],[Clothes Kit]],Table_NFI[Clothes Kit])</f>
        <v>0</v>
      </c>
      <c r="AG100" s="294">
        <f>IF(NFI_Expiration=1,IF($A100&lt;VLOOKUP(P$5,NFI,5,0),1,0)*Table_NFI[[#This Row],[Plastic Bucket]],Table_NFI[Plastic Bucket])</f>
        <v>0</v>
      </c>
      <c r="AH100" s="294">
        <f>IF(NFI_Expiration=1,IF($A100&lt;VLOOKUP(Q$5,NFI,5,0),1,0)*Table_NFI[[#This Row],[Plastic Mat]],Table_NFI[Plastic Mat])*IF(Table_NFI[[#This Row],[Distribution Date]]&gt;"2014-04-01",1,2.5)</f>
        <v>0</v>
      </c>
      <c r="AI100" s="294">
        <f>IF(NFI_Expiration=1,IF($A100&lt;VLOOKUP(R$5,NFI,5,0),1,0)*Table_NFI[[#This Row],[Winter Clothes Adult]],Table_NFI[Winter Clothes Adult])</f>
        <v>0</v>
      </c>
      <c r="AJ100" s="294">
        <f>IF(NFI_Expiration=1,IF($A100&lt;VLOOKUP(S$5,NFI,5,0),1,0)*Table_NFI[[#This Row],[Winter Clothes Children]],Table_NFI[Winter Clothes Children])</f>
        <v>0</v>
      </c>
      <c r="AK100" s="294">
        <f>IF(NFI_Expiration=1,IF($A100&lt;VLOOKUP(T$5,NFI,5,0),1,0)*Table_NFI[[#This Row],[Winter Items Other]],Table_NFI[Winter Items Other])</f>
        <v>0</v>
      </c>
      <c r="AL100" s="294">
        <f>IF(NFI_Expiration=1,IF($A100&lt;VLOOKUP(M$5,NFI,5,0),1,0)*Table_NFI[[#This Row],[Winter Blanket]],Table_NFI[[#This Row],[Winter Blanket]])</f>
        <v>0</v>
      </c>
      <c r="AM100" s="294">
        <f>IF(Table_NFI[[#This Row],[Winter Clothes Adult]]+Table_NFI[[#This Row],[Winter Clothes Children]]+Table_NFI[[#This Row],[Winter Items Other]]+Table_NFI[[#This Row],[Winter Blanket]]&gt;0,1,0)</f>
        <v>0</v>
      </c>
      <c r="AN100" s="331">
        <f>IF(NFI_Expiration=1,IF($A100&lt;VLOOKUP(V$5,NFI,5,0),1,0)*Table_NFI[[#This Row],[Jerry Can]],Table_NFI[Jerry Can])</f>
        <v>0</v>
      </c>
      <c r="AO100" s="331">
        <f>IF(NFI_Expiration=1,IF($A100&lt;VLOOKUP(V$5,NFI,5,0),1,0)*Table_NFI[[#This Row],[Shelter Tool kit]],Table_NFI[Shelter Tool kit])</f>
        <v>0</v>
      </c>
      <c r="AP100" s="331">
        <f>IF(NFI_Expiration=1,IF($A100&lt;VLOOKUP(V$5,NFI,5,0),1,0)*Table_NFI[[#This Row],[Tent]],Table_NFI[Tent])</f>
        <v>0</v>
      </c>
      <c r="AQ100" s="467" t="str">
        <f>IFERROR(VLOOKUP(Table_NFI[[#This Row],[Camp Name]],CL,2,0),"")</f>
        <v>MMR001CMP047</v>
      </c>
      <c r="AR100" s="835">
        <f ca="1">IF(Table_NFI[[#This Row],[Pcode]]="","",IF(OFFSET(CampList[Opening Date],MATCH(Table_NFI[[#This Row],[Pcode]],CampList[CP_Pcode],0)-1,0,1,1)&gt;=NFI_Monitor_Date,1,0))</f>
        <v>0</v>
      </c>
      <c r="AS100" s="467" t="str">
        <f>IFERROR(VLOOKUP(Table_NFI[[#This Row],[Camp Name]],CL,3,0),"")</f>
        <v>Open</v>
      </c>
      <c r="AT100" s="294" t="str">
        <f ca="1">IF(Table_NFI[[#This Row],[Pcode]]="","",OFFSET(CampList[Priority],MATCH(Table_NFI[[#This Row],[Pcode]],CampList[CP_Pcode],0)-1,0,1,1))</f>
        <v>P4</v>
      </c>
      <c r="AU100" s="293">
        <f>IFERROR(Table_NFI[[#This Row],[Kitchen Set]]/VLOOKUP(Table_NFI[[#This Row],[Camp Name]],CL,4,0),"")</f>
        <v>0</v>
      </c>
      <c r="AV100" s="461"/>
      <c r="AW100" s="463"/>
    </row>
    <row r="101" spans="1:49" s="98" customFormat="1" ht="15" customHeight="1" x14ac:dyDescent="0.25">
      <c r="A101" s="297">
        <f t="shared" si="1"/>
        <v>12.766666666666667</v>
      </c>
      <c r="B101" s="460">
        <v>42353</v>
      </c>
      <c r="C101" s="461" t="s">
        <v>905</v>
      </c>
      <c r="D101" s="462" t="s">
        <v>905</v>
      </c>
      <c r="E101" s="461" t="s">
        <v>380</v>
      </c>
      <c r="F101" s="290" t="s">
        <v>185</v>
      </c>
      <c r="G101" s="290" t="s">
        <v>186</v>
      </c>
      <c r="H101" s="291"/>
      <c r="I101" s="291"/>
      <c r="J101" s="292"/>
      <c r="K101" s="291"/>
      <c r="L101" s="292"/>
      <c r="M101" s="292"/>
      <c r="N101" s="292"/>
      <c r="O101" s="292"/>
      <c r="P101" s="294"/>
      <c r="Q101" s="294"/>
      <c r="R101" s="294"/>
      <c r="S101" s="294"/>
      <c r="T101" s="294"/>
      <c r="U101" s="294"/>
      <c r="V101" s="431"/>
      <c r="W101" s="294">
        <v>3</v>
      </c>
      <c r="X101" s="294"/>
      <c r="Y101" s="294">
        <f>IF(NFI_Expiration=1,IF($A101&lt;VLOOKUP(H$5,NFI,5,0),1,0)*Table_NFI[[#This Row],[Hygiene Kit]],Table_NFI[Hygiene Kit])</f>
        <v>0</v>
      </c>
      <c r="Z101" s="294">
        <f>IF(NFI_Expiration=1,IF($A101&lt;VLOOKUP(I$5,NFI,5,0),1,0)*Table_NFI[[#This Row],[NFI Core Kit]],Table_NFI[NFI Core Kit])</f>
        <v>0</v>
      </c>
      <c r="AA101" s="294">
        <f>IF(NFI_Expiration=1,IF($A101&lt;VLOOKUP(J$5,NFI,5,0),1,0)*Table_NFI[[#This Row],[Sanitary Kit]],Table_NFI[Sanitary Kit])</f>
        <v>0</v>
      </c>
      <c r="AB101" s="294">
        <f>IF(NFI_Expiration=1,IF($A101&lt;VLOOKUP(K$5,NFI,5,0),1,0)*Table_NFI[[#This Row],[Mosquito net]],Table_NFI[Mosquito net])</f>
        <v>0</v>
      </c>
      <c r="AC101" s="294">
        <f>IF(NFI_Expiration=1,IF($A101&lt;VLOOKUP(L$5,NFI,5,0),1,0)*Table_NFI[[#This Row],[Tarpaulin]],Table_NFI[[#This Row],[Tarpaulin]])</f>
        <v>0</v>
      </c>
      <c r="AD101" s="294">
        <f>IF(NFI_Expiration=1,IF($A101&lt;VLOOKUP(M$5,NFI,5,0),1,0)*Table_NFI[[#This Row],[Blanket]],Table_NFI[[#This Row],[Blanket]])</f>
        <v>0</v>
      </c>
      <c r="AE101" s="294">
        <f>IF(NFI_Expiration=1,IF($A101&lt;VLOOKUP(N$5,NFI,5,0),1,0)*Table_NFI[[#This Row],[Kitchen Set]],Table_NFI[Kitchen Set])</f>
        <v>0</v>
      </c>
      <c r="AF101" s="294">
        <f>IF(NFI_Expiration=1,IF($A101&lt;VLOOKUP(O$5,NFI,5,0),1,0)*Table_NFI[[#This Row],[Clothes Kit]],Table_NFI[Clothes Kit])</f>
        <v>0</v>
      </c>
      <c r="AG101" s="294">
        <f>IF(NFI_Expiration=1,IF($A101&lt;VLOOKUP(P$5,NFI,5,0),1,0)*Table_NFI[[#This Row],[Plastic Bucket]],Table_NFI[Plastic Bucket])</f>
        <v>0</v>
      </c>
      <c r="AH101" s="294">
        <f>IF(NFI_Expiration=1,IF($A101&lt;VLOOKUP(Q$5,NFI,5,0),1,0)*Table_NFI[[#This Row],[Plastic Mat]],Table_NFI[Plastic Mat])*IF(Table_NFI[[#This Row],[Distribution Date]]&gt;"2014-04-01",1,2.5)</f>
        <v>0</v>
      </c>
      <c r="AI101" s="294">
        <f>IF(NFI_Expiration=1,IF($A101&lt;VLOOKUP(R$5,NFI,5,0),1,0)*Table_NFI[[#This Row],[Winter Clothes Adult]],Table_NFI[Winter Clothes Adult])</f>
        <v>0</v>
      </c>
      <c r="AJ101" s="294">
        <f>IF(NFI_Expiration=1,IF($A101&lt;VLOOKUP(S$5,NFI,5,0),1,0)*Table_NFI[[#This Row],[Winter Clothes Children]],Table_NFI[Winter Clothes Children])</f>
        <v>0</v>
      </c>
      <c r="AK101" s="294">
        <f>IF(NFI_Expiration=1,IF($A101&lt;VLOOKUP(T$5,NFI,5,0),1,0)*Table_NFI[[#This Row],[Winter Items Other]],Table_NFI[Winter Items Other])</f>
        <v>0</v>
      </c>
      <c r="AL101" s="294">
        <f>IF(NFI_Expiration=1,IF($A101&lt;VLOOKUP(M$5,NFI,5,0),1,0)*Table_NFI[[#This Row],[Winter Blanket]],Table_NFI[[#This Row],[Winter Blanket]])</f>
        <v>0</v>
      </c>
      <c r="AM101" s="294">
        <f>IF(Table_NFI[[#This Row],[Winter Clothes Adult]]+Table_NFI[[#This Row],[Winter Clothes Children]]+Table_NFI[[#This Row],[Winter Items Other]]+Table_NFI[[#This Row],[Winter Blanket]]&gt;0,1,0)</f>
        <v>0</v>
      </c>
      <c r="AN101" s="331">
        <f>IF(NFI_Expiration=1,IF($A101&lt;VLOOKUP(V$5,NFI,5,0),1,0)*Table_NFI[[#This Row],[Jerry Can]],Table_NFI[Jerry Can])</f>
        <v>0</v>
      </c>
      <c r="AO101" s="331">
        <f>IF(NFI_Expiration=1,IF($A101&lt;VLOOKUP(V$5,NFI,5,0),1,0)*Table_NFI[[#This Row],[Shelter Tool kit]],Table_NFI[Shelter Tool kit])</f>
        <v>0</v>
      </c>
      <c r="AP101" s="331">
        <f>IF(NFI_Expiration=1,IF($A101&lt;VLOOKUP(V$5,NFI,5,0),1,0)*Table_NFI[[#This Row],[Tent]],Table_NFI[Tent])</f>
        <v>0</v>
      </c>
      <c r="AQ101" s="467" t="str">
        <f>IFERROR(VLOOKUP(Table_NFI[[#This Row],[Camp Name]],CL,2,0),"")</f>
        <v>MMR001CMP071</v>
      </c>
      <c r="AR101" s="835">
        <f ca="1">IF(Table_NFI[[#This Row],[Pcode]]="","",IF(OFFSET(CampList[Opening Date],MATCH(Table_NFI[[#This Row],[Pcode]],CampList[CP_Pcode],0)-1,0,1,1)&gt;=NFI_Monitor_Date,1,0))</f>
        <v>0</v>
      </c>
      <c r="AS101" s="467" t="str">
        <f>IFERROR(VLOOKUP(Table_NFI[[#This Row],[Camp Name]],CL,3,0),"")</f>
        <v>Open</v>
      </c>
      <c r="AT101" s="294" t="str">
        <f ca="1">IF(Table_NFI[[#This Row],[Pcode]]="","",OFFSET(CampList[Priority],MATCH(Table_NFI[[#This Row],[Pcode]],CampList[CP_Pcode],0)-1,0,1,1))</f>
        <v>P3</v>
      </c>
      <c r="AU101" s="293">
        <f>IFERROR(Table_NFI[[#This Row],[Kitchen Set]]/VLOOKUP(Table_NFI[[#This Row],[Camp Name]],CL,4,0),"")</f>
        <v>0</v>
      </c>
      <c r="AV101" s="461"/>
      <c r="AW101" s="463"/>
    </row>
    <row r="102" spans="1:49" s="464" customFormat="1" ht="14.45" customHeight="1" x14ac:dyDescent="0.25">
      <c r="A102" s="297">
        <f t="shared" si="1"/>
        <v>12.766666666666667</v>
      </c>
      <c r="B102" s="460">
        <v>42353</v>
      </c>
      <c r="C102" s="461" t="s">
        <v>905</v>
      </c>
      <c r="D102" s="462" t="s">
        <v>905</v>
      </c>
      <c r="E102" s="461" t="s">
        <v>380</v>
      </c>
      <c r="F102" s="290" t="s">
        <v>185</v>
      </c>
      <c r="G102" s="290" t="s">
        <v>186</v>
      </c>
      <c r="H102" s="291"/>
      <c r="I102" s="291"/>
      <c r="J102" s="292"/>
      <c r="K102" s="291"/>
      <c r="L102" s="292"/>
      <c r="M102" s="292"/>
      <c r="N102" s="292"/>
      <c r="O102" s="292"/>
      <c r="P102" s="294"/>
      <c r="Q102" s="294"/>
      <c r="R102" s="294"/>
      <c r="S102" s="294"/>
      <c r="T102" s="294"/>
      <c r="U102" s="294"/>
      <c r="V102" s="431"/>
      <c r="W102" s="294"/>
      <c r="X102" s="294"/>
      <c r="Y102" s="294">
        <f>IF(NFI_Expiration=1,IF($A102&lt;VLOOKUP(H$5,NFI,5,0),1,0)*Table_NFI[[#This Row],[Hygiene Kit]],Table_NFI[Hygiene Kit])</f>
        <v>0</v>
      </c>
      <c r="Z102" s="294">
        <f>IF(NFI_Expiration=1,IF($A102&lt;VLOOKUP(I$5,NFI,5,0),1,0)*Table_NFI[[#This Row],[NFI Core Kit]],Table_NFI[NFI Core Kit])</f>
        <v>0</v>
      </c>
      <c r="AA102" s="294">
        <f>IF(NFI_Expiration=1,IF($A102&lt;VLOOKUP(J$5,NFI,5,0),1,0)*Table_NFI[[#This Row],[Sanitary Kit]],Table_NFI[Sanitary Kit])</f>
        <v>0</v>
      </c>
      <c r="AB102" s="294">
        <f>IF(NFI_Expiration=1,IF($A102&lt;VLOOKUP(K$5,NFI,5,0),1,0)*Table_NFI[[#This Row],[Mosquito net]],Table_NFI[Mosquito net])</f>
        <v>0</v>
      </c>
      <c r="AC102" s="294">
        <f>IF(NFI_Expiration=1,IF($A102&lt;VLOOKUP(L$5,NFI,5,0),1,0)*Table_NFI[[#This Row],[Tarpaulin]],Table_NFI[[#This Row],[Tarpaulin]])</f>
        <v>0</v>
      </c>
      <c r="AD102" s="294">
        <f>IF(NFI_Expiration=1,IF($A102&lt;VLOOKUP(M$5,NFI,5,0),1,0)*Table_NFI[[#This Row],[Blanket]],Table_NFI[[#This Row],[Blanket]])</f>
        <v>0</v>
      </c>
      <c r="AE102" s="294">
        <f>IF(NFI_Expiration=1,IF($A102&lt;VLOOKUP(N$5,NFI,5,0),1,0)*Table_NFI[[#This Row],[Kitchen Set]],Table_NFI[Kitchen Set])</f>
        <v>0</v>
      </c>
      <c r="AF102" s="294">
        <f>IF(NFI_Expiration=1,IF($A102&lt;VLOOKUP(O$5,NFI,5,0),1,0)*Table_NFI[[#This Row],[Clothes Kit]],Table_NFI[Clothes Kit])</f>
        <v>0</v>
      </c>
      <c r="AG102" s="294">
        <f>IF(NFI_Expiration=1,IF($A102&lt;VLOOKUP(P$5,NFI,5,0),1,0)*Table_NFI[[#This Row],[Plastic Bucket]],Table_NFI[Plastic Bucket])</f>
        <v>0</v>
      </c>
      <c r="AH102" s="294">
        <f>IF(NFI_Expiration=1,IF($A102&lt;VLOOKUP(Q$5,NFI,5,0),1,0)*Table_NFI[[#This Row],[Plastic Mat]],Table_NFI[Plastic Mat])*IF(Table_NFI[[#This Row],[Distribution Date]]&gt;"2014-04-01",1,2.5)</f>
        <v>0</v>
      </c>
      <c r="AI102" s="294">
        <f>IF(NFI_Expiration=1,IF($A102&lt;VLOOKUP(R$5,NFI,5,0),1,0)*Table_NFI[[#This Row],[Winter Clothes Adult]],Table_NFI[Winter Clothes Adult])</f>
        <v>0</v>
      </c>
      <c r="AJ102" s="294">
        <f>IF(NFI_Expiration=1,IF($A102&lt;VLOOKUP(S$5,NFI,5,0),1,0)*Table_NFI[[#This Row],[Winter Clothes Children]],Table_NFI[Winter Clothes Children])</f>
        <v>0</v>
      </c>
      <c r="AK102" s="294">
        <f>IF(NFI_Expiration=1,IF($A102&lt;VLOOKUP(T$5,NFI,5,0),1,0)*Table_NFI[[#This Row],[Winter Items Other]],Table_NFI[Winter Items Other])</f>
        <v>0</v>
      </c>
      <c r="AL102" s="294">
        <f>IF(NFI_Expiration=1,IF($A102&lt;VLOOKUP(M$5,NFI,5,0),1,0)*Table_NFI[[#This Row],[Winter Blanket]],Table_NFI[[#This Row],[Winter Blanket]])</f>
        <v>0</v>
      </c>
      <c r="AM102" s="294">
        <f>IF(Table_NFI[[#This Row],[Winter Clothes Adult]]+Table_NFI[[#This Row],[Winter Clothes Children]]+Table_NFI[[#This Row],[Winter Items Other]]+Table_NFI[[#This Row],[Winter Blanket]]&gt;0,1,0)</f>
        <v>0</v>
      </c>
      <c r="AN102" s="331">
        <f>IF(NFI_Expiration=1,IF($A102&lt;VLOOKUP(V$5,NFI,5,0),1,0)*Table_NFI[[#This Row],[Jerry Can]],Table_NFI[Jerry Can])</f>
        <v>0</v>
      </c>
      <c r="AO102" s="331">
        <f>IF(NFI_Expiration=1,IF($A102&lt;VLOOKUP(V$5,NFI,5,0),1,0)*Table_NFI[[#This Row],[Shelter Tool kit]],Table_NFI[Shelter Tool kit])</f>
        <v>0</v>
      </c>
      <c r="AP102" s="331">
        <f>IF(NFI_Expiration=1,IF($A102&lt;VLOOKUP(V$5,NFI,5,0),1,0)*Table_NFI[[#This Row],[Tent]],Table_NFI[Tent])</f>
        <v>0</v>
      </c>
      <c r="AQ102" s="467" t="str">
        <f>IFERROR(VLOOKUP(Table_NFI[[#This Row],[Camp Name]],CL,2,0),"")</f>
        <v>MMR001CMP071</v>
      </c>
      <c r="AR102" s="835">
        <f ca="1">IF(Table_NFI[[#This Row],[Pcode]]="","",IF(OFFSET(CampList[Opening Date],MATCH(Table_NFI[[#This Row],[Pcode]],CampList[CP_Pcode],0)-1,0,1,1)&gt;=NFI_Monitor_Date,1,0))</f>
        <v>0</v>
      </c>
      <c r="AS102" s="467" t="str">
        <f>IFERROR(VLOOKUP(Table_NFI[[#This Row],[Camp Name]],CL,3,0),"")</f>
        <v>Open</v>
      </c>
      <c r="AT102" s="294" t="str">
        <f ca="1">IF(Table_NFI[[#This Row],[Pcode]]="","",OFFSET(CampList[Priority],MATCH(Table_NFI[[#This Row],[Pcode]],CampList[CP_Pcode],0)-1,0,1,1))</f>
        <v>P3</v>
      </c>
      <c r="AU102" s="293">
        <f>IFERROR(Table_NFI[[#This Row],[Kitchen Set]]/VLOOKUP(Table_NFI[[#This Row],[Camp Name]],CL,4,0),"")</f>
        <v>0</v>
      </c>
      <c r="AV102" s="461"/>
      <c r="AW102" s="463"/>
    </row>
    <row r="103" spans="1:49" s="98" customFormat="1" ht="14.45" customHeight="1" x14ac:dyDescent="0.25">
      <c r="A103" s="297">
        <f t="shared" si="1"/>
        <v>12.766666666666667</v>
      </c>
      <c r="B103" s="460">
        <v>42353</v>
      </c>
      <c r="C103" s="461" t="s">
        <v>905</v>
      </c>
      <c r="D103" s="462" t="s">
        <v>905</v>
      </c>
      <c r="E103" s="461" t="s">
        <v>380</v>
      </c>
      <c r="F103" s="290" t="s">
        <v>185</v>
      </c>
      <c r="G103" s="290" t="s">
        <v>223</v>
      </c>
      <c r="H103" s="291"/>
      <c r="I103" s="291"/>
      <c r="J103" s="292"/>
      <c r="K103" s="291"/>
      <c r="L103" s="292"/>
      <c r="M103" s="292"/>
      <c r="N103" s="292"/>
      <c r="O103" s="292"/>
      <c r="P103" s="294"/>
      <c r="Q103" s="294"/>
      <c r="R103" s="294"/>
      <c r="S103" s="294"/>
      <c r="T103" s="294"/>
      <c r="U103" s="294"/>
      <c r="V103" s="431"/>
      <c r="W103" s="294">
        <v>20</v>
      </c>
      <c r="X103" s="294"/>
      <c r="Y103" s="294">
        <f>IF(NFI_Expiration=1,IF($A103&lt;VLOOKUP(H$5,NFI,5,0),1,0)*Table_NFI[[#This Row],[Hygiene Kit]],Table_NFI[Hygiene Kit])</f>
        <v>0</v>
      </c>
      <c r="Z103" s="294">
        <f>IF(NFI_Expiration=1,IF($A103&lt;VLOOKUP(I$5,NFI,5,0),1,0)*Table_NFI[[#This Row],[NFI Core Kit]],Table_NFI[NFI Core Kit])</f>
        <v>0</v>
      </c>
      <c r="AA103" s="294">
        <f>IF(NFI_Expiration=1,IF($A103&lt;VLOOKUP(J$5,NFI,5,0),1,0)*Table_NFI[[#This Row],[Sanitary Kit]],Table_NFI[Sanitary Kit])</f>
        <v>0</v>
      </c>
      <c r="AB103" s="294">
        <f>IF(NFI_Expiration=1,IF($A103&lt;VLOOKUP(K$5,NFI,5,0),1,0)*Table_NFI[[#This Row],[Mosquito net]],Table_NFI[Mosquito net])</f>
        <v>0</v>
      </c>
      <c r="AC103" s="294">
        <f>IF(NFI_Expiration=1,IF($A103&lt;VLOOKUP(L$5,NFI,5,0),1,0)*Table_NFI[[#This Row],[Tarpaulin]],Table_NFI[[#This Row],[Tarpaulin]])</f>
        <v>0</v>
      </c>
      <c r="AD103" s="294">
        <f>IF(NFI_Expiration=1,IF($A103&lt;VLOOKUP(M$5,NFI,5,0),1,0)*Table_NFI[[#This Row],[Blanket]],Table_NFI[[#This Row],[Blanket]])</f>
        <v>0</v>
      </c>
      <c r="AE103" s="294">
        <f>IF(NFI_Expiration=1,IF($A103&lt;VLOOKUP(N$5,NFI,5,0),1,0)*Table_NFI[[#This Row],[Kitchen Set]],Table_NFI[Kitchen Set])</f>
        <v>0</v>
      </c>
      <c r="AF103" s="294">
        <f>IF(NFI_Expiration=1,IF($A103&lt;VLOOKUP(O$5,NFI,5,0),1,0)*Table_NFI[[#This Row],[Clothes Kit]],Table_NFI[Clothes Kit])</f>
        <v>0</v>
      </c>
      <c r="AG103" s="294">
        <f>IF(NFI_Expiration=1,IF($A103&lt;VLOOKUP(P$5,NFI,5,0),1,0)*Table_NFI[[#This Row],[Plastic Bucket]],Table_NFI[Plastic Bucket])</f>
        <v>0</v>
      </c>
      <c r="AH103" s="294">
        <f>IF(NFI_Expiration=1,IF($A103&lt;VLOOKUP(Q$5,NFI,5,0),1,0)*Table_NFI[[#This Row],[Plastic Mat]],Table_NFI[Plastic Mat])*IF(Table_NFI[[#This Row],[Distribution Date]]&gt;"2014-04-01",1,2.5)</f>
        <v>0</v>
      </c>
      <c r="AI103" s="294">
        <f>IF(NFI_Expiration=1,IF($A103&lt;VLOOKUP(R$5,NFI,5,0),1,0)*Table_NFI[[#This Row],[Winter Clothes Adult]],Table_NFI[Winter Clothes Adult])</f>
        <v>0</v>
      </c>
      <c r="AJ103" s="294">
        <f>IF(NFI_Expiration=1,IF($A103&lt;VLOOKUP(S$5,NFI,5,0),1,0)*Table_NFI[[#This Row],[Winter Clothes Children]],Table_NFI[Winter Clothes Children])</f>
        <v>0</v>
      </c>
      <c r="AK103" s="294">
        <f>IF(NFI_Expiration=1,IF($A103&lt;VLOOKUP(T$5,NFI,5,0),1,0)*Table_NFI[[#This Row],[Winter Items Other]],Table_NFI[Winter Items Other])</f>
        <v>0</v>
      </c>
      <c r="AL103" s="294">
        <f>IF(NFI_Expiration=1,IF($A103&lt;VLOOKUP(M$5,NFI,5,0),1,0)*Table_NFI[[#This Row],[Winter Blanket]],Table_NFI[[#This Row],[Winter Blanket]])</f>
        <v>0</v>
      </c>
      <c r="AM103" s="294">
        <f>IF(Table_NFI[[#This Row],[Winter Clothes Adult]]+Table_NFI[[#This Row],[Winter Clothes Children]]+Table_NFI[[#This Row],[Winter Items Other]]+Table_NFI[[#This Row],[Winter Blanket]]&gt;0,1,0)</f>
        <v>0</v>
      </c>
      <c r="AN103" s="331">
        <f>IF(NFI_Expiration=1,IF($A103&lt;VLOOKUP(V$5,NFI,5,0),1,0)*Table_NFI[[#This Row],[Jerry Can]],Table_NFI[Jerry Can])</f>
        <v>0</v>
      </c>
      <c r="AO103" s="331">
        <f>IF(NFI_Expiration=1,IF($A103&lt;VLOOKUP(V$5,NFI,5,0),1,0)*Table_NFI[[#This Row],[Shelter Tool kit]],Table_NFI[Shelter Tool kit])</f>
        <v>0</v>
      </c>
      <c r="AP103" s="331">
        <f>IF(NFI_Expiration=1,IF($A103&lt;VLOOKUP(V$5,NFI,5,0),1,0)*Table_NFI[[#This Row],[Tent]],Table_NFI[Tent])</f>
        <v>0</v>
      </c>
      <c r="AQ103" s="467" t="str">
        <f>IFERROR(VLOOKUP(Table_NFI[[#This Row],[Camp Name]],CL,2,0),"")</f>
        <v>MMR001CMP069</v>
      </c>
      <c r="AR103" s="835">
        <f ca="1">IF(Table_NFI[[#This Row],[Pcode]]="","",IF(OFFSET(CampList[Opening Date],MATCH(Table_NFI[[#This Row],[Pcode]],CampList[CP_Pcode],0)-1,0,1,1)&gt;=NFI_Monitor_Date,1,0))</f>
        <v>0</v>
      </c>
      <c r="AS103" s="467" t="str">
        <f>IFERROR(VLOOKUP(Table_NFI[[#This Row],[Camp Name]],CL,3,0),"")</f>
        <v>Open</v>
      </c>
      <c r="AT103" s="294" t="str">
        <f ca="1">IF(Table_NFI[[#This Row],[Pcode]]="","",OFFSET(CampList[Priority],MATCH(Table_NFI[[#This Row],[Pcode]],CampList[CP_Pcode],0)-1,0,1,1))</f>
        <v>P3</v>
      </c>
      <c r="AU103" s="293">
        <f>IFERROR(Table_NFI[[#This Row],[Kitchen Set]]/VLOOKUP(Table_NFI[[#This Row],[Camp Name]],CL,4,0),"")</f>
        <v>0</v>
      </c>
      <c r="AV103" s="461"/>
      <c r="AW103" s="463"/>
    </row>
    <row r="104" spans="1:49" s="98" customFormat="1" ht="15" customHeight="1" x14ac:dyDescent="0.25">
      <c r="A104" s="297">
        <f t="shared" si="1"/>
        <v>12.766666666666667</v>
      </c>
      <c r="B104" s="460">
        <v>42353</v>
      </c>
      <c r="C104" s="461" t="s">
        <v>905</v>
      </c>
      <c r="D104" s="462" t="s">
        <v>905</v>
      </c>
      <c r="E104" s="461" t="s">
        <v>380</v>
      </c>
      <c r="F104" s="290" t="s">
        <v>185</v>
      </c>
      <c r="G104" s="290" t="s">
        <v>190</v>
      </c>
      <c r="H104" s="291"/>
      <c r="I104" s="291"/>
      <c r="J104" s="292"/>
      <c r="K104" s="291"/>
      <c r="L104" s="292"/>
      <c r="M104" s="292"/>
      <c r="N104" s="292"/>
      <c r="O104" s="292"/>
      <c r="P104" s="294"/>
      <c r="Q104" s="294"/>
      <c r="R104" s="294"/>
      <c r="S104" s="294"/>
      <c r="T104" s="294"/>
      <c r="U104" s="294"/>
      <c r="V104" s="431"/>
      <c r="W104" s="294">
        <v>14</v>
      </c>
      <c r="X104" s="294"/>
      <c r="Y104" s="294">
        <f>IF(NFI_Expiration=1,IF($A104&lt;VLOOKUP(H$5,NFI,5,0),1,0)*Table_NFI[[#This Row],[Hygiene Kit]],Table_NFI[Hygiene Kit])</f>
        <v>0</v>
      </c>
      <c r="Z104" s="294">
        <f>IF(NFI_Expiration=1,IF($A104&lt;VLOOKUP(I$5,NFI,5,0),1,0)*Table_NFI[[#This Row],[NFI Core Kit]],Table_NFI[NFI Core Kit])</f>
        <v>0</v>
      </c>
      <c r="AA104" s="294">
        <f>IF(NFI_Expiration=1,IF($A104&lt;VLOOKUP(J$5,NFI,5,0),1,0)*Table_NFI[[#This Row],[Sanitary Kit]],Table_NFI[Sanitary Kit])</f>
        <v>0</v>
      </c>
      <c r="AB104" s="294">
        <f>IF(NFI_Expiration=1,IF($A104&lt;VLOOKUP(K$5,NFI,5,0),1,0)*Table_NFI[[#This Row],[Mosquito net]],Table_NFI[Mosquito net])</f>
        <v>0</v>
      </c>
      <c r="AC104" s="294">
        <f>IF(NFI_Expiration=1,IF($A104&lt;VLOOKUP(L$5,NFI,5,0),1,0)*Table_NFI[[#This Row],[Tarpaulin]],Table_NFI[[#This Row],[Tarpaulin]])</f>
        <v>0</v>
      </c>
      <c r="AD104" s="294">
        <f>IF(NFI_Expiration=1,IF($A104&lt;VLOOKUP(M$5,NFI,5,0),1,0)*Table_NFI[[#This Row],[Blanket]],Table_NFI[[#This Row],[Blanket]])</f>
        <v>0</v>
      </c>
      <c r="AE104" s="294">
        <f>IF(NFI_Expiration=1,IF($A104&lt;VLOOKUP(N$5,NFI,5,0),1,0)*Table_NFI[[#This Row],[Kitchen Set]],Table_NFI[Kitchen Set])</f>
        <v>0</v>
      </c>
      <c r="AF104" s="294">
        <f>IF(NFI_Expiration=1,IF($A104&lt;VLOOKUP(O$5,NFI,5,0),1,0)*Table_NFI[[#This Row],[Clothes Kit]],Table_NFI[Clothes Kit])</f>
        <v>0</v>
      </c>
      <c r="AG104" s="294">
        <f>IF(NFI_Expiration=1,IF($A104&lt;VLOOKUP(P$5,NFI,5,0),1,0)*Table_NFI[[#This Row],[Plastic Bucket]],Table_NFI[Plastic Bucket])</f>
        <v>0</v>
      </c>
      <c r="AH104" s="294">
        <f>IF(NFI_Expiration=1,IF($A104&lt;VLOOKUP(Q$5,NFI,5,0),1,0)*Table_NFI[[#This Row],[Plastic Mat]],Table_NFI[Plastic Mat])*IF(Table_NFI[[#This Row],[Distribution Date]]&gt;"2014-04-01",1,2.5)</f>
        <v>0</v>
      </c>
      <c r="AI104" s="294">
        <f>IF(NFI_Expiration=1,IF($A104&lt;VLOOKUP(R$5,NFI,5,0),1,0)*Table_NFI[[#This Row],[Winter Clothes Adult]],Table_NFI[Winter Clothes Adult])</f>
        <v>0</v>
      </c>
      <c r="AJ104" s="294">
        <f>IF(NFI_Expiration=1,IF($A104&lt;VLOOKUP(S$5,NFI,5,0),1,0)*Table_NFI[[#This Row],[Winter Clothes Children]],Table_NFI[Winter Clothes Children])</f>
        <v>0</v>
      </c>
      <c r="AK104" s="294">
        <f>IF(NFI_Expiration=1,IF($A104&lt;VLOOKUP(T$5,NFI,5,0),1,0)*Table_NFI[[#This Row],[Winter Items Other]],Table_NFI[Winter Items Other])</f>
        <v>0</v>
      </c>
      <c r="AL104" s="294">
        <f>IF(NFI_Expiration=1,IF($A104&lt;VLOOKUP(M$5,NFI,5,0),1,0)*Table_NFI[[#This Row],[Winter Blanket]],Table_NFI[[#This Row],[Winter Blanket]])</f>
        <v>0</v>
      </c>
      <c r="AM104" s="294">
        <f>IF(Table_NFI[[#This Row],[Winter Clothes Adult]]+Table_NFI[[#This Row],[Winter Clothes Children]]+Table_NFI[[#This Row],[Winter Items Other]]+Table_NFI[[#This Row],[Winter Blanket]]&gt;0,1,0)</f>
        <v>0</v>
      </c>
      <c r="AN104" s="331">
        <f>IF(NFI_Expiration=1,IF($A104&lt;VLOOKUP(V$5,NFI,5,0),1,0)*Table_NFI[[#This Row],[Jerry Can]],Table_NFI[Jerry Can])</f>
        <v>0</v>
      </c>
      <c r="AO104" s="331">
        <f>IF(NFI_Expiration=1,IF($A104&lt;VLOOKUP(V$5,NFI,5,0),1,0)*Table_NFI[[#This Row],[Shelter Tool kit]],Table_NFI[Shelter Tool kit])</f>
        <v>0</v>
      </c>
      <c r="AP104" s="331">
        <f>IF(NFI_Expiration=1,IF($A104&lt;VLOOKUP(V$5,NFI,5,0),1,0)*Table_NFI[[#This Row],[Tent]],Table_NFI[Tent])</f>
        <v>0</v>
      </c>
      <c r="AQ104" s="467" t="str">
        <f>IFERROR(VLOOKUP(Table_NFI[[#This Row],[Camp Name]],CL,2,0),"")</f>
        <v>MMR001CMP070</v>
      </c>
      <c r="AR104" s="835">
        <f ca="1">IF(Table_NFI[[#This Row],[Pcode]]="","",IF(OFFSET(CampList[Opening Date],MATCH(Table_NFI[[#This Row],[Pcode]],CampList[CP_Pcode],0)-1,0,1,1)&gt;=NFI_Monitor_Date,1,0))</f>
        <v>0</v>
      </c>
      <c r="AS104" s="467" t="str">
        <f>IFERROR(VLOOKUP(Table_NFI[[#This Row],[Camp Name]],CL,3,0),"")</f>
        <v>Open</v>
      </c>
      <c r="AT104" s="294" t="str">
        <f ca="1">IF(Table_NFI[[#This Row],[Pcode]]="","",OFFSET(CampList[Priority],MATCH(Table_NFI[[#This Row],[Pcode]],CampList[CP_Pcode],0)-1,0,1,1))</f>
        <v>P3</v>
      </c>
      <c r="AU104" s="293">
        <f>IFERROR(Table_NFI[[#This Row],[Kitchen Set]]/VLOOKUP(Table_NFI[[#This Row],[Camp Name]],CL,4,0),"")</f>
        <v>0</v>
      </c>
      <c r="AV104" s="461"/>
      <c r="AW104" s="463"/>
    </row>
    <row r="105" spans="1:49" s="98" customFormat="1" ht="14.45" customHeight="1" x14ac:dyDescent="0.25">
      <c r="A105" s="297">
        <f t="shared" si="1"/>
        <v>12.766666666666667</v>
      </c>
      <c r="B105" s="460">
        <v>42353</v>
      </c>
      <c r="C105" s="465" t="s">
        <v>452</v>
      </c>
      <c r="D105" s="465" t="s">
        <v>460</v>
      </c>
      <c r="E105" s="465" t="s">
        <v>380</v>
      </c>
      <c r="F105" s="465" t="s">
        <v>237</v>
      </c>
      <c r="G105" s="465" t="s">
        <v>261</v>
      </c>
      <c r="H105" s="292"/>
      <c r="I105" s="292"/>
      <c r="J105" s="292"/>
      <c r="K105" s="292">
        <v>7</v>
      </c>
      <c r="L105" s="292">
        <v>7</v>
      </c>
      <c r="M105" s="292"/>
      <c r="N105" s="292">
        <v>7</v>
      </c>
      <c r="O105" s="292"/>
      <c r="P105" s="294">
        <v>7</v>
      </c>
      <c r="Q105" s="294">
        <v>27</v>
      </c>
      <c r="R105" s="294"/>
      <c r="S105" s="294"/>
      <c r="T105" s="294"/>
      <c r="U105" s="294">
        <v>27</v>
      </c>
      <c r="V105" s="431">
        <v>7</v>
      </c>
      <c r="W105" s="294"/>
      <c r="X105" s="294"/>
      <c r="Y105" s="294">
        <f>IF(NFI_Expiration=1,IF($A105&lt;VLOOKUP(H$5,NFI,5,0),1,0)*Table_NFI[[#This Row],[Hygiene Kit]],Table_NFI[Hygiene Kit])</f>
        <v>0</v>
      </c>
      <c r="Z105" s="294">
        <f>IF(NFI_Expiration=1,IF($A105&lt;VLOOKUP(I$5,NFI,5,0),1,0)*Table_NFI[[#This Row],[NFI Core Kit]],Table_NFI[NFI Core Kit])</f>
        <v>0</v>
      </c>
      <c r="AA105" s="294">
        <f>IF(NFI_Expiration=1,IF($A105&lt;VLOOKUP(J$5,NFI,5,0),1,0)*Table_NFI[[#This Row],[Sanitary Kit]],Table_NFI[Sanitary Kit])</f>
        <v>0</v>
      </c>
      <c r="AB105" s="294">
        <f>IF(NFI_Expiration=1,IF($A105&lt;VLOOKUP(K$5,NFI,5,0),1,0)*Table_NFI[[#This Row],[Mosquito net]],Table_NFI[Mosquito net])</f>
        <v>0</v>
      </c>
      <c r="AC105" s="294">
        <f>IF(NFI_Expiration=1,IF($A105&lt;VLOOKUP(L$5,NFI,5,0),1,0)*Table_NFI[[#This Row],[Tarpaulin]],Table_NFI[[#This Row],[Tarpaulin]])</f>
        <v>0</v>
      </c>
      <c r="AD105" s="294">
        <f>IF(NFI_Expiration=1,IF($A105&lt;VLOOKUP(M$5,NFI,5,0),1,0)*Table_NFI[[#This Row],[Blanket]],Table_NFI[[#This Row],[Blanket]])</f>
        <v>0</v>
      </c>
      <c r="AE105" s="294">
        <f>IF(NFI_Expiration=1,IF($A105&lt;VLOOKUP(N$5,NFI,5,0),1,0)*Table_NFI[[#This Row],[Kitchen Set]],Table_NFI[Kitchen Set])</f>
        <v>0</v>
      </c>
      <c r="AF105" s="294">
        <f>IF(NFI_Expiration=1,IF($A105&lt;VLOOKUP(O$5,NFI,5,0),1,0)*Table_NFI[[#This Row],[Clothes Kit]],Table_NFI[Clothes Kit])</f>
        <v>0</v>
      </c>
      <c r="AG105" s="294">
        <f>IF(NFI_Expiration=1,IF($A105&lt;VLOOKUP(P$5,NFI,5,0),1,0)*Table_NFI[[#This Row],[Plastic Bucket]],Table_NFI[Plastic Bucket])</f>
        <v>0</v>
      </c>
      <c r="AH105" s="294">
        <f>IF(NFI_Expiration=1,IF($A105&lt;VLOOKUP(Q$5,NFI,5,0),1,0)*Table_NFI[[#This Row],[Plastic Mat]],Table_NFI[Plastic Mat])*IF(Table_NFI[[#This Row],[Distribution Date]]&gt;"2014-04-01",1,2.5)</f>
        <v>0</v>
      </c>
      <c r="AI105" s="294">
        <f>IF(NFI_Expiration=1,IF($A105&lt;VLOOKUP(R$5,NFI,5,0),1,0)*Table_NFI[[#This Row],[Winter Clothes Adult]],Table_NFI[Winter Clothes Adult])</f>
        <v>0</v>
      </c>
      <c r="AJ105" s="294">
        <f>IF(NFI_Expiration=1,IF($A105&lt;VLOOKUP(S$5,NFI,5,0),1,0)*Table_NFI[[#This Row],[Winter Clothes Children]],Table_NFI[Winter Clothes Children])</f>
        <v>0</v>
      </c>
      <c r="AK105" s="294">
        <f>IF(NFI_Expiration=1,IF($A105&lt;VLOOKUP(T$5,NFI,5,0),1,0)*Table_NFI[[#This Row],[Winter Items Other]],Table_NFI[Winter Items Other])</f>
        <v>0</v>
      </c>
      <c r="AL105" s="294">
        <f>IF(NFI_Expiration=1,IF($A105&lt;VLOOKUP(M$5,NFI,5,0),1,0)*Table_NFI[[#This Row],[Winter Blanket]],Table_NFI[[#This Row],[Winter Blanket]])</f>
        <v>0</v>
      </c>
      <c r="AM105" s="294">
        <f>IF(Table_NFI[[#This Row],[Winter Clothes Adult]]+Table_NFI[[#This Row],[Winter Clothes Children]]+Table_NFI[[#This Row],[Winter Items Other]]+Table_NFI[[#This Row],[Winter Blanket]]&gt;0,1,0)</f>
        <v>1</v>
      </c>
      <c r="AN105" s="331">
        <f>IF(NFI_Expiration=1,IF($A105&lt;VLOOKUP(V$5,NFI,5,0),1,0)*Table_NFI[[#This Row],[Jerry Can]],Table_NFI[Jerry Can])</f>
        <v>0</v>
      </c>
      <c r="AO105" s="331">
        <f>IF(NFI_Expiration=1,IF($A105&lt;VLOOKUP(V$5,NFI,5,0),1,0)*Table_NFI[[#This Row],[Shelter Tool kit]],Table_NFI[Shelter Tool kit])</f>
        <v>0</v>
      </c>
      <c r="AP105" s="331">
        <f>IF(NFI_Expiration=1,IF($A105&lt;VLOOKUP(V$5,NFI,5,0),1,0)*Table_NFI[[#This Row],[Tent]],Table_NFI[Tent])</f>
        <v>0</v>
      </c>
      <c r="AQ105" s="467" t="str">
        <f>IFERROR(VLOOKUP(Table_NFI[[#This Row],[Camp Name]],CL,2,0),"")</f>
        <v>MMR001CMP008</v>
      </c>
      <c r="AR105" s="835">
        <f ca="1">IF(Table_NFI[[#This Row],[Pcode]]="","",IF(OFFSET(CampList[Opening Date],MATCH(Table_NFI[[#This Row],[Pcode]],CampList[CP_Pcode],0)-1,0,1,1)&gt;=NFI_Monitor_Date,1,0))</f>
        <v>0</v>
      </c>
      <c r="AS105" s="659" t="str">
        <f>IFERROR(VLOOKUP(Table_NFI[[#This Row],[Camp Name]],CL,3,0),"")</f>
        <v>Open</v>
      </c>
      <c r="AT105" s="294" t="str">
        <f ca="1">IF(Table_NFI[[#This Row],[Pcode]]="","",OFFSET(CampList[Priority],MATCH(Table_NFI[[#This Row],[Pcode]],CampList[CP_Pcode],0)-1,0,1,1))</f>
        <v>P4</v>
      </c>
      <c r="AU105" s="293">
        <f>IFERROR(Table_NFI[[#This Row],[Kitchen Set]]/VLOOKUP(Table_NFI[[#This Row],[Camp Name]],CL,4,0),"")</f>
        <v>1.7188459177409454E-4</v>
      </c>
      <c r="AV105" s="461" t="s">
        <v>1092</v>
      </c>
      <c r="AW105" s="468"/>
    </row>
    <row r="106" spans="1:49" s="98" customFormat="1" ht="14.45" customHeight="1" x14ac:dyDescent="0.25">
      <c r="A106" s="297">
        <f t="shared" si="1"/>
        <v>12.766666666666667</v>
      </c>
      <c r="B106" s="460">
        <v>42353</v>
      </c>
      <c r="C106" s="461" t="s">
        <v>905</v>
      </c>
      <c r="D106" s="461" t="s">
        <v>905</v>
      </c>
      <c r="E106" s="461" t="s">
        <v>380</v>
      </c>
      <c r="F106" s="290" t="s">
        <v>185</v>
      </c>
      <c r="G106" s="290" t="s">
        <v>229</v>
      </c>
      <c r="H106" s="291"/>
      <c r="I106" s="291"/>
      <c r="J106" s="292"/>
      <c r="K106" s="291"/>
      <c r="L106" s="292"/>
      <c r="M106" s="292"/>
      <c r="N106" s="292"/>
      <c r="O106" s="292"/>
      <c r="P106" s="294"/>
      <c r="Q106" s="294"/>
      <c r="R106" s="294"/>
      <c r="S106" s="294"/>
      <c r="T106" s="294"/>
      <c r="U106" s="294"/>
      <c r="V106" s="431"/>
      <c r="W106" s="294">
        <v>5</v>
      </c>
      <c r="X106" s="294"/>
      <c r="Y106" s="294">
        <f>IF(NFI_Expiration=1,IF($A106&lt;VLOOKUP(H$5,NFI,5,0),1,0)*Table_NFI[[#This Row],[Hygiene Kit]],Table_NFI[Hygiene Kit])</f>
        <v>0</v>
      </c>
      <c r="Z106" s="294">
        <f>IF(NFI_Expiration=1,IF($A106&lt;VLOOKUP(I$5,NFI,5,0),1,0)*Table_NFI[[#This Row],[NFI Core Kit]],Table_NFI[NFI Core Kit])</f>
        <v>0</v>
      </c>
      <c r="AA106" s="294">
        <f>IF(NFI_Expiration=1,IF($A106&lt;VLOOKUP(J$5,NFI,5,0),1,0)*Table_NFI[[#This Row],[Sanitary Kit]],Table_NFI[Sanitary Kit])</f>
        <v>0</v>
      </c>
      <c r="AB106" s="294">
        <f>IF(NFI_Expiration=1,IF($A106&lt;VLOOKUP(K$5,NFI,5,0),1,0)*Table_NFI[[#This Row],[Mosquito net]],Table_NFI[Mosquito net])</f>
        <v>0</v>
      </c>
      <c r="AC106" s="294">
        <f>IF(NFI_Expiration=1,IF($A106&lt;VLOOKUP(L$5,NFI,5,0),1,0)*Table_NFI[[#This Row],[Tarpaulin]],Table_NFI[[#This Row],[Tarpaulin]])</f>
        <v>0</v>
      </c>
      <c r="AD106" s="294">
        <f>IF(NFI_Expiration=1,IF($A106&lt;VLOOKUP(M$5,NFI,5,0),1,0)*Table_NFI[[#This Row],[Blanket]],Table_NFI[[#This Row],[Blanket]])</f>
        <v>0</v>
      </c>
      <c r="AE106" s="294">
        <f>IF(NFI_Expiration=1,IF($A106&lt;VLOOKUP(N$5,NFI,5,0),1,0)*Table_NFI[[#This Row],[Kitchen Set]],Table_NFI[Kitchen Set])</f>
        <v>0</v>
      </c>
      <c r="AF106" s="294">
        <f>IF(NFI_Expiration=1,IF($A106&lt;VLOOKUP(O$5,NFI,5,0),1,0)*Table_NFI[[#This Row],[Clothes Kit]],Table_NFI[Clothes Kit])</f>
        <v>0</v>
      </c>
      <c r="AG106" s="294">
        <f>IF(NFI_Expiration=1,IF($A106&lt;VLOOKUP(P$5,NFI,5,0),1,0)*Table_NFI[[#This Row],[Plastic Bucket]],Table_NFI[Plastic Bucket])</f>
        <v>0</v>
      </c>
      <c r="AH106" s="294">
        <f>IF(NFI_Expiration=1,IF($A106&lt;VLOOKUP(Q$5,NFI,5,0),1,0)*Table_NFI[[#This Row],[Plastic Mat]],Table_NFI[Plastic Mat])*IF(Table_NFI[[#This Row],[Distribution Date]]&gt;"2014-04-01",1,2.5)</f>
        <v>0</v>
      </c>
      <c r="AI106" s="294">
        <f>IF(NFI_Expiration=1,IF($A106&lt;VLOOKUP(R$5,NFI,5,0),1,0)*Table_NFI[[#This Row],[Winter Clothes Adult]],Table_NFI[Winter Clothes Adult])</f>
        <v>0</v>
      </c>
      <c r="AJ106" s="294">
        <f>IF(NFI_Expiration=1,IF($A106&lt;VLOOKUP(S$5,NFI,5,0),1,0)*Table_NFI[[#This Row],[Winter Clothes Children]],Table_NFI[Winter Clothes Children])</f>
        <v>0</v>
      </c>
      <c r="AK106" s="294">
        <f>IF(NFI_Expiration=1,IF($A106&lt;VLOOKUP(T$5,NFI,5,0),1,0)*Table_NFI[[#This Row],[Winter Items Other]],Table_NFI[Winter Items Other])</f>
        <v>0</v>
      </c>
      <c r="AL106" s="294">
        <f>IF(NFI_Expiration=1,IF($A106&lt;VLOOKUP(M$5,NFI,5,0),1,0)*Table_NFI[[#This Row],[Winter Blanket]],Table_NFI[[#This Row],[Winter Blanket]])</f>
        <v>0</v>
      </c>
      <c r="AM106" s="294">
        <f>IF(Table_NFI[[#This Row],[Winter Clothes Adult]]+Table_NFI[[#This Row],[Winter Clothes Children]]+Table_NFI[[#This Row],[Winter Items Other]]+Table_NFI[[#This Row],[Winter Blanket]]&gt;0,1,0)</f>
        <v>0</v>
      </c>
      <c r="AN106" s="331">
        <f>IF(NFI_Expiration=1,IF($A106&lt;VLOOKUP(V$5,NFI,5,0),1,0)*Table_NFI[[#This Row],[Jerry Can]],Table_NFI[Jerry Can])</f>
        <v>0</v>
      </c>
      <c r="AO106" s="331">
        <f>IF(NFI_Expiration=1,IF($A106&lt;VLOOKUP(V$5,NFI,5,0),1,0)*Table_NFI[[#This Row],[Shelter Tool kit]],Table_NFI[Shelter Tool kit])</f>
        <v>0</v>
      </c>
      <c r="AP106" s="331">
        <f>IF(NFI_Expiration=1,IF($A106&lt;VLOOKUP(V$5,NFI,5,0),1,0)*Table_NFI[[#This Row],[Tent]],Table_NFI[Tent])</f>
        <v>0</v>
      </c>
      <c r="AQ106" s="467" t="str">
        <f>IFERROR(VLOOKUP(Table_NFI[[#This Row],[Camp Name]],CL,2,0),"")</f>
        <v>MMR001CMP072</v>
      </c>
      <c r="AR106" s="835">
        <f ca="1">IF(Table_NFI[[#This Row],[Pcode]]="","",IF(OFFSET(CampList[Opening Date],MATCH(Table_NFI[[#This Row],[Pcode]],CampList[CP_Pcode],0)-1,0,1,1)&gt;=NFI_Monitor_Date,1,0))</f>
        <v>0</v>
      </c>
      <c r="AS106" s="467" t="str">
        <f>IFERROR(VLOOKUP(Table_NFI[[#This Row],[Camp Name]],CL,3,0),"")</f>
        <v>Open</v>
      </c>
      <c r="AT106" s="294" t="str">
        <f ca="1">IF(Table_NFI[[#This Row],[Pcode]]="","",OFFSET(CampList[Priority],MATCH(Table_NFI[[#This Row],[Pcode]],CampList[CP_Pcode],0)-1,0,1,1))</f>
        <v>P3</v>
      </c>
      <c r="AU106" s="293">
        <f>IFERROR(Table_NFI[[#This Row],[Kitchen Set]]/VLOOKUP(Table_NFI[[#This Row],[Camp Name]],CL,4,0),"")</f>
        <v>0</v>
      </c>
      <c r="AV106" s="461"/>
      <c r="AW106" s="463"/>
    </row>
    <row r="107" spans="1:49" s="464" customFormat="1" ht="14.45" customHeight="1" x14ac:dyDescent="0.25">
      <c r="A107" s="297">
        <f t="shared" si="1"/>
        <v>12.766666666666667</v>
      </c>
      <c r="B107" s="460">
        <v>42353</v>
      </c>
      <c r="C107" s="461" t="s">
        <v>905</v>
      </c>
      <c r="D107" s="462" t="s">
        <v>905</v>
      </c>
      <c r="E107" s="461" t="s">
        <v>380</v>
      </c>
      <c r="F107" s="290" t="s">
        <v>185</v>
      </c>
      <c r="G107" s="290" t="s">
        <v>225</v>
      </c>
      <c r="H107" s="291"/>
      <c r="I107" s="291"/>
      <c r="J107" s="292"/>
      <c r="K107" s="291"/>
      <c r="L107" s="292"/>
      <c r="M107" s="292"/>
      <c r="N107" s="292"/>
      <c r="O107" s="292"/>
      <c r="P107" s="294"/>
      <c r="Q107" s="294"/>
      <c r="R107" s="294"/>
      <c r="S107" s="294"/>
      <c r="T107" s="294"/>
      <c r="U107" s="294"/>
      <c r="V107" s="431"/>
      <c r="W107" s="294">
        <v>4</v>
      </c>
      <c r="X107" s="294"/>
      <c r="Y107" s="294">
        <f>IF(NFI_Expiration=1,IF($A107&lt;VLOOKUP(H$5,NFI,5,0),1,0)*Table_NFI[[#This Row],[Hygiene Kit]],Table_NFI[Hygiene Kit])</f>
        <v>0</v>
      </c>
      <c r="Z107" s="294">
        <f>IF(NFI_Expiration=1,IF($A107&lt;VLOOKUP(I$5,NFI,5,0),1,0)*Table_NFI[[#This Row],[NFI Core Kit]],Table_NFI[NFI Core Kit])</f>
        <v>0</v>
      </c>
      <c r="AA107" s="294">
        <f>IF(NFI_Expiration=1,IF($A107&lt;VLOOKUP(J$5,NFI,5,0),1,0)*Table_NFI[[#This Row],[Sanitary Kit]],Table_NFI[Sanitary Kit])</f>
        <v>0</v>
      </c>
      <c r="AB107" s="294">
        <f>IF(NFI_Expiration=1,IF($A107&lt;VLOOKUP(K$5,NFI,5,0),1,0)*Table_NFI[[#This Row],[Mosquito net]],Table_NFI[Mosquito net])</f>
        <v>0</v>
      </c>
      <c r="AC107" s="294">
        <f>IF(NFI_Expiration=1,IF($A107&lt;VLOOKUP(L$5,NFI,5,0),1,0)*Table_NFI[[#This Row],[Tarpaulin]],Table_NFI[[#This Row],[Tarpaulin]])</f>
        <v>0</v>
      </c>
      <c r="AD107" s="294">
        <f>IF(NFI_Expiration=1,IF($A107&lt;VLOOKUP(M$5,NFI,5,0),1,0)*Table_NFI[[#This Row],[Blanket]],Table_NFI[[#This Row],[Blanket]])</f>
        <v>0</v>
      </c>
      <c r="AE107" s="294">
        <f>IF(NFI_Expiration=1,IF($A107&lt;VLOOKUP(N$5,NFI,5,0),1,0)*Table_NFI[[#This Row],[Kitchen Set]],Table_NFI[Kitchen Set])</f>
        <v>0</v>
      </c>
      <c r="AF107" s="294">
        <f>IF(NFI_Expiration=1,IF($A107&lt;VLOOKUP(O$5,NFI,5,0),1,0)*Table_NFI[[#This Row],[Clothes Kit]],Table_NFI[Clothes Kit])</f>
        <v>0</v>
      </c>
      <c r="AG107" s="294">
        <f>IF(NFI_Expiration=1,IF($A107&lt;VLOOKUP(P$5,NFI,5,0),1,0)*Table_NFI[[#This Row],[Plastic Bucket]],Table_NFI[Plastic Bucket])</f>
        <v>0</v>
      </c>
      <c r="AH107" s="294">
        <f>IF(NFI_Expiration=1,IF($A107&lt;VLOOKUP(Q$5,NFI,5,0),1,0)*Table_NFI[[#This Row],[Plastic Mat]],Table_NFI[Plastic Mat])*IF(Table_NFI[[#This Row],[Distribution Date]]&gt;"2014-04-01",1,2.5)</f>
        <v>0</v>
      </c>
      <c r="AI107" s="294">
        <f>IF(NFI_Expiration=1,IF($A107&lt;VLOOKUP(R$5,NFI,5,0),1,0)*Table_NFI[[#This Row],[Winter Clothes Adult]],Table_NFI[Winter Clothes Adult])</f>
        <v>0</v>
      </c>
      <c r="AJ107" s="294">
        <f>IF(NFI_Expiration=1,IF($A107&lt;VLOOKUP(S$5,NFI,5,0),1,0)*Table_NFI[[#This Row],[Winter Clothes Children]],Table_NFI[Winter Clothes Children])</f>
        <v>0</v>
      </c>
      <c r="AK107" s="294">
        <f>IF(NFI_Expiration=1,IF($A107&lt;VLOOKUP(T$5,NFI,5,0),1,0)*Table_NFI[[#This Row],[Winter Items Other]],Table_NFI[Winter Items Other])</f>
        <v>0</v>
      </c>
      <c r="AL107" s="294">
        <f>IF(NFI_Expiration=1,IF($A107&lt;VLOOKUP(M$5,NFI,5,0),1,0)*Table_NFI[[#This Row],[Winter Blanket]],Table_NFI[[#This Row],[Winter Blanket]])</f>
        <v>0</v>
      </c>
      <c r="AM107" s="294">
        <f>IF(Table_NFI[[#This Row],[Winter Clothes Adult]]+Table_NFI[[#This Row],[Winter Clothes Children]]+Table_NFI[[#This Row],[Winter Items Other]]+Table_NFI[[#This Row],[Winter Blanket]]&gt;0,1,0)</f>
        <v>0</v>
      </c>
      <c r="AN107" s="331">
        <f>IF(NFI_Expiration=1,IF($A107&lt;VLOOKUP(V$5,NFI,5,0),1,0)*Table_NFI[[#This Row],[Jerry Can]],Table_NFI[Jerry Can])</f>
        <v>0</v>
      </c>
      <c r="AO107" s="331">
        <f>IF(NFI_Expiration=1,IF($A107&lt;VLOOKUP(V$5,NFI,5,0),1,0)*Table_NFI[[#This Row],[Shelter Tool kit]],Table_NFI[Shelter Tool kit])</f>
        <v>0</v>
      </c>
      <c r="AP107" s="331">
        <f>IF(NFI_Expiration=1,IF($A107&lt;VLOOKUP(V$5,NFI,5,0),1,0)*Table_NFI[[#This Row],[Tent]],Table_NFI[Tent])</f>
        <v>0</v>
      </c>
      <c r="AQ107" s="467" t="str">
        <f>IFERROR(VLOOKUP(Table_NFI[[#This Row],[Camp Name]],CL,2,0),"")</f>
        <v>MMR001CMP073</v>
      </c>
      <c r="AR107" s="835">
        <f ca="1">IF(Table_NFI[[#This Row],[Pcode]]="","",IF(OFFSET(CampList[Opening Date],MATCH(Table_NFI[[#This Row],[Pcode]],CampList[CP_Pcode],0)-1,0,1,1)&gt;=NFI_Monitor_Date,1,0))</f>
        <v>0</v>
      </c>
      <c r="AS107" s="467" t="str">
        <f>IFERROR(VLOOKUP(Table_NFI[[#This Row],[Camp Name]],CL,3,0),"")</f>
        <v>Open</v>
      </c>
      <c r="AT107" s="294" t="str">
        <f ca="1">IF(Table_NFI[[#This Row],[Pcode]]="","",OFFSET(CampList[Priority],MATCH(Table_NFI[[#This Row],[Pcode]],CampList[CP_Pcode],0)-1,0,1,1))</f>
        <v>P3</v>
      </c>
      <c r="AU107" s="293">
        <f>IFERROR(Table_NFI[[#This Row],[Kitchen Set]]/VLOOKUP(Table_NFI[[#This Row],[Camp Name]],CL,4,0),"")</f>
        <v>0</v>
      </c>
      <c r="AV107" s="461"/>
      <c r="AW107" s="463"/>
    </row>
    <row r="108" spans="1:49" s="98" customFormat="1" ht="14.45" customHeight="1" x14ac:dyDescent="0.2">
      <c r="A108" s="297">
        <f t="shared" si="1"/>
        <v>12.8</v>
      </c>
      <c r="B108" s="460">
        <v>42352</v>
      </c>
      <c r="C108" s="461" t="s">
        <v>905</v>
      </c>
      <c r="D108" s="462" t="s">
        <v>905</v>
      </c>
      <c r="E108" s="461" t="s">
        <v>380</v>
      </c>
      <c r="F108" s="290" t="s">
        <v>5</v>
      </c>
      <c r="G108" s="290" t="s">
        <v>22</v>
      </c>
      <c r="H108" s="291"/>
      <c r="I108" s="291"/>
      <c r="J108" s="291"/>
      <c r="K108" s="291"/>
      <c r="L108" s="292"/>
      <c r="M108" s="292"/>
      <c r="N108" s="292"/>
      <c r="O108" s="292"/>
      <c r="P108" s="294"/>
      <c r="Q108" s="294"/>
      <c r="R108" s="294"/>
      <c r="S108" s="294"/>
      <c r="T108" s="294"/>
      <c r="U108" s="294"/>
      <c r="V108" s="612">
        <v>2</v>
      </c>
      <c r="W108" s="294"/>
      <c r="X108" s="294"/>
      <c r="Y108" s="294">
        <f>IF(NFI_Expiration=1,IF($A108&lt;VLOOKUP(H$5,NFI,5,0),1,0)*Table_NFI[[#This Row],[Hygiene Kit]],Table_NFI[Hygiene Kit])</f>
        <v>0</v>
      </c>
      <c r="Z108" s="294">
        <f>IF(NFI_Expiration=1,IF($A108&lt;VLOOKUP(I$5,NFI,5,0),1,0)*Table_NFI[[#This Row],[NFI Core Kit]],Table_NFI[NFI Core Kit])</f>
        <v>0</v>
      </c>
      <c r="AA108" s="294">
        <f>IF(NFI_Expiration=1,IF($A108&lt;VLOOKUP(J$5,NFI,5,0),1,0)*Table_NFI[[#This Row],[Sanitary Kit]],Table_NFI[Sanitary Kit])</f>
        <v>0</v>
      </c>
      <c r="AB108" s="294">
        <f>IF(NFI_Expiration=1,IF($A108&lt;VLOOKUP(K$5,NFI,5,0),1,0)*Table_NFI[[#This Row],[Mosquito net]],Table_NFI[Mosquito net])</f>
        <v>0</v>
      </c>
      <c r="AC108" s="294">
        <f>IF(NFI_Expiration=1,IF($A108&lt;VLOOKUP(L$5,NFI,5,0),1,0)*Table_NFI[[#This Row],[Tarpaulin]],Table_NFI[[#This Row],[Tarpaulin]])</f>
        <v>0</v>
      </c>
      <c r="AD108" s="294">
        <f>IF(NFI_Expiration=1,IF($A108&lt;VLOOKUP(M$5,NFI,5,0),1,0)*Table_NFI[[#This Row],[Blanket]],Table_NFI[[#This Row],[Blanket]])</f>
        <v>0</v>
      </c>
      <c r="AE108" s="294">
        <f>IF(NFI_Expiration=1,IF($A108&lt;VLOOKUP(N$5,NFI,5,0),1,0)*Table_NFI[[#This Row],[Kitchen Set]],Table_NFI[Kitchen Set])</f>
        <v>0</v>
      </c>
      <c r="AF108" s="294">
        <f>IF(NFI_Expiration=1,IF($A108&lt;VLOOKUP(O$5,NFI,5,0),1,0)*Table_NFI[[#This Row],[Clothes Kit]],Table_NFI[Clothes Kit])</f>
        <v>0</v>
      </c>
      <c r="AG108" s="294">
        <f>IF(NFI_Expiration=1,IF($A108&lt;VLOOKUP(P$5,NFI,5,0),1,0)*Table_NFI[[#This Row],[Plastic Bucket]],Table_NFI[Plastic Bucket])</f>
        <v>0</v>
      </c>
      <c r="AH108" s="294">
        <f>IF(NFI_Expiration=1,IF($A108&lt;VLOOKUP(Q$5,NFI,5,0),1,0)*Table_NFI[[#This Row],[Plastic Mat]],Table_NFI[Plastic Mat])*IF(Table_NFI[[#This Row],[Distribution Date]]&gt;"2014-04-01",1,2.5)</f>
        <v>0</v>
      </c>
      <c r="AI108" s="294">
        <f>IF(NFI_Expiration=1,IF($A108&lt;VLOOKUP(R$5,NFI,5,0),1,0)*Table_NFI[[#This Row],[Winter Clothes Adult]],Table_NFI[Winter Clothes Adult])</f>
        <v>0</v>
      </c>
      <c r="AJ108" s="294">
        <f>IF(NFI_Expiration=1,IF($A108&lt;VLOOKUP(S$5,NFI,5,0),1,0)*Table_NFI[[#This Row],[Winter Clothes Children]],Table_NFI[Winter Clothes Children])</f>
        <v>0</v>
      </c>
      <c r="AK108" s="294">
        <f>IF(NFI_Expiration=1,IF($A108&lt;VLOOKUP(T$5,NFI,5,0),1,0)*Table_NFI[[#This Row],[Winter Items Other]],Table_NFI[Winter Items Other])</f>
        <v>0</v>
      </c>
      <c r="AL108" s="294">
        <f>IF(NFI_Expiration=1,IF($A108&lt;VLOOKUP(M$5,NFI,5,0),1,0)*Table_NFI[[#This Row],[Winter Blanket]],Table_NFI[[#This Row],[Winter Blanket]])</f>
        <v>0</v>
      </c>
      <c r="AM108" s="294">
        <f>IF(Table_NFI[[#This Row],[Winter Clothes Adult]]+Table_NFI[[#This Row],[Winter Clothes Children]]+Table_NFI[[#This Row],[Winter Items Other]]+Table_NFI[[#This Row],[Winter Blanket]]&gt;0,1,0)</f>
        <v>0</v>
      </c>
      <c r="AN108" s="331">
        <f>IF(NFI_Expiration=1,IF($A108&lt;VLOOKUP(V$5,NFI,5,0),1,0)*Table_NFI[[#This Row],[Jerry Can]],Table_NFI[Jerry Can])</f>
        <v>0</v>
      </c>
      <c r="AO108" s="331">
        <f>IF(NFI_Expiration=1,IF($A108&lt;VLOOKUP(V$5,NFI,5,0),1,0)*Table_NFI[[#This Row],[Shelter Tool kit]],Table_NFI[Shelter Tool kit])</f>
        <v>0</v>
      </c>
      <c r="AP108" s="331">
        <f>IF(NFI_Expiration=1,IF($A108&lt;VLOOKUP(V$5,NFI,5,0),1,0)*Table_NFI[[#This Row],[Tent]],Table_NFI[Tent])</f>
        <v>0</v>
      </c>
      <c r="AQ108" s="467" t="str">
        <f>IFERROR(VLOOKUP(Table_NFI[[#This Row],[Camp Name]],CL,2,0),"")</f>
        <v>MMR001CMP047</v>
      </c>
      <c r="AR108" s="835">
        <f ca="1">IF(Table_NFI[[#This Row],[Pcode]]="","",IF(OFFSET(CampList[Opening Date],MATCH(Table_NFI[[#This Row],[Pcode]],CampList[CP_Pcode],0)-1,0,1,1)&gt;=NFI_Monitor_Date,1,0))</f>
        <v>0</v>
      </c>
      <c r="AS108" s="467" t="str">
        <f>IFERROR(VLOOKUP(Table_NFI[[#This Row],[Camp Name]],CL,3,0),"")</f>
        <v>Open</v>
      </c>
      <c r="AT108" s="294" t="str">
        <f ca="1">IF(Table_NFI[[#This Row],[Pcode]]="","",OFFSET(CampList[Priority],MATCH(Table_NFI[[#This Row],[Pcode]],CampList[CP_Pcode],0)-1,0,1,1))</f>
        <v>P4</v>
      </c>
      <c r="AU108" s="293">
        <f>IFERROR(Table_NFI[[#This Row],[Kitchen Set]]/VLOOKUP(Table_NFI[[#This Row],[Camp Name]],CL,4,0),"")</f>
        <v>0</v>
      </c>
      <c r="AV108" s="461"/>
      <c r="AW108" s="463"/>
    </row>
    <row r="109" spans="1:49" s="144" customFormat="1" ht="14.45" customHeight="1" x14ac:dyDescent="0.25">
      <c r="A109" s="297">
        <f t="shared" si="1"/>
        <v>12.9</v>
      </c>
      <c r="B109" s="460">
        <v>42349</v>
      </c>
      <c r="C109" s="465" t="s">
        <v>452</v>
      </c>
      <c r="D109" s="465" t="s">
        <v>505</v>
      </c>
      <c r="E109" s="465" t="s">
        <v>380</v>
      </c>
      <c r="F109" s="465" t="s">
        <v>237</v>
      </c>
      <c r="G109" s="465" t="s">
        <v>249</v>
      </c>
      <c r="H109" s="292"/>
      <c r="I109" s="292"/>
      <c r="J109" s="292"/>
      <c r="K109" s="292"/>
      <c r="L109" s="292"/>
      <c r="M109" s="292"/>
      <c r="N109" s="292"/>
      <c r="O109" s="292"/>
      <c r="P109" s="294"/>
      <c r="Q109" s="294"/>
      <c r="R109" s="294"/>
      <c r="S109" s="294"/>
      <c r="T109" s="294"/>
      <c r="U109" s="294">
        <v>11</v>
      </c>
      <c r="V109" s="431"/>
      <c r="W109" s="331"/>
      <c r="X109" s="331"/>
      <c r="Y109" s="294">
        <f>IF(NFI_Expiration=1,IF($A109&lt;VLOOKUP(H$5,NFI,5,0),1,0)*Table_NFI[[#This Row],[Hygiene Kit]],Table_NFI[Hygiene Kit])</f>
        <v>0</v>
      </c>
      <c r="Z109" s="294">
        <f>IF(NFI_Expiration=1,IF($A109&lt;VLOOKUP(I$5,NFI,5,0),1,0)*Table_NFI[[#This Row],[NFI Core Kit]],Table_NFI[NFI Core Kit])</f>
        <v>0</v>
      </c>
      <c r="AA109" s="294">
        <f>IF(NFI_Expiration=1,IF($A109&lt;VLOOKUP(J$5,NFI,5,0),1,0)*Table_NFI[[#This Row],[Sanitary Kit]],Table_NFI[Sanitary Kit])</f>
        <v>0</v>
      </c>
      <c r="AB109" s="294">
        <f>IF(NFI_Expiration=1,IF($A109&lt;VLOOKUP(K$5,NFI,5,0),1,0)*Table_NFI[[#This Row],[Mosquito net]],Table_NFI[Mosquito net])</f>
        <v>0</v>
      </c>
      <c r="AC109" s="294">
        <f>IF(NFI_Expiration=1,IF($A109&lt;VLOOKUP(L$5,NFI,5,0),1,0)*Table_NFI[[#This Row],[Tarpaulin]],Table_NFI[[#This Row],[Tarpaulin]])</f>
        <v>0</v>
      </c>
      <c r="AD109" s="294">
        <f>IF(NFI_Expiration=1,IF($A109&lt;VLOOKUP(M$5,NFI,5,0),1,0)*Table_NFI[[#This Row],[Blanket]],Table_NFI[[#This Row],[Blanket]])</f>
        <v>0</v>
      </c>
      <c r="AE109" s="294">
        <f>IF(NFI_Expiration=1,IF($A109&lt;VLOOKUP(N$5,NFI,5,0),1,0)*Table_NFI[[#This Row],[Kitchen Set]],Table_NFI[Kitchen Set])</f>
        <v>0</v>
      </c>
      <c r="AF109" s="294">
        <f>IF(NFI_Expiration=1,IF($A109&lt;VLOOKUP(O$5,NFI,5,0),1,0)*Table_NFI[[#This Row],[Clothes Kit]],Table_NFI[Clothes Kit])</f>
        <v>0</v>
      </c>
      <c r="AG109" s="294">
        <f>IF(NFI_Expiration=1,IF($A109&lt;VLOOKUP(P$5,NFI,5,0),1,0)*Table_NFI[[#This Row],[Plastic Bucket]],Table_NFI[Plastic Bucket])</f>
        <v>0</v>
      </c>
      <c r="AH109" s="294">
        <f>IF(NFI_Expiration=1,IF($A109&lt;VLOOKUP(Q$5,NFI,5,0),1,0)*Table_NFI[[#This Row],[Plastic Mat]],Table_NFI[Plastic Mat])*IF(Table_NFI[[#This Row],[Distribution Date]]&gt;"2014-04-01",1,2.5)</f>
        <v>0</v>
      </c>
      <c r="AI109" s="294">
        <f>IF(NFI_Expiration=1,IF($A109&lt;VLOOKUP(R$5,NFI,5,0),1,0)*Table_NFI[[#This Row],[Winter Clothes Adult]],Table_NFI[Winter Clothes Adult])</f>
        <v>0</v>
      </c>
      <c r="AJ109" s="294">
        <f>IF(NFI_Expiration=1,IF($A109&lt;VLOOKUP(S$5,NFI,5,0),1,0)*Table_NFI[[#This Row],[Winter Clothes Children]],Table_NFI[Winter Clothes Children])</f>
        <v>0</v>
      </c>
      <c r="AK109" s="294">
        <f>IF(NFI_Expiration=1,IF($A109&lt;VLOOKUP(T$5,NFI,5,0),1,0)*Table_NFI[[#This Row],[Winter Items Other]],Table_NFI[Winter Items Other])</f>
        <v>0</v>
      </c>
      <c r="AL109" s="294">
        <f>IF(NFI_Expiration=1,IF($A109&lt;VLOOKUP(M$5,NFI,5,0),1,0)*Table_NFI[[#This Row],[Winter Blanket]],Table_NFI[[#This Row],[Winter Blanket]])</f>
        <v>0</v>
      </c>
      <c r="AM109" s="294">
        <f>IF(Table_NFI[[#This Row],[Winter Clothes Adult]]+Table_NFI[[#This Row],[Winter Clothes Children]]+Table_NFI[[#This Row],[Winter Items Other]]+Table_NFI[[#This Row],[Winter Blanket]]&gt;0,1,0)</f>
        <v>1</v>
      </c>
      <c r="AN109" s="331">
        <f>IF(NFI_Expiration=1,IF($A109&lt;VLOOKUP(V$5,NFI,5,0),1,0)*Table_NFI[[#This Row],[Jerry Can]],Table_NFI[Jerry Can])</f>
        <v>0</v>
      </c>
      <c r="AO109" s="331">
        <f>IF(NFI_Expiration=1,IF($A109&lt;VLOOKUP(V$5,NFI,5,0),1,0)*Table_NFI[[#This Row],[Shelter Tool kit]],Table_NFI[Shelter Tool kit])</f>
        <v>0</v>
      </c>
      <c r="AP109" s="331">
        <f>IF(NFI_Expiration=1,IF($A109&lt;VLOOKUP(V$5,NFI,5,0),1,0)*Table_NFI[[#This Row],[Tent]],Table_NFI[Tent])</f>
        <v>0</v>
      </c>
      <c r="AQ109" s="467" t="str">
        <f>IFERROR(VLOOKUP(Table_NFI[[#This Row],[Camp Name]],CL,2,0),"")</f>
        <v>MMR001CMP004</v>
      </c>
      <c r="AR109" s="835">
        <f ca="1">IF(Table_NFI[[#This Row],[Pcode]]="","",IF(OFFSET(CampList[Opening Date],MATCH(Table_NFI[[#This Row],[Pcode]],CampList[CP_Pcode],0)-1,0,1,1)&gt;=NFI_Monitor_Date,1,0))</f>
        <v>0</v>
      </c>
      <c r="AS109" s="467" t="str">
        <f>IFERROR(VLOOKUP(Table_NFI[[#This Row],[Camp Name]],CL,3,0),"")</f>
        <v>Open</v>
      </c>
      <c r="AT109" s="294" t="str">
        <f ca="1">IF(Table_NFI[[#This Row],[Pcode]]="","",OFFSET(CampList[Priority],MATCH(Table_NFI[[#This Row],[Pcode]],CampList[CP_Pcode],0)-1,0,1,1))</f>
        <v>P4</v>
      </c>
      <c r="AU109" s="293">
        <f>IFERROR(Table_NFI[[#This Row],[Kitchen Set]]/VLOOKUP(Table_NFI[[#This Row],[Camp Name]],CL,4,0),"")</f>
        <v>0</v>
      </c>
      <c r="AV109" s="461" t="s">
        <v>1092</v>
      </c>
      <c r="AW109" s="468"/>
    </row>
    <row r="110" spans="1:49" s="98" customFormat="1" ht="14.45" customHeight="1" x14ac:dyDescent="0.25">
      <c r="A110" s="297">
        <f t="shared" si="1"/>
        <v>13.133333333333333</v>
      </c>
      <c r="B110" s="460">
        <v>42342</v>
      </c>
      <c r="C110" s="461" t="s">
        <v>905</v>
      </c>
      <c r="D110" s="461" t="s">
        <v>905</v>
      </c>
      <c r="E110" s="461" t="s">
        <v>380</v>
      </c>
      <c r="F110" s="290" t="s">
        <v>185</v>
      </c>
      <c r="G110" s="290" t="s">
        <v>1431</v>
      </c>
      <c r="H110" s="291"/>
      <c r="I110" s="291"/>
      <c r="J110" s="292"/>
      <c r="K110" s="291"/>
      <c r="L110" s="292"/>
      <c r="M110" s="292"/>
      <c r="N110" s="292"/>
      <c r="O110" s="292"/>
      <c r="P110" s="294"/>
      <c r="Q110" s="294"/>
      <c r="R110" s="294"/>
      <c r="S110" s="294"/>
      <c r="T110" s="294"/>
      <c r="U110" s="294"/>
      <c r="V110" s="331">
        <v>1</v>
      </c>
      <c r="W110" s="294"/>
      <c r="X110" s="294"/>
      <c r="Y110" s="294">
        <f>IF(NFI_Expiration=1,IF($A110&lt;VLOOKUP(H$5,NFI,5,0),1,0)*Table_NFI[[#This Row],[Hygiene Kit]],Table_NFI[Hygiene Kit])</f>
        <v>0</v>
      </c>
      <c r="Z110" s="294">
        <f>IF(NFI_Expiration=1,IF($A110&lt;VLOOKUP(I$5,NFI,5,0),1,0)*Table_NFI[[#This Row],[NFI Core Kit]],Table_NFI[NFI Core Kit])</f>
        <v>0</v>
      </c>
      <c r="AA110" s="294">
        <f>IF(NFI_Expiration=1,IF($A110&lt;VLOOKUP(J$5,NFI,5,0),1,0)*Table_NFI[[#This Row],[Sanitary Kit]],Table_NFI[Sanitary Kit])</f>
        <v>0</v>
      </c>
      <c r="AB110" s="294">
        <f>IF(NFI_Expiration=1,IF($A110&lt;VLOOKUP(K$5,NFI,5,0),1,0)*Table_NFI[[#This Row],[Mosquito net]],Table_NFI[Mosquito net])</f>
        <v>0</v>
      </c>
      <c r="AC110" s="294">
        <f>IF(NFI_Expiration=1,IF($A110&lt;VLOOKUP(L$5,NFI,5,0),1,0)*Table_NFI[[#This Row],[Tarpaulin]],Table_NFI[[#This Row],[Tarpaulin]])</f>
        <v>0</v>
      </c>
      <c r="AD110" s="294">
        <f>IF(NFI_Expiration=1,IF($A110&lt;VLOOKUP(M$5,NFI,5,0),1,0)*Table_NFI[[#This Row],[Blanket]],Table_NFI[[#This Row],[Blanket]])</f>
        <v>0</v>
      </c>
      <c r="AE110" s="294">
        <f>IF(NFI_Expiration=1,IF($A110&lt;VLOOKUP(N$5,NFI,5,0),1,0)*Table_NFI[[#This Row],[Kitchen Set]],Table_NFI[Kitchen Set])</f>
        <v>0</v>
      </c>
      <c r="AF110" s="294">
        <f>IF(NFI_Expiration=1,IF($A110&lt;VLOOKUP(O$5,NFI,5,0),1,0)*Table_NFI[[#This Row],[Clothes Kit]],Table_NFI[Clothes Kit])</f>
        <v>0</v>
      </c>
      <c r="AG110" s="294">
        <f>IF(NFI_Expiration=1,IF($A110&lt;VLOOKUP(P$5,NFI,5,0),1,0)*Table_NFI[[#This Row],[Plastic Bucket]],Table_NFI[Plastic Bucket])</f>
        <v>0</v>
      </c>
      <c r="AH110" s="294">
        <f>IF(NFI_Expiration=1,IF($A110&lt;VLOOKUP(Q$5,NFI,5,0),1,0)*Table_NFI[[#This Row],[Plastic Mat]],Table_NFI[Plastic Mat])*IF(Table_NFI[[#This Row],[Distribution Date]]&gt;"2014-04-01",1,2.5)</f>
        <v>0</v>
      </c>
      <c r="AI110" s="294">
        <f>IF(NFI_Expiration=1,IF($A110&lt;VLOOKUP(R$5,NFI,5,0),1,0)*Table_NFI[[#This Row],[Winter Clothes Adult]],Table_NFI[Winter Clothes Adult])</f>
        <v>0</v>
      </c>
      <c r="AJ110" s="294">
        <f>IF(NFI_Expiration=1,IF($A110&lt;VLOOKUP(S$5,NFI,5,0),1,0)*Table_NFI[[#This Row],[Winter Clothes Children]],Table_NFI[Winter Clothes Children])</f>
        <v>0</v>
      </c>
      <c r="AK110" s="294">
        <f>IF(NFI_Expiration=1,IF($A110&lt;VLOOKUP(T$5,NFI,5,0),1,0)*Table_NFI[[#This Row],[Winter Items Other]],Table_NFI[Winter Items Other])</f>
        <v>0</v>
      </c>
      <c r="AL110" s="294">
        <f>IF(NFI_Expiration=1,IF($A110&lt;VLOOKUP(M$5,NFI,5,0),1,0)*Table_NFI[[#This Row],[Winter Blanket]],Table_NFI[[#This Row],[Winter Blanket]])</f>
        <v>0</v>
      </c>
      <c r="AM110" s="294">
        <f>IF(Table_NFI[[#This Row],[Winter Clothes Adult]]+Table_NFI[[#This Row],[Winter Clothes Children]]+Table_NFI[[#This Row],[Winter Items Other]]+Table_NFI[[#This Row],[Winter Blanket]]&gt;0,1,0)</f>
        <v>0</v>
      </c>
      <c r="AN110" s="331">
        <f>IF(NFI_Expiration=1,IF($A110&lt;VLOOKUP(V$5,NFI,5,0),1,0)*Table_NFI[[#This Row],[Jerry Can]],Table_NFI[Jerry Can])</f>
        <v>0</v>
      </c>
      <c r="AO110" s="331">
        <f>IF(NFI_Expiration=1,IF($A110&lt;VLOOKUP(V$5,NFI,5,0),1,0)*Table_NFI[[#This Row],[Shelter Tool kit]],Table_NFI[Shelter Tool kit])</f>
        <v>0</v>
      </c>
      <c r="AP110" s="331">
        <f>IF(NFI_Expiration=1,IF($A110&lt;VLOOKUP(V$5,NFI,5,0),1,0)*Table_NFI[[#This Row],[Tent]],Table_NFI[Tent])</f>
        <v>0</v>
      </c>
      <c r="AQ110" s="467" t="str">
        <f>IFERROR(VLOOKUP(Table_NFI[[#This Row],[Camp Name]],CL,2,0),"")</f>
        <v/>
      </c>
      <c r="AR110" s="835" t="str">
        <f ca="1">IF(Table_NFI[[#This Row],[Pcode]]="","",IF(OFFSET(CampList[Opening Date],MATCH(Table_NFI[[#This Row],[Pcode]],CampList[CP_Pcode],0)-1,0,1,1)&gt;=NFI_Monitor_Date,1,0))</f>
        <v/>
      </c>
      <c r="AS110" s="659" t="str">
        <f>IFERROR(VLOOKUP(Table_NFI[[#This Row],[Camp Name]],CL,3,0),"")</f>
        <v/>
      </c>
      <c r="AT110" s="294" t="str">
        <f ca="1">IF(Table_NFI[[#This Row],[Pcode]]="","",OFFSET(CampList[Priority],MATCH(Table_NFI[[#This Row],[Pcode]],CampList[CP_Pcode],0)-1,0,1,1))</f>
        <v/>
      </c>
      <c r="AU110" s="293" t="str">
        <f>IFERROR(Table_NFI[[#This Row],[Kitchen Set]]/VLOOKUP(Table_NFI[[#This Row],[Camp Name]],CL,4,0),"")</f>
        <v/>
      </c>
      <c r="AV110" s="461"/>
      <c r="AW110" s="463"/>
    </row>
    <row r="111" spans="1:49" s="464" customFormat="1" ht="14.45" customHeight="1" x14ac:dyDescent="0.2">
      <c r="A111" s="297">
        <f t="shared" si="1"/>
        <v>13.133333333333333</v>
      </c>
      <c r="B111" s="460">
        <v>42342</v>
      </c>
      <c r="C111" s="461" t="s">
        <v>905</v>
      </c>
      <c r="D111" s="461" t="s">
        <v>905</v>
      </c>
      <c r="E111" s="461" t="s">
        <v>380</v>
      </c>
      <c r="F111" s="461" t="s">
        <v>5</v>
      </c>
      <c r="G111" s="461" t="s">
        <v>366</v>
      </c>
      <c r="H111" s="291"/>
      <c r="I111" s="291"/>
      <c r="J111" s="291"/>
      <c r="K111" s="291"/>
      <c r="L111" s="292"/>
      <c r="M111" s="292"/>
      <c r="N111" s="292"/>
      <c r="O111" s="292"/>
      <c r="P111" s="294"/>
      <c r="Q111" s="294"/>
      <c r="R111" s="294"/>
      <c r="S111" s="294"/>
      <c r="T111" s="294"/>
      <c r="U111" s="294"/>
      <c r="V111" s="612">
        <v>5</v>
      </c>
      <c r="W111" s="294"/>
      <c r="X111" s="294"/>
      <c r="Y111" s="294">
        <f>IF(NFI_Expiration=1,IF($A111&lt;VLOOKUP(H$5,NFI,5,0),1,0)*Table_NFI[[#This Row],[Hygiene Kit]],Table_NFI[Hygiene Kit])</f>
        <v>0</v>
      </c>
      <c r="Z111" s="294">
        <f>IF(NFI_Expiration=1,IF($A111&lt;VLOOKUP(I$5,NFI,5,0),1,0)*Table_NFI[[#This Row],[NFI Core Kit]],Table_NFI[NFI Core Kit])</f>
        <v>0</v>
      </c>
      <c r="AA111" s="294">
        <f>IF(NFI_Expiration=1,IF($A111&lt;VLOOKUP(J$5,NFI,5,0),1,0)*Table_NFI[[#This Row],[Sanitary Kit]],Table_NFI[Sanitary Kit])</f>
        <v>0</v>
      </c>
      <c r="AB111" s="294">
        <f>IF(NFI_Expiration=1,IF($A111&lt;VLOOKUP(K$5,NFI,5,0),1,0)*Table_NFI[[#This Row],[Mosquito net]],Table_NFI[Mosquito net])</f>
        <v>0</v>
      </c>
      <c r="AC111" s="294">
        <f>IF(NFI_Expiration=1,IF($A111&lt;VLOOKUP(L$5,NFI,5,0),1,0)*Table_NFI[[#This Row],[Tarpaulin]],Table_NFI[[#This Row],[Tarpaulin]])</f>
        <v>0</v>
      </c>
      <c r="AD111" s="294">
        <f>IF(NFI_Expiration=1,IF($A111&lt;VLOOKUP(M$5,NFI,5,0),1,0)*Table_NFI[[#This Row],[Blanket]],Table_NFI[[#This Row],[Blanket]])</f>
        <v>0</v>
      </c>
      <c r="AE111" s="294">
        <f>IF(NFI_Expiration=1,IF($A111&lt;VLOOKUP(N$5,NFI,5,0),1,0)*Table_NFI[[#This Row],[Kitchen Set]],Table_NFI[Kitchen Set])</f>
        <v>0</v>
      </c>
      <c r="AF111" s="294">
        <f>IF(NFI_Expiration=1,IF($A111&lt;VLOOKUP(O$5,NFI,5,0),1,0)*Table_NFI[[#This Row],[Clothes Kit]],Table_NFI[Clothes Kit])</f>
        <v>0</v>
      </c>
      <c r="AG111" s="294">
        <f>IF(NFI_Expiration=1,IF($A111&lt;VLOOKUP(P$5,NFI,5,0),1,0)*Table_NFI[[#This Row],[Plastic Bucket]],Table_NFI[Plastic Bucket])</f>
        <v>0</v>
      </c>
      <c r="AH111" s="294">
        <f>IF(NFI_Expiration=1,IF($A111&lt;VLOOKUP(Q$5,NFI,5,0),1,0)*Table_NFI[[#This Row],[Plastic Mat]],Table_NFI[Plastic Mat])*IF(Table_NFI[[#This Row],[Distribution Date]]&gt;"2014-04-01",1,2.5)</f>
        <v>0</v>
      </c>
      <c r="AI111" s="294">
        <f>IF(NFI_Expiration=1,IF($A111&lt;VLOOKUP(R$5,NFI,5,0),1,0)*Table_NFI[[#This Row],[Winter Clothes Adult]],Table_NFI[Winter Clothes Adult])</f>
        <v>0</v>
      </c>
      <c r="AJ111" s="294">
        <f>IF(NFI_Expiration=1,IF($A111&lt;VLOOKUP(S$5,NFI,5,0),1,0)*Table_NFI[[#This Row],[Winter Clothes Children]],Table_NFI[Winter Clothes Children])</f>
        <v>0</v>
      </c>
      <c r="AK111" s="294">
        <f>IF(NFI_Expiration=1,IF($A111&lt;VLOOKUP(T$5,NFI,5,0),1,0)*Table_NFI[[#This Row],[Winter Items Other]],Table_NFI[Winter Items Other])</f>
        <v>0</v>
      </c>
      <c r="AL111" s="294">
        <f>IF(NFI_Expiration=1,IF($A111&lt;VLOOKUP(M$5,NFI,5,0),1,0)*Table_NFI[[#This Row],[Winter Blanket]],Table_NFI[[#This Row],[Winter Blanket]])</f>
        <v>0</v>
      </c>
      <c r="AM111" s="294">
        <f>IF(Table_NFI[[#This Row],[Winter Clothes Adult]]+Table_NFI[[#This Row],[Winter Clothes Children]]+Table_NFI[[#This Row],[Winter Items Other]]+Table_NFI[[#This Row],[Winter Blanket]]&gt;0,1,0)</f>
        <v>0</v>
      </c>
      <c r="AN111" s="331">
        <f>IF(NFI_Expiration=1,IF($A111&lt;VLOOKUP(V$5,NFI,5,0),1,0)*Table_NFI[[#This Row],[Jerry Can]],Table_NFI[Jerry Can])</f>
        <v>0</v>
      </c>
      <c r="AO111" s="331">
        <f>IF(NFI_Expiration=1,IF($A111&lt;VLOOKUP(V$5,NFI,5,0),1,0)*Table_NFI[[#This Row],[Shelter Tool kit]],Table_NFI[Shelter Tool kit])</f>
        <v>0</v>
      </c>
      <c r="AP111" s="331">
        <f>IF(NFI_Expiration=1,IF($A111&lt;VLOOKUP(V$5,NFI,5,0),1,0)*Table_NFI[[#This Row],[Tent]],Table_NFI[Tent])</f>
        <v>0</v>
      </c>
      <c r="AQ111" s="467" t="str">
        <f>IFERROR(VLOOKUP(Table_NFI[[#This Row],[Camp Name]],CL,2,0),"")</f>
        <v>MMR001CMP193</v>
      </c>
      <c r="AR111" s="835">
        <f ca="1">IF(Table_NFI[[#This Row],[Pcode]]="","",IF(OFFSET(CampList[Opening Date],MATCH(Table_NFI[[#This Row],[Pcode]],CampList[CP_Pcode],0)-1,0,1,1)&gt;=NFI_Monitor_Date,1,0))</f>
        <v>0</v>
      </c>
      <c r="AS111" s="467" t="str">
        <f>IFERROR(VLOOKUP(Table_NFI[[#This Row],[Camp Name]],CL,3,0),"")</f>
        <v>Open</v>
      </c>
      <c r="AT111" s="294" t="str">
        <f ca="1">IF(Table_NFI[[#This Row],[Pcode]]="","",OFFSET(CampList[Priority],MATCH(Table_NFI[[#This Row],[Pcode]],CampList[CP_Pcode],0)-1,0,1,1))</f>
        <v>P4</v>
      </c>
      <c r="AU111" s="293">
        <f>IFERROR(Table_NFI[[#This Row],[Kitchen Set]]/VLOOKUP(Table_NFI[[#This Row],[Camp Name]],CL,4,0),"")</f>
        <v>0</v>
      </c>
      <c r="AV111" s="461"/>
      <c r="AW111" s="463"/>
    </row>
    <row r="112" spans="1:49" s="464" customFormat="1" ht="14.45" customHeight="1" x14ac:dyDescent="0.25">
      <c r="A112" s="297">
        <f t="shared" si="1"/>
        <v>13.233333333333333</v>
      </c>
      <c r="B112" s="460">
        <v>42339</v>
      </c>
      <c r="C112" s="461" t="s">
        <v>905</v>
      </c>
      <c r="D112" s="461" t="s">
        <v>905</v>
      </c>
      <c r="E112" s="461" t="s">
        <v>380</v>
      </c>
      <c r="F112" s="290" t="s">
        <v>185</v>
      </c>
      <c r="G112" s="290" t="s">
        <v>1432</v>
      </c>
      <c r="H112" s="291"/>
      <c r="I112" s="291"/>
      <c r="J112" s="292"/>
      <c r="K112" s="291"/>
      <c r="L112" s="292"/>
      <c r="M112" s="292"/>
      <c r="N112" s="292"/>
      <c r="O112" s="292"/>
      <c r="P112" s="294"/>
      <c r="Q112" s="294"/>
      <c r="R112" s="294"/>
      <c r="S112" s="294"/>
      <c r="T112" s="294"/>
      <c r="U112" s="294"/>
      <c r="V112" s="331">
        <v>44</v>
      </c>
      <c r="W112" s="294"/>
      <c r="X112" s="294"/>
      <c r="Y112" s="294">
        <f>IF(NFI_Expiration=1,IF($A112&lt;VLOOKUP(H$5,NFI,5,0),1,0)*Table_NFI[[#This Row],[Hygiene Kit]],Table_NFI[Hygiene Kit])</f>
        <v>0</v>
      </c>
      <c r="Z112" s="294">
        <f>IF(NFI_Expiration=1,IF($A112&lt;VLOOKUP(I$5,NFI,5,0),1,0)*Table_NFI[[#This Row],[NFI Core Kit]],Table_NFI[NFI Core Kit])</f>
        <v>0</v>
      </c>
      <c r="AA112" s="294">
        <f>IF(NFI_Expiration=1,IF($A112&lt;VLOOKUP(J$5,NFI,5,0),1,0)*Table_NFI[[#This Row],[Sanitary Kit]],Table_NFI[Sanitary Kit])</f>
        <v>0</v>
      </c>
      <c r="AB112" s="294">
        <f>IF(NFI_Expiration=1,IF($A112&lt;VLOOKUP(K$5,NFI,5,0),1,0)*Table_NFI[[#This Row],[Mosquito net]],Table_NFI[Mosquito net])</f>
        <v>0</v>
      </c>
      <c r="AC112" s="294">
        <f>IF(NFI_Expiration=1,IF($A112&lt;VLOOKUP(L$5,NFI,5,0),1,0)*Table_NFI[[#This Row],[Tarpaulin]],Table_NFI[[#This Row],[Tarpaulin]])</f>
        <v>0</v>
      </c>
      <c r="AD112" s="294">
        <f>IF(NFI_Expiration=1,IF($A112&lt;VLOOKUP(M$5,NFI,5,0),1,0)*Table_NFI[[#This Row],[Blanket]],Table_NFI[[#This Row],[Blanket]])</f>
        <v>0</v>
      </c>
      <c r="AE112" s="294">
        <f>IF(NFI_Expiration=1,IF($A112&lt;VLOOKUP(N$5,NFI,5,0),1,0)*Table_NFI[[#This Row],[Kitchen Set]],Table_NFI[Kitchen Set])</f>
        <v>0</v>
      </c>
      <c r="AF112" s="294">
        <f>IF(NFI_Expiration=1,IF($A112&lt;VLOOKUP(O$5,NFI,5,0),1,0)*Table_NFI[[#This Row],[Clothes Kit]],Table_NFI[Clothes Kit])</f>
        <v>0</v>
      </c>
      <c r="AG112" s="294">
        <f>IF(NFI_Expiration=1,IF($A112&lt;VLOOKUP(P$5,NFI,5,0),1,0)*Table_NFI[[#This Row],[Plastic Bucket]],Table_NFI[Plastic Bucket])</f>
        <v>0</v>
      </c>
      <c r="AH112" s="294">
        <f>IF(NFI_Expiration=1,IF($A112&lt;VLOOKUP(Q$5,NFI,5,0),1,0)*Table_NFI[[#This Row],[Plastic Mat]],Table_NFI[Plastic Mat])*IF(Table_NFI[[#This Row],[Distribution Date]]&gt;"2014-04-01",1,2.5)</f>
        <v>0</v>
      </c>
      <c r="AI112" s="294">
        <f>IF(NFI_Expiration=1,IF($A112&lt;VLOOKUP(R$5,NFI,5,0),1,0)*Table_NFI[[#This Row],[Winter Clothes Adult]],Table_NFI[Winter Clothes Adult])</f>
        <v>0</v>
      </c>
      <c r="AJ112" s="294">
        <f>IF(NFI_Expiration=1,IF($A112&lt;VLOOKUP(S$5,NFI,5,0),1,0)*Table_NFI[[#This Row],[Winter Clothes Children]],Table_NFI[Winter Clothes Children])</f>
        <v>0</v>
      </c>
      <c r="AK112" s="294">
        <f>IF(NFI_Expiration=1,IF($A112&lt;VLOOKUP(T$5,NFI,5,0),1,0)*Table_NFI[[#This Row],[Winter Items Other]],Table_NFI[Winter Items Other])</f>
        <v>0</v>
      </c>
      <c r="AL112" s="294">
        <f>IF(NFI_Expiration=1,IF($A112&lt;VLOOKUP(M$5,NFI,5,0),1,0)*Table_NFI[[#This Row],[Winter Blanket]],Table_NFI[[#This Row],[Winter Blanket]])</f>
        <v>0</v>
      </c>
      <c r="AM112" s="294">
        <f>IF(Table_NFI[[#This Row],[Winter Clothes Adult]]+Table_NFI[[#This Row],[Winter Clothes Children]]+Table_NFI[[#This Row],[Winter Items Other]]+Table_NFI[[#This Row],[Winter Blanket]]&gt;0,1,0)</f>
        <v>0</v>
      </c>
      <c r="AN112" s="331">
        <f>IF(NFI_Expiration=1,IF($A112&lt;VLOOKUP(V$5,NFI,5,0),1,0)*Table_NFI[[#This Row],[Jerry Can]],Table_NFI[Jerry Can])</f>
        <v>0</v>
      </c>
      <c r="AO112" s="331">
        <f>IF(NFI_Expiration=1,IF($A112&lt;VLOOKUP(V$5,NFI,5,0),1,0)*Table_NFI[[#This Row],[Shelter Tool kit]],Table_NFI[Shelter Tool kit])</f>
        <v>0</v>
      </c>
      <c r="AP112" s="331">
        <f>IF(NFI_Expiration=1,IF($A112&lt;VLOOKUP(V$5,NFI,5,0),1,0)*Table_NFI[[#This Row],[Tent]],Table_NFI[Tent])</f>
        <v>0</v>
      </c>
      <c r="AQ112" s="467" t="str">
        <f>IFERROR(VLOOKUP(Table_NFI[[#This Row],[Camp Name]],CL,2,0),"")</f>
        <v/>
      </c>
      <c r="AR112" s="835" t="str">
        <f ca="1">IF(Table_NFI[[#This Row],[Pcode]]="","",IF(OFFSET(CampList[Opening Date],MATCH(Table_NFI[[#This Row],[Pcode]],CampList[CP_Pcode],0)-1,0,1,1)&gt;=NFI_Monitor_Date,1,0))</f>
        <v/>
      </c>
      <c r="AS112" s="659" t="str">
        <f>IFERROR(VLOOKUP(Table_NFI[[#This Row],[Camp Name]],CL,3,0),"")</f>
        <v/>
      </c>
      <c r="AT112" s="294" t="str">
        <f ca="1">IF(Table_NFI[[#This Row],[Pcode]]="","",OFFSET(CampList[Priority],MATCH(Table_NFI[[#This Row],[Pcode]],CampList[CP_Pcode],0)-1,0,1,1))</f>
        <v/>
      </c>
      <c r="AU112" s="293" t="str">
        <f>IFERROR(Table_NFI[[#This Row],[Kitchen Set]]/VLOOKUP(Table_NFI[[#This Row],[Camp Name]],CL,4,0),"")</f>
        <v/>
      </c>
      <c r="AV112" s="461"/>
      <c r="AW112" s="463"/>
    </row>
    <row r="113" spans="1:49" s="464" customFormat="1" ht="14.45" customHeight="1" x14ac:dyDescent="0.25">
      <c r="A113" s="297">
        <f t="shared" si="1"/>
        <v>13.366666666666667</v>
      </c>
      <c r="B113" s="460">
        <v>42335</v>
      </c>
      <c r="C113" s="461" t="s">
        <v>452</v>
      </c>
      <c r="D113" s="461" t="s">
        <v>460</v>
      </c>
      <c r="E113" s="461" t="s">
        <v>380</v>
      </c>
      <c r="F113" s="461" t="s">
        <v>302</v>
      </c>
      <c r="G113" s="461" t="s">
        <v>306</v>
      </c>
      <c r="H113" s="291"/>
      <c r="I113" s="294"/>
      <c r="J113" s="294"/>
      <c r="K113" s="294"/>
      <c r="L113" s="292">
        <v>9</v>
      </c>
      <c r="M113" s="292">
        <v>23</v>
      </c>
      <c r="N113" s="292">
        <v>10</v>
      </c>
      <c r="O113" s="292"/>
      <c r="P113" s="294">
        <v>8</v>
      </c>
      <c r="Q113" s="294">
        <v>24</v>
      </c>
      <c r="R113" s="294"/>
      <c r="S113" s="294"/>
      <c r="T113" s="294"/>
      <c r="U113" s="294"/>
      <c r="V113" s="431">
        <v>6</v>
      </c>
      <c r="W113" s="294"/>
      <c r="X113" s="294"/>
      <c r="Y113" s="294">
        <f>IF(NFI_Expiration=1,IF($A113&lt;VLOOKUP(H$5,NFI,5,0),1,0)*Table_NFI[[#This Row],[Hygiene Kit]],Table_NFI[Hygiene Kit])</f>
        <v>0</v>
      </c>
      <c r="Z113" s="294">
        <f>IF(NFI_Expiration=1,IF($A113&lt;VLOOKUP(I$5,NFI,5,0),1,0)*Table_NFI[[#This Row],[NFI Core Kit]],Table_NFI[NFI Core Kit])</f>
        <v>0</v>
      </c>
      <c r="AA113" s="294">
        <f>IF(NFI_Expiration=1,IF($A113&lt;VLOOKUP(J$5,NFI,5,0),1,0)*Table_NFI[[#This Row],[Sanitary Kit]],Table_NFI[Sanitary Kit])</f>
        <v>0</v>
      </c>
      <c r="AB113" s="294">
        <f>IF(NFI_Expiration=1,IF($A113&lt;VLOOKUP(K$5,NFI,5,0),1,0)*Table_NFI[[#This Row],[Mosquito net]],Table_NFI[Mosquito net])</f>
        <v>0</v>
      </c>
      <c r="AC113" s="294">
        <f>IF(NFI_Expiration=1,IF($A113&lt;VLOOKUP(L$5,NFI,5,0),1,0)*Table_NFI[[#This Row],[Tarpaulin]],Table_NFI[[#This Row],[Tarpaulin]])</f>
        <v>0</v>
      </c>
      <c r="AD113" s="294">
        <f>IF(NFI_Expiration=1,IF($A113&lt;VLOOKUP(M$5,NFI,5,0),1,0)*Table_NFI[[#This Row],[Blanket]],Table_NFI[[#This Row],[Blanket]])</f>
        <v>0</v>
      </c>
      <c r="AE113" s="294">
        <f>IF(NFI_Expiration=1,IF($A113&lt;VLOOKUP(N$5,NFI,5,0),1,0)*Table_NFI[[#This Row],[Kitchen Set]],Table_NFI[Kitchen Set])</f>
        <v>0</v>
      </c>
      <c r="AF113" s="294">
        <f>IF(NFI_Expiration=1,IF($A113&lt;VLOOKUP(O$5,NFI,5,0),1,0)*Table_NFI[[#This Row],[Clothes Kit]],Table_NFI[Clothes Kit])</f>
        <v>0</v>
      </c>
      <c r="AG113" s="294">
        <f>IF(NFI_Expiration=1,IF($A113&lt;VLOOKUP(P$5,NFI,5,0),1,0)*Table_NFI[[#This Row],[Plastic Bucket]],Table_NFI[Plastic Bucket])</f>
        <v>0</v>
      </c>
      <c r="AH113" s="294">
        <f>IF(NFI_Expiration=1,IF($A113&lt;VLOOKUP(Q$5,NFI,5,0),1,0)*Table_NFI[[#This Row],[Plastic Mat]],Table_NFI[Plastic Mat])*IF(Table_NFI[[#This Row],[Distribution Date]]&gt;"2014-04-01",1,2.5)</f>
        <v>0</v>
      </c>
      <c r="AI113" s="294">
        <f>IF(NFI_Expiration=1,IF($A113&lt;VLOOKUP(R$5,NFI,5,0),1,0)*Table_NFI[[#This Row],[Winter Clothes Adult]],Table_NFI[Winter Clothes Adult])</f>
        <v>0</v>
      </c>
      <c r="AJ113" s="294">
        <f>IF(NFI_Expiration=1,IF($A113&lt;VLOOKUP(S$5,NFI,5,0),1,0)*Table_NFI[[#This Row],[Winter Clothes Children]],Table_NFI[Winter Clothes Children])</f>
        <v>0</v>
      </c>
      <c r="AK113" s="294">
        <f>IF(NFI_Expiration=1,IF($A113&lt;VLOOKUP(T$5,NFI,5,0),1,0)*Table_NFI[[#This Row],[Winter Items Other]],Table_NFI[Winter Items Other])</f>
        <v>0</v>
      </c>
      <c r="AL113" s="294">
        <f>IF(NFI_Expiration=1,IF($A113&lt;VLOOKUP(M$5,NFI,5,0),1,0)*Table_NFI[[#This Row],[Winter Blanket]],Table_NFI[[#This Row],[Winter Blanket]])</f>
        <v>0</v>
      </c>
      <c r="AM113" s="294">
        <f>IF(Table_NFI[[#This Row],[Winter Clothes Adult]]+Table_NFI[[#This Row],[Winter Clothes Children]]+Table_NFI[[#This Row],[Winter Items Other]]+Table_NFI[[#This Row],[Winter Blanket]]&gt;0,1,0)</f>
        <v>0</v>
      </c>
      <c r="AN113" s="331">
        <f>IF(NFI_Expiration=1,IF($A113&lt;VLOOKUP(V$5,NFI,5,0),1,0)*Table_NFI[[#This Row],[Jerry Can]],Table_NFI[Jerry Can])</f>
        <v>0</v>
      </c>
      <c r="AO113" s="331">
        <f>IF(NFI_Expiration=1,IF($A113&lt;VLOOKUP(V$5,NFI,5,0),1,0)*Table_NFI[[#This Row],[Shelter Tool kit]],Table_NFI[Shelter Tool kit])</f>
        <v>0</v>
      </c>
      <c r="AP113" s="331">
        <f>IF(NFI_Expiration=1,IF($A113&lt;VLOOKUP(V$5,NFI,5,0),1,0)*Table_NFI[[#This Row],[Tent]],Table_NFI[Tent])</f>
        <v>0</v>
      </c>
      <c r="AQ113" s="467" t="str">
        <f>IFERROR(VLOOKUP(Table_NFI[[#This Row],[Camp Name]],CL,2,0),"")</f>
        <v>MMR001CMP067</v>
      </c>
      <c r="AR113" s="835">
        <f ca="1">IF(Table_NFI[[#This Row],[Pcode]]="","",IF(OFFSET(CampList[Opening Date],MATCH(Table_NFI[[#This Row],[Pcode]],CampList[CP_Pcode],0)-1,0,1,1)&gt;=NFI_Monitor_Date,1,0))</f>
        <v>0</v>
      </c>
      <c r="AS113" s="659" t="str">
        <f>IFERROR(VLOOKUP(Table_NFI[[#This Row],[Camp Name]],CL,3,0),"")</f>
        <v>Open</v>
      </c>
      <c r="AT113" s="294" t="str">
        <f ca="1">IF(Table_NFI[[#This Row],[Pcode]]="","",OFFSET(CampList[Priority],MATCH(Table_NFI[[#This Row],[Pcode]],CampList[CP_Pcode],0)-1,0,1,1))</f>
        <v>P4</v>
      </c>
      <c r="AU113" s="293">
        <f>IFERROR(Table_NFI[[#This Row],[Kitchen Set]]/VLOOKUP(Table_NFI[[#This Row],[Camp Name]],CL,4,0),"")</f>
        <v>2.4554941682013506E-4</v>
      </c>
      <c r="AV113" s="461" t="s">
        <v>1092</v>
      </c>
      <c r="AW113" s="483"/>
    </row>
    <row r="114" spans="1:49" s="464" customFormat="1" ht="14.45" customHeight="1" x14ac:dyDescent="0.25">
      <c r="A114" s="297">
        <f t="shared" si="1"/>
        <v>13.433333333333334</v>
      </c>
      <c r="B114" s="460">
        <v>42333</v>
      </c>
      <c r="C114" s="461" t="s">
        <v>452</v>
      </c>
      <c r="D114" s="461" t="s">
        <v>460</v>
      </c>
      <c r="E114" s="461" t="s">
        <v>380</v>
      </c>
      <c r="F114" s="461" t="s">
        <v>302</v>
      </c>
      <c r="G114" s="461" t="s">
        <v>306</v>
      </c>
      <c r="H114" s="291"/>
      <c r="I114" s="291"/>
      <c r="J114" s="291"/>
      <c r="K114" s="291"/>
      <c r="L114" s="292">
        <v>4</v>
      </c>
      <c r="M114" s="292">
        <v>16</v>
      </c>
      <c r="N114" s="292">
        <v>4</v>
      </c>
      <c r="O114" s="292"/>
      <c r="P114" s="294">
        <v>4</v>
      </c>
      <c r="Q114" s="294">
        <v>23</v>
      </c>
      <c r="R114" s="294"/>
      <c r="S114" s="294"/>
      <c r="T114" s="294"/>
      <c r="U114" s="294"/>
      <c r="V114" s="431">
        <v>7</v>
      </c>
      <c r="W114" s="294"/>
      <c r="X114" s="294"/>
      <c r="Y114" s="294">
        <f>IF(NFI_Expiration=1,IF($A114&lt;VLOOKUP(H$5,NFI,5,0),1,0)*Table_NFI[[#This Row],[Hygiene Kit]],Table_NFI[Hygiene Kit])</f>
        <v>0</v>
      </c>
      <c r="Z114" s="294">
        <f>IF(NFI_Expiration=1,IF($A114&lt;VLOOKUP(I$5,NFI,5,0),1,0)*Table_NFI[[#This Row],[NFI Core Kit]],Table_NFI[NFI Core Kit])</f>
        <v>0</v>
      </c>
      <c r="AA114" s="294">
        <f>IF(NFI_Expiration=1,IF($A114&lt;VLOOKUP(J$5,NFI,5,0),1,0)*Table_NFI[[#This Row],[Sanitary Kit]],Table_NFI[Sanitary Kit])</f>
        <v>0</v>
      </c>
      <c r="AB114" s="294">
        <f>IF(NFI_Expiration=1,IF($A114&lt;VLOOKUP(K$5,NFI,5,0),1,0)*Table_NFI[[#This Row],[Mosquito net]],Table_NFI[Mosquito net])</f>
        <v>0</v>
      </c>
      <c r="AC114" s="294">
        <f>IF(NFI_Expiration=1,IF($A114&lt;VLOOKUP(L$5,NFI,5,0),1,0)*Table_NFI[[#This Row],[Tarpaulin]],Table_NFI[[#This Row],[Tarpaulin]])</f>
        <v>0</v>
      </c>
      <c r="AD114" s="294">
        <f>IF(NFI_Expiration=1,IF($A114&lt;VLOOKUP(M$5,NFI,5,0),1,0)*Table_NFI[[#This Row],[Blanket]],Table_NFI[[#This Row],[Blanket]])</f>
        <v>0</v>
      </c>
      <c r="AE114" s="294">
        <f>IF(NFI_Expiration=1,IF($A114&lt;VLOOKUP(N$5,NFI,5,0),1,0)*Table_NFI[[#This Row],[Kitchen Set]],Table_NFI[Kitchen Set])</f>
        <v>0</v>
      </c>
      <c r="AF114" s="294">
        <f>IF(NFI_Expiration=1,IF($A114&lt;VLOOKUP(O$5,NFI,5,0),1,0)*Table_NFI[[#This Row],[Clothes Kit]],Table_NFI[Clothes Kit])</f>
        <v>0</v>
      </c>
      <c r="AG114" s="294">
        <f>IF(NFI_Expiration=1,IF($A114&lt;VLOOKUP(P$5,NFI,5,0),1,0)*Table_NFI[[#This Row],[Plastic Bucket]],Table_NFI[Plastic Bucket])</f>
        <v>0</v>
      </c>
      <c r="AH114" s="294">
        <f>IF(NFI_Expiration=1,IF($A114&lt;VLOOKUP(Q$5,NFI,5,0),1,0)*Table_NFI[[#This Row],[Plastic Mat]],Table_NFI[Plastic Mat])*IF(Table_NFI[[#This Row],[Distribution Date]]&gt;"2014-04-01",1,2.5)</f>
        <v>0</v>
      </c>
      <c r="AI114" s="294">
        <f>IF(NFI_Expiration=1,IF($A114&lt;VLOOKUP(R$5,NFI,5,0),1,0)*Table_NFI[[#This Row],[Winter Clothes Adult]],Table_NFI[Winter Clothes Adult])</f>
        <v>0</v>
      </c>
      <c r="AJ114" s="294">
        <f>IF(NFI_Expiration=1,IF($A114&lt;VLOOKUP(S$5,NFI,5,0),1,0)*Table_NFI[[#This Row],[Winter Clothes Children]],Table_NFI[Winter Clothes Children])</f>
        <v>0</v>
      </c>
      <c r="AK114" s="294">
        <f>IF(NFI_Expiration=1,IF($A114&lt;VLOOKUP(T$5,NFI,5,0),1,0)*Table_NFI[[#This Row],[Winter Items Other]],Table_NFI[Winter Items Other])</f>
        <v>0</v>
      </c>
      <c r="AL114" s="294">
        <f>IF(NFI_Expiration=1,IF($A114&lt;VLOOKUP(M$5,NFI,5,0),1,0)*Table_NFI[[#This Row],[Winter Blanket]],Table_NFI[[#This Row],[Winter Blanket]])</f>
        <v>0</v>
      </c>
      <c r="AM114" s="294">
        <f>IF(Table_NFI[[#This Row],[Winter Clothes Adult]]+Table_NFI[[#This Row],[Winter Clothes Children]]+Table_NFI[[#This Row],[Winter Items Other]]+Table_NFI[[#This Row],[Winter Blanket]]&gt;0,1,0)</f>
        <v>0</v>
      </c>
      <c r="AN114" s="331">
        <f>IF(NFI_Expiration=1,IF($A114&lt;VLOOKUP(V$5,NFI,5,0),1,0)*Table_NFI[[#This Row],[Jerry Can]],Table_NFI[Jerry Can])</f>
        <v>0</v>
      </c>
      <c r="AO114" s="331">
        <f>IF(NFI_Expiration=1,IF($A114&lt;VLOOKUP(V$5,NFI,5,0),1,0)*Table_NFI[[#This Row],[Shelter Tool kit]],Table_NFI[Shelter Tool kit])</f>
        <v>0</v>
      </c>
      <c r="AP114" s="331">
        <f>IF(NFI_Expiration=1,IF($A114&lt;VLOOKUP(V$5,NFI,5,0),1,0)*Table_NFI[[#This Row],[Tent]],Table_NFI[Tent])</f>
        <v>0</v>
      </c>
      <c r="AQ114" s="467" t="str">
        <f>IFERROR(VLOOKUP(Table_NFI[[#This Row],[Camp Name]],CL,2,0),"")</f>
        <v>MMR001CMP067</v>
      </c>
      <c r="AR114" s="835">
        <f ca="1">IF(Table_NFI[[#This Row],[Pcode]]="","",IF(OFFSET(CampList[Opening Date],MATCH(Table_NFI[[#This Row],[Pcode]],CampList[CP_Pcode],0)-1,0,1,1)&gt;=NFI_Monitor_Date,1,0))</f>
        <v>0</v>
      </c>
      <c r="AS114" s="467" t="str">
        <f>IFERROR(VLOOKUP(Table_NFI[[#This Row],[Camp Name]],CL,3,0),"")</f>
        <v>Open</v>
      </c>
      <c r="AT114" s="294" t="str">
        <f ca="1">IF(Table_NFI[[#This Row],[Pcode]]="","",OFFSET(CampList[Priority],MATCH(Table_NFI[[#This Row],[Pcode]],CampList[CP_Pcode],0)-1,0,1,1))</f>
        <v>P4</v>
      </c>
      <c r="AU114" s="293">
        <f>IFERROR(Table_NFI[[#This Row],[Kitchen Set]]/VLOOKUP(Table_NFI[[#This Row],[Camp Name]],CL,4,0),"")</f>
        <v>9.8219766728054015E-5</v>
      </c>
      <c r="AV114" s="461" t="s">
        <v>1092</v>
      </c>
      <c r="AW114" s="463"/>
    </row>
    <row r="115" spans="1:49" s="464" customFormat="1" ht="14.45" customHeight="1" x14ac:dyDescent="0.25">
      <c r="A115" s="297">
        <f t="shared" si="1"/>
        <v>13.433333333333334</v>
      </c>
      <c r="B115" s="460">
        <v>42333</v>
      </c>
      <c r="C115" s="461" t="s">
        <v>452</v>
      </c>
      <c r="D115" s="461" t="s">
        <v>460</v>
      </c>
      <c r="E115" s="461" t="s">
        <v>380</v>
      </c>
      <c r="F115" s="461" t="s">
        <v>302</v>
      </c>
      <c r="G115" s="461" t="s">
        <v>308</v>
      </c>
      <c r="H115" s="291"/>
      <c r="I115" s="294"/>
      <c r="J115" s="294"/>
      <c r="K115" s="294"/>
      <c r="L115" s="292">
        <v>4</v>
      </c>
      <c r="M115" s="292">
        <v>12</v>
      </c>
      <c r="N115" s="292">
        <v>3</v>
      </c>
      <c r="O115" s="292"/>
      <c r="P115" s="294">
        <v>4</v>
      </c>
      <c r="Q115" s="294">
        <v>14</v>
      </c>
      <c r="R115" s="294"/>
      <c r="S115" s="294"/>
      <c r="T115" s="294"/>
      <c r="U115" s="294"/>
      <c r="V115" s="431">
        <v>4</v>
      </c>
      <c r="W115" s="294"/>
      <c r="X115" s="294"/>
      <c r="Y115" s="294">
        <f>IF(NFI_Expiration=1,IF($A115&lt;VLOOKUP(H$5,NFI,5,0),1,0)*Table_NFI[[#This Row],[Hygiene Kit]],Table_NFI[Hygiene Kit])</f>
        <v>0</v>
      </c>
      <c r="Z115" s="294">
        <f>IF(NFI_Expiration=1,IF($A115&lt;VLOOKUP(I$5,NFI,5,0),1,0)*Table_NFI[[#This Row],[NFI Core Kit]],Table_NFI[NFI Core Kit])</f>
        <v>0</v>
      </c>
      <c r="AA115" s="294">
        <f>IF(NFI_Expiration=1,IF($A115&lt;VLOOKUP(J$5,NFI,5,0),1,0)*Table_NFI[[#This Row],[Sanitary Kit]],Table_NFI[Sanitary Kit])</f>
        <v>0</v>
      </c>
      <c r="AB115" s="294">
        <f>IF(NFI_Expiration=1,IF($A115&lt;VLOOKUP(K$5,NFI,5,0),1,0)*Table_NFI[[#This Row],[Mosquito net]],Table_NFI[Mosquito net])</f>
        <v>0</v>
      </c>
      <c r="AC115" s="294">
        <f>IF(NFI_Expiration=1,IF($A115&lt;VLOOKUP(L$5,NFI,5,0),1,0)*Table_NFI[[#This Row],[Tarpaulin]],Table_NFI[[#This Row],[Tarpaulin]])</f>
        <v>0</v>
      </c>
      <c r="AD115" s="294">
        <f>IF(NFI_Expiration=1,IF($A115&lt;VLOOKUP(M$5,NFI,5,0),1,0)*Table_NFI[[#This Row],[Blanket]],Table_NFI[[#This Row],[Blanket]])</f>
        <v>0</v>
      </c>
      <c r="AE115" s="294">
        <f>IF(NFI_Expiration=1,IF($A115&lt;VLOOKUP(N$5,NFI,5,0),1,0)*Table_NFI[[#This Row],[Kitchen Set]],Table_NFI[Kitchen Set])</f>
        <v>0</v>
      </c>
      <c r="AF115" s="294">
        <f>IF(NFI_Expiration=1,IF($A115&lt;VLOOKUP(O$5,NFI,5,0),1,0)*Table_NFI[[#This Row],[Clothes Kit]],Table_NFI[Clothes Kit])</f>
        <v>0</v>
      </c>
      <c r="AG115" s="294">
        <f>IF(NFI_Expiration=1,IF($A115&lt;VLOOKUP(P$5,NFI,5,0),1,0)*Table_NFI[[#This Row],[Plastic Bucket]],Table_NFI[Plastic Bucket])</f>
        <v>0</v>
      </c>
      <c r="AH115" s="294">
        <f>IF(NFI_Expiration=1,IF($A115&lt;VLOOKUP(Q$5,NFI,5,0),1,0)*Table_NFI[[#This Row],[Plastic Mat]],Table_NFI[Plastic Mat])*IF(Table_NFI[[#This Row],[Distribution Date]]&gt;"2014-04-01",1,2.5)</f>
        <v>0</v>
      </c>
      <c r="AI115" s="294">
        <f>IF(NFI_Expiration=1,IF($A115&lt;VLOOKUP(R$5,NFI,5,0),1,0)*Table_NFI[[#This Row],[Winter Clothes Adult]],Table_NFI[Winter Clothes Adult])</f>
        <v>0</v>
      </c>
      <c r="AJ115" s="294">
        <f>IF(NFI_Expiration=1,IF($A115&lt;VLOOKUP(S$5,NFI,5,0),1,0)*Table_NFI[[#This Row],[Winter Clothes Children]],Table_NFI[Winter Clothes Children])</f>
        <v>0</v>
      </c>
      <c r="AK115" s="294">
        <f>IF(NFI_Expiration=1,IF($A115&lt;VLOOKUP(T$5,NFI,5,0),1,0)*Table_NFI[[#This Row],[Winter Items Other]],Table_NFI[Winter Items Other])</f>
        <v>0</v>
      </c>
      <c r="AL115" s="294">
        <f>IF(NFI_Expiration=1,IF($A115&lt;VLOOKUP(M$5,NFI,5,0),1,0)*Table_NFI[[#This Row],[Winter Blanket]],Table_NFI[[#This Row],[Winter Blanket]])</f>
        <v>0</v>
      </c>
      <c r="AM115" s="294">
        <f>IF(Table_NFI[[#This Row],[Winter Clothes Adult]]+Table_NFI[[#This Row],[Winter Clothes Children]]+Table_NFI[[#This Row],[Winter Items Other]]+Table_NFI[[#This Row],[Winter Blanket]]&gt;0,1,0)</f>
        <v>0</v>
      </c>
      <c r="AN115" s="331">
        <f>IF(NFI_Expiration=1,IF($A115&lt;VLOOKUP(V$5,NFI,5,0),1,0)*Table_NFI[[#This Row],[Jerry Can]],Table_NFI[Jerry Can])</f>
        <v>0</v>
      </c>
      <c r="AO115" s="331">
        <f>IF(NFI_Expiration=1,IF($A115&lt;VLOOKUP(V$5,NFI,5,0),1,0)*Table_NFI[[#This Row],[Shelter Tool kit]],Table_NFI[Shelter Tool kit])</f>
        <v>0</v>
      </c>
      <c r="AP115" s="331">
        <f>IF(NFI_Expiration=1,IF($A115&lt;VLOOKUP(V$5,NFI,5,0),1,0)*Table_NFI[[#This Row],[Tent]],Table_NFI[Tent])</f>
        <v>0</v>
      </c>
      <c r="AQ115" s="467" t="str">
        <f>IFERROR(VLOOKUP(Table_NFI[[#This Row],[Camp Name]],CL,2,0),"")</f>
        <v>MMR001CMP068</v>
      </c>
      <c r="AR115" s="835">
        <f ca="1">IF(Table_NFI[[#This Row],[Pcode]]="","",IF(OFFSET(CampList[Opening Date],MATCH(Table_NFI[[#This Row],[Pcode]],CampList[CP_Pcode],0)-1,0,1,1)&gt;=NFI_Monitor_Date,1,0))</f>
        <v>0</v>
      </c>
      <c r="AS115" s="467" t="str">
        <f>IFERROR(VLOOKUP(Table_NFI[[#This Row],[Camp Name]],CL,3,0),"")</f>
        <v>Open</v>
      </c>
      <c r="AT115" s="294" t="str">
        <f ca="1">IF(Table_NFI[[#This Row],[Pcode]]="","",OFFSET(CampList[Priority],MATCH(Table_NFI[[#This Row],[Pcode]],CampList[CP_Pcode],0)-1,0,1,1))</f>
        <v>P4</v>
      </c>
      <c r="AU115" s="293">
        <f>IFERROR(Table_NFI[[#This Row],[Kitchen Set]]/VLOOKUP(Table_NFI[[#This Row],[Camp Name]],CL,4,0),"")</f>
        <v>7.3664825046040511E-5</v>
      </c>
      <c r="AV115" s="461" t="s">
        <v>1092</v>
      </c>
      <c r="AW115" s="483"/>
    </row>
    <row r="116" spans="1:49" s="464" customFormat="1" ht="14.45" customHeight="1" x14ac:dyDescent="0.25">
      <c r="A116" s="297">
        <f t="shared" si="1"/>
        <v>13.466666666666667</v>
      </c>
      <c r="B116" s="460">
        <v>42332</v>
      </c>
      <c r="C116" s="461" t="s">
        <v>452</v>
      </c>
      <c r="D116" s="461" t="s">
        <v>506</v>
      </c>
      <c r="E116" s="461" t="s">
        <v>380</v>
      </c>
      <c r="F116" s="461" t="s">
        <v>237</v>
      </c>
      <c r="G116" s="461" t="s">
        <v>273</v>
      </c>
      <c r="H116" s="291"/>
      <c r="I116" s="294"/>
      <c r="J116" s="294"/>
      <c r="K116" s="294"/>
      <c r="L116" s="292"/>
      <c r="M116" s="292"/>
      <c r="N116" s="292"/>
      <c r="O116" s="292"/>
      <c r="P116" s="294"/>
      <c r="Q116" s="294"/>
      <c r="R116" s="294"/>
      <c r="S116" s="294"/>
      <c r="T116" s="294"/>
      <c r="U116" s="294">
        <v>50</v>
      </c>
      <c r="V116" s="431"/>
      <c r="W116" s="294"/>
      <c r="X116" s="294"/>
      <c r="Y116" s="294">
        <f>IF(NFI_Expiration=1,IF($A116&lt;VLOOKUP(H$5,NFI,5,0),1,0)*Table_NFI[[#This Row],[Hygiene Kit]],Table_NFI[Hygiene Kit])</f>
        <v>0</v>
      </c>
      <c r="Z116" s="294">
        <f>IF(NFI_Expiration=1,IF($A116&lt;VLOOKUP(I$5,NFI,5,0),1,0)*Table_NFI[[#This Row],[NFI Core Kit]],Table_NFI[NFI Core Kit])</f>
        <v>0</v>
      </c>
      <c r="AA116" s="294">
        <f>IF(NFI_Expiration=1,IF($A116&lt;VLOOKUP(J$5,NFI,5,0),1,0)*Table_NFI[[#This Row],[Sanitary Kit]],Table_NFI[Sanitary Kit])</f>
        <v>0</v>
      </c>
      <c r="AB116" s="294">
        <f>IF(NFI_Expiration=1,IF($A116&lt;VLOOKUP(K$5,NFI,5,0),1,0)*Table_NFI[[#This Row],[Mosquito net]],Table_NFI[Mosquito net])</f>
        <v>0</v>
      </c>
      <c r="AC116" s="294">
        <f>IF(NFI_Expiration=1,IF($A116&lt;VLOOKUP(L$5,NFI,5,0),1,0)*Table_NFI[[#This Row],[Tarpaulin]],Table_NFI[[#This Row],[Tarpaulin]])</f>
        <v>0</v>
      </c>
      <c r="AD116" s="294">
        <f>IF(NFI_Expiration=1,IF($A116&lt;VLOOKUP(M$5,NFI,5,0),1,0)*Table_NFI[[#This Row],[Blanket]],Table_NFI[[#This Row],[Blanket]])</f>
        <v>0</v>
      </c>
      <c r="AE116" s="294">
        <f>IF(NFI_Expiration=1,IF($A116&lt;VLOOKUP(N$5,NFI,5,0),1,0)*Table_NFI[[#This Row],[Kitchen Set]],Table_NFI[Kitchen Set])</f>
        <v>0</v>
      </c>
      <c r="AF116" s="294">
        <f>IF(NFI_Expiration=1,IF($A116&lt;VLOOKUP(O$5,NFI,5,0),1,0)*Table_NFI[[#This Row],[Clothes Kit]],Table_NFI[Clothes Kit])</f>
        <v>0</v>
      </c>
      <c r="AG116" s="294">
        <f>IF(NFI_Expiration=1,IF($A116&lt;VLOOKUP(P$5,NFI,5,0),1,0)*Table_NFI[[#This Row],[Plastic Bucket]],Table_NFI[Plastic Bucket])</f>
        <v>0</v>
      </c>
      <c r="AH116" s="294">
        <f>IF(NFI_Expiration=1,IF($A116&lt;VLOOKUP(Q$5,NFI,5,0),1,0)*Table_NFI[[#This Row],[Plastic Mat]],Table_NFI[Plastic Mat])*IF(Table_NFI[[#This Row],[Distribution Date]]&gt;"2014-04-01",1,2.5)</f>
        <v>0</v>
      </c>
      <c r="AI116" s="294">
        <f>IF(NFI_Expiration=1,IF($A116&lt;VLOOKUP(R$5,NFI,5,0),1,0)*Table_NFI[[#This Row],[Winter Clothes Adult]],Table_NFI[Winter Clothes Adult])</f>
        <v>0</v>
      </c>
      <c r="AJ116" s="294">
        <f>IF(NFI_Expiration=1,IF($A116&lt;VLOOKUP(S$5,NFI,5,0),1,0)*Table_NFI[[#This Row],[Winter Clothes Children]],Table_NFI[Winter Clothes Children])</f>
        <v>0</v>
      </c>
      <c r="AK116" s="294">
        <f>IF(NFI_Expiration=1,IF($A116&lt;VLOOKUP(T$5,NFI,5,0),1,0)*Table_NFI[[#This Row],[Winter Items Other]],Table_NFI[Winter Items Other])</f>
        <v>0</v>
      </c>
      <c r="AL116" s="294">
        <f>IF(NFI_Expiration=1,IF($A116&lt;VLOOKUP(M$5,NFI,5,0),1,0)*Table_NFI[[#This Row],[Winter Blanket]],Table_NFI[[#This Row],[Winter Blanket]])</f>
        <v>0</v>
      </c>
      <c r="AM116" s="294">
        <f>IF(Table_NFI[[#This Row],[Winter Clothes Adult]]+Table_NFI[[#This Row],[Winter Clothes Children]]+Table_NFI[[#This Row],[Winter Items Other]]+Table_NFI[[#This Row],[Winter Blanket]]&gt;0,1,0)</f>
        <v>1</v>
      </c>
      <c r="AN116" s="331">
        <f>IF(NFI_Expiration=1,IF($A116&lt;VLOOKUP(V$5,NFI,5,0),1,0)*Table_NFI[[#This Row],[Jerry Can]],Table_NFI[Jerry Can])</f>
        <v>0</v>
      </c>
      <c r="AO116" s="331">
        <f>IF(NFI_Expiration=1,IF($A116&lt;VLOOKUP(V$5,NFI,5,0),1,0)*Table_NFI[[#This Row],[Shelter Tool kit]],Table_NFI[Shelter Tool kit])</f>
        <v>0</v>
      </c>
      <c r="AP116" s="331">
        <f>IF(NFI_Expiration=1,IF($A116&lt;VLOOKUP(V$5,NFI,5,0),1,0)*Table_NFI[[#This Row],[Tent]],Table_NFI[Tent])</f>
        <v>0</v>
      </c>
      <c r="AQ116" s="467" t="str">
        <f>IFERROR(VLOOKUP(Table_NFI[[#This Row],[Camp Name]],CL,2,0),"")</f>
        <v>MMR001CMP162</v>
      </c>
      <c r="AR116" s="835">
        <f ca="1">IF(Table_NFI[[#This Row],[Pcode]]="","",IF(OFFSET(CampList[Opening Date],MATCH(Table_NFI[[#This Row],[Pcode]],CampList[CP_Pcode],0)-1,0,1,1)&gt;=NFI_Monitor_Date,1,0))</f>
        <v>0</v>
      </c>
      <c r="AS116" s="467" t="str">
        <f>IFERROR(VLOOKUP(Table_NFI[[#This Row],[Camp Name]],CL,3,0),"")</f>
        <v>Open</v>
      </c>
      <c r="AT116" s="294" t="str">
        <f ca="1">IF(Table_NFI[[#This Row],[Pcode]]="","",OFFSET(CampList[Priority],MATCH(Table_NFI[[#This Row],[Pcode]],CampList[CP_Pcode],0)-1,0,1,1))</f>
        <v>P4</v>
      </c>
      <c r="AU116" s="293">
        <f>IFERROR(Table_NFI[[#This Row],[Kitchen Set]]/VLOOKUP(Table_NFI[[#This Row],[Camp Name]],CL,4,0),"")</f>
        <v>0</v>
      </c>
      <c r="AV116" s="461" t="s">
        <v>1092</v>
      </c>
      <c r="AW116" s="479"/>
    </row>
    <row r="117" spans="1:49" s="464" customFormat="1" ht="14.45" customHeight="1" x14ac:dyDescent="0.25">
      <c r="A117" s="297">
        <f t="shared" si="1"/>
        <v>14.2</v>
      </c>
      <c r="B117" s="460">
        <v>42310</v>
      </c>
      <c r="C117" s="461" t="s">
        <v>452</v>
      </c>
      <c r="D117" s="461" t="s">
        <v>460</v>
      </c>
      <c r="E117" s="461" t="s">
        <v>380</v>
      </c>
      <c r="F117" s="461" t="s">
        <v>151</v>
      </c>
      <c r="G117" s="461" t="s">
        <v>1325</v>
      </c>
      <c r="H117" s="291"/>
      <c r="I117" s="294"/>
      <c r="J117" s="294">
        <v>223</v>
      </c>
      <c r="K117" s="294"/>
      <c r="L117" s="292">
        <v>30</v>
      </c>
      <c r="M117" s="292"/>
      <c r="N117" s="292"/>
      <c r="O117" s="292"/>
      <c r="P117" s="294"/>
      <c r="Q117" s="294">
        <v>337</v>
      </c>
      <c r="R117" s="294"/>
      <c r="S117" s="294"/>
      <c r="T117" s="294"/>
      <c r="U117" s="294"/>
      <c r="V117" s="431"/>
      <c r="W117" s="294"/>
      <c r="X117" s="294"/>
      <c r="Y117" s="294">
        <f>IF(NFI_Expiration=1,IF($A117&lt;VLOOKUP(H$5,NFI,5,0),1,0)*Table_NFI[[#This Row],[Hygiene Kit]],Table_NFI[Hygiene Kit])</f>
        <v>0</v>
      </c>
      <c r="Z117" s="294">
        <f>IF(NFI_Expiration=1,IF($A117&lt;VLOOKUP(I$5,NFI,5,0),1,0)*Table_NFI[[#This Row],[NFI Core Kit]],Table_NFI[NFI Core Kit])</f>
        <v>0</v>
      </c>
      <c r="AA117" s="294">
        <f>IF(NFI_Expiration=1,IF($A117&lt;VLOOKUP(J$5,NFI,5,0),1,0)*Table_NFI[[#This Row],[Sanitary Kit]],Table_NFI[Sanitary Kit])</f>
        <v>0</v>
      </c>
      <c r="AB117" s="294">
        <f>IF(NFI_Expiration=1,IF($A117&lt;VLOOKUP(K$5,NFI,5,0),1,0)*Table_NFI[[#This Row],[Mosquito net]],Table_NFI[Mosquito net])</f>
        <v>0</v>
      </c>
      <c r="AC117" s="294">
        <f>IF(NFI_Expiration=1,IF($A117&lt;VLOOKUP(L$5,NFI,5,0),1,0)*Table_NFI[[#This Row],[Tarpaulin]],Table_NFI[[#This Row],[Tarpaulin]])</f>
        <v>0</v>
      </c>
      <c r="AD117" s="294">
        <f>IF(NFI_Expiration=1,IF($A117&lt;VLOOKUP(M$5,NFI,5,0),1,0)*Table_NFI[[#This Row],[Blanket]],Table_NFI[[#This Row],[Blanket]])</f>
        <v>0</v>
      </c>
      <c r="AE117" s="294">
        <f>IF(NFI_Expiration=1,IF($A117&lt;VLOOKUP(N$5,NFI,5,0),1,0)*Table_NFI[[#This Row],[Kitchen Set]],Table_NFI[Kitchen Set])</f>
        <v>0</v>
      </c>
      <c r="AF117" s="294">
        <f>IF(NFI_Expiration=1,IF($A117&lt;VLOOKUP(O$5,NFI,5,0),1,0)*Table_NFI[[#This Row],[Clothes Kit]],Table_NFI[Clothes Kit])</f>
        <v>0</v>
      </c>
      <c r="AG117" s="294">
        <f>IF(NFI_Expiration=1,IF($A117&lt;VLOOKUP(P$5,NFI,5,0),1,0)*Table_NFI[[#This Row],[Plastic Bucket]],Table_NFI[Plastic Bucket])</f>
        <v>0</v>
      </c>
      <c r="AH117" s="294">
        <f>IF(NFI_Expiration=1,IF($A117&lt;VLOOKUP(Q$5,NFI,5,0),1,0)*Table_NFI[[#This Row],[Plastic Mat]],Table_NFI[Plastic Mat])*IF(Table_NFI[[#This Row],[Distribution Date]]&gt;"2014-04-01",1,2.5)</f>
        <v>0</v>
      </c>
      <c r="AI117" s="294">
        <f>IF(NFI_Expiration=1,IF($A117&lt;VLOOKUP(R$5,NFI,5,0),1,0)*Table_NFI[[#This Row],[Winter Clothes Adult]],Table_NFI[Winter Clothes Adult])</f>
        <v>0</v>
      </c>
      <c r="AJ117" s="294">
        <f>IF(NFI_Expiration=1,IF($A117&lt;VLOOKUP(S$5,NFI,5,0),1,0)*Table_NFI[[#This Row],[Winter Clothes Children]],Table_NFI[Winter Clothes Children])</f>
        <v>0</v>
      </c>
      <c r="AK117" s="294">
        <f>IF(NFI_Expiration=1,IF($A117&lt;VLOOKUP(T$5,NFI,5,0),1,0)*Table_NFI[[#This Row],[Winter Items Other]],Table_NFI[Winter Items Other])</f>
        <v>0</v>
      </c>
      <c r="AL117" s="294">
        <f>IF(NFI_Expiration=1,IF($A117&lt;VLOOKUP(M$5,NFI,5,0),1,0)*Table_NFI[[#This Row],[Winter Blanket]],Table_NFI[[#This Row],[Winter Blanket]])</f>
        <v>0</v>
      </c>
      <c r="AM117" s="294">
        <f>IF(Table_NFI[[#This Row],[Winter Clothes Adult]]+Table_NFI[[#This Row],[Winter Clothes Children]]+Table_NFI[[#This Row],[Winter Items Other]]+Table_NFI[[#This Row],[Winter Blanket]]&gt;0,1,0)</f>
        <v>0</v>
      </c>
      <c r="AN117" s="331">
        <f>IF(NFI_Expiration=1,IF($A117&lt;VLOOKUP(V$5,NFI,5,0),1,0)*Table_NFI[[#This Row],[Jerry Can]],Table_NFI[Jerry Can])</f>
        <v>0</v>
      </c>
      <c r="AO117" s="331">
        <f>IF(NFI_Expiration=1,IF($A117&lt;VLOOKUP(V$5,NFI,5,0),1,0)*Table_NFI[[#This Row],[Shelter Tool kit]],Table_NFI[Shelter Tool kit])</f>
        <v>0</v>
      </c>
      <c r="AP117" s="331">
        <f>IF(NFI_Expiration=1,IF($A117&lt;VLOOKUP(V$5,NFI,5,0),1,0)*Table_NFI[[#This Row],[Tent]],Table_NFI[Tent])</f>
        <v>0</v>
      </c>
      <c r="AQ117" s="467" t="str">
        <f>IFERROR(VLOOKUP(Table_NFI[[#This Row],[Camp Name]],CL,2,0),"")</f>
        <v/>
      </c>
      <c r="AR117" s="835" t="str">
        <f ca="1">IF(Table_NFI[[#This Row],[Pcode]]="","",IF(OFFSET(CampList[Opening Date],MATCH(Table_NFI[[#This Row],[Pcode]],CampList[CP_Pcode],0)-1,0,1,1)&gt;=NFI_Monitor_Date,1,0))</f>
        <v/>
      </c>
      <c r="AS117" s="659" t="str">
        <f>IFERROR(VLOOKUP(Table_NFI[[#This Row],[Camp Name]],CL,3,0),"")</f>
        <v/>
      </c>
      <c r="AT117" s="294" t="str">
        <f ca="1">IF(Table_NFI[[#This Row],[Pcode]]="","",OFFSET(CampList[Priority],MATCH(Table_NFI[[#This Row],[Pcode]],CampList[CP_Pcode],0)-1,0,1,1))</f>
        <v/>
      </c>
      <c r="AU117" s="293" t="str">
        <f>IFERROR(Table_NFI[[#This Row],[Kitchen Set]]/VLOOKUP(Table_NFI[[#This Row],[Camp Name]],CL,4,0),"")</f>
        <v/>
      </c>
      <c r="AV117" s="461" t="s">
        <v>1092</v>
      </c>
      <c r="AW117" s="483"/>
    </row>
    <row r="118" spans="1:49" s="464" customFormat="1" ht="14.45" customHeight="1" x14ac:dyDescent="0.25">
      <c r="A118" s="297">
        <f t="shared" si="1"/>
        <v>15.266666666666667</v>
      </c>
      <c r="B118" s="460">
        <v>42278</v>
      </c>
      <c r="C118" s="461" t="s">
        <v>452</v>
      </c>
      <c r="D118" s="461" t="s">
        <v>460</v>
      </c>
      <c r="E118" s="461" t="s">
        <v>380</v>
      </c>
      <c r="F118" s="461" t="s">
        <v>151</v>
      </c>
      <c r="G118" s="461" t="s">
        <v>1325</v>
      </c>
      <c r="H118" s="291"/>
      <c r="I118" s="294">
        <v>77</v>
      </c>
      <c r="J118" s="294">
        <v>232</v>
      </c>
      <c r="K118" s="294">
        <v>200</v>
      </c>
      <c r="L118" s="292">
        <v>89</v>
      </c>
      <c r="M118" s="292">
        <v>200</v>
      </c>
      <c r="N118" s="292">
        <v>119</v>
      </c>
      <c r="O118" s="292"/>
      <c r="P118" s="294">
        <v>119</v>
      </c>
      <c r="Q118" s="294">
        <v>345</v>
      </c>
      <c r="R118" s="294"/>
      <c r="S118" s="294"/>
      <c r="T118" s="294"/>
      <c r="U118" s="294"/>
      <c r="V118" s="431">
        <v>119</v>
      </c>
      <c r="W118" s="294"/>
      <c r="X118" s="294">
        <v>45</v>
      </c>
      <c r="Y118" s="294">
        <f>IF(NFI_Expiration=1,IF($A118&lt;VLOOKUP(H$5,NFI,5,0),1,0)*Table_NFI[[#This Row],[Hygiene Kit]],Table_NFI[Hygiene Kit])</f>
        <v>0</v>
      </c>
      <c r="Z118" s="294">
        <f>IF(NFI_Expiration=1,IF($A118&lt;VLOOKUP(I$5,NFI,5,0),1,0)*Table_NFI[[#This Row],[NFI Core Kit]],Table_NFI[NFI Core Kit])</f>
        <v>0</v>
      </c>
      <c r="AA118" s="294">
        <f>IF(NFI_Expiration=1,IF($A118&lt;VLOOKUP(J$5,NFI,5,0),1,0)*Table_NFI[[#This Row],[Sanitary Kit]],Table_NFI[Sanitary Kit])</f>
        <v>0</v>
      </c>
      <c r="AB118" s="294">
        <f>IF(NFI_Expiration=1,IF($A118&lt;VLOOKUP(K$5,NFI,5,0),1,0)*Table_NFI[[#This Row],[Mosquito net]],Table_NFI[Mosquito net])</f>
        <v>0</v>
      </c>
      <c r="AC118" s="294">
        <f>IF(NFI_Expiration=1,IF($A118&lt;VLOOKUP(L$5,NFI,5,0),1,0)*Table_NFI[[#This Row],[Tarpaulin]],Table_NFI[[#This Row],[Tarpaulin]])</f>
        <v>0</v>
      </c>
      <c r="AD118" s="294">
        <f>IF(NFI_Expiration=1,IF($A118&lt;VLOOKUP(M$5,NFI,5,0),1,0)*Table_NFI[[#This Row],[Blanket]],Table_NFI[[#This Row],[Blanket]])</f>
        <v>0</v>
      </c>
      <c r="AE118" s="294">
        <f>IF(NFI_Expiration=1,IF($A118&lt;VLOOKUP(N$5,NFI,5,0),1,0)*Table_NFI[[#This Row],[Kitchen Set]],Table_NFI[Kitchen Set])</f>
        <v>0</v>
      </c>
      <c r="AF118" s="294">
        <f>IF(NFI_Expiration=1,IF($A118&lt;VLOOKUP(O$5,NFI,5,0),1,0)*Table_NFI[[#This Row],[Clothes Kit]],Table_NFI[Clothes Kit])</f>
        <v>0</v>
      </c>
      <c r="AG118" s="294">
        <f>IF(NFI_Expiration=1,IF($A118&lt;VLOOKUP(P$5,NFI,5,0),1,0)*Table_NFI[[#This Row],[Plastic Bucket]],Table_NFI[Plastic Bucket])</f>
        <v>0</v>
      </c>
      <c r="AH118" s="294">
        <f>IF(NFI_Expiration=1,IF($A118&lt;VLOOKUP(Q$5,NFI,5,0),1,0)*Table_NFI[[#This Row],[Plastic Mat]],Table_NFI[Plastic Mat])*IF(Table_NFI[[#This Row],[Distribution Date]]&gt;"2014-04-01",1,2.5)</f>
        <v>0</v>
      </c>
      <c r="AI118" s="294">
        <f>IF(NFI_Expiration=1,IF($A118&lt;VLOOKUP(R$5,NFI,5,0),1,0)*Table_NFI[[#This Row],[Winter Clothes Adult]],Table_NFI[Winter Clothes Adult])</f>
        <v>0</v>
      </c>
      <c r="AJ118" s="294">
        <f>IF(NFI_Expiration=1,IF($A118&lt;VLOOKUP(S$5,NFI,5,0),1,0)*Table_NFI[[#This Row],[Winter Clothes Children]],Table_NFI[Winter Clothes Children])</f>
        <v>0</v>
      </c>
      <c r="AK118" s="294">
        <f>IF(NFI_Expiration=1,IF($A118&lt;VLOOKUP(T$5,NFI,5,0),1,0)*Table_NFI[[#This Row],[Winter Items Other]],Table_NFI[Winter Items Other])</f>
        <v>0</v>
      </c>
      <c r="AL118" s="294">
        <f>IF(NFI_Expiration=1,IF($A118&lt;VLOOKUP(M$5,NFI,5,0),1,0)*Table_NFI[[#This Row],[Winter Blanket]],Table_NFI[[#This Row],[Winter Blanket]])</f>
        <v>0</v>
      </c>
      <c r="AM118" s="294">
        <f>IF(Table_NFI[[#This Row],[Winter Clothes Adult]]+Table_NFI[[#This Row],[Winter Clothes Children]]+Table_NFI[[#This Row],[Winter Items Other]]+Table_NFI[[#This Row],[Winter Blanket]]&gt;0,1,0)</f>
        <v>0</v>
      </c>
      <c r="AN118" s="331">
        <f>IF(NFI_Expiration=1,IF($A118&lt;VLOOKUP(V$5,NFI,5,0),1,0)*Table_NFI[[#This Row],[Jerry Can]],Table_NFI[Jerry Can])</f>
        <v>0</v>
      </c>
      <c r="AO118" s="331">
        <f>IF(NFI_Expiration=1,IF($A118&lt;VLOOKUP(V$5,NFI,5,0),1,0)*Table_NFI[[#This Row],[Shelter Tool kit]],Table_NFI[Shelter Tool kit])</f>
        <v>0</v>
      </c>
      <c r="AP118" s="331">
        <f>IF(NFI_Expiration=1,IF($A118&lt;VLOOKUP(V$5,NFI,5,0),1,0)*Table_NFI[[#This Row],[Tent]],Table_NFI[Tent])</f>
        <v>0</v>
      </c>
      <c r="AQ118" s="467" t="str">
        <f>IFERROR(VLOOKUP(Table_NFI[[#This Row],[Camp Name]],CL,2,0),"")</f>
        <v/>
      </c>
      <c r="AR118" s="835" t="str">
        <f ca="1">IF(Table_NFI[[#This Row],[Pcode]]="","",IF(OFFSET(CampList[Opening Date],MATCH(Table_NFI[[#This Row],[Pcode]],CampList[CP_Pcode],0)-1,0,1,1)&gt;=NFI_Monitor_Date,1,0))</f>
        <v/>
      </c>
      <c r="AS118" s="659" t="str">
        <f>IFERROR(VLOOKUP(Table_NFI[[#This Row],[Camp Name]],CL,3,0),"")</f>
        <v/>
      </c>
      <c r="AT118" s="294" t="str">
        <f ca="1">IF(Table_NFI[[#This Row],[Pcode]]="","",OFFSET(CampList[Priority],MATCH(Table_NFI[[#This Row],[Pcode]],CampList[CP_Pcode],0)-1,0,1,1))</f>
        <v/>
      </c>
      <c r="AU118" s="293" t="str">
        <f>IFERROR(Table_NFI[[#This Row],[Kitchen Set]]/VLOOKUP(Table_NFI[[#This Row],[Camp Name]],CL,4,0),"")</f>
        <v/>
      </c>
      <c r="AV118" s="461" t="s">
        <v>1092</v>
      </c>
      <c r="AW118" s="483"/>
    </row>
    <row r="119" spans="1:49" s="464" customFormat="1" ht="14.45" customHeight="1" x14ac:dyDescent="0.25">
      <c r="A119" s="297">
        <f t="shared" si="1"/>
        <v>15.566666666666666</v>
      </c>
      <c r="B119" s="460">
        <v>42269</v>
      </c>
      <c r="C119" s="461" t="s">
        <v>452</v>
      </c>
      <c r="D119" s="461" t="s">
        <v>460</v>
      </c>
      <c r="E119" s="461" t="s">
        <v>380</v>
      </c>
      <c r="F119" s="461" t="s">
        <v>151</v>
      </c>
      <c r="G119" s="461" t="s">
        <v>1325</v>
      </c>
      <c r="H119" s="291"/>
      <c r="I119" s="294"/>
      <c r="J119" s="294">
        <v>145</v>
      </c>
      <c r="K119" s="294">
        <v>132</v>
      </c>
      <c r="L119" s="292">
        <v>66</v>
      </c>
      <c r="M119" s="292">
        <v>132</v>
      </c>
      <c r="N119" s="292">
        <v>66</v>
      </c>
      <c r="O119" s="292"/>
      <c r="P119" s="294">
        <v>66</v>
      </c>
      <c r="Q119" s="294">
        <v>243</v>
      </c>
      <c r="R119" s="294"/>
      <c r="S119" s="294"/>
      <c r="T119" s="294"/>
      <c r="U119" s="294"/>
      <c r="V119" s="431">
        <v>66</v>
      </c>
      <c r="W119" s="294"/>
      <c r="X119" s="294"/>
      <c r="Y119" s="294">
        <f>IF(NFI_Expiration=1,IF($A119&lt;VLOOKUP(H$5,NFI,5,0),1,0)*Table_NFI[[#This Row],[Hygiene Kit]],Table_NFI[Hygiene Kit])</f>
        <v>0</v>
      </c>
      <c r="Z119" s="294">
        <f>IF(NFI_Expiration=1,IF($A119&lt;VLOOKUP(I$5,NFI,5,0),1,0)*Table_NFI[[#This Row],[NFI Core Kit]],Table_NFI[NFI Core Kit])</f>
        <v>0</v>
      </c>
      <c r="AA119" s="294">
        <f>IF(NFI_Expiration=1,IF($A119&lt;VLOOKUP(J$5,NFI,5,0),1,0)*Table_NFI[[#This Row],[Sanitary Kit]],Table_NFI[Sanitary Kit])</f>
        <v>0</v>
      </c>
      <c r="AB119" s="294">
        <f>IF(NFI_Expiration=1,IF($A119&lt;VLOOKUP(K$5,NFI,5,0),1,0)*Table_NFI[[#This Row],[Mosquito net]],Table_NFI[Mosquito net])</f>
        <v>0</v>
      </c>
      <c r="AC119" s="294">
        <f>IF(NFI_Expiration=1,IF($A119&lt;VLOOKUP(L$5,NFI,5,0),1,0)*Table_NFI[[#This Row],[Tarpaulin]],Table_NFI[[#This Row],[Tarpaulin]])</f>
        <v>0</v>
      </c>
      <c r="AD119" s="294">
        <f>IF(NFI_Expiration=1,IF($A119&lt;VLOOKUP(M$5,NFI,5,0),1,0)*Table_NFI[[#This Row],[Blanket]],Table_NFI[[#This Row],[Blanket]])</f>
        <v>0</v>
      </c>
      <c r="AE119" s="294">
        <f>IF(NFI_Expiration=1,IF($A119&lt;VLOOKUP(N$5,NFI,5,0),1,0)*Table_NFI[[#This Row],[Kitchen Set]],Table_NFI[Kitchen Set])</f>
        <v>0</v>
      </c>
      <c r="AF119" s="294">
        <f>IF(NFI_Expiration=1,IF($A119&lt;VLOOKUP(O$5,NFI,5,0),1,0)*Table_NFI[[#This Row],[Clothes Kit]],Table_NFI[Clothes Kit])</f>
        <v>0</v>
      </c>
      <c r="AG119" s="294">
        <f>IF(NFI_Expiration=1,IF($A119&lt;VLOOKUP(P$5,NFI,5,0),1,0)*Table_NFI[[#This Row],[Plastic Bucket]],Table_NFI[Plastic Bucket])</f>
        <v>0</v>
      </c>
      <c r="AH119" s="294">
        <f>IF(NFI_Expiration=1,IF($A119&lt;VLOOKUP(Q$5,NFI,5,0),1,0)*Table_NFI[[#This Row],[Plastic Mat]],Table_NFI[Plastic Mat])*IF(Table_NFI[[#This Row],[Distribution Date]]&gt;"2014-04-01",1,2.5)</f>
        <v>0</v>
      </c>
      <c r="AI119" s="294">
        <f>IF(NFI_Expiration=1,IF($A119&lt;VLOOKUP(R$5,NFI,5,0),1,0)*Table_NFI[[#This Row],[Winter Clothes Adult]],Table_NFI[Winter Clothes Adult])</f>
        <v>0</v>
      </c>
      <c r="AJ119" s="294">
        <f>IF(NFI_Expiration=1,IF($A119&lt;VLOOKUP(S$5,NFI,5,0),1,0)*Table_NFI[[#This Row],[Winter Clothes Children]],Table_NFI[Winter Clothes Children])</f>
        <v>0</v>
      </c>
      <c r="AK119" s="294">
        <f>IF(NFI_Expiration=1,IF($A119&lt;VLOOKUP(T$5,NFI,5,0),1,0)*Table_NFI[[#This Row],[Winter Items Other]],Table_NFI[Winter Items Other])</f>
        <v>0</v>
      </c>
      <c r="AL119" s="294">
        <f>IF(NFI_Expiration=1,IF($A119&lt;VLOOKUP(M$5,NFI,5,0),1,0)*Table_NFI[[#This Row],[Winter Blanket]],Table_NFI[[#This Row],[Winter Blanket]])</f>
        <v>0</v>
      </c>
      <c r="AM119" s="294">
        <f>IF(Table_NFI[[#This Row],[Winter Clothes Adult]]+Table_NFI[[#This Row],[Winter Clothes Children]]+Table_NFI[[#This Row],[Winter Items Other]]+Table_NFI[[#This Row],[Winter Blanket]]&gt;0,1,0)</f>
        <v>0</v>
      </c>
      <c r="AN119" s="331">
        <f>IF(NFI_Expiration=1,IF($A119&lt;VLOOKUP(V$5,NFI,5,0),1,0)*Table_NFI[[#This Row],[Jerry Can]],Table_NFI[Jerry Can])</f>
        <v>0</v>
      </c>
      <c r="AO119" s="331">
        <f>IF(NFI_Expiration=1,IF($A119&lt;VLOOKUP(V$5,NFI,5,0),1,0)*Table_NFI[[#This Row],[Shelter Tool kit]],Table_NFI[Shelter Tool kit])</f>
        <v>0</v>
      </c>
      <c r="AP119" s="331">
        <f>IF(NFI_Expiration=1,IF($A119&lt;VLOOKUP(V$5,NFI,5,0),1,0)*Table_NFI[[#This Row],[Tent]],Table_NFI[Tent])</f>
        <v>0</v>
      </c>
      <c r="AQ119" s="467" t="str">
        <f>IFERROR(VLOOKUP(Table_NFI[[#This Row],[Camp Name]],CL,2,0),"")</f>
        <v/>
      </c>
      <c r="AR119" s="835" t="str">
        <f ca="1">IF(Table_NFI[[#This Row],[Pcode]]="","",IF(OFFSET(CampList[Opening Date],MATCH(Table_NFI[[#This Row],[Pcode]],CampList[CP_Pcode],0)-1,0,1,1)&gt;=NFI_Monitor_Date,1,0))</f>
        <v/>
      </c>
      <c r="AS119" s="659" t="str">
        <f>IFERROR(VLOOKUP(Table_NFI[[#This Row],[Camp Name]],CL,3,0),"")</f>
        <v/>
      </c>
      <c r="AT119" s="294" t="str">
        <f ca="1">IF(Table_NFI[[#This Row],[Pcode]]="","",OFFSET(CampList[Priority],MATCH(Table_NFI[[#This Row],[Pcode]],CampList[CP_Pcode],0)-1,0,1,1))</f>
        <v/>
      </c>
      <c r="AU119" s="293" t="str">
        <f>IFERROR(Table_NFI[[#This Row],[Kitchen Set]]/VLOOKUP(Table_NFI[[#This Row],[Camp Name]],CL,4,0),"")</f>
        <v/>
      </c>
      <c r="AV119" s="461" t="s">
        <v>1092</v>
      </c>
      <c r="AW119" s="483"/>
    </row>
    <row r="120" spans="1:49" s="464" customFormat="1" ht="14.45" customHeight="1" x14ac:dyDescent="0.25">
      <c r="A120" s="297">
        <f t="shared" si="1"/>
        <v>15.6</v>
      </c>
      <c r="B120" s="460">
        <v>42268</v>
      </c>
      <c r="C120" s="461" t="s">
        <v>452</v>
      </c>
      <c r="D120" s="461" t="s">
        <v>1338</v>
      </c>
      <c r="E120" s="461" t="s">
        <v>380</v>
      </c>
      <c r="F120" s="461" t="s">
        <v>237</v>
      </c>
      <c r="G120" s="290"/>
      <c r="H120" s="291"/>
      <c r="I120" s="292"/>
      <c r="J120" s="294"/>
      <c r="K120" s="294"/>
      <c r="L120" s="292"/>
      <c r="M120" s="292"/>
      <c r="N120" s="292"/>
      <c r="O120" s="292"/>
      <c r="P120" s="294"/>
      <c r="Q120" s="294"/>
      <c r="R120" s="294"/>
      <c r="S120" s="294"/>
      <c r="T120" s="294"/>
      <c r="U120" s="294"/>
      <c r="V120" s="431"/>
      <c r="W120" s="294"/>
      <c r="X120" s="294"/>
      <c r="Y120" s="294">
        <f>IF(NFI_Expiration=1,IF($A120&lt;VLOOKUP(H$5,NFI,5,0),1,0)*Table_NFI[[#This Row],[Hygiene Kit]],Table_NFI[Hygiene Kit])</f>
        <v>0</v>
      </c>
      <c r="Z120" s="294">
        <f>IF(NFI_Expiration=1,IF($A120&lt;VLOOKUP(I$5,NFI,5,0),1,0)*Table_NFI[[#This Row],[NFI Core Kit]],Table_NFI[NFI Core Kit])</f>
        <v>0</v>
      </c>
      <c r="AA120" s="294">
        <f>IF(NFI_Expiration=1,IF($A120&lt;VLOOKUP(J$5,NFI,5,0),1,0)*Table_NFI[[#This Row],[Sanitary Kit]],Table_NFI[Sanitary Kit])</f>
        <v>0</v>
      </c>
      <c r="AB120" s="294">
        <f>IF(NFI_Expiration=1,IF($A120&lt;VLOOKUP(K$5,NFI,5,0),1,0)*Table_NFI[[#This Row],[Mosquito net]],Table_NFI[Mosquito net])</f>
        <v>0</v>
      </c>
      <c r="AC120" s="294">
        <f>IF(NFI_Expiration=1,IF($A120&lt;VLOOKUP(L$5,NFI,5,0),1,0)*Table_NFI[[#This Row],[Tarpaulin]],Table_NFI[[#This Row],[Tarpaulin]])</f>
        <v>0</v>
      </c>
      <c r="AD120" s="294">
        <f>IF(NFI_Expiration=1,IF($A120&lt;VLOOKUP(M$5,NFI,5,0),1,0)*Table_NFI[[#This Row],[Blanket]],Table_NFI[[#This Row],[Blanket]])</f>
        <v>0</v>
      </c>
      <c r="AE120" s="294">
        <f>IF(NFI_Expiration=1,IF($A120&lt;VLOOKUP(N$5,NFI,5,0),1,0)*Table_NFI[[#This Row],[Kitchen Set]],Table_NFI[Kitchen Set])</f>
        <v>0</v>
      </c>
      <c r="AF120" s="294">
        <f>IF(NFI_Expiration=1,IF($A120&lt;VLOOKUP(O$5,NFI,5,0),1,0)*Table_NFI[[#This Row],[Clothes Kit]],Table_NFI[Clothes Kit])</f>
        <v>0</v>
      </c>
      <c r="AG120" s="294">
        <f>IF(NFI_Expiration=1,IF($A120&lt;VLOOKUP(P$5,NFI,5,0),1,0)*Table_NFI[[#This Row],[Plastic Bucket]],Table_NFI[Plastic Bucket])</f>
        <v>0</v>
      </c>
      <c r="AH120" s="294">
        <f>IF(NFI_Expiration=1,IF($A120&lt;VLOOKUP(Q$5,NFI,5,0),1,0)*Table_NFI[[#This Row],[Plastic Mat]],Table_NFI[Plastic Mat])*IF(Table_NFI[[#This Row],[Distribution Date]]&gt;"2014-04-01",1,2.5)</f>
        <v>0</v>
      </c>
      <c r="AI120" s="294">
        <f>IF(NFI_Expiration=1,IF($A120&lt;VLOOKUP(R$5,NFI,5,0),1,0)*Table_NFI[[#This Row],[Winter Clothes Adult]],Table_NFI[Winter Clothes Adult])</f>
        <v>0</v>
      </c>
      <c r="AJ120" s="294">
        <f>IF(NFI_Expiration=1,IF($A120&lt;VLOOKUP(S$5,NFI,5,0),1,0)*Table_NFI[[#This Row],[Winter Clothes Children]],Table_NFI[Winter Clothes Children])</f>
        <v>0</v>
      </c>
      <c r="AK120" s="294">
        <f>IF(NFI_Expiration=1,IF($A120&lt;VLOOKUP(T$5,NFI,5,0),1,0)*Table_NFI[[#This Row],[Winter Items Other]],Table_NFI[Winter Items Other])</f>
        <v>0</v>
      </c>
      <c r="AL120" s="294">
        <f>IF(NFI_Expiration=1,IF($A120&lt;VLOOKUP(M$5,NFI,5,0),1,0)*Table_NFI[[#This Row],[Winter Blanket]],Table_NFI[[#This Row],[Winter Blanket]])</f>
        <v>0</v>
      </c>
      <c r="AM120" s="294">
        <f>IF(Table_NFI[[#This Row],[Winter Clothes Adult]]+Table_NFI[[#This Row],[Winter Clothes Children]]+Table_NFI[[#This Row],[Winter Items Other]]+Table_NFI[[#This Row],[Winter Blanket]]&gt;0,1,0)</f>
        <v>0</v>
      </c>
      <c r="AN120" s="331">
        <f>IF(NFI_Expiration=1,IF($A120&lt;VLOOKUP(V$5,NFI,5,0),1,0)*Table_NFI[[#This Row],[Jerry Can]],Table_NFI[Jerry Can])</f>
        <v>0</v>
      </c>
      <c r="AO120" s="331">
        <f>IF(NFI_Expiration=1,IF($A120&lt;VLOOKUP(V$5,NFI,5,0),1,0)*Table_NFI[[#This Row],[Shelter Tool kit]],Table_NFI[Shelter Tool kit])</f>
        <v>0</v>
      </c>
      <c r="AP120" s="331">
        <f>IF(NFI_Expiration=1,IF($A120&lt;VLOOKUP(V$5,NFI,5,0),1,0)*Table_NFI[[#This Row],[Tent]],Table_NFI[Tent])</f>
        <v>0</v>
      </c>
      <c r="AQ120" s="467" t="str">
        <f>IFERROR(VLOOKUP(Table_NFI[[#This Row],[Camp Name]],CL,2,0),"")</f>
        <v/>
      </c>
      <c r="AR120" s="835" t="str">
        <f ca="1">IF(Table_NFI[[#This Row],[Pcode]]="","",IF(OFFSET(CampList[Opening Date],MATCH(Table_NFI[[#This Row],[Pcode]],CampList[CP_Pcode],0)-1,0,1,1)&gt;=NFI_Monitor_Date,1,0))</f>
        <v/>
      </c>
      <c r="AS120" s="659" t="str">
        <f>IFERROR(VLOOKUP(Table_NFI[[#This Row],[Camp Name]],CL,3,0),"")</f>
        <v/>
      </c>
      <c r="AT120" s="294" t="str">
        <f ca="1">IF(Table_NFI[[#This Row],[Pcode]]="","",OFFSET(CampList[Priority],MATCH(Table_NFI[[#This Row],[Pcode]],CampList[CP_Pcode],0)-1,0,1,1))</f>
        <v/>
      </c>
      <c r="AU120" s="293" t="str">
        <f>IFERROR(Table_NFI[[#This Row],[Kitchen Set]]/VLOOKUP(Table_NFI[[#This Row],[Camp Name]],CL,4,0),"")</f>
        <v/>
      </c>
      <c r="AV120" s="461" t="s">
        <v>1092</v>
      </c>
      <c r="AW120" s="479"/>
    </row>
    <row r="121" spans="1:49" s="464" customFormat="1" ht="14.45" customHeight="1" x14ac:dyDescent="0.25">
      <c r="A121" s="297">
        <f t="shared" si="1"/>
        <v>15.6</v>
      </c>
      <c r="B121" s="460">
        <v>42268</v>
      </c>
      <c r="C121" s="465" t="s">
        <v>452</v>
      </c>
      <c r="D121" s="465" t="s">
        <v>506</v>
      </c>
      <c r="E121" s="465" t="s">
        <v>380</v>
      </c>
      <c r="F121" s="465" t="s">
        <v>310</v>
      </c>
      <c r="G121" s="465" t="s">
        <v>330</v>
      </c>
      <c r="H121" s="292"/>
      <c r="I121" s="292"/>
      <c r="J121" s="292"/>
      <c r="K121" s="292">
        <v>41</v>
      </c>
      <c r="L121" s="292">
        <v>16</v>
      </c>
      <c r="M121" s="292">
        <v>41</v>
      </c>
      <c r="N121" s="292">
        <v>16</v>
      </c>
      <c r="O121" s="292"/>
      <c r="P121" s="294">
        <v>16</v>
      </c>
      <c r="Q121" s="294">
        <v>80</v>
      </c>
      <c r="R121" s="294"/>
      <c r="S121" s="294"/>
      <c r="T121" s="294"/>
      <c r="U121" s="294"/>
      <c r="V121" s="431">
        <v>16</v>
      </c>
      <c r="W121" s="294"/>
      <c r="X121" s="294"/>
      <c r="Y121" s="294">
        <f>IF(NFI_Expiration=1,IF($A121&lt;VLOOKUP(H$5,NFI,5,0),1,0)*Table_NFI[[#This Row],[Hygiene Kit]],Table_NFI[Hygiene Kit])</f>
        <v>0</v>
      </c>
      <c r="Z121" s="294">
        <f>IF(NFI_Expiration=1,IF($A121&lt;VLOOKUP(I$5,NFI,5,0),1,0)*Table_NFI[[#This Row],[NFI Core Kit]],Table_NFI[NFI Core Kit])</f>
        <v>0</v>
      </c>
      <c r="AA121" s="294">
        <f>IF(NFI_Expiration=1,IF($A121&lt;VLOOKUP(J$5,NFI,5,0),1,0)*Table_NFI[[#This Row],[Sanitary Kit]],Table_NFI[Sanitary Kit])</f>
        <v>0</v>
      </c>
      <c r="AB121" s="294">
        <f>IF(NFI_Expiration=1,IF($A121&lt;VLOOKUP(K$5,NFI,5,0),1,0)*Table_NFI[[#This Row],[Mosquito net]],Table_NFI[Mosquito net])</f>
        <v>0</v>
      </c>
      <c r="AC121" s="294">
        <f>IF(NFI_Expiration=1,IF($A121&lt;VLOOKUP(L$5,NFI,5,0),1,0)*Table_NFI[[#This Row],[Tarpaulin]],Table_NFI[[#This Row],[Tarpaulin]])</f>
        <v>0</v>
      </c>
      <c r="AD121" s="294">
        <f>IF(NFI_Expiration=1,IF($A121&lt;VLOOKUP(M$5,NFI,5,0),1,0)*Table_NFI[[#This Row],[Blanket]],Table_NFI[[#This Row],[Blanket]])</f>
        <v>0</v>
      </c>
      <c r="AE121" s="294">
        <f>IF(NFI_Expiration=1,IF($A121&lt;VLOOKUP(N$5,NFI,5,0),1,0)*Table_NFI[[#This Row],[Kitchen Set]],Table_NFI[Kitchen Set])</f>
        <v>0</v>
      </c>
      <c r="AF121" s="294">
        <f>IF(NFI_Expiration=1,IF($A121&lt;VLOOKUP(O$5,NFI,5,0),1,0)*Table_NFI[[#This Row],[Clothes Kit]],Table_NFI[Clothes Kit])</f>
        <v>0</v>
      </c>
      <c r="AG121" s="294">
        <f>IF(NFI_Expiration=1,IF($A121&lt;VLOOKUP(P$5,NFI,5,0),1,0)*Table_NFI[[#This Row],[Plastic Bucket]],Table_NFI[Plastic Bucket])</f>
        <v>0</v>
      </c>
      <c r="AH121" s="294">
        <f>IF(NFI_Expiration=1,IF($A121&lt;VLOOKUP(Q$5,NFI,5,0),1,0)*Table_NFI[[#This Row],[Plastic Mat]],Table_NFI[Plastic Mat])*IF(Table_NFI[[#This Row],[Distribution Date]]&gt;"2014-04-01",1,2.5)</f>
        <v>0</v>
      </c>
      <c r="AI121" s="294">
        <f>IF(NFI_Expiration=1,IF($A121&lt;VLOOKUP(R$5,NFI,5,0),1,0)*Table_NFI[[#This Row],[Winter Clothes Adult]],Table_NFI[Winter Clothes Adult])</f>
        <v>0</v>
      </c>
      <c r="AJ121" s="294">
        <f>IF(NFI_Expiration=1,IF($A121&lt;VLOOKUP(S$5,NFI,5,0),1,0)*Table_NFI[[#This Row],[Winter Clothes Children]],Table_NFI[Winter Clothes Children])</f>
        <v>0</v>
      </c>
      <c r="AK121" s="294">
        <f>IF(NFI_Expiration=1,IF($A121&lt;VLOOKUP(T$5,NFI,5,0),1,0)*Table_NFI[[#This Row],[Winter Items Other]],Table_NFI[Winter Items Other])</f>
        <v>0</v>
      </c>
      <c r="AL121" s="294">
        <f>IF(NFI_Expiration=1,IF($A121&lt;VLOOKUP(M$5,NFI,5,0),1,0)*Table_NFI[[#This Row],[Winter Blanket]],Table_NFI[[#This Row],[Winter Blanket]])</f>
        <v>0</v>
      </c>
      <c r="AM121" s="294">
        <f>IF(Table_NFI[[#This Row],[Winter Clothes Adult]]+Table_NFI[[#This Row],[Winter Clothes Children]]+Table_NFI[[#This Row],[Winter Items Other]]+Table_NFI[[#This Row],[Winter Blanket]]&gt;0,1,0)</f>
        <v>0</v>
      </c>
      <c r="AN121" s="331">
        <f>IF(NFI_Expiration=1,IF($A121&lt;VLOOKUP(V$5,NFI,5,0),1,0)*Table_NFI[[#This Row],[Jerry Can]],Table_NFI[Jerry Can])</f>
        <v>0</v>
      </c>
      <c r="AO121" s="331">
        <f>IF(NFI_Expiration=1,IF($A121&lt;VLOOKUP(V$5,NFI,5,0),1,0)*Table_NFI[[#This Row],[Shelter Tool kit]],Table_NFI[Shelter Tool kit])</f>
        <v>0</v>
      </c>
      <c r="AP121" s="331">
        <f>IF(NFI_Expiration=1,IF($A121&lt;VLOOKUP(V$5,NFI,5,0),1,0)*Table_NFI[[#This Row],[Tent]],Table_NFI[Tent])</f>
        <v>0</v>
      </c>
      <c r="AQ121" s="467" t="str">
        <f>IFERROR(VLOOKUP(Table_NFI[[#This Row],[Camp Name]],CL,2,0),"")</f>
        <v>MMR001CMP029</v>
      </c>
      <c r="AR121" s="835">
        <f ca="1">IF(Table_NFI[[#This Row],[Pcode]]="","",IF(OFFSET(CampList[Opening Date],MATCH(Table_NFI[[#This Row],[Pcode]],CampList[CP_Pcode],0)-1,0,1,1)&gt;=NFI_Monitor_Date,1,0))</f>
        <v>0</v>
      </c>
      <c r="AS121" s="467" t="str">
        <f>IFERROR(VLOOKUP(Table_NFI[[#This Row],[Camp Name]],CL,3,0),"")</f>
        <v>Open</v>
      </c>
      <c r="AT121" s="294" t="str">
        <f ca="1">IF(Table_NFI[[#This Row],[Pcode]]="","",OFFSET(CampList[Priority],MATCH(Table_NFI[[#This Row],[Pcode]],CampList[CP_Pcode],0)-1,0,1,1))</f>
        <v>P4</v>
      </c>
      <c r="AU121" s="293">
        <f>IFERROR(Table_NFI[[#This Row],[Kitchen Set]]/VLOOKUP(Table_NFI[[#This Row],[Camp Name]],CL,4,0),"")</f>
        <v>3.8623086950224499E-4</v>
      </c>
      <c r="AV121" s="461" t="s">
        <v>1092</v>
      </c>
      <c r="AW121" s="468"/>
    </row>
    <row r="122" spans="1:49" s="464" customFormat="1" ht="14.45" customHeight="1" x14ac:dyDescent="0.25">
      <c r="A122" s="297">
        <f t="shared" si="1"/>
        <v>15.7</v>
      </c>
      <c r="B122" s="460">
        <v>42265</v>
      </c>
      <c r="C122" s="465" t="s">
        <v>452</v>
      </c>
      <c r="D122" s="465" t="s">
        <v>506</v>
      </c>
      <c r="E122" s="465" t="s">
        <v>380</v>
      </c>
      <c r="F122" s="465" t="s">
        <v>237</v>
      </c>
      <c r="G122" s="465" t="s">
        <v>273</v>
      </c>
      <c r="H122" s="292"/>
      <c r="I122" s="292">
        <v>11</v>
      </c>
      <c r="J122" s="292">
        <v>11</v>
      </c>
      <c r="K122" s="292">
        <v>21</v>
      </c>
      <c r="L122" s="292">
        <v>16</v>
      </c>
      <c r="M122" s="292">
        <v>21</v>
      </c>
      <c r="N122" s="292">
        <v>11</v>
      </c>
      <c r="O122" s="292"/>
      <c r="P122" s="294">
        <v>11</v>
      </c>
      <c r="Q122" s="294">
        <v>42</v>
      </c>
      <c r="R122" s="294"/>
      <c r="S122" s="294"/>
      <c r="T122" s="294"/>
      <c r="U122" s="294"/>
      <c r="V122" s="431">
        <v>11</v>
      </c>
      <c r="W122" s="294"/>
      <c r="X122" s="294">
        <v>6</v>
      </c>
      <c r="Y122" s="294">
        <f>IF(NFI_Expiration=1,IF($A122&lt;VLOOKUP(H$5,NFI,5,0),1,0)*Table_NFI[[#This Row],[Hygiene Kit]],Table_NFI[Hygiene Kit])</f>
        <v>0</v>
      </c>
      <c r="Z122" s="294">
        <f>IF(NFI_Expiration=1,IF($A122&lt;VLOOKUP(I$5,NFI,5,0),1,0)*Table_NFI[[#This Row],[NFI Core Kit]],Table_NFI[NFI Core Kit])</f>
        <v>0</v>
      </c>
      <c r="AA122" s="294">
        <f>IF(NFI_Expiration=1,IF($A122&lt;VLOOKUP(J$5,NFI,5,0),1,0)*Table_NFI[[#This Row],[Sanitary Kit]],Table_NFI[Sanitary Kit])</f>
        <v>0</v>
      </c>
      <c r="AB122" s="294">
        <f>IF(NFI_Expiration=1,IF($A122&lt;VLOOKUP(K$5,NFI,5,0),1,0)*Table_NFI[[#This Row],[Mosquito net]],Table_NFI[Mosquito net])</f>
        <v>0</v>
      </c>
      <c r="AC122" s="294">
        <f>IF(NFI_Expiration=1,IF($A122&lt;VLOOKUP(L$5,NFI,5,0),1,0)*Table_NFI[[#This Row],[Tarpaulin]],Table_NFI[[#This Row],[Tarpaulin]])</f>
        <v>0</v>
      </c>
      <c r="AD122" s="294">
        <f>IF(NFI_Expiration=1,IF($A122&lt;VLOOKUP(M$5,NFI,5,0),1,0)*Table_NFI[[#This Row],[Blanket]],Table_NFI[[#This Row],[Blanket]])</f>
        <v>0</v>
      </c>
      <c r="AE122" s="294">
        <f>IF(NFI_Expiration=1,IF($A122&lt;VLOOKUP(N$5,NFI,5,0),1,0)*Table_NFI[[#This Row],[Kitchen Set]],Table_NFI[Kitchen Set])</f>
        <v>0</v>
      </c>
      <c r="AF122" s="294">
        <f>IF(NFI_Expiration=1,IF($A122&lt;VLOOKUP(O$5,NFI,5,0),1,0)*Table_NFI[[#This Row],[Clothes Kit]],Table_NFI[Clothes Kit])</f>
        <v>0</v>
      </c>
      <c r="AG122" s="294">
        <f>IF(NFI_Expiration=1,IF($A122&lt;VLOOKUP(P$5,NFI,5,0),1,0)*Table_NFI[[#This Row],[Plastic Bucket]],Table_NFI[Plastic Bucket])</f>
        <v>0</v>
      </c>
      <c r="AH122" s="294">
        <f>IF(NFI_Expiration=1,IF($A122&lt;VLOOKUP(Q$5,NFI,5,0),1,0)*Table_NFI[[#This Row],[Plastic Mat]],Table_NFI[Plastic Mat])*IF(Table_NFI[[#This Row],[Distribution Date]]&gt;"2014-04-01",1,2.5)</f>
        <v>0</v>
      </c>
      <c r="AI122" s="294">
        <f>IF(NFI_Expiration=1,IF($A122&lt;VLOOKUP(R$5,NFI,5,0),1,0)*Table_NFI[[#This Row],[Winter Clothes Adult]],Table_NFI[Winter Clothes Adult])</f>
        <v>0</v>
      </c>
      <c r="AJ122" s="294">
        <f>IF(NFI_Expiration=1,IF($A122&lt;VLOOKUP(S$5,NFI,5,0),1,0)*Table_NFI[[#This Row],[Winter Clothes Children]],Table_NFI[Winter Clothes Children])</f>
        <v>0</v>
      </c>
      <c r="AK122" s="294">
        <f>IF(NFI_Expiration=1,IF($A122&lt;VLOOKUP(T$5,NFI,5,0),1,0)*Table_NFI[[#This Row],[Winter Items Other]],Table_NFI[Winter Items Other])</f>
        <v>0</v>
      </c>
      <c r="AL122" s="294">
        <f>IF(NFI_Expiration=1,IF($A122&lt;VLOOKUP(M$5,NFI,5,0),1,0)*Table_NFI[[#This Row],[Winter Blanket]],Table_NFI[[#This Row],[Winter Blanket]])</f>
        <v>0</v>
      </c>
      <c r="AM122" s="294">
        <f>IF(Table_NFI[[#This Row],[Winter Clothes Adult]]+Table_NFI[[#This Row],[Winter Clothes Children]]+Table_NFI[[#This Row],[Winter Items Other]]+Table_NFI[[#This Row],[Winter Blanket]]&gt;0,1,0)</f>
        <v>0</v>
      </c>
      <c r="AN122" s="331">
        <f>IF(NFI_Expiration=1,IF($A122&lt;VLOOKUP(V$5,NFI,5,0),1,0)*Table_NFI[[#This Row],[Jerry Can]],Table_NFI[Jerry Can])</f>
        <v>0</v>
      </c>
      <c r="AO122" s="331">
        <f>IF(NFI_Expiration=1,IF($A122&lt;VLOOKUP(V$5,NFI,5,0),1,0)*Table_NFI[[#This Row],[Shelter Tool kit]],Table_NFI[Shelter Tool kit])</f>
        <v>0</v>
      </c>
      <c r="AP122" s="331">
        <f>IF(NFI_Expiration=1,IF($A122&lt;VLOOKUP(V$5,NFI,5,0),1,0)*Table_NFI[[#This Row],[Tent]],Table_NFI[Tent])</f>
        <v>0</v>
      </c>
      <c r="AQ122" s="467" t="str">
        <f>IFERROR(VLOOKUP(Table_NFI[[#This Row],[Camp Name]],CL,2,0),"")</f>
        <v>MMR001CMP162</v>
      </c>
      <c r="AR122" s="835">
        <f ca="1">IF(Table_NFI[[#This Row],[Pcode]]="","",IF(OFFSET(CampList[Opening Date],MATCH(Table_NFI[[#This Row],[Pcode]],CampList[CP_Pcode],0)-1,0,1,1)&gt;=NFI_Monitor_Date,1,0))</f>
        <v>0</v>
      </c>
      <c r="AS122" s="467" t="str">
        <f>IFERROR(VLOOKUP(Table_NFI[[#This Row],[Camp Name]],CL,3,0),"")</f>
        <v>Open</v>
      </c>
      <c r="AT122" s="294" t="str">
        <f ca="1">IF(Table_NFI[[#This Row],[Pcode]]="","",OFFSET(CampList[Priority],MATCH(Table_NFI[[#This Row],[Pcode]],CampList[CP_Pcode],0)-1,0,1,1))</f>
        <v>P4</v>
      </c>
      <c r="AU122" s="293">
        <f>IFERROR(Table_NFI[[#This Row],[Kitchen Set]]/VLOOKUP(Table_NFI[[#This Row],[Camp Name]],CL,4,0),"")</f>
        <v>2.667054601881486E-4</v>
      </c>
      <c r="AV122" s="461" t="s">
        <v>1092</v>
      </c>
      <c r="AW122" s="468"/>
    </row>
    <row r="123" spans="1:49" s="464" customFormat="1" ht="14.45" customHeight="1" x14ac:dyDescent="0.25">
      <c r="A123" s="297">
        <f t="shared" si="1"/>
        <v>16.433333333333334</v>
      </c>
      <c r="B123" s="460">
        <v>42243</v>
      </c>
      <c r="C123" s="465" t="s">
        <v>452</v>
      </c>
      <c r="D123" s="465" t="s">
        <v>460</v>
      </c>
      <c r="E123" s="461" t="s">
        <v>380</v>
      </c>
      <c r="F123" s="461" t="s">
        <v>237</v>
      </c>
      <c r="G123" s="461"/>
      <c r="H123" s="292"/>
      <c r="I123" s="292"/>
      <c r="J123" s="292"/>
      <c r="K123" s="292"/>
      <c r="L123" s="292"/>
      <c r="M123" s="292"/>
      <c r="N123" s="292"/>
      <c r="O123" s="292"/>
      <c r="P123" s="294"/>
      <c r="Q123" s="294"/>
      <c r="R123" s="294"/>
      <c r="S123" s="294"/>
      <c r="T123" s="294"/>
      <c r="U123" s="294"/>
      <c r="V123" s="431"/>
      <c r="W123" s="294">
        <v>10</v>
      </c>
      <c r="X123" s="294"/>
      <c r="Y123" s="294">
        <f>IF(NFI_Expiration=1,IF($A123&lt;VLOOKUP(H$5,NFI,5,0),1,0)*Table_NFI[[#This Row],[Hygiene Kit]],Table_NFI[Hygiene Kit])</f>
        <v>0</v>
      </c>
      <c r="Z123" s="294">
        <f>IF(NFI_Expiration=1,IF($A123&lt;VLOOKUP(I$5,NFI,5,0),1,0)*Table_NFI[[#This Row],[NFI Core Kit]],Table_NFI[NFI Core Kit])</f>
        <v>0</v>
      </c>
      <c r="AA123" s="294">
        <f>IF(NFI_Expiration=1,IF($A123&lt;VLOOKUP(J$5,NFI,5,0),1,0)*Table_NFI[[#This Row],[Sanitary Kit]],Table_NFI[Sanitary Kit])</f>
        <v>0</v>
      </c>
      <c r="AB123" s="294">
        <f>IF(NFI_Expiration=1,IF($A123&lt;VLOOKUP(K$5,NFI,5,0),1,0)*Table_NFI[[#This Row],[Mosquito net]],Table_NFI[Mosquito net])</f>
        <v>0</v>
      </c>
      <c r="AC123" s="294">
        <f>IF(NFI_Expiration=1,IF($A123&lt;VLOOKUP(L$5,NFI,5,0),1,0)*Table_NFI[[#This Row],[Tarpaulin]],Table_NFI[[#This Row],[Tarpaulin]])</f>
        <v>0</v>
      </c>
      <c r="AD123" s="294">
        <f>IF(NFI_Expiration=1,IF($A123&lt;VLOOKUP(M$5,NFI,5,0),1,0)*Table_NFI[[#This Row],[Blanket]],Table_NFI[[#This Row],[Blanket]])</f>
        <v>0</v>
      </c>
      <c r="AE123" s="294">
        <f>IF(NFI_Expiration=1,IF($A123&lt;VLOOKUP(N$5,NFI,5,0),1,0)*Table_NFI[[#This Row],[Kitchen Set]],Table_NFI[Kitchen Set])</f>
        <v>0</v>
      </c>
      <c r="AF123" s="294">
        <f>IF(NFI_Expiration=1,IF($A123&lt;VLOOKUP(O$5,NFI,5,0),1,0)*Table_NFI[[#This Row],[Clothes Kit]],Table_NFI[Clothes Kit])</f>
        <v>0</v>
      </c>
      <c r="AG123" s="294">
        <f>IF(NFI_Expiration=1,IF($A123&lt;VLOOKUP(P$5,NFI,5,0),1,0)*Table_NFI[[#This Row],[Plastic Bucket]],Table_NFI[Plastic Bucket])</f>
        <v>0</v>
      </c>
      <c r="AH123" s="294">
        <f>IF(NFI_Expiration=1,IF($A123&lt;VLOOKUP(Q$5,NFI,5,0),1,0)*Table_NFI[[#This Row],[Plastic Mat]],Table_NFI[Plastic Mat])*IF(Table_NFI[[#This Row],[Distribution Date]]&gt;"2014-04-01",1,2.5)</f>
        <v>0</v>
      </c>
      <c r="AI123" s="294">
        <f>IF(NFI_Expiration=1,IF($A123&lt;VLOOKUP(R$5,NFI,5,0),1,0)*Table_NFI[[#This Row],[Winter Clothes Adult]],Table_NFI[Winter Clothes Adult])</f>
        <v>0</v>
      </c>
      <c r="AJ123" s="294">
        <f>IF(NFI_Expiration=1,IF($A123&lt;VLOOKUP(S$5,NFI,5,0),1,0)*Table_NFI[[#This Row],[Winter Clothes Children]],Table_NFI[Winter Clothes Children])</f>
        <v>0</v>
      </c>
      <c r="AK123" s="294">
        <f>IF(NFI_Expiration=1,IF($A123&lt;VLOOKUP(T$5,NFI,5,0),1,0)*Table_NFI[[#This Row],[Winter Items Other]],Table_NFI[Winter Items Other])</f>
        <v>0</v>
      </c>
      <c r="AL123" s="294">
        <f>IF(NFI_Expiration=1,IF($A123&lt;VLOOKUP(M$5,NFI,5,0),1,0)*Table_NFI[[#This Row],[Winter Blanket]],Table_NFI[[#This Row],[Winter Blanket]])</f>
        <v>0</v>
      </c>
      <c r="AM123" s="294">
        <f>IF(Table_NFI[[#This Row],[Winter Clothes Adult]]+Table_NFI[[#This Row],[Winter Clothes Children]]+Table_NFI[[#This Row],[Winter Items Other]]+Table_NFI[[#This Row],[Winter Blanket]]&gt;0,1,0)</f>
        <v>0</v>
      </c>
      <c r="AN123" s="331">
        <f>IF(NFI_Expiration=1,IF($A123&lt;VLOOKUP(V$5,NFI,5,0),1,0)*Table_NFI[[#This Row],[Jerry Can]],Table_NFI[Jerry Can])</f>
        <v>0</v>
      </c>
      <c r="AO123" s="331">
        <f>IF(NFI_Expiration=1,IF($A123&lt;VLOOKUP(V$5,NFI,5,0),1,0)*Table_NFI[[#This Row],[Shelter Tool kit]],Table_NFI[Shelter Tool kit])</f>
        <v>0</v>
      </c>
      <c r="AP123" s="331">
        <f>IF(NFI_Expiration=1,IF($A123&lt;VLOOKUP(V$5,NFI,5,0),1,0)*Table_NFI[[#This Row],[Tent]],Table_NFI[Tent])</f>
        <v>0</v>
      </c>
      <c r="AQ123" s="467" t="str">
        <f>IFERROR(VLOOKUP(Table_NFI[[#This Row],[Camp Name]],CL,2,0),"")</f>
        <v/>
      </c>
      <c r="AR123" s="835" t="str">
        <f ca="1">IF(Table_NFI[[#This Row],[Pcode]]="","",IF(OFFSET(CampList[Opening Date],MATCH(Table_NFI[[#This Row],[Pcode]],CampList[CP_Pcode],0)-1,0,1,1)&gt;=NFI_Monitor_Date,1,0))</f>
        <v/>
      </c>
      <c r="AS123" s="659" t="str">
        <f>IFERROR(VLOOKUP(Table_NFI[[#This Row],[Camp Name]],CL,3,0),"")</f>
        <v/>
      </c>
      <c r="AT123" s="294" t="str">
        <f ca="1">IF(Table_NFI[[#This Row],[Pcode]]="","",OFFSET(CampList[Priority],MATCH(Table_NFI[[#This Row],[Pcode]],CampList[CP_Pcode],0)-1,0,1,1))</f>
        <v/>
      </c>
      <c r="AU123" s="293" t="str">
        <f>IFERROR(Table_NFI[[#This Row],[Kitchen Set]]/VLOOKUP(Table_NFI[[#This Row],[Camp Name]],CL,4,0),"")</f>
        <v/>
      </c>
      <c r="AV123" s="461" t="s">
        <v>1092</v>
      </c>
      <c r="AW123" s="483"/>
    </row>
    <row r="124" spans="1:49" s="464" customFormat="1" ht="14.45" customHeight="1" x14ac:dyDescent="0.25">
      <c r="A124" s="297">
        <f t="shared" si="1"/>
        <v>16.433333333333334</v>
      </c>
      <c r="B124" s="460">
        <v>42243</v>
      </c>
      <c r="C124" s="465" t="s">
        <v>452</v>
      </c>
      <c r="D124" s="465" t="s">
        <v>1338</v>
      </c>
      <c r="E124" s="465" t="s">
        <v>380</v>
      </c>
      <c r="F124" s="465" t="s">
        <v>237</v>
      </c>
      <c r="G124" s="465"/>
      <c r="H124" s="292"/>
      <c r="I124" s="292"/>
      <c r="J124" s="292"/>
      <c r="K124" s="292"/>
      <c r="L124" s="292"/>
      <c r="M124" s="292"/>
      <c r="N124" s="292"/>
      <c r="O124" s="292"/>
      <c r="P124" s="294"/>
      <c r="Q124" s="294"/>
      <c r="R124" s="294"/>
      <c r="S124" s="294"/>
      <c r="T124" s="294"/>
      <c r="U124" s="294"/>
      <c r="V124" s="431"/>
      <c r="W124" s="294">
        <v>7</v>
      </c>
      <c r="X124" s="294"/>
      <c r="Y124" s="294">
        <f>IF(NFI_Expiration=1,IF($A124&lt;VLOOKUP(H$5,NFI,5,0),1,0)*Table_NFI[[#This Row],[Hygiene Kit]],Table_NFI[Hygiene Kit])</f>
        <v>0</v>
      </c>
      <c r="Z124" s="294">
        <f>IF(NFI_Expiration=1,IF($A124&lt;VLOOKUP(I$5,NFI,5,0),1,0)*Table_NFI[[#This Row],[NFI Core Kit]],Table_NFI[NFI Core Kit])</f>
        <v>0</v>
      </c>
      <c r="AA124" s="294">
        <f>IF(NFI_Expiration=1,IF($A124&lt;VLOOKUP(J$5,NFI,5,0),1,0)*Table_NFI[[#This Row],[Sanitary Kit]],Table_NFI[Sanitary Kit])</f>
        <v>0</v>
      </c>
      <c r="AB124" s="294">
        <f>IF(NFI_Expiration=1,IF($A124&lt;VLOOKUP(K$5,NFI,5,0),1,0)*Table_NFI[[#This Row],[Mosquito net]],Table_NFI[Mosquito net])</f>
        <v>0</v>
      </c>
      <c r="AC124" s="294">
        <f>IF(NFI_Expiration=1,IF($A124&lt;VLOOKUP(L$5,NFI,5,0),1,0)*Table_NFI[[#This Row],[Tarpaulin]],Table_NFI[[#This Row],[Tarpaulin]])</f>
        <v>0</v>
      </c>
      <c r="AD124" s="294">
        <f>IF(NFI_Expiration=1,IF($A124&lt;VLOOKUP(M$5,NFI,5,0),1,0)*Table_NFI[[#This Row],[Blanket]],Table_NFI[[#This Row],[Blanket]])</f>
        <v>0</v>
      </c>
      <c r="AE124" s="294">
        <f>IF(NFI_Expiration=1,IF($A124&lt;VLOOKUP(N$5,NFI,5,0),1,0)*Table_NFI[[#This Row],[Kitchen Set]],Table_NFI[Kitchen Set])</f>
        <v>0</v>
      </c>
      <c r="AF124" s="294">
        <f>IF(NFI_Expiration=1,IF($A124&lt;VLOOKUP(O$5,NFI,5,0),1,0)*Table_NFI[[#This Row],[Clothes Kit]],Table_NFI[Clothes Kit])</f>
        <v>0</v>
      </c>
      <c r="AG124" s="294">
        <f>IF(NFI_Expiration=1,IF($A124&lt;VLOOKUP(P$5,NFI,5,0),1,0)*Table_NFI[[#This Row],[Plastic Bucket]],Table_NFI[Plastic Bucket])</f>
        <v>0</v>
      </c>
      <c r="AH124" s="294">
        <f>IF(NFI_Expiration=1,IF($A124&lt;VLOOKUP(Q$5,NFI,5,0),1,0)*Table_NFI[[#This Row],[Plastic Mat]],Table_NFI[Plastic Mat])*IF(Table_NFI[[#This Row],[Distribution Date]]&gt;"2014-04-01",1,2.5)</f>
        <v>0</v>
      </c>
      <c r="AI124" s="294">
        <f>IF(NFI_Expiration=1,IF($A124&lt;VLOOKUP(R$5,NFI,5,0),1,0)*Table_NFI[[#This Row],[Winter Clothes Adult]],Table_NFI[Winter Clothes Adult])</f>
        <v>0</v>
      </c>
      <c r="AJ124" s="294">
        <f>IF(NFI_Expiration=1,IF($A124&lt;VLOOKUP(S$5,NFI,5,0),1,0)*Table_NFI[[#This Row],[Winter Clothes Children]],Table_NFI[Winter Clothes Children])</f>
        <v>0</v>
      </c>
      <c r="AK124" s="294">
        <f>IF(NFI_Expiration=1,IF($A124&lt;VLOOKUP(T$5,NFI,5,0),1,0)*Table_NFI[[#This Row],[Winter Items Other]],Table_NFI[Winter Items Other])</f>
        <v>0</v>
      </c>
      <c r="AL124" s="294">
        <f>IF(NFI_Expiration=1,IF($A124&lt;VLOOKUP(M$5,NFI,5,0),1,0)*Table_NFI[[#This Row],[Winter Blanket]],Table_NFI[[#This Row],[Winter Blanket]])</f>
        <v>0</v>
      </c>
      <c r="AM124" s="294">
        <f>IF(Table_NFI[[#This Row],[Winter Clothes Adult]]+Table_NFI[[#This Row],[Winter Clothes Children]]+Table_NFI[[#This Row],[Winter Items Other]]+Table_NFI[[#This Row],[Winter Blanket]]&gt;0,1,0)</f>
        <v>0</v>
      </c>
      <c r="AN124" s="331">
        <f>IF(NFI_Expiration=1,IF($A124&lt;VLOOKUP(V$5,NFI,5,0),1,0)*Table_NFI[[#This Row],[Jerry Can]],Table_NFI[Jerry Can])</f>
        <v>0</v>
      </c>
      <c r="AO124" s="331">
        <f>IF(NFI_Expiration=1,IF($A124&lt;VLOOKUP(V$5,NFI,5,0),1,0)*Table_NFI[[#This Row],[Shelter Tool kit]],Table_NFI[Shelter Tool kit])</f>
        <v>0</v>
      </c>
      <c r="AP124" s="331">
        <f>IF(NFI_Expiration=1,IF($A124&lt;VLOOKUP(V$5,NFI,5,0),1,0)*Table_NFI[[#This Row],[Tent]],Table_NFI[Tent])</f>
        <v>0</v>
      </c>
      <c r="AQ124" s="467" t="str">
        <f>IFERROR(VLOOKUP(Table_NFI[[#This Row],[Camp Name]],CL,2,0),"")</f>
        <v/>
      </c>
      <c r="AR124" s="835" t="str">
        <f ca="1">IF(Table_NFI[[#This Row],[Pcode]]="","",IF(OFFSET(CampList[Opening Date],MATCH(Table_NFI[[#This Row],[Pcode]],CampList[CP_Pcode],0)-1,0,1,1)&gt;=NFI_Monitor_Date,1,0))</f>
        <v/>
      </c>
      <c r="AS124" s="659" t="str">
        <f>IFERROR(VLOOKUP(Table_NFI[[#This Row],[Camp Name]],CL,3,0),"")</f>
        <v/>
      </c>
      <c r="AT124" s="294" t="str">
        <f ca="1">IF(Table_NFI[[#This Row],[Pcode]]="","",OFFSET(CampList[Priority],MATCH(Table_NFI[[#This Row],[Pcode]],CampList[CP_Pcode],0)-1,0,1,1))</f>
        <v/>
      </c>
      <c r="AU124" s="293" t="str">
        <f>IFERROR(Table_NFI[[#This Row],[Kitchen Set]]/VLOOKUP(Table_NFI[[#This Row],[Camp Name]],CL,4,0),"")</f>
        <v/>
      </c>
      <c r="AV124" s="461" t="s">
        <v>1092</v>
      </c>
      <c r="AW124" s="468"/>
    </row>
    <row r="125" spans="1:49" s="464" customFormat="1" ht="14.45" customHeight="1" x14ac:dyDescent="0.25">
      <c r="A125" s="297">
        <f t="shared" si="1"/>
        <v>16.433333333333334</v>
      </c>
      <c r="B125" s="460">
        <v>42243</v>
      </c>
      <c r="C125" s="465" t="s">
        <v>452</v>
      </c>
      <c r="D125" s="465" t="s">
        <v>505</v>
      </c>
      <c r="E125" s="465" t="s">
        <v>380</v>
      </c>
      <c r="F125" s="465" t="s">
        <v>237</v>
      </c>
      <c r="G125" s="465"/>
      <c r="H125" s="292"/>
      <c r="I125" s="292"/>
      <c r="J125" s="292"/>
      <c r="K125" s="292"/>
      <c r="L125" s="292"/>
      <c r="M125" s="292"/>
      <c r="N125" s="292"/>
      <c r="O125" s="292"/>
      <c r="P125" s="294"/>
      <c r="Q125" s="294"/>
      <c r="R125" s="294"/>
      <c r="S125" s="294"/>
      <c r="T125" s="294"/>
      <c r="U125" s="294"/>
      <c r="V125" s="431"/>
      <c r="W125" s="294">
        <v>8</v>
      </c>
      <c r="X125" s="294"/>
      <c r="Y125" s="294">
        <f>IF(NFI_Expiration=1,IF($A125&lt;VLOOKUP(H$5,NFI,5,0),1,0)*Table_NFI[[#This Row],[Hygiene Kit]],Table_NFI[Hygiene Kit])</f>
        <v>0</v>
      </c>
      <c r="Z125" s="294">
        <f>IF(NFI_Expiration=1,IF($A125&lt;VLOOKUP(I$5,NFI,5,0),1,0)*Table_NFI[[#This Row],[NFI Core Kit]],Table_NFI[NFI Core Kit])</f>
        <v>0</v>
      </c>
      <c r="AA125" s="294">
        <f>IF(NFI_Expiration=1,IF($A125&lt;VLOOKUP(J$5,NFI,5,0),1,0)*Table_NFI[[#This Row],[Sanitary Kit]],Table_NFI[Sanitary Kit])</f>
        <v>0</v>
      </c>
      <c r="AB125" s="294">
        <f>IF(NFI_Expiration=1,IF($A125&lt;VLOOKUP(K$5,NFI,5,0),1,0)*Table_NFI[[#This Row],[Mosquito net]],Table_NFI[Mosquito net])</f>
        <v>0</v>
      </c>
      <c r="AC125" s="294">
        <f>IF(NFI_Expiration=1,IF($A125&lt;VLOOKUP(L$5,NFI,5,0),1,0)*Table_NFI[[#This Row],[Tarpaulin]],Table_NFI[[#This Row],[Tarpaulin]])</f>
        <v>0</v>
      </c>
      <c r="AD125" s="294">
        <f>IF(NFI_Expiration=1,IF($A125&lt;VLOOKUP(M$5,NFI,5,0),1,0)*Table_NFI[[#This Row],[Blanket]],Table_NFI[[#This Row],[Blanket]])</f>
        <v>0</v>
      </c>
      <c r="AE125" s="294">
        <f>IF(NFI_Expiration=1,IF($A125&lt;VLOOKUP(N$5,NFI,5,0),1,0)*Table_NFI[[#This Row],[Kitchen Set]],Table_NFI[Kitchen Set])</f>
        <v>0</v>
      </c>
      <c r="AF125" s="294">
        <f>IF(NFI_Expiration=1,IF($A125&lt;VLOOKUP(O$5,NFI,5,0),1,0)*Table_NFI[[#This Row],[Clothes Kit]],Table_NFI[Clothes Kit])</f>
        <v>0</v>
      </c>
      <c r="AG125" s="294">
        <f>IF(NFI_Expiration=1,IF($A125&lt;VLOOKUP(P$5,NFI,5,0),1,0)*Table_NFI[[#This Row],[Plastic Bucket]],Table_NFI[Plastic Bucket])</f>
        <v>0</v>
      </c>
      <c r="AH125" s="294">
        <f>IF(NFI_Expiration=1,IF($A125&lt;VLOOKUP(Q$5,NFI,5,0),1,0)*Table_NFI[[#This Row],[Plastic Mat]],Table_NFI[Plastic Mat])*IF(Table_NFI[[#This Row],[Distribution Date]]&gt;"2014-04-01",1,2.5)</f>
        <v>0</v>
      </c>
      <c r="AI125" s="294">
        <f>IF(NFI_Expiration=1,IF($A125&lt;VLOOKUP(R$5,NFI,5,0),1,0)*Table_NFI[[#This Row],[Winter Clothes Adult]],Table_NFI[Winter Clothes Adult])</f>
        <v>0</v>
      </c>
      <c r="AJ125" s="294">
        <f>IF(NFI_Expiration=1,IF($A125&lt;VLOOKUP(S$5,NFI,5,0),1,0)*Table_NFI[[#This Row],[Winter Clothes Children]],Table_NFI[Winter Clothes Children])</f>
        <v>0</v>
      </c>
      <c r="AK125" s="294">
        <f>IF(NFI_Expiration=1,IF($A125&lt;VLOOKUP(T$5,NFI,5,0),1,0)*Table_NFI[[#This Row],[Winter Items Other]],Table_NFI[Winter Items Other])</f>
        <v>0</v>
      </c>
      <c r="AL125" s="294">
        <f>IF(NFI_Expiration=1,IF($A125&lt;VLOOKUP(M$5,NFI,5,0),1,0)*Table_NFI[[#This Row],[Winter Blanket]],Table_NFI[[#This Row],[Winter Blanket]])</f>
        <v>0</v>
      </c>
      <c r="AM125" s="294">
        <f>IF(Table_NFI[[#This Row],[Winter Clothes Adult]]+Table_NFI[[#This Row],[Winter Clothes Children]]+Table_NFI[[#This Row],[Winter Items Other]]+Table_NFI[[#This Row],[Winter Blanket]]&gt;0,1,0)</f>
        <v>0</v>
      </c>
      <c r="AN125" s="331">
        <f>IF(NFI_Expiration=1,IF($A125&lt;VLOOKUP(V$5,NFI,5,0),1,0)*Table_NFI[[#This Row],[Jerry Can]],Table_NFI[Jerry Can])</f>
        <v>0</v>
      </c>
      <c r="AO125" s="331">
        <f>IF(NFI_Expiration=1,IF($A125&lt;VLOOKUP(V$5,NFI,5,0),1,0)*Table_NFI[[#This Row],[Shelter Tool kit]],Table_NFI[Shelter Tool kit])</f>
        <v>0</v>
      </c>
      <c r="AP125" s="331">
        <f>IF(NFI_Expiration=1,IF($A125&lt;VLOOKUP(V$5,NFI,5,0),1,0)*Table_NFI[[#This Row],[Tent]],Table_NFI[Tent])</f>
        <v>0</v>
      </c>
      <c r="AQ125" s="467" t="str">
        <f>IFERROR(VLOOKUP(Table_NFI[[#This Row],[Camp Name]],CL,2,0),"")</f>
        <v/>
      </c>
      <c r="AR125" s="835" t="str">
        <f ca="1">IF(Table_NFI[[#This Row],[Pcode]]="","",IF(OFFSET(CampList[Opening Date],MATCH(Table_NFI[[#This Row],[Pcode]],CampList[CP_Pcode],0)-1,0,1,1)&gt;=NFI_Monitor_Date,1,0))</f>
        <v/>
      </c>
      <c r="AS125" s="659" t="str">
        <f>IFERROR(VLOOKUP(Table_NFI[[#This Row],[Camp Name]],CL,3,0),"")</f>
        <v/>
      </c>
      <c r="AT125" s="294" t="str">
        <f ca="1">IF(Table_NFI[[#This Row],[Pcode]]="","",OFFSET(CampList[Priority],MATCH(Table_NFI[[#This Row],[Pcode]],CampList[CP_Pcode],0)-1,0,1,1))</f>
        <v/>
      </c>
      <c r="AU125" s="293" t="str">
        <f>IFERROR(Table_NFI[[#This Row],[Kitchen Set]]/VLOOKUP(Table_NFI[[#This Row],[Camp Name]],CL,4,0),"")</f>
        <v/>
      </c>
      <c r="AV125" s="461" t="s">
        <v>1092</v>
      </c>
      <c r="AW125" s="468" t="s">
        <v>1319</v>
      </c>
    </row>
    <row r="126" spans="1:49" s="464" customFormat="1" ht="14.45" customHeight="1" x14ac:dyDescent="0.25">
      <c r="A126" s="297">
        <f t="shared" si="1"/>
        <v>16.966666666666665</v>
      </c>
      <c r="B126" s="460">
        <v>42227</v>
      </c>
      <c r="C126" s="461" t="s">
        <v>452</v>
      </c>
      <c r="D126" s="462" t="s">
        <v>460</v>
      </c>
      <c r="E126" s="461" t="s">
        <v>380</v>
      </c>
      <c r="F126" s="290" t="s">
        <v>173</v>
      </c>
      <c r="G126" s="290" t="s">
        <v>174</v>
      </c>
      <c r="H126" s="291"/>
      <c r="I126" s="292"/>
      <c r="J126" s="291"/>
      <c r="K126" s="294">
        <v>14</v>
      </c>
      <c r="L126" s="292">
        <v>14</v>
      </c>
      <c r="M126" s="292"/>
      <c r="N126" s="292"/>
      <c r="O126" s="292"/>
      <c r="P126" s="294"/>
      <c r="Q126" s="294"/>
      <c r="R126" s="294"/>
      <c r="S126" s="294"/>
      <c r="T126" s="294"/>
      <c r="U126" s="294"/>
      <c r="V126" s="431"/>
      <c r="W126" s="294"/>
      <c r="X126" s="294"/>
      <c r="Y126" s="294">
        <f>IF(NFI_Expiration=1,IF($A126&lt;VLOOKUP(H$5,NFI,5,0),1,0)*Table_NFI[[#This Row],[Hygiene Kit]],Table_NFI[Hygiene Kit])</f>
        <v>0</v>
      </c>
      <c r="Z126" s="294">
        <f>IF(NFI_Expiration=1,IF($A126&lt;VLOOKUP(I$5,NFI,5,0),1,0)*Table_NFI[[#This Row],[NFI Core Kit]],Table_NFI[NFI Core Kit])</f>
        <v>0</v>
      </c>
      <c r="AA126" s="294">
        <f>IF(NFI_Expiration=1,IF($A126&lt;VLOOKUP(J$5,NFI,5,0),1,0)*Table_NFI[[#This Row],[Sanitary Kit]],Table_NFI[Sanitary Kit])</f>
        <v>0</v>
      </c>
      <c r="AB126" s="294">
        <f>IF(NFI_Expiration=1,IF($A126&lt;VLOOKUP(K$5,NFI,5,0),1,0)*Table_NFI[[#This Row],[Mosquito net]],Table_NFI[Mosquito net])</f>
        <v>0</v>
      </c>
      <c r="AC126" s="294">
        <f>IF(NFI_Expiration=1,IF($A126&lt;VLOOKUP(L$5,NFI,5,0),1,0)*Table_NFI[[#This Row],[Tarpaulin]],Table_NFI[[#This Row],[Tarpaulin]])</f>
        <v>0</v>
      </c>
      <c r="AD126" s="294">
        <f>IF(NFI_Expiration=1,IF($A126&lt;VLOOKUP(M$5,NFI,5,0),1,0)*Table_NFI[[#This Row],[Blanket]],Table_NFI[[#This Row],[Blanket]])</f>
        <v>0</v>
      </c>
      <c r="AE126" s="294">
        <f>IF(NFI_Expiration=1,IF($A126&lt;VLOOKUP(N$5,NFI,5,0),1,0)*Table_NFI[[#This Row],[Kitchen Set]],Table_NFI[Kitchen Set])</f>
        <v>0</v>
      </c>
      <c r="AF126" s="294">
        <f>IF(NFI_Expiration=1,IF($A126&lt;VLOOKUP(O$5,NFI,5,0),1,0)*Table_NFI[[#This Row],[Clothes Kit]],Table_NFI[Clothes Kit])</f>
        <v>0</v>
      </c>
      <c r="AG126" s="294">
        <f>IF(NFI_Expiration=1,IF($A126&lt;VLOOKUP(P$5,NFI,5,0),1,0)*Table_NFI[[#This Row],[Plastic Bucket]],Table_NFI[Plastic Bucket])</f>
        <v>0</v>
      </c>
      <c r="AH126" s="294">
        <f>IF(NFI_Expiration=1,IF($A126&lt;VLOOKUP(Q$5,NFI,5,0),1,0)*Table_NFI[[#This Row],[Plastic Mat]],Table_NFI[Plastic Mat])*IF(Table_NFI[[#This Row],[Distribution Date]]&gt;"2014-04-01",1,2.5)</f>
        <v>0</v>
      </c>
      <c r="AI126" s="294">
        <f>IF(NFI_Expiration=1,IF($A126&lt;VLOOKUP(R$5,NFI,5,0),1,0)*Table_NFI[[#This Row],[Winter Clothes Adult]],Table_NFI[Winter Clothes Adult])</f>
        <v>0</v>
      </c>
      <c r="AJ126" s="294">
        <f>IF(NFI_Expiration=1,IF($A126&lt;VLOOKUP(S$5,NFI,5,0),1,0)*Table_NFI[[#This Row],[Winter Clothes Children]],Table_NFI[Winter Clothes Children])</f>
        <v>0</v>
      </c>
      <c r="AK126" s="294">
        <f>IF(NFI_Expiration=1,IF($A126&lt;VLOOKUP(T$5,NFI,5,0),1,0)*Table_NFI[[#This Row],[Winter Items Other]],Table_NFI[Winter Items Other])</f>
        <v>0</v>
      </c>
      <c r="AL126" s="294">
        <f>IF(NFI_Expiration=1,IF($A126&lt;VLOOKUP(M$5,NFI,5,0),1,0)*Table_NFI[[#This Row],[Winter Blanket]],Table_NFI[[#This Row],[Winter Blanket]])</f>
        <v>0</v>
      </c>
      <c r="AM126" s="294">
        <f>IF(Table_NFI[[#This Row],[Winter Clothes Adult]]+Table_NFI[[#This Row],[Winter Clothes Children]]+Table_NFI[[#This Row],[Winter Items Other]]+Table_NFI[[#This Row],[Winter Blanket]]&gt;0,1,0)</f>
        <v>0</v>
      </c>
      <c r="AN126" s="331">
        <f>IF(NFI_Expiration=1,IF($A126&lt;VLOOKUP(V$5,NFI,5,0),1,0)*Table_NFI[[#This Row],[Jerry Can]],Table_NFI[Jerry Can])</f>
        <v>0</v>
      </c>
      <c r="AO126" s="331">
        <f>IF(NFI_Expiration=1,IF($A126&lt;VLOOKUP(V$5,NFI,5,0),1,0)*Table_NFI[[#This Row],[Shelter Tool kit]],Table_NFI[Shelter Tool kit])</f>
        <v>0</v>
      </c>
      <c r="AP126" s="331">
        <f>IF(NFI_Expiration=1,IF($A126&lt;VLOOKUP(V$5,NFI,5,0),1,0)*Table_NFI[[#This Row],[Tent]],Table_NFI[Tent])</f>
        <v>0</v>
      </c>
      <c r="AQ126" s="467" t="str">
        <f>IFERROR(VLOOKUP(Table_NFI[[#This Row],[Camp Name]],CL,2,0),"")</f>
        <v>MMR001CMP078</v>
      </c>
      <c r="AR126" s="835">
        <f ca="1">IF(Table_NFI[[#This Row],[Pcode]]="","",IF(OFFSET(CampList[Opening Date],MATCH(Table_NFI[[#This Row],[Pcode]],CampList[CP_Pcode],0)-1,0,1,1)&gt;=NFI_Monitor_Date,1,0))</f>
        <v>0</v>
      </c>
      <c r="AS126" s="467" t="str">
        <f>IFERROR(VLOOKUP(Table_NFI[[#This Row],[Camp Name]],CL,3,0),"")</f>
        <v>Open</v>
      </c>
      <c r="AT126" s="294" t="str">
        <f ca="1">IF(Table_NFI[[#This Row],[Pcode]]="","",OFFSET(CampList[Priority],MATCH(Table_NFI[[#This Row],[Pcode]],CampList[CP_Pcode],0)-1,0,1,1))</f>
        <v>P4</v>
      </c>
      <c r="AU126" s="293">
        <f>IFERROR(Table_NFI[[#This Row],[Kitchen Set]]/VLOOKUP(Table_NFI[[#This Row],[Camp Name]],CL,4,0),"")</f>
        <v>0</v>
      </c>
      <c r="AV126" s="461" t="s">
        <v>1092</v>
      </c>
      <c r="AW126" s="479" t="s">
        <v>1340</v>
      </c>
    </row>
    <row r="127" spans="1:49" s="464" customFormat="1" ht="14.45" customHeight="1" x14ac:dyDescent="0.25">
      <c r="A127" s="297">
        <f t="shared" si="1"/>
        <v>16.966666666666665</v>
      </c>
      <c r="B127" s="460">
        <v>42227</v>
      </c>
      <c r="C127" s="465" t="s">
        <v>452</v>
      </c>
      <c r="D127" s="465" t="s">
        <v>505</v>
      </c>
      <c r="E127" s="465" t="s">
        <v>380</v>
      </c>
      <c r="F127" s="465" t="s">
        <v>237</v>
      </c>
      <c r="G127" s="465" t="s">
        <v>249</v>
      </c>
      <c r="H127" s="292"/>
      <c r="I127" s="292"/>
      <c r="J127" s="292"/>
      <c r="K127" s="292">
        <v>6</v>
      </c>
      <c r="L127" s="292">
        <v>4</v>
      </c>
      <c r="M127" s="292">
        <v>6</v>
      </c>
      <c r="N127" s="292">
        <v>4</v>
      </c>
      <c r="O127" s="292"/>
      <c r="P127" s="294">
        <v>4</v>
      </c>
      <c r="Q127" s="294">
        <v>10</v>
      </c>
      <c r="R127" s="294"/>
      <c r="S127" s="294"/>
      <c r="T127" s="294"/>
      <c r="U127" s="294"/>
      <c r="V127" s="431">
        <v>4</v>
      </c>
      <c r="W127" s="294"/>
      <c r="X127" s="294"/>
      <c r="Y127" s="294">
        <f>IF(NFI_Expiration=1,IF($A127&lt;VLOOKUP(H$5,NFI,5,0),1,0)*Table_NFI[[#This Row],[Hygiene Kit]],Table_NFI[Hygiene Kit])</f>
        <v>0</v>
      </c>
      <c r="Z127" s="294">
        <f>IF(NFI_Expiration=1,IF($A127&lt;VLOOKUP(I$5,NFI,5,0),1,0)*Table_NFI[[#This Row],[NFI Core Kit]],Table_NFI[NFI Core Kit])</f>
        <v>0</v>
      </c>
      <c r="AA127" s="294">
        <f>IF(NFI_Expiration=1,IF($A127&lt;VLOOKUP(J$5,NFI,5,0),1,0)*Table_NFI[[#This Row],[Sanitary Kit]],Table_NFI[Sanitary Kit])</f>
        <v>0</v>
      </c>
      <c r="AB127" s="294">
        <f>IF(NFI_Expiration=1,IF($A127&lt;VLOOKUP(K$5,NFI,5,0),1,0)*Table_NFI[[#This Row],[Mosquito net]],Table_NFI[Mosquito net])</f>
        <v>0</v>
      </c>
      <c r="AC127" s="294">
        <f>IF(NFI_Expiration=1,IF($A127&lt;VLOOKUP(L$5,NFI,5,0),1,0)*Table_NFI[[#This Row],[Tarpaulin]],Table_NFI[[#This Row],[Tarpaulin]])</f>
        <v>0</v>
      </c>
      <c r="AD127" s="294">
        <f>IF(NFI_Expiration=1,IF($A127&lt;VLOOKUP(M$5,NFI,5,0),1,0)*Table_NFI[[#This Row],[Blanket]],Table_NFI[[#This Row],[Blanket]])</f>
        <v>0</v>
      </c>
      <c r="AE127" s="294">
        <f>IF(NFI_Expiration=1,IF($A127&lt;VLOOKUP(N$5,NFI,5,0),1,0)*Table_NFI[[#This Row],[Kitchen Set]],Table_NFI[Kitchen Set])</f>
        <v>0</v>
      </c>
      <c r="AF127" s="294">
        <f>IF(NFI_Expiration=1,IF($A127&lt;VLOOKUP(O$5,NFI,5,0),1,0)*Table_NFI[[#This Row],[Clothes Kit]],Table_NFI[Clothes Kit])</f>
        <v>0</v>
      </c>
      <c r="AG127" s="294">
        <f>IF(NFI_Expiration=1,IF($A127&lt;VLOOKUP(P$5,NFI,5,0),1,0)*Table_NFI[[#This Row],[Plastic Bucket]],Table_NFI[Plastic Bucket])</f>
        <v>0</v>
      </c>
      <c r="AH127" s="294">
        <f>IF(NFI_Expiration=1,IF($A127&lt;VLOOKUP(Q$5,NFI,5,0),1,0)*Table_NFI[[#This Row],[Plastic Mat]],Table_NFI[Plastic Mat])*IF(Table_NFI[[#This Row],[Distribution Date]]&gt;"2014-04-01",1,2.5)</f>
        <v>0</v>
      </c>
      <c r="AI127" s="294">
        <f>IF(NFI_Expiration=1,IF($A127&lt;VLOOKUP(R$5,NFI,5,0),1,0)*Table_NFI[[#This Row],[Winter Clothes Adult]],Table_NFI[Winter Clothes Adult])</f>
        <v>0</v>
      </c>
      <c r="AJ127" s="294">
        <f>IF(NFI_Expiration=1,IF($A127&lt;VLOOKUP(S$5,NFI,5,0),1,0)*Table_NFI[[#This Row],[Winter Clothes Children]],Table_NFI[Winter Clothes Children])</f>
        <v>0</v>
      </c>
      <c r="AK127" s="294">
        <f>IF(NFI_Expiration=1,IF($A127&lt;VLOOKUP(T$5,NFI,5,0),1,0)*Table_NFI[[#This Row],[Winter Items Other]],Table_NFI[Winter Items Other])</f>
        <v>0</v>
      </c>
      <c r="AL127" s="294">
        <f>IF(NFI_Expiration=1,IF($A127&lt;VLOOKUP(M$5,NFI,5,0),1,0)*Table_NFI[[#This Row],[Winter Blanket]],Table_NFI[[#This Row],[Winter Blanket]])</f>
        <v>0</v>
      </c>
      <c r="AM127" s="294">
        <f>IF(Table_NFI[[#This Row],[Winter Clothes Adult]]+Table_NFI[[#This Row],[Winter Clothes Children]]+Table_NFI[[#This Row],[Winter Items Other]]+Table_NFI[[#This Row],[Winter Blanket]]&gt;0,1,0)</f>
        <v>0</v>
      </c>
      <c r="AN127" s="331">
        <f>IF(NFI_Expiration=1,IF($A127&lt;VLOOKUP(V$5,NFI,5,0),1,0)*Table_NFI[[#This Row],[Jerry Can]],Table_NFI[Jerry Can])</f>
        <v>0</v>
      </c>
      <c r="AO127" s="331">
        <f>IF(NFI_Expiration=1,IF($A127&lt;VLOOKUP(V$5,NFI,5,0),1,0)*Table_NFI[[#This Row],[Shelter Tool kit]],Table_NFI[Shelter Tool kit])</f>
        <v>0</v>
      </c>
      <c r="AP127" s="331">
        <f>IF(NFI_Expiration=1,IF($A127&lt;VLOOKUP(V$5,NFI,5,0),1,0)*Table_NFI[[#This Row],[Tent]],Table_NFI[Tent])</f>
        <v>0</v>
      </c>
      <c r="AQ127" s="467" t="str">
        <f>IFERROR(VLOOKUP(Table_NFI[[#This Row],[Camp Name]],CL,2,0),"")</f>
        <v>MMR001CMP004</v>
      </c>
      <c r="AR127" s="835">
        <f ca="1">IF(Table_NFI[[#This Row],[Pcode]]="","",IF(OFFSET(CampList[Opening Date],MATCH(Table_NFI[[#This Row],[Pcode]],CampList[CP_Pcode],0)-1,0,1,1)&gt;=NFI_Monitor_Date,1,0))</f>
        <v>0</v>
      </c>
      <c r="AS127" s="467" t="str">
        <f>IFERROR(VLOOKUP(Table_NFI[[#This Row],[Camp Name]],CL,3,0),"")</f>
        <v>Open</v>
      </c>
      <c r="AT127" s="294" t="str">
        <f ca="1">IF(Table_NFI[[#This Row],[Pcode]]="","",OFFSET(CampList[Priority],MATCH(Table_NFI[[#This Row],[Pcode]],CampList[CP_Pcode],0)-1,0,1,1))</f>
        <v>P4</v>
      </c>
      <c r="AU127" s="293">
        <f>IFERROR(Table_NFI[[#This Row],[Kitchen Set]]/VLOOKUP(Table_NFI[[#This Row],[Camp Name]],CL,4,0),"")</f>
        <v>9.814505839630975E-5</v>
      </c>
      <c r="AV127" s="461" t="s">
        <v>1092</v>
      </c>
      <c r="AW127" s="468"/>
    </row>
    <row r="128" spans="1:49" s="98" customFormat="1" ht="14.45" customHeight="1" x14ac:dyDescent="0.25">
      <c r="A128" s="297">
        <f t="shared" si="1"/>
        <v>17.666666666666668</v>
      </c>
      <c r="B128" s="460">
        <v>42206</v>
      </c>
      <c r="C128" s="465" t="s">
        <v>452</v>
      </c>
      <c r="D128" s="465" t="s">
        <v>460</v>
      </c>
      <c r="E128" s="465" t="s">
        <v>380</v>
      </c>
      <c r="F128" s="465" t="s">
        <v>808</v>
      </c>
      <c r="G128" s="465" t="s">
        <v>808</v>
      </c>
      <c r="H128" s="292"/>
      <c r="I128" s="292"/>
      <c r="J128" s="292"/>
      <c r="K128" s="292"/>
      <c r="L128" s="292">
        <v>250</v>
      </c>
      <c r="M128" s="292"/>
      <c r="N128" s="292"/>
      <c r="O128" s="292"/>
      <c r="P128" s="294"/>
      <c r="Q128" s="294"/>
      <c r="R128" s="294"/>
      <c r="S128" s="294"/>
      <c r="T128" s="294"/>
      <c r="U128" s="294"/>
      <c r="V128" s="431"/>
      <c r="W128" s="294"/>
      <c r="X128" s="294"/>
      <c r="Y128" s="294">
        <f>IF(NFI_Expiration=1,IF($A128&lt;VLOOKUP(H$5,NFI,5,0),1,0)*Table_NFI[[#This Row],[Hygiene Kit]],Table_NFI[Hygiene Kit])</f>
        <v>0</v>
      </c>
      <c r="Z128" s="294">
        <f>IF(NFI_Expiration=1,IF($A128&lt;VLOOKUP(I$5,NFI,5,0),1,0)*Table_NFI[[#This Row],[NFI Core Kit]],Table_NFI[NFI Core Kit])</f>
        <v>0</v>
      </c>
      <c r="AA128" s="294">
        <f>IF(NFI_Expiration=1,IF($A128&lt;VLOOKUP(J$5,NFI,5,0),1,0)*Table_NFI[[#This Row],[Sanitary Kit]],Table_NFI[Sanitary Kit])</f>
        <v>0</v>
      </c>
      <c r="AB128" s="294">
        <f>IF(NFI_Expiration=1,IF($A128&lt;VLOOKUP(K$5,NFI,5,0),1,0)*Table_NFI[[#This Row],[Mosquito net]],Table_NFI[Mosquito net])</f>
        <v>0</v>
      </c>
      <c r="AC128" s="294">
        <f>IF(NFI_Expiration=1,IF($A128&lt;VLOOKUP(L$5,NFI,5,0),1,0)*Table_NFI[[#This Row],[Tarpaulin]],Table_NFI[[#This Row],[Tarpaulin]])</f>
        <v>0</v>
      </c>
      <c r="AD128" s="294">
        <f>IF(NFI_Expiration=1,IF($A128&lt;VLOOKUP(M$5,NFI,5,0),1,0)*Table_NFI[[#This Row],[Blanket]],Table_NFI[[#This Row],[Blanket]])</f>
        <v>0</v>
      </c>
      <c r="AE128" s="294">
        <f>IF(NFI_Expiration=1,IF($A128&lt;VLOOKUP(N$5,NFI,5,0),1,0)*Table_NFI[[#This Row],[Kitchen Set]],Table_NFI[Kitchen Set])</f>
        <v>0</v>
      </c>
      <c r="AF128" s="294">
        <f>IF(NFI_Expiration=1,IF($A128&lt;VLOOKUP(O$5,NFI,5,0),1,0)*Table_NFI[[#This Row],[Clothes Kit]],Table_NFI[Clothes Kit])</f>
        <v>0</v>
      </c>
      <c r="AG128" s="294">
        <f>IF(NFI_Expiration=1,IF($A128&lt;VLOOKUP(P$5,NFI,5,0),1,0)*Table_NFI[[#This Row],[Plastic Bucket]],Table_NFI[Plastic Bucket])</f>
        <v>0</v>
      </c>
      <c r="AH128" s="294">
        <f>IF(NFI_Expiration=1,IF($A128&lt;VLOOKUP(Q$5,NFI,5,0),1,0)*Table_NFI[[#This Row],[Plastic Mat]],Table_NFI[Plastic Mat])*IF(Table_NFI[[#This Row],[Distribution Date]]&gt;"2014-04-01",1,2.5)</f>
        <v>0</v>
      </c>
      <c r="AI128" s="294">
        <f>IF(NFI_Expiration=1,IF($A128&lt;VLOOKUP(R$5,NFI,5,0),1,0)*Table_NFI[[#This Row],[Winter Clothes Adult]],Table_NFI[Winter Clothes Adult])</f>
        <v>0</v>
      </c>
      <c r="AJ128" s="294">
        <f>IF(NFI_Expiration=1,IF($A128&lt;VLOOKUP(S$5,NFI,5,0),1,0)*Table_NFI[[#This Row],[Winter Clothes Children]],Table_NFI[Winter Clothes Children])</f>
        <v>0</v>
      </c>
      <c r="AK128" s="294">
        <f>IF(NFI_Expiration=1,IF($A128&lt;VLOOKUP(T$5,NFI,5,0),1,0)*Table_NFI[[#This Row],[Winter Items Other]],Table_NFI[Winter Items Other])</f>
        <v>0</v>
      </c>
      <c r="AL128" s="294">
        <f>IF(NFI_Expiration=1,IF($A128&lt;VLOOKUP(M$5,NFI,5,0),1,0)*Table_NFI[[#This Row],[Winter Blanket]],Table_NFI[[#This Row],[Winter Blanket]])</f>
        <v>0</v>
      </c>
      <c r="AM128" s="294">
        <f>IF(Table_NFI[[#This Row],[Winter Clothes Adult]]+Table_NFI[[#This Row],[Winter Clothes Children]]+Table_NFI[[#This Row],[Winter Items Other]]+Table_NFI[[#This Row],[Winter Blanket]]&gt;0,1,0)</f>
        <v>0</v>
      </c>
      <c r="AN128" s="331">
        <f>IF(NFI_Expiration=1,IF($A128&lt;VLOOKUP(V$5,NFI,5,0),1,0)*Table_NFI[[#This Row],[Jerry Can]],Table_NFI[Jerry Can])</f>
        <v>0</v>
      </c>
      <c r="AO128" s="331">
        <f>IF(NFI_Expiration=1,IF($A128&lt;VLOOKUP(V$5,NFI,5,0),1,0)*Table_NFI[[#This Row],[Shelter Tool kit]],Table_NFI[Shelter Tool kit])</f>
        <v>0</v>
      </c>
      <c r="AP128" s="331">
        <f>IF(NFI_Expiration=1,IF($A128&lt;VLOOKUP(V$5,NFI,5,0),1,0)*Table_NFI[[#This Row],[Tent]],Table_NFI[Tent])</f>
        <v>0</v>
      </c>
      <c r="AQ128" s="467" t="str">
        <f>IFERROR(VLOOKUP(Table_NFI[[#This Row],[Camp Name]],CL,2,0),"")</f>
        <v>MMR001CMP206</v>
      </c>
      <c r="AR128" s="835">
        <f ca="1">IF(Table_NFI[[#This Row],[Pcode]]="","",IF(OFFSET(CampList[Opening Date],MATCH(Table_NFI[[#This Row],[Pcode]],CampList[CP_Pcode],0)-1,0,1,1)&gt;=NFI_Monitor_Date,1,0))</f>
        <v>0</v>
      </c>
      <c r="AS128" s="467" t="str">
        <f>IFERROR(VLOOKUP(Table_NFI[[#This Row],[Camp Name]],CL,3,0),"")</f>
        <v>Open</v>
      </c>
      <c r="AT128" s="294" t="str">
        <f ca="1">IF(Table_NFI[[#This Row],[Pcode]]="","",OFFSET(CampList[Priority],MATCH(Table_NFI[[#This Row],[Pcode]],CampList[CP_Pcode],0)-1,0,1,1))</f>
        <v>P4</v>
      </c>
      <c r="AU128" s="293" t="str">
        <f>IFERROR(Table_NFI[[#This Row],[Kitchen Set]]/VLOOKUP(Table_NFI[[#This Row],[Camp Name]],CL,4,0),"")</f>
        <v/>
      </c>
      <c r="AV128" s="461" t="s">
        <v>1092</v>
      </c>
      <c r="AW128" s="468" t="s">
        <v>1319</v>
      </c>
    </row>
    <row r="129" spans="1:49" s="464" customFormat="1" ht="14.45" customHeight="1" x14ac:dyDescent="0.25">
      <c r="A129" s="297">
        <f t="shared" si="1"/>
        <v>18.366666666666667</v>
      </c>
      <c r="B129" s="460">
        <v>42185</v>
      </c>
      <c r="C129" s="461" t="s">
        <v>905</v>
      </c>
      <c r="D129" s="461" t="s">
        <v>905</v>
      </c>
      <c r="E129" s="461" t="s">
        <v>380</v>
      </c>
      <c r="F129" s="290" t="s">
        <v>5</v>
      </c>
      <c r="G129" s="290" t="s">
        <v>6</v>
      </c>
      <c r="H129" s="291"/>
      <c r="I129" s="291"/>
      <c r="J129" s="294"/>
      <c r="K129" s="291"/>
      <c r="L129" s="292"/>
      <c r="M129" s="292"/>
      <c r="N129" s="292"/>
      <c r="O129" s="292"/>
      <c r="P129" s="294"/>
      <c r="Q129" s="294"/>
      <c r="R129" s="294"/>
      <c r="S129" s="294"/>
      <c r="T129" s="294"/>
      <c r="U129" s="294"/>
      <c r="V129" s="331">
        <v>3</v>
      </c>
      <c r="W129" s="294"/>
      <c r="X129" s="294"/>
      <c r="Y129" s="294">
        <f>IF(NFI_Expiration=1,IF($A129&lt;VLOOKUP(H$5,NFI,5,0),1,0)*Table_NFI[[#This Row],[Hygiene Kit]],Table_NFI[Hygiene Kit])</f>
        <v>0</v>
      </c>
      <c r="Z129" s="294">
        <f>IF(NFI_Expiration=1,IF($A129&lt;VLOOKUP(I$5,NFI,5,0),1,0)*Table_NFI[[#This Row],[NFI Core Kit]],Table_NFI[NFI Core Kit])</f>
        <v>0</v>
      </c>
      <c r="AA129" s="294">
        <f>IF(NFI_Expiration=1,IF($A129&lt;VLOOKUP(J$5,NFI,5,0),1,0)*Table_NFI[[#This Row],[Sanitary Kit]],Table_NFI[Sanitary Kit])</f>
        <v>0</v>
      </c>
      <c r="AB129" s="294">
        <f>IF(NFI_Expiration=1,IF($A129&lt;VLOOKUP(K$5,NFI,5,0),1,0)*Table_NFI[[#This Row],[Mosquito net]],Table_NFI[Mosquito net])</f>
        <v>0</v>
      </c>
      <c r="AC129" s="294">
        <f>IF(NFI_Expiration=1,IF($A129&lt;VLOOKUP(L$5,NFI,5,0),1,0)*Table_NFI[[#This Row],[Tarpaulin]],Table_NFI[[#This Row],[Tarpaulin]])</f>
        <v>0</v>
      </c>
      <c r="AD129" s="294">
        <f>IF(NFI_Expiration=1,IF($A129&lt;VLOOKUP(M$5,NFI,5,0),1,0)*Table_NFI[[#This Row],[Blanket]],Table_NFI[[#This Row],[Blanket]])</f>
        <v>0</v>
      </c>
      <c r="AE129" s="294">
        <f>IF(NFI_Expiration=1,IF($A129&lt;VLOOKUP(N$5,NFI,5,0),1,0)*Table_NFI[[#This Row],[Kitchen Set]],Table_NFI[Kitchen Set])</f>
        <v>0</v>
      </c>
      <c r="AF129" s="294">
        <f>IF(NFI_Expiration=1,IF($A129&lt;VLOOKUP(O$5,NFI,5,0),1,0)*Table_NFI[[#This Row],[Clothes Kit]],Table_NFI[Clothes Kit])</f>
        <v>0</v>
      </c>
      <c r="AG129" s="294">
        <f>IF(NFI_Expiration=1,IF($A129&lt;VLOOKUP(P$5,NFI,5,0),1,0)*Table_NFI[[#This Row],[Plastic Bucket]],Table_NFI[Plastic Bucket])</f>
        <v>0</v>
      </c>
      <c r="AH129" s="294">
        <f>IF(NFI_Expiration=1,IF($A129&lt;VLOOKUP(Q$5,NFI,5,0),1,0)*Table_NFI[[#This Row],[Plastic Mat]],Table_NFI[Plastic Mat])*IF(Table_NFI[[#This Row],[Distribution Date]]&gt;"2014-04-01",1,2.5)</f>
        <v>0</v>
      </c>
      <c r="AI129" s="294">
        <f>IF(NFI_Expiration=1,IF($A129&lt;VLOOKUP(R$5,NFI,5,0),1,0)*Table_NFI[[#This Row],[Winter Clothes Adult]],Table_NFI[Winter Clothes Adult])</f>
        <v>0</v>
      </c>
      <c r="AJ129" s="294">
        <f>IF(NFI_Expiration=1,IF($A129&lt;VLOOKUP(S$5,NFI,5,0),1,0)*Table_NFI[[#This Row],[Winter Clothes Children]],Table_NFI[Winter Clothes Children])</f>
        <v>0</v>
      </c>
      <c r="AK129" s="294">
        <f>IF(NFI_Expiration=1,IF($A129&lt;VLOOKUP(T$5,NFI,5,0),1,0)*Table_NFI[[#This Row],[Winter Items Other]],Table_NFI[Winter Items Other])</f>
        <v>0</v>
      </c>
      <c r="AL129" s="294">
        <f>IF(NFI_Expiration=1,IF($A129&lt;VLOOKUP(M$5,NFI,5,0),1,0)*Table_NFI[[#This Row],[Winter Blanket]],Table_NFI[[#This Row],[Winter Blanket]])</f>
        <v>0</v>
      </c>
      <c r="AM129" s="294">
        <f>IF(Table_NFI[[#This Row],[Winter Clothes Adult]]+Table_NFI[[#This Row],[Winter Clothes Children]]+Table_NFI[[#This Row],[Winter Items Other]]+Table_NFI[[#This Row],[Winter Blanket]]&gt;0,1,0)</f>
        <v>0</v>
      </c>
      <c r="AN129" s="331">
        <f>IF(NFI_Expiration=1,IF($A129&lt;VLOOKUP(V$5,NFI,5,0),1,0)*Table_NFI[[#This Row],[Jerry Can]],Table_NFI[Jerry Can])</f>
        <v>0</v>
      </c>
      <c r="AO129" s="331">
        <f>IF(NFI_Expiration=1,IF($A129&lt;VLOOKUP(V$5,NFI,5,0),1,0)*Table_NFI[[#This Row],[Shelter Tool kit]],Table_NFI[Shelter Tool kit])</f>
        <v>0</v>
      </c>
      <c r="AP129" s="331">
        <f>IF(NFI_Expiration=1,IF($A129&lt;VLOOKUP(V$5,NFI,5,0),1,0)*Table_NFI[[#This Row],[Tent]],Table_NFI[Tent])</f>
        <v>0</v>
      </c>
      <c r="AQ129" s="467" t="str">
        <f>IFERROR(VLOOKUP(Table_NFI[[#This Row],[Camp Name]],CL,2,0),"")</f>
        <v>MMR001CMP050</v>
      </c>
      <c r="AR129" s="835">
        <f ca="1">IF(Table_NFI[[#This Row],[Pcode]]="","",IF(OFFSET(CampList[Opening Date],MATCH(Table_NFI[[#This Row],[Pcode]],CampList[CP_Pcode],0)-1,0,1,1)&gt;=NFI_Monitor_Date,1,0))</f>
        <v>0</v>
      </c>
      <c r="AS129" s="467" t="str">
        <f>IFERROR(VLOOKUP(Table_NFI[[#This Row],[Camp Name]],CL,3,0),"")</f>
        <v>Open</v>
      </c>
      <c r="AT129" s="294" t="str">
        <f ca="1">IF(Table_NFI[[#This Row],[Pcode]]="","",OFFSET(CampList[Priority],MATCH(Table_NFI[[#This Row],[Pcode]],CampList[CP_Pcode],0)-1,0,1,1))</f>
        <v>P4</v>
      </c>
      <c r="AU129" s="293">
        <f>IFERROR(Table_NFI[[#This Row],[Kitchen Set]]/VLOOKUP(Table_NFI[[#This Row],[Camp Name]],CL,4,0),"")</f>
        <v>0</v>
      </c>
      <c r="AV129" s="461"/>
      <c r="AW129" s="463"/>
    </row>
    <row r="130" spans="1:49" s="464" customFormat="1" ht="14.45" customHeight="1" x14ac:dyDescent="0.25">
      <c r="A130" s="297">
        <f t="shared" si="1"/>
        <v>18.366666666666667</v>
      </c>
      <c r="B130" s="460">
        <v>42185</v>
      </c>
      <c r="C130" s="461" t="s">
        <v>905</v>
      </c>
      <c r="D130" s="461" t="s">
        <v>905</v>
      </c>
      <c r="E130" s="461" t="s">
        <v>380</v>
      </c>
      <c r="F130" s="290" t="s">
        <v>185</v>
      </c>
      <c r="G130" s="290" t="s">
        <v>1431</v>
      </c>
      <c r="H130" s="291"/>
      <c r="I130" s="291"/>
      <c r="J130" s="292"/>
      <c r="K130" s="291"/>
      <c r="L130" s="292"/>
      <c r="M130" s="292"/>
      <c r="N130" s="292"/>
      <c r="O130" s="292"/>
      <c r="P130" s="294"/>
      <c r="Q130" s="294"/>
      <c r="R130" s="294"/>
      <c r="S130" s="294"/>
      <c r="T130" s="294"/>
      <c r="U130" s="294"/>
      <c r="V130" s="331">
        <v>2</v>
      </c>
      <c r="W130" s="294"/>
      <c r="X130" s="294"/>
      <c r="Y130" s="294">
        <f>IF(NFI_Expiration=1,IF($A130&lt;VLOOKUP(H$5,NFI,5,0),1,0)*Table_NFI[[#This Row],[Hygiene Kit]],Table_NFI[Hygiene Kit])</f>
        <v>0</v>
      </c>
      <c r="Z130" s="294">
        <f>IF(NFI_Expiration=1,IF($A130&lt;VLOOKUP(I$5,NFI,5,0),1,0)*Table_NFI[[#This Row],[NFI Core Kit]],Table_NFI[NFI Core Kit])</f>
        <v>0</v>
      </c>
      <c r="AA130" s="294">
        <f>IF(NFI_Expiration=1,IF($A130&lt;VLOOKUP(J$5,NFI,5,0),1,0)*Table_NFI[[#This Row],[Sanitary Kit]],Table_NFI[Sanitary Kit])</f>
        <v>0</v>
      </c>
      <c r="AB130" s="294">
        <f>IF(NFI_Expiration=1,IF($A130&lt;VLOOKUP(K$5,NFI,5,0),1,0)*Table_NFI[[#This Row],[Mosquito net]],Table_NFI[Mosquito net])</f>
        <v>0</v>
      </c>
      <c r="AC130" s="294">
        <f>IF(NFI_Expiration=1,IF($A130&lt;VLOOKUP(L$5,NFI,5,0),1,0)*Table_NFI[[#This Row],[Tarpaulin]],Table_NFI[[#This Row],[Tarpaulin]])</f>
        <v>0</v>
      </c>
      <c r="AD130" s="294">
        <f>IF(NFI_Expiration=1,IF($A130&lt;VLOOKUP(M$5,NFI,5,0),1,0)*Table_NFI[[#This Row],[Blanket]],Table_NFI[[#This Row],[Blanket]])</f>
        <v>0</v>
      </c>
      <c r="AE130" s="294">
        <f>IF(NFI_Expiration=1,IF($A130&lt;VLOOKUP(N$5,NFI,5,0),1,0)*Table_NFI[[#This Row],[Kitchen Set]],Table_NFI[Kitchen Set])</f>
        <v>0</v>
      </c>
      <c r="AF130" s="294">
        <f>IF(NFI_Expiration=1,IF($A130&lt;VLOOKUP(O$5,NFI,5,0),1,0)*Table_NFI[[#This Row],[Clothes Kit]],Table_NFI[Clothes Kit])</f>
        <v>0</v>
      </c>
      <c r="AG130" s="294">
        <f>IF(NFI_Expiration=1,IF($A130&lt;VLOOKUP(P$5,NFI,5,0),1,0)*Table_NFI[[#This Row],[Plastic Bucket]],Table_NFI[Plastic Bucket])</f>
        <v>0</v>
      </c>
      <c r="AH130" s="294">
        <f>IF(NFI_Expiration=1,IF($A130&lt;VLOOKUP(Q$5,NFI,5,0),1,0)*Table_NFI[[#This Row],[Plastic Mat]],Table_NFI[Plastic Mat])*IF(Table_NFI[[#This Row],[Distribution Date]]&gt;"2014-04-01",1,2.5)</f>
        <v>0</v>
      </c>
      <c r="AI130" s="294">
        <f>IF(NFI_Expiration=1,IF($A130&lt;VLOOKUP(R$5,NFI,5,0),1,0)*Table_NFI[[#This Row],[Winter Clothes Adult]],Table_NFI[Winter Clothes Adult])</f>
        <v>0</v>
      </c>
      <c r="AJ130" s="294">
        <f>IF(NFI_Expiration=1,IF($A130&lt;VLOOKUP(S$5,NFI,5,0),1,0)*Table_NFI[[#This Row],[Winter Clothes Children]],Table_NFI[Winter Clothes Children])</f>
        <v>0</v>
      </c>
      <c r="AK130" s="294">
        <f>IF(NFI_Expiration=1,IF($A130&lt;VLOOKUP(T$5,NFI,5,0),1,0)*Table_NFI[[#This Row],[Winter Items Other]],Table_NFI[Winter Items Other])</f>
        <v>0</v>
      </c>
      <c r="AL130" s="294">
        <f>IF(NFI_Expiration=1,IF($A130&lt;VLOOKUP(M$5,NFI,5,0),1,0)*Table_NFI[[#This Row],[Winter Blanket]],Table_NFI[[#This Row],[Winter Blanket]])</f>
        <v>0</v>
      </c>
      <c r="AM130" s="294">
        <f>IF(Table_NFI[[#This Row],[Winter Clothes Adult]]+Table_NFI[[#This Row],[Winter Clothes Children]]+Table_NFI[[#This Row],[Winter Items Other]]+Table_NFI[[#This Row],[Winter Blanket]]&gt;0,1,0)</f>
        <v>0</v>
      </c>
      <c r="AN130" s="331">
        <f>IF(NFI_Expiration=1,IF($A130&lt;VLOOKUP(V$5,NFI,5,0),1,0)*Table_NFI[[#This Row],[Jerry Can]],Table_NFI[Jerry Can])</f>
        <v>0</v>
      </c>
      <c r="AO130" s="331">
        <f>IF(NFI_Expiration=1,IF($A130&lt;VLOOKUP(V$5,NFI,5,0),1,0)*Table_NFI[[#This Row],[Shelter Tool kit]],Table_NFI[Shelter Tool kit])</f>
        <v>0</v>
      </c>
      <c r="AP130" s="331">
        <f>IF(NFI_Expiration=1,IF($A130&lt;VLOOKUP(V$5,NFI,5,0),1,0)*Table_NFI[[#This Row],[Tent]],Table_NFI[Tent])</f>
        <v>0</v>
      </c>
      <c r="AQ130" s="467" t="str">
        <f>IFERROR(VLOOKUP(Table_NFI[[#This Row],[Camp Name]],CL,2,0),"")</f>
        <v/>
      </c>
      <c r="AR130" s="835" t="str">
        <f ca="1">IF(Table_NFI[[#This Row],[Pcode]]="","",IF(OFFSET(CampList[Opening Date],MATCH(Table_NFI[[#This Row],[Pcode]],CampList[CP_Pcode],0)-1,0,1,1)&gt;=NFI_Monitor_Date,1,0))</f>
        <v/>
      </c>
      <c r="AS130" s="659" t="str">
        <f>IFERROR(VLOOKUP(Table_NFI[[#This Row],[Camp Name]],CL,3,0),"")</f>
        <v/>
      </c>
      <c r="AT130" s="294" t="str">
        <f ca="1">IF(Table_NFI[[#This Row],[Pcode]]="","",OFFSET(CampList[Priority],MATCH(Table_NFI[[#This Row],[Pcode]],CampList[CP_Pcode],0)-1,0,1,1))</f>
        <v/>
      </c>
      <c r="AU130" s="293" t="str">
        <f>IFERROR(Table_NFI[[#This Row],[Kitchen Set]]/VLOOKUP(Table_NFI[[#This Row],[Camp Name]],CL,4,0),"")</f>
        <v/>
      </c>
      <c r="AV130" s="461"/>
      <c r="AW130" s="463"/>
    </row>
    <row r="131" spans="1:49" s="464" customFormat="1" ht="14.45" customHeight="1" x14ac:dyDescent="0.2">
      <c r="A131" s="297">
        <f t="shared" si="1"/>
        <v>18.366666666666667</v>
      </c>
      <c r="B131" s="460">
        <v>42185</v>
      </c>
      <c r="C131" s="461" t="s">
        <v>905</v>
      </c>
      <c r="D131" s="462" t="s">
        <v>905</v>
      </c>
      <c r="E131" s="461" t="s">
        <v>380</v>
      </c>
      <c r="F131" s="290" t="s">
        <v>310</v>
      </c>
      <c r="G131" s="290" t="s">
        <v>1248</v>
      </c>
      <c r="H131" s="292"/>
      <c r="I131" s="292"/>
      <c r="J131" s="575">
        <v>825</v>
      </c>
      <c r="K131" s="292"/>
      <c r="L131" s="292"/>
      <c r="M131" s="292"/>
      <c r="N131" s="292"/>
      <c r="O131" s="292"/>
      <c r="P131" s="294"/>
      <c r="Q131" s="294"/>
      <c r="R131" s="294"/>
      <c r="S131" s="294"/>
      <c r="T131" s="294"/>
      <c r="U131" s="294"/>
      <c r="V131" s="431"/>
      <c r="W131" s="294"/>
      <c r="X131" s="294"/>
      <c r="Y131" s="294">
        <f>IF(NFI_Expiration=1,IF($A131&lt;VLOOKUP(H$5,NFI,5,0),1,0)*Table_NFI[[#This Row],[Hygiene Kit]],Table_NFI[Hygiene Kit])</f>
        <v>0</v>
      </c>
      <c r="Z131" s="294">
        <f>IF(NFI_Expiration=1,IF($A131&lt;VLOOKUP(I$5,NFI,5,0),1,0)*Table_NFI[[#This Row],[NFI Core Kit]],Table_NFI[NFI Core Kit])</f>
        <v>0</v>
      </c>
      <c r="AA131" s="294">
        <f>IF(NFI_Expiration=1,IF($A131&lt;VLOOKUP(J$5,NFI,5,0),1,0)*Table_NFI[[#This Row],[Sanitary Kit]],Table_NFI[Sanitary Kit])</f>
        <v>0</v>
      </c>
      <c r="AB131" s="294">
        <f>IF(NFI_Expiration=1,IF($A131&lt;VLOOKUP(K$5,NFI,5,0),1,0)*Table_NFI[[#This Row],[Mosquito net]],Table_NFI[Mosquito net])</f>
        <v>0</v>
      </c>
      <c r="AC131" s="294">
        <f>IF(NFI_Expiration=1,IF($A131&lt;VLOOKUP(L$5,NFI,5,0),1,0)*Table_NFI[[#This Row],[Tarpaulin]],Table_NFI[[#This Row],[Tarpaulin]])</f>
        <v>0</v>
      </c>
      <c r="AD131" s="294">
        <f>IF(NFI_Expiration=1,IF($A131&lt;VLOOKUP(M$5,NFI,5,0),1,0)*Table_NFI[[#This Row],[Blanket]],Table_NFI[[#This Row],[Blanket]])</f>
        <v>0</v>
      </c>
      <c r="AE131" s="294">
        <f>IF(NFI_Expiration=1,IF($A131&lt;VLOOKUP(N$5,NFI,5,0),1,0)*Table_NFI[[#This Row],[Kitchen Set]],Table_NFI[Kitchen Set])</f>
        <v>0</v>
      </c>
      <c r="AF131" s="294">
        <f>IF(NFI_Expiration=1,IF($A131&lt;VLOOKUP(O$5,NFI,5,0),1,0)*Table_NFI[[#This Row],[Clothes Kit]],Table_NFI[Clothes Kit])</f>
        <v>0</v>
      </c>
      <c r="AG131" s="294">
        <f>IF(NFI_Expiration=1,IF($A131&lt;VLOOKUP(P$5,NFI,5,0),1,0)*Table_NFI[[#This Row],[Plastic Bucket]],Table_NFI[Plastic Bucket])</f>
        <v>0</v>
      </c>
      <c r="AH131" s="294">
        <f>IF(NFI_Expiration=1,IF($A131&lt;VLOOKUP(Q$5,NFI,5,0),1,0)*Table_NFI[[#This Row],[Plastic Mat]],Table_NFI[Plastic Mat])*IF(Table_NFI[[#This Row],[Distribution Date]]&gt;"2014-04-01",1,2.5)</f>
        <v>0</v>
      </c>
      <c r="AI131" s="294">
        <f>IF(NFI_Expiration=1,IF($A131&lt;VLOOKUP(R$5,NFI,5,0),1,0)*Table_NFI[[#This Row],[Winter Clothes Adult]],Table_NFI[Winter Clothes Adult])</f>
        <v>0</v>
      </c>
      <c r="AJ131" s="294">
        <f>IF(NFI_Expiration=1,IF($A131&lt;VLOOKUP(S$5,NFI,5,0),1,0)*Table_NFI[[#This Row],[Winter Clothes Children]],Table_NFI[Winter Clothes Children])</f>
        <v>0</v>
      </c>
      <c r="AK131" s="294">
        <f>IF(NFI_Expiration=1,IF($A131&lt;VLOOKUP(T$5,NFI,5,0),1,0)*Table_NFI[[#This Row],[Winter Items Other]],Table_NFI[Winter Items Other])</f>
        <v>0</v>
      </c>
      <c r="AL131" s="294">
        <f>IF(NFI_Expiration=1,IF($A131&lt;VLOOKUP(M$5,NFI,5,0),1,0)*Table_NFI[[#This Row],[Winter Blanket]],Table_NFI[[#This Row],[Winter Blanket]])</f>
        <v>0</v>
      </c>
      <c r="AM131" s="294">
        <f>IF(Table_NFI[[#This Row],[Winter Clothes Adult]]+Table_NFI[[#This Row],[Winter Clothes Children]]+Table_NFI[[#This Row],[Winter Items Other]]+Table_NFI[[#This Row],[Winter Blanket]]&gt;0,1,0)</f>
        <v>0</v>
      </c>
      <c r="AN131" s="331">
        <f>IF(NFI_Expiration=1,IF($A131&lt;VLOOKUP(V$5,NFI,5,0),1,0)*Table_NFI[[#This Row],[Jerry Can]],Table_NFI[Jerry Can])</f>
        <v>0</v>
      </c>
      <c r="AO131" s="331">
        <f>IF(NFI_Expiration=1,IF($A131&lt;VLOOKUP(V$5,NFI,5,0),1,0)*Table_NFI[[#This Row],[Shelter Tool kit]],Table_NFI[Shelter Tool kit])</f>
        <v>0</v>
      </c>
      <c r="AP131" s="331">
        <f>IF(NFI_Expiration=1,IF($A131&lt;VLOOKUP(V$5,NFI,5,0),1,0)*Table_NFI[[#This Row],[Tent]],Table_NFI[Tent])</f>
        <v>0</v>
      </c>
      <c r="AQ131" s="467" t="str">
        <f>IFERROR(VLOOKUP(Table_NFI[[#This Row],[Camp Name]],CL,2,0),"")</f>
        <v>MMR001CMP117</v>
      </c>
      <c r="AR131" s="835">
        <f ca="1">IF(Table_NFI[[#This Row],[Pcode]]="","",IF(OFFSET(CampList[Opening Date],MATCH(Table_NFI[[#This Row],[Pcode]],CampList[CP_Pcode],0)-1,0,1,1)&gt;=NFI_Monitor_Date,1,0))</f>
        <v>0</v>
      </c>
      <c r="AS131" s="467" t="str">
        <f>IFERROR(VLOOKUP(Table_NFI[[#This Row],[Camp Name]],CL,3,0),"")</f>
        <v>Closed</v>
      </c>
      <c r="AT131" s="294" t="str">
        <f ca="1">IF(Table_NFI[[#This Row],[Pcode]]="","",OFFSET(CampList[Priority],MATCH(Table_NFI[[#This Row],[Pcode]],CampList[CP_Pcode],0)-1,0,1,1))</f>
        <v>P2</v>
      </c>
      <c r="AU131" s="293">
        <f>IFERROR(Table_NFI[[#This Row],[Kitchen Set]]/VLOOKUP(Table_NFI[[#This Row],[Camp Name]],CL,4,0),"")</f>
        <v>0</v>
      </c>
      <c r="AV131" s="461"/>
      <c r="AW131" s="468"/>
    </row>
    <row r="132" spans="1:49" s="464" customFormat="1" ht="14.45" customHeight="1" x14ac:dyDescent="0.2">
      <c r="A132" s="297">
        <f t="shared" si="1"/>
        <v>18.366666666666667</v>
      </c>
      <c r="B132" s="460">
        <v>42185</v>
      </c>
      <c r="C132" s="461" t="s">
        <v>905</v>
      </c>
      <c r="D132" s="461" t="s">
        <v>905</v>
      </c>
      <c r="E132" s="461" t="s">
        <v>380</v>
      </c>
      <c r="F132" s="461" t="s">
        <v>5</v>
      </c>
      <c r="G132" s="461" t="s">
        <v>366</v>
      </c>
      <c r="H132" s="291"/>
      <c r="I132" s="291"/>
      <c r="J132" s="291"/>
      <c r="K132" s="291"/>
      <c r="L132" s="292"/>
      <c r="M132" s="292"/>
      <c r="N132" s="292"/>
      <c r="O132" s="292"/>
      <c r="P132" s="294"/>
      <c r="Q132" s="294"/>
      <c r="R132" s="294"/>
      <c r="S132" s="294"/>
      <c r="T132" s="294"/>
      <c r="U132" s="294"/>
      <c r="V132" s="612">
        <v>5</v>
      </c>
      <c r="W132" s="294"/>
      <c r="X132" s="294"/>
      <c r="Y132" s="294">
        <f>IF(NFI_Expiration=1,IF($A132&lt;VLOOKUP(H$5,NFI,5,0),1,0)*Table_NFI[[#This Row],[Hygiene Kit]],Table_NFI[Hygiene Kit])</f>
        <v>0</v>
      </c>
      <c r="Z132" s="294">
        <f>IF(NFI_Expiration=1,IF($A132&lt;VLOOKUP(I$5,NFI,5,0),1,0)*Table_NFI[[#This Row],[NFI Core Kit]],Table_NFI[NFI Core Kit])</f>
        <v>0</v>
      </c>
      <c r="AA132" s="294">
        <f>IF(NFI_Expiration=1,IF($A132&lt;VLOOKUP(J$5,NFI,5,0),1,0)*Table_NFI[[#This Row],[Sanitary Kit]],Table_NFI[Sanitary Kit])</f>
        <v>0</v>
      </c>
      <c r="AB132" s="294">
        <f>IF(NFI_Expiration=1,IF($A132&lt;VLOOKUP(K$5,NFI,5,0),1,0)*Table_NFI[[#This Row],[Mosquito net]],Table_NFI[Mosquito net])</f>
        <v>0</v>
      </c>
      <c r="AC132" s="294">
        <f>IF(NFI_Expiration=1,IF($A132&lt;VLOOKUP(L$5,NFI,5,0),1,0)*Table_NFI[[#This Row],[Tarpaulin]],Table_NFI[[#This Row],[Tarpaulin]])</f>
        <v>0</v>
      </c>
      <c r="AD132" s="294">
        <f>IF(NFI_Expiration=1,IF($A132&lt;VLOOKUP(M$5,NFI,5,0),1,0)*Table_NFI[[#This Row],[Blanket]],Table_NFI[[#This Row],[Blanket]])</f>
        <v>0</v>
      </c>
      <c r="AE132" s="294">
        <f>IF(NFI_Expiration=1,IF($A132&lt;VLOOKUP(N$5,NFI,5,0),1,0)*Table_NFI[[#This Row],[Kitchen Set]],Table_NFI[Kitchen Set])</f>
        <v>0</v>
      </c>
      <c r="AF132" s="294">
        <f>IF(NFI_Expiration=1,IF($A132&lt;VLOOKUP(O$5,NFI,5,0),1,0)*Table_NFI[[#This Row],[Clothes Kit]],Table_NFI[Clothes Kit])</f>
        <v>0</v>
      </c>
      <c r="AG132" s="294">
        <f>IF(NFI_Expiration=1,IF($A132&lt;VLOOKUP(P$5,NFI,5,0),1,0)*Table_NFI[[#This Row],[Plastic Bucket]],Table_NFI[Plastic Bucket])</f>
        <v>0</v>
      </c>
      <c r="AH132" s="294">
        <f>IF(NFI_Expiration=1,IF($A132&lt;VLOOKUP(Q$5,NFI,5,0),1,0)*Table_NFI[[#This Row],[Plastic Mat]],Table_NFI[Plastic Mat])*IF(Table_NFI[[#This Row],[Distribution Date]]&gt;"2014-04-01",1,2.5)</f>
        <v>0</v>
      </c>
      <c r="AI132" s="294">
        <f>IF(NFI_Expiration=1,IF($A132&lt;VLOOKUP(R$5,NFI,5,0),1,0)*Table_NFI[[#This Row],[Winter Clothes Adult]],Table_NFI[Winter Clothes Adult])</f>
        <v>0</v>
      </c>
      <c r="AJ132" s="294">
        <f>IF(NFI_Expiration=1,IF($A132&lt;VLOOKUP(S$5,NFI,5,0),1,0)*Table_NFI[[#This Row],[Winter Clothes Children]],Table_NFI[Winter Clothes Children])</f>
        <v>0</v>
      </c>
      <c r="AK132" s="294">
        <f>IF(NFI_Expiration=1,IF($A132&lt;VLOOKUP(T$5,NFI,5,0),1,0)*Table_NFI[[#This Row],[Winter Items Other]],Table_NFI[Winter Items Other])</f>
        <v>0</v>
      </c>
      <c r="AL132" s="294">
        <f>IF(NFI_Expiration=1,IF($A132&lt;VLOOKUP(M$5,NFI,5,0),1,0)*Table_NFI[[#This Row],[Winter Blanket]],Table_NFI[[#This Row],[Winter Blanket]])</f>
        <v>0</v>
      </c>
      <c r="AM132" s="294">
        <f>IF(Table_NFI[[#This Row],[Winter Clothes Adult]]+Table_NFI[[#This Row],[Winter Clothes Children]]+Table_NFI[[#This Row],[Winter Items Other]]+Table_NFI[[#This Row],[Winter Blanket]]&gt;0,1,0)</f>
        <v>0</v>
      </c>
      <c r="AN132" s="331">
        <f>IF(NFI_Expiration=1,IF($A132&lt;VLOOKUP(V$5,NFI,5,0),1,0)*Table_NFI[[#This Row],[Jerry Can]],Table_NFI[Jerry Can])</f>
        <v>0</v>
      </c>
      <c r="AO132" s="331">
        <f>IF(NFI_Expiration=1,IF($A132&lt;VLOOKUP(V$5,NFI,5,0),1,0)*Table_NFI[[#This Row],[Shelter Tool kit]],Table_NFI[Shelter Tool kit])</f>
        <v>0</v>
      </c>
      <c r="AP132" s="331">
        <f>IF(NFI_Expiration=1,IF($A132&lt;VLOOKUP(V$5,NFI,5,0),1,0)*Table_NFI[[#This Row],[Tent]],Table_NFI[Tent])</f>
        <v>0</v>
      </c>
      <c r="AQ132" s="467" t="str">
        <f>IFERROR(VLOOKUP(Table_NFI[[#This Row],[Camp Name]],CL,2,0),"")</f>
        <v>MMR001CMP193</v>
      </c>
      <c r="AR132" s="835">
        <f ca="1">IF(Table_NFI[[#This Row],[Pcode]]="","",IF(OFFSET(CampList[Opening Date],MATCH(Table_NFI[[#This Row],[Pcode]],CampList[CP_Pcode],0)-1,0,1,1)&gt;=NFI_Monitor_Date,1,0))</f>
        <v>0</v>
      </c>
      <c r="AS132" s="467" t="str">
        <f>IFERROR(VLOOKUP(Table_NFI[[#This Row],[Camp Name]],CL,3,0),"")</f>
        <v>Open</v>
      </c>
      <c r="AT132" s="294" t="str">
        <f ca="1">IF(Table_NFI[[#This Row],[Pcode]]="","",OFFSET(CampList[Priority],MATCH(Table_NFI[[#This Row],[Pcode]],CampList[CP_Pcode],0)-1,0,1,1))</f>
        <v>P4</v>
      </c>
      <c r="AU132" s="293">
        <f>IFERROR(Table_NFI[[#This Row],[Kitchen Set]]/VLOOKUP(Table_NFI[[#This Row],[Camp Name]],CL,4,0),"")</f>
        <v>0</v>
      </c>
      <c r="AV132" s="461"/>
      <c r="AW132" s="463"/>
    </row>
    <row r="133" spans="1:49" s="98" customFormat="1" ht="14.45" customHeight="1" x14ac:dyDescent="0.2">
      <c r="A133" s="297">
        <f t="shared" si="1"/>
        <v>18.399999999999999</v>
      </c>
      <c r="B133" s="460">
        <v>42184</v>
      </c>
      <c r="C133" s="461" t="s">
        <v>905</v>
      </c>
      <c r="D133" s="461" t="s">
        <v>460</v>
      </c>
      <c r="E133" s="461" t="s">
        <v>380</v>
      </c>
      <c r="F133" s="461" t="s">
        <v>185</v>
      </c>
      <c r="G133" s="290" t="s">
        <v>196</v>
      </c>
      <c r="H133" s="291"/>
      <c r="I133" s="291"/>
      <c r="J133" s="575">
        <v>2350</v>
      </c>
      <c r="K133" s="291"/>
      <c r="L133" s="292"/>
      <c r="M133" s="292"/>
      <c r="N133" s="292"/>
      <c r="O133" s="292"/>
      <c r="P133" s="294"/>
      <c r="Q133" s="294"/>
      <c r="R133" s="294"/>
      <c r="S133" s="294"/>
      <c r="T133" s="294"/>
      <c r="U133" s="294"/>
      <c r="V133" s="431"/>
      <c r="W133" s="294"/>
      <c r="X133" s="294"/>
      <c r="Y133" s="294">
        <f>IF(NFI_Expiration=1,IF($A133&lt;VLOOKUP(H$5,NFI,5,0),1,0)*Table_NFI[[#This Row],[Hygiene Kit]],Table_NFI[Hygiene Kit])</f>
        <v>0</v>
      </c>
      <c r="Z133" s="294">
        <f>IF(NFI_Expiration=1,IF($A133&lt;VLOOKUP(I$5,NFI,5,0),1,0)*Table_NFI[[#This Row],[NFI Core Kit]],Table_NFI[NFI Core Kit])</f>
        <v>0</v>
      </c>
      <c r="AA133" s="294">
        <f>IF(NFI_Expiration=1,IF($A133&lt;VLOOKUP(J$5,NFI,5,0),1,0)*Table_NFI[[#This Row],[Sanitary Kit]],Table_NFI[Sanitary Kit])</f>
        <v>0</v>
      </c>
      <c r="AB133" s="294">
        <f>IF(NFI_Expiration=1,IF($A133&lt;VLOOKUP(K$5,NFI,5,0),1,0)*Table_NFI[[#This Row],[Mosquito net]],Table_NFI[Mosquito net])</f>
        <v>0</v>
      </c>
      <c r="AC133" s="294">
        <f>IF(NFI_Expiration=1,IF($A133&lt;VLOOKUP(L$5,NFI,5,0),1,0)*Table_NFI[[#This Row],[Tarpaulin]],Table_NFI[[#This Row],[Tarpaulin]])</f>
        <v>0</v>
      </c>
      <c r="AD133" s="294">
        <f>IF(NFI_Expiration=1,IF($A133&lt;VLOOKUP(M$5,NFI,5,0),1,0)*Table_NFI[[#This Row],[Blanket]],Table_NFI[[#This Row],[Blanket]])</f>
        <v>0</v>
      </c>
      <c r="AE133" s="294">
        <f>IF(NFI_Expiration=1,IF($A133&lt;VLOOKUP(N$5,NFI,5,0),1,0)*Table_NFI[[#This Row],[Kitchen Set]],Table_NFI[Kitchen Set])</f>
        <v>0</v>
      </c>
      <c r="AF133" s="294">
        <f>IF(NFI_Expiration=1,IF($A133&lt;VLOOKUP(O$5,NFI,5,0),1,0)*Table_NFI[[#This Row],[Clothes Kit]],Table_NFI[Clothes Kit])</f>
        <v>0</v>
      </c>
      <c r="AG133" s="294">
        <f>IF(NFI_Expiration=1,IF($A133&lt;VLOOKUP(P$5,NFI,5,0),1,0)*Table_NFI[[#This Row],[Plastic Bucket]],Table_NFI[Plastic Bucket])</f>
        <v>0</v>
      </c>
      <c r="AH133" s="294">
        <f>IF(NFI_Expiration=1,IF($A133&lt;VLOOKUP(Q$5,NFI,5,0),1,0)*Table_NFI[[#This Row],[Plastic Mat]],Table_NFI[Plastic Mat])*IF(Table_NFI[[#This Row],[Distribution Date]]&gt;"2014-04-01",1,2.5)</f>
        <v>0</v>
      </c>
      <c r="AI133" s="294">
        <f>IF(NFI_Expiration=1,IF($A133&lt;VLOOKUP(R$5,NFI,5,0),1,0)*Table_NFI[[#This Row],[Winter Clothes Adult]],Table_NFI[Winter Clothes Adult])</f>
        <v>0</v>
      </c>
      <c r="AJ133" s="294">
        <f>IF(NFI_Expiration=1,IF($A133&lt;VLOOKUP(S$5,NFI,5,0),1,0)*Table_NFI[[#This Row],[Winter Clothes Children]],Table_NFI[Winter Clothes Children])</f>
        <v>0</v>
      </c>
      <c r="AK133" s="294">
        <f>IF(NFI_Expiration=1,IF($A133&lt;VLOOKUP(T$5,NFI,5,0),1,0)*Table_NFI[[#This Row],[Winter Items Other]],Table_NFI[Winter Items Other])</f>
        <v>0</v>
      </c>
      <c r="AL133" s="294">
        <f>IF(NFI_Expiration=1,IF($A133&lt;VLOOKUP(M$5,NFI,5,0),1,0)*Table_NFI[[#This Row],[Winter Blanket]],Table_NFI[[#This Row],[Winter Blanket]])</f>
        <v>0</v>
      </c>
      <c r="AM133" s="294">
        <f>IF(Table_NFI[[#This Row],[Winter Clothes Adult]]+Table_NFI[[#This Row],[Winter Clothes Children]]+Table_NFI[[#This Row],[Winter Items Other]]+Table_NFI[[#This Row],[Winter Blanket]]&gt;0,1,0)</f>
        <v>0</v>
      </c>
      <c r="AN133" s="331">
        <f>IF(NFI_Expiration=1,IF($A133&lt;VLOOKUP(V$5,NFI,5,0),1,0)*Table_NFI[[#This Row],[Jerry Can]],Table_NFI[Jerry Can])</f>
        <v>0</v>
      </c>
      <c r="AO133" s="331">
        <f>IF(NFI_Expiration=1,IF($A133&lt;VLOOKUP(V$5,NFI,5,0),1,0)*Table_NFI[[#This Row],[Shelter Tool kit]],Table_NFI[Shelter Tool kit])</f>
        <v>0</v>
      </c>
      <c r="AP133" s="331">
        <f>IF(NFI_Expiration=1,IF($A133&lt;VLOOKUP(V$5,NFI,5,0),1,0)*Table_NFI[[#This Row],[Tent]],Table_NFI[Tent])</f>
        <v>0</v>
      </c>
      <c r="AQ133" s="467" t="str">
        <f>IFERROR(VLOOKUP(Table_NFI[[#This Row],[Camp Name]],CL,2,0),"")</f>
        <v>MMR001CMP121</v>
      </c>
      <c r="AR133" s="835">
        <f ca="1">IF(Table_NFI[[#This Row],[Pcode]]="","",IF(OFFSET(CampList[Opening Date],MATCH(Table_NFI[[#This Row],[Pcode]],CampList[CP_Pcode],0)-1,0,1,1)&gt;=NFI_Monitor_Date,1,0))</f>
        <v>0</v>
      </c>
      <c r="AS133" s="467" t="str">
        <f>IFERROR(VLOOKUP(Table_NFI[[#This Row],[Camp Name]],CL,3,0),"")</f>
        <v>Open</v>
      </c>
      <c r="AT133" s="294" t="str">
        <f ca="1">IF(Table_NFI[[#This Row],[Pcode]]="","",OFFSET(CampList[Priority],MATCH(Table_NFI[[#This Row],[Pcode]],CampList[CP_Pcode],0)-1,0,1,1))</f>
        <v>P2</v>
      </c>
      <c r="AU133" s="293">
        <f>IFERROR(Table_NFI[[#This Row],[Kitchen Set]]/VLOOKUP(Table_NFI[[#This Row],[Camp Name]],CL,4,0),"")</f>
        <v>0</v>
      </c>
      <c r="AV133" s="461"/>
      <c r="AW133" s="463"/>
    </row>
    <row r="134" spans="1:49" s="464" customFormat="1" ht="14.45" customHeight="1" x14ac:dyDescent="0.2">
      <c r="A134" s="297">
        <f t="shared" ref="A134:A197" si="2">IF(ISBLANK(B134),"",(Report_Date-B134)/30)</f>
        <v>19.233333333333334</v>
      </c>
      <c r="B134" s="460">
        <v>42159</v>
      </c>
      <c r="C134" s="461" t="s">
        <v>905</v>
      </c>
      <c r="D134" s="462" t="s">
        <v>905</v>
      </c>
      <c r="E134" s="461" t="s">
        <v>380</v>
      </c>
      <c r="F134" s="290" t="s">
        <v>185</v>
      </c>
      <c r="G134" s="290" t="s">
        <v>186</v>
      </c>
      <c r="H134" s="291"/>
      <c r="I134" s="291"/>
      <c r="J134" s="575">
        <v>54</v>
      </c>
      <c r="K134" s="291"/>
      <c r="L134" s="292"/>
      <c r="M134" s="292"/>
      <c r="N134" s="292"/>
      <c r="O134" s="292"/>
      <c r="P134" s="294"/>
      <c r="Q134" s="294"/>
      <c r="R134" s="294"/>
      <c r="S134" s="294"/>
      <c r="T134" s="294"/>
      <c r="U134" s="294"/>
      <c r="V134" s="431"/>
      <c r="W134" s="294"/>
      <c r="X134" s="294"/>
      <c r="Y134" s="294">
        <f>IF(NFI_Expiration=1,IF($A134&lt;VLOOKUP(H$5,NFI,5,0),1,0)*Table_NFI[[#This Row],[Hygiene Kit]],Table_NFI[Hygiene Kit])</f>
        <v>0</v>
      </c>
      <c r="Z134" s="294">
        <f>IF(NFI_Expiration=1,IF($A134&lt;VLOOKUP(I$5,NFI,5,0),1,0)*Table_NFI[[#This Row],[NFI Core Kit]],Table_NFI[NFI Core Kit])</f>
        <v>0</v>
      </c>
      <c r="AA134" s="294">
        <f>IF(NFI_Expiration=1,IF($A134&lt;VLOOKUP(J$5,NFI,5,0),1,0)*Table_NFI[[#This Row],[Sanitary Kit]],Table_NFI[Sanitary Kit])</f>
        <v>0</v>
      </c>
      <c r="AB134" s="294">
        <f>IF(NFI_Expiration=1,IF($A134&lt;VLOOKUP(K$5,NFI,5,0),1,0)*Table_NFI[[#This Row],[Mosquito net]],Table_NFI[Mosquito net])</f>
        <v>0</v>
      </c>
      <c r="AC134" s="294">
        <f>IF(NFI_Expiration=1,IF($A134&lt;VLOOKUP(L$5,NFI,5,0),1,0)*Table_NFI[[#This Row],[Tarpaulin]],Table_NFI[[#This Row],[Tarpaulin]])</f>
        <v>0</v>
      </c>
      <c r="AD134" s="294">
        <f>IF(NFI_Expiration=1,IF($A134&lt;VLOOKUP(M$5,NFI,5,0),1,0)*Table_NFI[[#This Row],[Blanket]],Table_NFI[[#This Row],[Blanket]])</f>
        <v>0</v>
      </c>
      <c r="AE134" s="294">
        <f>IF(NFI_Expiration=1,IF($A134&lt;VLOOKUP(N$5,NFI,5,0),1,0)*Table_NFI[[#This Row],[Kitchen Set]],Table_NFI[Kitchen Set])</f>
        <v>0</v>
      </c>
      <c r="AF134" s="294">
        <f>IF(NFI_Expiration=1,IF($A134&lt;VLOOKUP(O$5,NFI,5,0),1,0)*Table_NFI[[#This Row],[Clothes Kit]],Table_NFI[Clothes Kit])</f>
        <v>0</v>
      </c>
      <c r="AG134" s="294">
        <f>IF(NFI_Expiration=1,IF($A134&lt;VLOOKUP(P$5,NFI,5,0),1,0)*Table_NFI[[#This Row],[Plastic Bucket]],Table_NFI[Plastic Bucket])</f>
        <v>0</v>
      </c>
      <c r="AH134" s="294">
        <f>IF(NFI_Expiration=1,IF($A134&lt;VLOOKUP(Q$5,NFI,5,0),1,0)*Table_NFI[[#This Row],[Plastic Mat]],Table_NFI[Plastic Mat])*IF(Table_NFI[[#This Row],[Distribution Date]]&gt;"2014-04-01",1,2.5)</f>
        <v>0</v>
      </c>
      <c r="AI134" s="294">
        <f>IF(NFI_Expiration=1,IF($A134&lt;VLOOKUP(R$5,NFI,5,0),1,0)*Table_NFI[[#This Row],[Winter Clothes Adult]],Table_NFI[Winter Clothes Adult])</f>
        <v>0</v>
      </c>
      <c r="AJ134" s="294">
        <f>IF(NFI_Expiration=1,IF($A134&lt;VLOOKUP(S$5,NFI,5,0),1,0)*Table_NFI[[#This Row],[Winter Clothes Children]],Table_NFI[Winter Clothes Children])</f>
        <v>0</v>
      </c>
      <c r="AK134" s="294">
        <f>IF(NFI_Expiration=1,IF($A134&lt;VLOOKUP(T$5,NFI,5,0),1,0)*Table_NFI[[#This Row],[Winter Items Other]],Table_NFI[Winter Items Other])</f>
        <v>0</v>
      </c>
      <c r="AL134" s="294">
        <f>IF(NFI_Expiration=1,IF($A134&lt;VLOOKUP(M$5,NFI,5,0),1,0)*Table_NFI[[#This Row],[Winter Blanket]],Table_NFI[[#This Row],[Winter Blanket]])</f>
        <v>0</v>
      </c>
      <c r="AM134" s="294">
        <f>IF(Table_NFI[[#This Row],[Winter Clothes Adult]]+Table_NFI[[#This Row],[Winter Clothes Children]]+Table_NFI[[#This Row],[Winter Items Other]]+Table_NFI[[#This Row],[Winter Blanket]]&gt;0,1,0)</f>
        <v>0</v>
      </c>
      <c r="AN134" s="331">
        <f>IF(NFI_Expiration=1,IF($A134&lt;VLOOKUP(V$5,NFI,5,0),1,0)*Table_NFI[[#This Row],[Jerry Can]],Table_NFI[Jerry Can])</f>
        <v>0</v>
      </c>
      <c r="AO134" s="331">
        <f>IF(NFI_Expiration=1,IF($A134&lt;VLOOKUP(V$5,NFI,5,0),1,0)*Table_NFI[[#This Row],[Shelter Tool kit]],Table_NFI[Shelter Tool kit])</f>
        <v>0</v>
      </c>
      <c r="AP134" s="331">
        <f>IF(NFI_Expiration=1,IF($A134&lt;VLOOKUP(V$5,NFI,5,0),1,0)*Table_NFI[[#This Row],[Tent]],Table_NFI[Tent])</f>
        <v>0</v>
      </c>
      <c r="AQ134" s="467" t="str">
        <f>IFERROR(VLOOKUP(Table_NFI[[#This Row],[Camp Name]],CL,2,0),"")</f>
        <v>MMR001CMP071</v>
      </c>
      <c r="AR134" s="835">
        <f ca="1">IF(Table_NFI[[#This Row],[Pcode]]="","",IF(OFFSET(CampList[Opening Date],MATCH(Table_NFI[[#This Row],[Pcode]],CampList[CP_Pcode],0)-1,0,1,1)&gt;=NFI_Monitor_Date,1,0))</f>
        <v>0</v>
      </c>
      <c r="AS134" s="467" t="str">
        <f>IFERROR(VLOOKUP(Table_NFI[[#This Row],[Camp Name]],CL,3,0),"")</f>
        <v>Open</v>
      </c>
      <c r="AT134" s="294" t="str">
        <f ca="1">IF(Table_NFI[[#This Row],[Pcode]]="","",OFFSET(CampList[Priority],MATCH(Table_NFI[[#This Row],[Pcode]],CampList[CP_Pcode],0)-1,0,1,1))</f>
        <v>P3</v>
      </c>
      <c r="AU134" s="293">
        <f>IFERROR(Table_NFI[[#This Row],[Kitchen Set]]/VLOOKUP(Table_NFI[[#This Row],[Camp Name]],CL,4,0),"")</f>
        <v>0</v>
      </c>
      <c r="AV134" s="461"/>
      <c r="AW134" s="463"/>
    </row>
    <row r="135" spans="1:49" s="464" customFormat="1" ht="14.45" customHeight="1" x14ac:dyDescent="0.25">
      <c r="A135" s="297">
        <f t="shared" si="2"/>
        <v>19.233333333333334</v>
      </c>
      <c r="B135" s="460">
        <v>42159</v>
      </c>
      <c r="C135" s="461" t="s">
        <v>452</v>
      </c>
      <c r="D135" s="461" t="s">
        <v>460</v>
      </c>
      <c r="E135" s="461" t="s">
        <v>380</v>
      </c>
      <c r="F135" s="461" t="s">
        <v>185</v>
      </c>
      <c r="G135" s="461" t="s">
        <v>190</v>
      </c>
      <c r="H135" s="291"/>
      <c r="I135" s="294"/>
      <c r="J135" s="294"/>
      <c r="K135" s="294"/>
      <c r="L135" s="292">
        <v>88</v>
      </c>
      <c r="M135" s="292">
        <v>27</v>
      </c>
      <c r="N135" s="292">
        <v>9</v>
      </c>
      <c r="O135" s="292"/>
      <c r="P135" s="294">
        <v>9</v>
      </c>
      <c r="Q135" s="294">
        <v>48</v>
      </c>
      <c r="R135" s="294"/>
      <c r="S135" s="294"/>
      <c r="T135" s="294"/>
      <c r="U135" s="294"/>
      <c r="V135" s="431">
        <v>9</v>
      </c>
      <c r="W135" s="294"/>
      <c r="X135" s="294"/>
      <c r="Y135" s="294">
        <f>IF(NFI_Expiration=1,IF($A135&lt;VLOOKUP(H$5,NFI,5,0),1,0)*Table_NFI[[#This Row],[Hygiene Kit]],Table_NFI[Hygiene Kit])</f>
        <v>0</v>
      </c>
      <c r="Z135" s="294">
        <f>IF(NFI_Expiration=1,IF($A135&lt;VLOOKUP(I$5,NFI,5,0),1,0)*Table_NFI[[#This Row],[NFI Core Kit]],Table_NFI[NFI Core Kit])</f>
        <v>0</v>
      </c>
      <c r="AA135" s="294">
        <f>IF(NFI_Expiration=1,IF($A135&lt;VLOOKUP(J$5,NFI,5,0),1,0)*Table_NFI[[#This Row],[Sanitary Kit]],Table_NFI[Sanitary Kit])</f>
        <v>0</v>
      </c>
      <c r="AB135" s="294">
        <f>IF(NFI_Expiration=1,IF($A135&lt;VLOOKUP(K$5,NFI,5,0),1,0)*Table_NFI[[#This Row],[Mosquito net]],Table_NFI[Mosquito net])</f>
        <v>0</v>
      </c>
      <c r="AC135" s="294">
        <f>IF(NFI_Expiration=1,IF($A135&lt;VLOOKUP(L$5,NFI,5,0),1,0)*Table_NFI[[#This Row],[Tarpaulin]],Table_NFI[[#This Row],[Tarpaulin]])</f>
        <v>0</v>
      </c>
      <c r="AD135" s="294">
        <f>IF(NFI_Expiration=1,IF($A135&lt;VLOOKUP(M$5,NFI,5,0),1,0)*Table_NFI[[#This Row],[Blanket]],Table_NFI[[#This Row],[Blanket]])</f>
        <v>0</v>
      </c>
      <c r="AE135" s="294">
        <f>IF(NFI_Expiration=1,IF($A135&lt;VLOOKUP(N$5,NFI,5,0),1,0)*Table_NFI[[#This Row],[Kitchen Set]],Table_NFI[Kitchen Set])</f>
        <v>0</v>
      </c>
      <c r="AF135" s="294">
        <f>IF(NFI_Expiration=1,IF($A135&lt;VLOOKUP(O$5,NFI,5,0),1,0)*Table_NFI[[#This Row],[Clothes Kit]],Table_NFI[Clothes Kit])</f>
        <v>0</v>
      </c>
      <c r="AG135" s="294">
        <f>IF(NFI_Expiration=1,IF($A135&lt;VLOOKUP(P$5,NFI,5,0),1,0)*Table_NFI[[#This Row],[Plastic Bucket]],Table_NFI[Plastic Bucket])</f>
        <v>0</v>
      </c>
      <c r="AH135" s="294">
        <f>IF(NFI_Expiration=1,IF($A135&lt;VLOOKUP(Q$5,NFI,5,0),1,0)*Table_NFI[[#This Row],[Plastic Mat]],Table_NFI[Plastic Mat])*IF(Table_NFI[[#This Row],[Distribution Date]]&gt;"2014-04-01",1,2.5)</f>
        <v>0</v>
      </c>
      <c r="AI135" s="294">
        <f>IF(NFI_Expiration=1,IF($A135&lt;VLOOKUP(R$5,NFI,5,0),1,0)*Table_NFI[[#This Row],[Winter Clothes Adult]],Table_NFI[Winter Clothes Adult])</f>
        <v>0</v>
      </c>
      <c r="AJ135" s="294">
        <f>IF(NFI_Expiration=1,IF($A135&lt;VLOOKUP(S$5,NFI,5,0),1,0)*Table_NFI[[#This Row],[Winter Clothes Children]],Table_NFI[Winter Clothes Children])</f>
        <v>0</v>
      </c>
      <c r="AK135" s="294">
        <f>IF(NFI_Expiration=1,IF($A135&lt;VLOOKUP(T$5,NFI,5,0),1,0)*Table_NFI[[#This Row],[Winter Items Other]],Table_NFI[Winter Items Other])</f>
        <v>0</v>
      </c>
      <c r="AL135" s="294">
        <f>IF(NFI_Expiration=1,IF($A135&lt;VLOOKUP(M$5,NFI,5,0),1,0)*Table_NFI[[#This Row],[Winter Blanket]],Table_NFI[[#This Row],[Winter Blanket]])</f>
        <v>0</v>
      </c>
      <c r="AM135" s="294">
        <f>IF(Table_NFI[[#This Row],[Winter Clothes Adult]]+Table_NFI[[#This Row],[Winter Clothes Children]]+Table_NFI[[#This Row],[Winter Items Other]]+Table_NFI[[#This Row],[Winter Blanket]]&gt;0,1,0)</f>
        <v>0</v>
      </c>
      <c r="AN135" s="331">
        <f>IF(NFI_Expiration=1,IF($A135&lt;VLOOKUP(V$5,NFI,5,0),1,0)*Table_NFI[[#This Row],[Jerry Can]],Table_NFI[Jerry Can])</f>
        <v>0</v>
      </c>
      <c r="AO135" s="331">
        <f>IF(NFI_Expiration=1,IF($A135&lt;VLOOKUP(V$5,NFI,5,0),1,0)*Table_NFI[[#This Row],[Shelter Tool kit]],Table_NFI[Shelter Tool kit])</f>
        <v>0</v>
      </c>
      <c r="AP135" s="331">
        <f>IF(NFI_Expiration=1,IF($A135&lt;VLOOKUP(V$5,NFI,5,0),1,0)*Table_NFI[[#This Row],[Tent]],Table_NFI[Tent])</f>
        <v>0</v>
      </c>
      <c r="AQ135" s="467" t="str">
        <f>IFERROR(VLOOKUP(Table_NFI[[#This Row],[Camp Name]],CL,2,0),"")</f>
        <v>MMR001CMP070</v>
      </c>
      <c r="AR135" s="835">
        <f ca="1">IF(Table_NFI[[#This Row],[Pcode]]="","",IF(OFFSET(CampList[Opening Date],MATCH(Table_NFI[[#This Row],[Pcode]],CampList[CP_Pcode],0)-1,0,1,1)&gt;=NFI_Monitor_Date,1,0))</f>
        <v>0</v>
      </c>
      <c r="AS135" s="467" t="str">
        <f>IFERROR(VLOOKUP(Table_NFI[[#This Row],[Camp Name]],CL,3,0),"")</f>
        <v>Open</v>
      </c>
      <c r="AT135" s="294" t="str">
        <f ca="1">IF(Table_NFI[[#This Row],[Pcode]]="","",OFFSET(CampList[Priority],MATCH(Table_NFI[[#This Row],[Pcode]],CampList[CP_Pcode],0)-1,0,1,1))</f>
        <v>P3</v>
      </c>
      <c r="AU135" s="293">
        <f>IFERROR(Table_NFI[[#This Row],[Kitchen Set]]/VLOOKUP(Table_NFI[[#This Row],[Camp Name]],CL,4,0),"")</f>
        <v>2.1951219512195122E-4</v>
      </c>
      <c r="AV135" s="461" t="s">
        <v>1092</v>
      </c>
      <c r="AW135" s="483"/>
    </row>
    <row r="136" spans="1:49" s="464" customFormat="1" ht="14.45" customHeight="1" x14ac:dyDescent="0.25">
      <c r="A136" s="297">
        <f t="shared" si="2"/>
        <v>19.233333333333334</v>
      </c>
      <c r="B136" s="460">
        <v>42159</v>
      </c>
      <c r="C136" s="461" t="s">
        <v>452</v>
      </c>
      <c r="D136" s="461" t="s">
        <v>460</v>
      </c>
      <c r="E136" s="461" t="s">
        <v>380</v>
      </c>
      <c r="F136" s="461" t="s">
        <v>185</v>
      </c>
      <c r="G136" s="290" t="s">
        <v>209</v>
      </c>
      <c r="H136" s="291"/>
      <c r="I136" s="291"/>
      <c r="J136" s="291"/>
      <c r="K136" s="294"/>
      <c r="L136" s="292">
        <v>80</v>
      </c>
      <c r="M136" s="292"/>
      <c r="N136" s="292"/>
      <c r="O136" s="292"/>
      <c r="P136" s="294"/>
      <c r="Q136" s="294"/>
      <c r="R136" s="294"/>
      <c r="S136" s="294"/>
      <c r="T136" s="294"/>
      <c r="U136" s="294"/>
      <c r="V136" s="431"/>
      <c r="W136" s="294"/>
      <c r="X136" s="294"/>
      <c r="Y136" s="294">
        <f>IF(NFI_Expiration=1,IF($A136&lt;VLOOKUP(H$5,NFI,5,0),1,0)*Table_NFI[[#This Row],[Hygiene Kit]],Table_NFI[Hygiene Kit])</f>
        <v>0</v>
      </c>
      <c r="Z136" s="294">
        <f>IF(NFI_Expiration=1,IF($A136&lt;VLOOKUP(I$5,NFI,5,0),1,0)*Table_NFI[[#This Row],[NFI Core Kit]],Table_NFI[NFI Core Kit])</f>
        <v>0</v>
      </c>
      <c r="AA136" s="294">
        <f>IF(NFI_Expiration=1,IF($A136&lt;VLOOKUP(J$5,NFI,5,0),1,0)*Table_NFI[[#This Row],[Sanitary Kit]],Table_NFI[Sanitary Kit])</f>
        <v>0</v>
      </c>
      <c r="AB136" s="294">
        <f>IF(NFI_Expiration=1,IF($A136&lt;VLOOKUP(K$5,NFI,5,0),1,0)*Table_NFI[[#This Row],[Mosquito net]],Table_NFI[Mosquito net])</f>
        <v>0</v>
      </c>
      <c r="AC136" s="294">
        <f>IF(NFI_Expiration=1,IF($A136&lt;VLOOKUP(L$5,NFI,5,0),1,0)*Table_NFI[[#This Row],[Tarpaulin]],Table_NFI[[#This Row],[Tarpaulin]])</f>
        <v>0</v>
      </c>
      <c r="AD136" s="294">
        <f>IF(NFI_Expiration=1,IF($A136&lt;VLOOKUP(M$5,NFI,5,0),1,0)*Table_NFI[[#This Row],[Blanket]],Table_NFI[[#This Row],[Blanket]])</f>
        <v>0</v>
      </c>
      <c r="AE136" s="294">
        <f>IF(NFI_Expiration=1,IF($A136&lt;VLOOKUP(N$5,NFI,5,0),1,0)*Table_NFI[[#This Row],[Kitchen Set]],Table_NFI[Kitchen Set])</f>
        <v>0</v>
      </c>
      <c r="AF136" s="294">
        <f>IF(NFI_Expiration=1,IF($A136&lt;VLOOKUP(O$5,NFI,5,0),1,0)*Table_NFI[[#This Row],[Clothes Kit]],Table_NFI[Clothes Kit])</f>
        <v>0</v>
      </c>
      <c r="AG136" s="294">
        <f>IF(NFI_Expiration=1,IF($A136&lt;VLOOKUP(P$5,NFI,5,0),1,0)*Table_NFI[[#This Row],[Plastic Bucket]],Table_NFI[Plastic Bucket])</f>
        <v>0</v>
      </c>
      <c r="AH136" s="294">
        <f>IF(NFI_Expiration=1,IF($A136&lt;VLOOKUP(Q$5,NFI,5,0),1,0)*Table_NFI[[#This Row],[Plastic Mat]],Table_NFI[Plastic Mat])*IF(Table_NFI[[#This Row],[Distribution Date]]&gt;"2014-04-01",1,2.5)</f>
        <v>0</v>
      </c>
      <c r="AI136" s="294">
        <f>IF(NFI_Expiration=1,IF($A136&lt;VLOOKUP(R$5,NFI,5,0),1,0)*Table_NFI[[#This Row],[Winter Clothes Adult]],Table_NFI[Winter Clothes Adult])</f>
        <v>0</v>
      </c>
      <c r="AJ136" s="294">
        <f>IF(NFI_Expiration=1,IF($A136&lt;VLOOKUP(S$5,NFI,5,0),1,0)*Table_NFI[[#This Row],[Winter Clothes Children]],Table_NFI[Winter Clothes Children])</f>
        <v>0</v>
      </c>
      <c r="AK136" s="294">
        <f>IF(NFI_Expiration=1,IF($A136&lt;VLOOKUP(T$5,NFI,5,0),1,0)*Table_NFI[[#This Row],[Winter Items Other]],Table_NFI[Winter Items Other])</f>
        <v>0</v>
      </c>
      <c r="AL136" s="294">
        <f>IF(NFI_Expiration=1,IF($A136&lt;VLOOKUP(M$5,NFI,5,0),1,0)*Table_NFI[[#This Row],[Winter Blanket]],Table_NFI[[#This Row],[Winter Blanket]])</f>
        <v>0</v>
      </c>
      <c r="AM136" s="294">
        <f>IF(Table_NFI[[#This Row],[Winter Clothes Adult]]+Table_NFI[[#This Row],[Winter Clothes Children]]+Table_NFI[[#This Row],[Winter Items Other]]+Table_NFI[[#This Row],[Winter Blanket]]&gt;0,1,0)</f>
        <v>0</v>
      </c>
      <c r="AN136" s="331">
        <f>IF(NFI_Expiration=1,IF($A136&lt;VLOOKUP(V$5,NFI,5,0),1,0)*Table_NFI[[#This Row],[Jerry Can]],Table_NFI[Jerry Can])</f>
        <v>0</v>
      </c>
      <c r="AO136" s="331">
        <f>IF(NFI_Expiration=1,IF($A136&lt;VLOOKUP(V$5,NFI,5,0),1,0)*Table_NFI[[#This Row],[Shelter Tool kit]],Table_NFI[Shelter Tool kit])</f>
        <v>0</v>
      </c>
      <c r="AP136" s="331">
        <f>IF(NFI_Expiration=1,IF($A136&lt;VLOOKUP(V$5,NFI,5,0),1,0)*Table_NFI[[#This Row],[Tent]],Table_NFI[Tent])</f>
        <v>0</v>
      </c>
      <c r="AQ136" s="467" t="str">
        <f>IFERROR(VLOOKUP(Table_NFI[[#This Row],[Camp Name]],CL,2,0),"")</f>
        <v>MMR001CMP056</v>
      </c>
      <c r="AR136" s="835">
        <f ca="1">IF(Table_NFI[[#This Row],[Pcode]]="","",IF(OFFSET(CampList[Opening Date],MATCH(Table_NFI[[#This Row],[Pcode]],CampList[CP_Pcode],0)-1,0,1,1)&gt;=NFI_Monitor_Date,1,0))</f>
        <v>0</v>
      </c>
      <c r="AS136" s="467" t="str">
        <f>IFERROR(VLOOKUP(Table_NFI[[#This Row],[Camp Name]],CL,3,0),"")</f>
        <v>Open</v>
      </c>
      <c r="AT136" s="294" t="str">
        <f ca="1">IF(Table_NFI[[#This Row],[Pcode]]="","",OFFSET(CampList[Priority],MATCH(Table_NFI[[#This Row],[Pcode]],CampList[CP_Pcode],0)-1,0,1,1))</f>
        <v>P4</v>
      </c>
      <c r="AU136" s="293">
        <f>IFERROR(Table_NFI[[#This Row],[Kitchen Set]]/VLOOKUP(Table_NFI[[#This Row],[Camp Name]],CL,4,0),"")</f>
        <v>0</v>
      </c>
      <c r="AV136" s="461" t="s">
        <v>1092</v>
      </c>
      <c r="AW136" s="463"/>
    </row>
    <row r="137" spans="1:49" s="464" customFormat="1" ht="14.45" customHeight="1" x14ac:dyDescent="0.2">
      <c r="A137" s="297">
        <f t="shared" si="2"/>
        <v>19.233333333333334</v>
      </c>
      <c r="B137" s="460">
        <v>42159</v>
      </c>
      <c r="C137" s="461" t="s">
        <v>905</v>
      </c>
      <c r="D137" s="461" t="s">
        <v>905</v>
      </c>
      <c r="E137" s="461" t="s">
        <v>380</v>
      </c>
      <c r="F137" s="290" t="s">
        <v>185</v>
      </c>
      <c r="G137" s="290" t="s">
        <v>229</v>
      </c>
      <c r="H137" s="291"/>
      <c r="I137" s="291"/>
      <c r="J137" s="575">
        <v>87</v>
      </c>
      <c r="K137" s="291"/>
      <c r="L137" s="292"/>
      <c r="M137" s="292"/>
      <c r="N137" s="292"/>
      <c r="O137" s="292"/>
      <c r="P137" s="294"/>
      <c r="Q137" s="294"/>
      <c r="R137" s="294"/>
      <c r="S137" s="294"/>
      <c r="T137" s="294"/>
      <c r="U137" s="294"/>
      <c r="V137" s="431"/>
      <c r="W137" s="294"/>
      <c r="X137" s="294"/>
      <c r="Y137" s="294">
        <f>IF(NFI_Expiration=1,IF($A137&lt;VLOOKUP(H$5,NFI,5,0),1,0)*Table_NFI[[#This Row],[Hygiene Kit]],Table_NFI[Hygiene Kit])</f>
        <v>0</v>
      </c>
      <c r="Z137" s="294">
        <f>IF(NFI_Expiration=1,IF($A137&lt;VLOOKUP(I$5,NFI,5,0),1,0)*Table_NFI[[#This Row],[NFI Core Kit]],Table_NFI[NFI Core Kit])</f>
        <v>0</v>
      </c>
      <c r="AA137" s="294">
        <f>IF(NFI_Expiration=1,IF($A137&lt;VLOOKUP(J$5,NFI,5,0),1,0)*Table_NFI[[#This Row],[Sanitary Kit]],Table_NFI[Sanitary Kit])</f>
        <v>0</v>
      </c>
      <c r="AB137" s="294">
        <f>IF(NFI_Expiration=1,IF($A137&lt;VLOOKUP(K$5,NFI,5,0),1,0)*Table_NFI[[#This Row],[Mosquito net]],Table_NFI[Mosquito net])</f>
        <v>0</v>
      </c>
      <c r="AC137" s="294">
        <f>IF(NFI_Expiration=1,IF($A137&lt;VLOOKUP(L$5,NFI,5,0),1,0)*Table_NFI[[#This Row],[Tarpaulin]],Table_NFI[[#This Row],[Tarpaulin]])</f>
        <v>0</v>
      </c>
      <c r="AD137" s="294">
        <f>IF(NFI_Expiration=1,IF($A137&lt;VLOOKUP(M$5,NFI,5,0),1,0)*Table_NFI[[#This Row],[Blanket]],Table_NFI[[#This Row],[Blanket]])</f>
        <v>0</v>
      </c>
      <c r="AE137" s="294">
        <f>IF(NFI_Expiration=1,IF($A137&lt;VLOOKUP(N$5,NFI,5,0),1,0)*Table_NFI[[#This Row],[Kitchen Set]],Table_NFI[Kitchen Set])</f>
        <v>0</v>
      </c>
      <c r="AF137" s="294">
        <f>IF(NFI_Expiration=1,IF($A137&lt;VLOOKUP(O$5,NFI,5,0),1,0)*Table_NFI[[#This Row],[Clothes Kit]],Table_NFI[Clothes Kit])</f>
        <v>0</v>
      </c>
      <c r="AG137" s="294">
        <f>IF(NFI_Expiration=1,IF($A137&lt;VLOOKUP(P$5,NFI,5,0),1,0)*Table_NFI[[#This Row],[Plastic Bucket]],Table_NFI[Plastic Bucket])</f>
        <v>0</v>
      </c>
      <c r="AH137" s="294">
        <f>IF(NFI_Expiration=1,IF($A137&lt;VLOOKUP(Q$5,NFI,5,0),1,0)*Table_NFI[[#This Row],[Plastic Mat]],Table_NFI[Plastic Mat])*IF(Table_NFI[[#This Row],[Distribution Date]]&gt;"2014-04-01",1,2.5)</f>
        <v>0</v>
      </c>
      <c r="AI137" s="294">
        <f>IF(NFI_Expiration=1,IF($A137&lt;VLOOKUP(R$5,NFI,5,0),1,0)*Table_NFI[[#This Row],[Winter Clothes Adult]],Table_NFI[Winter Clothes Adult])</f>
        <v>0</v>
      </c>
      <c r="AJ137" s="294">
        <f>IF(NFI_Expiration=1,IF($A137&lt;VLOOKUP(S$5,NFI,5,0),1,0)*Table_NFI[[#This Row],[Winter Clothes Children]],Table_NFI[Winter Clothes Children])</f>
        <v>0</v>
      </c>
      <c r="AK137" s="294">
        <f>IF(NFI_Expiration=1,IF($A137&lt;VLOOKUP(T$5,NFI,5,0),1,0)*Table_NFI[[#This Row],[Winter Items Other]],Table_NFI[Winter Items Other])</f>
        <v>0</v>
      </c>
      <c r="AL137" s="294">
        <f>IF(NFI_Expiration=1,IF($A137&lt;VLOOKUP(M$5,NFI,5,0),1,0)*Table_NFI[[#This Row],[Winter Blanket]],Table_NFI[[#This Row],[Winter Blanket]])</f>
        <v>0</v>
      </c>
      <c r="AM137" s="294">
        <f>IF(Table_NFI[[#This Row],[Winter Clothes Adult]]+Table_NFI[[#This Row],[Winter Clothes Children]]+Table_NFI[[#This Row],[Winter Items Other]]+Table_NFI[[#This Row],[Winter Blanket]]&gt;0,1,0)</f>
        <v>0</v>
      </c>
      <c r="AN137" s="331">
        <f>IF(NFI_Expiration=1,IF($A137&lt;VLOOKUP(V$5,NFI,5,0),1,0)*Table_NFI[[#This Row],[Jerry Can]],Table_NFI[Jerry Can])</f>
        <v>0</v>
      </c>
      <c r="AO137" s="331">
        <f>IF(NFI_Expiration=1,IF($A137&lt;VLOOKUP(V$5,NFI,5,0),1,0)*Table_NFI[[#This Row],[Shelter Tool kit]],Table_NFI[Shelter Tool kit])</f>
        <v>0</v>
      </c>
      <c r="AP137" s="331">
        <f>IF(NFI_Expiration=1,IF($A137&lt;VLOOKUP(V$5,NFI,5,0),1,0)*Table_NFI[[#This Row],[Tent]],Table_NFI[Tent])</f>
        <v>0</v>
      </c>
      <c r="AQ137" s="467" t="str">
        <f>IFERROR(VLOOKUP(Table_NFI[[#This Row],[Camp Name]],CL,2,0),"")</f>
        <v>MMR001CMP072</v>
      </c>
      <c r="AR137" s="835">
        <f ca="1">IF(Table_NFI[[#This Row],[Pcode]]="","",IF(OFFSET(CampList[Opening Date],MATCH(Table_NFI[[#This Row],[Pcode]],CampList[CP_Pcode],0)-1,0,1,1)&gt;=NFI_Monitor_Date,1,0))</f>
        <v>0</v>
      </c>
      <c r="AS137" s="467" t="str">
        <f>IFERROR(VLOOKUP(Table_NFI[[#This Row],[Camp Name]],CL,3,0),"")</f>
        <v>Open</v>
      </c>
      <c r="AT137" s="294" t="str">
        <f ca="1">IF(Table_NFI[[#This Row],[Pcode]]="","",OFFSET(CampList[Priority],MATCH(Table_NFI[[#This Row],[Pcode]],CampList[CP_Pcode],0)-1,0,1,1))</f>
        <v>P3</v>
      </c>
      <c r="AU137" s="293">
        <f>IFERROR(Table_NFI[[#This Row],[Kitchen Set]]/VLOOKUP(Table_NFI[[#This Row],[Camp Name]],CL,4,0),"")</f>
        <v>0</v>
      </c>
      <c r="AV137" s="461"/>
      <c r="AW137" s="463"/>
    </row>
    <row r="138" spans="1:49" s="464" customFormat="1" ht="14.45" customHeight="1" x14ac:dyDescent="0.25">
      <c r="A138" s="297">
        <f t="shared" si="2"/>
        <v>19.233333333333334</v>
      </c>
      <c r="B138" s="460">
        <v>42159</v>
      </c>
      <c r="C138" s="462" t="s">
        <v>452</v>
      </c>
      <c r="D138" s="462" t="s">
        <v>460</v>
      </c>
      <c r="E138" s="461" t="s">
        <v>380</v>
      </c>
      <c r="F138" s="290" t="s">
        <v>5</v>
      </c>
      <c r="G138" s="290" t="s">
        <v>366</v>
      </c>
      <c r="H138" s="291"/>
      <c r="I138" s="291"/>
      <c r="J138" s="291"/>
      <c r="K138" s="291"/>
      <c r="L138" s="292">
        <v>37</v>
      </c>
      <c r="M138" s="292"/>
      <c r="N138" s="292"/>
      <c r="O138" s="292"/>
      <c r="P138" s="294"/>
      <c r="Q138" s="294"/>
      <c r="R138" s="294"/>
      <c r="S138" s="294"/>
      <c r="T138" s="294"/>
      <c r="U138" s="294"/>
      <c r="V138" s="431"/>
      <c r="W138" s="294"/>
      <c r="X138" s="294"/>
      <c r="Y138" s="294">
        <f>IF(NFI_Expiration=1,IF($A138&lt;VLOOKUP(H$5,NFI,5,0),1,0)*Table_NFI[[#This Row],[Hygiene Kit]],Table_NFI[Hygiene Kit])</f>
        <v>0</v>
      </c>
      <c r="Z138" s="294">
        <f>IF(NFI_Expiration=1,IF($A138&lt;VLOOKUP(I$5,NFI,5,0),1,0)*Table_NFI[[#This Row],[NFI Core Kit]],Table_NFI[NFI Core Kit])</f>
        <v>0</v>
      </c>
      <c r="AA138" s="294">
        <f>IF(NFI_Expiration=1,IF($A138&lt;VLOOKUP(J$5,NFI,5,0),1,0)*Table_NFI[[#This Row],[Sanitary Kit]],Table_NFI[Sanitary Kit])</f>
        <v>0</v>
      </c>
      <c r="AB138" s="294">
        <f>IF(NFI_Expiration=1,IF($A138&lt;VLOOKUP(K$5,NFI,5,0),1,0)*Table_NFI[[#This Row],[Mosquito net]],Table_NFI[Mosquito net])</f>
        <v>0</v>
      </c>
      <c r="AC138" s="294">
        <f>IF(NFI_Expiration=1,IF($A138&lt;VLOOKUP(L$5,NFI,5,0),1,0)*Table_NFI[[#This Row],[Tarpaulin]],Table_NFI[[#This Row],[Tarpaulin]])</f>
        <v>0</v>
      </c>
      <c r="AD138" s="294">
        <f>IF(NFI_Expiration=1,IF($A138&lt;VLOOKUP(M$5,NFI,5,0),1,0)*Table_NFI[[#This Row],[Blanket]],Table_NFI[[#This Row],[Blanket]])</f>
        <v>0</v>
      </c>
      <c r="AE138" s="294">
        <f>IF(NFI_Expiration=1,IF($A138&lt;VLOOKUP(N$5,NFI,5,0),1,0)*Table_NFI[[#This Row],[Kitchen Set]],Table_NFI[Kitchen Set])</f>
        <v>0</v>
      </c>
      <c r="AF138" s="294">
        <f>IF(NFI_Expiration=1,IF($A138&lt;VLOOKUP(O$5,NFI,5,0),1,0)*Table_NFI[[#This Row],[Clothes Kit]],Table_NFI[Clothes Kit])</f>
        <v>0</v>
      </c>
      <c r="AG138" s="294">
        <f>IF(NFI_Expiration=1,IF($A138&lt;VLOOKUP(P$5,NFI,5,0),1,0)*Table_NFI[[#This Row],[Plastic Bucket]],Table_NFI[Plastic Bucket])</f>
        <v>0</v>
      </c>
      <c r="AH138" s="294">
        <f>IF(NFI_Expiration=1,IF($A138&lt;VLOOKUP(Q$5,NFI,5,0),1,0)*Table_NFI[[#This Row],[Plastic Mat]],Table_NFI[Plastic Mat])*IF(Table_NFI[[#This Row],[Distribution Date]]&gt;"2014-04-01",1,2.5)</f>
        <v>0</v>
      </c>
      <c r="AI138" s="294">
        <f>IF(NFI_Expiration=1,IF($A138&lt;VLOOKUP(R$5,NFI,5,0),1,0)*Table_NFI[[#This Row],[Winter Clothes Adult]],Table_NFI[Winter Clothes Adult])</f>
        <v>0</v>
      </c>
      <c r="AJ138" s="294">
        <f>IF(NFI_Expiration=1,IF($A138&lt;VLOOKUP(S$5,NFI,5,0),1,0)*Table_NFI[[#This Row],[Winter Clothes Children]],Table_NFI[Winter Clothes Children])</f>
        <v>0</v>
      </c>
      <c r="AK138" s="294">
        <f>IF(NFI_Expiration=1,IF($A138&lt;VLOOKUP(T$5,NFI,5,0),1,0)*Table_NFI[[#This Row],[Winter Items Other]],Table_NFI[Winter Items Other])</f>
        <v>0</v>
      </c>
      <c r="AL138" s="294">
        <f>IF(NFI_Expiration=1,IF($A138&lt;VLOOKUP(M$5,NFI,5,0),1,0)*Table_NFI[[#This Row],[Winter Blanket]],Table_NFI[[#This Row],[Winter Blanket]])</f>
        <v>0</v>
      </c>
      <c r="AM138" s="294">
        <f>IF(Table_NFI[[#This Row],[Winter Clothes Adult]]+Table_NFI[[#This Row],[Winter Clothes Children]]+Table_NFI[[#This Row],[Winter Items Other]]+Table_NFI[[#This Row],[Winter Blanket]]&gt;0,1,0)</f>
        <v>0</v>
      </c>
      <c r="AN138" s="331">
        <f>IF(NFI_Expiration=1,IF($A138&lt;VLOOKUP(V$5,NFI,5,0),1,0)*Table_NFI[[#This Row],[Jerry Can]],Table_NFI[Jerry Can])</f>
        <v>0</v>
      </c>
      <c r="AO138" s="331">
        <f>IF(NFI_Expiration=1,IF($A138&lt;VLOOKUP(V$5,NFI,5,0),1,0)*Table_NFI[[#This Row],[Shelter Tool kit]],Table_NFI[Shelter Tool kit])</f>
        <v>0</v>
      </c>
      <c r="AP138" s="331">
        <f>IF(NFI_Expiration=1,IF($A138&lt;VLOOKUP(V$5,NFI,5,0),1,0)*Table_NFI[[#This Row],[Tent]],Table_NFI[Tent])</f>
        <v>0</v>
      </c>
      <c r="AQ138" s="467" t="str">
        <f>IFERROR(VLOOKUP(Table_NFI[[#This Row],[Camp Name]],CL,2,0),"")</f>
        <v>MMR001CMP193</v>
      </c>
      <c r="AR138" s="835">
        <f ca="1">IF(Table_NFI[[#This Row],[Pcode]]="","",IF(OFFSET(CampList[Opening Date],MATCH(Table_NFI[[#This Row],[Pcode]],CampList[CP_Pcode],0)-1,0,1,1)&gt;=NFI_Monitor_Date,1,0))</f>
        <v>0</v>
      </c>
      <c r="AS138" s="659" t="str">
        <f>IFERROR(VLOOKUP(Table_NFI[[#This Row],[Camp Name]],CL,3,0),"")</f>
        <v>Open</v>
      </c>
      <c r="AT138" s="294" t="str">
        <f ca="1">IF(Table_NFI[[#This Row],[Pcode]]="","",OFFSET(CampList[Priority],MATCH(Table_NFI[[#This Row],[Pcode]],CampList[CP_Pcode],0)-1,0,1,1))</f>
        <v>P4</v>
      </c>
      <c r="AU138" s="293">
        <f>IFERROR(Table_NFI[[#This Row],[Kitchen Set]]/VLOOKUP(Table_NFI[[#This Row],[Camp Name]],CL,4,0),"")</f>
        <v>0</v>
      </c>
      <c r="AV138" s="461" t="s">
        <v>1092</v>
      </c>
      <c r="AW138" s="463"/>
    </row>
    <row r="139" spans="1:49" s="464" customFormat="1" ht="14.45" customHeight="1" x14ac:dyDescent="0.25">
      <c r="A139" s="297">
        <f t="shared" si="2"/>
        <v>19.233333333333334</v>
      </c>
      <c r="B139" s="460">
        <v>42159</v>
      </c>
      <c r="C139" s="461" t="s">
        <v>452</v>
      </c>
      <c r="D139" s="461" t="s">
        <v>460</v>
      </c>
      <c r="E139" s="461" t="s">
        <v>380</v>
      </c>
      <c r="F139" s="461" t="s">
        <v>185</v>
      </c>
      <c r="G139" s="461" t="s">
        <v>225</v>
      </c>
      <c r="H139" s="291"/>
      <c r="I139" s="294"/>
      <c r="J139" s="291"/>
      <c r="K139" s="294">
        <v>18</v>
      </c>
      <c r="L139" s="292">
        <v>35</v>
      </c>
      <c r="M139" s="292"/>
      <c r="N139" s="292"/>
      <c r="O139" s="292"/>
      <c r="P139" s="294"/>
      <c r="Q139" s="294"/>
      <c r="R139" s="294"/>
      <c r="S139" s="294"/>
      <c r="T139" s="294"/>
      <c r="U139" s="294"/>
      <c r="V139" s="431"/>
      <c r="W139" s="294"/>
      <c r="X139" s="294">
        <v>8</v>
      </c>
      <c r="Y139" s="294">
        <f>IF(NFI_Expiration=1,IF($A139&lt;VLOOKUP(H$5,NFI,5,0),1,0)*Table_NFI[[#This Row],[Hygiene Kit]],Table_NFI[Hygiene Kit])</f>
        <v>0</v>
      </c>
      <c r="Z139" s="294">
        <f>IF(NFI_Expiration=1,IF($A139&lt;VLOOKUP(I$5,NFI,5,0),1,0)*Table_NFI[[#This Row],[NFI Core Kit]],Table_NFI[NFI Core Kit])</f>
        <v>0</v>
      </c>
      <c r="AA139" s="294">
        <f>IF(NFI_Expiration=1,IF($A139&lt;VLOOKUP(J$5,NFI,5,0),1,0)*Table_NFI[[#This Row],[Sanitary Kit]],Table_NFI[Sanitary Kit])</f>
        <v>0</v>
      </c>
      <c r="AB139" s="294">
        <f>IF(NFI_Expiration=1,IF($A139&lt;VLOOKUP(K$5,NFI,5,0),1,0)*Table_NFI[[#This Row],[Mosquito net]],Table_NFI[Mosquito net])</f>
        <v>0</v>
      </c>
      <c r="AC139" s="294">
        <f>IF(NFI_Expiration=1,IF($A139&lt;VLOOKUP(L$5,NFI,5,0),1,0)*Table_NFI[[#This Row],[Tarpaulin]],Table_NFI[[#This Row],[Tarpaulin]])</f>
        <v>0</v>
      </c>
      <c r="AD139" s="294">
        <f>IF(NFI_Expiration=1,IF($A139&lt;VLOOKUP(M$5,NFI,5,0),1,0)*Table_NFI[[#This Row],[Blanket]],Table_NFI[[#This Row],[Blanket]])</f>
        <v>0</v>
      </c>
      <c r="AE139" s="294">
        <f>IF(NFI_Expiration=1,IF($A139&lt;VLOOKUP(N$5,NFI,5,0),1,0)*Table_NFI[[#This Row],[Kitchen Set]],Table_NFI[Kitchen Set])</f>
        <v>0</v>
      </c>
      <c r="AF139" s="294">
        <f>IF(NFI_Expiration=1,IF($A139&lt;VLOOKUP(O$5,NFI,5,0),1,0)*Table_NFI[[#This Row],[Clothes Kit]],Table_NFI[Clothes Kit])</f>
        <v>0</v>
      </c>
      <c r="AG139" s="294">
        <f>IF(NFI_Expiration=1,IF($A139&lt;VLOOKUP(P$5,NFI,5,0),1,0)*Table_NFI[[#This Row],[Plastic Bucket]],Table_NFI[Plastic Bucket])</f>
        <v>0</v>
      </c>
      <c r="AH139" s="294">
        <f>IF(NFI_Expiration=1,IF($A139&lt;VLOOKUP(Q$5,NFI,5,0),1,0)*Table_NFI[[#This Row],[Plastic Mat]],Table_NFI[Plastic Mat])*IF(Table_NFI[[#This Row],[Distribution Date]]&gt;"2014-04-01",1,2.5)</f>
        <v>0</v>
      </c>
      <c r="AI139" s="294">
        <f>IF(NFI_Expiration=1,IF($A139&lt;VLOOKUP(R$5,NFI,5,0),1,0)*Table_NFI[[#This Row],[Winter Clothes Adult]],Table_NFI[Winter Clothes Adult])</f>
        <v>0</v>
      </c>
      <c r="AJ139" s="294">
        <f>IF(NFI_Expiration=1,IF($A139&lt;VLOOKUP(S$5,NFI,5,0),1,0)*Table_NFI[[#This Row],[Winter Clothes Children]],Table_NFI[Winter Clothes Children])</f>
        <v>0</v>
      </c>
      <c r="AK139" s="294">
        <f>IF(NFI_Expiration=1,IF($A139&lt;VLOOKUP(T$5,NFI,5,0),1,0)*Table_NFI[[#This Row],[Winter Items Other]],Table_NFI[Winter Items Other])</f>
        <v>0</v>
      </c>
      <c r="AL139" s="294">
        <f>IF(NFI_Expiration=1,IF($A139&lt;VLOOKUP(M$5,NFI,5,0),1,0)*Table_NFI[[#This Row],[Winter Blanket]],Table_NFI[[#This Row],[Winter Blanket]])</f>
        <v>0</v>
      </c>
      <c r="AM139" s="294">
        <f>IF(Table_NFI[[#This Row],[Winter Clothes Adult]]+Table_NFI[[#This Row],[Winter Clothes Children]]+Table_NFI[[#This Row],[Winter Items Other]]+Table_NFI[[#This Row],[Winter Blanket]]&gt;0,1,0)</f>
        <v>0</v>
      </c>
      <c r="AN139" s="331">
        <f>IF(NFI_Expiration=1,IF($A139&lt;VLOOKUP(V$5,NFI,5,0),1,0)*Table_NFI[[#This Row],[Jerry Can]],Table_NFI[Jerry Can])</f>
        <v>0</v>
      </c>
      <c r="AO139" s="331">
        <f>IF(NFI_Expiration=1,IF($A139&lt;VLOOKUP(V$5,NFI,5,0),1,0)*Table_NFI[[#This Row],[Shelter Tool kit]],Table_NFI[Shelter Tool kit])</f>
        <v>0</v>
      </c>
      <c r="AP139" s="331">
        <f>IF(NFI_Expiration=1,IF($A139&lt;VLOOKUP(V$5,NFI,5,0),1,0)*Table_NFI[[#This Row],[Tent]],Table_NFI[Tent])</f>
        <v>0</v>
      </c>
      <c r="AQ139" s="467" t="str">
        <f>IFERROR(VLOOKUP(Table_NFI[[#This Row],[Camp Name]],CL,2,0),"")</f>
        <v>MMR001CMP073</v>
      </c>
      <c r="AR139" s="835">
        <f ca="1">IF(Table_NFI[[#This Row],[Pcode]]="","",IF(OFFSET(CampList[Opening Date],MATCH(Table_NFI[[#This Row],[Pcode]],CampList[CP_Pcode],0)-1,0,1,1)&gt;=NFI_Monitor_Date,1,0))</f>
        <v>0</v>
      </c>
      <c r="AS139" s="659" t="str">
        <f>IFERROR(VLOOKUP(Table_NFI[[#This Row],[Camp Name]],CL,3,0),"")</f>
        <v>Open</v>
      </c>
      <c r="AT139" s="294" t="str">
        <f ca="1">IF(Table_NFI[[#This Row],[Pcode]]="","",OFFSET(CampList[Priority],MATCH(Table_NFI[[#This Row],[Pcode]],CampList[CP_Pcode],0)-1,0,1,1))</f>
        <v>P3</v>
      </c>
      <c r="AU139" s="293">
        <f>IFERROR(Table_NFI[[#This Row],[Kitchen Set]]/VLOOKUP(Table_NFI[[#This Row],[Camp Name]],CL,4,0),"")</f>
        <v>0</v>
      </c>
      <c r="AV139" s="461" t="s">
        <v>1092</v>
      </c>
      <c r="AW139" s="463"/>
    </row>
    <row r="140" spans="1:49" s="98" customFormat="1" ht="14.45" customHeight="1" x14ac:dyDescent="0.2">
      <c r="A140" s="297">
        <f t="shared" si="2"/>
        <v>19.233333333333334</v>
      </c>
      <c r="B140" s="460">
        <v>42159</v>
      </c>
      <c r="C140" s="461" t="s">
        <v>905</v>
      </c>
      <c r="D140" s="462" t="s">
        <v>905</v>
      </c>
      <c r="E140" s="461" t="s">
        <v>380</v>
      </c>
      <c r="F140" s="290" t="s">
        <v>185</v>
      </c>
      <c r="G140" s="290" t="s">
        <v>225</v>
      </c>
      <c r="H140" s="291"/>
      <c r="I140" s="291"/>
      <c r="J140" s="575">
        <v>73</v>
      </c>
      <c r="K140" s="291"/>
      <c r="L140" s="292"/>
      <c r="M140" s="292"/>
      <c r="N140" s="292"/>
      <c r="O140" s="292"/>
      <c r="P140" s="294"/>
      <c r="Q140" s="294"/>
      <c r="R140" s="294"/>
      <c r="S140" s="294"/>
      <c r="T140" s="294"/>
      <c r="U140" s="294"/>
      <c r="V140" s="431"/>
      <c r="W140" s="294"/>
      <c r="X140" s="294"/>
      <c r="Y140" s="294">
        <f>IF(NFI_Expiration=1,IF($A140&lt;VLOOKUP(H$5,NFI,5,0),1,0)*Table_NFI[[#This Row],[Hygiene Kit]],Table_NFI[Hygiene Kit])</f>
        <v>0</v>
      </c>
      <c r="Z140" s="294">
        <f>IF(NFI_Expiration=1,IF($A140&lt;VLOOKUP(I$5,NFI,5,0),1,0)*Table_NFI[[#This Row],[NFI Core Kit]],Table_NFI[NFI Core Kit])</f>
        <v>0</v>
      </c>
      <c r="AA140" s="294">
        <f>IF(NFI_Expiration=1,IF($A140&lt;VLOOKUP(J$5,NFI,5,0),1,0)*Table_NFI[[#This Row],[Sanitary Kit]],Table_NFI[Sanitary Kit])</f>
        <v>0</v>
      </c>
      <c r="AB140" s="294">
        <f>IF(NFI_Expiration=1,IF($A140&lt;VLOOKUP(K$5,NFI,5,0),1,0)*Table_NFI[[#This Row],[Mosquito net]],Table_NFI[Mosquito net])</f>
        <v>0</v>
      </c>
      <c r="AC140" s="294">
        <f>IF(NFI_Expiration=1,IF($A140&lt;VLOOKUP(L$5,NFI,5,0),1,0)*Table_NFI[[#This Row],[Tarpaulin]],Table_NFI[[#This Row],[Tarpaulin]])</f>
        <v>0</v>
      </c>
      <c r="AD140" s="294">
        <f>IF(NFI_Expiration=1,IF($A140&lt;VLOOKUP(M$5,NFI,5,0),1,0)*Table_NFI[[#This Row],[Blanket]],Table_NFI[[#This Row],[Blanket]])</f>
        <v>0</v>
      </c>
      <c r="AE140" s="294">
        <f>IF(NFI_Expiration=1,IF($A140&lt;VLOOKUP(N$5,NFI,5,0),1,0)*Table_NFI[[#This Row],[Kitchen Set]],Table_NFI[Kitchen Set])</f>
        <v>0</v>
      </c>
      <c r="AF140" s="294">
        <f>IF(NFI_Expiration=1,IF($A140&lt;VLOOKUP(O$5,NFI,5,0),1,0)*Table_NFI[[#This Row],[Clothes Kit]],Table_NFI[Clothes Kit])</f>
        <v>0</v>
      </c>
      <c r="AG140" s="294">
        <f>IF(NFI_Expiration=1,IF($A140&lt;VLOOKUP(P$5,NFI,5,0),1,0)*Table_NFI[[#This Row],[Plastic Bucket]],Table_NFI[Plastic Bucket])</f>
        <v>0</v>
      </c>
      <c r="AH140" s="294">
        <f>IF(NFI_Expiration=1,IF($A140&lt;VLOOKUP(Q$5,NFI,5,0),1,0)*Table_NFI[[#This Row],[Plastic Mat]],Table_NFI[Plastic Mat])*IF(Table_NFI[[#This Row],[Distribution Date]]&gt;"2014-04-01",1,2.5)</f>
        <v>0</v>
      </c>
      <c r="AI140" s="294">
        <f>IF(NFI_Expiration=1,IF($A140&lt;VLOOKUP(R$5,NFI,5,0),1,0)*Table_NFI[[#This Row],[Winter Clothes Adult]],Table_NFI[Winter Clothes Adult])</f>
        <v>0</v>
      </c>
      <c r="AJ140" s="294">
        <f>IF(NFI_Expiration=1,IF($A140&lt;VLOOKUP(S$5,NFI,5,0),1,0)*Table_NFI[[#This Row],[Winter Clothes Children]],Table_NFI[Winter Clothes Children])</f>
        <v>0</v>
      </c>
      <c r="AK140" s="294">
        <f>IF(NFI_Expiration=1,IF($A140&lt;VLOOKUP(T$5,NFI,5,0),1,0)*Table_NFI[[#This Row],[Winter Items Other]],Table_NFI[Winter Items Other])</f>
        <v>0</v>
      </c>
      <c r="AL140" s="294">
        <f>IF(NFI_Expiration=1,IF($A140&lt;VLOOKUP(M$5,NFI,5,0),1,0)*Table_NFI[[#This Row],[Winter Blanket]],Table_NFI[[#This Row],[Winter Blanket]])</f>
        <v>0</v>
      </c>
      <c r="AM140" s="294">
        <f>IF(Table_NFI[[#This Row],[Winter Clothes Adult]]+Table_NFI[[#This Row],[Winter Clothes Children]]+Table_NFI[[#This Row],[Winter Items Other]]+Table_NFI[[#This Row],[Winter Blanket]]&gt;0,1,0)</f>
        <v>0</v>
      </c>
      <c r="AN140" s="331">
        <f>IF(NFI_Expiration=1,IF($A140&lt;VLOOKUP(V$5,NFI,5,0),1,0)*Table_NFI[[#This Row],[Jerry Can]],Table_NFI[Jerry Can])</f>
        <v>0</v>
      </c>
      <c r="AO140" s="331">
        <f>IF(NFI_Expiration=1,IF($A140&lt;VLOOKUP(V$5,NFI,5,0),1,0)*Table_NFI[[#This Row],[Shelter Tool kit]],Table_NFI[Shelter Tool kit])</f>
        <v>0</v>
      </c>
      <c r="AP140" s="331">
        <f>IF(NFI_Expiration=1,IF($A140&lt;VLOOKUP(V$5,NFI,5,0),1,0)*Table_NFI[[#This Row],[Tent]],Table_NFI[Tent])</f>
        <v>0</v>
      </c>
      <c r="AQ140" s="467" t="str">
        <f>IFERROR(VLOOKUP(Table_NFI[[#This Row],[Camp Name]],CL,2,0),"")</f>
        <v>MMR001CMP073</v>
      </c>
      <c r="AR140" s="835">
        <f ca="1">IF(Table_NFI[[#This Row],[Pcode]]="","",IF(OFFSET(CampList[Opening Date],MATCH(Table_NFI[[#This Row],[Pcode]],CampList[CP_Pcode],0)-1,0,1,1)&gt;=NFI_Monitor_Date,1,0))</f>
        <v>0</v>
      </c>
      <c r="AS140" s="467" t="str">
        <f>IFERROR(VLOOKUP(Table_NFI[[#This Row],[Camp Name]],CL,3,0),"")</f>
        <v>Open</v>
      </c>
      <c r="AT140" s="294" t="str">
        <f ca="1">IF(Table_NFI[[#This Row],[Pcode]]="","",OFFSET(CampList[Priority],MATCH(Table_NFI[[#This Row],[Pcode]],CampList[CP_Pcode],0)-1,0,1,1))</f>
        <v>P3</v>
      </c>
      <c r="AU140" s="293">
        <f>IFERROR(Table_NFI[[#This Row],[Kitchen Set]]/VLOOKUP(Table_NFI[[#This Row],[Camp Name]],CL,4,0),"")</f>
        <v>0</v>
      </c>
      <c r="AV140" s="461"/>
      <c r="AW140" s="463"/>
    </row>
    <row r="141" spans="1:49" s="98" customFormat="1" ht="14.45" customHeight="1" x14ac:dyDescent="0.2">
      <c r="A141" s="297">
        <f t="shared" si="2"/>
        <v>19.266666666666666</v>
      </c>
      <c r="B141" s="460">
        <v>42158</v>
      </c>
      <c r="C141" s="461" t="s">
        <v>905</v>
      </c>
      <c r="D141" s="462" t="s">
        <v>905</v>
      </c>
      <c r="E141" s="461" t="s">
        <v>380</v>
      </c>
      <c r="F141" s="290" t="s">
        <v>185</v>
      </c>
      <c r="G141" s="290" t="s">
        <v>186</v>
      </c>
      <c r="H141" s="291"/>
      <c r="I141" s="291"/>
      <c r="J141" s="575"/>
      <c r="K141" s="291"/>
      <c r="L141" s="292"/>
      <c r="M141" s="292"/>
      <c r="N141" s="292"/>
      <c r="O141" s="292"/>
      <c r="P141" s="294"/>
      <c r="Q141" s="294"/>
      <c r="R141" s="294"/>
      <c r="S141" s="294"/>
      <c r="T141" s="294"/>
      <c r="U141" s="294"/>
      <c r="V141" s="431"/>
      <c r="W141" s="294"/>
      <c r="X141" s="294"/>
      <c r="Y141" s="294">
        <f>IF(NFI_Expiration=1,IF($A141&lt;VLOOKUP(H$5,NFI,5,0),1,0)*Table_NFI[[#This Row],[Hygiene Kit]],Table_NFI[Hygiene Kit])</f>
        <v>0</v>
      </c>
      <c r="Z141" s="294">
        <f>IF(NFI_Expiration=1,IF($A141&lt;VLOOKUP(I$5,NFI,5,0),1,0)*Table_NFI[[#This Row],[NFI Core Kit]],Table_NFI[NFI Core Kit])</f>
        <v>0</v>
      </c>
      <c r="AA141" s="294">
        <f>IF(NFI_Expiration=1,IF($A141&lt;VLOOKUP(J$5,NFI,5,0),1,0)*Table_NFI[[#This Row],[Sanitary Kit]],Table_NFI[Sanitary Kit])</f>
        <v>0</v>
      </c>
      <c r="AB141" s="294">
        <f>IF(NFI_Expiration=1,IF($A141&lt;VLOOKUP(K$5,NFI,5,0),1,0)*Table_NFI[[#This Row],[Mosquito net]],Table_NFI[Mosquito net])</f>
        <v>0</v>
      </c>
      <c r="AC141" s="294">
        <f>IF(NFI_Expiration=1,IF($A141&lt;VLOOKUP(L$5,NFI,5,0),1,0)*Table_NFI[[#This Row],[Tarpaulin]],Table_NFI[[#This Row],[Tarpaulin]])</f>
        <v>0</v>
      </c>
      <c r="AD141" s="294">
        <f>IF(NFI_Expiration=1,IF($A141&lt;VLOOKUP(M$5,NFI,5,0),1,0)*Table_NFI[[#This Row],[Blanket]],Table_NFI[[#This Row],[Blanket]])</f>
        <v>0</v>
      </c>
      <c r="AE141" s="294">
        <f>IF(NFI_Expiration=1,IF($A141&lt;VLOOKUP(N$5,NFI,5,0),1,0)*Table_NFI[[#This Row],[Kitchen Set]],Table_NFI[Kitchen Set])</f>
        <v>0</v>
      </c>
      <c r="AF141" s="294">
        <f>IF(NFI_Expiration=1,IF($A141&lt;VLOOKUP(O$5,NFI,5,0),1,0)*Table_NFI[[#This Row],[Clothes Kit]],Table_NFI[Clothes Kit])</f>
        <v>0</v>
      </c>
      <c r="AG141" s="294">
        <f>IF(NFI_Expiration=1,IF($A141&lt;VLOOKUP(P$5,NFI,5,0),1,0)*Table_NFI[[#This Row],[Plastic Bucket]],Table_NFI[Plastic Bucket])</f>
        <v>0</v>
      </c>
      <c r="AH141" s="294">
        <f>IF(NFI_Expiration=1,IF($A141&lt;VLOOKUP(Q$5,NFI,5,0),1,0)*Table_NFI[[#This Row],[Plastic Mat]],Table_NFI[Plastic Mat])*IF(Table_NFI[[#This Row],[Distribution Date]]&gt;"2014-04-01",1,2.5)</f>
        <v>0</v>
      </c>
      <c r="AI141" s="294">
        <f>IF(NFI_Expiration=1,IF($A141&lt;VLOOKUP(R$5,NFI,5,0),1,0)*Table_NFI[[#This Row],[Winter Clothes Adult]],Table_NFI[Winter Clothes Adult])</f>
        <v>0</v>
      </c>
      <c r="AJ141" s="294">
        <f>IF(NFI_Expiration=1,IF($A141&lt;VLOOKUP(S$5,NFI,5,0),1,0)*Table_NFI[[#This Row],[Winter Clothes Children]],Table_NFI[Winter Clothes Children])</f>
        <v>0</v>
      </c>
      <c r="AK141" s="294">
        <f>IF(NFI_Expiration=1,IF($A141&lt;VLOOKUP(T$5,NFI,5,0),1,0)*Table_NFI[[#This Row],[Winter Items Other]],Table_NFI[Winter Items Other])</f>
        <v>0</v>
      </c>
      <c r="AL141" s="294">
        <f>IF(NFI_Expiration=1,IF($A141&lt;VLOOKUP(M$5,NFI,5,0),1,0)*Table_NFI[[#This Row],[Winter Blanket]],Table_NFI[[#This Row],[Winter Blanket]])</f>
        <v>0</v>
      </c>
      <c r="AM141" s="294">
        <f>IF(Table_NFI[[#This Row],[Winter Clothes Adult]]+Table_NFI[[#This Row],[Winter Clothes Children]]+Table_NFI[[#This Row],[Winter Items Other]]+Table_NFI[[#This Row],[Winter Blanket]]&gt;0,1,0)</f>
        <v>0</v>
      </c>
      <c r="AN141" s="331">
        <f>IF(NFI_Expiration=1,IF($A141&lt;VLOOKUP(V$5,NFI,5,0),1,0)*Table_NFI[[#This Row],[Jerry Can]],Table_NFI[Jerry Can])</f>
        <v>0</v>
      </c>
      <c r="AO141" s="331">
        <f>IF(NFI_Expiration=1,IF($A141&lt;VLOOKUP(V$5,NFI,5,0),1,0)*Table_NFI[[#This Row],[Shelter Tool kit]],Table_NFI[Shelter Tool kit])</f>
        <v>0</v>
      </c>
      <c r="AP141" s="331">
        <f>IF(NFI_Expiration=1,IF($A141&lt;VLOOKUP(V$5,NFI,5,0),1,0)*Table_NFI[[#This Row],[Tent]],Table_NFI[Tent])</f>
        <v>0</v>
      </c>
      <c r="AQ141" s="467" t="str">
        <f>IFERROR(VLOOKUP(Table_NFI[[#This Row],[Camp Name]],CL,2,0),"")</f>
        <v>MMR001CMP071</v>
      </c>
      <c r="AR141" s="835">
        <f ca="1">IF(Table_NFI[[#This Row],[Pcode]]="","",IF(OFFSET(CampList[Opening Date],MATCH(Table_NFI[[#This Row],[Pcode]],CampList[CP_Pcode],0)-1,0,1,1)&gt;=NFI_Monitor_Date,1,0))</f>
        <v>0</v>
      </c>
      <c r="AS141" s="467" t="str">
        <f>IFERROR(VLOOKUP(Table_NFI[[#This Row],[Camp Name]],CL,3,0),"")</f>
        <v>Open</v>
      </c>
      <c r="AT141" s="294" t="str">
        <f ca="1">IF(Table_NFI[[#This Row],[Pcode]]="","",OFFSET(CampList[Priority],MATCH(Table_NFI[[#This Row],[Pcode]],CampList[CP_Pcode],0)-1,0,1,1))</f>
        <v>P3</v>
      </c>
      <c r="AU141" s="293">
        <f>IFERROR(Table_NFI[[#This Row],[Kitchen Set]]/VLOOKUP(Table_NFI[[#This Row],[Camp Name]],CL,4,0),"")</f>
        <v>0</v>
      </c>
      <c r="AV141" s="461"/>
      <c r="AW141" s="463"/>
    </row>
    <row r="142" spans="1:49" s="98" customFormat="1" ht="14.45" customHeight="1" x14ac:dyDescent="0.25">
      <c r="A142" s="297">
        <f t="shared" si="2"/>
        <v>19.266666666666666</v>
      </c>
      <c r="B142" s="460">
        <v>42158</v>
      </c>
      <c r="C142" s="461" t="s">
        <v>905</v>
      </c>
      <c r="D142" s="461" t="s">
        <v>905</v>
      </c>
      <c r="E142" s="461" t="s">
        <v>380</v>
      </c>
      <c r="F142" s="461" t="s">
        <v>185</v>
      </c>
      <c r="G142" s="290" t="s">
        <v>223</v>
      </c>
      <c r="H142" s="291"/>
      <c r="I142" s="291"/>
      <c r="J142" s="292">
        <v>115</v>
      </c>
      <c r="K142" s="291"/>
      <c r="L142" s="292"/>
      <c r="M142" s="292"/>
      <c r="N142" s="292"/>
      <c r="O142" s="292"/>
      <c r="P142" s="294"/>
      <c r="Q142" s="294"/>
      <c r="R142" s="294"/>
      <c r="S142" s="294"/>
      <c r="T142" s="294"/>
      <c r="U142" s="294"/>
      <c r="V142" s="431"/>
      <c r="W142" s="294"/>
      <c r="X142" s="294"/>
      <c r="Y142" s="294">
        <f>IF(NFI_Expiration=1,IF($A142&lt;VLOOKUP(H$5,NFI,5,0),1,0)*Table_NFI[[#This Row],[Hygiene Kit]],Table_NFI[Hygiene Kit])</f>
        <v>0</v>
      </c>
      <c r="Z142" s="294">
        <f>IF(NFI_Expiration=1,IF($A142&lt;VLOOKUP(I$5,NFI,5,0),1,0)*Table_NFI[[#This Row],[NFI Core Kit]],Table_NFI[NFI Core Kit])</f>
        <v>0</v>
      </c>
      <c r="AA142" s="294">
        <f>IF(NFI_Expiration=1,IF($A142&lt;VLOOKUP(J$5,NFI,5,0),1,0)*Table_NFI[[#This Row],[Sanitary Kit]],Table_NFI[Sanitary Kit])</f>
        <v>0</v>
      </c>
      <c r="AB142" s="294">
        <f>IF(NFI_Expiration=1,IF($A142&lt;VLOOKUP(K$5,NFI,5,0),1,0)*Table_NFI[[#This Row],[Mosquito net]],Table_NFI[Mosquito net])</f>
        <v>0</v>
      </c>
      <c r="AC142" s="294">
        <f>IF(NFI_Expiration=1,IF($A142&lt;VLOOKUP(L$5,NFI,5,0),1,0)*Table_NFI[[#This Row],[Tarpaulin]],Table_NFI[[#This Row],[Tarpaulin]])</f>
        <v>0</v>
      </c>
      <c r="AD142" s="294">
        <f>IF(NFI_Expiration=1,IF($A142&lt;VLOOKUP(M$5,NFI,5,0),1,0)*Table_NFI[[#This Row],[Blanket]],Table_NFI[[#This Row],[Blanket]])</f>
        <v>0</v>
      </c>
      <c r="AE142" s="294">
        <f>IF(NFI_Expiration=1,IF($A142&lt;VLOOKUP(N$5,NFI,5,0),1,0)*Table_NFI[[#This Row],[Kitchen Set]],Table_NFI[Kitchen Set])</f>
        <v>0</v>
      </c>
      <c r="AF142" s="294">
        <f>IF(NFI_Expiration=1,IF($A142&lt;VLOOKUP(O$5,NFI,5,0),1,0)*Table_NFI[[#This Row],[Clothes Kit]],Table_NFI[Clothes Kit])</f>
        <v>0</v>
      </c>
      <c r="AG142" s="294">
        <f>IF(NFI_Expiration=1,IF($A142&lt;VLOOKUP(P$5,NFI,5,0),1,0)*Table_NFI[[#This Row],[Plastic Bucket]],Table_NFI[Plastic Bucket])</f>
        <v>0</v>
      </c>
      <c r="AH142" s="294">
        <f>IF(NFI_Expiration=1,IF($A142&lt;VLOOKUP(Q$5,NFI,5,0),1,0)*Table_NFI[[#This Row],[Plastic Mat]],Table_NFI[Plastic Mat])*IF(Table_NFI[[#This Row],[Distribution Date]]&gt;"2014-04-01",1,2.5)</f>
        <v>0</v>
      </c>
      <c r="AI142" s="294">
        <f>IF(NFI_Expiration=1,IF($A142&lt;VLOOKUP(R$5,NFI,5,0),1,0)*Table_NFI[[#This Row],[Winter Clothes Adult]],Table_NFI[Winter Clothes Adult])</f>
        <v>0</v>
      </c>
      <c r="AJ142" s="294">
        <f>IF(NFI_Expiration=1,IF($A142&lt;VLOOKUP(S$5,NFI,5,0),1,0)*Table_NFI[[#This Row],[Winter Clothes Children]],Table_NFI[Winter Clothes Children])</f>
        <v>0</v>
      </c>
      <c r="AK142" s="294">
        <f>IF(NFI_Expiration=1,IF($A142&lt;VLOOKUP(T$5,NFI,5,0),1,0)*Table_NFI[[#This Row],[Winter Items Other]],Table_NFI[Winter Items Other])</f>
        <v>0</v>
      </c>
      <c r="AL142" s="294">
        <f>IF(NFI_Expiration=1,IF($A142&lt;VLOOKUP(M$5,NFI,5,0),1,0)*Table_NFI[[#This Row],[Winter Blanket]],Table_NFI[[#This Row],[Winter Blanket]])</f>
        <v>0</v>
      </c>
      <c r="AM142" s="294">
        <f>IF(Table_NFI[[#This Row],[Winter Clothes Adult]]+Table_NFI[[#This Row],[Winter Clothes Children]]+Table_NFI[[#This Row],[Winter Items Other]]+Table_NFI[[#This Row],[Winter Blanket]]&gt;0,1,0)</f>
        <v>0</v>
      </c>
      <c r="AN142" s="331">
        <f>IF(NFI_Expiration=1,IF($A142&lt;VLOOKUP(V$5,NFI,5,0),1,0)*Table_NFI[[#This Row],[Jerry Can]],Table_NFI[Jerry Can])</f>
        <v>0</v>
      </c>
      <c r="AO142" s="331">
        <f>IF(NFI_Expiration=1,IF($A142&lt;VLOOKUP(V$5,NFI,5,0),1,0)*Table_NFI[[#This Row],[Shelter Tool kit]],Table_NFI[Shelter Tool kit])</f>
        <v>0</v>
      </c>
      <c r="AP142" s="331">
        <f>IF(NFI_Expiration=1,IF($A142&lt;VLOOKUP(V$5,NFI,5,0),1,0)*Table_NFI[[#This Row],[Tent]],Table_NFI[Tent])</f>
        <v>0</v>
      </c>
      <c r="AQ142" s="467" t="str">
        <f>IFERROR(VLOOKUP(Table_NFI[[#This Row],[Camp Name]],CL,2,0),"")</f>
        <v>MMR001CMP069</v>
      </c>
      <c r="AR142" s="835">
        <f ca="1">IF(Table_NFI[[#This Row],[Pcode]]="","",IF(OFFSET(CampList[Opening Date],MATCH(Table_NFI[[#This Row],[Pcode]],CampList[CP_Pcode],0)-1,0,1,1)&gt;=NFI_Monitor_Date,1,0))</f>
        <v>0</v>
      </c>
      <c r="AS142" s="467" t="str">
        <f>IFERROR(VLOOKUP(Table_NFI[[#This Row],[Camp Name]],CL,3,0),"")</f>
        <v>Open</v>
      </c>
      <c r="AT142" s="294" t="str">
        <f ca="1">IF(Table_NFI[[#This Row],[Pcode]]="","",OFFSET(CampList[Priority],MATCH(Table_NFI[[#This Row],[Pcode]],CampList[CP_Pcode],0)-1,0,1,1))</f>
        <v>P3</v>
      </c>
      <c r="AU142" s="293">
        <f>IFERROR(Table_NFI[[#This Row],[Kitchen Set]]/VLOOKUP(Table_NFI[[#This Row],[Camp Name]],CL,4,0),"")</f>
        <v>0</v>
      </c>
      <c r="AV142" s="461"/>
      <c r="AW142" s="463"/>
    </row>
    <row r="143" spans="1:49" s="98" customFormat="1" ht="14.45" customHeight="1" x14ac:dyDescent="0.2">
      <c r="A143" s="297">
        <f t="shared" si="2"/>
        <v>19.266666666666666</v>
      </c>
      <c r="B143" s="460">
        <v>42158</v>
      </c>
      <c r="C143" s="461" t="s">
        <v>905</v>
      </c>
      <c r="D143" s="462" t="s">
        <v>905</v>
      </c>
      <c r="E143" s="461" t="s">
        <v>380</v>
      </c>
      <c r="F143" s="290" t="s">
        <v>185</v>
      </c>
      <c r="G143" s="290" t="s">
        <v>190</v>
      </c>
      <c r="H143" s="291"/>
      <c r="I143" s="291"/>
      <c r="J143" s="575">
        <v>270</v>
      </c>
      <c r="K143" s="291"/>
      <c r="L143" s="292"/>
      <c r="M143" s="292"/>
      <c r="N143" s="292"/>
      <c r="O143" s="292"/>
      <c r="P143" s="294"/>
      <c r="Q143" s="294"/>
      <c r="R143" s="294"/>
      <c r="S143" s="294"/>
      <c r="T143" s="294"/>
      <c r="U143" s="294"/>
      <c r="V143" s="431"/>
      <c r="W143" s="294"/>
      <c r="X143" s="294"/>
      <c r="Y143" s="294">
        <f>IF(NFI_Expiration=1,IF($A143&lt;VLOOKUP(H$5,NFI,5,0),1,0)*Table_NFI[[#This Row],[Hygiene Kit]],Table_NFI[Hygiene Kit])</f>
        <v>0</v>
      </c>
      <c r="Z143" s="294">
        <f>IF(NFI_Expiration=1,IF($A143&lt;VLOOKUP(I$5,NFI,5,0),1,0)*Table_NFI[[#This Row],[NFI Core Kit]],Table_NFI[NFI Core Kit])</f>
        <v>0</v>
      </c>
      <c r="AA143" s="294">
        <f>IF(NFI_Expiration=1,IF($A143&lt;VLOOKUP(J$5,NFI,5,0),1,0)*Table_NFI[[#This Row],[Sanitary Kit]],Table_NFI[Sanitary Kit])</f>
        <v>0</v>
      </c>
      <c r="AB143" s="294">
        <f>IF(NFI_Expiration=1,IF($A143&lt;VLOOKUP(K$5,NFI,5,0),1,0)*Table_NFI[[#This Row],[Mosquito net]],Table_NFI[Mosquito net])</f>
        <v>0</v>
      </c>
      <c r="AC143" s="294">
        <f>IF(NFI_Expiration=1,IF($A143&lt;VLOOKUP(L$5,NFI,5,0),1,0)*Table_NFI[[#This Row],[Tarpaulin]],Table_NFI[[#This Row],[Tarpaulin]])</f>
        <v>0</v>
      </c>
      <c r="AD143" s="294">
        <f>IF(NFI_Expiration=1,IF($A143&lt;VLOOKUP(M$5,NFI,5,0),1,0)*Table_NFI[[#This Row],[Blanket]],Table_NFI[[#This Row],[Blanket]])</f>
        <v>0</v>
      </c>
      <c r="AE143" s="294">
        <f>IF(NFI_Expiration=1,IF($A143&lt;VLOOKUP(N$5,NFI,5,0),1,0)*Table_NFI[[#This Row],[Kitchen Set]],Table_NFI[Kitchen Set])</f>
        <v>0</v>
      </c>
      <c r="AF143" s="294">
        <f>IF(NFI_Expiration=1,IF($A143&lt;VLOOKUP(O$5,NFI,5,0),1,0)*Table_NFI[[#This Row],[Clothes Kit]],Table_NFI[Clothes Kit])</f>
        <v>0</v>
      </c>
      <c r="AG143" s="294">
        <f>IF(NFI_Expiration=1,IF($A143&lt;VLOOKUP(P$5,NFI,5,0),1,0)*Table_NFI[[#This Row],[Plastic Bucket]],Table_NFI[Plastic Bucket])</f>
        <v>0</v>
      </c>
      <c r="AH143" s="294">
        <f>IF(NFI_Expiration=1,IF($A143&lt;VLOOKUP(Q$5,NFI,5,0),1,0)*Table_NFI[[#This Row],[Plastic Mat]],Table_NFI[Plastic Mat])*IF(Table_NFI[[#This Row],[Distribution Date]]&gt;"2014-04-01",1,2.5)</f>
        <v>0</v>
      </c>
      <c r="AI143" s="294">
        <f>IF(NFI_Expiration=1,IF($A143&lt;VLOOKUP(R$5,NFI,5,0),1,0)*Table_NFI[[#This Row],[Winter Clothes Adult]],Table_NFI[Winter Clothes Adult])</f>
        <v>0</v>
      </c>
      <c r="AJ143" s="294">
        <f>IF(NFI_Expiration=1,IF($A143&lt;VLOOKUP(S$5,NFI,5,0),1,0)*Table_NFI[[#This Row],[Winter Clothes Children]],Table_NFI[Winter Clothes Children])</f>
        <v>0</v>
      </c>
      <c r="AK143" s="294">
        <f>IF(NFI_Expiration=1,IF($A143&lt;VLOOKUP(T$5,NFI,5,0),1,0)*Table_NFI[[#This Row],[Winter Items Other]],Table_NFI[Winter Items Other])</f>
        <v>0</v>
      </c>
      <c r="AL143" s="294">
        <f>IF(NFI_Expiration=1,IF($A143&lt;VLOOKUP(M$5,NFI,5,0),1,0)*Table_NFI[[#This Row],[Winter Blanket]],Table_NFI[[#This Row],[Winter Blanket]])</f>
        <v>0</v>
      </c>
      <c r="AM143" s="294">
        <f>IF(Table_NFI[[#This Row],[Winter Clothes Adult]]+Table_NFI[[#This Row],[Winter Clothes Children]]+Table_NFI[[#This Row],[Winter Items Other]]+Table_NFI[[#This Row],[Winter Blanket]]&gt;0,1,0)</f>
        <v>0</v>
      </c>
      <c r="AN143" s="331">
        <f>IF(NFI_Expiration=1,IF($A143&lt;VLOOKUP(V$5,NFI,5,0),1,0)*Table_NFI[[#This Row],[Jerry Can]],Table_NFI[Jerry Can])</f>
        <v>0</v>
      </c>
      <c r="AO143" s="331">
        <f>IF(NFI_Expiration=1,IF($A143&lt;VLOOKUP(V$5,NFI,5,0),1,0)*Table_NFI[[#This Row],[Shelter Tool kit]],Table_NFI[Shelter Tool kit])</f>
        <v>0</v>
      </c>
      <c r="AP143" s="331">
        <f>IF(NFI_Expiration=1,IF($A143&lt;VLOOKUP(V$5,NFI,5,0),1,0)*Table_NFI[[#This Row],[Tent]],Table_NFI[Tent])</f>
        <v>0</v>
      </c>
      <c r="AQ143" s="467" t="str">
        <f>IFERROR(VLOOKUP(Table_NFI[[#This Row],[Camp Name]],CL,2,0),"")</f>
        <v>MMR001CMP070</v>
      </c>
      <c r="AR143" s="835">
        <f ca="1">IF(Table_NFI[[#This Row],[Pcode]]="","",IF(OFFSET(CampList[Opening Date],MATCH(Table_NFI[[#This Row],[Pcode]],CampList[CP_Pcode],0)-1,0,1,1)&gt;=NFI_Monitor_Date,1,0))</f>
        <v>0</v>
      </c>
      <c r="AS143" s="467" t="str">
        <f>IFERROR(VLOOKUP(Table_NFI[[#This Row],[Camp Name]],CL,3,0),"")</f>
        <v>Open</v>
      </c>
      <c r="AT143" s="294" t="str">
        <f ca="1">IF(Table_NFI[[#This Row],[Pcode]]="","",OFFSET(CampList[Priority],MATCH(Table_NFI[[#This Row],[Pcode]],CampList[CP_Pcode],0)-1,0,1,1))</f>
        <v>P3</v>
      </c>
      <c r="AU143" s="293">
        <f>IFERROR(Table_NFI[[#This Row],[Kitchen Set]]/VLOOKUP(Table_NFI[[#This Row],[Camp Name]],CL,4,0),"")</f>
        <v>0</v>
      </c>
      <c r="AV143" s="461"/>
      <c r="AW143" s="463"/>
    </row>
    <row r="144" spans="1:49" s="98" customFormat="1" ht="15" customHeight="1" x14ac:dyDescent="0.25">
      <c r="A144" s="297">
        <f t="shared" si="2"/>
        <v>19.266666666666666</v>
      </c>
      <c r="B144" s="460">
        <v>42158</v>
      </c>
      <c r="C144" s="461" t="s">
        <v>452</v>
      </c>
      <c r="D144" s="461" t="s">
        <v>460</v>
      </c>
      <c r="E144" s="461" t="s">
        <v>380</v>
      </c>
      <c r="F144" s="461" t="s">
        <v>151</v>
      </c>
      <c r="G144" s="290" t="s">
        <v>885</v>
      </c>
      <c r="H144" s="291"/>
      <c r="I144" s="291"/>
      <c r="J144" s="291"/>
      <c r="K144" s="291">
        <v>6</v>
      </c>
      <c r="L144" s="292">
        <v>12</v>
      </c>
      <c r="M144" s="292">
        <v>24</v>
      </c>
      <c r="N144" s="292">
        <v>3</v>
      </c>
      <c r="O144" s="292"/>
      <c r="P144" s="294">
        <v>3</v>
      </c>
      <c r="Q144" s="294">
        <v>9</v>
      </c>
      <c r="R144" s="294"/>
      <c r="S144" s="294"/>
      <c r="T144" s="294"/>
      <c r="U144" s="294"/>
      <c r="V144" s="431">
        <v>3</v>
      </c>
      <c r="W144" s="294"/>
      <c r="X144" s="294"/>
      <c r="Y144" s="294">
        <f>IF(NFI_Expiration=1,IF($A144&lt;VLOOKUP(H$5,NFI,5,0),1,0)*Table_NFI[[#This Row],[Hygiene Kit]],Table_NFI[Hygiene Kit])</f>
        <v>0</v>
      </c>
      <c r="Z144" s="294">
        <f>IF(NFI_Expiration=1,IF($A144&lt;VLOOKUP(I$5,NFI,5,0),1,0)*Table_NFI[[#This Row],[NFI Core Kit]],Table_NFI[NFI Core Kit])</f>
        <v>0</v>
      </c>
      <c r="AA144" s="294">
        <f>IF(NFI_Expiration=1,IF($A144&lt;VLOOKUP(J$5,NFI,5,0),1,0)*Table_NFI[[#This Row],[Sanitary Kit]],Table_NFI[Sanitary Kit])</f>
        <v>0</v>
      </c>
      <c r="AB144" s="294">
        <f>IF(NFI_Expiration=1,IF($A144&lt;VLOOKUP(K$5,NFI,5,0),1,0)*Table_NFI[[#This Row],[Mosquito net]],Table_NFI[Mosquito net])</f>
        <v>0</v>
      </c>
      <c r="AC144" s="294">
        <f>IF(NFI_Expiration=1,IF($A144&lt;VLOOKUP(L$5,NFI,5,0),1,0)*Table_NFI[[#This Row],[Tarpaulin]],Table_NFI[[#This Row],[Tarpaulin]])</f>
        <v>0</v>
      </c>
      <c r="AD144" s="294">
        <f>IF(NFI_Expiration=1,IF($A144&lt;VLOOKUP(M$5,NFI,5,0),1,0)*Table_NFI[[#This Row],[Blanket]],Table_NFI[[#This Row],[Blanket]])</f>
        <v>0</v>
      </c>
      <c r="AE144" s="294">
        <f>IF(NFI_Expiration=1,IF($A144&lt;VLOOKUP(N$5,NFI,5,0),1,0)*Table_NFI[[#This Row],[Kitchen Set]],Table_NFI[Kitchen Set])</f>
        <v>0</v>
      </c>
      <c r="AF144" s="294">
        <f>IF(NFI_Expiration=1,IF($A144&lt;VLOOKUP(O$5,NFI,5,0),1,0)*Table_NFI[[#This Row],[Clothes Kit]],Table_NFI[Clothes Kit])</f>
        <v>0</v>
      </c>
      <c r="AG144" s="294">
        <f>IF(NFI_Expiration=1,IF($A144&lt;VLOOKUP(P$5,NFI,5,0),1,0)*Table_NFI[[#This Row],[Plastic Bucket]],Table_NFI[Plastic Bucket])</f>
        <v>0</v>
      </c>
      <c r="AH144" s="294">
        <f>IF(NFI_Expiration=1,IF($A144&lt;VLOOKUP(Q$5,NFI,5,0),1,0)*Table_NFI[[#This Row],[Plastic Mat]],Table_NFI[Plastic Mat])*IF(Table_NFI[[#This Row],[Distribution Date]]&gt;"2014-04-01",1,2.5)</f>
        <v>0</v>
      </c>
      <c r="AI144" s="294">
        <f>IF(NFI_Expiration=1,IF($A144&lt;VLOOKUP(R$5,NFI,5,0),1,0)*Table_NFI[[#This Row],[Winter Clothes Adult]],Table_NFI[Winter Clothes Adult])</f>
        <v>0</v>
      </c>
      <c r="AJ144" s="294">
        <f>IF(NFI_Expiration=1,IF($A144&lt;VLOOKUP(S$5,NFI,5,0),1,0)*Table_NFI[[#This Row],[Winter Clothes Children]],Table_NFI[Winter Clothes Children])</f>
        <v>0</v>
      </c>
      <c r="AK144" s="294">
        <f>IF(NFI_Expiration=1,IF($A144&lt;VLOOKUP(T$5,NFI,5,0),1,0)*Table_NFI[[#This Row],[Winter Items Other]],Table_NFI[Winter Items Other])</f>
        <v>0</v>
      </c>
      <c r="AL144" s="294">
        <f>IF(NFI_Expiration=1,IF($A144&lt;VLOOKUP(M$5,NFI,5,0),1,0)*Table_NFI[[#This Row],[Winter Blanket]],Table_NFI[[#This Row],[Winter Blanket]])</f>
        <v>0</v>
      </c>
      <c r="AM144" s="294">
        <f>IF(Table_NFI[[#This Row],[Winter Clothes Adult]]+Table_NFI[[#This Row],[Winter Clothes Children]]+Table_NFI[[#This Row],[Winter Items Other]]+Table_NFI[[#This Row],[Winter Blanket]]&gt;0,1,0)</f>
        <v>0</v>
      </c>
      <c r="AN144" s="331">
        <f>IF(NFI_Expiration=1,IF($A144&lt;VLOOKUP(V$5,NFI,5,0),1,0)*Table_NFI[[#This Row],[Jerry Can]],Table_NFI[Jerry Can])</f>
        <v>0</v>
      </c>
      <c r="AO144" s="331">
        <f>IF(NFI_Expiration=1,IF($A144&lt;VLOOKUP(V$5,NFI,5,0),1,0)*Table_NFI[[#This Row],[Shelter Tool kit]],Table_NFI[Shelter Tool kit])</f>
        <v>0</v>
      </c>
      <c r="AP144" s="331">
        <f>IF(NFI_Expiration=1,IF($A144&lt;VLOOKUP(V$5,NFI,5,0),1,0)*Table_NFI[[#This Row],[Tent]],Table_NFI[Tent])</f>
        <v>0</v>
      </c>
      <c r="AQ144" s="467" t="str">
        <f>IFERROR(VLOOKUP(Table_NFI[[#This Row],[Camp Name]],CL,2,0),"")</f>
        <v>MMR001CMP218</v>
      </c>
      <c r="AR144" s="835">
        <f ca="1">IF(Table_NFI[[#This Row],[Pcode]]="","",IF(OFFSET(CampList[Opening Date],MATCH(Table_NFI[[#This Row],[Pcode]],CampList[CP_Pcode],0)-1,0,1,1)&gt;=NFI_Monitor_Date,1,0))</f>
        <v>0</v>
      </c>
      <c r="AS144" s="659" t="str">
        <f>IFERROR(VLOOKUP(Table_NFI[[#This Row],[Camp Name]],CL,3,0),"")</f>
        <v>Open</v>
      </c>
      <c r="AT144" s="294" t="str">
        <f ca="1">IF(Table_NFI[[#This Row],[Pcode]]="","",OFFSET(CampList[Priority],MATCH(Table_NFI[[#This Row],[Pcode]],CampList[CP_Pcode],0)-1,0,1,1))</f>
        <v>P4</v>
      </c>
      <c r="AU144" s="293">
        <f>IFERROR(Table_NFI[[#This Row],[Kitchen Set]]/VLOOKUP(Table_NFI[[#This Row],[Camp Name]],CL,4,0),"")</f>
        <v>7.2205641667468946E-5</v>
      </c>
      <c r="AV144" s="461" t="s">
        <v>1092</v>
      </c>
      <c r="AW144" s="463"/>
    </row>
    <row r="145" spans="1:49" s="98" customFormat="1" ht="15" customHeight="1" x14ac:dyDescent="0.2">
      <c r="A145" s="297">
        <f t="shared" si="2"/>
        <v>19.3</v>
      </c>
      <c r="B145" s="460">
        <v>42157</v>
      </c>
      <c r="C145" s="461" t="s">
        <v>905</v>
      </c>
      <c r="D145" s="462" t="s">
        <v>905</v>
      </c>
      <c r="E145" s="461" t="s">
        <v>380</v>
      </c>
      <c r="F145" s="290" t="s">
        <v>5</v>
      </c>
      <c r="G145" s="290" t="s">
        <v>22</v>
      </c>
      <c r="H145" s="291"/>
      <c r="I145" s="291"/>
      <c r="J145" s="575">
        <v>1048</v>
      </c>
      <c r="K145" s="291"/>
      <c r="L145" s="292"/>
      <c r="M145" s="292"/>
      <c r="N145" s="292"/>
      <c r="O145" s="292"/>
      <c r="P145" s="294"/>
      <c r="Q145" s="294"/>
      <c r="R145" s="294"/>
      <c r="S145" s="294"/>
      <c r="T145" s="294"/>
      <c r="U145" s="294"/>
      <c r="V145" s="431"/>
      <c r="W145" s="331"/>
      <c r="X145" s="331"/>
      <c r="Y145" s="294">
        <f>IF(NFI_Expiration=1,IF($A145&lt;VLOOKUP(H$5,NFI,5,0),1,0)*Table_NFI[[#This Row],[Hygiene Kit]],Table_NFI[Hygiene Kit])</f>
        <v>0</v>
      </c>
      <c r="Z145" s="294">
        <f>IF(NFI_Expiration=1,IF($A145&lt;VLOOKUP(I$5,NFI,5,0),1,0)*Table_NFI[[#This Row],[NFI Core Kit]],Table_NFI[NFI Core Kit])</f>
        <v>0</v>
      </c>
      <c r="AA145" s="294">
        <f>IF(NFI_Expiration=1,IF($A145&lt;VLOOKUP(J$5,NFI,5,0),1,0)*Table_NFI[[#This Row],[Sanitary Kit]],Table_NFI[Sanitary Kit])</f>
        <v>0</v>
      </c>
      <c r="AB145" s="294">
        <f>IF(NFI_Expiration=1,IF($A145&lt;VLOOKUP(K$5,NFI,5,0),1,0)*Table_NFI[[#This Row],[Mosquito net]],Table_NFI[Mosquito net])</f>
        <v>0</v>
      </c>
      <c r="AC145" s="294">
        <f>IF(NFI_Expiration=1,IF($A145&lt;VLOOKUP(L$5,NFI,5,0),1,0)*Table_NFI[[#This Row],[Tarpaulin]],Table_NFI[[#This Row],[Tarpaulin]])</f>
        <v>0</v>
      </c>
      <c r="AD145" s="294">
        <f>IF(NFI_Expiration=1,IF($A145&lt;VLOOKUP(M$5,NFI,5,0),1,0)*Table_NFI[[#This Row],[Blanket]],Table_NFI[[#This Row],[Blanket]])</f>
        <v>0</v>
      </c>
      <c r="AE145" s="294">
        <f>IF(NFI_Expiration=1,IF($A145&lt;VLOOKUP(N$5,NFI,5,0),1,0)*Table_NFI[[#This Row],[Kitchen Set]],Table_NFI[Kitchen Set])</f>
        <v>0</v>
      </c>
      <c r="AF145" s="294">
        <f>IF(NFI_Expiration=1,IF($A145&lt;VLOOKUP(O$5,NFI,5,0),1,0)*Table_NFI[[#This Row],[Clothes Kit]],Table_NFI[Clothes Kit])</f>
        <v>0</v>
      </c>
      <c r="AG145" s="294">
        <f>IF(NFI_Expiration=1,IF($A145&lt;VLOOKUP(P$5,NFI,5,0),1,0)*Table_NFI[[#This Row],[Plastic Bucket]],Table_NFI[Plastic Bucket])</f>
        <v>0</v>
      </c>
      <c r="AH145" s="294">
        <f>IF(NFI_Expiration=1,IF($A145&lt;VLOOKUP(Q$5,NFI,5,0),1,0)*Table_NFI[[#This Row],[Plastic Mat]],Table_NFI[Plastic Mat])*IF(Table_NFI[[#This Row],[Distribution Date]]&gt;"2014-04-01",1,2.5)</f>
        <v>0</v>
      </c>
      <c r="AI145" s="294">
        <f>IF(NFI_Expiration=1,IF($A145&lt;VLOOKUP(R$5,NFI,5,0),1,0)*Table_NFI[[#This Row],[Winter Clothes Adult]],Table_NFI[Winter Clothes Adult])</f>
        <v>0</v>
      </c>
      <c r="AJ145" s="294">
        <f>IF(NFI_Expiration=1,IF($A145&lt;VLOOKUP(S$5,NFI,5,0),1,0)*Table_NFI[[#This Row],[Winter Clothes Children]],Table_NFI[Winter Clothes Children])</f>
        <v>0</v>
      </c>
      <c r="AK145" s="294">
        <f>IF(NFI_Expiration=1,IF($A145&lt;VLOOKUP(T$5,NFI,5,0),1,0)*Table_NFI[[#This Row],[Winter Items Other]],Table_NFI[Winter Items Other])</f>
        <v>0</v>
      </c>
      <c r="AL145" s="294">
        <f>IF(NFI_Expiration=1,IF($A145&lt;VLOOKUP(M$5,NFI,5,0),1,0)*Table_NFI[[#This Row],[Winter Blanket]],Table_NFI[[#This Row],[Winter Blanket]])</f>
        <v>0</v>
      </c>
      <c r="AM145" s="294">
        <f>IF(Table_NFI[[#This Row],[Winter Clothes Adult]]+Table_NFI[[#This Row],[Winter Clothes Children]]+Table_NFI[[#This Row],[Winter Items Other]]+Table_NFI[[#This Row],[Winter Blanket]]&gt;0,1,0)</f>
        <v>0</v>
      </c>
      <c r="AN145" s="331">
        <f>IF(NFI_Expiration=1,IF($A145&lt;VLOOKUP(V$5,NFI,5,0),1,0)*Table_NFI[[#This Row],[Jerry Can]],Table_NFI[Jerry Can])</f>
        <v>0</v>
      </c>
      <c r="AO145" s="331">
        <f>IF(NFI_Expiration=1,IF($A145&lt;VLOOKUP(V$5,NFI,5,0),1,0)*Table_NFI[[#This Row],[Shelter Tool kit]],Table_NFI[Shelter Tool kit])</f>
        <v>0</v>
      </c>
      <c r="AP145" s="331">
        <f>IF(NFI_Expiration=1,IF($A145&lt;VLOOKUP(V$5,NFI,5,0),1,0)*Table_NFI[[#This Row],[Tent]],Table_NFI[Tent])</f>
        <v>0</v>
      </c>
      <c r="AQ145" s="467" t="str">
        <f>IFERROR(VLOOKUP(Table_NFI[[#This Row],[Camp Name]],CL,2,0),"")</f>
        <v>MMR001CMP047</v>
      </c>
      <c r="AR145" s="835">
        <f ca="1">IF(Table_NFI[[#This Row],[Pcode]]="","",IF(OFFSET(CampList[Opening Date],MATCH(Table_NFI[[#This Row],[Pcode]],CampList[CP_Pcode],0)-1,0,1,1)&gt;=NFI_Monitor_Date,1,0))</f>
        <v>0</v>
      </c>
      <c r="AS145" s="467" t="str">
        <f>IFERROR(VLOOKUP(Table_NFI[[#This Row],[Camp Name]],CL,3,0),"")</f>
        <v>Open</v>
      </c>
      <c r="AT145" s="294" t="str">
        <f ca="1">IF(Table_NFI[[#This Row],[Pcode]]="","",OFFSET(CampList[Priority],MATCH(Table_NFI[[#This Row],[Pcode]],CampList[CP_Pcode],0)-1,0,1,1))</f>
        <v>P4</v>
      </c>
      <c r="AU145" s="293">
        <f>IFERROR(Table_NFI[[#This Row],[Kitchen Set]]/VLOOKUP(Table_NFI[[#This Row],[Camp Name]],CL,4,0),"")</f>
        <v>0</v>
      </c>
      <c r="AV145" s="461"/>
      <c r="AW145" s="463"/>
    </row>
    <row r="146" spans="1:49" s="98" customFormat="1" ht="15" customHeight="1" x14ac:dyDescent="0.2">
      <c r="A146" s="297">
        <f t="shared" si="2"/>
        <v>19.366666666666667</v>
      </c>
      <c r="B146" s="460">
        <v>42155</v>
      </c>
      <c r="C146" s="461" t="s">
        <v>905</v>
      </c>
      <c r="D146" s="461" t="s">
        <v>905</v>
      </c>
      <c r="E146" s="461" t="s">
        <v>380</v>
      </c>
      <c r="F146" s="461" t="s">
        <v>185</v>
      </c>
      <c r="G146" s="290" t="s">
        <v>217</v>
      </c>
      <c r="H146" s="291"/>
      <c r="I146" s="291"/>
      <c r="J146" s="575">
        <v>34</v>
      </c>
      <c r="K146" s="291"/>
      <c r="L146" s="292"/>
      <c r="M146" s="292"/>
      <c r="N146" s="292"/>
      <c r="O146" s="292"/>
      <c r="P146" s="294"/>
      <c r="Q146" s="294"/>
      <c r="R146" s="294"/>
      <c r="S146" s="294"/>
      <c r="T146" s="294"/>
      <c r="U146" s="294"/>
      <c r="V146" s="431"/>
      <c r="W146" s="294"/>
      <c r="X146" s="294"/>
      <c r="Y146" s="294">
        <f>IF(NFI_Expiration=1,IF($A146&lt;VLOOKUP(H$5,NFI,5,0),1,0)*Table_NFI[[#This Row],[Hygiene Kit]],Table_NFI[Hygiene Kit])</f>
        <v>0</v>
      </c>
      <c r="Z146" s="294">
        <f>IF(NFI_Expiration=1,IF($A146&lt;VLOOKUP(I$5,NFI,5,0),1,0)*Table_NFI[[#This Row],[NFI Core Kit]],Table_NFI[NFI Core Kit])</f>
        <v>0</v>
      </c>
      <c r="AA146" s="294">
        <f>IF(NFI_Expiration=1,IF($A146&lt;VLOOKUP(J$5,NFI,5,0),1,0)*Table_NFI[[#This Row],[Sanitary Kit]],Table_NFI[Sanitary Kit])</f>
        <v>0</v>
      </c>
      <c r="AB146" s="294">
        <f>IF(NFI_Expiration=1,IF($A146&lt;VLOOKUP(K$5,NFI,5,0),1,0)*Table_NFI[[#This Row],[Mosquito net]],Table_NFI[Mosquito net])</f>
        <v>0</v>
      </c>
      <c r="AC146" s="294">
        <f>IF(NFI_Expiration=1,IF($A146&lt;VLOOKUP(L$5,NFI,5,0),1,0)*Table_NFI[[#This Row],[Tarpaulin]],Table_NFI[[#This Row],[Tarpaulin]])</f>
        <v>0</v>
      </c>
      <c r="AD146" s="294">
        <f>IF(NFI_Expiration=1,IF($A146&lt;VLOOKUP(M$5,NFI,5,0),1,0)*Table_NFI[[#This Row],[Blanket]],Table_NFI[[#This Row],[Blanket]])</f>
        <v>0</v>
      </c>
      <c r="AE146" s="294">
        <f>IF(NFI_Expiration=1,IF($A146&lt;VLOOKUP(N$5,NFI,5,0),1,0)*Table_NFI[[#This Row],[Kitchen Set]],Table_NFI[Kitchen Set])</f>
        <v>0</v>
      </c>
      <c r="AF146" s="294">
        <f>IF(NFI_Expiration=1,IF($A146&lt;VLOOKUP(O$5,NFI,5,0),1,0)*Table_NFI[[#This Row],[Clothes Kit]],Table_NFI[Clothes Kit])</f>
        <v>0</v>
      </c>
      <c r="AG146" s="294">
        <f>IF(NFI_Expiration=1,IF($A146&lt;VLOOKUP(P$5,NFI,5,0),1,0)*Table_NFI[[#This Row],[Plastic Bucket]],Table_NFI[Plastic Bucket])</f>
        <v>0</v>
      </c>
      <c r="AH146" s="294">
        <f>IF(NFI_Expiration=1,IF($A146&lt;VLOOKUP(Q$5,NFI,5,0),1,0)*Table_NFI[[#This Row],[Plastic Mat]],Table_NFI[Plastic Mat])*IF(Table_NFI[[#This Row],[Distribution Date]]&gt;"2014-04-01",1,2.5)</f>
        <v>0</v>
      </c>
      <c r="AI146" s="294">
        <f>IF(NFI_Expiration=1,IF($A146&lt;VLOOKUP(R$5,NFI,5,0),1,0)*Table_NFI[[#This Row],[Winter Clothes Adult]],Table_NFI[Winter Clothes Adult])</f>
        <v>0</v>
      </c>
      <c r="AJ146" s="294">
        <f>IF(NFI_Expiration=1,IF($A146&lt;VLOOKUP(S$5,NFI,5,0),1,0)*Table_NFI[[#This Row],[Winter Clothes Children]],Table_NFI[Winter Clothes Children])</f>
        <v>0</v>
      </c>
      <c r="AK146" s="294">
        <f>IF(NFI_Expiration=1,IF($A146&lt;VLOOKUP(T$5,NFI,5,0),1,0)*Table_NFI[[#This Row],[Winter Items Other]],Table_NFI[Winter Items Other])</f>
        <v>0</v>
      </c>
      <c r="AL146" s="294">
        <f>IF(NFI_Expiration=1,IF($A146&lt;VLOOKUP(M$5,NFI,5,0),1,0)*Table_NFI[[#This Row],[Winter Blanket]],Table_NFI[[#This Row],[Winter Blanket]])</f>
        <v>0</v>
      </c>
      <c r="AM146" s="294">
        <f>IF(Table_NFI[[#This Row],[Winter Clothes Adult]]+Table_NFI[[#This Row],[Winter Clothes Children]]+Table_NFI[[#This Row],[Winter Items Other]]+Table_NFI[[#This Row],[Winter Blanket]]&gt;0,1,0)</f>
        <v>0</v>
      </c>
      <c r="AN146" s="331">
        <f>IF(NFI_Expiration=1,IF($A146&lt;VLOOKUP(V$5,NFI,5,0),1,0)*Table_NFI[[#This Row],[Jerry Can]],Table_NFI[Jerry Can])</f>
        <v>0</v>
      </c>
      <c r="AO146" s="331">
        <f>IF(NFI_Expiration=1,IF($A146&lt;VLOOKUP(V$5,NFI,5,0),1,0)*Table_NFI[[#This Row],[Shelter Tool kit]],Table_NFI[Shelter Tool kit])</f>
        <v>0</v>
      </c>
      <c r="AP146" s="331">
        <f>IF(NFI_Expiration=1,IF($A146&lt;VLOOKUP(V$5,NFI,5,0),1,0)*Table_NFI[[#This Row],[Tent]],Table_NFI[Tent])</f>
        <v>0</v>
      </c>
      <c r="AQ146" s="467" t="str">
        <f>IFERROR(VLOOKUP(Table_NFI[[#This Row],[Camp Name]],CL,2,0),"")</f>
        <v>MMR001CMP059</v>
      </c>
      <c r="AR146" s="835">
        <f ca="1">IF(Table_NFI[[#This Row],[Pcode]]="","",IF(OFFSET(CampList[Opening Date],MATCH(Table_NFI[[#This Row],[Pcode]],CampList[CP_Pcode],0)-1,0,1,1)&gt;=NFI_Monitor_Date,1,0))</f>
        <v>0</v>
      </c>
      <c r="AS146" s="467" t="str">
        <f>IFERROR(VLOOKUP(Table_NFI[[#This Row],[Camp Name]],CL,3,0),"")</f>
        <v>Closed</v>
      </c>
      <c r="AT146" s="294" t="str">
        <f ca="1">IF(Table_NFI[[#This Row],[Pcode]]="","",OFFSET(CampList[Priority],MATCH(Table_NFI[[#This Row],[Pcode]],CampList[CP_Pcode],0)-1,0,1,1))</f>
        <v>P4</v>
      </c>
      <c r="AU146" s="293">
        <f>IFERROR(Table_NFI[[#This Row],[Kitchen Set]]/VLOOKUP(Table_NFI[[#This Row],[Camp Name]],CL,4,0),"")</f>
        <v>0</v>
      </c>
      <c r="AV146" s="461"/>
      <c r="AW146" s="463"/>
    </row>
    <row r="147" spans="1:49" s="98" customFormat="1" ht="14.45" customHeight="1" x14ac:dyDescent="0.2">
      <c r="A147" s="297">
        <f t="shared" si="2"/>
        <v>19.366666666666667</v>
      </c>
      <c r="B147" s="460">
        <v>42155</v>
      </c>
      <c r="C147" s="461" t="s">
        <v>905</v>
      </c>
      <c r="D147" s="462" t="s">
        <v>905</v>
      </c>
      <c r="E147" s="461" t="s">
        <v>380</v>
      </c>
      <c r="F147" s="290" t="s">
        <v>185</v>
      </c>
      <c r="G147" s="290" t="s">
        <v>186</v>
      </c>
      <c r="H147" s="291"/>
      <c r="I147" s="291"/>
      <c r="J147" s="292"/>
      <c r="K147" s="291"/>
      <c r="L147" s="292"/>
      <c r="M147" s="292"/>
      <c r="N147" s="292"/>
      <c r="O147" s="292"/>
      <c r="P147" s="294"/>
      <c r="Q147" s="294"/>
      <c r="R147" s="294"/>
      <c r="S147" s="294"/>
      <c r="T147" s="294"/>
      <c r="U147" s="294"/>
      <c r="V147" s="612">
        <v>2</v>
      </c>
      <c r="W147" s="294"/>
      <c r="X147" s="294"/>
      <c r="Y147" s="294">
        <f>IF(NFI_Expiration=1,IF($A147&lt;VLOOKUP(H$5,NFI,5,0),1,0)*Table_NFI[[#This Row],[Hygiene Kit]],Table_NFI[Hygiene Kit])</f>
        <v>0</v>
      </c>
      <c r="Z147" s="294">
        <f>IF(NFI_Expiration=1,IF($A147&lt;VLOOKUP(I$5,NFI,5,0),1,0)*Table_NFI[[#This Row],[NFI Core Kit]],Table_NFI[NFI Core Kit])</f>
        <v>0</v>
      </c>
      <c r="AA147" s="294">
        <f>IF(NFI_Expiration=1,IF($A147&lt;VLOOKUP(J$5,NFI,5,0),1,0)*Table_NFI[[#This Row],[Sanitary Kit]],Table_NFI[Sanitary Kit])</f>
        <v>0</v>
      </c>
      <c r="AB147" s="294">
        <f>IF(NFI_Expiration=1,IF($A147&lt;VLOOKUP(K$5,NFI,5,0),1,0)*Table_NFI[[#This Row],[Mosquito net]],Table_NFI[Mosquito net])</f>
        <v>0</v>
      </c>
      <c r="AC147" s="294">
        <f>IF(NFI_Expiration=1,IF($A147&lt;VLOOKUP(L$5,NFI,5,0),1,0)*Table_NFI[[#This Row],[Tarpaulin]],Table_NFI[[#This Row],[Tarpaulin]])</f>
        <v>0</v>
      </c>
      <c r="AD147" s="294">
        <f>IF(NFI_Expiration=1,IF($A147&lt;VLOOKUP(M$5,NFI,5,0),1,0)*Table_NFI[[#This Row],[Blanket]],Table_NFI[[#This Row],[Blanket]])</f>
        <v>0</v>
      </c>
      <c r="AE147" s="294">
        <f>IF(NFI_Expiration=1,IF($A147&lt;VLOOKUP(N$5,NFI,5,0),1,0)*Table_NFI[[#This Row],[Kitchen Set]],Table_NFI[Kitchen Set])</f>
        <v>0</v>
      </c>
      <c r="AF147" s="294">
        <f>IF(NFI_Expiration=1,IF($A147&lt;VLOOKUP(O$5,NFI,5,0),1,0)*Table_NFI[[#This Row],[Clothes Kit]],Table_NFI[Clothes Kit])</f>
        <v>0</v>
      </c>
      <c r="AG147" s="294">
        <f>IF(NFI_Expiration=1,IF($A147&lt;VLOOKUP(P$5,NFI,5,0),1,0)*Table_NFI[[#This Row],[Plastic Bucket]],Table_NFI[Plastic Bucket])</f>
        <v>0</v>
      </c>
      <c r="AH147" s="294">
        <f>IF(NFI_Expiration=1,IF($A147&lt;VLOOKUP(Q$5,NFI,5,0),1,0)*Table_NFI[[#This Row],[Plastic Mat]],Table_NFI[Plastic Mat])*IF(Table_NFI[[#This Row],[Distribution Date]]&gt;"2014-04-01",1,2.5)</f>
        <v>0</v>
      </c>
      <c r="AI147" s="294">
        <f>IF(NFI_Expiration=1,IF($A147&lt;VLOOKUP(R$5,NFI,5,0),1,0)*Table_NFI[[#This Row],[Winter Clothes Adult]],Table_NFI[Winter Clothes Adult])</f>
        <v>0</v>
      </c>
      <c r="AJ147" s="294">
        <f>IF(NFI_Expiration=1,IF($A147&lt;VLOOKUP(S$5,NFI,5,0),1,0)*Table_NFI[[#This Row],[Winter Clothes Children]],Table_NFI[Winter Clothes Children])</f>
        <v>0</v>
      </c>
      <c r="AK147" s="294">
        <f>IF(NFI_Expiration=1,IF($A147&lt;VLOOKUP(T$5,NFI,5,0),1,0)*Table_NFI[[#This Row],[Winter Items Other]],Table_NFI[Winter Items Other])</f>
        <v>0</v>
      </c>
      <c r="AL147" s="294">
        <f>IF(NFI_Expiration=1,IF($A147&lt;VLOOKUP(M$5,NFI,5,0),1,0)*Table_NFI[[#This Row],[Winter Blanket]],Table_NFI[[#This Row],[Winter Blanket]])</f>
        <v>0</v>
      </c>
      <c r="AM147" s="294">
        <f>IF(Table_NFI[[#This Row],[Winter Clothes Adult]]+Table_NFI[[#This Row],[Winter Clothes Children]]+Table_NFI[[#This Row],[Winter Items Other]]+Table_NFI[[#This Row],[Winter Blanket]]&gt;0,1,0)</f>
        <v>0</v>
      </c>
      <c r="AN147" s="331">
        <f>IF(NFI_Expiration=1,IF($A147&lt;VLOOKUP(V$5,NFI,5,0),1,0)*Table_NFI[[#This Row],[Jerry Can]],Table_NFI[Jerry Can])</f>
        <v>0</v>
      </c>
      <c r="AO147" s="331">
        <f>IF(NFI_Expiration=1,IF($A147&lt;VLOOKUP(V$5,NFI,5,0),1,0)*Table_NFI[[#This Row],[Shelter Tool kit]],Table_NFI[Shelter Tool kit])</f>
        <v>0</v>
      </c>
      <c r="AP147" s="331">
        <f>IF(NFI_Expiration=1,IF($A147&lt;VLOOKUP(V$5,NFI,5,0),1,0)*Table_NFI[[#This Row],[Tent]],Table_NFI[Tent])</f>
        <v>0</v>
      </c>
      <c r="AQ147" s="467" t="str">
        <f>IFERROR(VLOOKUP(Table_NFI[[#This Row],[Camp Name]],CL,2,0),"")</f>
        <v>MMR001CMP071</v>
      </c>
      <c r="AR147" s="835">
        <f ca="1">IF(Table_NFI[[#This Row],[Pcode]]="","",IF(OFFSET(CampList[Opening Date],MATCH(Table_NFI[[#This Row],[Pcode]],CampList[CP_Pcode],0)-1,0,1,1)&gt;=NFI_Monitor_Date,1,0))</f>
        <v>0</v>
      </c>
      <c r="AS147" s="467" t="str">
        <f>IFERROR(VLOOKUP(Table_NFI[[#This Row],[Camp Name]],CL,3,0),"")</f>
        <v>Open</v>
      </c>
      <c r="AT147" s="294" t="str">
        <f ca="1">IF(Table_NFI[[#This Row],[Pcode]]="","",OFFSET(CampList[Priority],MATCH(Table_NFI[[#This Row],[Pcode]],CampList[CP_Pcode],0)-1,0,1,1))</f>
        <v>P3</v>
      </c>
      <c r="AU147" s="293">
        <f>IFERROR(Table_NFI[[#This Row],[Kitchen Set]]/VLOOKUP(Table_NFI[[#This Row],[Camp Name]],CL,4,0),"")</f>
        <v>0</v>
      </c>
      <c r="AV147" s="461"/>
      <c r="AW147" s="463"/>
    </row>
    <row r="148" spans="1:49" s="464" customFormat="1" ht="14.45" customHeight="1" x14ac:dyDescent="0.2">
      <c r="A148" s="297">
        <f t="shared" si="2"/>
        <v>19.366666666666667</v>
      </c>
      <c r="B148" s="460">
        <v>42155</v>
      </c>
      <c r="C148" s="461" t="s">
        <v>905</v>
      </c>
      <c r="D148" s="462" t="s">
        <v>905</v>
      </c>
      <c r="E148" s="461" t="s">
        <v>380</v>
      </c>
      <c r="F148" s="290" t="s">
        <v>185</v>
      </c>
      <c r="G148" s="290" t="s">
        <v>190</v>
      </c>
      <c r="H148" s="291"/>
      <c r="I148" s="291"/>
      <c r="J148" s="292"/>
      <c r="K148" s="291"/>
      <c r="L148" s="292"/>
      <c r="M148" s="292"/>
      <c r="N148" s="292"/>
      <c r="O148" s="292"/>
      <c r="P148" s="294"/>
      <c r="Q148" s="294"/>
      <c r="R148" s="294"/>
      <c r="S148" s="294"/>
      <c r="T148" s="294"/>
      <c r="U148" s="294"/>
      <c r="V148" s="612">
        <v>4</v>
      </c>
      <c r="W148" s="294"/>
      <c r="X148" s="294"/>
      <c r="Y148" s="294">
        <f>IF(NFI_Expiration=1,IF($A148&lt;VLOOKUP(H$5,NFI,5,0),1,0)*Table_NFI[[#This Row],[Hygiene Kit]],Table_NFI[Hygiene Kit])</f>
        <v>0</v>
      </c>
      <c r="Z148" s="294">
        <f>IF(NFI_Expiration=1,IF($A148&lt;VLOOKUP(I$5,NFI,5,0),1,0)*Table_NFI[[#This Row],[NFI Core Kit]],Table_NFI[NFI Core Kit])</f>
        <v>0</v>
      </c>
      <c r="AA148" s="294">
        <f>IF(NFI_Expiration=1,IF($A148&lt;VLOOKUP(J$5,NFI,5,0),1,0)*Table_NFI[[#This Row],[Sanitary Kit]],Table_NFI[Sanitary Kit])</f>
        <v>0</v>
      </c>
      <c r="AB148" s="294">
        <f>IF(NFI_Expiration=1,IF($A148&lt;VLOOKUP(K$5,NFI,5,0),1,0)*Table_NFI[[#This Row],[Mosquito net]],Table_NFI[Mosquito net])</f>
        <v>0</v>
      </c>
      <c r="AC148" s="294">
        <f>IF(NFI_Expiration=1,IF($A148&lt;VLOOKUP(L$5,NFI,5,0),1,0)*Table_NFI[[#This Row],[Tarpaulin]],Table_NFI[[#This Row],[Tarpaulin]])</f>
        <v>0</v>
      </c>
      <c r="AD148" s="294">
        <f>IF(NFI_Expiration=1,IF($A148&lt;VLOOKUP(M$5,NFI,5,0),1,0)*Table_NFI[[#This Row],[Blanket]],Table_NFI[[#This Row],[Blanket]])</f>
        <v>0</v>
      </c>
      <c r="AE148" s="294">
        <f>IF(NFI_Expiration=1,IF($A148&lt;VLOOKUP(N$5,NFI,5,0),1,0)*Table_NFI[[#This Row],[Kitchen Set]],Table_NFI[Kitchen Set])</f>
        <v>0</v>
      </c>
      <c r="AF148" s="294">
        <f>IF(NFI_Expiration=1,IF($A148&lt;VLOOKUP(O$5,NFI,5,0),1,0)*Table_NFI[[#This Row],[Clothes Kit]],Table_NFI[Clothes Kit])</f>
        <v>0</v>
      </c>
      <c r="AG148" s="294">
        <f>IF(NFI_Expiration=1,IF($A148&lt;VLOOKUP(P$5,NFI,5,0),1,0)*Table_NFI[[#This Row],[Plastic Bucket]],Table_NFI[Plastic Bucket])</f>
        <v>0</v>
      </c>
      <c r="AH148" s="294">
        <f>IF(NFI_Expiration=1,IF($A148&lt;VLOOKUP(Q$5,NFI,5,0),1,0)*Table_NFI[[#This Row],[Plastic Mat]],Table_NFI[Plastic Mat])*IF(Table_NFI[[#This Row],[Distribution Date]]&gt;"2014-04-01",1,2.5)</f>
        <v>0</v>
      </c>
      <c r="AI148" s="294">
        <f>IF(NFI_Expiration=1,IF($A148&lt;VLOOKUP(R$5,NFI,5,0),1,0)*Table_NFI[[#This Row],[Winter Clothes Adult]],Table_NFI[Winter Clothes Adult])</f>
        <v>0</v>
      </c>
      <c r="AJ148" s="294">
        <f>IF(NFI_Expiration=1,IF($A148&lt;VLOOKUP(S$5,NFI,5,0),1,0)*Table_NFI[[#This Row],[Winter Clothes Children]],Table_NFI[Winter Clothes Children])</f>
        <v>0</v>
      </c>
      <c r="AK148" s="294">
        <f>IF(NFI_Expiration=1,IF($A148&lt;VLOOKUP(T$5,NFI,5,0),1,0)*Table_NFI[[#This Row],[Winter Items Other]],Table_NFI[Winter Items Other])</f>
        <v>0</v>
      </c>
      <c r="AL148" s="294">
        <f>IF(NFI_Expiration=1,IF($A148&lt;VLOOKUP(M$5,NFI,5,0),1,0)*Table_NFI[[#This Row],[Winter Blanket]],Table_NFI[[#This Row],[Winter Blanket]])</f>
        <v>0</v>
      </c>
      <c r="AM148" s="294">
        <f>IF(Table_NFI[[#This Row],[Winter Clothes Adult]]+Table_NFI[[#This Row],[Winter Clothes Children]]+Table_NFI[[#This Row],[Winter Items Other]]+Table_NFI[[#This Row],[Winter Blanket]]&gt;0,1,0)</f>
        <v>0</v>
      </c>
      <c r="AN148" s="331">
        <f>IF(NFI_Expiration=1,IF($A148&lt;VLOOKUP(V$5,NFI,5,0),1,0)*Table_NFI[[#This Row],[Jerry Can]],Table_NFI[Jerry Can])</f>
        <v>0</v>
      </c>
      <c r="AO148" s="331">
        <f>IF(NFI_Expiration=1,IF($A148&lt;VLOOKUP(V$5,NFI,5,0),1,0)*Table_NFI[[#This Row],[Shelter Tool kit]],Table_NFI[Shelter Tool kit])</f>
        <v>0</v>
      </c>
      <c r="AP148" s="331">
        <f>IF(NFI_Expiration=1,IF($A148&lt;VLOOKUP(V$5,NFI,5,0),1,0)*Table_NFI[[#This Row],[Tent]],Table_NFI[Tent])</f>
        <v>0</v>
      </c>
      <c r="AQ148" s="467" t="str">
        <f>IFERROR(VLOOKUP(Table_NFI[[#This Row],[Camp Name]],CL,2,0),"")</f>
        <v>MMR001CMP070</v>
      </c>
      <c r="AR148" s="835">
        <f ca="1">IF(Table_NFI[[#This Row],[Pcode]]="","",IF(OFFSET(CampList[Opening Date],MATCH(Table_NFI[[#This Row],[Pcode]],CampList[CP_Pcode],0)-1,0,1,1)&gt;=NFI_Monitor_Date,1,0))</f>
        <v>0</v>
      </c>
      <c r="AS148" s="467" t="str">
        <f>IFERROR(VLOOKUP(Table_NFI[[#This Row],[Camp Name]],CL,3,0),"")</f>
        <v>Open</v>
      </c>
      <c r="AT148" s="294" t="str">
        <f ca="1">IF(Table_NFI[[#This Row],[Pcode]]="","",OFFSET(CampList[Priority],MATCH(Table_NFI[[#This Row],[Pcode]],CampList[CP_Pcode],0)-1,0,1,1))</f>
        <v>P3</v>
      </c>
      <c r="AU148" s="293">
        <f>IFERROR(Table_NFI[[#This Row],[Kitchen Set]]/VLOOKUP(Table_NFI[[#This Row],[Camp Name]],CL,4,0),"")</f>
        <v>0</v>
      </c>
      <c r="AV148" s="461"/>
      <c r="AW148" s="463"/>
    </row>
    <row r="149" spans="1:49" s="98" customFormat="1" ht="14.45" customHeight="1" x14ac:dyDescent="0.2">
      <c r="A149" s="297">
        <f t="shared" si="2"/>
        <v>19.366666666666667</v>
      </c>
      <c r="B149" s="460">
        <v>42155</v>
      </c>
      <c r="C149" s="461" t="s">
        <v>905</v>
      </c>
      <c r="D149" s="461" t="s">
        <v>905</v>
      </c>
      <c r="E149" s="461" t="s">
        <v>380</v>
      </c>
      <c r="F149" s="461" t="s">
        <v>5</v>
      </c>
      <c r="G149" s="461" t="s">
        <v>366</v>
      </c>
      <c r="H149" s="291"/>
      <c r="I149" s="291"/>
      <c r="J149" s="291"/>
      <c r="K149" s="291"/>
      <c r="L149" s="292"/>
      <c r="M149" s="292"/>
      <c r="N149" s="292"/>
      <c r="O149" s="292"/>
      <c r="P149" s="294"/>
      <c r="Q149" s="294"/>
      <c r="R149" s="294"/>
      <c r="S149" s="294"/>
      <c r="T149" s="294"/>
      <c r="U149" s="294"/>
      <c r="V149" s="612">
        <v>6</v>
      </c>
      <c r="W149" s="294"/>
      <c r="X149" s="294"/>
      <c r="Y149" s="294">
        <f>IF(NFI_Expiration=1,IF($A149&lt;VLOOKUP(H$5,NFI,5,0),1,0)*Table_NFI[[#This Row],[Hygiene Kit]],Table_NFI[Hygiene Kit])</f>
        <v>0</v>
      </c>
      <c r="Z149" s="294">
        <f>IF(NFI_Expiration=1,IF($A149&lt;VLOOKUP(I$5,NFI,5,0),1,0)*Table_NFI[[#This Row],[NFI Core Kit]],Table_NFI[NFI Core Kit])</f>
        <v>0</v>
      </c>
      <c r="AA149" s="294">
        <f>IF(NFI_Expiration=1,IF($A149&lt;VLOOKUP(J$5,NFI,5,0),1,0)*Table_NFI[[#This Row],[Sanitary Kit]],Table_NFI[Sanitary Kit])</f>
        <v>0</v>
      </c>
      <c r="AB149" s="294">
        <f>IF(NFI_Expiration=1,IF($A149&lt;VLOOKUP(K$5,NFI,5,0),1,0)*Table_NFI[[#This Row],[Mosquito net]],Table_NFI[Mosquito net])</f>
        <v>0</v>
      </c>
      <c r="AC149" s="294">
        <f>IF(NFI_Expiration=1,IF($A149&lt;VLOOKUP(L$5,NFI,5,0),1,0)*Table_NFI[[#This Row],[Tarpaulin]],Table_NFI[[#This Row],[Tarpaulin]])</f>
        <v>0</v>
      </c>
      <c r="AD149" s="294">
        <f>IF(NFI_Expiration=1,IF($A149&lt;VLOOKUP(M$5,NFI,5,0),1,0)*Table_NFI[[#This Row],[Blanket]],Table_NFI[[#This Row],[Blanket]])</f>
        <v>0</v>
      </c>
      <c r="AE149" s="294">
        <f>IF(NFI_Expiration=1,IF($A149&lt;VLOOKUP(N$5,NFI,5,0),1,0)*Table_NFI[[#This Row],[Kitchen Set]],Table_NFI[Kitchen Set])</f>
        <v>0</v>
      </c>
      <c r="AF149" s="294">
        <f>IF(NFI_Expiration=1,IF($A149&lt;VLOOKUP(O$5,NFI,5,0),1,0)*Table_NFI[[#This Row],[Clothes Kit]],Table_NFI[Clothes Kit])</f>
        <v>0</v>
      </c>
      <c r="AG149" s="294">
        <f>IF(NFI_Expiration=1,IF($A149&lt;VLOOKUP(P$5,NFI,5,0),1,0)*Table_NFI[[#This Row],[Plastic Bucket]],Table_NFI[Plastic Bucket])</f>
        <v>0</v>
      </c>
      <c r="AH149" s="294">
        <f>IF(NFI_Expiration=1,IF($A149&lt;VLOOKUP(Q$5,NFI,5,0),1,0)*Table_NFI[[#This Row],[Plastic Mat]],Table_NFI[Plastic Mat])*IF(Table_NFI[[#This Row],[Distribution Date]]&gt;"2014-04-01",1,2.5)</f>
        <v>0</v>
      </c>
      <c r="AI149" s="294">
        <f>IF(NFI_Expiration=1,IF($A149&lt;VLOOKUP(R$5,NFI,5,0),1,0)*Table_NFI[[#This Row],[Winter Clothes Adult]],Table_NFI[Winter Clothes Adult])</f>
        <v>0</v>
      </c>
      <c r="AJ149" s="294">
        <f>IF(NFI_Expiration=1,IF($A149&lt;VLOOKUP(S$5,NFI,5,0),1,0)*Table_NFI[[#This Row],[Winter Clothes Children]],Table_NFI[Winter Clothes Children])</f>
        <v>0</v>
      </c>
      <c r="AK149" s="294">
        <f>IF(NFI_Expiration=1,IF($A149&lt;VLOOKUP(T$5,NFI,5,0),1,0)*Table_NFI[[#This Row],[Winter Items Other]],Table_NFI[Winter Items Other])</f>
        <v>0</v>
      </c>
      <c r="AL149" s="294">
        <f>IF(NFI_Expiration=1,IF($A149&lt;VLOOKUP(M$5,NFI,5,0),1,0)*Table_NFI[[#This Row],[Winter Blanket]],Table_NFI[[#This Row],[Winter Blanket]])</f>
        <v>0</v>
      </c>
      <c r="AM149" s="294">
        <f>IF(Table_NFI[[#This Row],[Winter Clothes Adult]]+Table_NFI[[#This Row],[Winter Clothes Children]]+Table_NFI[[#This Row],[Winter Items Other]]+Table_NFI[[#This Row],[Winter Blanket]]&gt;0,1,0)</f>
        <v>0</v>
      </c>
      <c r="AN149" s="331">
        <f>IF(NFI_Expiration=1,IF($A149&lt;VLOOKUP(V$5,NFI,5,0),1,0)*Table_NFI[[#This Row],[Jerry Can]],Table_NFI[Jerry Can])</f>
        <v>0</v>
      </c>
      <c r="AO149" s="331">
        <f>IF(NFI_Expiration=1,IF($A149&lt;VLOOKUP(V$5,NFI,5,0),1,0)*Table_NFI[[#This Row],[Shelter Tool kit]],Table_NFI[Shelter Tool kit])</f>
        <v>0</v>
      </c>
      <c r="AP149" s="331">
        <f>IF(NFI_Expiration=1,IF($A149&lt;VLOOKUP(V$5,NFI,5,0),1,0)*Table_NFI[[#This Row],[Tent]],Table_NFI[Tent])</f>
        <v>0</v>
      </c>
      <c r="AQ149" s="467" t="str">
        <f>IFERROR(VLOOKUP(Table_NFI[[#This Row],[Camp Name]],CL,2,0),"")</f>
        <v>MMR001CMP193</v>
      </c>
      <c r="AR149" s="835">
        <f ca="1">IF(Table_NFI[[#This Row],[Pcode]]="","",IF(OFFSET(CampList[Opening Date],MATCH(Table_NFI[[#This Row],[Pcode]],CampList[CP_Pcode],0)-1,0,1,1)&gt;=NFI_Monitor_Date,1,0))</f>
        <v>0</v>
      </c>
      <c r="AS149" s="467" t="str">
        <f>IFERROR(VLOOKUP(Table_NFI[[#This Row],[Camp Name]],CL,3,0),"")</f>
        <v>Open</v>
      </c>
      <c r="AT149" s="294" t="str">
        <f ca="1">IF(Table_NFI[[#This Row],[Pcode]]="","",OFFSET(CampList[Priority],MATCH(Table_NFI[[#This Row],[Pcode]],CampList[CP_Pcode],0)-1,0,1,1))</f>
        <v>P4</v>
      </c>
      <c r="AU149" s="293">
        <f>IFERROR(Table_NFI[[#This Row],[Kitchen Set]]/VLOOKUP(Table_NFI[[#This Row],[Camp Name]],CL,4,0),"")</f>
        <v>0</v>
      </c>
      <c r="AV149" s="461"/>
      <c r="AW149" s="463"/>
    </row>
    <row r="150" spans="1:49" s="98" customFormat="1" ht="14.45" customHeight="1" x14ac:dyDescent="0.2">
      <c r="A150" s="297">
        <f t="shared" si="2"/>
        <v>19.366666666666667</v>
      </c>
      <c r="B150" s="460">
        <v>42155</v>
      </c>
      <c r="C150" s="461" t="s">
        <v>905</v>
      </c>
      <c r="D150" s="462" t="s">
        <v>905</v>
      </c>
      <c r="E150" s="461" t="s">
        <v>380</v>
      </c>
      <c r="F150" s="290" t="s">
        <v>185</v>
      </c>
      <c r="G150" s="290" t="s">
        <v>225</v>
      </c>
      <c r="H150" s="291"/>
      <c r="I150" s="291"/>
      <c r="J150" s="292"/>
      <c r="K150" s="291"/>
      <c r="L150" s="292"/>
      <c r="M150" s="292"/>
      <c r="N150" s="292"/>
      <c r="O150" s="292"/>
      <c r="P150" s="294"/>
      <c r="Q150" s="294"/>
      <c r="R150" s="294"/>
      <c r="S150" s="294"/>
      <c r="T150" s="294"/>
      <c r="U150" s="294"/>
      <c r="V150" s="612">
        <v>3</v>
      </c>
      <c r="W150" s="294"/>
      <c r="X150" s="294"/>
      <c r="Y150" s="294">
        <f>IF(NFI_Expiration=1,IF($A150&lt;VLOOKUP(H$5,NFI,5,0),1,0)*Table_NFI[[#This Row],[Hygiene Kit]],Table_NFI[Hygiene Kit])</f>
        <v>0</v>
      </c>
      <c r="Z150" s="294">
        <f>IF(NFI_Expiration=1,IF($A150&lt;VLOOKUP(I$5,NFI,5,0),1,0)*Table_NFI[[#This Row],[NFI Core Kit]],Table_NFI[NFI Core Kit])</f>
        <v>0</v>
      </c>
      <c r="AA150" s="294">
        <f>IF(NFI_Expiration=1,IF($A150&lt;VLOOKUP(J$5,NFI,5,0),1,0)*Table_NFI[[#This Row],[Sanitary Kit]],Table_NFI[Sanitary Kit])</f>
        <v>0</v>
      </c>
      <c r="AB150" s="294">
        <f>IF(NFI_Expiration=1,IF($A150&lt;VLOOKUP(K$5,NFI,5,0),1,0)*Table_NFI[[#This Row],[Mosquito net]],Table_NFI[Mosquito net])</f>
        <v>0</v>
      </c>
      <c r="AC150" s="294">
        <f>IF(NFI_Expiration=1,IF($A150&lt;VLOOKUP(L$5,NFI,5,0),1,0)*Table_NFI[[#This Row],[Tarpaulin]],Table_NFI[[#This Row],[Tarpaulin]])</f>
        <v>0</v>
      </c>
      <c r="AD150" s="294">
        <f>IF(NFI_Expiration=1,IF($A150&lt;VLOOKUP(M$5,NFI,5,0),1,0)*Table_NFI[[#This Row],[Blanket]],Table_NFI[[#This Row],[Blanket]])</f>
        <v>0</v>
      </c>
      <c r="AE150" s="294">
        <f>IF(NFI_Expiration=1,IF($A150&lt;VLOOKUP(N$5,NFI,5,0),1,0)*Table_NFI[[#This Row],[Kitchen Set]],Table_NFI[Kitchen Set])</f>
        <v>0</v>
      </c>
      <c r="AF150" s="294">
        <f>IF(NFI_Expiration=1,IF($A150&lt;VLOOKUP(O$5,NFI,5,0),1,0)*Table_NFI[[#This Row],[Clothes Kit]],Table_NFI[Clothes Kit])</f>
        <v>0</v>
      </c>
      <c r="AG150" s="294">
        <f>IF(NFI_Expiration=1,IF($A150&lt;VLOOKUP(P$5,NFI,5,0),1,0)*Table_NFI[[#This Row],[Plastic Bucket]],Table_NFI[Plastic Bucket])</f>
        <v>0</v>
      </c>
      <c r="AH150" s="294">
        <f>IF(NFI_Expiration=1,IF($A150&lt;VLOOKUP(Q$5,NFI,5,0),1,0)*Table_NFI[[#This Row],[Plastic Mat]],Table_NFI[Plastic Mat])*IF(Table_NFI[[#This Row],[Distribution Date]]&gt;"2014-04-01",1,2.5)</f>
        <v>0</v>
      </c>
      <c r="AI150" s="294">
        <f>IF(NFI_Expiration=1,IF($A150&lt;VLOOKUP(R$5,NFI,5,0),1,0)*Table_NFI[[#This Row],[Winter Clothes Adult]],Table_NFI[Winter Clothes Adult])</f>
        <v>0</v>
      </c>
      <c r="AJ150" s="294">
        <f>IF(NFI_Expiration=1,IF($A150&lt;VLOOKUP(S$5,NFI,5,0),1,0)*Table_NFI[[#This Row],[Winter Clothes Children]],Table_NFI[Winter Clothes Children])</f>
        <v>0</v>
      </c>
      <c r="AK150" s="294">
        <f>IF(NFI_Expiration=1,IF($A150&lt;VLOOKUP(T$5,NFI,5,0),1,0)*Table_NFI[[#This Row],[Winter Items Other]],Table_NFI[Winter Items Other])</f>
        <v>0</v>
      </c>
      <c r="AL150" s="294">
        <f>IF(NFI_Expiration=1,IF($A150&lt;VLOOKUP(M$5,NFI,5,0),1,0)*Table_NFI[[#This Row],[Winter Blanket]],Table_NFI[[#This Row],[Winter Blanket]])</f>
        <v>0</v>
      </c>
      <c r="AM150" s="294">
        <f>IF(Table_NFI[[#This Row],[Winter Clothes Adult]]+Table_NFI[[#This Row],[Winter Clothes Children]]+Table_NFI[[#This Row],[Winter Items Other]]+Table_NFI[[#This Row],[Winter Blanket]]&gt;0,1,0)</f>
        <v>0</v>
      </c>
      <c r="AN150" s="331">
        <f>IF(NFI_Expiration=1,IF($A150&lt;VLOOKUP(V$5,NFI,5,0),1,0)*Table_NFI[[#This Row],[Jerry Can]],Table_NFI[Jerry Can])</f>
        <v>0</v>
      </c>
      <c r="AO150" s="331">
        <f>IF(NFI_Expiration=1,IF($A150&lt;VLOOKUP(V$5,NFI,5,0),1,0)*Table_NFI[[#This Row],[Shelter Tool kit]],Table_NFI[Shelter Tool kit])</f>
        <v>0</v>
      </c>
      <c r="AP150" s="331">
        <f>IF(NFI_Expiration=1,IF($A150&lt;VLOOKUP(V$5,NFI,5,0),1,0)*Table_NFI[[#This Row],[Tent]],Table_NFI[Tent])</f>
        <v>0</v>
      </c>
      <c r="AQ150" s="467" t="str">
        <f>IFERROR(VLOOKUP(Table_NFI[[#This Row],[Camp Name]],CL,2,0),"")</f>
        <v>MMR001CMP073</v>
      </c>
      <c r="AR150" s="835">
        <f ca="1">IF(Table_NFI[[#This Row],[Pcode]]="","",IF(OFFSET(CampList[Opening Date],MATCH(Table_NFI[[#This Row],[Pcode]],CampList[CP_Pcode],0)-1,0,1,1)&gt;=NFI_Monitor_Date,1,0))</f>
        <v>0</v>
      </c>
      <c r="AS150" s="467" t="str">
        <f>IFERROR(VLOOKUP(Table_NFI[[#This Row],[Camp Name]],CL,3,0),"")</f>
        <v>Open</v>
      </c>
      <c r="AT150" s="294" t="str">
        <f ca="1">IF(Table_NFI[[#This Row],[Pcode]]="","",OFFSET(CampList[Priority],MATCH(Table_NFI[[#This Row],[Pcode]],CampList[CP_Pcode],0)-1,0,1,1))</f>
        <v>P3</v>
      </c>
      <c r="AU150" s="293">
        <f>IFERROR(Table_NFI[[#This Row],[Kitchen Set]]/VLOOKUP(Table_NFI[[#This Row],[Camp Name]],CL,4,0),"")</f>
        <v>0</v>
      </c>
      <c r="AV150" s="461"/>
      <c r="AW150" s="463"/>
    </row>
    <row r="151" spans="1:49" s="98" customFormat="1" ht="14.45" customHeight="1" x14ac:dyDescent="0.2">
      <c r="A151" s="297">
        <f t="shared" si="2"/>
        <v>19.399999999999999</v>
      </c>
      <c r="B151" s="460">
        <v>42154</v>
      </c>
      <c r="C151" s="461" t="s">
        <v>905</v>
      </c>
      <c r="D151" s="462" t="s">
        <v>905</v>
      </c>
      <c r="E151" s="461" t="s">
        <v>380</v>
      </c>
      <c r="F151" s="290" t="s">
        <v>5</v>
      </c>
      <c r="G151" s="290" t="s">
        <v>22</v>
      </c>
      <c r="H151" s="291"/>
      <c r="I151" s="291"/>
      <c r="J151" s="291"/>
      <c r="K151" s="291"/>
      <c r="L151" s="292"/>
      <c r="M151" s="292"/>
      <c r="N151" s="292"/>
      <c r="O151" s="292"/>
      <c r="P151" s="294"/>
      <c r="Q151" s="294"/>
      <c r="R151" s="294"/>
      <c r="S151" s="294"/>
      <c r="T151" s="294"/>
      <c r="U151" s="294"/>
      <c r="V151" s="612">
        <v>3</v>
      </c>
      <c r="W151" s="294"/>
      <c r="X151" s="294"/>
      <c r="Y151" s="294">
        <f>IF(NFI_Expiration=1,IF($A151&lt;VLOOKUP(H$5,NFI,5,0),1,0)*Table_NFI[[#This Row],[Hygiene Kit]],Table_NFI[Hygiene Kit])</f>
        <v>0</v>
      </c>
      <c r="Z151" s="294">
        <f>IF(NFI_Expiration=1,IF($A151&lt;VLOOKUP(I$5,NFI,5,0),1,0)*Table_NFI[[#This Row],[NFI Core Kit]],Table_NFI[NFI Core Kit])</f>
        <v>0</v>
      </c>
      <c r="AA151" s="294">
        <f>IF(NFI_Expiration=1,IF($A151&lt;VLOOKUP(J$5,NFI,5,0),1,0)*Table_NFI[[#This Row],[Sanitary Kit]],Table_NFI[Sanitary Kit])</f>
        <v>0</v>
      </c>
      <c r="AB151" s="294">
        <f>IF(NFI_Expiration=1,IF($A151&lt;VLOOKUP(K$5,NFI,5,0),1,0)*Table_NFI[[#This Row],[Mosquito net]],Table_NFI[Mosquito net])</f>
        <v>0</v>
      </c>
      <c r="AC151" s="294">
        <f>IF(NFI_Expiration=1,IF($A151&lt;VLOOKUP(L$5,NFI,5,0),1,0)*Table_NFI[[#This Row],[Tarpaulin]],Table_NFI[[#This Row],[Tarpaulin]])</f>
        <v>0</v>
      </c>
      <c r="AD151" s="294">
        <f>IF(NFI_Expiration=1,IF($A151&lt;VLOOKUP(M$5,NFI,5,0),1,0)*Table_NFI[[#This Row],[Blanket]],Table_NFI[[#This Row],[Blanket]])</f>
        <v>0</v>
      </c>
      <c r="AE151" s="294">
        <f>IF(NFI_Expiration=1,IF($A151&lt;VLOOKUP(N$5,NFI,5,0),1,0)*Table_NFI[[#This Row],[Kitchen Set]],Table_NFI[Kitchen Set])</f>
        <v>0</v>
      </c>
      <c r="AF151" s="294">
        <f>IF(NFI_Expiration=1,IF($A151&lt;VLOOKUP(O$5,NFI,5,0),1,0)*Table_NFI[[#This Row],[Clothes Kit]],Table_NFI[Clothes Kit])</f>
        <v>0</v>
      </c>
      <c r="AG151" s="294">
        <f>IF(NFI_Expiration=1,IF($A151&lt;VLOOKUP(P$5,NFI,5,0),1,0)*Table_NFI[[#This Row],[Plastic Bucket]],Table_NFI[Plastic Bucket])</f>
        <v>0</v>
      </c>
      <c r="AH151" s="294">
        <f>IF(NFI_Expiration=1,IF($A151&lt;VLOOKUP(Q$5,NFI,5,0),1,0)*Table_NFI[[#This Row],[Plastic Mat]],Table_NFI[Plastic Mat])*IF(Table_NFI[[#This Row],[Distribution Date]]&gt;"2014-04-01",1,2.5)</f>
        <v>0</v>
      </c>
      <c r="AI151" s="294">
        <f>IF(NFI_Expiration=1,IF($A151&lt;VLOOKUP(R$5,NFI,5,0),1,0)*Table_NFI[[#This Row],[Winter Clothes Adult]],Table_NFI[Winter Clothes Adult])</f>
        <v>0</v>
      </c>
      <c r="AJ151" s="294">
        <f>IF(NFI_Expiration=1,IF($A151&lt;VLOOKUP(S$5,NFI,5,0),1,0)*Table_NFI[[#This Row],[Winter Clothes Children]],Table_NFI[Winter Clothes Children])</f>
        <v>0</v>
      </c>
      <c r="AK151" s="294">
        <f>IF(NFI_Expiration=1,IF($A151&lt;VLOOKUP(T$5,NFI,5,0),1,0)*Table_NFI[[#This Row],[Winter Items Other]],Table_NFI[Winter Items Other])</f>
        <v>0</v>
      </c>
      <c r="AL151" s="294">
        <f>IF(NFI_Expiration=1,IF($A151&lt;VLOOKUP(M$5,NFI,5,0),1,0)*Table_NFI[[#This Row],[Winter Blanket]],Table_NFI[[#This Row],[Winter Blanket]])</f>
        <v>0</v>
      </c>
      <c r="AM151" s="294">
        <f>IF(Table_NFI[[#This Row],[Winter Clothes Adult]]+Table_NFI[[#This Row],[Winter Clothes Children]]+Table_NFI[[#This Row],[Winter Items Other]]+Table_NFI[[#This Row],[Winter Blanket]]&gt;0,1,0)</f>
        <v>0</v>
      </c>
      <c r="AN151" s="331">
        <f>IF(NFI_Expiration=1,IF($A151&lt;VLOOKUP(V$5,NFI,5,0),1,0)*Table_NFI[[#This Row],[Jerry Can]],Table_NFI[Jerry Can])</f>
        <v>0</v>
      </c>
      <c r="AO151" s="331">
        <f>IF(NFI_Expiration=1,IF($A151&lt;VLOOKUP(V$5,NFI,5,0),1,0)*Table_NFI[[#This Row],[Shelter Tool kit]],Table_NFI[Shelter Tool kit])</f>
        <v>0</v>
      </c>
      <c r="AP151" s="331">
        <f>IF(NFI_Expiration=1,IF($A151&lt;VLOOKUP(V$5,NFI,5,0),1,0)*Table_NFI[[#This Row],[Tent]],Table_NFI[Tent])</f>
        <v>0</v>
      </c>
      <c r="AQ151" s="467" t="str">
        <f>IFERROR(VLOOKUP(Table_NFI[[#This Row],[Camp Name]],CL,2,0),"")</f>
        <v>MMR001CMP047</v>
      </c>
      <c r="AR151" s="835">
        <f ca="1">IF(Table_NFI[[#This Row],[Pcode]]="","",IF(OFFSET(CampList[Opening Date],MATCH(Table_NFI[[#This Row],[Pcode]],CampList[CP_Pcode],0)-1,0,1,1)&gt;=NFI_Monitor_Date,1,0))</f>
        <v>0</v>
      </c>
      <c r="AS151" s="467" t="str">
        <f>IFERROR(VLOOKUP(Table_NFI[[#This Row],[Camp Name]],CL,3,0),"")</f>
        <v>Open</v>
      </c>
      <c r="AT151" s="294" t="str">
        <f ca="1">IF(Table_NFI[[#This Row],[Pcode]]="","",OFFSET(CampList[Priority],MATCH(Table_NFI[[#This Row],[Pcode]],CampList[CP_Pcode],0)-1,0,1,1))</f>
        <v>P4</v>
      </c>
      <c r="AU151" s="293">
        <f>IFERROR(Table_NFI[[#This Row],[Kitchen Set]]/VLOOKUP(Table_NFI[[#This Row],[Camp Name]],CL,4,0),"")</f>
        <v>0</v>
      </c>
      <c r="AV151" s="461"/>
      <c r="AW151" s="463"/>
    </row>
    <row r="152" spans="1:49" s="98" customFormat="1" ht="14.45" customHeight="1" x14ac:dyDescent="0.25">
      <c r="A152" s="297">
        <f t="shared" si="2"/>
        <v>19.433333333333334</v>
      </c>
      <c r="B152" s="460">
        <v>42153</v>
      </c>
      <c r="C152" s="461" t="s">
        <v>905</v>
      </c>
      <c r="D152" s="461" t="s">
        <v>905</v>
      </c>
      <c r="E152" s="461" t="s">
        <v>380</v>
      </c>
      <c r="F152" s="290" t="s">
        <v>185</v>
      </c>
      <c r="G152" s="290" t="s">
        <v>1431</v>
      </c>
      <c r="H152" s="291"/>
      <c r="I152" s="291"/>
      <c r="J152" s="294">
        <v>103</v>
      </c>
      <c r="K152" s="291"/>
      <c r="L152" s="292"/>
      <c r="M152" s="292"/>
      <c r="N152" s="292"/>
      <c r="O152" s="292"/>
      <c r="P152" s="294"/>
      <c r="Q152" s="294"/>
      <c r="R152" s="294"/>
      <c r="S152" s="294"/>
      <c r="T152" s="294"/>
      <c r="U152" s="294"/>
      <c r="V152" s="431"/>
      <c r="W152" s="294"/>
      <c r="X152" s="294"/>
      <c r="Y152" s="294">
        <f>IF(NFI_Expiration=1,IF($A152&lt;VLOOKUP(H$5,NFI,5,0),1,0)*Table_NFI[[#This Row],[Hygiene Kit]],Table_NFI[Hygiene Kit])</f>
        <v>0</v>
      </c>
      <c r="Z152" s="294">
        <f>IF(NFI_Expiration=1,IF($A152&lt;VLOOKUP(I$5,NFI,5,0),1,0)*Table_NFI[[#This Row],[NFI Core Kit]],Table_NFI[NFI Core Kit])</f>
        <v>0</v>
      </c>
      <c r="AA152" s="294">
        <f>IF(NFI_Expiration=1,IF($A152&lt;VLOOKUP(J$5,NFI,5,0),1,0)*Table_NFI[[#This Row],[Sanitary Kit]],Table_NFI[Sanitary Kit])</f>
        <v>0</v>
      </c>
      <c r="AB152" s="294">
        <f>IF(NFI_Expiration=1,IF($A152&lt;VLOOKUP(K$5,NFI,5,0),1,0)*Table_NFI[[#This Row],[Mosquito net]],Table_NFI[Mosquito net])</f>
        <v>0</v>
      </c>
      <c r="AC152" s="294">
        <f>IF(NFI_Expiration=1,IF($A152&lt;VLOOKUP(L$5,NFI,5,0),1,0)*Table_NFI[[#This Row],[Tarpaulin]],Table_NFI[[#This Row],[Tarpaulin]])</f>
        <v>0</v>
      </c>
      <c r="AD152" s="294">
        <f>IF(NFI_Expiration=1,IF($A152&lt;VLOOKUP(M$5,NFI,5,0),1,0)*Table_NFI[[#This Row],[Blanket]],Table_NFI[[#This Row],[Blanket]])</f>
        <v>0</v>
      </c>
      <c r="AE152" s="294">
        <f>IF(NFI_Expiration=1,IF($A152&lt;VLOOKUP(N$5,NFI,5,0),1,0)*Table_NFI[[#This Row],[Kitchen Set]],Table_NFI[Kitchen Set])</f>
        <v>0</v>
      </c>
      <c r="AF152" s="294">
        <f>IF(NFI_Expiration=1,IF($A152&lt;VLOOKUP(O$5,NFI,5,0),1,0)*Table_NFI[[#This Row],[Clothes Kit]],Table_NFI[Clothes Kit])</f>
        <v>0</v>
      </c>
      <c r="AG152" s="294">
        <f>IF(NFI_Expiration=1,IF($A152&lt;VLOOKUP(P$5,NFI,5,0),1,0)*Table_NFI[[#This Row],[Plastic Bucket]],Table_NFI[Plastic Bucket])</f>
        <v>0</v>
      </c>
      <c r="AH152" s="294">
        <f>IF(NFI_Expiration=1,IF($A152&lt;VLOOKUP(Q$5,NFI,5,0),1,0)*Table_NFI[[#This Row],[Plastic Mat]],Table_NFI[Plastic Mat])*IF(Table_NFI[[#This Row],[Distribution Date]]&gt;"2014-04-01",1,2.5)</f>
        <v>0</v>
      </c>
      <c r="AI152" s="294">
        <f>IF(NFI_Expiration=1,IF($A152&lt;VLOOKUP(R$5,NFI,5,0),1,0)*Table_NFI[[#This Row],[Winter Clothes Adult]],Table_NFI[Winter Clothes Adult])</f>
        <v>0</v>
      </c>
      <c r="AJ152" s="294">
        <f>IF(NFI_Expiration=1,IF($A152&lt;VLOOKUP(S$5,NFI,5,0),1,0)*Table_NFI[[#This Row],[Winter Clothes Children]],Table_NFI[Winter Clothes Children])</f>
        <v>0</v>
      </c>
      <c r="AK152" s="294">
        <f>IF(NFI_Expiration=1,IF($A152&lt;VLOOKUP(T$5,NFI,5,0),1,0)*Table_NFI[[#This Row],[Winter Items Other]],Table_NFI[Winter Items Other])</f>
        <v>0</v>
      </c>
      <c r="AL152" s="294">
        <f>IF(NFI_Expiration=1,IF($A152&lt;VLOOKUP(M$5,NFI,5,0),1,0)*Table_NFI[[#This Row],[Winter Blanket]],Table_NFI[[#This Row],[Winter Blanket]])</f>
        <v>0</v>
      </c>
      <c r="AM152" s="294">
        <f>IF(Table_NFI[[#This Row],[Winter Clothes Adult]]+Table_NFI[[#This Row],[Winter Clothes Children]]+Table_NFI[[#This Row],[Winter Items Other]]+Table_NFI[[#This Row],[Winter Blanket]]&gt;0,1,0)</f>
        <v>0</v>
      </c>
      <c r="AN152" s="331">
        <f>IF(NFI_Expiration=1,IF($A152&lt;VLOOKUP(V$5,NFI,5,0),1,0)*Table_NFI[[#This Row],[Jerry Can]],Table_NFI[Jerry Can])</f>
        <v>0</v>
      </c>
      <c r="AO152" s="331">
        <f>IF(NFI_Expiration=1,IF($A152&lt;VLOOKUP(V$5,NFI,5,0),1,0)*Table_NFI[[#This Row],[Shelter Tool kit]],Table_NFI[Shelter Tool kit])</f>
        <v>0</v>
      </c>
      <c r="AP152" s="331">
        <f>IF(NFI_Expiration=1,IF($A152&lt;VLOOKUP(V$5,NFI,5,0),1,0)*Table_NFI[[#This Row],[Tent]],Table_NFI[Tent])</f>
        <v>0</v>
      </c>
      <c r="AQ152" s="467" t="str">
        <f>IFERROR(VLOOKUP(Table_NFI[[#This Row],[Camp Name]],CL,2,0),"")</f>
        <v/>
      </c>
      <c r="AR152" s="835" t="str">
        <f ca="1">IF(Table_NFI[[#This Row],[Pcode]]="","",IF(OFFSET(CampList[Opening Date],MATCH(Table_NFI[[#This Row],[Pcode]],CampList[CP_Pcode],0)-1,0,1,1)&gt;=NFI_Monitor_Date,1,0))</f>
        <v/>
      </c>
      <c r="AS152" s="659" t="str">
        <f>IFERROR(VLOOKUP(Table_NFI[[#This Row],[Camp Name]],CL,3,0),"")</f>
        <v/>
      </c>
      <c r="AT152" s="294" t="str">
        <f ca="1">IF(Table_NFI[[#This Row],[Pcode]]="","",OFFSET(CampList[Priority],MATCH(Table_NFI[[#This Row],[Pcode]],CampList[CP_Pcode],0)-1,0,1,1))</f>
        <v/>
      </c>
      <c r="AU152" s="293" t="str">
        <f>IFERROR(Table_NFI[[#This Row],[Kitchen Set]]/VLOOKUP(Table_NFI[[#This Row],[Camp Name]],CL,4,0),"")</f>
        <v/>
      </c>
      <c r="AV152" s="461"/>
      <c r="AW152" s="463"/>
    </row>
    <row r="153" spans="1:49" s="98" customFormat="1" ht="14.45" customHeight="1" x14ac:dyDescent="0.2">
      <c r="A153" s="297">
        <f t="shared" si="2"/>
        <v>19.433333333333334</v>
      </c>
      <c r="B153" s="460">
        <v>42153</v>
      </c>
      <c r="C153" s="461" t="s">
        <v>905</v>
      </c>
      <c r="D153" s="461" t="s">
        <v>905</v>
      </c>
      <c r="E153" s="461" t="s">
        <v>380</v>
      </c>
      <c r="F153" s="461" t="s">
        <v>5</v>
      </c>
      <c r="G153" s="461" t="s">
        <v>366</v>
      </c>
      <c r="H153" s="291"/>
      <c r="I153" s="291"/>
      <c r="J153" s="575">
        <v>258</v>
      </c>
      <c r="K153" s="291"/>
      <c r="L153" s="292"/>
      <c r="M153" s="292"/>
      <c r="N153" s="292"/>
      <c r="O153" s="292"/>
      <c r="P153" s="294"/>
      <c r="Q153" s="294"/>
      <c r="R153" s="294"/>
      <c r="S153" s="294"/>
      <c r="T153" s="294"/>
      <c r="U153" s="294"/>
      <c r="V153" s="431"/>
      <c r="W153" s="294"/>
      <c r="X153" s="294"/>
      <c r="Y153" s="294">
        <f>IF(NFI_Expiration=1,IF($A153&lt;VLOOKUP(H$5,NFI,5,0),1,0)*Table_NFI[[#This Row],[Hygiene Kit]],Table_NFI[Hygiene Kit])</f>
        <v>0</v>
      </c>
      <c r="Z153" s="294">
        <f>IF(NFI_Expiration=1,IF($A153&lt;VLOOKUP(I$5,NFI,5,0),1,0)*Table_NFI[[#This Row],[NFI Core Kit]],Table_NFI[NFI Core Kit])</f>
        <v>0</v>
      </c>
      <c r="AA153" s="294">
        <f>IF(NFI_Expiration=1,IF($A153&lt;VLOOKUP(J$5,NFI,5,0),1,0)*Table_NFI[[#This Row],[Sanitary Kit]],Table_NFI[Sanitary Kit])</f>
        <v>0</v>
      </c>
      <c r="AB153" s="294">
        <f>IF(NFI_Expiration=1,IF($A153&lt;VLOOKUP(K$5,NFI,5,0),1,0)*Table_NFI[[#This Row],[Mosquito net]],Table_NFI[Mosquito net])</f>
        <v>0</v>
      </c>
      <c r="AC153" s="294">
        <f>IF(NFI_Expiration=1,IF($A153&lt;VLOOKUP(L$5,NFI,5,0),1,0)*Table_NFI[[#This Row],[Tarpaulin]],Table_NFI[[#This Row],[Tarpaulin]])</f>
        <v>0</v>
      </c>
      <c r="AD153" s="294">
        <f>IF(NFI_Expiration=1,IF($A153&lt;VLOOKUP(M$5,NFI,5,0),1,0)*Table_NFI[[#This Row],[Blanket]],Table_NFI[[#This Row],[Blanket]])</f>
        <v>0</v>
      </c>
      <c r="AE153" s="294">
        <f>IF(NFI_Expiration=1,IF($A153&lt;VLOOKUP(N$5,NFI,5,0),1,0)*Table_NFI[[#This Row],[Kitchen Set]],Table_NFI[Kitchen Set])</f>
        <v>0</v>
      </c>
      <c r="AF153" s="294">
        <f>IF(NFI_Expiration=1,IF($A153&lt;VLOOKUP(O$5,NFI,5,0),1,0)*Table_NFI[[#This Row],[Clothes Kit]],Table_NFI[Clothes Kit])</f>
        <v>0</v>
      </c>
      <c r="AG153" s="294">
        <f>IF(NFI_Expiration=1,IF($A153&lt;VLOOKUP(P$5,NFI,5,0),1,0)*Table_NFI[[#This Row],[Plastic Bucket]],Table_NFI[Plastic Bucket])</f>
        <v>0</v>
      </c>
      <c r="AH153" s="294">
        <f>IF(NFI_Expiration=1,IF($A153&lt;VLOOKUP(Q$5,NFI,5,0),1,0)*Table_NFI[[#This Row],[Plastic Mat]],Table_NFI[Plastic Mat])*IF(Table_NFI[[#This Row],[Distribution Date]]&gt;"2014-04-01",1,2.5)</f>
        <v>0</v>
      </c>
      <c r="AI153" s="294">
        <f>IF(NFI_Expiration=1,IF($A153&lt;VLOOKUP(R$5,NFI,5,0),1,0)*Table_NFI[[#This Row],[Winter Clothes Adult]],Table_NFI[Winter Clothes Adult])</f>
        <v>0</v>
      </c>
      <c r="AJ153" s="294">
        <f>IF(NFI_Expiration=1,IF($A153&lt;VLOOKUP(S$5,NFI,5,0),1,0)*Table_NFI[[#This Row],[Winter Clothes Children]],Table_NFI[Winter Clothes Children])</f>
        <v>0</v>
      </c>
      <c r="AK153" s="294">
        <f>IF(NFI_Expiration=1,IF($A153&lt;VLOOKUP(T$5,NFI,5,0),1,0)*Table_NFI[[#This Row],[Winter Items Other]],Table_NFI[Winter Items Other])</f>
        <v>0</v>
      </c>
      <c r="AL153" s="294">
        <f>IF(NFI_Expiration=1,IF($A153&lt;VLOOKUP(M$5,NFI,5,0),1,0)*Table_NFI[[#This Row],[Winter Blanket]],Table_NFI[[#This Row],[Winter Blanket]])</f>
        <v>0</v>
      </c>
      <c r="AM153" s="294">
        <f>IF(Table_NFI[[#This Row],[Winter Clothes Adult]]+Table_NFI[[#This Row],[Winter Clothes Children]]+Table_NFI[[#This Row],[Winter Items Other]]+Table_NFI[[#This Row],[Winter Blanket]]&gt;0,1,0)</f>
        <v>0</v>
      </c>
      <c r="AN153" s="331">
        <f>IF(NFI_Expiration=1,IF($A153&lt;VLOOKUP(V$5,NFI,5,0),1,0)*Table_NFI[[#This Row],[Jerry Can]],Table_NFI[Jerry Can])</f>
        <v>0</v>
      </c>
      <c r="AO153" s="331">
        <f>IF(NFI_Expiration=1,IF($A153&lt;VLOOKUP(V$5,NFI,5,0),1,0)*Table_NFI[[#This Row],[Shelter Tool kit]],Table_NFI[Shelter Tool kit])</f>
        <v>0</v>
      </c>
      <c r="AP153" s="331">
        <f>IF(NFI_Expiration=1,IF($A153&lt;VLOOKUP(V$5,NFI,5,0),1,0)*Table_NFI[[#This Row],[Tent]],Table_NFI[Tent])</f>
        <v>0</v>
      </c>
      <c r="AQ153" s="467" t="str">
        <f>IFERROR(VLOOKUP(Table_NFI[[#This Row],[Camp Name]],CL,2,0),"")</f>
        <v>MMR001CMP193</v>
      </c>
      <c r="AR153" s="835">
        <f ca="1">IF(Table_NFI[[#This Row],[Pcode]]="","",IF(OFFSET(CampList[Opening Date],MATCH(Table_NFI[[#This Row],[Pcode]],CampList[CP_Pcode],0)-1,0,1,1)&gt;=NFI_Monitor_Date,1,0))</f>
        <v>0</v>
      </c>
      <c r="AS153" s="467" t="str">
        <f>IFERROR(VLOOKUP(Table_NFI[[#This Row],[Camp Name]],CL,3,0),"")</f>
        <v>Open</v>
      </c>
      <c r="AT153" s="294" t="str">
        <f ca="1">IF(Table_NFI[[#This Row],[Pcode]]="","",OFFSET(CampList[Priority],MATCH(Table_NFI[[#This Row],[Pcode]],CampList[CP_Pcode],0)-1,0,1,1))</f>
        <v>P4</v>
      </c>
      <c r="AU153" s="293">
        <f>IFERROR(Table_NFI[[#This Row],[Kitchen Set]]/VLOOKUP(Table_NFI[[#This Row],[Camp Name]],CL,4,0),"")</f>
        <v>0</v>
      </c>
      <c r="AV153" s="461"/>
      <c r="AW153" s="463"/>
    </row>
    <row r="154" spans="1:49" s="98" customFormat="1" ht="14.45" customHeight="1" x14ac:dyDescent="0.2">
      <c r="A154" s="297">
        <f t="shared" si="2"/>
        <v>19.466666666666665</v>
      </c>
      <c r="B154" s="460">
        <v>42152</v>
      </c>
      <c r="C154" s="461" t="s">
        <v>905</v>
      </c>
      <c r="D154" s="461" t="s">
        <v>905</v>
      </c>
      <c r="E154" s="461" t="s">
        <v>380</v>
      </c>
      <c r="F154" s="461" t="s">
        <v>5</v>
      </c>
      <c r="G154" s="461" t="s">
        <v>24</v>
      </c>
      <c r="H154" s="291"/>
      <c r="I154" s="291"/>
      <c r="J154" s="575">
        <v>36</v>
      </c>
      <c r="K154" s="291"/>
      <c r="L154" s="292"/>
      <c r="M154" s="292"/>
      <c r="N154" s="292"/>
      <c r="O154" s="292"/>
      <c r="P154" s="294"/>
      <c r="Q154" s="294"/>
      <c r="R154" s="294"/>
      <c r="S154" s="294"/>
      <c r="T154" s="294"/>
      <c r="U154" s="294"/>
      <c r="V154" s="431"/>
      <c r="W154" s="294"/>
      <c r="X154" s="294"/>
      <c r="Y154" s="294">
        <f>IF(NFI_Expiration=1,IF($A154&lt;VLOOKUP(H$5,NFI,5,0),1,0)*Table_NFI[[#This Row],[Hygiene Kit]],Table_NFI[Hygiene Kit])</f>
        <v>0</v>
      </c>
      <c r="Z154" s="294">
        <f>IF(NFI_Expiration=1,IF($A154&lt;VLOOKUP(I$5,NFI,5,0),1,0)*Table_NFI[[#This Row],[NFI Core Kit]],Table_NFI[NFI Core Kit])</f>
        <v>0</v>
      </c>
      <c r="AA154" s="294">
        <f>IF(NFI_Expiration=1,IF($A154&lt;VLOOKUP(J$5,NFI,5,0),1,0)*Table_NFI[[#This Row],[Sanitary Kit]],Table_NFI[Sanitary Kit])</f>
        <v>0</v>
      </c>
      <c r="AB154" s="294">
        <f>IF(NFI_Expiration=1,IF($A154&lt;VLOOKUP(K$5,NFI,5,0),1,0)*Table_NFI[[#This Row],[Mosquito net]],Table_NFI[Mosquito net])</f>
        <v>0</v>
      </c>
      <c r="AC154" s="294">
        <f>IF(NFI_Expiration=1,IF($A154&lt;VLOOKUP(L$5,NFI,5,0),1,0)*Table_NFI[[#This Row],[Tarpaulin]],Table_NFI[[#This Row],[Tarpaulin]])</f>
        <v>0</v>
      </c>
      <c r="AD154" s="294">
        <f>IF(NFI_Expiration=1,IF($A154&lt;VLOOKUP(M$5,NFI,5,0),1,0)*Table_NFI[[#This Row],[Blanket]],Table_NFI[[#This Row],[Blanket]])</f>
        <v>0</v>
      </c>
      <c r="AE154" s="294">
        <f>IF(NFI_Expiration=1,IF($A154&lt;VLOOKUP(N$5,NFI,5,0),1,0)*Table_NFI[[#This Row],[Kitchen Set]],Table_NFI[Kitchen Set])</f>
        <v>0</v>
      </c>
      <c r="AF154" s="294">
        <f>IF(NFI_Expiration=1,IF($A154&lt;VLOOKUP(O$5,NFI,5,0),1,0)*Table_NFI[[#This Row],[Clothes Kit]],Table_NFI[Clothes Kit])</f>
        <v>0</v>
      </c>
      <c r="AG154" s="294">
        <f>IF(NFI_Expiration=1,IF($A154&lt;VLOOKUP(P$5,NFI,5,0),1,0)*Table_NFI[[#This Row],[Plastic Bucket]],Table_NFI[Plastic Bucket])</f>
        <v>0</v>
      </c>
      <c r="AH154" s="294">
        <f>IF(NFI_Expiration=1,IF($A154&lt;VLOOKUP(Q$5,NFI,5,0),1,0)*Table_NFI[[#This Row],[Plastic Mat]],Table_NFI[Plastic Mat])*IF(Table_NFI[[#This Row],[Distribution Date]]&gt;"2014-04-01",1,2.5)</f>
        <v>0</v>
      </c>
      <c r="AI154" s="294">
        <f>IF(NFI_Expiration=1,IF($A154&lt;VLOOKUP(R$5,NFI,5,0),1,0)*Table_NFI[[#This Row],[Winter Clothes Adult]],Table_NFI[Winter Clothes Adult])</f>
        <v>0</v>
      </c>
      <c r="AJ154" s="294">
        <f>IF(NFI_Expiration=1,IF($A154&lt;VLOOKUP(S$5,NFI,5,0),1,0)*Table_NFI[[#This Row],[Winter Clothes Children]],Table_NFI[Winter Clothes Children])</f>
        <v>0</v>
      </c>
      <c r="AK154" s="294">
        <f>IF(NFI_Expiration=1,IF($A154&lt;VLOOKUP(T$5,NFI,5,0),1,0)*Table_NFI[[#This Row],[Winter Items Other]],Table_NFI[Winter Items Other])</f>
        <v>0</v>
      </c>
      <c r="AL154" s="294">
        <f>IF(NFI_Expiration=1,IF($A154&lt;VLOOKUP(M$5,NFI,5,0),1,0)*Table_NFI[[#This Row],[Winter Blanket]],Table_NFI[[#This Row],[Winter Blanket]])</f>
        <v>0</v>
      </c>
      <c r="AM154" s="294">
        <f>IF(Table_NFI[[#This Row],[Winter Clothes Adult]]+Table_NFI[[#This Row],[Winter Clothes Children]]+Table_NFI[[#This Row],[Winter Items Other]]+Table_NFI[[#This Row],[Winter Blanket]]&gt;0,1,0)</f>
        <v>0</v>
      </c>
      <c r="AN154" s="331">
        <f>IF(NFI_Expiration=1,IF($A154&lt;VLOOKUP(V$5,NFI,5,0),1,0)*Table_NFI[[#This Row],[Jerry Can]],Table_NFI[Jerry Can])</f>
        <v>0</v>
      </c>
      <c r="AO154" s="331">
        <f>IF(NFI_Expiration=1,IF($A154&lt;VLOOKUP(V$5,NFI,5,0),1,0)*Table_NFI[[#This Row],[Shelter Tool kit]],Table_NFI[Shelter Tool kit])</f>
        <v>0</v>
      </c>
      <c r="AP154" s="331">
        <f>IF(NFI_Expiration=1,IF($A154&lt;VLOOKUP(V$5,NFI,5,0),1,0)*Table_NFI[[#This Row],[Tent]],Table_NFI[Tent])</f>
        <v>0</v>
      </c>
      <c r="AQ154" s="467" t="str">
        <f>IFERROR(VLOOKUP(Table_NFI[[#This Row],[Camp Name]],CL,2,0),"")</f>
        <v>MMR001CMP055</v>
      </c>
      <c r="AR154" s="835">
        <f ca="1">IF(Table_NFI[[#This Row],[Pcode]]="","",IF(OFFSET(CampList[Opening Date],MATCH(Table_NFI[[#This Row],[Pcode]],CampList[CP_Pcode],0)-1,0,1,1)&gt;=NFI_Monitor_Date,1,0))</f>
        <v>0</v>
      </c>
      <c r="AS154" s="467" t="str">
        <f>IFERROR(VLOOKUP(Table_NFI[[#This Row],[Camp Name]],CL,3,0),"")</f>
        <v>Open</v>
      </c>
      <c r="AT154" s="294" t="str">
        <f ca="1">IF(Table_NFI[[#This Row],[Pcode]]="","",OFFSET(CampList[Priority],MATCH(Table_NFI[[#This Row],[Pcode]],CampList[CP_Pcode],0)-1,0,1,1))</f>
        <v>P4</v>
      </c>
      <c r="AU154" s="293">
        <f>IFERROR(Table_NFI[[#This Row],[Kitchen Set]]/VLOOKUP(Table_NFI[[#This Row],[Camp Name]],CL,4,0),"")</f>
        <v>0</v>
      </c>
      <c r="AV154" s="461"/>
      <c r="AW154" s="463"/>
    </row>
    <row r="155" spans="1:49" s="98" customFormat="1" ht="14.45" customHeight="1" x14ac:dyDescent="0.25">
      <c r="A155" s="297">
        <f t="shared" si="2"/>
        <v>19.5</v>
      </c>
      <c r="B155" s="460">
        <v>42151</v>
      </c>
      <c r="C155" s="461" t="s">
        <v>905</v>
      </c>
      <c r="D155" s="461" t="s">
        <v>905</v>
      </c>
      <c r="E155" s="461" t="s">
        <v>380</v>
      </c>
      <c r="F155" s="290" t="s">
        <v>5</v>
      </c>
      <c r="G155" s="290" t="s">
        <v>6</v>
      </c>
      <c r="H155" s="291"/>
      <c r="I155" s="291"/>
      <c r="J155" s="294">
        <v>424</v>
      </c>
      <c r="K155" s="291"/>
      <c r="L155" s="292"/>
      <c r="M155" s="292"/>
      <c r="N155" s="292"/>
      <c r="O155" s="292"/>
      <c r="P155" s="294"/>
      <c r="Q155" s="294"/>
      <c r="R155" s="294"/>
      <c r="S155" s="294"/>
      <c r="T155" s="294"/>
      <c r="U155" s="294"/>
      <c r="V155" s="431"/>
      <c r="W155" s="294"/>
      <c r="X155" s="294"/>
      <c r="Y155" s="294">
        <f>IF(NFI_Expiration=1,IF($A155&lt;VLOOKUP(H$5,NFI,5,0),1,0)*Table_NFI[[#This Row],[Hygiene Kit]],Table_NFI[Hygiene Kit])</f>
        <v>0</v>
      </c>
      <c r="Z155" s="294">
        <f>IF(NFI_Expiration=1,IF($A155&lt;VLOOKUP(I$5,NFI,5,0),1,0)*Table_NFI[[#This Row],[NFI Core Kit]],Table_NFI[NFI Core Kit])</f>
        <v>0</v>
      </c>
      <c r="AA155" s="294">
        <f>IF(NFI_Expiration=1,IF($A155&lt;VLOOKUP(J$5,NFI,5,0),1,0)*Table_NFI[[#This Row],[Sanitary Kit]],Table_NFI[Sanitary Kit])</f>
        <v>0</v>
      </c>
      <c r="AB155" s="294">
        <f>IF(NFI_Expiration=1,IF($A155&lt;VLOOKUP(K$5,NFI,5,0),1,0)*Table_NFI[[#This Row],[Mosquito net]],Table_NFI[Mosquito net])</f>
        <v>0</v>
      </c>
      <c r="AC155" s="294">
        <f>IF(NFI_Expiration=1,IF($A155&lt;VLOOKUP(L$5,NFI,5,0),1,0)*Table_NFI[[#This Row],[Tarpaulin]],Table_NFI[[#This Row],[Tarpaulin]])</f>
        <v>0</v>
      </c>
      <c r="AD155" s="294">
        <f>IF(NFI_Expiration=1,IF($A155&lt;VLOOKUP(M$5,NFI,5,0),1,0)*Table_NFI[[#This Row],[Blanket]],Table_NFI[[#This Row],[Blanket]])</f>
        <v>0</v>
      </c>
      <c r="AE155" s="294">
        <f>IF(NFI_Expiration=1,IF($A155&lt;VLOOKUP(N$5,NFI,5,0),1,0)*Table_NFI[[#This Row],[Kitchen Set]],Table_NFI[Kitchen Set])</f>
        <v>0</v>
      </c>
      <c r="AF155" s="294">
        <f>IF(NFI_Expiration=1,IF($A155&lt;VLOOKUP(O$5,NFI,5,0),1,0)*Table_NFI[[#This Row],[Clothes Kit]],Table_NFI[Clothes Kit])</f>
        <v>0</v>
      </c>
      <c r="AG155" s="294">
        <f>IF(NFI_Expiration=1,IF($A155&lt;VLOOKUP(P$5,NFI,5,0),1,0)*Table_NFI[[#This Row],[Plastic Bucket]],Table_NFI[Plastic Bucket])</f>
        <v>0</v>
      </c>
      <c r="AH155" s="294">
        <f>IF(NFI_Expiration=1,IF($A155&lt;VLOOKUP(Q$5,NFI,5,0),1,0)*Table_NFI[[#This Row],[Plastic Mat]],Table_NFI[Plastic Mat])*IF(Table_NFI[[#This Row],[Distribution Date]]&gt;"2014-04-01",1,2.5)</f>
        <v>0</v>
      </c>
      <c r="AI155" s="294">
        <f>IF(NFI_Expiration=1,IF($A155&lt;VLOOKUP(R$5,NFI,5,0),1,0)*Table_NFI[[#This Row],[Winter Clothes Adult]],Table_NFI[Winter Clothes Adult])</f>
        <v>0</v>
      </c>
      <c r="AJ155" s="294">
        <f>IF(NFI_Expiration=1,IF($A155&lt;VLOOKUP(S$5,NFI,5,0),1,0)*Table_NFI[[#This Row],[Winter Clothes Children]],Table_NFI[Winter Clothes Children])</f>
        <v>0</v>
      </c>
      <c r="AK155" s="294">
        <f>IF(NFI_Expiration=1,IF($A155&lt;VLOOKUP(T$5,NFI,5,0),1,0)*Table_NFI[[#This Row],[Winter Items Other]],Table_NFI[Winter Items Other])</f>
        <v>0</v>
      </c>
      <c r="AL155" s="294">
        <f>IF(NFI_Expiration=1,IF($A155&lt;VLOOKUP(M$5,NFI,5,0),1,0)*Table_NFI[[#This Row],[Winter Blanket]],Table_NFI[[#This Row],[Winter Blanket]])</f>
        <v>0</v>
      </c>
      <c r="AM155" s="294">
        <f>IF(Table_NFI[[#This Row],[Winter Clothes Adult]]+Table_NFI[[#This Row],[Winter Clothes Children]]+Table_NFI[[#This Row],[Winter Items Other]]+Table_NFI[[#This Row],[Winter Blanket]]&gt;0,1,0)</f>
        <v>0</v>
      </c>
      <c r="AN155" s="331">
        <f>IF(NFI_Expiration=1,IF($A155&lt;VLOOKUP(V$5,NFI,5,0),1,0)*Table_NFI[[#This Row],[Jerry Can]],Table_NFI[Jerry Can])</f>
        <v>0</v>
      </c>
      <c r="AO155" s="331">
        <f>IF(NFI_Expiration=1,IF($A155&lt;VLOOKUP(V$5,NFI,5,0),1,0)*Table_NFI[[#This Row],[Shelter Tool kit]],Table_NFI[Shelter Tool kit])</f>
        <v>0</v>
      </c>
      <c r="AP155" s="331">
        <f>IF(NFI_Expiration=1,IF($A155&lt;VLOOKUP(V$5,NFI,5,0),1,0)*Table_NFI[[#This Row],[Tent]],Table_NFI[Tent])</f>
        <v>0</v>
      </c>
      <c r="AQ155" s="467" t="str">
        <f>IFERROR(VLOOKUP(Table_NFI[[#This Row],[Camp Name]],CL,2,0),"")</f>
        <v>MMR001CMP050</v>
      </c>
      <c r="AR155" s="835">
        <f ca="1">IF(Table_NFI[[#This Row],[Pcode]]="","",IF(OFFSET(CampList[Opening Date],MATCH(Table_NFI[[#This Row],[Pcode]],CampList[CP_Pcode],0)-1,0,1,1)&gt;=NFI_Monitor_Date,1,0))</f>
        <v>0</v>
      </c>
      <c r="AS155" s="467" t="str">
        <f>IFERROR(VLOOKUP(Table_NFI[[#This Row],[Camp Name]],CL,3,0),"")</f>
        <v>Open</v>
      </c>
      <c r="AT155" s="294" t="str">
        <f ca="1">IF(Table_NFI[[#This Row],[Pcode]]="","",OFFSET(CampList[Priority],MATCH(Table_NFI[[#This Row],[Pcode]],CampList[CP_Pcode],0)-1,0,1,1))</f>
        <v>P4</v>
      </c>
      <c r="AU155" s="293">
        <f>IFERROR(Table_NFI[[#This Row],[Kitchen Set]]/VLOOKUP(Table_NFI[[#This Row],[Camp Name]],CL,4,0),"")</f>
        <v>0</v>
      </c>
      <c r="AV155" s="461"/>
      <c r="AW155" s="463"/>
    </row>
    <row r="156" spans="1:49" s="98" customFormat="1" ht="14.45" customHeight="1" x14ac:dyDescent="0.25">
      <c r="A156" s="297">
        <f t="shared" si="2"/>
        <v>19.966666666666665</v>
      </c>
      <c r="B156" s="460">
        <v>42137</v>
      </c>
      <c r="C156" s="461" t="s">
        <v>452</v>
      </c>
      <c r="D156" s="461" t="s">
        <v>1089</v>
      </c>
      <c r="E156" s="461" t="s">
        <v>380</v>
      </c>
      <c r="F156" s="461" t="s">
        <v>185</v>
      </c>
      <c r="G156" s="290" t="s">
        <v>202</v>
      </c>
      <c r="H156" s="291"/>
      <c r="I156" s="291"/>
      <c r="J156" s="291"/>
      <c r="K156" s="291"/>
      <c r="L156" s="292"/>
      <c r="M156" s="292">
        <v>28</v>
      </c>
      <c r="N156" s="292"/>
      <c r="O156" s="292"/>
      <c r="P156" s="294"/>
      <c r="Q156" s="294"/>
      <c r="R156" s="294"/>
      <c r="S156" s="294"/>
      <c r="T156" s="294"/>
      <c r="U156" s="294"/>
      <c r="V156" s="431"/>
      <c r="W156" s="294"/>
      <c r="X156" s="294"/>
      <c r="Y156" s="294">
        <f>IF(NFI_Expiration=1,IF($A156&lt;VLOOKUP(H$5,NFI,5,0),1,0)*Table_NFI[[#This Row],[Hygiene Kit]],Table_NFI[Hygiene Kit])</f>
        <v>0</v>
      </c>
      <c r="Z156" s="294">
        <f>IF(NFI_Expiration=1,IF($A156&lt;VLOOKUP(I$5,NFI,5,0),1,0)*Table_NFI[[#This Row],[NFI Core Kit]],Table_NFI[NFI Core Kit])</f>
        <v>0</v>
      </c>
      <c r="AA156" s="294">
        <f>IF(NFI_Expiration=1,IF($A156&lt;VLOOKUP(J$5,NFI,5,0),1,0)*Table_NFI[[#This Row],[Sanitary Kit]],Table_NFI[Sanitary Kit])</f>
        <v>0</v>
      </c>
      <c r="AB156" s="294">
        <f>IF(NFI_Expiration=1,IF($A156&lt;VLOOKUP(K$5,NFI,5,0),1,0)*Table_NFI[[#This Row],[Mosquito net]],Table_NFI[Mosquito net])</f>
        <v>0</v>
      </c>
      <c r="AC156" s="294">
        <f>IF(NFI_Expiration=1,IF($A156&lt;VLOOKUP(L$5,NFI,5,0),1,0)*Table_NFI[[#This Row],[Tarpaulin]],Table_NFI[[#This Row],[Tarpaulin]])</f>
        <v>0</v>
      </c>
      <c r="AD156" s="294">
        <f>IF(NFI_Expiration=1,IF($A156&lt;VLOOKUP(M$5,NFI,5,0),1,0)*Table_NFI[[#This Row],[Blanket]],Table_NFI[[#This Row],[Blanket]])</f>
        <v>0</v>
      </c>
      <c r="AE156" s="294">
        <f>IF(NFI_Expiration=1,IF($A156&lt;VLOOKUP(N$5,NFI,5,0),1,0)*Table_NFI[[#This Row],[Kitchen Set]],Table_NFI[Kitchen Set])</f>
        <v>0</v>
      </c>
      <c r="AF156" s="294">
        <f>IF(NFI_Expiration=1,IF($A156&lt;VLOOKUP(O$5,NFI,5,0),1,0)*Table_NFI[[#This Row],[Clothes Kit]],Table_NFI[Clothes Kit])</f>
        <v>0</v>
      </c>
      <c r="AG156" s="294">
        <f>IF(NFI_Expiration=1,IF($A156&lt;VLOOKUP(P$5,NFI,5,0),1,0)*Table_NFI[[#This Row],[Plastic Bucket]],Table_NFI[Plastic Bucket])</f>
        <v>0</v>
      </c>
      <c r="AH156" s="294">
        <f>IF(NFI_Expiration=1,IF($A156&lt;VLOOKUP(Q$5,NFI,5,0),1,0)*Table_NFI[[#This Row],[Plastic Mat]],Table_NFI[Plastic Mat])*IF(Table_NFI[[#This Row],[Distribution Date]]&gt;"2014-04-01",1,2.5)</f>
        <v>0</v>
      </c>
      <c r="AI156" s="294">
        <f>IF(NFI_Expiration=1,IF($A156&lt;VLOOKUP(R$5,NFI,5,0),1,0)*Table_NFI[[#This Row],[Winter Clothes Adult]],Table_NFI[Winter Clothes Adult])</f>
        <v>0</v>
      </c>
      <c r="AJ156" s="294">
        <f>IF(NFI_Expiration=1,IF($A156&lt;VLOOKUP(S$5,NFI,5,0),1,0)*Table_NFI[[#This Row],[Winter Clothes Children]],Table_NFI[Winter Clothes Children])</f>
        <v>0</v>
      </c>
      <c r="AK156" s="294">
        <f>IF(NFI_Expiration=1,IF($A156&lt;VLOOKUP(T$5,NFI,5,0),1,0)*Table_NFI[[#This Row],[Winter Items Other]],Table_NFI[Winter Items Other])</f>
        <v>0</v>
      </c>
      <c r="AL156" s="294">
        <f>IF(NFI_Expiration=1,IF($A156&lt;VLOOKUP(M$5,NFI,5,0),1,0)*Table_NFI[[#This Row],[Winter Blanket]],Table_NFI[[#This Row],[Winter Blanket]])</f>
        <v>0</v>
      </c>
      <c r="AM156" s="294">
        <f>IF(Table_NFI[[#This Row],[Winter Clothes Adult]]+Table_NFI[[#This Row],[Winter Clothes Children]]+Table_NFI[[#This Row],[Winter Items Other]]+Table_NFI[[#This Row],[Winter Blanket]]&gt;0,1,0)</f>
        <v>0</v>
      </c>
      <c r="AN156" s="331">
        <f>IF(NFI_Expiration=1,IF($A156&lt;VLOOKUP(V$5,NFI,5,0),1,0)*Table_NFI[[#This Row],[Jerry Can]],Table_NFI[Jerry Can])</f>
        <v>0</v>
      </c>
      <c r="AO156" s="331">
        <f>IF(NFI_Expiration=1,IF($A156&lt;VLOOKUP(V$5,NFI,5,0),1,0)*Table_NFI[[#This Row],[Shelter Tool kit]],Table_NFI[Shelter Tool kit])</f>
        <v>0</v>
      </c>
      <c r="AP156" s="331">
        <f>IF(NFI_Expiration=1,IF($A156&lt;VLOOKUP(V$5,NFI,5,0),1,0)*Table_NFI[[#This Row],[Tent]],Table_NFI[Tent])</f>
        <v>0</v>
      </c>
      <c r="AQ156" s="467" t="str">
        <f>IFERROR(VLOOKUP(Table_NFI[[#This Row],[Camp Name]],CL,2,0),"")</f>
        <v>MMR001CMP062</v>
      </c>
      <c r="AR156" s="835">
        <f ca="1">IF(Table_NFI[[#This Row],[Pcode]]="","",IF(OFFSET(CampList[Opening Date],MATCH(Table_NFI[[#This Row],[Pcode]],CampList[CP_Pcode],0)-1,0,1,1)&gt;=NFI_Monitor_Date,1,0))</f>
        <v>0</v>
      </c>
      <c r="AS156" s="467" t="str">
        <f>IFERROR(VLOOKUP(Table_NFI[[#This Row],[Camp Name]],CL,3,0),"")</f>
        <v>Open</v>
      </c>
      <c r="AT156" s="294" t="str">
        <f ca="1">IF(Table_NFI[[#This Row],[Pcode]]="","",OFFSET(CampList[Priority],MATCH(Table_NFI[[#This Row],[Pcode]],CampList[CP_Pcode],0)-1,0,1,1))</f>
        <v>P4</v>
      </c>
      <c r="AU156" s="293">
        <f>IFERROR(Table_NFI[[#This Row],[Kitchen Set]]/VLOOKUP(Table_NFI[[#This Row],[Camp Name]],CL,4,0),"")</f>
        <v>0</v>
      </c>
      <c r="AV156" s="461" t="s">
        <v>1092</v>
      </c>
      <c r="AW156" s="463"/>
    </row>
    <row r="157" spans="1:49" s="98" customFormat="1" ht="14.45" customHeight="1" x14ac:dyDescent="0.25">
      <c r="A157" s="297">
        <f t="shared" si="2"/>
        <v>20.6</v>
      </c>
      <c r="B157" s="460">
        <v>42118</v>
      </c>
      <c r="C157" s="461" t="s">
        <v>452</v>
      </c>
      <c r="D157" s="461" t="s">
        <v>460</v>
      </c>
      <c r="E157" s="461" t="s">
        <v>380</v>
      </c>
      <c r="F157" s="461" t="s">
        <v>185</v>
      </c>
      <c r="G157" s="461" t="s">
        <v>190</v>
      </c>
      <c r="H157" s="291"/>
      <c r="I157" s="294"/>
      <c r="J157" s="294"/>
      <c r="K157" s="294"/>
      <c r="L157" s="292"/>
      <c r="M157" s="292"/>
      <c r="N157" s="292"/>
      <c r="O157" s="292"/>
      <c r="P157" s="294">
        <v>9</v>
      </c>
      <c r="Q157" s="294"/>
      <c r="R157" s="294"/>
      <c r="S157" s="294"/>
      <c r="T157" s="294"/>
      <c r="U157" s="294"/>
      <c r="V157" s="431"/>
      <c r="W157" s="294"/>
      <c r="X157" s="294"/>
      <c r="Y157" s="294">
        <f>IF(NFI_Expiration=1,IF($A157&lt;VLOOKUP(H$5,NFI,5,0),1,0)*Table_NFI[[#This Row],[Hygiene Kit]],Table_NFI[Hygiene Kit])</f>
        <v>0</v>
      </c>
      <c r="Z157" s="294">
        <f>IF(NFI_Expiration=1,IF($A157&lt;VLOOKUP(I$5,NFI,5,0),1,0)*Table_NFI[[#This Row],[NFI Core Kit]],Table_NFI[NFI Core Kit])</f>
        <v>0</v>
      </c>
      <c r="AA157" s="294">
        <f>IF(NFI_Expiration=1,IF($A157&lt;VLOOKUP(J$5,NFI,5,0),1,0)*Table_NFI[[#This Row],[Sanitary Kit]],Table_NFI[Sanitary Kit])</f>
        <v>0</v>
      </c>
      <c r="AB157" s="294">
        <f>IF(NFI_Expiration=1,IF($A157&lt;VLOOKUP(K$5,NFI,5,0),1,0)*Table_NFI[[#This Row],[Mosquito net]],Table_NFI[Mosquito net])</f>
        <v>0</v>
      </c>
      <c r="AC157" s="294">
        <f>IF(NFI_Expiration=1,IF($A157&lt;VLOOKUP(L$5,NFI,5,0),1,0)*Table_NFI[[#This Row],[Tarpaulin]],Table_NFI[[#This Row],[Tarpaulin]])</f>
        <v>0</v>
      </c>
      <c r="AD157" s="294">
        <f>IF(NFI_Expiration=1,IF($A157&lt;VLOOKUP(M$5,NFI,5,0),1,0)*Table_NFI[[#This Row],[Blanket]],Table_NFI[[#This Row],[Blanket]])</f>
        <v>0</v>
      </c>
      <c r="AE157" s="294">
        <f>IF(NFI_Expiration=1,IF($A157&lt;VLOOKUP(N$5,NFI,5,0),1,0)*Table_NFI[[#This Row],[Kitchen Set]],Table_NFI[Kitchen Set])</f>
        <v>0</v>
      </c>
      <c r="AF157" s="294">
        <f>IF(NFI_Expiration=1,IF($A157&lt;VLOOKUP(O$5,NFI,5,0),1,0)*Table_NFI[[#This Row],[Clothes Kit]],Table_NFI[Clothes Kit])</f>
        <v>0</v>
      </c>
      <c r="AG157" s="294">
        <f>IF(NFI_Expiration=1,IF($A157&lt;VLOOKUP(P$5,NFI,5,0),1,0)*Table_NFI[[#This Row],[Plastic Bucket]],Table_NFI[Plastic Bucket])</f>
        <v>0</v>
      </c>
      <c r="AH157" s="294">
        <f>IF(NFI_Expiration=1,IF($A157&lt;VLOOKUP(Q$5,NFI,5,0),1,0)*Table_NFI[[#This Row],[Plastic Mat]],Table_NFI[Plastic Mat])*IF(Table_NFI[[#This Row],[Distribution Date]]&gt;"2014-04-01",1,2.5)</f>
        <v>0</v>
      </c>
      <c r="AI157" s="294">
        <f>IF(NFI_Expiration=1,IF($A157&lt;VLOOKUP(R$5,NFI,5,0),1,0)*Table_NFI[[#This Row],[Winter Clothes Adult]],Table_NFI[Winter Clothes Adult])</f>
        <v>0</v>
      </c>
      <c r="AJ157" s="294">
        <f>IF(NFI_Expiration=1,IF($A157&lt;VLOOKUP(S$5,NFI,5,0),1,0)*Table_NFI[[#This Row],[Winter Clothes Children]],Table_NFI[Winter Clothes Children])</f>
        <v>0</v>
      </c>
      <c r="AK157" s="294">
        <f>IF(NFI_Expiration=1,IF($A157&lt;VLOOKUP(T$5,NFI,5,0),1,0)*Table_NFI[[#This Row],[Winter Items Other]],Table_NFI[Winter Items Other])</f>
        <v>0</v>
      </c>
      <c r="AL157" s="294">
        <f>IF(NFI_Expiration=1,IF($A157&lt;VLOOKUP(M$5,NFI,5,0),1,0)*Table_NFI[[#This Row],[Winter Blanket]],Table_NFI[[#This Row],[Winter Blanket]])</f>
        <v>0</v>
      </c>
      <c r="AM157" s="294">
        <f>IF(Table_NFI[[#This Row],[Winter Clothes Adult]]+Table_NFI[[#This Row],[Winter Clothes Children]]+Table_NFI[[#This Row],[Winter Items Other]]+Table_NFI[[#This Row],[Winter Blanket]]&gt;0,1,0)</f>
        <v>0</v>
      </c>
      <c r="AN157" s="331">
        <f>IF(NFI_Expiration=1,IF($A157&lt;VLOOKUP(V$5,NFI,5,0),1,0)*Table_NFI[[#This Row],[Jerry Can]],Table_NFI[Jerry Can])</f>
        <v>0</v>
      </c>
      <c r="AO157" s="331">
        <f>IF(NFI_Expiration=1,IF($A157&lt;VLOOKUP(V$5,NFI,5,0),1,0)*Table_NFI[[#This Row],[Shelter Tool kit]],Table_NFI[Shelter Tool kit])</f>
        <v>0</v>
      </c>
      <c r="AP157" s="331">
        <f>IF(NFI_Expiration=1,IF($A157&lt;VLOOKUP(V$5,NFI,5,0),1,0)*Table_NFI[[#This Row],[Tent]],Table_NFI[Tent])</f>
        <v>0</v>
      </c>
      <c r="AQ157" s="467" t="str">
        <f>IFERROR(VLOOKUP(Table_NFI[[#This Row],[Camp Name]],CL,2,0),"")</f>
        <v>MMR001CMP070</v>
      </c>
      <c r="AR157" s="835">
        <f ca="1">IF(Table_NFI[[#This Row],[Pcode]]="","",IF(OFFSET(CampList[Opening Date],MATCH(Table_NFI[[#This Row],[Pcode]],CampList[CP_Pcode],0)-1,0,1,1)&gt;=NFI_Monitor_Date,1,0))</f>
        <v>0</v>
      </c>
      <c r="AS157" s="467" t="str">
        <f>IFERROR(VLOOKUP(Table_NFI[[#This Row],[Camp Name]],CL,3,0),"")</f>
        <v>Open</v>
      </c>
      <c r="AT157" s="294" t="str">
        <f ca="1">IF(Table_NFI[[#This Row],[Pcode]]="","",OFFSET(CampList[Priority],MATCH(Table_NFI[[#This Row],[Pcode]],CampList[CP_Pcode],0)-1,0,1,1))</f>
        <v>P3</v>
      </c>
      <c r="AU157" s="293">
        <f>IFERROR(Table_NFI[[#This Row],[Kitchen Set]]/VLOOKUP(Table_NFI[[#This Row],[Camp Name]],CL,4,0),"")</f>
        <v>0</v>
      </c>
      <c r="AV157" s="461" t="s">
        <v>1092</v>
      </c>
      <c r="AW157" s="483"/>
    </row>
    <row r="158" spans="1:49" s="98" customFormat="1" x14ac:dyDescent="0.25">
      <c r="A158" s="297">
        <f t="shared" si="2"/>
        <v>20.6</v>
      </c>
      <c r="B158" s="460">
        <v>42118</v>
      </c>
      <c r="C158" s="461" t="s">
        <v>452</v>
      </c>
      <c r="D158" s="461" t="s">
        <v>1328</v>
      </c>
      <c r="E158" s="461" t="s">
        <v>380</v>
      </c>
      <c r="F158" s="461" t="s">
        <v>185</v>
      </c>
      <c r="G158" s="461" t="s">
        <v>225</v>
      </c>
      <c r="H158" s="291"/>
      <c r="I158" s="291"/>
      <c r="J158" s="294"/>
      <c r="K158" s="294">
        <v>36</v>
      </c>
      <c r="L158" s="292">
        <v>18</v>
      </c>
      <c r="M158" s="292">
        <v>90</v>
      </c>
      <c r="N158" s="292">
        <v>18</v>
      </c>
      <c r="O158" s="292"/>
      <c r="P158" s="294"/>
      <c r="Q158" s="294">
        <v>90</v>
      </c>
      <c r="R158" s="294"/>
      <c r="S158" s="294"/>
      <c r="T158" s="294"/>
      <c r="U158" s="294"/>
      <c r="V158" s="431">
        <v>18</v>
      </c>
      <c r="W158" s="294"/>
      <c r="X158" s="294"/>
      <c r="Y158" s="294">
        <f>IF(NFI_Expiration=1,IF($A158&lt;VLOOKUP(H$5,NFI,5,0),1,0)*Table_NFI[[#This Row],[Hygiene Kit]],Table_NFI[Hygiene Kit])</f>
        <v>0</v>
      </c>
      <c r="Z158" s="294">
        <f>IF(NFI_Expiration=1,IF($A158&lt;VLOOKUP(I$5,NFI,5,0),1,0)*Table_NFI[[#This Row],[NFI Core Kit]],Table_NFI[NFI Core Kit])</f>
        <v>0</v>
      </c>
      <c r="AA158" s="294">
        <f>IF(NFI_Expiration=1,IF($A158&lt;VLOOKUP(J$5,NFI,5,0),1,0)*Table_NFI[[#This Row],[Sanitary Kit]],Table_NFI[Sanitary Kit])</f>
        <v>0</v>
      </c>
      <c r="AB158" s="294">
        <f>IF(NFI_Expiration=1,IF($A158&lt;VLOOKUP(K$5,NFI,5,0),1,0)*Table_NFI[[#This Row],[Mosquito net]],Table_NFI[Mosquito net])</f>
        <v>0</v>
      </c>
      <c r="AC158" s="294">
        <f>IF(NFI_Expiration=1,IF($A158&lt;VLOOKUP(L$5,NFI,5,0),1,0)*Table_NFI[[#This Row],[Tarpaulin]],Table_NFI[[#This Row],[Tarpaulin]])</f>
        <v>0</v>
      </c>
      <c r="AD158" s="294">
        <f>IF(NFI_Expiration=1,IF($A158&lt;VLOOKUP(M$5,NFI,5,0),1,0)*Table_NFI[[#This Row],[Blanket]],Table_NFI[[#This Row],[Blanket]])</f>
        <v>0</v>
      </c>
      <c r="AE158" s="294">
        <f>IF(NFI_Expiration=1,IF($A158&lt;VLOOKUP(N$5,NFI,5,0),1,0)*Table_NFI[[#This Row],[Kitchen Set]],Table_NFI[Kitchen Set])</f>
        <v>0</v>
      </c>
      <c r="AF158" s="294">
        <f>IF(NFI_Expiration=1,IF($A158&lt;VLOOKUP(O$5,NFI,5,0),1,0)*Table_NFI[[#This Row],[Clothes Kit]],Table_NFI[Clothes Kit])</f>
        <v>0</v>
      </c>
      <c r="AG158" s="294">
        <f>IF(NFI_Expiration=1,IF($A158&lt;VLOOKUP(P$5,NFI,5,0),1,0)*Table_NFI[[#This Row],[Plastic Bucket]],Table_NFI[Plastic Bucket])</f>
        <v>0</v>
      </c>
      <c r="AH158" s="294">
        <f>IF(NFI_Expiration=1,IF($A158&lt;VLOOKUP(Q$5,NFI,5,0),1,0)*Table_NFI[[#This Row],[Plastic Mat]],Table_NFI[Plastic Mat])*IF(Table_NFI[[#This Row],[Distribution Date]]&gt;"2014-04-01",1,2.5)</f>
        <v>0</v>
      </c>
      <c r="AI158" s="294">
        <f>IF(NFI_Expiration=1,IF($A158&lt;VLOOKUP(R$5,NFI,5,0),1,0)*Table_NFI[[#This Row],[Winter Clothes Adult]],Table_NFI[Winter Clothes Adult])</f>
        <v>0</v>
      </c>
      <c r="AJ158" s="294">
        <f>IF(NFI_Expiration=1,IF($A158&lt;VLOOKUP(S$5,NFI,5,0),1,0)*Table_NFI[[#This Row],[Winter Clothes Children]],Table_NFI[Winter Clothes Children])</f>
        <v>0</v>
      </c>
      <c r="AK158" s="294">
        <f>IF(NFI_Expiration=1,IF($A158&lt;VLOOKUP(T$5,NFI,5,0),1,0)*Table_NFI[[#This Row],[Winter Items Other]],Table_NFI[Winter Items Other])</f>
        <v>0</v>
      </c>
      <c r="AL158" s="294">
        <f>IF(NFI_Expiration=1,IF($A158&lt;VLOOKUP(M$5,NFI,5,0),1,0)*Table_NFI[[#This Row],[Winter Blanket]],Table_NFI[[#This Row],[Winter Blanket]])</f>
        <v>0</v>
      </c>
      <c r="AM158" s="294">
        <f>IF(Table_NFI[[#This Row],[Winter Clothes Adult]]+Table_NFI[[#This Row],[Winter Clothes Children]]+Table_NFI[[#This Row],[Winter Items Other]]+Table_NFI[[#This Row],[Winter Blanket]]&gt;0,1,0)</f>
        <v>0</v>
      </c>
      <c r="AN158" s="331">
        <f>IF(NFI_Expiration=1,IF($A158&lt;VLOOKUP(V$5,NFI,5,0),1,0)*Table_NFI[[#This Row],[Jerry Can]],Table_NFI[Jerry Can])</f>
        <v>0</v>
      </c>
      <c r="AO158" s="331">
        <f>IF(NFI_Expiration=1,IF($A158&lt;VLOOKUP(V$5,NFI,5,0),1,0)*Table_NFI[[#This Row],[Shelter Tool kit]],Table_NFI[Shelter Tool kit])</f>
        <v>0</v>
      </c>
      <c r="AP158" s="331">
        <f>IF(NFI_Expiration=1,IF($A158&lt;VLOOKUP(V$5,NFI,5,0),1,0)*Table_NFI[[#This Row],[Tent]],Table_NFI[Tent])</f>
        <v>0</v>
      </c>
      <c r="AQ158" s="467" t="str">
        <f>IFERROR(VLOOKUP(Table_NFI[[#This Row],[Camp Name]],CL,2,0),"")</f>
        <v>MMR001CMP073</v>
      </c>
      <c r="AR158" s="835">
        <f ca="1">IF(Table_NFI[[#This Row],[Pcode]]="","",IF(OFFSET(CampList[Opening Date],MATCH(Table_NFI[[#This Row],[Pcode]],CampList[CP_Pcode],0)-1,0,1,1)&gt;=NFI_Monitor_Date,1,0))</f>
        <v>0</v>
      </c>
      <c r="AS158" s="659" t="str">
        <f>IFERROR(VLOOKUP(Table_NFI[[#This Row],[Camp Name]],CL,3,0),"")</f>
        <v>Open</v>
      </c>
      <c r="AT158" s="294" t="str">
        <f ca="1">IF(Table_NFI[[#This Row],[Pcode]]="","",OFFSET(CampList[Priority],MATCH(Table_NFI[[#This Row],[Pcode]],CampList[CP_Pcode],0)-1,0,1,1))</f>
        <v>P3</v>
      </c>
      <c r="AU158" s="293">
        <f>IFERROR(Table_NFI[[#This Row],[Kitchen Set]]/VLOOKUP(Table_NFI[[#This Row],[Camp Name]],CL,4,0),"")</f>
        <v>4.3772190068576433E-4</v>
      </c>
      <c r="AV158" s="461" t="s">
        <v>1092</v>
      </c>
      <c r="AW158" s="463"/>
    </row>
    <row r="159" spans="1:49" s="98" customFormat="1" x14ac:dyDescent="0.25">
      <c r="A159" s="297">
        <f t="shared" si="2"/>
        <v>20.866666666666667</v>
      </c>
      <c r="B159" s="460">
        <v>42110</v>
      </c>
      <c r="C159" s="461" t="s">
        <v>452</v>
      </c>
      <c r="D159" s="461" t="s">
        <v>1262</v>
      </c>
      <c r="E159" s="461" t="s">
        <v>553</v>
      </c>
      <c r="F159" s="461" t="s">
        <v>146</v>
      </c>
      <c r="G159" s="461" t="s">
        <v>370</v>
      </c>
      <c r="H159" s="291"/>
      <c r="I159" s="291"/>
      <c r="J159" s="294"/>
      <c r="K159" s="294"/>
      <c r="L159" s="292"/>
      <c r="M159" s="292"/>
      <c r="N159" s="292"/>
      <c r="O159" s="292"/>
      <c r="P159" s="294"/>
      <c r="Q159" s="294">
        <v>69</v>
      </c>
      <c r="R159" s="294"/>
      <c r="S159" s="294"/>
      <c r="T159" s="294"/>
      <c r="U159" s="294"/>
      <c r="V159" s="431"/>
      <c r="W159" s="294"/>
      <c r="X159" s="294"/>
      <c r="Y159" s="294">
        <f>IF(NFI_Expiration=1,IF($A159&lt;VLOOKUP(H$5,NFI,5,0),1,0)*Table_NFI[[#This Row],[Hygiene Kit]],Table_NFI[Hygiene Kit])</f>
        <v>0</v>
      </c>
      <c r="Z159" s="294">
        <f>IF(NFI_Expiration=1,IF($A159&lt;VLOOKUP(I$5,NFI,5,0),1,0)*Table_NFI[[#This Row],[NFI Core Kit]],Table_NFI[NFI Core Kit])</f>
        <v>0</v>
      </c>
      <c r="AA159" s="294">
        <f>IF(NFI_Expiration=1,IF($A159&lt;VLOOKUP(J$5,NFI,5,0),1,0)*Table_NFI[[#This Row],[Sanitary Kit]],Table_NFI[Sanitary Kit])</f>
        <v>0</v>
      </c>
      <c r="AB159" s="294">
        <f>IF(NFI_Expiration=1,IF($A159&lt;VLOOKUP(K$5,NFI,5,0),1,0)*Table_NFI[[#This Row],[Mosquito net]],Table_NFI[Mosquito net])</f>
        <v>0</v>
      </c>
      <c r="AC159" s="294">
        <f>IF(NFI_Expiration=1,IF($A159&lt;VLOOKUP(L$5,NFI,5,0),1,0)*Table_NFI[[#This Row],[Tarpaulin]],Table_NFI[[#This Row],[Tarpaulin]])</f>
        <v>0</v>
      </c>
      <c r="AD159" s="294">
        <f>IF(NFI_Expiration=1,IF($A159&lt;VLOOKUP(M$5,NFI,5,0),1,0)*Table_NFI[[#This Row],[Blanket]],Table_NFI[[#This Row],[Blanket]])</f>
        <v>0</v>
      </c>
      <c r="AE159" s="294">
        <f>IF(NFI_Expiration=1,IF($A159&lt;VLOOKUP(N$5,NFI,5,0),1,0)*Table_NFI[[#This Row],[Kitchen Set]],Table_NFI[Kitchen Set])</f>
        <v>0</v>
      </c>
      <c r="AF159" s="294">
        <f>IF(NFI_Expiration=1,IF($A159&lt;VLOOKUP(O$5,NFI,5,0),1,0)*Table_NFI[[#This Row],[Clothes Kit]],Table_NFI[Clothes Kit])</f>
        <v>0</v>
      </c>
      <c r="AG159" s="294">
        <f>IF(NFI_Expiration=1,IF($A159&lt;VLOOKUP(P$5,NFI,5,0),1,0)*Table_NFI[[#This Row],[Plastic Bucket]],Table_NFI[Plastic Bucket])</f>
        <v>0</v>
      </c>
      <c r="AH159" s="294">
        <f>IF(NFI_Expiration=1,IF($A159&lt;VLOOKUP(Q$5,NFI,5,0),1,0)*Table_NFI[[#This Row],[Plastic Mat]],Table_NFI[Plastic Mat])*IF(Table_NFI[[#This Row],[Distribution Date]]&gt;"2014-04-01",1,2.5)</f>
        <v>0</v>
      </c>
      <c r="AI159" s="294">
        <f>IF(NFI_Expiration=1,IF($A159&lt;VLOOKUP(R$5,NFI,5,0),1,0)*Table_NFI[[#This Row],[Winter Clothes Adult]],Table_NFI[Winter Clothes Adult])</f>
        <v>0</v>
      </c>
      <c r="AJ159" s="294">
        <f>IF(NFI_Expiration=1,IF($A159&lt;VLOOKUP(S$5,NFI,5,0),1,0)*Table_NFI[[#This Row],[Winter Clothes Children]],Table_NFI[Winter Clothes Children])</f>
        <v>0</v>
      </c>
      <c r="AK159" s="294">
        <f>IF(NFI_Expiration=1,IF($A159&lt;VLOOKUP(T$5,NFI,5,0),1,0)*Table_NFI[[#This Row],[Winter Items Other]],Table_NFI[Winter Items Other])</f>
        <v>0</v>
      </c>
      <c r="AL159" s="294">
        <f>IF(NFI_Expiration=1,IF($A159&lt;VLOOKUP(M$5,NFI,5,0),1,0)*Table_NFI[[#This Row],[Winter Blanket]],Table_NFI[[#This Row],[Winter Blanket]])</f>
        <v>0</v>
      </c>
      <c r="AM159" s="294">
        <f>IF(Table_NFI[[#This Row],[Winter Clothes Adult]]+Table_NFI[[#This Row],[Winter Clothes Children]]+Table_NFI[[#This Row],[Winter Items Other]]+Table_NFI[[#This Row],[Winter Blanket]]&gt;0,1,0)</f>
        <v>0</v>
      </c>
      <c r="AN159" s="331">
        <f>IF(NFI_Expiration=1,IF($A159&lt;VLOOKUP(V$5,NFI,5,0),1,0)*Table_NFI[[#This Row],[Jerry Can]],Table_NFI[Jerry Can])</f>
        <v>0</v>
      </c>
      <c r="AO159" s="331">
        <f>IF(NFI_Expiration=1,IF($A159&lt;VLOOKUP(V$5,NFI,5,0),1,0)*Table_NFI[[#This Row],[Shelter Tool kit]],Table_NFI[Shelter Tool kit])</f>
        <v>0</v>
      </c>
      <c r="AP159" s="331">
        <f>IF(NFI_Expiration=1,IF($A159&lt;VLOOKUP(V$5,NFI,5,0),1,0)*Table_NFI[[#This Row],[Tent]],Table_NFI[Tent])</f>
        <v>0</v>
      </c>
      <c r="AQ159" s="467" t="str">
        <f>IFERROR(VLOOKUP(Table_NFI[[#This Row],[Camp Name]],CL,2,0),"")</f>
        <v>MMR015CMP017</v>
      </c>
      <c r="AR159" s="835">
        <f ca="1">IF(Table_NFI[[#This Row],[Pcode]]="","",IF(OFFSET(CampList[Opening Date],MATCH(Table_NFI[[#This Row],[Pcode]],CampList[CP_Pcode],0)-1,0,1,1)&gt;=NFI_Monitor_Date,1,0))</f>
        <v>0</v>
      </c>
      <c r="AS159" s="659" t="str">
        <f>IFERROR(VLOOKUP(Table_NFI[[#This Row],[Camp Name]],CL,3,0),"")</f>
        <v>Open</v>
      </c>
      <c r="AT159" s="294" t="str">
        <f ca="1">IF(Table_NFI[[#This Row],[Pcode]]="","",OFFSET(CampList[Priority],MATCH(Table_NFI[[#This Row],[Pcode]],CampList[CP_Pcode],0)-1,0,1,1))</f>
        <v>P3</v>
      </c>
      <c r="AU159" s="293">
        <f>IFERROR(Table_NFI[[#This Row],[Kitchen Set]]/VLOOKUP(Table_NFI[[#This Row],[Camp Name]],CL,4,0),"")</f>
        <v>0</v>
      </c>
      <c r="AV159" s="461" t="s">
        <v>1092</v>
      </c>
      <c r="AW159" s="463"/>
    </row>
    <row r="160" spans="1:49" s="98" customFormat="1" ht="14.45" customHeight="1" x14ac:dyDescent="0.25">
      <c r="A160" s="297">
        <f t="shared" si="2"/>
        <v>21.133333333333333</v>
      </c>
      <c r="B160" s="460">
        <v>42102</v>
      </c>
      <c r="C160" s="461" t="s">
        <v>905</v>
      </c>
      <c r="D160" s="461" t="s">
        <v>905</v>
      </c>
      <c r="E160" s="461" t="s">
        <v>380</v>
      </c>
      <c r="F160" s="290" t="s">
        <v>5</v>
      </c>
      <c r="G160" s="290" t="s">
        <v>6</v>
      </c>
      <c r="H160" s="291"/>
      <c r="I160" s="291"/>
      <c r="J160" s="291"/>
      <c r="K160" s="291"/>
      <c r="L160" s="292"/>
      <c r="M160" s="292"/>
      <c r="N160" s="292"/>
      <c r="O160" s="292"/>
      <c r="P160" s="294"/>
      <c r="Q160" s="294"/>
      <c r="R160" s="294"/>
      <c r="S160" s="294"/>
      <c r="T160" s="294"/>
      <c r="U160" s="294"/>
      <c r="V160" s="431"/>
      <c r="W160" s="294">
        <v>7</v>
      </c>
      <c r="X160" s="294"/>
      <c r="Y160" s="294">
        <f>IF(NFI_Expiration=1,IF($A160&lt;VLOOKUP(H$5,NFI,5,0),1,0)*Table_NFI[[#This Row],[Hygiene Kit]],Table_NFI[Hygiene Kit])</f>
        <v>0</v>
      </c>
      <c r="Z160" s="294">
        <f>IF(NFI_Expiration=1,IF($A160&lt;VLOOKUP(I$5,NFI,5,0),1,0)*Table_NFI[[#This Row],[NFI Core Kit]],Table_NFI[NFI Core Kit])</f>
        <v>0</v>
      </c>
      <c r="AA160" s="294">
        <f>IF(NFI_Expiration=1,IF($A160&lt;VLOOKUP(J$5,NFI,5,0),1,0)*Table_NFI[[#This Row],[Sanitary Kit]],Table_NFI[Sanitary Kit])</f>
        <v>0</v>
      </c>
      <c r="AB160" s="294">
        <f>IF(NFI_Expiration=1,IF($A160&lt;VLOOKUP(K$5,NFI,5,0),1,0)*Table_NFI[[#This Row],[Mosquito net]],Table_NFI[Mosquito net])</f>
        <v>0</v>
      </c>
      <c r="AC160" s="294">
        <f>IF(NFI_Expiration=1,IF($A160&lt;VLOOKUP(L$5,NFI,5,0),1,0)*Table_NFI[[#This Row],[Tarpaulin]],Table_NFI[[#This Row],[Tarpaulin]])</f>
        <v>0</v>
      </c>
      <c r="AD160" s="294">
        <f>IF(NFI_Expiration=1,IF($A160&lt;VLOOKUP(M$5,NFI,5,0),1,0)*Table_NFI[[#This Row],[Blanket]],Table_NFI[[#This Row],[Blanket]])</f>
        <v>0</v>
      </c>
      <c r="AE160" s="294">
        <f>IF(NFI_Expiration=1,IF($A160&lt;VLOOKUP(N$5,NFI,5,0),1,0)*Table_NFI[[#This Row],[Kitchen Set]],Table_NFI[Kitchen Set])</f>
        <v>0</v>
      </c>
      <c r="AF160" s="294">
        <f>IF(NFI_Expiration=1,IF($A160&lt;VLOOKUP(O$5,NFI,5,0),1,0)*Table_NFI[[#This Row],[Clothes Kit]],Table_NFI[Clothes Kit])</f>
        <v>0</v>
      </c>
      <c r="AG160" s="294">
        <f>IF(NFI_Expiration=1,IF($A160&lt;VLOOKUP(P$5,NFI,5,0),1,0)*Table_NFI[[#This Row],[Plastic Bucket]],Table_NFI[Plastic Bucket])</f>
        <v>0</v>
      </c>
      <c r="AH160" s="294">
        <f>IF(NFI_Expiration=1,IF($A160&lt;VLOOKUP(Q$5,NFI,5,0),1,0)*Table_NFI[[#This Row],[Plastic Mat]],Table_NFI[Plastic Mat])*IF(Table_NFI[[#This Row],[Distribution Date]]&gt;"2014-04-01",1,2.5)</f>
        <v>0</v>
      </c>
      <c r="AI160" s="294">
        <f>IF(NFI_Expiration=1,IF($A160&lt;VLOOKUP(R$5,NFI,5,0),1,0)*Table_NFI[[#This Row],[Winter Clothes Adult]],Table_NFI[Winter Clothes Adult])</f>
        <v>0</v>
      </c>
      <c r="AJ160" s="294">
        <f>IF(NFI_Expiration=1,IF($A160&lt;VLOOKUP(S$5,NFI,5,0),1,0)*Table_NFI[[#This Row],[Winter Clothes Children]],Table_NFI[Winter Clothes Children])</f>
        <v>0</v>
      </c>
      <c r="AK160" s="294">
        <f>IF(NFI_Expiration=1,IF($A160&lt;VLOOKUP(T$5,NFI,5,0),1,0)*Table_NFI[[#This Row],[Winter Items Other]],Table_NFI[Winter Items Other])</f>
        <v>0</v>
      </c>
      <c r="AL160" s="294">
        <f>IF(NFI_Expiration=1,IF($A160&lt;VLOOKUP(M$5,NFI,5,0),1,0)*Table_NFI[[#This Row],[Winter Blanket]],Table_NFI[[#This Row],[Winter Blanket]])</f>
        <v>0</v>
      </c>
      <c r="AM160" s="294">
        <f>IF(Table_NFI[[#This Row],[Winter Clothes Adult]]+Table_NFI[[#This Row],[Winter Clothes Children]]+Table_NFI[[#This Row],[Winter Items Other]]+Table_NFI[[#This Row],[Winter Blanket]]&gt;0,1,0)</f>
        <v>0</v>
      </c>
      <c r="AN160" s="331">
        <f>IF(NFI_Expiration=1,IF($A160&lt;VLOOKUP(V$5,NFI,5,0),1,0)*Table_NFI[[#This Row],[Jerry Can]],Table_NFI[Jerry Can])</f>
        <v>0</v>
      </c>
      <c r="AO160" s="331">
        <f>IF(NFI_Expiration=1,IF($A160&lt;VLOOKUP(V$5,NFI,5,0),1,0)*Table_NFI[[#This Row],[Shelter Tool kit]],Table_NFI[Shelter Tool kit])</f>
        <v>0</v>
      </c>
      <c r="AP160" s="331">
        <f>IF(NFI_Expiration=1,IF($A160&lt;VLOOKUP(V$5,NFI,5,0),1,0)*Table_NFI[[#This Row],[Tent]],Table_NFI[Tent])</f>
        <v>0</v>
      </c>
      <c r="AQ160" s="467" t="str">
        <f>IFERROR(VLOOKUP(Table_NFI[[#This Row],[Camp Name]],CL,2,0),"")</f>
        <v>MMR001CMP050</v>
      </c>
      <c r="AR160" s="835">
        <f ca="1">IF(Table_NFI[[#This Row],[Pcode]]="","",IF(OFFSET(CampList[Opening Date],MATCH(Table_NFI[[#This Row],[Pcode]],CampList[CP_Pcode],0)-1,0,1,1)&gt;=NFI_Monitor_Date,1,0))</f>
        <v>0</v>
      </c>
      <c r="AS160" s="467" t="str">
        <f>IFERROR(VLOOKUP(Table_NFI[[#This Row],[Camp Name]],CL,3,0),"")</f>
        <v>Open</v>
      </c>
      <c r="AT160" s="294" t="str">
        <f ca="1">IF(Table_NFI[[#This Row],[Pcode]]="","",OFFSET(CampList[Priority],MATCH(Table_NFI[[#This Row],[Pcode]],CampList[CP_Pcode],0)-1,0,1,1))</f>
        <v>P4</v>
      </c>
      <c r="AU160" s="293">
        <f>IFERROR(Table_NFI[[#This Row],[Kitchen Set]]/VLOOKUP(Table_NFI[[#This Row],[Camp Name]],CL,4,0),"")</f>
        <v>0</v>
      </c>
      <c r="AV160" s="461"/>
      <c r="AW160" s="463"/>
    </row>
    <row r="161" spans="1:49" s="98" customFormat="1" ht="14.45" customHeight="1" x14ac:dyDescent="0.25">
      <c r="A161" s="297">
        <f t="shared" si="2"/>
        <v>21.133333333333333</v>
      </c>
      <c r="B161" s="460">
        <v>42102</v>
      </c>
      <c r="C161" s="461" t="s">
        <v>452</v>
      </c>
      <c r="D161" s="461" t="s">
        <v>460</v>
      </c>
      <c r="E161" s="461" t="s">
        <v>380</v>
      </c>
      <c r="F161" s="461" t="s">
        <v>151</v>
      </c>
      <c r="G161" s="461" t="s">
        <v>885</v>
      </c>
      <c r="H161" s="291"/>
      <c r="I161" s="294"/>
      <c r="J161" s="294"/>
      <c r="K161" s="294">
        <v>8</v>
      </c>
      <c r="L161" s="292">
        <v>4</v>
      </c>
      <c r="M161" s="292"/>
      <c r="N161" s="292">
        <v>4</v>
      </c>
      <c r="O161" s="292"/>
      <c r="P161" s="294">
        <v>4</v>
      </c>
      <c r="Q161" s="294"/>
      <c r="R161" s="294"/>
      <c r="S161" s="294"/>
      <c r="T161" s="294"/>
      <c r="U161" s="294"/>
      <c r="V161" s="431"/>
      <c r="W161" s="294"/>
      <c r="X161" s="294"/>
      <c r="Y161" s="294">
        <f>IF(NFI_Expiration=1,IF($A161&lt;VLOOKUP(H$5,NFI,5,0),1,0)*Table_NFI[[#This Row],[Hygiene Kit]],Table_NFI[Hygiene Kit])</f>
        <v>0</v>
      </c>
      <c r="Z161" s="294">
        <f>IF(NFI_Expiration=1,IF($A161&lt;VLOOKUP(I$5,NFI,5,0),1,0)*Table_NFI[[#This Row],[NFI Core Kit]],Table_NFI[NFI Core Kit])</f>
        <v>0</v>
      </c>
      <c r="AA161" s="294">
        <f>IF(NFI_Expiration=1,IF($A161&lt;VLOOKUP(J$5,NFI,5,0),1,0)*Table_NFI[[#This Row],[Sanitary Kit]],Table_NFI[Sanitary Kit])</f>
        <v>0</v>
      </c>
      <c r="AB161" s="294">
        <f>IF(NFI_Expiration=1,IF($A161&lt;VLOOKUP(K$5,NFI,5,0),1,0)*Table_NFI[[#This Row],[Mosquito net]],Table_NFI[Mosquito net])</f>
        <v>0</v>
      </c>
      <c r="AC161" s="294">
        <f>IF(NFI_Expiration=1,IF($A161&lt;VLOOKUP(L$5,NFI,5,0),1,0)*Table_NFI[[#This Row],[Tarpaulin]],Table_NFI[[#This Row],[Tarpaulin]])</f>
        <v>0</v>
      </c>
      <c r="AD161" s="294">
        <f>IF(NFI_Expiration=1,IF($A161&lt;VLOOKUP(M$5,NFI,5,0),1,0)*Table_NFI[[#This Row],[Blanket]],Table_NFI[[#This Row],[Blanket]])</f>
        <v>0</v>
      </c>
      <c r="AE161" s="294">
        <f>IF(NFI_Expiration=1,IF($A161&lt;VLOOKUP(N$5,NFI,5,0),1,0)*Table_NFI[[#This Row],[Kitchen Set]],Table_NFI[Kitchen Set])</f>
        <v>0</v>
      </c>
      <c r="AF161" s="294">
        <f>IF(NFI_Expiration=1,IF($A161&lt;VLOOKUP(O$5,NFI,5,0),1,0)*Table_NFI[[#This Row],[Clothes Kit]],Table_NFI[Clothes Kit])</f>
        <v>0</v>
      </c>
      <c r="AG161" s="294">
        <f>IF(NFI_Expiration=1,IF($A161&lt;VLOOKUP(P$5,NFI,5,0),1,0)*Table_NFI[[#This Row],[Plastic Bucket]],Table_NFI[Plastic Bucket])</f>
        <v>0</v>
      </c>
      <c r="AH161" s="294">
        <f>IF(NFI_Expiration=1,IF($A161&lt;VLOOKUP(Q$5,NFI,5,0),1,0)*Table_NFI[[#This Row],[Plastic Mat]],Table_NFI[Plastic Mat])*IF(Table_NFI[[#This Row],[Distribution Date]]&gt;"2014-04-01",1,2.5)</f>
        <v>0</v>
      </c>
      <c r="AI161" s="294">
        <f>IF(NFI_Expiration=1,IF($A161&lt;VLOOKUP(R$5,NFI,5,0),1,0)*Table_NFI[[#This Row],[Winter Clothes Adult]],Table_NFI[Winter Clothes Adult])</f>
        <v>0</v>
      </c>
      <c r="AJ161" s="294">
        <f>IF(NFI_Expiration=1,IF($A161&lt;VLOOKUP(S$5,NFI,5,0),1,0)*Table_NFI[[#This Row],[Winter Clothes Children]],Table_NFI[Winter Clothes Children])</f>
        <v>0</v>
      </c>
      <c r="AK161" s="294">
        <f>IF(NFI_Expiration=1,IF($A161&lt;VLOOKUP(T$5,NFI,5,0),1,0)*Table_NFI[[#This Row],[Winter Items Other]],Table_NFI[Winter Items Other])</f>
        <v>0</v>
      </c>
      <c r="AL161" s="294">
        <f>IF(NFI_Expiration=1,IF($A161&lt;VLOOKUP(M$5,NFI,5,0),1,0)*Table_NFI[[#This Row],[Winter Blanket]],Table_NFI[[#This Row],[Winter Blanket]])</f>
        <v>0</v>
      </c>
      <c r="AM161" s="294">
        <f>IF(Table_NFI[[#This Row],[Winter Clothes Adult]]+Table_NFI[[#This Row],[Winter Clothes Children]]+Table_NFI[[#This Row],[Winter Items Other]]+Table_NFI[[#This Row],[Winter Blanket]]&gt;0,1,0)</f>
        <v>0</v>
      </c>
      <c r="AN161" s="331">
        <f>IF(NFI_Expiration=1,IF($A161&lt;VLOOKUP(V$5,NFI,5,0),1,0)*Table_NFI[[#This Row],[Jerry Can]],Table_NFI[Jerry Can])</f>
        <v>0</v>
      </c>
      <c r="AO161" s="331">
        <f>IF(NFI_Expiration=1,IF($A161&lt;VLOOKUP(V$5,NFI,5,0),1,0)*Table_NFI[[#This Row],[Shelter Tool kit]],Table_NFI[Shelter Tool kit])</f>
        <v>0</v>
      </c>
      <c r="AP161" s="331">
        <f>IF(NFI_Expiration=1,IF($A161&lt;VLOOKUP(V$5,NFI,5,0),1,0)*Table_NFI[[#This Row],[Tent]],Table_NFI[Tent])</f>
        <v>0</v>
      </c>
      <c r="AQ161" s="467" t="str">
        <f>IFERROR(VLOOKUP(Table_NFI[[#This Row],[Camp Name]],CL,2,0),"")</f>
        <v>MMR001CMP218</v>
      </c>
      <c r="AR161" s="835">
        <f ca="1">IF(Table_NFI[[#This Row],[Pcode]]="","",IF(OFFSET(CampList[Opening Date],MATCH(Table_NFI[[#This Row],[Pcode]],CampList[CP_Pcode],0)-1,0,1,1)&gt;=NFI_Monitor_Date,1,0))</f>
        <v>0</v>
      </c>
      <c r="AS161" s="659" t="str">
        <f>IFERROR(VLOOKUP(Table_NFI[[#This Row],[Camp Name]],CL,3,0),"")</f>
        <v>Open</v>
      </c>
      <c r="AT161" s="294" t="str">
        <f ca="1">IF(Table_NFI[[#This Row],[Pcode]]="","",OFFSET(CampList[Priority],MATCH(Table_NFI[[#This Row],[Pcode]],CampList[CP_Pcode],0)-1,0,1,1))</f>
        <v>P4</v>
      </c>
      <c r="AU161" s="293">
        <f>IFERROR(Table_NFI[[#This Row],[Kitchen Set]]/VLOOKUP(Table_NFI[[#This Row],[Camp Name]],CL,4,0),"")</f>
        <v>9.6274188889958599E-5</v>
      </c>
      <c r="AV161" s="461" t="s">
        <v>1092</v>
      </c>
      <c r="AW161" s="483"/>
    </row>
    <row r="162" spans="1:49" s="98" customFormat="1" ht="14.45" customHeight="1" x14ac:dyDescent="0.25">
      <c r="A162" s="297">
        <f t="shared" si="2"/>
        <v>21.133333333333333</v>
      </c>
      <c r="B162" s="460">
        <v>42102</v>
      </c>
      <c r="C162" s="461" t="s">
        <v>905</v>
      </c>
      <c r="D162" s="461" t="s">
        <v>905</v>
      </c>
      <c r="E162" s="461" t="s">
        <v>380</v>
      </c>
      <c r="F162" s="461" t="s">
        <v>5</v>
      </c>
      <c r="G162" s="461" t="s">
        <v>24</v>
      </c>
      <c r="H162" s="291"/>
      <c r="I162" s="291"/>
      <c r="J162" s="292"/>
      <c r="K162" s="291"/>
      <c r="L162" s="292"/>
      <c r="M162" s="292"/>
      <c r="N162" s="292"/>
      <c r="O162" s="292"/>
      <c r="P162" s="294"/>
      <c r="Q162" s="294"/>
      <c r="R162" s="294"/>
      <c r="S162" s="294"/>
      <c r="T162" s="294"/>
      <c r="U162" s="294"/>
      <c r="V162" s="431"/>
      <c r="W162" s="294">
        <v>2</v>
      </c>
      <c r="X162" s="294"/>
      <c r="Y162" s="294">
        <f>IF(NFI_Expiration=1,IF($A162&lt;VLOOKUP(H$5,NFI,5,0),1,0)*Table_NFI[[#This Row],[Hygiene Kit]],Table_NFI[Hygiene Kit])</f>
        <v>0</v>
      </c>
      <c r="Z162" s="294">
        <f>IF(NFI_Expiration=1,IF($A162&lt;VLOOKUP(I$5,NFI,5,0),1,0)*Table_NFI[[#This Row],[NFI Core Kit]],Table_NFI[NFI Core Kit])</f>
        <v>0</v>
      </c>
      <c r="AA162" s="294">
        <f>IF(NFI_Expiration=1,IF($A162&lt;VLOOKUP(J$5,NFI,5,0),1,0)*Table_NFI[[#This Row],[Sanitary Kit]],Table_NFI[Sanitary Kit])</f>
        <v>0</v>
      </c>
      <c r="AB162" s="294">
        <f>IF(NFI_Expiration=1,IF($A162&lt;VLOOKUP(K$5,NFI,5,0),1,0)*Table_NFI[[#This Row],[Mosquito net]],Table_NFI[Mosquito net])</f>
        <v>0</v>
      </c>
      <c r="AC162" s="294">
        <f>IF(NFI_Expiration=1,IF($A162&lt;VLOOKUP(L$5,NFI,5,0),1,0)*Table_NFI[[#This Row],[Tarpaulin]],Table_NFI[[#This Row],[Tarpaulin]])</f>
        <v>0</v>
      </c>
      <c r="AD162" s="294">
        <f>IF(NFI_Expiration=1,IF($A162&lt;VLOOKUP(M$5,NFI,5,0),1,0)*Table_NFI[[#This Row],[Blanket]],Table_NFI[[#This Row],[Blanket]])</f>
        <v>0</v>
      </c>
      <c r="AE162" s="294">
        <f>IF(NFI_Expiration=1,IF($A162&lt;VLOOKUP(N$5,NFI,5,0),1,0)*Table_NFI[[#This Row],[Kitchen Set]],Table_NFI[Kitchen Set])</f>
        <v>0</v>
      </c>
      <c r="AF162" s="294">
        <f>IF(NFI_Expiration=1,IF($A162&lt;VLOOKUP(O$5,NFI,5,0),1,0)*Table_NFI[[#This Row],[Clothes Kit]],Table_NFI[Clothes Kit])</f>
        <v>0</v>
      </c>
      <c r="AG162" s="294">
        <f>IF(NFI_Expiration=1,IF($A162&lt;VLOOKUP(P$5,NFI,5,0),1,0)*Table_NFI[[#This Row],[Plastic Bucket]],Table_NFI[Plastic Bucket])</f>
        <v>0</v>
      </c>
      <c r="AH162" s="294">
        <f>IF(NFI_Expiration=1,IF($A162&lt;VLOOKUP(Q$5,NFI,5,0),1,0)*Table_NFI[[#This Row],[Plastic Mat]],Table_NFI[Plastic Mat])*IF(Table_NFI[[#This Row],[Distribution Date]]&gt;"2014-04-01",1,2.5)</f>
        <v>0</v>
      </c>
      <c r="AI162" s="294">
        <f>IF(NFI_Expiration=1,IF($A162&lt;VLOOKUP(R$5,NFI,5,0),1,0)*Table_NFI[[#This Row],[Winter Clothes Adult]],Table_NFI[Winter Clothes Adult])</f>
        <v>0</v>
      </c>
      <c r="AJ162" s="294">
        <f>IF(NFI_Expiration=1,IF($A162&lt;VLOOKUP(S$5,NFI,5,0),1,0)*Table_NFI[[#This Row],[Winter Clothes Children]],Table_NFI[Winter Clothes Children])</f>
        <v>0</v>
      </c>
      <c r="AK162" s="294">
        <f>IF(NFI_Expiration=1,IF($A162&lt;VLOOKUP(T$5,NFI,5,0),1,0)*Table_NFI[[#This Row],[Winter Items Other]],Table_NFI[Winter Items Other])</f>
        <v>0</v>
      </c>
      <c r="AL162" s="294">
        <f>IF(NFI_Expiration=1,IF($A162&lt;VLOOKUP(M$5,NFI,5,0),1,0)*Table_NFI[[#This Row],[Winter Blanket]],Table_NFI[[#This Row],[Winter Blanket]])</f>
        <v>0</v>
      </c>
      <c r="AM162" s="294">
        <f>IF(Table_NFI[[#This Row],[Winter Clothes Adult]]+Table_NFI[[#This Row],[Winter Clothes Children]]+Table_NFI[[#This Row],[Winter Items Other]]+Table_NFI[[#This Row],[Winter Blanket]]&gt;0,1,0)</f>
        <v>0</v>
      </c>
      <c r="AN162" s="331">
        <f>IF(NFI_Expiration=1,IF($A162&lt;VLOOKUP(V$5,NFI,5,0),1,0)*Table_NFI[[#This Row],[Jerry Can]],Table_NFI[Jerry Can])</f>
        <v>0</v>
      </c>
      <c r="AO162" s="331">
        <f>IF(NFI_Expiration=1,IF($A162&lt;VLOOKUP(V$5,NFI,5,0),1,0)*Table_NFI[[#This Row],[Shelter Tool kit]],Table_NFI[Shelter Tool kit])</f>
        <v>0</v>
      </c>
      <c r="AP162" s="331">
        <f>IF(NFI_Expiration=1,IF($A162&lt;VLOOKUP(V$5,NFI,5,0),1,0)*Table_NFI[[#This Row],[Tent]],Table_NFI[Tent])</f>
        <v>0</v>
      </c>
      <c r="AQ162" s="467" t="str">
        <f>IFERROR(VLOOKUP(Table_NFI[[#This Row],[Camp Name]],CL,2,0),"")</f>
        <v>MMR001CMP055</v>
      </c>
      <c r="AR162" s="835">
        <f ca="1">IF(Table_NFI[[#This Row],[Pcode]]="","",IF(OFFSET(CampList[Opening Date],MATCH(Table_NFI[[#This Row],[Pcode]],CampList[CP_Pcode],0)-1,0,1,1)&gt;=NFI_Monitor_Date,1,0))</f>
        <v>0</v>
      </c>
      <c r="AS162" s="467" t="str">
        <f>IFERROR(VLOOKUP(Table_NFI[[#This Row],[Camp Name]],CL,3,0),"")</f>
        <v>Open</v>
      </c>
      <c r="AT162" s="294" t="str">
        <f ca="1">IF(Table_NFI[[#This Row],[Pcode]]="","",OFFSET(CampList[Priority],MATCH(Table_NFI[[#This Row],[Pcode]],CampList[CP_Pcode],0)-1,0,1,1))</f>
        <v>P4</v>
      </c>
      <c r="AU162" s="293">
        <f>IFERROR(Table_NFI[[#This Row],[Kitchen Set]]/VLOOKUP(Table_NFI[[#This Row],[Camp Name]],CL,4,0),"")</f>
        <v>0</v>
      </c>
      <c r="AV162" s="461"/>
      <c r="AW162" s="463"/>
    </row>
    <row r="163" spans="1:49" s="98" customFormat="1" ht="14.45" customHeight="1" x14ac:dyDescent="0.25">
      <c r="A163" s="297">
        <f t="shared" si="2"/>
        <v>21.3</v>
      </c>
      <c r="B163" s="460">
        <v>42097</v>
      </c>
      <c r="C163" s="461" t="s">
        <v>452</v>
      </c>
      <c r="D163" s="461" t="s">
        <v>1329</v>
      </c>
      <c r="E163" s="461" t="s">
        <v>380</v>
      </c>
      <c r="F163" s="461" t="s">
        <v>5</v>
      </c>
      <c r="G163" s="461" t="s">
        <v>1330</v>
      </c>
      <c r="H163" s="291"/>
      <c r="I163" s="291"/>
      <c r="J163" s="291"/>
      <c r="K163" s="291"/>
      <c r="L163" s="292"/>
      <c r="M163" s="292">
        <v>15</v>
      </c>
      <c r="N163" s="292"/>
      <c r="O163" s="292"/>
      <c r="P163" s="294">
        <v>26</v>
      </c>
      <c r="Q163" s="294">
        <v>720</v>
      </c>
      <c r="R163" s="294"/>
      <c r="S163" s="294"/>
      <c r="T163" s="294"/>
      <c r="U163" s="294"/>
      <c r="V163" s="431">
        <v>26</v>
      </c>
      <c r="W163" s="294"/>
      <c r="X163" s="294"/>
      <c r="Y163" s="294">
        <f>IF(NFI_Expiration=1,IF($A163&lt;VLOOKUP(H$5,NFI,5,0),1,0)*Table_NFI[[#This Row],[Hygiene Kit]],Table_NFI[Hygiene Kit])</f>
        <v>0</v>
      </c>
      <c r="Z163" s="294">
        <f>IF(NFI_Expiration=1,IF($A163&lt;VLOOKUP(I$5,NFI,5,0),1,0)*Table_NFI[[#This Row],[NFI Core Kit]],Table_NFI[NFI Core Kit])</f>
        <v>0</v>
      </c>
      <c r="AA163" s="294">
        <f>IF(NFI_Expiration=1,IF($A163&lt;VLOOKUP(J$5,NFI,5,0),1,0)*Table_NFI[[#This Row],[Sanitary Kit]],Table_NFI[Sanitary Kit])</f>
        <v>0</v>
      </c>
      <c r="AB163" s="294">
        <f>IF(NFI_Expiration=1,IF($A163&lt;VLOOKUP(K$5,NFI,5,0),1,0)*Table_NFI[[#This Row],[Mosquito net]],Table_NFI[Mosquito net])</f>
        <v>0</v>
      </c>
      <c r="AC163" s="294">
        <f>IF(NFI_Expiration=1,IF($A163&lt;VLOOKUP(L$5,NFI,5,0),1,0)*Table_NFI[[#This Row],[Tarpaulin]],Table_NFI[[#This Row],[Tarpaulin]])</f>
        <v>0</v>
      </c>
      <c r="AD163" s="294">
        <f>IF(NFI_Expiration=1,IF($A163&lt;VLOOKUP(M$5,NFI,5,0),1,0)*Table_NFI[[#This Row],[Blanket]],Table_NFI[[#This Row],[Blanket]])</f>
        <v>0</v>
      </c>
      <c r="AE163" s="294">
        <f>IF(NFI_Expiration=1,IF($A163&lt;VLOOKUP(N$5,NFI,5,0),1,0)*Table_NFI[[#This Row],[Kitchen Set]],Table_NFI[Kitchen Set])</f>
        <v>0</v>
      </c>
      <c r="AF163" s="294">
        <f>IF(NFI_Expiration=1,IF($A163&lt;VLOOKUP(O$5,NFI,5,0),1,0)*Table_NFI[[#This Row],[Clothes Kit]],Table_NFI[Clothes Kit])</f>
        <v>0</v>
      </c>
      <c r="AG163" s="294">
        <f>IF(NFI_Expiration=1,IF($A163&lt;VLOOKUP(P$5,NFI,5,0),1,0)*Table_NFI[[#This Row],[Plastic Bucket]],Table_NFI[Plastic Bucket])</f>
        <v>0</v>
      </c>
      <c r="AH163" s="294">
        <f>IF(NFI_Expiration=1,IF($A163&lt;VLOOKUP(Q$5,NFI,5,0),1,0)*Table_NFI[[#This Row],[Plastic Mat]],Table_NFI[Plastic Mat])*IF(Table_NFI[[#This Row],[Distribution Date]]&gt;"2014-04-01",1,2.5)</f>
        <v>0</v>
      </c>
      <c r="AI163" s="294">
        <f>IF(NFI_Expiration=1,IF($A163&lt;VLOOKUP(R$5,NFI,5,0),1,0)*Table_NFI[[#This Row],[Winter Clothes Adult]],Table_NFI[Winter Clothes Adult])</f>
        <v>0</v>
      </c>
      <c r="AJ163" s="294">
        <f>IF(NFI_Expiration=1,IF($A163&lt;VLOOKUP(S$5,NFI,5,0),1,0)*Table_NFI[[#This Row],[Winter Clothes Children]],Table_NFI[Winter Clothes Children])</f>
        <v>0</v>
      </c>
      <c r="AK163" s="294">
        <f>IF(NFI_Expiration=1,IF($A163&lt;VLOOKUP(T$5,NFI,5,0),1,0)*Table_NFI[[#This Row],[Winter Items Other]],Table_NFI[Winter Items Other])</f>
        <v>0</v>
      </c>
      <c r="AL163" s="294">
        <f>IF(NFI_Expiration=1,IF($A163&lt;VLOOKUP(M$5,NFI,5,0),1,0)*Table_NFI[[#This Row],[Winter Blanket]],Table_NFI[[#This Row],[Winter Blanket]])</f>
        <v>0</v>
      </c>
      <c r="AM163" s="294">
        <f>IF(Table_NFI[[#This Row],[Winter Clothes Adult]]+Table_NFI[[#This Row],[Winter Clothes Children]]+Table_NFI[[#This Row],[Winter Items Other]]+Table_NFI[[#This Row],[Winter Blanket]]&gt;0,1,0)</f>
        <v>0</v>
      </c>
      <c r="AN163" s="331">
        <f>IF(NFI_Expiration=1,IF($A163&lt;VLOOKUP(V$5,NFI,5,0),1,0)*Table_NFI[[#This Row],[Jerry Can]],Table_NFI[Jerry Can])</f>
        <v>0</v>
      </c>
      <c r="AO163" s="331">
        <f>IF(NFI_Expiration=1,IF($A163&lt;VLOOKUP(V$5,NFI,5,0),1,0)*Table_NFI[[#This Row],[Shelter Tool kit]],Table_NFI[Shelter Tool kit])</f>
        <v>0</v>
      </c>
      <c r="AP163" s="331">
        <f>IF(NFI_Expiration=1,IF($A163&lt;VLOOKUP(V$5,NFI,5,0),1,0)*Table_NFI[[#This Row],[Tent]],Table_NFI[Tent])</f>
        <v>0</v>
      </c>
      <c r="AQ163" s="467" t="str">
        <f>IFERROR(VLOOKUP(Table_NFI[[#This Row],[Camp Name]],CL,2,0),"")</f>
        <v/>
      </c>
      <c r="AR163" s="835" t="str">
        <f ca="1">IF(Table_NFI[[#This Row],[Pcode]]="","",IF(OFFSET(CampList[Opening Date],MATCH(Table_NFI[[#This Row],[Pcode]],CampList[CP_Pcode],0)-1,0,1,1)&gt;=NFI_Monitor_Date,1,0))</f>
        <v/>
      </c>
      <c r="AS163" s="659" t="str">
        <f>IFERROR(VLOOKUP(Table_NFI[[#This Row],[Camp Name]],CL,3,0),"")</f>
        <v/>
      </c>
      <c r="AT163" s="294" t="str">
        <f ca="1">IF(Table_NFI[[#This Row],[Pcode]]="","",OFFSET(CampList[Priority],MATCH(Table_NFI[[#This Row],[Pcode]],CampList[CP_Pcode],0)-1,0,1,1))</f>
        <v/>
      </c>
      <c r="AU163" s="293" t="str">
        <f>IFERROR(Table_NFI[[#This Row],[Kitchen Set]]/VLOOKUP(Table_NFI[[#This Row],[Camp Name]],CL,4,0),"")</f>
        <v/>
      </c>
      <c r="AV163" s="461" t="s">
        <v>1092</v>
      </c>
      <c r="AW163" s="463"/>
    </row>
    <row r="164" spans="1:49" s="98" customFormat="1" ht="14.45" customHeight="1" x14ac:dyDescent="0.25">
      <c r="A164" s="297">
        <f t="shared" si="2"/>
        <v>21.3</v>
      </c>
      <c r="B164" s="460">
        <v>42097</v>
      </c>
      <c r="C164" s="461" t="s">
        <v>452</v>
      </c>
      <c r="D164" s="461" t="s">
        <v>505</v>
      </c>
      <c r="E164" s="461" t="s">
        <v>380</v>
      </c>
      <c r="F164" s="461" t="s">
        <v>185</v>
      </c>
      <c r="G164" s="461" t="s">
        <v>207</v>
      </c>
      <c r="H164" s="291"/>
      <c r="I164" s="291"/>
      <c r="J164" s="291"/>
      <c r="K164" s="294"/>
      <c r="L164" s="292"/>
      <c r="M164" s="292"/>
      <c r="N164" s="292"/>
      <c r="O164" s="292"/>
      <c r="P164" s="294"/>
      <c r="Q164" s="294"/>
      <c r="R164" s="294"/>
      <c r="S164" s="294"/>
      <c r="T164" s="294"/>
      <c r="U164" s="294"/>
      <c r="V164" s="431"/>
      <c r="W164" s="294"/>
      <c r="X164" s="294"/>
      <c r="Y164" s="294">
        <f>IF(NFI_Expiration=1,IF($A164&lt;VLOOKUP(H$5,NFI,5,0),1,0)*Table_NFI[[#This Row],[Hygiene Kit]],Table_NFI[Hygiene Kit])</f>
        <v>0</v>
      </c>
      <c r="Z164" s="294">
        <f>IF(NFI_Expiration=1,IF($A164&lt;VLOOKUP(I$5,NFI,5,0),1,0)*Table_NFI[[#This Row],[NFI Core Kit]],Table_NFI[NFI Core Kit])</f>
        <v>0</v>
      </c>
      <c r="AA164" s="294">
        <f>IF(NFI_Expiration=1,IF($A164&lt;VLOOKUP(J$5,NFI,5,0),1,0)*Table_NFI[[#This Row],[Sanitary Kit]],Table_NFI[Sanitary Kit])</f>
        <v>0</v>
      </c>
      <c r="AB164" s="294">
        <f>IF(NFI_Expiration=1,IF($A164&lt;VLOOKUP(K$5,NFI,5,0),1,0)*Table_NFI[[#This Row],[Mosquito net]],Table_NFI[Mosquito net])</f>
        <v>0</v>
      </c>
      <c r="AC164" s="294">
        <f>IF(NFI_Expiration=1,IF($A164&lt;VLOOKUP(L$5,NFI,5,0),1,0)*Table_NFI[[#This Row],[Tarpaulin]],Table_NFI[[#This Row],[Tarpaulin]])</f>
        <v>0</v>
      </c>
      <c r="AD164" s="294">
        <f>IF(NFI_Expiration=1,IF($A164&lt;VLOOKUP(M$5,NFI,5,0),1,0)*Table_NFI[[#This Row],[Blanket]],Table_NFI[[#This Row],[Blanket]])</f>
        <v>0</v>
      </c>
      <c r="AE164" s="294">
        <f>IF(NFI_Expiration=1,IF($A164&lt;VLOOKUP(N$5,NFI,5,0),1,0)*Table_NFI[[#This Row],[Kitchen Set]],Table_NFI[Kitchen Set])</f>
        <v>0</v>
      </c>
      <c r="AF164" s="294">
        <f>IF(NFI_Expiration=1,IF($A164&lt;VLOOKUP(O$5,NFI,5,0),1,0)*Table_NFI[[#This Row],[Clothes Kit]],Table_NFI[Clothes Kit])</f>
        <v>0</v>
      </c>
      <c r="AG164" s="294">
        <f>IF(NFI_Expiration=1,IF($A164&lt;VLOOKUP(P$5,NFI,5,0),1,0)*Table_NFI[[#This Row],[Plastic Bucket]],Table_NFI[Plastic Bucket])</f>
        <v>0</v>
      </c>
      <c r="AH164" s="294">
        <f>IF(NFI_Expiration=1,IF($A164&lt;VLOOKUP(Q$5,NFI,5,0),1,0)*Table_NFI[[#This Row],[Plastic Mat]],Table_NFI[Plastic Mat])*IF(Table_NFI[[#This Row],[Distribution Date]]&gt;"2014-04-01",1,2.5)</f>
        <v>0</v>
      </c>
      <c r="AI164" s="294">
        <f>IF(NFI_Expiration=1,IF($A164&lt;VLOOKUP(R$5,NFI,5,0),1,0)*Table_NFI[[#This Row],[Winter Clothes Adult]],Table_NFI[Winter Clothes Adult])</f>
        <v>0</v>
      </c>
      <c r="AJ164" s="294">
        <f>IF(NFI_Expiration=1,IF($A164&lt;VLOOKUP(S$5,NFI,5,0),1,0)*Table_NFI[[#This Row],[Winter Clothes Children]],Table_NFI[Winter Clothes Children])</f>
        <v>0</v>
      </c>
      <c r="AK164" s="294">
        <f>IF(NFI_Expiration=1,IF($A164&lt;VLOOKUP(T$5,NFI,5,0),1,0)*Table_NFI[[#This Row],[Winter Items Other]],Table_NFI[Winter Items Other])</f>
        <v>0</v>
      </c>
      <c r="AL164" s="294">
        <f>IF(NFI_Expiration=1,IF($A164&lt;VLOOKUP(M$5,NFI,5,0),1,0)*Table_NFI[[#This Row],[Winter Blanket]],Table_NFI[[#This Row],[Winter Blanket]])</f>
        <v>0</v>
      </c>
      <c r="AM164" s="294">
        <f>IF(Table_NFI[[#This Row],[Winter Clothes Adult]]+Table_NFI[[#This Row],[Winter Clothes Children]]+Table_NFI[[#This Row],[Winter Items Other]]+Table_NFI[[#This Row],[Winter Blanket]]&gt;0,1,0)</f>
        <v>0</v>
      </c>
      <c r="AN164" s="331">
        <f>IF(NFI_Expiration=1,IF($A164&lt;VLOOKUP(V$5,NFI,5,0),1,0)*Table_NFI[[#This Row],[Jerry Can]],Table_NFI[Jerry Can])</f>
        <v>0</v>
      </c>
      <c r="AO164" s="331">
        <f>IF(NFI_Expiration=1,IF($A164&lt;VLOOKUP(V$5,NFI,5,0),1,0)*Table_NFI[[#This Row],[Shelter Tool kit]],Table_NFI[Shelter Tool kit])</f>
        <v>0</v>
      </c>
      <c r="AP164" s="331">
        <f>IF(NFI_Expiration=1,IF($A164&lt;VLOOKUP(V$5,NFI,5,0),1,0)*Table_NFI[[#This Row],[Tent]],Table_NFI[Tent])</f>
        <v>0</v>
      </c>
      <c r="AQ164" s="467" t="str">
        <f>IFERROR(VLOOKUP(Table_NFI[[#This Row],[Camp Name]],CL,2,0),"")</f>
        <v>MMR001CMP058</v>
      </c>
      <c r="AR164" s="835">
        <f ca="1">IF(Table_NFI[[#This Row],[Pcode]]="","",IF(OFFSET(CampList[Opening Date],MATCH(Table_NFI[[#This Row],[Pcode]],CampList[CP_Pcode],0)-1,0,1,1)&gt;=NFI_Monitor_Date,1,0))</f>
        <v>0</v>
      </c>
      <c r="AS164" s="467" t="str">
        <f>IFERROR(VLOOKUP(Table_NFI[[#This Row],[Camp Name]],CL,3,0),"")</f>
        <v>Closed</v>
      </c>
      <c r="AT164" s="294" t="str">
        <f ca="1">IF(Table_NFI[[#This Row],[Pcode]]="","",OFFSET(CampList[Priority],MATCH(Table_NFI[[#This Row],[Pcode]],CampList[CP_Pcode],0)-1,0,1,1))</f>
        <v>P4</v>
      </c>
      <c r="AU164" s="293">
        <f>IFERROR(Table_NFI[[#This Row],[Kitchen Set]]/VLOOKUP(Table_NFI[[#This Row],[Camp Name]],CL,4,0),"")</f>
        <v>0</v>
      </c>
      <c r="AV164" s="461" t="s">
        <v>1092</v>
      </c>
      <c r="AW164" s="463"/>
    </row>
    <row r="165" spans="1:49" s="98" customFormat="1" ht="14.45" customHeight="1" x14ac:dyDescent="0.25">
      <c r="A165" s="297">
        <f t="shared" si="2"/>
        <v>21.3</v>
      </c>
      <c r="B165" s="460">
        <v>42097</v>
      </c>
      <c r="C165" s="461" t="s">
        <v>452</v>
      </c>
      <c r="D165" s="461" t="s">
        <v>505</v>
      </c>
      <c r="E165" s="461" t="s">
        <v>380</v>
      </c>
      <c r="F165" s="461" t="s">
        <v>185</v>
      </c>
      <c r="G165" s="461" t="s">
        <v>217</v>
      </c>
      <c r="H165" s="291"/>
      <c r="I165" s="294"/>
      <c r="J165" s="294"/>
      <c r="K165" s="294">
        <v>105</v>
      </c>
      <c r="L165" s="292">
        <v>26</v>
      </c>
      <c r="M165" s="292">
        <v>308</v>
      </c>
      <c r="N165" s="292">
        <v>29</v>
      </c>
      <c r="O165" s="292"/>
      <c r="P165" s="294"/>
      <c r="Q165" s="294">
        <v>69</v>
      </c>
      <c r="R165" s="294"/>
      <c r="S165" s="294"/>
      <c r="T165" s="294"/>
      <c r="U165" s="294"/>
      <c r="V165" s="431"/>
      <c r="W165" s="294"/>
      <c r="X165" s="294"/>
      <c r="Y165" s="294">
        <f>IF(NFI_Expiration=1,IF($A165&lt;VLOOKUP(H$5,NFI,5,0),1,0)*Table_NFI[[#This Row],[Hygiene Kit]],Table_NFI[Hygiene Kit])</f>
        <v>0</v>
      </c>
      <c r="Z165" s="294">
        <f>IF(NFI_Expiration=1,IF($A165&lt;VLOOKUP(I$5,NFI,5,0),1,0)*Table_NFI[[#This Row],[NFI Core Kit]],Table_NFI[NFI Core Kit])</f>
        <v>0</v>
      </c>
      <c r="AA165" s="294">
        <f>IF(NFI_Expiration=1,IF($A165&lt;VLOOKUP(J$5,NFI,5,0),1,0)*Table_NFI[[#This Row],[Sanitary Kit]],Table_NFI[Sanitary Kit])</f>
        <v>0</v>
      </c>
      <c r="AB165" s="294">
        <f>IF(NFI_Expiration=1,IF($A165&lt;VLOOKUP(K$5,NFI,5,0),1,0)*Table_NFI[[#This Row],[Mosquito net]],Table_NFI[Mosquito net])</f>
        <v>0</v>
      </c>
      <c r="AC165" s="294">
        <f>IF(NFI_Expiration=1,IF($A165&lt;VLOOKUP(L$5,NFI,5,0),1,0)*Table_NFI[[#This Row],[Tarpaulin]],Table_NFI[[#This Row],[Tarpaulin]])</f>
        <v>0</v>
      </c>
      <c r="AD165" s="294">
        <f>IF(NFI_Expiration=1,IF($A165&lt;VLOOKUP(M$5,NFI,5,0),1,0)*Table_NFI[[#This Row],[Blanket]],Table_NFI[[#This Row],[Blanket]])</f>
        <v>0</v>
      </c>
      <c r="AE165" s="294">
        <f>IF(NFI_Expiration=1,IF($A165&lt;VLOOKUP(N$5,NFI,5,0),1,0)*Table_NFI[[#This Row],[Kitchen Set]],Table_NFI[Kitchen Set])</f>
        <v>0</v>
      </c>
      <c r="AF165" s="294">
        <f>IF(NFI_Expiration=1,IF($A165&lt;VLOOKUP(O$5,NFI,5,0),1,0)*Table_NFI[[#This Row],[Clothes Kit]],Table_NFI[Clothes Kit])</f>
        <v>0</v>
      </c>
      <c r="AG165" s="294">
        <f>IF(NFI_Expiration=1,IF($A165&lt;VLOOKUP(P$5,NFI,5,0),1,0)*Table_NFI[[#This Row],[Plastic Bucket]],Table_NFI[Plastic Bucket])</f>
        <v>0</v>
      </c>
      <c r="AH165" s="294">
        <f>IF(NFI_Expiration=1,IF($A165&lt;VLOOKUP(Q$5,NFI,5,0),1,0)*Table_NFI[[#This Row],[Plastic Mat]],Table_NFI[Plastic Mat])*IF(Table_NFI[[#This Row],[Distribution Date]]&gt;"2014-04-01",1,2.5)</f>
        <v>0</v>
      </c>
      <c r="AI165" s="294">
        <f>IF(NFI_Expiration=1,IF($A165&lt;VLOOKUP(R$5,NFI,5,0),1,0)*Table_NFI[[#This Row],[Winter Clothes Adult]],Table_NFI[Winter Clothes Adult])</f>
        <v>0</v>
      </c>
      <c r="AJ165" s="294">
        <f>IF(NFI_Expiration=1,IF($A165&lt;VLOOKUP(S$5,NFI,5,0),1,0)*Table_NFI[[#This Row],[Winter Clothes Children]],Table_NFI[Winter Clothes Children])</f>
        <v>0</v>
      </c>
      <c r="AK165" s="294">
        <f>IF(NFI_Expiration=1,IF($A165&lt;VLOOKUP(T$5,NFI,5,0),1,0)*Table_NFI[[#This Row],[Winter Items Other]],Table_NFI[Winter Items Other])</f>
        <v>0</v>
      </c>
      <c r="AL165" s="294">
        <f>IF(NFI_Expiration=1,IF($A165&lt;VLOOKUP(M$5,NFI,5,0),1,0)*Table_NFI[[#This Row],[Winter Blanket]],Table_NFI[[#This Row],[Winter Blanket]])</f>
        <v>0</v>
      </c>
      <c r="AM165" s="294">
        <f>IF(Table_NFI[[#This Row],[Winter Clothes Adult]]+Table_NFI[[#This Row],[Winter Clothes Children]]+Table_NFI[[#This Row],[Winter Items Other]]+Table_NFI[[#This Row],[Winter Blanket]]&gt;0,1,0)</f>
        <v>0</v>
      </c>
      <c r="AN165" s="331">
        <f>IF(NFI_Expiration=1,IF($A165&lt;VLOOKUP(V$5,NFI,5,0),1,0)*Table_NFI[[#This Row],[Jerry Can]],Table_NFI[Jerry Can])</f>
        <v>0</v>
      </c>
      <c r="AO165" s="331">
        <f>IF(NFI_Expiration=1,IF($A165&lt;VLOOKUP(V$5,NFI,5,0),1,0)*Table_NFI[[#This Row],[Shelter Tool kit]],Table_NFI[Shelter Tool kit])</f>
        <v>0</v>
      </c>
      <c r="AP165" s="331">
        <f>IF(NFI_Expiration=1,IF($A165&lt;VLOOKUP(V$5,NFI,5,0),1,0)*Table_NFI[[#This Row],[Tent]],Table_NFI[Tent])</f>
        <v>0</v>
      </c>
      <c r="AQ165" s="467" t="str">
        <f>IFERROR(VLOOKUP(Table_NFI[[#This Row],[Camp Name]],CL,2,0),"")</f>
        <v>MMR001CMP059</v>
      </c>
      <c r="AR165" s="835">
        <f ca="1">IF(Table_NFI[[#This Row],[Pcode]]="","",IF(OFFSET(CampList[Opening Date],MATCH(Table_NFI[[#This Row],[Pcode]],CampList[CP_Pcode],0)-1,0,1,1)&gt;=NFI_Monitor_Date,1,0))</f>
        <v>0</v>
      </c>
      <c r="AS165" s="467" t="str">
        <f>IFERROR(VLOOKUP(Table_NFI[[#This Row],[Camp Name]],CL,3,0),"")</f>
        <v>Closed</v>
      </c>
      <c r="AT165" s="294" t="str">
        <f ca="1">IF(Table_NFI[[#This Row],[Pcode]]="","",OFFSET(CampList[Priority],MATCH(Table_NFI[[#This Row],[Pcode]],CampList[CP_Pcode],0)-1,0,1,1))</f>
        <v>P4</v>
      </c>
      <c r="AU165" s="293">
        <f>IFERROR(Table_NFI[[#This Row],[Kitchen Set]]/VLOOKUP(Table_NFI[[#This Row],[Camp Name]],CL,4,0),"")</f>
        <v>7.1048827694343043E-4</v>
      </c>
      <c r="AV165" s="461" t="s">
        <v>1092</v>
      </c>
      <c r="AW165" s="463"/>
    </row>
    <row r="166" spans="1:49" s="98" customFormat="1" ht="14.45" customHeight="1" x14ac:dyDescent="0.25">
      <c r="A166" s="297">
        <f t="shared" si="2"/>
        <v>21.3</v>
      </c>
      <c r="B166" s="460">
        <v>42097</v>
      </c>
      <c r="C166" s="461" t="s">
        <v>452</v>
      </c>
      <c r="D166" s="461" t="s">
        <v>1329</v>
      </c>
      <c r="E166" s="461" t="s">
        <v>380</v>
      </c>
      <c r="F166" s="461" t="s">
        <v>5</v>
      </c>
      <c r="G166" s="461" t="s">
        <v>8</v>
      </c>
      <c r="H166" s="291"/>
      <c r="I166" s="291"/>
      <c r="J166" s="291"/>
      <c r="K166" s="291"/>
      <c r="L166" s="292">
        <v>3</v>
      </c>
      <c r="M166" s="292">
        <v>53</v>
      </c>
      <c r="N166" s="292"/>
      <c r="O166" s="292"/>
      <c r="P166" s="294">
        <v>3</v>
      </c>
      <c r="Q166" s="294">
        <v>11</v>
      </c>
      <c r="R166" s="294"/>
      <c r="S166" s="294"/>
      <c r="T166" s="294"/>
      <c r="U166" s="294"/>
      <c r="V166" s="431">
        <v>3</v>
      </c>
      <c r="W166" s="294"/>
      <c r="X166" s="294"/>
      <c r="Y166" s="294">
        <f>IF(NFI_Expiration=1,IF($A166&lt;VLOOKUP(H$5,NFI,5,0),1,0)*Table_NFI[[#This Row],[Hygiene Kit]],Table_NFI[Hygiene Kit])</f>
        <v>0</v>
      </c>
      <c r="Z166" s="294">
        <f>IF(NFI_Expiration=1,IF($A166&lt;VLOOKUP(I$5,NFI,5,0),1,0)*Table_NFI[[#This Row],[NFI Core Kit]],Table_NFI[NFI Core Kit])</f>
        <v>0</v>
      </c>
      <c r="AA166" s="294">
        <f>IF(NFI_Expiration=1,IF($A166&lt;VLOOKUP(J$5,NFI,5,0),1,0)*Table_NFI[[#This Row],[Sanitary Kit]],Table_NFI[Sanitary Kit])</f>
        <v>0</v>
      </c>
      <c r="AB166" s="294">
        <f>IF(NFI_Expiration=1,IF($A166&lt;VLOOKUP(K$5,NFI,5,0),1,0)*Table_NFI[[#This Row],[Mosquito net]],Table_NFI[Mosquito net])</f>
        <v>0</v>
      </c>
      <c r="AC166" s="294">
        <f>IF(NFI_Expiration=1,IF($A166&lt;VLOOKUP(L$5,NFI,5,0),1,0)*Table_NFI[[#This Row],[Tarpaulin]],Table_NFI[[#This Row],[Tarpaulin]])</f>
        <v>0</v>
      </c>
      <c r="AD166" s="294">
        <f>IF(NFI_Expiration=1,IF($A166&lt;VLOOKUP(M$5,NFI,5,0),1,0)*Table_NFI[[#This Row],[Blanket]],Table_NFI[[#This Row],[Blanket]])</f>
        <v>0</v>
      </c>
      <c r="AE166" s="294">
        <f>IF(NFI_Expiration=1,IF($A166&lt;VLOOKUP(N$5,NFI,5,0),1,0)*Table_NFI[[#This Row],[Kitchen Set]],Table_NFI[Kitchen Set])</f>
        <v>0</v>
      </c>
      <c r="AF166" s="294">
        <f>IF(NFI_Expiration=1,IF($A166&lt;VLOOKUP(O$5,NFI,5,0),1,0)*Table_NFI[[#This Row],[Clothes Kit]],Table_NFI[Clothes Kit])</f>
        <v>0</v>
      </c>
      <c r="AG166" s="294">
        <f>IF(NFI_Expiration=1,IF($A166&lt;VLOOKUP(P$5,NFI,5,0),1,0)*Table_NFI[[#This Row],[Plastic Bucket]],Table_NFI[Plastic Bucket])</f>
        <v>0</v>
      </c>
      <c r="AH166" s="294">
        <f>IF(NFI_Expiration=1,IF($A166&lt;VLOOKUP(Q$5,NFI,5,0),1,0)*Table_NFI[[#This Row],[Plastic Mat]],Table_NFI[Plastic Mat])*IF(Table_NFI[[#This Row],[Distribution Date]]&gt;"2014-04-01",1,2.5)</f>
        <v>0</v>
      </c>
      <c r="AI166" s="294">
        <f>IF(NFI_Expiration=1,IF($A166&lt;VLOOKUP(R$5,NFI,5,0),1,0)*Table_NFI[[#This Row],[Winter Clothes Adult]],Table_NFI[Winter Clothes Adult])</f>
        <v>0</v>
      </c>
      <c r="AJ166" s="294">
        <f>IF(NFI_Expiration=1,IF($A166&lt;VLOOKUP(S$5,NFI,5,0),1,0)*Table_NFI[[#This Row],[Winter Clothes Children]],Table_NFI[Winter Clothes Children])</f>
        <v>0</v>
      </c>
      <c r="AK166" s="294">
        <f>IF(NFI_Expiration=1,IF($A166&lt;VLOOKUP(T$5,NFI,5,0),1,0)*Table_NFI[[#This Row],[Winter Items Other]],Table_NFI[Winter Items Other])</f>
        <v>0</v>
      </c>
      <c r="AL166" s="294">
        <f>IF(NFI_Expiration=1,IF($A166&lt;VLOOKUP(M$5,NFI,5,0),1,0)*Table_NFI[[#This Row],[Winter Blanket]],Table_NFI[[#This Row],[Winter Blanket]])</f>
        <v>0</v>
      </c>
      <c r="AM166" s="294">
        <f>IF(Table_NFI[[#This Row],[Winter Clothes Adult]]+Table_NFI[[#This Row],[Winter Clothes Children]]+Table_NFI[[#This Row],[Winter Items Other]]+Table_NFI[[#This Row],[Winter Blanket]]&gt;0,1,0)</f>
        <v>0</v>
      </c>
      <c r="AN166" s="331">
        <f>IF(NFI_Expiration=1,IF($A166&lt;VLOOKUP(V$5,NFI,5,0),1,0)*Table_NFI[[#This Row],[Jerry Can]],Table_NFI[Jerry Can])</f>
        <v>0</v>
      </c>
      <c r="AO166" s="331">
        <f>IF(NFI_Expiration=1,IF($A166&lt;VLOOKUP(V$5,NFI,5,0),1,0)*Table_NFI[[#This Row],[Shelter Tool kit]],Table_NFI[Shelter Tool kit])</f>
        <v>0</v>
      </c>
      <c r="AP166" s="331">
        <f>IF(NFI_Expiration=1,IF($A166&lt;VLOOKUP(V$5,NFI,5,0),1,0)*Table_NFI[[#This Row],[Tent]],Table_NFI[Tent])</f>
        <v>0</v>
      </c>
      <c r="AQ166" s="467" t="str">
        <f>IFERROR(VLOOKUP(Table_NFI[[#This Row],[Camp Name]],CL,2,0),"")</f>
        <v>MMR001CMP051</v>
      </c>
      <c r="AR166" s="835">
        <f ca="1">IF(Table_NFI[[#This Row],[Pcode]]="","",IF(OFFSET(CampList[Opening Date],MATCH(Table_NFI[[#This Row],[Pcode]],CampList[CP_Pcode],0)-1,0,1,1)&gt;=NFI_Monitor_Date,1,0))</f>
        <v>0</v>
      </c>
      <c r="AS166" s="467" t="str">
        <f>IFERROR(VLOOKUP(Table_NFI[[#This Row],[Camp Name]],CL,3,0),"")</f>
        <v>Open</v>
      </c>
      <c r="AT166" s="294" t="str">
        <f ca="1">IF(Table_NFI[[#This Row],[Pcode]]="","",OFFSET(CampList[Priority],MATCH(Table_NFI[[#This Row],[Pcode]],CampList[CP_Pcode],0)-1,0,1,1))</f>
        <v>P4</v>
      </c>
      <c r="AU166" s="293">
        <f>IFERROR(Table_NFI[[#This Row],[Kitchen Set]]/VLOOKUP(Table_NFI[[#This Row],[Camp Name]],CL,4,0),"")</f>
        <v>0</v>
      </c>
      <c r="AV166" s="461" t="s">
        <v>1092</v>
      </c>
      <c r="AW166" s="463"/>
    </row>
    <row r="167" spans="1:49" s="98" customFormat="1" ht="14.45" customHeight="1" x14ac:dyDescent="0.25">
      <c r="A167" s="297">
        <f t="shared" si="2"/>
        <v>21.3</v>
      </c>
      <c r="B167" s="460">
        <v>42097</v>
      </c>
      <c r="C167" s="461" t="s">
        <v>452</v>
      </c>
      <c r="D167" s="461" t="s">
        <v>452</v>
      </c>
      <c r="E167" s="461" t="s">
        <v>380</v>
      </c>
      <c r="F167" s="461" t="s">
        <v>185</v>
      </c>
      <c r="G167" s="461" t="s">
        <v>215</v>
      </c>
      <c r="H167" s="291"/>
      <c r="I167" s="294"/>
      <c r="J167" s="294"/>
      <c r="K167" s="294"/>
      <c r="L167" s="292"/>
      <c r="M167" s="292"/>
      <c r="N167" s="292"/>
      <c r="O167" s="292"/>
      <c r="P167" s="294"/>
      <c r="Q167" s="294"/>
      <c r="R167" s="294"/>
      <c r="S167" s="294"/>
      <c r="T167" s="294"/>
      <c r="U167" s="294"/>
      <c r="V167" s="431">
        <v>405</v>
      </c>
      <c r="W167" s="294"/>
      <c r="X167" s="294"/>
      <c r="Y167" s="294">
        <f>IF(NFI_Expiration=1,IF($A167&lt;VLOOKUP(H$5,NFI,5,0),1,0)*Table_NFI[[#This Row],[Hygiene Kit]],Table_NFI[Hygiene Kit])</f>
        <v>0</v>
      </c>
      <c r="Z167" s="294">
        <f>IF(NFI_Expiration=1,IF($A167&lt;VLOOKUP(I$5,NFI,5,0),1,0)*Table_NFI[[#This Row],[NFI Core Kit]],Table_NFI[NFI Core Kit])</f>
        <v>0</v>
      </c>
      <c r="AA167" s="294">
        <f>IF(NFI_Expiration=1,IF($A167&lt;VLOOKUP(J$5,NFI,5,0),1,0)*Table_NFI[[#This Row],[Sanitary Kit]],Table_NFI[Sanitary Kit])</f>
        <v>0</v>
      </c>
      <c r="AB167" s="294">
        <f>IF(NFI_Expiration=1,IF($A167&lt;VLOOKUP(K$5,NFI,5,0),1,0)*Table_NFI[[#This Row],[Mosquito net]],Table_NFI[Mosquito net])</f>
        <v>0</v>
      </c>
      <c r="AC167" s="294">
        <f>IF(NFI_Expiration=1,IF($A167&lt;VLOOKUP(L$5,NFI,5,0),1,0)*Table_NFI[[#This Row],[Tarpaulin]],Table_NFI[[#This Row],[Tarpaulin]])</f>
        <v>0</v>
      </c>
      <c r="AD167" s="294">
        <f>IF(NFI_Expiration=1,IF($A167&lt;VLOOKUP(M$5,NFI,5,0),1,0)*Table_NFI[[#This Row],[Blanket]],Table_NFI[[#This Row],[Blanket]])</f>
        <v>0</v>
      </c>
      <c r="AE167" s="294">
        <f>IF(NFI_Expiration=1,IF($A167&lt;VLOOKUP(N$5,NFI,5,0),1,0)*Table_NFI[[#This Row],[Kitchen Set]],Table_NFI[Kitchen Set])</f>
        <v>0</v>
      </c>
      <c r="AF167" s="294">
        <f>IF(NFI_Expiration=1,IF($A167&lt;VLOOKUP(O$5,NFI,5,0),1,0)*Table_NFI[[#This Row],[Clothes Kit]],Table_NFI[Clothes Kit])</f>
        <v>0</v>
      </c>
      <c r="AG167" s="294">
        <f>IF(NFI_Expiration=1,IF($A167&lt;VLOOKUP(P$5,NFI,5,0),1,0)*Table_NFI[[#This Row],[Plastic Bucket]],Table_NFI[Plastic Bucket])</f>
        <v>0</v>
      </c>
      <c r="AH167" s="294">
        <f>IF(NFI_Expiration=1,IF($A167&lt;VLOOKUP(Q$5,NFI,5,0),1,0)*Table_NFI[[#This Row],[Plastic Mat]],Table_NFI[Plastic Mat])*IF(Table_NFI[[#This Row],[Distribution Date]]&gt;"2014-04-01",1,2.5)</f>
        <v>0</v>
      </c>
      <c r="AI167" s="294">
        <f>IF(NFI_Expiration=1,IF($A167&lt;VLOOKUP(R$5,NFI,5,0),1,0)*Table_NFI[[#This Row],[Winter Clothes Adult]],Table_NFI[Winter Clothes Adult])</f>
        <v>0</v>
      </c>
      <c r="AJ167" s="294">
        <f>IF(NFI_Expiration=1,IF($A167&lt;VLOOKUP(S$5,NFI,5,0),1,0)*Table_NFI[[#This Row],[Winter Clothes Children]],Table_NFI[Winter Clothes Children])</f>
        <v>0</v>
      </c>
      <c r="AK167" s="294">
        <f>IF(NFI_Expiration=1,IF($A167&lt;VLOOKUP(T$5,NFI,5,0),1,0)*Table_NFI[[#This Row],[Winter Items Other]],Table_NFI[Winter Items Other])</f>
        <v>0</v>
      </c>
      <c r="AL167" s="294">
        <f>IF(NFI_Expiration=1,IF($A167&lt;VLOOKUP(M$5,NFI,5,0),1,0)*Table_NFI[[#This Row],[Winter Blanket]],Table_NFI[[#This Row],[Winter Blanket]])</f>
        <v>0</v>
      </c>
      <c r="AM167" s="294">
        <f>IF(Table_NFI[[#This Row],[Winter Clothes Adult]]+Table_NFI[[#This Row],[Winter Clothes Children]]+Table_NFI[[#This Row],[Winter Items Other]]+Table_NFI[[#This Row],[Winter Blanket]]&gt;0,1,0)</f>
        <v>0</v>
      </c>
      <c r="AN167" s="331">
        <f>IF(NFI_Expiration=1,IF($A167&lt;VLOOKUP(V$5,NFI,5,0),1,0)*Table_NFI[[#This Row],[Jerry Can]],Table_NFI[Jerry Can])</f>
        <v>0</v>
      </c>
      <c r="AO167" s="331">
        <f>IF(NFI_Expiration=1,IF($A167&lt;VLOOKUP(V$5,NFI,5,0),1,0)*Table_NFI[[#This Row],[Shelter Tool kit]],Table_NFI[Shelter Tool kit])</f>
        <v>0</v>
      </c>
      <c r="AP167" s="331">
        <f>IF(NFI_Expiration=1,IF($A167&lt;VLOOKUP(V$5,NFI,5,0),1,0)*Table_NFI[[#This Row],[Tent]],Table_NFI[Tent])</f>
        <v>0</v>
      </c>
      <c r="AQ167" s="467" t="str">
        <f>IFERROR(VLOOKUP(Table_NFI[[#This Row],[Camp Name]],CL,2,0),"")</f>
        <v>MMR001CMP131</v>
      </c>
      <c r="AR167" s="835">
        <f ca="1">IF(Table_NFI[[#This Row],[Pcode]]="","",IF(OFFSET(CampList[Opening Date],MATCH(Table_NFI[[#This Row],[Pcode]],CampList[CP_Pcode],0)-1,0,1,1)&gt;=NFI_Monitor_Date,1,0))</f>
        <v>0</v>
      </c>
      <c r="AS167" s="467" t="str">
        <f>IFERROR(VLOOKUP(Table_NFI[[#This Row],[Camp Name]],CL,3,0),"")</f>
        <v>Open</v>
      </c>
      <c r="AT167" s="294" t="str">
        <f ca="1">IF(Table_NFI[[#This Row],[Pcode]]="","",OFFSET(CampList[Priority],MATCH(Table_NFI[[#This Row],[Pcode]],CampList[CP_Pcode],0)-1,0,1,1))</f>
        <v>P1</v>
      </c>
      <c r="AU167" s="293">
        <f>IFERROR(Table_NFI[[#This Row],[Kitchen Set]]/VLOOKUP(Table_NFI[[#This Row],[Camp Name]],CL,4,0),"")</f>
        <v>0</v>
      </c>
      <c r="AV167" s="461" t="s">
        <v>1092</v>
      </c>
      <c r="AW167" s="463"/>
    </row>
    <row r="168" spans="1:49" s="98" customFormat="1" ht="14.45" customHeight="1" x14ac:dyDescent="0.25">
      <c r="A168" s="297">
        <f t="shared" si="2"/>
        <v>21.5</v>
      </c>
      <c r="B168" s="460">
        <v>42091</v>
      </c>
      <c r="C168" s="461" t="s">
        <v>452</v>
      </c>
      <c r="D168" s="461" t="s">
        <v>1089</v>
      </c>
      <c r="E168" s="461" t="s">
        <v>380</v>
      </c>
      <c r="F168" s="461" t="s">
        <v>151</v>
      </c>
      <c r="G168" s="461" t="s">
        <v>1034</v>
      </c>
      <c r="H168" s="291"/>
      <c r="I168" s="294"/>
      <c r="J168" s="294"/>
      <c r="K168" s="294"/>
      <c r="L168" s="292"/>
      <c r="M168" s="292">
        <v>704</v>
      </c>
      <c r="N168" s="292"/>
      <c r="O168" s="292"/>
      <c r="P168" s="294">
        <v>9</v>
      </c>
      <c r="Q168" s="294"/>
      <c r="R168" s="294"/>
      <c r="S168" s="294"/>
      <c r="T168" s="294"/>
      <c r="U168" s="294"/>
      <c r="V168" s="431"/>
      <c r="W168" s="294"/>
      <c r="X168" s="294"/>
      <c r="Y168" s="294">
        <f>IF(NFI_Expiration=1,IF($A168&lt;VLOOKUP(H$5,NFI,5,0),1,0)*Table_NFI[[#This Row],[Hygiene Kit]],Table_NFI[Hygiene Kit])</f>
        <v>0</v>
      </c>
      <c r="Z168" s="294">
        <f>IF(NFI_Expiration=1,IF($A168&lt;VLOOKUP(I$5,NFI,5,0),1,0)*Table_NFI[[#This Row],[NFI Core Kit]],Table_NFI[NFI Core Kit])</f>
        <v>0</v>
      </c>
      <c r="AA168" s="294">
        <f>IF(NFI_Expiration=1,IF($A168&lt;VLOOKUP(J$5,NFI,5,0),1,0)*Table_NFI[[#This Row],[Sanitary Kit]],Table_NFI[Sanitary Kit])</f>
        <v>0</v>
      </c>
      <c r="AB168" s="294">
        <f>IF(NFI_Expiration=1,IF($A168&lt;VLOOKUP(K$5,NFI,5,0),1,0)*Table_NFI[[#This Row],[Mosquito net]],Table_NFI[Mosquito net])</f>
        <v>0</v>
      </c>
      <c r="AC168" s="294">
        <f>IF(NFI_Expiration=1,IF($A168&lt;VLOOKUP(L$5,NFI,5,0),1,0)*Table_NFI[[#This Row],[Tarpaulin]],Table_NFI[[#This Row],[Tarpaulin]])</f>
        <v>0</v>
      </c>
      <c r="AD168" s="294">
        <f>IF(NFI_Expiration=1,IF($A168&lt;VLOOKUP(M$5,NFI,5,0),1,0)*Table_NFI[[#This Row],[Blanket]],Table_NFI[[#This Row],[Blanket]])</f>
        <v>0</v>
      </c>
      <c r="AE168" s="294">
        <f>IF(NFI_Expiration=1,IF($A168&lt;VLOOKUP(N$5,NFI,5,0),1,0)*Table_NFI[[#This Row],[Kitchen Set]],Table_NFI[Kitchen Set])</f>
        <v>0</v>
      </c>
      <c r="AF168" s="294">
        <f>IF(NFI_Expiration=1,IF($A168&lt;VLOOKUP(O$5,NFI,5,0),1,0)*Table_NFI[[#This Row],[Clothes Kit]],Table_NFI[Clothes Kit])</f>
        <v>0</v>
      </c>
      <c r="AG168" s="294">
        <f>IF(NFI_Expiration=1,IF($A168&lt;VLOOKUP(P$5,NFI,5,0),1,0)*Table_NFI[[#This Row],[Plastic Bucket]],Table_NFI[Plastic Bucket])</f>
        <v>0</v>
      </c>
      <c r="AH168" s="294">
        <f>IF(NFI_Expiration=1,IF($A168&lt;VLOOKUP(Q$5,NFI,5,0),1,0)*Table_NFI[[#This Row],[Plastic Mat]],Table_NFI[Plastic Mat])*IF(Table_NFI[[#This Row],[Distribution Date]]&gt;"2014-04-01",1,2.5)</f>
        <v>0</v>
      </c>
      <c r="AI168" s="294">
        <f>IF(NFI_Expiration=1,IF($A168&lt;VLOOKUP(R$5,NFI,5,0),1,0)*Table_NFI[[#This Row],[Winter Clothes Adult]],Table_NFI[Winter Clothes Adult])</f>
        <v>0</v>
      </c>
      <c r="AJ168" s="294">
        <f>IF(NFI_Expiration=1,IF($A168&lt;VLOOKUP(S$5,NFI,5,0),1,0)*Table_NFI[[#This Row],[Winter Clothes Children]],Table_NFI[Winter Clothes Children])</f>
        <v>0</v>
      </c>
      <c r="AK168" s="294">
        <f>IF(NFI_Expiration=1,IF($A168&lt;VLOOKUP(T$5,NFI,5,0),1,0)*Table_NFI[[#This Row],[Winter Items Other]],Table_NFI[Winter Items Other])</f>
        <v>0</v>
      </c>
      <c r="AL168" s="294">
        <f>IF(NFI_Expiration=1,IF($A168&lt;VLOOKUP(M$5,NFI,5,0),1,0)*Table_NFI[[#This Row],[Winter Blanket]],Table_NFI[[#This Row],[Winter Blanket]])</f>
        <v>0</v>
      </c>
      <c r="AM168" s="294">
        <f>IF(Table_NFI[[#This Row],[Winter Clothes Adult]]+Table_NFI[[#This Row],[Winter Clothes Children]]+Table_NFI[[#This Row],[Winter Items Other]]+Table_NFI[[#This Row],[Winter Blanket]]&gt;0,1,0)</f>
        <v>0</v>
      </c>
      <c r="AN168" s="331">
        <f>IF(NFI_Expiration=1,IF($A168&lt;VLOOKUP(V$5,NFI,5,0),1,0)*Table_NFI[[#This Row],[Jerry Can]],Table_NFI[Jerry Can])</f>
        <v>0</v>
      </c>
      <c r="AO168" s="331">
        <f>IF(NFI_Expiration=1,IF($A168&lt;VLOOKUP(V$5,NFI,5,0),1,0)*Table_NFI[[#This Row],[Shelter Tool kit]],Table_NFI[Shelter Tool kit])</f>
        <v>0</v>
      </c>
      <c r="AP168" s="331">
        <f>IF(NFI_Expiration=1,IF($A168&lt;VLOOKUP(V$5,NFI,5,0),1,0)*Table_NFI[[#This Row],[Tent]],Table_NFI[Tent])</f>
        <v>0</v>
      </c>
      <c r="AQ168" s="467" t="str">
        <f>IFERROR(VLOOKUP(Table_NFI[[#This Row],[Camp Name]],CL,2,0),"")</f>
        <v>MMR001CMP226</v>
      </c>
      <c r="AR168" s="835">
        <f ca="1">IF(Table_NFI[[#This Row],[Pcode]]="","",IF(OFFSET(CampList[Opening Date],MATCH(Table_NFI[[#This Row],[Pcode]],CampList[CP_Pcode],0)-1,0,1,1)&gt;=NFI_Monitor_Date,1,0))</f>
        <v>0</v>
      </c>
      <c r="AS168" s="659" t="str">
        <f>IFERROR(VLOOKUP(Table_NFI[[#This Row],[Camp Name]],CL,3,0),"")</f>
        <v>Closed</v>
      </c>
      <c r="AT168" s="294" t="str">
        <f ca="1">IF(Table_NFI[[#This Row],[Pcode]]="","",OFFSET(CampList[Priority],MATCH(Table_NFI[[#This Row],[Pcode]],CampList[CP_Pcode],0)-1,0,1,1))</f>
        <v>P2</v>
      </c>
      <c r="AU168" s="293">
        <f>IFERROR(Table_NFI[[#This Row],[Kitchen Set]]/VLOOKUP(Table_NFI[[#This Row],[Camp Name]],CL,4,0),"")</f>
        <v>0</v>
      </c>
      <c r="AV168" s="461" t="s">
        <v>1092</v>
      </c>
      <c r="AW168" s="463"/>
    </row>
    <row r="169" spans="1:49" s="98" customFormat="1" x14ac:dyDescent="0.25">
      <c r="A169" s="297">
        <f t="shared" si="2"/>
        <v>21.533333333333335</v>
      </c>
      <c r="B169" s="460">
        <v>42090</v>
      </c>
      <c r="C169" s="461" t="s">
        <v>452</v>
      </c>
      <c r="D169" s="461" t="s">
        <v>1089</v>
      </c>
      <c r="E169" s="461" t="s">
        <v>380</v>
      </c>
      <c r="F169" s="461" t="s">
        <v>151</v>
      </c>
      <c r="G169" s="461" t="s">
        <v>198</v>
      </c>
      <c r="H169" s="291"/>
      <c r="I169" s="291"/>
      <c r="J169" s="291"/>
      <c r="K169" s="291"/>
      <c r="L169" s="292"/>
      <c r="M169" s="292">
        <v>357</v>
      </c>
      <c r="N169" s="292"/>
      <c r="O169" s="292"/>
      <c r="P169" s="294"/>
      <c r="Q169" s="294"/>
      <c r="R169" s="294"/>
      <c r="S169" s="294"/>
      <c r="T169" s="294"/>
      <c r="U169" s="294"/>
      <c r="V169" s="431"/>
      <c r="W169" s="294"/>
      <c r="X169" s="294"/>
      <c r="Y169" s="294">
        <f>IF(NFI_Expiration=1,IF($A169&lt;VLOOKUP(H$5,NFI,5,0),1,0)*Table_NFI[[#This Row],[Hygiene Kit]],Table_NFI[Hygiene Kit])</f>
        <v>0</v>
      </c>
      <c r="Z169" s="294">
        <f>IF(NFI_Expiration=1,IF($A169&lt;VLOOKUP(I$5,NFI,5,0),1,0)*Table_NFI[[#This Row],[NFI Core Kit]],Table_NFI[NFI Core Kit])</f>
        <v>0</v>
      </c>
      <c r="AA169" s="294">
        <f>IF(NFI_Expiration=1,IF($A169&lt;VLOOKUP(J$5,NFI,5,0),1,0)*Table_NFI[[#This Row],[Sanitary Kit]],Table_NFI[Sanitary Kit])</f>
        <v>0</v>
      </c>
      <c r="AB169" s="294">
        <f>IF(NFI_Expiration=1,IF($A169&lt;VLOOKUP(K$5,NFI,5,0),1,0)*Table_NFI[[#This Row],[Mosquito net]],Table_NFI[Mosquito net])</f>
        <v>0</v>
      </c>
      <c r="AC169" s="294">
        <f>IF(NFI_Expiration=1,IF($A169&lt;VLOOKUP(L$5,NFI,5,0),1,0)*Table_NFI[[#This Row],[Tarpaulin]],Table_NFI[[#This Row],[Tarpaulin]])</f>
        <v>0</v>
      </c>
      <c r="AD169" s="294">
        <f>IF(NFI_Expiration=1,IF($A169&lt;VLOOKUP(M$5,NFI,5,0),1,0)*Table_NFI[[#This Row],[Blanket]],Table_NFI[[#This Row],[Blanket]])</f>
        <v>0</v>
      </c>
      <c r="AE169" s="294">
        <f>IF(NFI_Expiration=1,IF($A169&lt;VLOOKUP(N$5,NFI,5,0),1,0)*Table_NFI[[#This Row],[Kitchen Set]],Table_NFI[Kitchen Set])</f>
        <v>0</v>
      </c>
      <c r="AF169" s="294">
        <f>IF(NFI_Expiration=1,IF($A169&lt;VLOOKUP(O$5,NFI,5,0),1,0)*Table_NFI[[#This Row],[Clothes Kit]],Table_NFI[Clothes Kit])</f>
        <v>0</v>
      </c>
      <c r="AG169" s="294">
        <f>IF(NFI_Expiration=1,IF($A169&lt;VLOOKUP(P$5,NFI,5,0),1,0)*Table_NFI[[#This Row],[Plastic Bucket]],Table_NFI[Plastic Bucket])</f>
        <v>0</v>
      </c>
      <c r="AH169" s="294">
        <f>IF(NFI_Expiration=1,IF($A169&lt;VLOOKUP(Q$5,NFI,5,0),1,0)*Table_NFI[[#This Row],[Plastic Mat]],Table_NFI[Plastic Mat])*IF(Table_NFI[[#This Row],[Distribution Date]]&gt;"2014-04-01",1,2.5)</f>
        <v>0</v>
      </c>
      <c r="AI169" s="294">
        <f>IF(NFI_Expiration=1,IF($A169&lt;VLOOKUP(R$5,NFI,5,0),1,0)*Table_NFI[[#This Row],[Winter Clothes Adult]],Table_NFI[Winter Clothes Adult])</f>
        <v>0</v>
      </c>
      <c r="AJ169" s="294">
        <f>IF(NFI_Expiration=1,IF($A169&lt;VLOOKUP(S$5,NFI,5,0),1,0)*Table_NFI[[#This Row],[Winter Clothes Children]],Table_NFI[Winter Clothes Children])</f>
        <v>0</v>
      </c>
      <c r="AK169" s="294">
        <f>IF(NFI_Expiration=1,IF($A169&lt;VLOOKUP(T$5,NFI,5,0),1,0)*Table_NFI[[#This Row],[Winter Items Other]],Table_NFI[Winter Items Other])</f>
        <v>0</v>
      </c>
      <c r="AL169" s="294">
        <f>IF(NFI_Expiration=1,IF($A169&lt;VLOOKUP(M$5,NFI,5,0),1,0)*Table_NFI[[#This Row],[Winter Blanket]],Table_NFI[[#This Row],[Winter Blanket]])</f>
        <v>0</v>
      </c>
      <c r="AM169" s="294">
        <f>IF(Table_NFI[[#This Row],[Winter Clothes Adult]]+Table_NFI[[#This Row],[Winter Clothes Children]]+Table_NFI[[#This Row],[Winter Items Other]]+Table_NFI[[#This Row],[Winter Blanket]]&gt;0,1,0)</f>
        <v>0</v>
      </c>
      <c r="AN169" s="331">
        <f>IF(NFI_Expiration=1,IF($A169&lt;VLOOKUP(V$5,NFI,5,0),1,0)*Table_NFI[[#This Row],[Jerry Can]],Table_NFI[Jerry Can])</f>
        <v>0</v>
      </c>
      <c r="AO169" s="331">
        <f>IF(NFI_Expiration=1,IF($A169&lt;VLOOKUP(V$5,NFI,5,0),1,0)*Table_NFI[[#This Row],[Shelter Tool kit]],Table_NFI[Shelter Tool kit])</f>
        <v>0</v>
      </c>
      <c r="AP169" s="331">
        <f>IF(NFI_Expiration=1,IF($A169&lt;VLOOKUP(V$5,NFI,5,0),1,0)*Table_NFI[[#This Row],[Tent]],Table_NFI[Tent])</f>
        <v>0</v>
      </c>
      <c r="AQ169" s="467" t="str">
        <f>IFERROR(VLOOKUP(Table_NFI[[#This Row],[Camp Name]],CL,2,0),"")</f>
        <v>MMR001CMP128</v>
      </c>
      <c r="AR169" s="835">
        <f ca="1">IF(Table_NFI[[#This Row],[Pcode]]="","",IF(OFFSET(CampList[Opening Date],MATCH(Table_NFI[[#This Row],[Pcode]],CampList[CP_Pcode],0)-1,0,1,1)&gt;=NFI_Monitor_Date,1,0))</f>
        <v>0</v>
      </c>
      <c r="AS169" s="467" t="str">
        <f>IFERROR(VLOOKUP(Table_NFI[[#This Row],[Camp Name]],CL,3,0),"")</f>
        <v>Open</v>
      </c>
      <c r="AT169" s="294" t="str">
        <f ca="1">IF(Table_NFI[[#This Row],[Pcode]]="","",OFFSET(CampList[Priority],MATCH(Table_NFI[[#This Row],[Pcode]],CampList[CP_Pcode],0)-1,0,1,1))</f>
        <v>P2</v>
      </c>
      <c r="AU169" s="293">
        <f>IFERROR(Table_NFI[[#This Row],[Kitchen Set]]/VLOOKUP(Table_NFI[[#This Row],[Camp Name]],CL,4,0),"")</f>
        <v>0</v>
      </c>
      <c r="AV169" s="461" t="s">
        <v>1092</v>
      </c>
      <c r="AW169" s="463"/>
    </row>
    <row r="170" spans="1:49" s="98" customFormat="1" x14ac:dyDescent="0.25">
      <c r="A170" s="297">
        <f t="shared" si="2"/>
        <v>21.6</v>
      </c>
      <c r="B170" s="460">
        <v>42088</v>
      </c>
      <c r="C170" s="461" t="s">
        <v>452</v>
      </c>
      <c r="D170" s="461" t="s">
        <v>1089</v>
      </c>
      <c r="E170" s="461" t="s">
        <v>380</v>
      </c>
      <c r="F170" s="461" t="s">
        <v>151</v>
      </c>
      <c r="G170" s="461" t="s">
        <v>188</v>
      </c>
      <c r="H170" s="291"/>
      <c r="I170" s="294"/>
      <c r="J170" s="294"/>
      <c r="K170" s="294"/>
      <c r="L170" s="292"/>
      <c r="M170" s="292">
        <v>829</v>
      </c>
      <c r="N170" s="292"/>
      <c r="O170" s="292"/>
      <c r="P170" s="294"/>
      <c r="Q170" s="294"/>
      <c r="R170" s="294"/>
      <c r="S170" s="294"/>
      <c r="T170" s="294"/>
      <c r="U170" s="294"/>
      <c r="V170" s="431"/>
      <c r="W170" s="294"/>
      <c r="X170" s="294"/>
      <c r="Y170" s="294">
        <f>IF(NFI_Expiration=1,IF($A170&lt;VLOOKUP(H$5,NFI,5,0),1,0)*Table_NFI[[#This Row],[Hygiene Kit]],Table_NFI[Hygiene Kit])</f>
        <v>0</v>
      </c>
      <c r="Z170" s="294">
        <f>IF(NFI_Expiration=1,IF($A170&lt;VLOOKUP(I$5,NFI,5,0),1,0)*Table_NFI[[#This Row],[NFI Core Kit]],Table_NFI[NFI Core Kit])</f>
        <v>0</v>
      </c>
      <c r="AA170" s="294">
        <f>IF(NFI_Expiration=1,IF($A170&lt;VLOOKUP(J$5,NFI,5,0),1,0)*Table_NFI[[#This Row],[Sanitary Kit]],Table_NFI[Sanitary Kit])</f>
        <v>0</v>
      </c>
      <c r="AB170" s="294">
        <f>IF(NFI_Expiration=1,IF($A170&lt;VLOOKUP(K$5,NFI,5,0),1,0)*Table_NFI[[#This Row],[Mosquito net]],Table_NFI[Mosquito net])</f>
        <v>0</v>
      </c>
      <c r="AC170" s="294">
        <f>IF(NFI_Expiration=1,IF($A170&lt;VLOOKUP(L$5,NFI,5,0),1,0)*Table_NFI[[#This Row],[Tarpaulin]],Table_NFI[[#This Row],[Tarpaulin]])</f>
        <v>0</v>
      </c>
      <c r="AD170" s="294">
        <f>IF(NFI_Expiration=1,IF($A170&lt;VLOOKUP(M$5,NFI,5,0),1,0)*Table_NFI[[#This Row],[Blanket]],Table_NFI[[#This Row],[Blanket]])</f>
        <v>0</v>
      </c>
      <c r="AE170" s="294">
        <f>IF(NFI_Expiration=1,IF($A170&lt;VLOOKUP(N$5,NFI,5,0),1,0)*Table_NFI[[#This Row],[Kitchen Set]],Table_NFI[Kitchen Set])</f>
        <v>0</v>
      </c>
      <c r="AF170" s="294">
        <f>IF(NFI_Expiration=1,IF($A170&lt;VLOOKUP(O$5,NFI,5,0),1,0)*Table_NFI[[#This Row],[Clothes Kit]],Table_NFI[Clothes Kit])</f>
        <v>0</v>
      </c>
      <c r="AG170" s="294">
        <f>IF(NFI_Expiration=1,IF($A170&lt;VLOOKUP(P$5,NFI,5,0),1,0)*Table_NFI[[#This Row],[Plastic Bucket]],Table_NFI[Plastic Bucket])</f>
        <v>0</v>
      </c>
      <c r="AH170" s="294">
        <f>IF(NFI_Expiration=1,IF($A170&lt;VLOOKUP(Q$5,NFI,5,0),1,0)*Table_NFI[[#This Row],[Plastic Mat]],Table_NFI[Plastic Mat])*IF(Table_NFI[[#This Row],[Distribution Date]]&gt;"2014-04-01",1,2.5)</f>
        <v>0</v>
      </c>
      <c r="AI170" s="294">
        <f>IF(NFI_Expiration=1,IF($A170&lt;VLOOKUP(R$5,NFI,5,0),1,0)*Table_NFI[[#This Row],[Winter Clothes Adult]],Table_NFI[Winter Clothes Adult])</f>
        <v>0</v>
      </c>
      <c r="AJ170" s="294">
        <f>IF(NFI_Expiration=1,IF($A170&lt;VLOOKUP(S$5,NFI,5,0),1,0)*Table_NFI[[#This Row],[Winter Clothes Children]],Table_NFI[Winter Clothes Children])</f>
        <v>0</v>
      </c>
      <c r="AK170" s="294">
        <f>IF(NFI_Expiration=1,IF($A170&lt;VLOOKUP(T$5,NFI,5,0),1,0)*Table_NFI[[#This Row],[Winter Items Other]],Table_NFI[Winter Items Other])</f>
        <v>0</v>
      </c>
      <c r="AL170" s="294">
        <f>IF(NFI_Expiration=1,IF($A170&lt;VLOOKUP(M$5,NFI,5,0),1,0)*Table_NFI[[#This Row],[Winter Blanket]],Table_NFI[[#This Row],[Winter Blanket]])</f>
        <v>0</v>
      </c>
      <c r="AM170" s="294">
        <f>IF(Table_NFI[[#This Row],[Winter Clothes Adult]]+Table_NFI[[#This Row],[Winter Clothes Children]]+Table_NFI[[#This Row],[Winter Items Other]]+Table_NFI[[#This Row],[Winter Blanket]]&gt;0,1,0)</f>
        <v>0</v>
      </c>
      <c r="AN170" s="331">
        <f>IF(NFI_Expiration=1,IF($A170&lt;VLOOKUP(V$5,NFI,5,0),1,0)*Table_NFI[[#This Row],[Jerry Can]],Table_NFI[Jerry Can])</f>
        <v>0</v>
      </c>
      <c r="AO170" s="331">
        <f>IF(NFI_Expiration=1,IF($A170&lt;VLOOKUP(V$5,NFI,5,0),1,0)*Table_NFI[[#This Row],[Shelter Tool kit]],Table_NFI[Shelter Tool kit])</f>
        <v>0</v>
      </c>
      <c r="AP170" s="331">
        <f>IF(NFI_Expiration=1,IF($A170&lt;VLOOKUP(V$5,NFI,5,0),1,0)*Table_NFI[[#This Row],[Tent]],Table_NFI[Tent])</f>
        <v>0</v>
      </c>
      <c r="AQ170" s="467" t="str">
        <f>IFERROR(VLOOKUP(Table_NFI[[#This Row],[Camp Name]],CL,2,0),"")</f>
        <v>MMR001CMP129</v>
      </c>
      <c r="AR170" s="835">
        <f ca="1">IF(Table_NFI[[#This Row],[Pcode]]="","",IF(OFFSET(CampList[Opening Date],MATCH(Table_NFI[[#This Row],[Pcode]],CampList[CP_Pcode],0)-1,0,1,1)&gt;=NFI_Monitor_Date,1,0))</f>
        <v>0</v>
      </c>
      <c r="AS170" s="659" t="str">
        <f>IFERROR(VLOOKUP(Table_NFI[[#This Row],[Camp Name]],CL,3,0),"")</f>
        <v>Open</v>
      </c>
      <c r="AT170" s="294" t="str">
        <f ca="1">IF(Table_NFI[[#This Row],[Pcode]]="","",OFFSET(CampList[Priority],MATCH(Table_NFI[[#This Row],[Pcode]],CampList[CP_Pcode],0)-1,0,1,1))</f>
        <v>P2</v>
      </c>
      <c r="AU170" s="293">
        <f>IFERROR(Table_NFI[[#This Row],[Kitchen Set]]/VLOOKUP(Table_NFI[[#This Row],[Camp Name]],CL,4,0),"")</f>
        <v>0</v>
      </c>
      <c r="AV170" s="461" t="s">
        <v>1092</v>
      </c>
      <c r="AW170" s="463"/>
    </row>
    <row r="171" spans="1:49" s="98" customFormat="1" ht="14.45" customHeight="1" x14ac:dyDescent="0.25">
      <c r="A171" s="297">
        <f t="shared" si="2"/>
        <v>21.6</v>
      </c>
      <c r="B171" s="460">
        <v>42088</v>
      </c>
      <c r="C171" s="461" t="s">
        <v>905</v>
      </c>
      <c r="D171" s="462" t="s">
        <v>905</v>
      </c>
      <c r="E171" s="461" t="s">
        <v>380</v>
      </c>
      <c r="F171" s="290" t="s">
        <v>185</v>
      </c>
      <c r="G171" s="290" t="s">
        <v>1431</v>
      </c>
      <c r="H171" s="291"/>
      <c r="I171" s="291"/>
      <c r="J171" s="292"/>
      <c r="K171" s="291"/>
      <c r="L171" s="292"/>
      <c r="M171" s="292"/>
      <c r="N171" s="292"/>
      <c r="O171" s="292"/>
      <c r="P171" s="294"/>
      <c r="Q171" s="294"/>
      <c r="R171" s="294"/>
      <c r="S171" s="294"/>
      <c r="T171" s="294"/>
      <c r="U171" s="294"/>
      <c r="V171" s="431"/>
      <c r="W171" s="294">
        <v>3</v>
      </c>
      <c r="X171" s="294"/>
      <c r="Y171" s="294">
        <f>IF(NFI_Expiration=1,IF($A171&lt;VLOOKUP(H$5,NFI,5,0),1,0)*Table_NFI[[#This Row],[Hygiene Kit]],Table_NFI[Hygiene Kit])</f>
        <v>0</v>
      </c>
      <c r="Z171" s="294">
        <f>IF(NFI_Expiration=1,IF($A171&lt;VLOOKUP(I$5,NFI,5,0),1,0)*Table_NFI[[#This Row],[NFI Core Kit]],Table_NFI[NFI Core Kit])</f>
        <v>0</v>
      </c>
      <c r="AA171" s="294">
        <f>IF(NFI_Expiration=1,IF($A171&lt;VLOOKUP(J$5,NFI,5,0),1,0)*Table_NFI[[#This Row],[Sanitary Kit]],Table_NFI[Sanitary Kit])</f>
        <v>0</v>
      </c>
      <c r="AB171" s="294">
        <f>IF(NFI_Expiration=1,IF($A171&lt;VLOOKUP(K$5,NFI,5,0),1,0)*Table_NFI[[#This Row],[Mosquito net]],Table_NFI[Mosquito net])</f>
        <v>0</v>
      </c>
      <c r="AC171" s="294">
        <f>IF(NFI_Expiration=1,IF($A171&lt;VLOOKUP(L$5,NFI,5,0),1,0)*Table_NFI[[#This Row],[Tarpaulin]],Table_NFI[[#This Row],[Tarpaulin]])</f>
        <v>0</v>
      </c>
      <c r="AD171" s="294">
        <f>IF(NFI_Expiration=1,IF($A171&lt;VLOOKUP(M$5,NFI,5,0),1,0)*Table_NFI[[#This Row],[Blanket]],Table_NFI[[#This Row],[Blanket]])</f>
        <v>0</v>
      </c>
      <c r="AE171" s="294">
        <f>IF(NFI_Expiration=1,IF($A171&lt;VLOOKUP(N$5,NFI,5,0),1,0)*Table_NFI[[#This Row],[Kitchen Set]],Table_NFI[Kitchen Set])</f>
        <v>0</v>
      </c>
      <c r="AF171" s="294">
        <f>IF(NFI_Expiration=1,IF($A171&lt;VLOOKUP(O$5,NFI,5,0),1,0)*Table_NFI[[#This Row],[Clothes Kit]],Table_NFI[Clothes Kit])</f>
        <v>0</v>
      </c>
      <c r="AG171" s="294">
        <f>IF(NFI_Expiration=1,IF($A171&lt;VLOOKUP(P$5,NFI,5,0),1,0)*Table_NFI[[#This Row],[Plastic Bucket]],Table_NFI[Plastic Bucket])</f>
        <v>0</v>
      </c>
      <c r="AH171" s="294">
        <f>IF(NFI_Expiration=1,IF($A171&lt;VLOOKUP(Q$5,NFI,5,0),1,0)*Table_NFI[[#This Row],[Plastic Mat]],Table_NFI[Plastic Mat])*IF(Table_NFI[[#This Row],[Distribution Date]]&gt;"2014-04-01",1,2.5)</f>
        <v>0</v>
      </c>
      <c r="AI171" s="294">
        <f>IF(NFI_Expiration=1,IF($A171&lt;VLOOKUP(R$5,NFI,5,0),1,0)*Table_NFI[[#This Row],[Winter Clothes Adult]],Table_NFI[Winter Clothes Adult])</f>
        <v>0</v>
      </c>
      <c r="AJ171" s="294">
        <f>IF(NFI_Expiration=1,IF($A171&lt;VLOOKUP(S$5,NFI,5,0),1,0)*Table_NFI[[#This Row],[Winter Clothes Children]],Table_NFI[Winter Clothes Children])</f>
        <v>0</v>
      </c>
      <c r="AK171" s="294">
        <f>IF(NFI_Expiration=1,IF($A171&lt;VLOOKUP(T$5,NFI,5,0),1,0)*Table_NFI[[#This Row],[Winter Items Other]],Table_NFI[Winter Items Other])</f>
        <v>0</v>
      </c>
      <c r="AL171" s="294">
        <f>IF(NFI_Expiration=1,IF($A171&lt;VLOOKUP(M$5,NFI,5,0),1,0)*Table_NFI[[#This Row],[Winter Blanket]],Table_NFI[[#This Row],[Winter Blanket]])</f>
        <v>0</v>
      </c>
      <c r="AM171" s="294">
        <f>IF(Table_NFI[[#This Row],[Winter Clothes Adult]]+Table_NFI[[#This Row],[Winter Clothes Children]]+Table_NFI[[#This Row],[Winter Items Other]]+Table_NFI[[#This Row],[Winter Blanket]]&gt;0,1,0)</f>
        <v>0</v>
      </c>
      <c r="AN171" s="331">
        <f>IF(NFI_Expiration=1,IF($A171&lt;VLOOKUP(V$5,NFI,5,0),1,0)*Table_NFI[[#This Row],[Jerry Can]],Table_NFI[Jerry Can])</f>
        <v>0</v>
      </c>
      <c r="AO171" s="331">
        <f>IF(NFI_Expiration=1,IF($A171&lt;VLOOKUP(V$5,NFI,5,0),1,0)*Table_NFI[[#This Row],[Shelter Tool kit]],Table_NFI[Shelter Tool kit])</f>
        <v>0</v>
      </c>
      <c r="AP171" s="331">
        <f>IF(NFI_Expiration=1,IF($A171&lt;VLOOKUP(V$5,NFI,5,0),1,0)*Table_NFI[[#This Row],[Tent]],Table_NFI[Tent])</f>
        <v>0</v>
      </c>
      <c r="AQ171" s="467" t="str">
        <f>IFERROR(VLOOKUP(Table_NFI[[#This Row],[Camp Name]],CL,2,0),"")</f>
        <v/>
      </c>
      <c r="AR171" s="835" t="str">
        <f ca="1">IF(Table_NFI[[#This Row],[Pcode]]="","",IF(OFFSET(CampList[Opening Date],MATCH(Table_NFI[[#This Row],[Pcode]],CampList[CP_Pcode],0)-1,0,1,1)&gt;=NFI_Monitor_Date,1,0))</f>
        <v/>
      </c>
      <c r="AS171" s="659" t="str">
        <f>IFERROR(VLOOKUP(Table_NFI[[#This Row],[Camp Name]],CL,3,0),"")</f>
        <v/>
      </c>
      <c r="AT171" s="294" t="str">
        <f ca="1">IF(Table_NFI[[#This Row],[Pcode]]="","",OFFSET(CampList[Priority],MATCH(Table_NFI[[#This Row],[Pcode]],CampList[CP_Pcode],0)-1,0,1,1))</f>
        <v/>
      </c>
      <c r="AU171" s="293" t="str">
        <f>IFERROR(Table_NFI[[#This Row],[Kitchen Set]]/VLOOKUP(Table_NFI[[#This Row],[Camp Name]],CL,4,0),"")</f>
        <v/>
      </c>
      <c r="AV171" s="461"/>
      <c r="AW171" s="463"/>
    </row>
    <row r="172" spans="1:49" s="98" customFormat="1" ht="14.45" customHeight="1" x14ac:dyDescent="0.25">
      <c r="A172" s="297">
        <f t="shared" si="2"/>
        <v>21.6</v>
      </c>
      <c r="B172" s="460">
        <v>42088</v>
      </c>
      <c r="C172" s="461" t="s">
        <v>452</v>
      </c>
      <c r="D172" s="461" t="s">
        <v>452</v>
      </c>
      <c r="E172" s="461" t="s">
        <v>380</v>
      </c>
      <c r="F172" s="461" t="s">
        <v>151</v>
      </c>
      <c r="G172" s="461" t="s">
        <v>1326</v>
      </c>
      <c r="H172" s="291"/>
      <c r="I172" s="294"/>
      <c r="J172" s="294"/>
      <c r="K172" s="294">
        <v>1621</v>
      </c>
      <c r="L172" s="292"/>
      <c r="M172" s="292"/>
      <c r="N172" s="292"/>
      <c r="O172" s="292"/>
      <c r="P172" s="294"/>
      <c r="Q172" s="294"/>
      <c r="R172" s="294"/>
      <c r="S172" s="294"/>
      <c r="T172" s="294"/>
      <c r="U172" s="294"/>
      <c r="V172" s="431"/>
      <c r="W172" s="294"/>
      <c r="X172" s="294"/>
      <c r="Y172" s="294">
        <f>IF(NFI_Expiration=1,IF($A172&lt;VLOOKUP(H$5,NFI,5,0),1,0)*Table_NFI[[#This Row],[Hygiene Kit]],Table_NFI[Hygiene Kit])</f>
        <v>0</v>
      </c>
      <c r="Z172" s="294">
        <f>IF(NFI_Expiration=1,IF($A172&lt;VLOOKUP(I$5,NFI,5,0),1,0)*Table_NFI[[#This Row],[NFI Core Kit]],Table_NFI[NFI Core Kit])</f>
        <v>0</v>
      </c>
      <c r="AA172" s="294">
        <f>IF(NFI_Expiration=1,IF($A172&lt;VLOOKUP(J$5,NFI,5,0),1,0)*Table_NFI[[#This Row],[Sanitary Kit]],Table_NFI[Sanitary Kit])</f>
        <v>0</v>
      </c>
      <c r="AB172" s="294">
        <f>IF(NFI_Expiration=1,IF($A172&lt;VLOOKUP(K$5,NFI,5,0),1,0)*Table_NFI[[#This Row],[Mosquito net]],Table_NFI[Mosquito net])</f>
        <v>0</v>
      </c>
      <c r="AC172" s="294">
        <f>IF(NFI_Expiration=1,IF($A172&lt;VLOOKUP(L$5,NFI,5,0),1,0)*Table_NFI[[#This Row],[Tarpaulin]],Table_NFI[[#This Row],[Tarpaulin]])</f>
        <v>0</v>
      </c>
      <c r="AD172" s="294">
        <f>IF(NFI_Expiration=1,IF($A172&lt;VLOOKUP(M$5,NFI,5,0),1,0)*Table_NFI[[#This Row],[Blanket]],Table_NFI[[#This Row],[Blanket]])</f>
        <v>0</v>
      </c>
      <c r="AE172" s="294">
        <f>IF(NFI_Expiration=1,IF($A172&lt;VLOOKUP(N$5,NFI,5,0),1,0)*Table_NFI[[#This Row],[Kitchen Set]],Table_NFI[Kitchen Set])</f>
        <v>0</v>
      </c>
      <c r="AF172" s="294">
        <f>IF(NFI_Expiration=1,IF($A172&lt;VLOOKUP(O$5,NFI,5,0),1,0)*Table_NFI[[#This Row],[Clothes Kit]],Table_NFI[Clothes Kit])</f>
        <v>0</v>
      </c>
      <c r="AG172" s="294">
        <f>IF(NFI_Expiration=1,IF($A172&lt;VLOOKUP(P$5,NFI,5,0),1,0)*Table_NFI[[#This Row],[Plastic Bucket]],Table_NFI[Plastic Bucket])</f>
        <v>0</v>
      </c>
      <c r="AH172" s="294">
        <f>IF(NFI_Expiration=1,IF($A172&lt;VLOOKUP(Q$5,NFI,5,0),1,0)*Table_NFI[[#This Row],[Plastic Mat]],Table_NFI[Plastic Mat])*IF(Table_NFI[[#This Row],[Distribution Date]]&gt;"2014-04-01",1,2.5)</f>
        <v>0</v>
      </c>
      <c r="AI172" s="294">
        <f>IF(NFI_Expiration=1,IF($A172&lt;VLOOKUP(R$5,NFI,5,0),1,0)*Table_NFI[[#This Row],[Winter Clothes Adult]],Table_NFI[Winter Clothes Adult])</f>
        <v>0</v>
      </c>
      <c r="AJ172" s="294">
        <f>IF(NFI_Expiration=1,IF($A172&lt;VLOOKUP(S$5,NFI,5,0),1,0)*Table_NFI[[#This Row],[Winter Clothes Children]],Table_NFI[Winter Clothes Children])</f>
        <v>0</v>
      </c>
      <c r="AK172" s="294">
        <f>IF(NFI_Expiration=1,IF($A172&lt;VLOOKUP(T$5,NFI,5,0),1,0)*Table_NFI[[#This Row],[Winter Items Other]],Table_NFI[Winter Items Other])</f>
        <v>0</v>
      </c>
      <c r="AL172" s="294">
        <f>IF(NFI_Expiration=1,IF($A172&lt;VLOOKUP(M$5,NFI,5,0),1,0)*Table_NFI[[#This Row],[Winter Blanket]],Table_NFI[[#This Row],[Winter Blanket]])</f>
        <v>0</v>
      </c>
      <c r="AM172" s="294">
        <f>IF(Table_NFI[[#This Row],[Winter Clothes Adult]]+Table_NFI[[#This Row],[Winter Clothes Children]]+Table_NFI[[#This Row],[Winter Items Other]]+Table_NFI[[#This Row],[Winter Blanket]]&gt;0,1,0)</f>
        <v>0</v>
      </c>
      <c r="AN172" s="331">
        <f>IF(NFI_Expiration=1,IF($A172&lt;VLOOKUP(V$5,NFI,5,0),1,0)*Table_NFI[[#This Row],[Jerry Can]],Table_NFI[Jerry Can])</f>
        <v>0</v>
      </c>
      <c r="AO172" s="331">
        <f>IF(NFI_Expiration=1,IF($A172&lt;VLOOKUP(V$5,NFI,5,0),1,0)*Table_NFI[[#This Row],[Shelter Tool kit]],Table_NFI[Shelter Tool kit])</f>
        <v>0</v>
      </c>
      <c r="AP172" s="331">
        <f>IF(NFI_Expiration=1,IF($A172&lt;VLOOKUP(V$5,NFI,5,0),1,0)*Table_NFI[[#This Row],[Tent]],Table_NFI[Tent])</f>
        <v>0</v>
      </c>
      <c r="AQ172" s="467" t="str">
        <f>IFERROR(VLOOKUP(Table_NFI[[#This Row],[Camp Name]],CL,2,0),"")</f>
        <v/>
      </c>
      <c r="AR172" s="835" t="str">
        <f ca="1">IF(Table_NFI[[#This Row],[Pcode]]="","",IF(OFFSET(CampList[Opening Date],MATCH(Table_NFI[[#This Row],[Pcode]],CampList[CP_Pcode],0)-1,0,1,1)&gt;=NFI_Monitor_Date,1,0))</f>
        <v/>
      </c>
      <c r="AS172" s="659" t="str">
        <f>IFERROR(VLOOKUP(Table_NFI[[#This Row],[Camp Name]],CL,3,0),"")</f>
        <v/>
      </c>
      <c r="AT172" s="294" t="str">
        <f ca="1">IF(Table_NFI[[#This Row],[Pcode]]="","",OFFSET(CampList[Priority],MATCH(Table_NFI[[#This Row],[Pcode]],CampList[CP_Pcode],0)-1,0,1,1))</f>
        <v/>
      </c>
      <c r="AU172" s="293" t="str">
        <f>IFERROR(Table_NFI[[#This Row],[Kitchen Set]]/VLOOKUP(Table_NFI[[#This Row],[Camp Name]],CL,4,0),"")</f>
        <v/>
      </c>
      <c r="AV172" s="461" t="s">
        <v>1092</v>
      </c>
      <c r="AW172" s="483"/>
    </row>
    <row r="173" spans="1:49" s="98" customFormat="1" ht="14.45" customHeight="1" x14ac:dyDescent="0.25">
      <c r="A173" s="297">
        <f t="shared" si="2"/>
        <v>21.6</v>
      </c>
      <c r="B173" s="460">
        <v>42088</v>
      </c>
      <c r="C173" s="461" t="s">
        <v>452</v>
      </c>
      <c r="D173" s="461" t="s">
        <v>452</v>
      </c>
      <c r="E173" s="461" t="s">
        <v>380</v>
      </c>
      <c r="F173" s="461" t="s">
        <v>5</v>
      </c>
      <c r="G173" s="290" t="s">
        <v>1327</v>
      </c>
      <c r="H173" s="291"/>
      <c r="I173" s="291"/>
      <c r="J173" s="291"/>
      <c r="K173" s="291"/>
      <c r="L173" s="292"/>
      <c r="M173" s="292"/>
      <c r="N173" s="292"/>
      <c r="O173" s="292"/>
      <c r="P173" s="294"/>
      <c r="Q173" s="294"/>
      <c r="R173" s="294">
        <v>2086</v>
      </c>
      <c r="S173" s="294">
        <v>3036</v>
      </c>
      <c r="T173" s="294"/>
      <c r="U173" s="294"/>
      <c r="V173" s="431"/>
      <c r="W173" s="294"/>
      <c r="X173" s="294"/>
      <c r="Y173" s="294">
        <f>IF(NFI_Expiration=1,IF($A173&lt;VLOOKUP(H$5,NFI,5,0),1,0)*Table_NFI[[#This Row],[Hygiene Kit]],Table_NFI[Hygiene Kit])</f>
        <v>0</v>
      </c>
      <c r="Z173" s="294">
        <f>IF(NFI_Expiration=1,IF($A173&lt;VLOOKUP(I$5,NFI,5,0),1,0)*Table_NFI[[#This Row],[NFI Core Kit]],Table_NFI[NFI Core Kit])</f>
        <v>0</v>
      </c>
      <c r="AA173" s="294">
        <f>IF(NFI_Expiration=1,IF($A173&lt;VLOOKUP(J$5,NFI,5,0),1,0)*Table_NFI[[#This Row],[Sanitary Kit]],Table_NFI[Sanitary Kit])</f>
        <v>0</v>
      </c>
      <c r="AB173" s="294">
        <f>IF(NFI_Expiration=1,IF($A173&lt;VLOOKUP(K$5,NFI,5,0),1,0)*Table_NFI[[#This Row],[Mosquito net]],Table_NFI[Mosquito net])</f>
        <v>0</v>
      </c>
      <c r="AC173" s="294">
        <f>IF(NFI_Expiration=1,IF($A173&lt;VLOOKUP(L$5,NFI,5,0),1,0)*Table_NFI[[#This Row],[Tarpaulin]],Table_NFI[[#This Row],[Tarpaulin]])</f>
        <v>0</v>
      </c>
      <c r="AD173" s="294">
        <f>IF(NFI_Expiration=1,IF($A173&lt;VLOOKUP(M$5,NFI,5,0),1,0)*Table_NFI[[#This Row],[Blanket]],Table_NFI[[#This Row],[Blanket]])</f>
        <v>0</v>
      </c>
      <c r="AE173" s="294">
        <f>IF(NFI_Expiration=1,IF($A173&lt;VLOOKUP(N$5,NFI,5,0),1,0)*Table_NFI[[#This Row],[Kitchen Set]],Table_NFI[Kitchen Set])</f>
        <v>0</v>
      </c>
      <c r="AF173" s="294">
        <f>IF(NFI_Expiration=1,IF($A173&lt;VLOOKUP(O$5,NFI,5,0),1,0)*Table_NFI[[#This Row],[Clothes Kit]],Table_NFI[Clothes Kit])</f>
        <v>0</v>
      </c>
      <c r="AG173" s="294">
        <f>IF(NFI_Expiration=1,IF($A173&lt;VLOOKUP(P$5,NFI,5,0),1,0)*Table_NFI[[#This Row],[Plastic Bucket]],Table_NFI[Plastic Bucket])</f>
        <v>0</v>
      </c>
      <c r="AH173" s="294">
        <f>IF(NFI_Expiration=1,IF($A173&lt;VLOOKUP(Q$5,NFI,5,0),1,0)*Table_NFI[[#This Row],[Plastic Mat]],Table_NFI[Plastic Mat])*IF(Table_NFI[[#This Row],[Distribution Date]]&gt;"2014-04-01",1,2.5)</f>
        <v>0</v>
      </c>
      <c r="AI173" s="294">
        <f>IF(NFI_Expiration=1,IF($A173&lt;VLOOKUP(R$5,NFI,5,0),1,0)*Table_NFI[[#This Row],[Winter Clothes Adult]],Table_NFI[Winter Clothes Adult])</f>
        <v>0</v>
      </c>
      <c r="AJ173" s="294">
        <f>IF(NFI_Expiration=1,IF($A173&lt;VLOOKUP(S$5,NFI,5,0),1,0)*Table_NFI[[#This Row],[Winter Clothes Children]],Table_NFI[Winter Clothes Children])</f>
        <v>0</v>
      </c>
      <c r="AK173" s="294">
        <f>IF(NFI_Expiration=1,IF($A173&lt;VLOOKUP(T$5,NFI,5,0),1,0)*Table_NFI[[#This Row],[Winter Items Other]],Table_NFI[Winter Items Other])</f>
        <v>0</v>
      </c>
      <c r="AL173" s="294">
        <f>IF(NFI_Expiration=1,IF($A173&lt;VLOOKUP(M$5,NFI,5,0),1,0)*Table_NFI[[#This Row],[Winter Blanket]],Table_NFI[[#This Row],[Winter Blanket]])</f>
        <v>0</v>
      </c>
      <c r="AM173" s="294">
        <f>IF(Table_NFI[[#This Row],[Winter Clothes Adult]]+Table_NFI[[#This Row],[Winter Clothes Children]]+Table_NFI[[#This Row],[Winter Items Other]]+Table_NFI[[#This Row],[Winter Blanket]]&gt;0,1,0)</f>
        <v>1</v>
      </c>
      <c r="AN173" s="331">
        <f>IF(NFI_Expiration=1,IF($A173&lt;VLOOKUP(V$5,NFI,5,0),1,0)*Table_NFI[[#This Row],[Jerry Can]],Table_NFI[Jerry Can])</f>
        <v>0</v>
      </c>
      <c r="AO173" s="331">
        <f>IF(NFI_Expiration=1,IF($A173&lt;VLOOKUP(V$5,NFI,5,0),1,0)*Table_NFI[[#This Row],[Shelter Tool kit]],Table_NFI[Shelter Tool kit])</f>
        <v>0</v>
      </c>
      <c r="AP173" s="331">
        <f>IF(NFI_Expiration=1,IF($A173&lt;VLOOKUP(V$5,NFI,5,0),1,0)*Table_NFI[[#This Row],[Tent]],Table_NFI[Tent])</f>
        <v>0</v>
      </c>
      <c r="AQ173" s="467" t="str">
        <f>IFERROR(VLOOKUP(Table_NFI[[#This Row],[Camp Name]],CL,2,0),"")</f>
        <v/>
      </c>
      <c r="AR173" s="835" t="str">
        <f ca="1">IF(Table_NFI[[#This Row],[Pcode]]="","",IF(OFFSET(CampList[Opening Date],MATCH(Table_NFI[[#This Row],[Pcode]],CampList[CP_Pcode],0)-1,0,1,1)&gt;=NFI_Monitor_Date,1,0))</f>
        <v/>
      </c>
      <c r="AS173" s="659" t="str">
        <f>IFERROR(VLOOKUP(Table_NFI[[#This Row],[Camp Name]],CL,3,0),"")</f>
        <v/>
      </c>
      <c r="AT173" s="294" t="str">
        <f ca="1">IF(Table_NFI[[#This Row],[Pcode]]="","",OFFSET(CampList[Priority],MATCH(Table_NFI[[#This Row],[Pcode]],CampList[CP_Pcode],0)-1,0,1,1))</f>
        <v/>
      </c>
      <c r="AU173" s="293" t="str">
        <f>IFERROR(Table_NFI[[#This Row],[Kitchen Set]]/VLOOKUP(Table_NFI[[#This Row],[Camp Name]],CL,4,0),"")</f>
        <v/>
      </c>
      <c r="AV173" s="461" t="s">
        <v>1092</v>
      </c>
      <c r="AW173" s="463"/>
    </row>
    <row r="174" spans="1:49" s="98" customFormat="1" ht="14.45" customHeight="1" x14ac:dyDescent="0.25">
      <c r="A174" s="297">
        <f t="shared" si="2"/>
        <v>21.6</v>
      </c>
      <c r="B174" s="460">
        <v>42088</v>
      </c>
      <c r="C174" s="461" t="s">
        <v>905</v>
      </c>
      <c r="D174" s="461" t="s">
        <v>905</v>
      </c>
      <c r="E174" s="461" t="s">
        <v>380</v>
      </c>
      <c r="F174" s="461" t="s">
        <v>185</v>
      </c>
      <c r="G174" s="290" t="s">
        <v>217</v>
      </c>
      <c r="H174" s="291"/>
      <c r="I174" s="291"/>
      <c r="J174" s="292"/>
      <c r="K174" s="291"/>
      <c r="L174" s="292"/>
      <c r="M174" s="292"/>
      <c r="N174" s="292"/>
      <c r="O174" s="292"/>
      <c r="P174" s="294"/>
      <c r="Q174" s="294"/>
      <c r="R174" s="294"/>
      <c r="S174" s="294"/>
      <c r="T174" s="294"/>
      <c r="U174" s="294"/>
      <c r="V174" s="431"/>
      <c r="W174" s="294">
        <v>1</v>
      </c>
      <c r="X174" s="294"/>
      <c r="Y174" s="294">
        <f>IF(NFI_Expiration=1,IF($A174&lt;VLOOKUP(H$5,NFI,5,0),1,0)*Table_NFI[[#This Row],[Hygiene Kit]],Table_NFI[Hygiene Kit])</f>
        <v>0</v>
      </c>
      <c r="Z174" s="294">
        <f>IF(NFI_Expiration=1,IF($A174&lt;VLOOKUP(I$5,NFI,5,0),1,0)*Table_NFI[[#This Row],[NFI Core Kit]],Table_NFI[NFI Core Kit])</f>
        <v>0</v>
      </c>
      <c r="AA174" s="294">
        <f>IF(NFI_Expiration=1,IF($A174&lt;VLOOKUP(J$5,NFI,5,0),1,0)*Table_NFI[[#This Row],[Sanitary Kit]],Table_NFI[Sanitary Kit])</f>
        <v>0</v>
      </c>
      <c r="AB174" s="294">
        <f>IF(NFI_Expiration=1,IF($A174&lt;VLOOKUP(K$5,NFI,5,0),1,0)*Table_NFI[[#This Row],[Mosquito net]],Table_NFI[Mosquito net])</f>
        <v>0</v>
      </c>
      <c r="AC174" s="294">
        <f>IF(NFI_Expiration=1,IF($A174&lt;VLOOKUP(L$5,NFI,5,0),1,0)*Table_NFI[[#This Row],[Tarpaulin]],Table_NFI[[#This Row],[Tarpaulin]])</f>
        <v>0</v>
      </c>
      <c r="AD174" s="294">
        <f>IF(NFI_Expiration=1,IF($A174&lt;VLOOKUP(M$5,NFI,5,0),1,0)*Table_NFI[[#This Row],[Blanket]],Table_NFI[[#This Row],[Blanket]])</f>
        <v>0</v>
      </c>
      <c r="AE174" s="294">
        <f>IF(NFI_Expiration=1,IF($A174&lt;VLOOKUP(N$5,NFI,5,0),1,0)*Table_NFI[[#This Row],[Kitchen Set]],Table_NFI[Kitchen Set])</f>
        <v>0</v>
      </c>
      <c r="AF174" s="294">
        <f>IF(NFI_Expiration=1,IF($A174&lt;VLOOKUP(O$5,NFI,5,0),1,0)*Table_NFI[[#This Row],[Clothes Kit]],Table_NFI[Clothes Kit])</f>
        <v>0</v>
      </c>
      <c r="AG174" s="294">
        <f>IF(NFI_Expiration=1,IF($A174&lt;VLOOKUP(P$5,NFI,5,0),1,0)*Table_NFI[[#This Row],[Plastic Bucket]],Table_NFI[Plastic Bucket])</f>
        <v>0</v>
      </c>
      <c r="AH174" s="294">
        <f>IF(NFI_Expiration=1,IF($A174&lt;VLOOKUP(Q$5,NFI,5,0),1,0)*Table_NFI[[#This Row],[Plastic Mat]],Table_NFI[Plastic Mat])*IF(Table_NFI[[#This Row],[Distribution Date]]&gt;"2014-04-01",1,2.5)</f>
        <v>0</v>
      </c>
      <c r="AI174" s="294">
        <f>IF(NFI_Expiration=1,IF($A174&lt;VLOOKUP(R$5,NFI,5,0),1,0)*Table_NFI[[#This Row],[Winter Clothes Adult]],Table_NFI[Winter Clothes Adult])</f>
        <v>0</v>
      </c>
      <c r="AJ174" s="294">
        <f>IF(NFI_Expiration=1,IF($A174&lt;VLOOKUP(S$5,NFI,5,0),1,0)*Table_NFI[[#This Row],[Winter Clothes Children]],Table_NFI[Winter Clothes Children])</f>
        <v>0</v>
      </c>
      <c r="AK174" s="294">
        <f>IF(NFI_Expiration=1,IF($A174&lt;VLOOKUP(T$5,NFI,5,0),1,0)*Table_NFI[[#This Row],[Winter Items Other]],Table_NFI[Winter Items Other])</f>
        <v>0</v>
      </c>
      <c r="AL174" s="294">
        <f>IF(NFI_Expiration=1,IF($A174&lt;VLOOKUP(M$5,NFI,5,0),1,0)*Table_NFI[[#This Row],[Winter Blanket]],Table_NFI[[#This Row],[Winter Blanket]])</f>
        <v>0</v>
      </c>
      <c r="AM174" s="294">
        <f>IF(Table_NFI[[#This Row],[Winter Clothes Adult]]+Table_NFI[[#This Row],[Winter Clothes Children]]+Table_NFI[[#This Row],[Winter Items Other]]+Table_NFI[[#This Row],[Winter Blanket]]&gt;0,1,0)</f>
        <v>0</v>
      </c>
      <c r="AN174" s="331">
        <f>IF(NFI_Expiration=1,IF($A174&lt;VLOOKUP(V$5,NFI,5,0),1,0)*Table_NFI[[#This Row],[Jerry Can]],Table_NFI[Jerry Can])</f>
        <v>0</v>
      </c>
      <c r="AO174" s="331">
        <f>IF(NFI_Expiration=1,IF($A174&lt;VLOOKUP(V$5,NFI,5,0),1,0)*Table_NFI[[#This Row],[Shelter Tool kit]],Table_NFI[Shelter Tool kit])</f>
        <v>0</v>
      </c>
      <c r="AP174" s="331">
        <f>IF(NFI_Expiration=1,IF($A174&lt;VLOOKUP(V$5,NFI,5,0),1,0)*Table_NFI[[#This Row],[Tent]],Table_NFI[Tent])</f>
        <v>0</v>
      </c>
      <c r="AQ174" s="467" t="str">
        <f>IFERROR(VLOOKUP(Table_NFI[[#This Row],[Camp Name]],CL,2,0),"")</f>
        <v>MMR001CMP059</v>
      </c>
      <c r="AR174" s="835">
        <f ca="1">IF(Table_NFI[[#This Row],[Pcode]]="","",IF(OFFSET(CampList[Opening Date],MATCH(Table_NFI[[#This Row],[Pcode]],CampList[CP_Pcode],0)-1,0,1,1)&gt;=NFI_Monitor_Date,1,0))</f>
        <v>0</v>
      </c>
      <c r="AS174" s="467" t="str">
        <f>IFERROR(VLOOKUP(Table_NFI[[#This Row],[Camp Name]],CL,3,0),"")</f>
        <v>Closed</v>
      </c>
      <c r="AT174" s="294" t="str">
        <f ca="1">IF(Table_NFI[[#This Row],[Pcode]]="","",OFFSET(CampList[Priority],MATCH(Table_NFI[[#This Row],[Pcode]],CampList[CP_Pcode],0)-1,0,1,1))</f>
        <v>P4</v>
      </c>
      <c r="AU174" s="293">
        <f>IFERROR(Table_NFI[[#This Row],[Kitchen Set]]/VLOOKUP(Table_NFI[[#This Row],[Camp Name]],CL,4,0),"")</f>
        <v>0</v>
      </c>
      <c r="AV174" s="461"/>
      <c r="AW174" s="463"/>
    </row>
    <row r="175" spans="1:49" s="98" customFormat="1" ht="14.45" customHeight="1" x14ac:dyDescent="0.25">
      <c r="A175" s="297">
        <f t="shared" si="2"/>
        <v>21.9</v>
      </c>
      <c r="B175" s="460">
        <v>42079</v>
      </c>
      <c r="C175" s="461" t="s">
        <v>452</v>
      </c>
      <c r="D175" s="461" t="s">
        <v>452</v>
      </c>
      <c r="E175" s="461" t="s">
        <v>380</v>
      </c>
      <c r="F175" s="461" t="s">
        <v>5</v>
      </c>
      <c r="G175" s="461" t="s">
        <v>1327</v>
      </c>
      <c r="H175" s="291"/>
      <c r="I175" s="291"/>
      <c r="J175" s="294"/>
      <c r="K175" s="294"/>
      <c r="L175" s="292"/>
      <c r="M175" s="292"/>
      <c r="N175" s="292"/>
      <c r="O175" s="292"/>
      <c r="P175" s="294"/>
      <c r="Q175" s="294"/>
      <c r="R175" s="294">
        <v>2460</v>
      </c>
      <c r="S175" s="294">
        <v>3600</v>
      </c>
      <c r="T175" s="294"/>
      <c r="U175" s="294"/>
      <c r="V175" s="431"/>
      <c r="W175" s="294"/>
      <c r="X175" s="294"/>
      <c r="Y175" s="294">
        <f>IF(NFI_Expiration=1,IF($A175&lt;VLOOKUP(H$5,NFI,5,0),1,0)*Table_NFI[[#This Row],[Hygiene Kit]],Table_NFI[Hygiene Kit])</f>
        <v>0</v>
      </c>
      <c r="Z175" s="294">
        <f>IF(NFI_Expiration=1,IF($A175&lt;VLOOKUP(I$5,NFI,5,0),1,0)*Table_NFI[[#This Row],[NFI Core Kit]],Table_NFI[NFI Core Kit])</f>
        <v>0</v>
      </c>
      <c r="AA175" s="294">
        <f>IF(NFI_Expiration=1,IF($A175&lt;VLOOKUP(J$5,NFI,5,0),1,0)*Table_NFI[[#This Row],[Sanitary Kit]],Table_NFI[Sanitary Kit])</f>
        <v>0</v>
      </c>
      <c r="AB175" s="294">
        <f>IF(NFI_Expiration=1,IF($A175&lt;VLOOKUP(K$5,NFI,5,0),1,0)*Table_NFI[[#This Row],[Mosquito net]],Table_NFI[Mosquito net])</f>
        <v>0</v>
      </c>
      <c r="AC175" s="294">
        <f>IF(NFI_Expiration=1,IF($A175&lt;VLOOKUP(L$5,NFI,5,0),1,0)*Table_NFI[[#This Row],[Tarpaulin]],Table_NFI[[#This Row],[Tarpaulin]])</f>
        <v>0</v>
      </c>
      <c r="AD175" s="294">
        <f>IF(NFI_Expiration=1,IF($A175&lt;VLOOKUP(M$5,NFI,5,0),1,0)*Table_NFI[[#This Row],[Blanket]],Table_NFI[[#This Row],[Blanket]])</f>
        <v>0</v>
      </c>
      <c r="AE175" s="294">
        <f>IF(NFI_Expiration=1,IF($A175&lt;VLOOKUP(N$5,NFI,5,0),1,0)*Table_NFI[[#This Row],[Kitchen Set]],Table_NFI[Kitchen Set])</f>
        <v>0</v>
      </c>
      <c r="AF175" s="294">
        <f>IF(NFI_Expiration=1,IF($A175&lt;VLOOKUP(O$5,NFI,5,0),1,0)*Table_NFI[[#This Row],[Clothes Kit]],Table_NFI[Clothes Kit])</f>
        <v>0</v>
      </c>
      <c r="AG175" s="294">
        <f>IF(NFI_Expiration=1,IF($A175&lt;VLOOKUP(P$5,NFI,5,0),1,0)*Table_NFI[[#This Row],[Plastic Bucket]],Table_NFI[Plastic Bucket])</f>
        <v>0</v>
      </c>
      <c r="AH175" s="294">
        <f>IF(NFI_Expiration=1,IF($A175&lt;VLOOKUP(Q$5,NFI,5,0),1,0)*Table_NFI[[#This Row],[Plastic Mat]],Table_NFI[Plastic Mat])*IF(Table_NFI[[#This Row],[Distribution Date]]&gt;"2014-04-01",1,2.5)</f>
        <v>0</v>
      </c>
      <c r="AI175" s="294">
        <f>IF(NFI_Expiration=1,IF($A175&lt;VLOOKUP(R$5,NFI,5,0),1,0)*Table_NFI[[#This Row],[Winter Clothes Adult]],Table_NFI[Winter Clothes Adult])</f>
        <v>0</v>
      </c>
      <c r="AJ175" s="294">
        <f>IF(NFI_Expiration=1,IF($A175&lt;VLOOKUP(S$5,NFI,5,0),1,0)*Table_NFI[[#This Row],[Winter Clothes Children]],Table_NFI[Winter Clothes Children])</f>
        <v>0</v>
      </c>
      <c r="AK175" s="294">
        <f>IF(NFI_Expiration=1,IF($A175&lt;VLOOKUP(T$5,NFI,5,0),1,0)*Table_NFI[[#This Row],[Winter Items Other]],Table_NFI[Winter Items Other])</f>
        <v>0</v>
      </c>
      <c r="AL175" s="294">
        <f>IF(NFI_Expiration=1,IF($A175&lt;VLOOKUP(M$5,NFI,5,0),1,0)*Table_NFI[[#This Row],[Winter Blanket]],Table_NFI[[#This Row],[Winter Blanket]])</f>
        <v>0</v>
      </c>
      <c r="AM175" s="294">
        <f>IF(Table_NFI[[#This Row],[Winter Clothes Adult]]+Table_NFI[[#This Row],[Winter Clothes Children]]+Table_NFI[[#This Row],[Winter Items Other]]+Table_NFI[[#This Row],[Winter Blanket]]&gt;0,1,0)</f>
        <v>1</v>
      </c>
      <c r="AN175" s="331">
        <f>IF(NFI_Expiration=1,IF($A175&lt;VLOOKUP(V$5,NFI,5,0),1,0)*Table_NFI[[#This Row],[Jerry Can]],Table_NFI[Jerry Can])</f>
        <v>0</v>
      </c>
      <c r="AO175" s="331">
        <f>IF(NFI_Expiration=1,IF($A175&lt;VLOOKUP(V$5,NFI,5,0),1,0)*Table_NFI[[#This Row],[Shelter Tool kit]],Table_NFI[Shelter Tool kit])</f>
        <v>0</v>
      </c>
      <c r="AP175" s="331">
        <f>IF(NFI_Expiration=1,IF($A175&lt;VLOOKUP(V$5,NFI,5,0),1,0)*Table_NFI[[#This Row],[Tent]],Table_NFI[Tent])</f>
        <v>0</v>
      </c>
      <c r="AQ175" s="467" t="str">
        <f>IFERROR(VLOOKUP(Table_NFI[[#This Row],[Camp Name]],CL,2,0),"")</f>
        <v/>
      </c>
      <c r="AR175" s="835" t="str">
        <f ca="1">IF(Table_NFI[[#This Row],[Pcode]]="","",IF(OFFSET(CampList[Opening Date],MATCH(Table_NFI[[#This Row],[Pcode]],CampList[CP_Pcode],0)-1,0,1,1)&gt;=NFI_Monitor_Date,1,0))</f>
        <v/>
      </c>
      <c r="AS175" s="659" t="str">
        <f>IFERROR(VLOOKUP(Table_NFI[[#This Row],[Camp Name]],CL,3,0),"")</f>
        <v/>
      </c>
      <c r="AT175" s="294" t="str">
        <f ca="1">IF(Table_NFI[[#This Row],[Pcode]]="","",OFFSET(CampList[Priority],MATCH(Table_NFI[[#This Row],[Pcode]],CampList[CP_Pcode],0)-1,0,1,1))</f>
        <v/>
      </c>
      <c r="AU175" s="293" t="str">
        <f>IFERROR(Table_NFI[[#This Row],[Kitchen Set]]/VLOOKUP(Table_NFI[[#This Row],[Camp Name]],CL,4,0),"")</f>
        <v/>
      </c>
      <c r="AV175" s="461" t="s">
        <v>1092</v>
      </c>
      <c r="AW175" s="463"/>
    </row>
    <row r="176" spans="1:49" s="98" customFormat="1" ht="14.45" customHeight="1" x14ac:dyDescent="0.25">
      <c r="A176" s="297">
        <f t="shared" si="2"/>
        <v>22</v>
      </c>
      <c r="B176" s="460">
        <v>42076</v>
      </c>
      <c r="C176" s="465" t="s">
        <v>452</v>
      </c>
      <c r="D176" s="465" t="s">
        <v>506</v>
      </c>
      <c r="E176" s="465" t="s">
        <v>380</v>
      </c>
      <c r="F176" s="465" t="s">
        <v>310</v>
      </c>
      <c r="G176" s="465" t="s">
        <v>330</v>
      </c>
      <c r="H176" s="292"/>
      <c r="I176" s="292"/>
      <c r="J176" s="292"/>
      <c r="K176" s="292"/>
      <c r="L176" s="292">
        <v>1</v>
      </c>
      <c r="M176" s="292"/>
      <c r="N176" s="292"/>
      <c r="O176" s="292"/>
      <c r="P176" s="294"/>
      <c r="Q176" s="294"/>
      <c r="R176" s="294"/>
      <c r="S176" s="294"/>
      <c r="T176" s="294"/>
      <c r="U176" s="294"/>
      <c r="V176" s="431"/>
      <c r="W176" s="294"/>
      <c r="X176" s="294"/>
      <c r="Y176" s="294">
        <f>IF(NFI_Expiration=1,IF($A176&lt;VLOOKUP(H$5,NFI,5,0),1,0)*Table_NFI[[#This Row],[Hygiene Kit]],Table_NFI[Hygiene Kit])</f>
        <v>0</v>
      </c>
      <c r="Z176" s="294">
        <f>IF(NFI_Expiration=1,IF($A176&lt;VLOOKUP(I$5,NFI,5,0),1,0)*Table_NFI[[#This Row],[NFI Core Kit]],Table_NFI[NFI Core Kit])</f>
        <v>0</v>
      </c>
      <c r="AA176" s="294">
        <f>IF(NFI_Expiration=1,IF($A176&lt;VLOOKUP(J$5,NFI,5,0),1,0)*Table_NFI[[#This Row],[Sanitary Kit]],Table_NFI[Sanitary Kit])</f>
        <v>0</v>
      </c>
      <c r="AB176" s="294">
        <f>IF(NFI_Expiration=1,IF($A176&lt;VLOOKUP(K$5,NFI,5,0),1,0)*Table_NFI[[#This Row],[Mosquito net]],Table_NFI[Mosquito net])</f>
        <v>0</v>
      </c>
      <c r="AC176" s="294">
        <f>IF(NFI_Expiration=1,IF($A176&lt;VLOOKUP(L$5,NFI,5,0),1,0)*Table_NFI[[#This Row],[Tarpaulin]],Table_NFI[[#This Row],[Tarpaulin]])</f>
        <v>0</v>
      </c>
      <c r="AD176" s="294">
        <f>IF(NFI_Expiration=1,IF($A176&lt;VLOOKUP(M$5,NFI,5,0),1,0)*Table_NFI[[#This Row],[Blanket]],Table_NFI[[#This Row],[Blanket]])</f>
        <v>0</v>
      </c>
      <c r="AE176" s="294">
        <f>IF(NFI_Expiration=1,IF($A176&lt;VLOOKUP(N$5,NFI,5,0),1,0)*Table_NFI[[#This Row],[Kitchen Set]],Table_NFI[Kitchen Set])</f>
        <v>0</v>
      </c>
      <c r="AF176" s="294">
        <f>IF(NFI_Expiration=1,IF($A176&lt;VLOOKUP(O$5,NFI,5,0),1,0)*Table_NFI[[#This Row],[Clothes Kit]],Table_NFI[Clothes Kit])</f>
        <v>0</v>
      </c>
      <c r="AG176" s="294">
        <f>IF(NFI_Expiration=1,IF($A176&lt;VLOOKUP(P$5,NFI,5,0),1,0)*Table_NFI[[#This Row],[Plastic Bucket]],Table_NFI[Plastic Bucket])</f>
        <v>0</v>
      </c>
      <c r="AH176" s="294">
        <f>IF(NFI_Expiration=1,IF($A176&lt;VLOOKUP(Q$5,NFI,5,0),1,0)*Table_NFI[[#This Row],[Plastic Mat]],Table_NFI[Plastic Mat])*IF(Table_NFI[[#This Row],[Distribution Date]]&gt;"2014-04-01",1,2.5)</f>
        <v>0</v>
      </c>
      <c r="AI176" s="294">
        <f>IF(NFI_Expiration=1,IF($A176&lt;VLOOKUP(R$5,NFI,5,0),1,0)*Table_NFI[[#This Row],[Winter Clothes Adult]],Table_NFI[Winter Clothes Adult])</f>
        <v>0</v>
      </c>
      <c r="AJ176" s="294">
        <f>IF(NFI_Expiration=1,IF($A176&lt;VLOOKUP(S$5,NFI,5,0),1,0)*Table_NFI[[#This Row],[Winter Clothes Children]],Table_NFI[Winter Clothes Children])</f>
        <v>0</v>
      </c>
      <c r="AK176" s="294">
        <f>IF(NFI_Expiration=1,IF($A176&lt;VLOOKUP(T$5,NFI,5,0),1,0)*Table_NFI[[#This Row],[Winter Items Other]],Table_NFI[Winter Items Other])</f>
        <v>0</v>
      </c>
      <c r="AL176" s="294">
        <f>IF(NFI_Expiration=1,IF($A176&lt;VLOOKUP(M$5,NFI,5,0),1,0)*Table_NFI[[#This Row],[Winter Blanket]],Table_NFI[[#This Row],[Winter Blanket]])</f>
        <v>0</v>
      </c>
      <c r="AM176" s="294">
        <f>IF(Table_NFI[[#This Row],[Winter Clothes Adult]]+Table_NFI[[#This Row],[Winter Clothes Children]]+Table_NFI[[#This Row],[Winter Items Other]]+Table_NFI[[#This Row],[Winter Blanket]]&gt;0,1,0)</f>
        <v>0</v>
      </c>
      <c r="AN176" s="331">
        <f>IF(NFI_Expiration=1,IF($A176&lt;VLOOKUP(V$5,NFI,5,0),1,0)*Table_NFI[[#This Row],[Jerry Can]],Table_NFI[Jerry Can])</f>
        <v>0</v>
      </c>
      <c r="AO176" s="331">
        <f>IF(NFI_Expiration=1,IF($A176&lt;VLOOKUP(V$5,NFI,5,0),1,0)*Table_NFI[[#This Row],[Shelter Tool kit]],Table_NFI[Shelter Tool kit])</f>
        <v>0</v>
      </c>
      <c r="AP176" s="331">
        <f>IF(NFI_Expiration=1,IF($A176&lt;VLOOKUP(V$5,NFI,5,0),1,0)*Table_NFI[[#This Row],[Tent]],Table_NFI[Tent])</f>
        <v>0</v>
      </c>
      <c r="AQ176" s="467" t="str">
        <f>IFERROR(VLOOKUP(Table_NFI[[#This Row],[Camp Name]],CL,2,0),"")</f>
        <v>MMR001CMP029</v>
      </c>
      <c r="AR176" s="835">
        <f ca="1">IF(Table_NFI[[#This Row],[Pcode]]="","",IF(OFFSET(CampList[Opening Date],MATCH(Table_NFI[[#This Row],[Pcode]],CampList[CP_Pcode],0)-1,0,1,1)&gt;=NFI_Monitor_Date,1,0))</f>
        <v>0</v>
      </c>
      <c r="AS176" s="467" t="str">
        <f>IFERROR(VLOOKUP(Table_NFI[[#This Row],[Camp Name]],CL,3,0),"")</f>
        <v>Open</v>
      </c>
      <c r="AT176" s="294" t="str">
        <f ca="1">IF(Table_NFI[[#This Row],[Pcode]]="","",OFFSET(CampList[Priority],MATCH(Table_NFI[[#This Row],[Pcode]],CampList[CP_Pcode],0)-1,0,1,1))</f>
        <v>P4</v>
      </c>
      <c r="AU176" s="293">
        <f>IFERROR(Table_NFI[[#This Row],[Kitchen Set]]/VLOOKUP(Table_NFI[[#This Row],[Camp Name]],CL,4,0),"")</f>
        <v>0</v>
      </c>
      <c r="AV176" s="461" t="s">
        <v>1092</v>
      </c>
      <c r="AW176" s="468"/>
    </row>
    <row r="177" spans="1:49" s="98" customFormat="1" ht="14.45" customHeight="1" x14ac:dyDescent="0.25">
      <c r="A177" s="297">
        <f t="shared" si="2"/>
        <v>22.033333333333335</v>
      </c>
      <c r="B177" s="460">
        <v>42075</v>
      </c>
      <c r="C177" s="461" t="s">
        <v>905</v>
      </c>
      <c r="D177" s="462" t="s">
        <v>905</v>
      </c>
      <c r="E177" s="461" t="s">
        <v>380</v>
      </c>
      <c r="F177" s="290" t="s">
        <v>185</v>
      </c>
      <c r="G177" s="290" t="s">
        <v>186</v>
      </c>
      <c r="H177" s="291"/>
      <c r="I177" s="291"/>
      <c r="J177" s="292"/>
      <c r="K177" s="291"/>
      <c r="L177" s="292"/>
      <c r="M177" s="292"/>
      <c r="N177" s="292"/>
      <c r="O177" s="292"/>
      <c r="P177" s="294"/>
      <c r="Q177" s="294"/>
      <c r="R177" s="294"/>
      <c r="S177" s="294"/>
      <c r="T177" s="294"/>
      <c r="U177" s="294"/>
      <c r="V177" s="431"/>
      <c r="W177" s="294">
        <v>1</v>
      </c>
      <c r="X177" s="294"/>
      <c r="Y177" s="294">
        <f>IF(NFI_Expiration=1,IF($A177&lt;VLOOKUP(H$5,NFI,5,0),1,0)*Table_NFI[[#This Row],[Hygiene Kit]],Table_NFI[Hygiene Kit])</f>
        <v>0</v>
      </c>
      <c r="Z177" s="294">
        <f>IF(NFI_Expiration=1,IF($A177&lt;VLOOKUP(I$5,NFI,5,0),1,0)*Table_NFI[[#This Row],[NFI Core Kit]],Table_NFI[NFI Core Kit])</f>
        <v>0</v>
      </c>
      <c r="AA177" s="294">
        <f>IF(NFI_Expiration=1,IF($A177&lt;VLOOKUP(J$5,NFI,5,0),1,0)*Table_NFI[[#This Row],[Sanitary Kit]],Table_NFI[Sanitary Kit])</f>
        <v>0</v>
      </c>
      <c r="AB177" s="294">
        <f>IF(NFI_Expiration=1,IF($A177&lt;VLOOKUP(K$5,NFI,5,0),1,0)*Table_NFI[[#This Row],[Mosquito net]],Table_NFI[Mosquito net])</f>
        <v>0</v>
      </c>
      <c r="AC177" s="294">
        <f>IF(NFI_Expiration=1,IF($A177&lt;VLOOKUP(L$5,NFI,5,0),1,0)*Table_NFI[[#This Row],[Tarpaulin]],Table_NFI[[#This Row],[Tarpaulin]])</f>
        <v>0</v>
      </c>
      <c r="AD177" s="294">
        <f>IF(NFI_Expiration=1,IF($A177&lt;VLOOKUP(M$5,NFI,5,0),1,0)*Table_NFI[[#This Row],[Blanket]],Table_NFI[[#This Row],[Blanket]])</f>
        <v>0</v>
      </c>
      <c r="AE177" s="294">
        <f>IF(NFI_Expiration=1,IF($A177&lt;VLOOKUP(N$5,NFI,5,0),1,0)*Table_NFI[[#This Row],[Kitchen Set]],Table_NFI[Kitchen Set])</f>
        <v>0</v>
      </c>
      <c r="AF177" s="294">
        <f>IF(NFI_Expiration=1,IF($A177&lt;VLOOKUP(O$5,NFI,5,0),1,0)*Table_NFI[[#This Row],[Clothes Kit]],Table_NFI[Clothes Kit])</f>
        <v>0</v>
      </c>
      <c r="AG177" s="294">
        <f>IF(NFI_Expiration=1,IF($A177&lt;VLOOKUP(P$5,NFI,5,0),1,0)*Table_NFI[[#This Row],[Plastic Bucket]],Table_NFI[Plastic Bucket])</f>
        <v>0</v>
      </c>
      <c r="AH177" s="294">
        <f>IF(NFI_Expiration=1,IF($A177&lt;VLOOKUP(Q$5,NFI,5,0),1,0)*Table_NFI[[#This Row],[Plastic Mat]],Table_NFI[Plastic Mat])*IF(Table_NFI[[#This Row],[Distribution Date]]&gt;"2014-04-01",1,2.5)</f>
        <v>0</v>
      </c>
      <c r="AI177" s="294">
        <f>IF(NFI_Expiration=1,IF($A177&lt;VLOOKUP(R$5,NFI,5,0),1,0)*Table_NFI[[#This Row],[Winter Clothes Adult]],Table_NFI[Winter Clothes Adult])</f>
        <v>0</v>
      </c>
      <c r="AJ177" s="294">
        <f>IF(NFI_Expiration=1,IF($A177&lt;VLOOKUP(S$5,NFI,5,0),1,0)*Table_NFI[[#This Row],[Winter Clothes Children]],Table_NFI[Winter Clothes Children])</f>
        <v>0</v>
      </c>
      <c r="AK177" s="294">
        <f>IF(NFI_Expiration=1,IF($A177&lt;VLOOKUP(T$5,NFI,5,0),1,0)*Table_NFI[[#This Row],[Winter Items Other]],Table_NFI[Winter Items Other])</f>
        <v>0</v>
      </c>
      <c r="AL177" s="294">
        <f>IF(NFI_Expiration=1,IF($A177&lt;VLOOKUP(M$5,NFI,5,0),1,0)*Table_NFI[[#This Row],[Winter Blanket]],Table_NFI[[#This Row],[Winter Blanket]])</f>
        <v>0</v>
      </c>
      <c r="AM177" s="294">
        <f>IF(Table_NFI[[#This Row],[Winter Clothes Adult]]+Table_NFI[[#This Row],[Winter Clothes Children]]+Table_NFI[[#This Row],[Winter Items Other]]+Table_NFI[[#This Row],[Winter Blanket]]&gt;0,1,0)</f>
        <v>0</v>
      </c>
      <c r="AN177" s="331">
        <f>IF(NFI_Expiration=1,IF($A177&lt;VLOOKUP(V$5,NFI,5,0),1,0)*Table_NFI[[#This Row],[Jerry Can]],Table_NFI[Jerry Can])</f>
        <v>0</v>
      </c>
      <c r="AO177" s="331">
        <f>IF(NFI_Expiration=1,IF($A177&lt;VLOOKUP(V$5,NFI,5,0),1,0)*Table_NFI[[#This Row],[Shelter Tool kit]],Table_NFI[Shelter Tool kit])</f>
        <v>0</v>
      </c>
      <c r="AP177" s="331">
        <f>IF(NFI_Expiration=1,IF($A177&lt;VLOOKUP(V$5,NFI,5,0),1,0)*Table_NFI[[#This Row],[Tent]],Table_NFI[Tent])</f>
        <v>0</v>
      </c>
      <c r="AQ177" s="467" t="str">
        <f>IFERROR(VLOOKUP(Table_NFI[[#This Row],[Camp Name]],CL,2,0),"")</f>
        <v>MMR001CMP071</v>
      </c>
      <c r="AR177" s="835">
        <f ca="1">IF(Table_NFI[[#This Row],[Pcode]]="","",IF(OFFSET(CampList[Opening Date],MATCH(Table_NFI[[#This Row],[Pcode]],CampList[CP_Pcode],0)-1,0,1,1)&gt;=NFI_Monitor_Date,1,0))</f>
        <v>0</v>
      </c>
      <c r="AS177" s="467" t="str">
        <f>IFERROR(VLOOKUP(Table_NFI[[#This Row],[Camp Name]],CL,3,0),"")</f>
        <v>Open</v>
      </c>
      <c r="AT177" s="294" t="str">
        <f ca="1">IF(Table_NFI[[#This Row],[Pcode]]="","",OFFSET(CampList[Priority],MATCH(Table_NFI[[#This Row],[Pcode]],CampList[CP_Pcode],0)-1,0,1,1))</f>
        <v>P3</v>
      </c>
      <c r="AU177" s="293">
        <f>IFERROR(Table_NFI[[#This Row],[Kitchen Set]]/VLOOKUP(Table_NFI[[#This Row],[Camp Name]],CL,4,0),"")</f>
        <v>0</v>
      </c>
      <c r="AV177" s="461"/>
      <c r="AW177" s="463"/>
    </row>
    <row r="178" spans="1:49" s="98" customFormat="1" ht="14.45" customHeight="1" x14ac:dyDescent="0.25">
      <c r="A178" s="297">
        <f t="shared" si="2"/>
        <v>22.033333333333335</v>
      </c>
      <c r="B178" s="460">
        <v>42075</v>
      </c>
      <c r="C178" s="461" t="s">
        <v>905</v>
      </c>
      <c r="D178" s="462" t="s">
        <v>905</v>
      </c>
      <c r="E178" s="461" t="s">
        <v>380</v>
      </c>
      <c r="F178" s="290" t="s">
        <v>185</v>
      </c>
      <c r="G178" s="290" t="s">
        <v>186</v>
      </c>
      <c r="H178" s="291"/>
      <c r="I178" s="291"/>
      <c r="J178" s="292"/>
      <c r="K178" s="291"/>
      <c r="L178" s="292"/>
      <c r="M178" s="292"/>
      <c r="N178" s="292"/>
      <c r="O178" s="292"/>
      <c r="P178" s="294"/>
      <c r="Q178" s="294"/>
      <c r="R178" s="294"/>
      <c r="S178" s="294"/>
      <c r="T178" s="294"/>
      <c r="U178" s="294"/>
      <c r="V178" s="431"/>
      <c r="W178" s="294"/>
      <c r="X178" s="294"/>
      <c r="Y178" s="294">
        <f>IF(NFI_Expiration=1,IF($A178&lt;VLOOKUP(H$5,NFI,5,0),1,0)*Table_NFI[[#This Row],[Hygiene Kit]],Table_NFI[Hygiene Kit])</f>
        <v>0</v>
      </c>
      <c r="Z178" s="294">
        <f>IF(NFI_Expiration=1,IF($A178&lt;VLOOKUP(I$5,NFI,5,0),1,0)*Table_NFI[[#This Row],[NFI Core Kit]],Table_NFI[NFI Core Kit])</f>
        <v>0</v>
      </c>
      <c r="AA178" s="294">
        <f>IF(NFI_Expiration=1,IF($A178&lt;VLOOKUP(J$5,NFI,5,0),1,0)*Table_NFI[[#This Row],[Sanitary Kit]],Table_NFI[Sanitary Kit])</f>
        <v>0</v>
      </c>
      <c r="AB178" s="294">
        <f>IF(NFI_Expiration=1,IF($A178&lt;VLOOKUP(K$5,NFI,5,0),1,0)*Table_NFI[[#This Row],[Mosquito net]],Table_NFI[Mosquito net])</f>
        <v>0</v>
      </c>
      <c r="AC178" s="294">
        <f>IF(NFI_Expiration=1,IF($A178&lt;VLOOKUP(L$5,NFI,5,0),1,0)*Table_NFI[[#This Row],[Tarpaulin]],Table_NFI[[#This Row],[Tarpaulin]])</f>
        <v>0</v>
      </c>
      <c r="AD178" s="294">
        <f>IF(NFI_Expiration=1,IF($A178&lt;VLOOKUP(M$5,NFI,5,0),1,0)*Table_NFI[[#This Row],[Blanket]],Table_NFI[[#This Row],[Blanket]])</f>
        <v>0</v>
      </c>
      <c r="AE178" s="294">
        <f>IF(NFI_Expiration=1,IF($A178&lt;VLOOKUP(N$5,NFI,5,0),1,0)*Table_NFI[[#This Row],[Kitchen Set]],Table_NFI[Kitchen Set])</f>
        <v>0</v>
      </c>
      <c r="AF178" s="294">
        <f>IF(NFI_Expiration=1,IF($A178&lt;VLOOKUP(O$5,NFI,5,0),1,0)*Table_NFI[[#This Row],[Clothes Kit]],Table_NFI[Clothes Kit])</f>
        <v>0</v>
      </c>
      <c r="AG178" s="294">
        <f>IF(NFI_Expiration=1,IF($A178&lt;VLOOKUP(P$5,NFI,5,0),1,0)*Table_NFI[[#This Row],[Plastic Bucket]],Table_NFI[Plastic Bucket])</f>
        <v>0</v>
      </c>
      <c r="AH178" s="294">
        <f>IF(NFI_Expiration=1,IF($A178&lt;VLOOKUP(Q$5,NFI,5,0),1,0)*Table_NFI[[#This Row],[Plastic Mat]],Table_NFI[Plastic Mat])*IF(Table_NFI[[#This Row],[Distribution Date]]&gt;"2014-04-01",1,2.5)</f>
        <v>0</v>
      </c>
      <c r="AI178" s="294">
        <f>IF(NFI_Expiration=1,IF($A178&lt;VLOOKUP(R$5,NFI,5,0),1,0)*Table_NFI[[#This Row],[Winter Clothes Adult]],Table_NFI[Winter Clothes Adult])</f>
        <v>0</v>
      </c>
      <c r="AJ178" s="294">
        <f>IF(NFI_Expiration=1,IF($A178&lt;VLOOKUP(S$5,NFI,5,0),1,0)*Table_NFI[[#This Row],[Winter Clothes Children]],Table_NFI[Winter Clothes Children])</f>
        <v>0</v>
      </c>
      <c r="AK178" s="294">
        <f>IF(NFI_Expiration=1,IF($A178&lt;VLOOKUP(T$5,NFI,5,0),1,0)*Table_NFI[[#This Row],[Winter Items Other]],Table_NFI[Winter Items Other])</f>
        <v>0</v>
      </c>
      <c r="AL178" s="294">
        <f>IF(NFI_Expiration=1,IF($A178&lt;VLOOKUP(M$5,NFI,5,0),1,0)*Table_NFI[[#This Row],[Winter Blanket]],Table_NFI[[#This Row],[Winter Blanket]])</f>
        <v>0</v>
      </c>
      <c r="AM178" s="294">
        <f>IF(Table_NFI[[#This Row],[Winter Clothes Adult]]+Table_NFI[[#This Row],[Winter Clothes Children]]+Table_NFI[[#This Row],[Winter Items Other]]+Table_NFI[[#This Row],[Winter Blanket]]&gt;0,1,0)</f>
        <v>0</v>
      </c>
      <c r="AN178" s="331">
        <f>IF(NFI_Expiration=1,IF($A178&lt;VLOOKUP(V$5,NFI,5,0),1,0)*Table_NFI[[#This Row],[Jerry Can]],Table_NFI[Jerry Can])</f>
        <v>0</v>
      </c>
      <c r="AO178" s="331">
        <f>IF(NFI_Expiration=1,IF($A178&lt;VLOOKUP(V$5,NFI,5,0),1,0)*Table_NFI[[#This Row],[Shelter Tool kit]],Table_NFI[Shelter Tool kit])</f>
        <v>0</v>
      </c>
      <c r="AP178" s="331">
        <f>IF(NFI_Expiration=1,IF($A178&lt;VLOOKUP(V$5,NFI,5,0),1,0)*Table_NFI[[#This Row],[Tent]],Table_NFI[Tent])</f>
        <v>0</v>
      </c>
      <c r="AQ178" s="467" t="str">
        <f>IFERROR(VLOOKUP(Table_NFI[[#This Row],[Camp Name]],CL,2,0),"")</f>
        <v>MMR001CMP071</v>
      </c>
      <c r="AR178" s="835">
        <f ca="1">IF(Table_NFI[[#This Row],[Pcode]]="","",IF(OFFSET(CampList[Opening Date],MATCH(Table_NFI[[#This Row],[Pcode]],CampList[CP_Pcode],0)-1,0,1,1)&gt;=NFI_Monitor_Date,1,0))</f>
        <v>0</v>
      </c>
      <c r="AS178" s="467" t="str">
        <f>IFERROR(VLOOKUP(Table_NFI[[#This Row],[Camp Name]],CL,3,0),"")</f>
        <v>Open</v>
      </c>
      <c r="AT178" s="294" t="str">
        <f ca="1">IF(Table_NFI[[#This Row],[Pcode]]="","",OFFSET(CampList[Priority],MATCH(Table_NFI[[#This Row],[Pcode]],CampList[CP_Pcode],0)-1,0,1,1))</f>
        <v>P3</v>
      </c>
      <c r="AU178" s="293">
        <f>IFERROR(Table_NFI[[#This Row],[Kitchen Set]]/VLOOKUP(Table_NFI[[#This Row],[Camp Name]],CL,4,0),"")</f>
        <v>0</v>
      </c>
      <c r="AV178" s="461"/>
      <c r="AW178" s="463"/>
    </row>
    <row r="179" spans="1:49" s="98" customFormat="1" ht="14.45" customHeight="1" x14ac:dyDescent="0.25">
      <c r="A179" s="297">
        <f t="shared" si="2"/>
        <v>22.033333333333335</v>
      </c>
      <c r="B179" s="460">
        <v>42075</v>
      </c>
      <c r="C179" s="461" t="s">
        <v>905</v>
      </c>
      <c r="D179" s="462" t="s">
        <v>905</v>
      </c>
      <c r="E179" s="461" t="s">
        <v>380</v>
      </c>
      <c r="F179" s="290" t="s">
        <v>185</v>
      </c>
      <c r="G179" s="290" t="s">
        <v>223</v>
      </c>
      <c r="H179" s="291"/>
      <c r="I179" s="291"/>
      <c r="J179" s="292"/>
      <c r="K179" s="291"/>
      <c r="L179" s="292"/>
      <c r="M179" s="292"/>
      <c r="N179" s="292"/>
      <c r="O179" s="292"/>
      <c r="P179" s="294"/>
      <c r="Q179" s="294"/>
      <c r="R179" s="294"/>
      <c r="S179" s="294"/>
      <c r="T179" s="294"/>
      <c r="U179" s="294"/>
      <c r="V179" s="431"/>
      <c r="W179" s="294">
        <v>2</v>
      </c>
      <c r="X179" s="294"/>
      <c r="Y179" s="294">
        <f>IF(NFI_Expiration=1,IF($A179&lt;VLOOKUP(H$5,NFI,5,0),1,0)*Table_NFI[[#This Row],[Hygiene Kit]],Table_NFI[Hygiene Kit])</f>
        <v>0</v>
      </c>
      <c r="Z179" s="294">
        <f>IF(NFI_Expiration=1,IF($A179&lt;VLOOKUP(I$5,NFI,5,0),1,0)*Table_NFI[[#This Row],[NFI Core Kit]],Table_NFI[NFI Core Kit])</f>
        <v>0</v>
      </c>
      <c r="AA179" s="294">
        <f>IF(NFI_Expiration=1,IF($A179&lt;VLOOKUP(J$5,NFI,5,0),1,0)*Table_NFI[[#This Row],[Sanitary Kit]],Table_NFI[Sanitary Kit])</f>
        <v>0</v>
      </c>
      <c r="AB179" s="294">
        <f>IF(NFI_Expiration=1,IF($A179&lt;VLOOKUP(K$5,NFI,5,0),1,0)*Table_NFI[[#This Row],[Mosquito net]],Table_NFI[Mosquito net])</f>
        <v>0</v>
      </c>
      <c r="AC179" s="294">
        <f>IF(NFI_Expiration=1,IF($A179&lt;VLOOKUP(L$5,NFI,5,0),1,0)*Table_NFI[[#This Row],[Tarpaulin]],Table_NFI[[#This Row],[Tarpaulin]])</f>
        <v>0</v>
      </c>
      <c r="AD179" s="294">
        <f>IF(NFI_Expiration=1,IF($A179&lt;VLOOKUP(M$5,NFI,5,0),1,0)*Table_NFI[[#This Row],[Blanket]],Table_NFI[[#This Row],[Blanket]])</f>
        <v>0</v>
      </c>
      <c r="AE179" s="294">
        <f>IF(NFI_Expiration=1,IF($A179&lt;VLOOKUP(N$5,NFI,5,0),1,0)*Table_NFI[[#This Row],[Kitchen Set]],Table_NFI[Kitchen Set])</f>
        <v>0</v>
      </c>
      <c r="AF179" s="294">
        <f>IF(NFI_Expiration=1,IF($A179&lt;VLOOKUP(O$5,NFI,5,0),1,0)*Table_NFI[[#This Row],[Clothes Kit]],Table_NFI[Clothes Kit])</f>
        <v>0</v>
      </c>
      <c r="AG179" s="294">
        <f>IF(NFI_Expiration=1,IF($A179&lt;VLOOKUP(P$5,NFI,5,0),1,0)*Table_NFI[[#This Row],[Plastic Bucket]],Table_NFI[Plastic Bucket])</f>
        <v>0</v>
      </c>
      <c r="AH179" s="294">
        <f>IF(NFI_Expiration=1,IF($A179&lt;VLOOKUP(Q$5,NFI,5,0),1,0)*Table_NFI[[#This Row],[Plastic Mat]],Table_NFI[Plastic Mat])*IF(Table_NFI[[#This Row],[Distribution Date]]&gt;"2014-04-01",1,2.5)</f>
        <v>0</v>
      </c>
      <c r="AI179" s="294">
        <f>IF(NFI_Expiration=1,IF($A179&lt;VLOOKUP(R$5,NFI,5,0),1,0)*Table_NFI[[#This Row],[Winter Clothes Adult]],Table_NFI[Winter Clothes Adult])</f>
        <v>0</v>
      </c>
      <c r="AJ179" s="294">
        <f>IF(NFI_Expiration=1,IF($A179&lt;VLOOKUP(S$5,NFI,5,0),1,0)*Table_NFI[[#This Row],[Winter Clothes Children]],Table_NFI[Winter Clothes Children])</f>
        <v>0</v>
      </c>
      <c r="AK179" s="294">
        <f>IF(NFI_Expiration=1,IF($A179&lt;VLOOKUP(T$5,NFI,5,0),1,0)*Table_NFI[[#This Row],[Winter Items Other]],Table_NFI[Winter Items Other])</f>
        <v>0</v>
      </c>
      <c r="AL179" s="294">
        <f>IF(NFI_Expiration=1,IF($A179&lt;VLOOKUP(M$5,NFI,5,0),1,0)*Table_NFI[[#This Row],[Winter Blanket]],Table_NFI[[#This Row],[Winter Blanket]])</f>
        <v>0</v>
      </c>
      <c r="AM179" s="294">
        <f>IF(Table_NFI[[#This Row],[Winter Clothes Adult]]+Table_NFI[[#This Row],[Winter Clothes Children]]+Table_NFI[[#This Row],[Winter Items Other]]+Table_NFI[[#This Row],[Winter Blanket]]&gt;0,1,0)</f>
        <v>0</v>
      </c>
      <c r="AN179" s="331">
        <f>IF(NFI_Expiration=1,IF($A179&lt;VLOOKUP(V$5,NFI,5,0),1,0)*Table_NFI[[#This Row],[Jerry Can]],Table_NFI[Jerry Can])</f>
        <v>0</v>
      </c>
      <c r="AO179" s="331">
        <f>IF(NFI_Expiration=1,IF($A179&lt;VLOOKUP(V$5,NFI,5,0),1,0)*Table_NFI[[#This Row],[Shelter Tool kit]],Table_NFI[Shelter Tool kit])</f>
        <v>0</v>
      </c>
      <c r="AP179" s="331">
        <f>IF(NFI_Expiration=1,IF($A179&lt;VLOOKUP(V$5,NFI,5,0),1,0)*Table_NFI[[#This Row],[Tent]],Table_NFI[Tent])</f>
        <v>0</v>
      </c>
      <c r="AQ179" s="467" t="str">
        <f>IFERROR(VLOOKUP(Table_NFI[[#This Row],[Camp Name]],CL,2,0),"")</f>
        <v>MMR001CMP069</v>
      </c>
      <c r="AR179" s="835">
        <f ca="1">IF(Table_NFI[[#This Row],[Pcode]]="","",IF(OFFSET(CampList[Opening Date],MATCH(Table_NFI[[#This Row],[Pcode]],CampList[CP_Pcode],0)-1,0,1,1)&gt;=NFI_Monitor_Date,1,0))</f>
        <v>0</v>
      </c>
      <c r="AS179" s="467" t="str">
        <f>IFERROR(VLOOKUP(Table_NFI[[#This Row],[Camp Name]],CL,3,0),"")</f>
        <v>Open</v>
      </c>
      <c r="AT179" s="294" t="str">
        <f ca="1">IF(Table_NFI[[#This Row],[Pcode]]="","",OFFSET(CampList[Priority],MATCH(Table_NFI[[#This Row],[Pcode]],CampList[CP_Pcode],0)-1,0,1,1))</f>
        <v>P3</v>
      </c>
      <c r="AU179" s="293">
        <f>IFERROR(Table_NFI[[#This Row],[Kitchen Set]]/VLOOKUP(Table_NFI[[#This Row],[Camp Name]],CL,4,0),"")</f>
        <v>0</v>
      </c>
      <c r="AV179" s="461"/>
      <c r="AW179" s="463"/>
    </row>
    <row r="180" spans="1:49" s="98" customFormat="1" ht="14.45" customHeight="1" x14ac:dyDescent="0.25">
      <c r="A180" s="297">
        <f t="shared" si="2"/>
        <v>22.033333333333335</v>
      </c>
      <c r="B180" s="460">
        <v>42075</v>
      </c>
      <c r="C180" s="461" t="s">
        <v>905</v>
      </c>
      <c r="D180" s="462" t="s">
        <v>905</v>
      </c>
      <c r="E180" s="461" t="s">
        <v>380</v>
      </c>
      <c r="F180" s="290" t="s">
        <v>185</v>
      </c>
      <c r="G180" s="290" t="s">
        <v>190</v>
      </c>
      <c r="H180" s="291"/>
      <c r="I180" s="291"/>
      <c r="J180" s="292"/>
      <c r="K180" s="291"/>
      <c r="L180" s="292"/>
      <c r="M180" s="292"/>
      <c r="N180" s="292"/>
      <c r="O180" s="292"/>
      <c r="P180" s="294"/>
      <c r="Q180" s="294"/>
      <c r="R180" s="294"/>
      <c r="S180" s="294"/>
      <c r="T180" s="294"/>
      <c r="U180" s="294"/>
      <c r="V180" s="431"/>
      <c r="W180" s="294">
        <v>5</v>
      </c>
      <c r="X180" s="294"/>
      <c r="Y180" s="294">
        <f>IF(NFI_Expiration=1,IF($A180&lt;VLOOKUP(H$5,NFI,5,0),1,0)*Table_NFI[[#This Row],[Hygiene Kit]],Table_NFI[Hygiene Kit])</f>
        <v>0</v>
      </c>
      <c r="Z180" s="294">
        <f>IF(NFI_Expiration=1,IF($A180&lt;VLOOKUP(I$5,NFI,5,0),1,0)*Table_NFI[[#This Row],[NFI Core Kit]],Table_NFI[NFI Core Kit])</f>
        <v>0</v>
      </c>
      <c r="AA180" s="294">
        <f>IF(NFI_Expiration=1,IF($A180&lt;VLOOKUP(J$5,NFI,5,0),1,0)*Table_NFI[[#This Row],[Sanitary Kit]],Table_NFI[Sanitary Kit])</f>
        <v>0</v>
      </c>
      <c r="AB180" s="294">
        <f>IF(NFI_Expiration=1,IF($A180&lt;VLOOKUP(K$5,NFI,5,0),1,0)*Table_NFI[[#This Row],[Mosquito net]],Table_NFI[Mosquito net])</f>
        <v>0</v>
      </c>
      <c r="AC180" s="294">
        <f>IF(NFI_Expiration=1,IF($A180&lt;VLOOKUP(L$5,NFI,5,0),1,0)*Table_NFI[[#This Row],[Tarpaulin]],Table_NFI[[#This Row],[Tarpaulin]])</f>
        <v>0</v>
      </c>
      <c r="AD180" s="294">
        <f>IF(NFI_Expiration=1,IF($A180&lt;VLOOKUP(M$5,NFI,5,0),1,0)*Table_NFI[[#This Row],[Blanket]],Table_NFI[[#This Row],[Blanket]])</f>
        <v>0</v>
      </c>
      <c r="AE180" s="294">
        <f>IF(NFI_Expiration=1,IF($A180&lt;VLOOKUP(N$5,NFI,5,0),1,0)*Table_NFI[[#This Row],[Kitchen Set]],Table_NFI[Kitchen Set])</f>
        <v>0</v>
      </c>
      <c r="AF180" s="294">
        <f>IF(NFI_Expiration=1,IF($A180&lt;VLOOKUP(O$5,NFI,5,0),1,0)*Table_NFI[[#This Row],[Clothes Kit]],Table_NFI[Clothes Kit])</f>
        <v>0</v>
      </c>
      <c r="AG180" s="294">
        <f>IF(NFI_Expiration=1,IF($A180&lt;VLOOKUP(P$5,NFI,5,0),1,0)*Table_NFI[[#This Row],[Plastic Bucket]],Table_NFI[Plastic Bucket])</f>
        <v>0</v>
      </c>
      <c r="AH180" s="294">
        <f>IF(NFI_Expiration=1,IF($A180&lt;VLOOKUP(Q$5,NFI,5,0),1,0)*Table_NFI[[#This Row],[Plastic Mat]],Table_NFI[Plastic Mat])*IF(Table_NFI[[#This Row],[Distribution Date]]&gt;"2014-04-01",1,2.5)</f>
        <v>0</v>
      </c>
      <c r="AI180" s="294">
        <f>IF(NFI_Expiration=1,IF($A180&lt;VLOOKUP(R$5,NFI,5,0),1,0)*Table_NFI[[#This Row],[Winter Clothes Adult]],Table_NFI[Winter Clothes Adult])</f>
        <v>0</v>
      </c>
      <c r="AJ180" s="294">
        <f>IF(NFI_Expiration=1,IF($A180&lt;VLOOKUP(S$5,NFI,5,0),1,0)*Table_NFI[[#This Row],[Winter Clothes Children]],Table_NFI[Winter Clothes Children])</f>
        <v>0</v>
      </c>
      <c r="AK180" s="294">
        <f>IF(NFI_Expiration=1,IF($A180&lt;VLOOKUP(T$5,NFI,5,0),1,0)*Table_NFI[[#This Row],[Winter Items Other]],Table_NFI[Winter Items Other])</f>
        <v>0</v>
      </c>
      <c r="AL180" s="294">
        <f>IF(NFI_Expiration=1,IF($A180&lt;VLOOKUP(M$5,NFI,5,0),1,0)*Table_NFI[[#This Row],[Winter Blanket]],Table_NFI[[#This Row],[Winter Blanket]])</f>
        <v>0</v>
      </c>
      <c r="AM180" s="294">
        <f>IF(Table_NFI[[#This Row],[Winter Clothes Adult]]+Table_NFI[[#This Row],[Winter Clothes Children]]+Table_NFI[[#This Row],[Winter Items Other]]+Table_NFI[[#This Row],[Winter Blanket]]&gt;0,1,0)</f>
        <v>0</v>
      </c>
      <c r="AN180" s="331">
        <f>IF(NFI_Expiration=1,IF($A180&lt;VLOOKUP(V$5,NFI,5,0),1,0)*Table_NFI[[#This Row],[Jerry Can]],Table_NFI[Jerry Can])</f>
        <v>0</v>
      </c>
      <c r="AO180" s="331">
        <f>IF(NFI_Expiration=1,IF($A180&lt;VLOOKUP(V$5,NFI,5,0),1,0)*Table_NFI[[#This Row],[Shelter Tool kit]],Table_NFI[Shelter Tool kit])</f>
        <v>0</v>
      </c>
      <c r="AP180" s="331">
        <f>IF(NFI_Expiration=1,IF($A180&lt;VLOOKUP(V$5,NFI,5,0),1,0)*Table_NFI[[#This Row],[Tent]],Table_NFI[Tent])</f>
        <v>0</v>
      </c>
      <c r="AQ180" s="467" t="str">
        <f>IFERROR(VLOOKUP(Table_NFI[[#This Row],[Camp Name]],CL,2,0),"")</f>
        <v>MMR001CMP070</v>
      </c>
      <c r="AR180" s="835">
        <f ca="1">IF(Table_NFI[[#This Row],[Pcode]]="","",IF(OFFSET(CampList[Opening Date],MATCH(Table_NFI[[#This Row],[Pcode]],CampList[CP_Pcode],0)-1,0,1,1)&gt;=NFI_Monitor_Date,1,0))</f>
        <v>0</v>
      </c>
      <c r="AS180" s="467" t="str">
        <f>IFERROR(VLOOKUP(Table_NFI[[#This Row],[Camp Name]],CL,3,0),"")</f>
        <v>Open</v>
      </c>
      <c r="AT180" s="294" t="str">
        <f ca="1">IF(Table_NFI[[#This Row],[Pcode]]="","",OFFSET(CampList[Priority],MATCH(Table_NFI[[#This Row],[Pcode]],CampList[CP_Pcode],0)-1,0,1,1))</f>
        <v>P3</v>
      </c>
      <c r="AU180" s="293">
        <f>IFERROR(Table_NFI[[#This Row],[Kitchen Set]]/VLOOKUP(Table_NFI[[#This Row],[Camp Name]],CL,4,0),"")</f>
        <v>0</v>
      </c>
      <c r="AV180" s="461"/>
      <c r="AW180" s="463"/>
    </row>
    <row r="181" spans="1:49" s="98" customFormat="1" ht="14.45" customHeight="1" x14ac:dyDescent="0.25">
      <c r="A181" s="297">
        <f t="shared" si="2"/>
        <v>22.033333333333335</v>
      </c>
      <c r="B181" s="460">
        <v>42075</v>
      </c>
      <c r="C181" s="461" t="s">
        <v>905</v>
      </c>
      <c r="D181" s="461" t="s">
        <v>905</v>
      </c>
      <c r="E181" s="461" t="s">
        <v>380</v>
      </c>
      <c r="F181" s="461" t="s">
        <v>5</v>
      </c>
      <c r="G181" s="461" t="s">
        <v>366</v>
      </c>
      <c r="H181" s="291"/>
      <c r="I181" s="291"/>
      <c r="J181" s="291"/>
      <c r="K181" s="291"/>
      <c r="L181" s="292"/>
      <c r="M181" s="292"/>
      <c r="N181" s="292"/>
      <c r="O181" s="292"/>
      <c r="P181" s="294"/>
      <c r="Q181" s="294"/>
      <c r="R181" s="294"/>
      <c r="S181" s="294"/>
      <c r="T181" s="294"/>
      <c r="U181" s="294"/>
      <c r="V181" s="431"/>
      <c r="W181" s="294">
        <v>7</v>
      </c>
      <c r="X181" s="294"/>
      <c r="Y181" s="294">
        <f>IF(NFI_Expiration=1,IF($A181&lt;VLOOKUP(H$5,NFI,5,0),1,0)*Table_NFI[[#This Row],[Hygiene Kit]],Table_NFI[Hygiene Kit])</f>
        <v>0</v>
      </c>
      <c r="Z181" s="294">
        <f>IF(NFI_Expiration=1,IF($A181&lt;VLOOKUP(I$5,NFI,5,0),1,0)*Table_NFI[[#This Row],[NFI Core Kit]],Table_NFI[NFI Core Kit])</f>
        <v>0</v>
      </c>
      <c r="AA181" s="294">
        <f>IF(NFI_Expiration=1,IF($A181&lt;VLOOKUP(J$5,NFI,5,0),1,0)*Table_NFI[[#This Row],[Sanitary Kit]],Table_NFI[Sanitary Kit])</f>
        <v>0</v>
      </c>
      <c r="AB181" s="294">
        <f>IF(NFI_Expiration=1,IF($A181&lt;VLOOKUP(K$5,NFI,5,0),1,0)*Table_NFI[[#This Row],[Mosquito net]],Table_NFI[Mosquito net])</f>
        <v>0</v>
      </c>
      <c r="AC181" s="294">
        <f>IF(NFI_Expiration=1,IF($A181&lt;VLOOKUP(L$5,NFI,5,0),1,0)*Table_NFI[[#This Row],[Tarpaulin]],Table_NFI[[#This Row],[Tarpaulin]])</f>
        <v>0</v>
      </c>
      <c r="AD181" s="294">
        <f>IF(NFI_Expiration=1,IF($A181&lt;VLOOKUP(M$5,NFI,5,0),1,0)*Table_NFI[[#This Row],[Blanket]],Table_NFI[[#This Row],[Blanket]])</f>
        <v>0</v>
      </c>
      <c r="AE181" s="294">
        <f>IF(NFI_Expiration=1,IF($A181&lt;VLOOKUP(N$5,NFI,5,0),1,0)*Table_NFI[[#This Row],[Kitchen Set]],Table_NFI[Kitchen Set])</f>
        <v>0</v>
      </c>
      <c r="AF181" s="294">
        <f>IF(NFI_Expiration=1,IF($A181&lt;VLOOKUP(O$5,NFI,5,0),1,0)*Table_NFI[[#This Row],[Clothes Kit]],Table_NFI[Clothes Kit])</f>
        <v>0</v>
      </c>
      <c r="AG181" s="294">
        <f>IF(NFI_Expiration=1,IF($A181&lt;VLOOKUP(P$5,NFI,5,0),1,0)*Table_NFI[[#This Row],[Plastic Bucket]],Table_NFI[Plastic Bucket])</f>
        <v>0</v>
      </c>
      <c r="AH181" s="294">
        <f>IF(NFI_Expiration=1,IF($A181&lt;VLOOKUP(Q$5,NFI,5,0),1,0)*Table_NFI[[#This Row],[Plastic Mat]],Table_NFI[Plastic Mat])*IF(Table_NFI[[#This Row],[Distribution Date]]&gt;"2014-04-01",1,2.5)</f>
        <v>0</v>
      </c>
      <c r="AI181" s="294">
        <f>IF(NFI_Expiration=1,IF($A181&lt;VLOOKUP(R$5,NFI,5,0),1,0)*Table_NFI[[#This Row],[Winter Clothes Adult]],Table_NFI[Winter Clothes Adult])</f>
        <v>0</v>
      </c>
      <c r="AJ181" s="294">
        <f>IF(NFI_Expiration=1,IF($A181&lt;VLOOKUP(S$5,NFI,5,0),1,0)*Table_NFI[[#This Row],[Winter Clothes Children]],Table_NFI[Winter Clothes Children])</f>
        <v>0</v>
      </c>
      <c r="AK181" s="294">
        <f>IF(NFI_Expiration=1,IF($A181&lt;VLOOKUP(T$5,NFI,5,0),1,0)*Table_NFI[[#This Row],[Winter Items Other]],Table_NFI[Winter Items Other])</f>
        <v>0</v>
      </c>
      <c r="AL181" s="294">
        <f>IF(NFI_Expiration=1,IF($A181&lt;VLOOKUP(M$5,NFI,5,0),1,0)*Table_NFI[[#This Row],[Winter Blanket]],Table_NFI[[#This Row],[Winter Blanket]])</f>
        <v>0</v>
      </c>
      <c r="AM181" s="294">
        <f>IF(Table_NFI[[#This Row],[Winter Clothes Adult]]+Table_NFI[[#This Row],[Winter Clothes Children]]+Table_NFI[[#This Row],[Winter Items Other]]+Table_NFI[[#This Row],[Winter Blanket]]&gt;0,1,0)</f>
        <v>0</v>
      </c>
      <c r="AN181" s="331">
        <f>IF(NFI_Expiration=1,IF($A181&lt;VLOOKUP(V$5,NFI,5,0),1,0)*Table_NFI[[#This Row],[Jerry Can]],Table_NFI[Jerry Can])</f>
        <v>0</v>
      </c>
      <c r="AO181" s="331">
        <f>IF(NFI_Expiration=1,IF($A181&lt;VLOOKUP(V$5,NFI,5,0),1,0)*Table_NFI[[#This Row],[Shelter Tool kit]],Table_NFI[Shelter Tool kit])</f>
        <v>0</v>
      </c>
      <c r="AP181" s="331">
        <f>IF(NFI_Expiration=1,IF($A181&lt;VLOOKUP(V$5,NFI,5,0),1,0)*Table_NFI[[#This Row],[Tent]],Table_NFI[Tent])</f>
        <v>0</v>
      </c>
      <c r="AQ181" s="467" t="str">
        <f>IFERROR(VLOOKUP(Table_NFI[[#This Row],[Camp Name]],CL,2,0),"")</f>
        <v>MMR001CMP193</v>
      </c>
      <c r="AR181" s="835">
        <f ca="1">IF(Table_NFI[[#This Row],[Pcode]]="","",IF(OFFSET(CampList[Opening Date],MATCH(Table_NFI[[#This Row],[Pcode]],CampList[CP_Pcode],0)-1,0,1,1)&gt;=NFI_Monitor_Date,1,0))</f>
        <v>0</v>
      </c>
      <c r="AS181" s="467" t="str">
        <f>IFERROR(VLOOKUP(Table_NFI[[#This Row],[Camp Name]],CL,3,0),"")</f>
        <v>Open</v>
      </c>
      <c r="AT181" s="294" t="str">
        <f ca="1">IF(Table_NFI[[#This Row],[Pcode]]="","",OFFSET(CampList[Priority],MATCH(Table_NFI[[#This Row],[Pcode]],CampList[CP_Pcode],0)-1,0,1,1))</f>
        <v>P4</v>
      </c>
      <c r="AU181" s="293">
        <f>IFERROR(Table_NFI[[#This Row],[Kitchen Set]]/VLOOKUP(Table_NFI[[#This Row],[Camp Name]],CL,4,0),"")</f>
        <v>0</v>
      </c>
      <c r="AV181" s="461"/>
      <c r="AW181" s="463"/>
    </row>
    <row r="182" spans="1:49" s="98" customFormat="1" ht="14.45" customHeight="1" x14ac:dyDescent="0.2">
      <c r="A182" s="297">
        <f t="shared" si="2"/>
        <v>22.033333333333335</v>
      </c>
      <c r="B182" s="460">
        <v>42075</v>
      </c>
      <c r="C182" s="461" t="s">
        <v>905</v>
      </c>
      <c r="D182" s="462" t="s">
        <v>905</v>
      </c>
      <c r="E182" s="461" t="s">
        <v>380</v>
      </c>
      <c r="F182" s="290" t="s">
        <v>5</v>
      </c>
      <c r="G182" s="290" t="s">
        <v>22</v>
      </c>
      <c r="H182" s="291"/>
      <c r="I182" s="291"/>
      <c r="J182" s="291"/>
      <c r="K182" s="291"/>
      <c r="L182" s="292"/>
      <c r="M182" s="292"/>
      <c r="N182" s="292"/>
      <c r="O182" s="292"/>
      <c r="P182" s="294"/>
      <c r="Q182" s="294"/>
      <c r="R182" s="294"/>
      <c r="S182" s="294"/>
      <c r="T182" s="294"/>
      <c r="U182" s="294"/>
      <c r="V182" s="431"/>
      <c r="W182" s="576">
        <v>11</v>
      </c>
      <c r="X182" s="294"/>
      <c r="Y182" s="294">
        <f>IF(NFI_Expiration=1,IF($A182&lt;VLOOKUP(H$5,NFI,5,0),1,0)*Table_NFI[[#This Row],[Hygiene Kit]],Table_NFI[Hygiene Kit])</f>
        <v>0</v>
      </c>
      <c r="Z182" s="294">
        <f>IF(NFI_Expiration=1,IF($A182&lt;VLOOKUP(I$5,NFI,5,0),1,0)*Table_NFI[[#This Row],[NFI Core Kit]],Table_NFI[NFI Core Kit])</f>
        <v>0</v>
      </c>
      <c r="AA182" s="294">
        <f>IF(NFI_Expiration=1,IF($A182&lt;VLOOKUP(J$5,NFI,5,0),1,0)*Table_NFI[[#This Row],[Sanitary Kit]],Table_NFI[Sanitary Kit])</f>
        <v>0</v>
      </c>
      <c r="AB182" s="294">
        <f>IF(NFI_Expiration=1,IF($A182&lt;VLOOKUP(K$5,NFI,5,0),1,0)*Table_NFI[[#This Row],[Mosquito net]],Table_NFI[Mosquito net])</f>
        <v>0</v>
      </c>
      <c r="AC182" s="294">
        <f>IF(NFI_Expiration=1,IF($A182&lt;VLOOKUP(L$5,NFI,5,0),1,0)*Table_NFI[[#This Row],[Tarpaulin]],Table_NFI[[#This Row],[Tarpaulin]])</f>
        <v>0</v>
      </c>
      <c r="AD182" s="294">
        <f>IF(NFI_Expiration=1,IF($A182&lt;VLOOKUP(M$5,NFI,5,0),1,0)*Table_NFI[[#This Row],[Blanket]],Table_NFI[[#This Row],[Blanket]])</f>
        <v>0</v>
      </c>
      <c r="AE182" s="294">
        <f>IF(NFI_Expiration=1,IF($A182&lt;VLOOKUP(N$5,NFI,5,0),1,0)*Table_NFI[[#This Row],[Kitchen Set]],Table_NFI[Kitchen Set])</f>
        <v>0</v>
      </c>
      <c r="AF182" s="294">
        <f>IF(NFI_Expiration=1,IF($A182&lt;VLOOKUP(O$5,NFI,5,0),1,0)*Table_NFI[[#This Row],[Clothes Kit]],Table_NFI[Clothes Kit])</f>
        <v>0</v>
      </c>
      <c r="AG182" s="294">
        <f>IF(NFI_Expiration=1,IF($A182&lt;VLOOKUP(P$5,NFI,5,0),1,0)*Table_NFI[[#This Row],[Plastic Bucket]],Table_NFI[Plastic Bucket])</f>
        <v>0</v>
      </c>
      <c r="AH182" s="294">
        <f>IF(NFI_Expiration=1,IF($A182&lt;VLOOKUP(Q$5,NFI,5,0),1,0)*Table_NFI[[#This Row],[Plastic Mat]],Table_NFI[Plastic Mat])*IF(Table_NFI[[#This Row],[Distribution Date]]&gt;"2014-04-01",1,2.5)</f>
        <v>0</v>
      </c>
      <c r="AI182" s="294">
        <f>IF(NFI_Expiration=1,IF($A182&lt;VLOOKUP(R$5,NFI,5,0),1,0)*Table_NFI[[#This Row],[Winter Clothes Adult]],Table_NFI[Winter Clothes Adult])</f>
        <v>0</v>
      </c>
      <c r="AJ182" s="294">
        <f>IF(NFI_Expiration=1,IF($A182&lt;VLOOKUP(S$5,NFI,5,0),1,0)*Table_NFI[[#This Row],[Winter Clothes Children]],Table_NFI[Winter Clothes Children])</f>
        <v>0</v>
      </c>
      <c r="AK182" s="294">
        <f>IF(NFI_Expiration=1,IF($A182&lt;VLOOKUP(T$5,NFI,5,0),1,0)*Table_NFI[[#This Row],[Winter Items Other]],Table_NFI[Winter Items Other])</f>
        <v>0</v>
      </c>
      <c r="AL182" s="294">
        <f>IF(NFI_Expiration=1,IF($A182&lt;VLOOKUP(M$5,NFI,5,0),1,0)*Table_NFI[[#This Row],[Winter Blanket]],Table_NFI[[#This Row],[Winter Blanket]])</f>
        <v>0</v>
      </c>
      <c r="AM182" s="294">
        <f>IF(Table_NFI[[#This Row],[Winter Clothes Adult]]+Table_NFI[[#This Row],[Winter Clothes Children]]+Table_NFI[[#This Row],[Winter Items Other]]+Table_NFI[[#This Row],[Winter Blanket]]&gt;0,1,0)</f>
        <v>0</v>
      </c>
      <c r="AN182" s="331">
        <f>IF(NFI_Expiration=1,IF($A182&lt;VLOOKUP(V$5,NFI,5,0),1,0)*Table_NFI[[#This Row],[Jerry Can]],Table_NFI[Jerry Can])</f>
        <v>0</v>
      </c>
      <c r="AO182" s="331">
        <f>IF(NFI_Expiration=1,IF($A182&lt;VLOOKUP(V$5,NFI,5,0),1,0)*Table_NFI[[#This Row],[Shelter Tool kit]],Table_NFI[Shelter Tool kit])</f>
        <v>0</v>
      </c>
      <c r="AP182" s="331">
        <f>IF(NFI_Expiration=1,IF($A182&lt;VLOOKUP(V$5,NFI,5,0),1,0)*Table_NFI[[#This Row],[Tent]],Table_NFI[Tent])</f>
        <v>0</v>
      </c>
      <c r="AQ182" s="467" t="str">
        <f>IFERROR(VLOOKUP(Table_NFI[[#This Row],[Camp Name]],CL,2,0),"")</f>
        <v>MMR001CMP047</v>
      </c>
      <c r="AR182" s="835">
        <f ca="1">IF(Table_NFI[[#This Row],[Pcode]]="","",IF(OFFSET(CampList[Opening Date],MATCH(Table_NFI[[#This Row],[Pcode]],CampList[CP_Pcode],0)-1,0,1,1)&gt;=NFI_Monitor_Date,1,0))</f>
        <v>0</v>
      </c>
      <c r="AS182" s="467" t="str">
        <f>IFERROR(VLOOKUP(Table_NFI[[#This Row],[Camp Name]],CL,3,0),"")</f>
        <v>Open</v>
      </c>
      <c r="AT182" s="294" t="str">
        <f ca="1">IF(Table_NFI[[#This Row],[Pcode]]="","",OFFSET(CampList[Priority],MATCH(Table_NFI[[#This Row],[Pcode]],CampList[CP_Pcode],0)-1,0,1,1))</f>
        <v>P4</v>
      </c>
      <c r="AU182" s="293">
        <f>IFERROR(Table_NFI[[#This Row],[Kitchen Set]]/VLOOKUP(Table_NFI[[#This Row],[Camp Name]],CL,4,0),"")</f>
        <v>0</v>
      </c>
      <c r="AV182" s="461"/>
      <c r="AW182" s="463"/>
    </row>
    <row r="183" spans="1:49" s="98" customFormat="1" ht="14.45" customHeight="1" x14ac:dyDescent="0.25">
      <c r="A183" s="297">
        <f t="shared" si="2"/>
        <v>22.033333333333335</v>
      </c>
      <c r="B183" s="460">
        <v>42075</v>
      </c>
      <c r="C183" s="461" t="s">
        <v>905</v>
      </c>
      <c r="D183" s="462" t="s">
        <v>905</v>
      </c>
      <c r="E183" s="461" t="s">
        <v>380</v>
      </c>
      <c r="F183" s="290" t="s">
        <v>185</v>
      </c>
      <c r="G183" s="290" t="s">
        <v>225</v>
      </c>
      <c r="H183" s="291"/>
      <c r="I183" s="291"/>
      <c r="J183" s="292"/>
      <c r="K183" s="291"/>
      <c r="L183" s="292"/>
      <c r="M183" s="292"/>
      <c r="N183" s="292"/>
      <c r="O183" s="292"/>
      <c r="P183" s="294"/>
      <c r="Q183" s="294"/>
      <c r="R183" s="294"/>
      <c r="S183" s="294"/>
      <c r="T183" s="294"/>
      <c r="U183" s="294"/>
      <c r="V183" s="431"/>
      <c r="W183" s="294">
        <v>4</v>
      </c>
      <c r="X183" s="294"/>
      <c r="Y183" s="294">
        <f>IF(NFI_Expiration=1,IF($A183&lt;VLOOKUP(H$5,NFI,5,0),1,0)*Table_NFI[[#This Row],[Hygiene Kit]],Table_NFI[Hygiene Kit])</f>
        <v>0</v>
      </c>
      <c r="Z183" s="294">
        <f>IF(NFI_Expiration=1,IF($A183&lt;VLOOKUP(I$5,NFI,5,0),1,0)*Table_NFI[[#This Row],[NFI Core Kit]],Table_NFI[NFI Core Kit])</f>
        <v>0</v>
      </c>
      <c r="AA183" s="294">
        <f>IF(NFI_Expiration=1,IF($A183&lt;VLOOKUP(J$5,NFI,5,0),1,0)*Table_NFI[[#This Row],[Sanitary Kit]],Table_NFI[Sanitary Kit])</f>
        <v>0</v>
      </c>
      <c r="AB183" s="294">
        <f>IF(NFI_Expiration=1,IF($A183&lt;VLOOKUP(K$5,NFI,5,0),1,0)*Table_NFI[[#This Row],[Mosquito net]],Table_NFI[Mosquito net])</f>
        <v>0</v>
      </c>
      <c r="AC183" s="294">
        <f>IF(NFI_Expiration=1,IF($A183&lt;VLOOKUP(L$5,NFI,5,0),1,0)*Table_NFI[[#This Row],[Tarpaulin]],Table_NFI[[#This Row],[Tarpaulin]])</f>
        <v>0</v>
      </c>
      <c r="AD183" s="294">
        <f>IF(NFI_Expiration=1,IF($A183&lt;VLOOKUP(M$5,NFI,5,0),1,0)*Table_NFI[[#This Row],[Blanket]],Table_NFI[[#This Row],[Blanket]])</f>
        <v>0</v>
      </c>
      <c r="AE183" s="294">
        <f>IF(NFI_Expiration=1,IF($A183&lt;VLOOKUP(N$5,NFI,5,0),1,0)*Table_NFI[[#This Row],[Kitchen Set]],Table_NFI[Kitchen Set])</f>
        <v>0</v>
      </c>
      <c r="AF183" s="294">
        <f>IF(NFI_Expiration=1,IF($A183&lt;VLOOKUP(O$5,NFI,5,0),1,0)*Table_NFI[[#This Row],[Clothes Kit]],Table_NFI[Clothes Kit])</f>
        <v>0</v>
      </c>
      <c r="AG183" s="294">
        <f>IF(NFI_Expiration=1,IF($A183&lt;VLOOKUP(P$5,NFI,5,0),1,0)*Table_NFI[[#This Row],[Plastic Bucket]],Table_NFI[Plastic Bucket])</f>
        <v>0</v>
      </c>
      <c r="AH183" s="294">
        <f>IF(NFI_Expiration=1,IF($A183&lt;VLOOKUP(Q$5,NFI,5,0),1,0)*Table_NFI[[#This Row],[Plastic Mat]],Table_NFI[Plastic Mat])*IF(Table_NFI[[#This Row],[Distribution Date]]&gt;"2014-04-01",1,2.5)</f>
        <v>0</v>
      </c>
      <c r="AI183" s="294">
        <f>IF(NFI_Expiration=1,IF($A183&lt;VLOOKUP(R$5,NFI,5,0),1,0)*Table_NFI[[#This Row],[Winter Clothes Adult]],Table_NFI[Winter Clothes Adult])</f>
        <v>0</v>
      </c>
      <c r="AJ183" s="294">
        <f>IF(NFI_Expiration=1,IF($A183&lt;VLOOKUP(S$5,NFI,5,0),1,0)*Table_NFI[[#This Row],[Winter Clothes Children]],Table_NFI[Winter Clothes Children])</f>
        <v>0</v>
      </c>
      <c r="AK183" s="294">
        <f>IF(NFI_Expiration=1,IF($A183&lt;VLOOKUP(T$5,NFI,5,0),1,0)*Table_NFI[[#This Row],[Winter Items Other]],Table_NFI[Winter Items Other])</f>
        <v>0</v>
      </c>
      <c r="AL183" s="294">
        <f>IF(NFI_Expiration=1,IF($A183&lt;VLOOKUP(M$5,NFI,5,0),1,0)*Table_NFI[[#This Row],[Winter Blanket]],Table_NFI[[#This Row],[Winter Blanket]])</f>
        <v>0</v>
      </c>
      <c r="AM183" s="294">
        <f>IF(Table_NFI[[#This Row],[Winter Clothes Adult]]+Table_NFI[[#This Row],[Winter Clothes Children]]+Table_NFI[[#This Row],[Winter Items Other]]+Table_NFI[[#This Row],[Winter Blanket]]&gt;0,1,0)</f>
        <v>0</v>
      </c>
      <c r="AN183" s="331">
        <f>IF(NFI_Expiration=1,IF($A183&lt;VLOOKUP(V$5,NFI,5,0),1,0)*Table_NFI[[#This Row],[Jerry Can]],Table_NFI[Jerry Can])</f>
        <v>0</v>
      </c>
      <c r="AO183" s="331">
        <f>IF(NFI_Expiration=1,IF($A183&lt;VLOOKUP(V$5,NFI,5,0),1,0)*Table_NFI[[#This Row],[Shelter Tool kit]],Table_NFI[Shelter Tool kit])</f>
        <v>0</v>
      </c>
      <c r="AP183" s="331">
        <f>IF(NFI_Expiration=1,IF($A183&lt;VLOOKUP(V$5,NFI,5,0),1,0)*Table_NFI[[#This Row],[Tent]],Table_NFI[Tent])</f>
        <v>0</v>
      </c>
      <c r="AQ183" s="467" t="str">
        <f>IFERROR(VLOOKUP(Table_NFI[[#This Row],[Camp Name]],CL,2,0),"")</f>
        <v>MMR001CMP073</v>
      </c>
      <c r="AR183" s="835">
        <f ca="1">IF(Table_NFI[[#This Row],[Pcode]]="","",IF(OFFSET(CampList[Opening Date],MATCH(Table_NFI[[#This Row],[Pcode]],CampList[CP_Pcode],0)-1,0,1,1)&gt;=NFI_Monitor_Date,1,0))</f>
        <v>0</v>
      </c>
      <c r="AS183" s="467" t="str">
        <f>IFERROR(VLOOKUP(Table_NFI[[#This Row],[Camp Name]],CL,3,0),"")</f>
        <v>Open</v>
      </c>
      <c r="AT183" s="294" t="str">
        <f ca="1">IF(Table_NFI[[#This Row],[Pcode]]="","",OFFSET(CampList[Priority],MATCH(Table_NFI[[#This Row],[Pcode]],CampList[CP_Pcode],0)-1,0,1,1))</f>
        <v>P3</v>
      </c>
      <c r="AU183" s="293">
        <f>IFERROR(Table_NFI[[#This Row],[Kitchen Set]]/VLOOKUP(Table_NFI[[#This Row],[Camp Name]],CL,4,0),"")</f>
        <v>0</v>
      </c>
      <c r="AV183" s="461"/>
      <c r="AW183" s="463"/>
    </row>
    <row r="184" spans="1:49" s="464" customFormat="1" ht="14.45" customHeight="1" x14ac:dyDescent="0.25">
      <c r="A184" s="297">
        <f t="shared" si="2"/>
        <v>22.1</v>
      </c>
      <c r="B184" s="460">
        <v>42073</v>
      </c>
      <c r="C184" s="461" t="s">
        <v>905</v>
      </c>
      <c r="D184" s="461" t="s">
        <v>905</v>
      </c>
      <c r="E184" s="461" t="s">
        <v>380</v>
      </c>
      <c r="F184" s="290" t="s">
        <v>185</v>
      </c>
      <c r="G184" s="290" t="s">
        <v>229</v>
      </c>
      <c r="H184" s="291"/>
      <c r="I184" s="291"/>
      <c r="J184" s="292"/>
      <c r="K184" s="291"/>
      <c r="L184" s="292"/>
      <c r="M184" s="292"/>
      <c r="N184" s="292"/>
      <c r="O184" s="292"/>
      <c r="P184" s="294"/>
      <c r="Q184" s="294"/>
      <c r="R184" s="294"/>
      <c r="S184" s="294"/>
      <c r="T184" s="294"/>
      <c r="U184" s="294"/>
      <c r="V184" s="431"/>
      <c r="W184" s="294">
        <v>2</v>
      </c>
      <c r="X184" s="294"/>
      <c r="Y184" s="294">
        <f>IF(NFI_Expiration=1,IF($A184&lt;VLOOKUP(H$5,NFI,5,0),1,0)*Table_NFI[[#This Row],[Hygiene Kit]],Table_NFI[Hygiene Kit])</f>
        <v>0</v>
      </c>
      <c r="Z184" s="294">
        <f>IF(NFI_Expiration=1,IF($A184&lt;VLOOKUP(I$5,NFI,5,0),1,0)*Table_NFI[[#This Row],[NFI Core Kit]],Table_NFI[NFI Core Kit])</f>
        <v>0</v>
      </c>
      <c r="AA184" s="294">
        <f>IF(NFI_Expiration=1,IF($A184&lt;VLOOKUP(J$5,NFI,5,0),1,0)*Table_NFI[[#This Row],[Sanitary Kit]],Table_NFI[Sanitary Kit])</f>
        <v>0</v>
      </c>
      <c r="AB184" s="294">
        <f>IF(NFI_Expiration=1,IF($A184&lt;VLOOKUP(K$5,NFI,5,0),1,0)*Table_NFI[[#This Row],[Mosquito net]],Table_NFI[Mosquito net])</f>
        <v>0</v>
      </c>
      <c r="AC184" s="294">
        <f>IF(NFI_Expiration=1,IF($A184&lt;VLOOKUP(L$5,NFI,5,0),1,0)*Table_NFI[[#This Row],[Tarpaulin]],Table_NFI[[#This Row],[Tarpaulin]])</f>
        <v>0</v>
      </c>
      <c r="AD184" s="294">
        <f>IF(NFI_Expiration=1,IF($A184&lt;VLOOKUP(M$5,NFI,5,0),1,0)*Table_NFI[[#This Row],[Blanket]],Table_NFI[[#This Row],[Blanket]])</f>
        <v>0</v>
      </c>
      <c r="AE184" s="294">
        <f>IF(NFI_Expiration=1,IF($A184&lt;VLOOKUP(N$5,NFI,5,0),1,0)*Table_NFI[[#This Row],[Kitchen Set]],Table_NFI[Kitchen Set])</f>
        <v>0</v>
      </c>
      <c r="AF184" s="294">
        <f>IF(NFI_Expiration=1,IF($A184&lt;VLOOKUP(O$5,NFI,5,0),1,0)*Table_NFI[[#This Row],[Clothes Kit]],Table_NFI[Clothes Kit])</f>
        <v>0</v>
      </c>
      <c r="AG184" s="294">
        <f>IF(NFI_Expiration=1,IF($A184&lt;VLOOKUP(P$5,NFI,5,0),1,0)*Table_NFI[[#This Row],[Plastic Bucket]],Table_NFI[Plastic Bucket])</f>
        <v>0</v>
      </c>
      <c r="AH184" s="294">
        <f>IF(NFI_Expiration=1,IF($A184&lt;VLOOKUP(Q$5,NFI,5,0),1,0)*Table_NFI[[#This Row],[Plastic Mat]],Table_NFI[Plastic Mat])*IF(Table_NFI[[#This Row],[Distribution Date]]&gt;"2014-04-01",1,2.5)</f>
        <v>0</v>
      </c>
      <c r="AI184" s="294">
        <f>IF(NFI_Expiration=1,IF($A184&lt;VLOOKUP(R$5,NFI,5,0),1,0)*Table_NFI[[#This Row],[Winter Clothes Adult]],Table_NFI[Winter Clothes Adult])</f>
        <v>0</v>
      </c>
      <c r="AJ184" s="294">
        <f>IF(NFI_Expiration=1,IF($A184&lt;VLOOKUP(S$5,NFI,5,0),1,0)*Table_NFI[[#This Row],[Winter Clothes Children]],Table_NFI[Winter Clothes Children])</f>
        <v>0</v>
      </c>
      <c r="AK184" s="294">
        <f>IF(NFI_Expiration=1,IF($A184&lt;VLOOKUP(T$5,NFI,5,0),1,0)*Table_NFI[[#This Row],[Winter Items Other]],Table_NFI[Winter Items Other])</f>
        <v>0</v>
      </c>
      <c r="AL184" s="294">
        <f>IF(NFI_Expiration=1,IF($A184&lt;VLOOKUP(M$5,NFI,5,0),1,0)*Table_NFI[[#This Row],[Winter Blanket]],Table_NFI[[#This Row],[Winter Blanket]])</f>
        <v>0</v>
      </c>
      <c r="AM184" s="294">
        <f>IF(Table_NFI[[#This Row],[Winter Clothes Adult]]+Table_NFI[[#This Row],[Winter Clothes Children]]+Table_NFI[[#This Row],[Winter Items Other]]+Table_NFI[[#This Row],[Winter Blanket]]&gt;0,1,0)</f>
        <v>0</v>
      </c>
      <c r="AN184" s="331">
        <f>IF(NFI_Expiration=1,IF($A184&lt;VLOOKUP(V$5,NFI,5,0),1,0)*Table_NFI[[#This Row],[Jerry Can]],Table_NFI[Jerry Can])</f>
        <v>0</v>
      </c>
      <c r="AO184" s="331">
        <f>IF(NFI_Expiration=1,IF($A184&lt;VLOOKUP(V$5,NFI,5,0),1,0)*Table_NFI[[#This Row],[Shelter Tool kit]],Table_NFI[Shelter Tool kit])</f>
        <v>0</v>
      </c>
      <c r="AP184" s="331">
        <f>IF(NFI_Expiration=1,IF($A184&lt;VLOOKUP(V$5,NFI,5,0),1,0)*Table_NFI[[#This Row],[Tent]],Table_NFI[Tent])</f>
        <v>0</v>
      </c>
      <c r="AQ184" s="467" t="str">
        <f>IFERROR(VLOOKUP(Table_NFI[[#This Row],[Camp Name]],CL,2,0),"")</f>
        <v>MMR001CMP072</v>
      </c>
      <c r="AR184" s="835">
        <f ca="1">IF(Table_NFI[[#This Row],[Pcode]]="","",IF(OFFSET(CampList[Opening Date],MATCH(Table_NFI[[#This Row],[Pcode]],CampList[CP_Pcode],0)-1,0,1,1)&gt;=NFI_Monitor_Date,1,0))</f>
        <v>0</v>
      </c>
      <c r="AS184" s="467" t="str">
        <f>IFERROR(VLOOKUP(Table_NFI[[#This Row],[Camp Name]],CL,3,0),"")</f>
        <v>Open</v>
      </c>
      <c r="AT184" s="294" t="str">
        <f ca="1">IF(Table_NFI[[#This Row],[Pcode]]="","",OFFSET(CampList[Priority],MATCH(Table_NFI[[#This Row],[Pcode]],CampList[CP_Pcode],0)-1,0,1,1))</f>
        <v>P3</v>
      </c>
      <c r="AU184" s="293">
        <f>IFERROR(Table_NFI[[#This Row],[Kitchen Set]]/VLOOKUP(Table_NFI[[#This Row],[Camp Name]],CL,4,0),"")</f>
        <v>0</v>
      </c>
      <c r="AV184" s="461"/>
      <c r="AW184" s="463"/>
    </row>
    <row r="185" spans="1:49" s="464" customFormat="1" ht="14.45" customHeight="1" x14ac:dyDescent="0.25">
      <c r="A185" s="297">
        <f t="shared" si="2"/>
        <v>22.266666666666666</v>
      </c>
      <c r="B185" s="460">
        <v>42068</v>
      </c>
      <c r="C185" s="461" t="s">
        <v>452</v>
      </c>
      <c r="D185" s="461" t="s">
        <v>1262</v>
      </c>
      <c r="E185" s="461" t="s">
        <v>553</v>
      </c>
      <c r="F185" s="461" t="s">
        <v>779</v>
      </c>
      <c r="G185" s="461" t="s">
        <v>1275</v>
      </c>
      <c r="H185" s="291"/>
      <c r="I185" s="291">
        <v>43</v>
      </c>
      <c r="J185" s="294">
        <v>43</v>
      </c>
      <c r="K185" s="294">
        <v>85</v>
      </c>
      <c r="L185" s="292">
        <v>43</v>
      </c>
      <c r="M185" s="292">
        <v>95</v>
      </c>
      <c r="N185" s="292">
        <v>43</v>
      </c>
      <c r="O185" s="292">
        <v>43</v>
      </c>
      <c r="P185" s="294">
        <v>43</v>
      </c>
      <c r="Q185" s="294">
        <v>95</v>
      </c>
      <c r="R185" s="294"/>
      <c r="S185" s="294"/>
      <c r="T185" s="294"/>
      <c r="U185" s="294"/>
      <c r="V185" s="431">
        <v>43</v>
      </c>
      <c r="W185" s="294"/>
      <c r="X185" s="294"/>
      <c r="Y185" s="294">
        <f>IF(NFI_Expiration=1,IF($A185&lt;VLOOKUP(H$5,NFI,5,0),1,0)*Table_NFI[[#This Row],[Hygiene Kit]],Table_NFI[Hygiene Kit])</f>
        <v>0</v>
      </c>
      <c r="Z185" s="294">
        <f>IF(NFI_Expiration=1,IF($A185&lt;VLOOKUP(I$5,NFI,5,0),1,0)*Table_NFI[[#This Row],[NFI Core Kit]],Table_NFI[NFI Core Kit])</f>
        <v>0</v>
      </c>
      <c r="AA185" s="294">
        <f>IF(NFI_Expiration=1,IF($A185&lt;VLOOKUP(J$5,NFI,5,0),1,0)*Table_NFI[[#This Row],[Sanitary Kit]],Table_NFI[Sanitary Kit])</f>
        <v>0</v>
      </c>
      <c r="AB185" s="294">
        <f>IF(NFI_Expiration=1,IF($A185&lt;VLOOKUP(K$5,NFI,5,0),1,0)*Table_NFI[[#This Row],[Mosquito net]],Table_NFI[Mosquito net])</f>
        <v>0</v>
      </c>
      <c r="AC185" s="294">
        <f>IF(NFI_Expiration=1,IF($A185&lt;VLOOKUP(L$5,NFI,5,0),1,0)*Table_NFI[[#This Row],[Tarpaulin]],Table_NFI[[#This Row],[Tarpaulin]])</f>
        <v>0</v>
      </c>
      <c r="AD185" s="294">
        <f>IF(NFI_Expiration=1,IF($A185&lt;VLOOKUP(M$5,NFI,5,0),1,0)*Table_NFI[[#This Row],[Blanket]],Table_NFI[[#This Row],[Blanket]])</f>
        <v>0</v>
      </c>
      <c r="AE185" s="294">
        <f>IF(NFI_Expiration=1,IF($A185&lt;VLOOKUP(N$5,NFI,5,0),1,0)*Table_NFI[[#This Row],[Kitchen Set]],Table_NFI[Kitchen Set])</f>
        <v>0</v>
      </c>
      <c r="AF185" s="294">
        <f>IF(NFI_Expiration=1,IF($A185&lt;VLOOKUP(O$5,NFI,5,0),1,0)*Table_NFI[[#This Row],[Clothes Kit]],Table_NFI[Clothes Kit])</f>
        <v>0</v>
      </c>
      <c r="AG185" s="294">
        <f>IF(NFI_Expiration=1,IF($A185&lt;VLOOKUP(P$5,NFI,5,0),1,0)*Table_NFI[[#This Row],[Plastic Bucket]],Table_NFI[Plastic Bucket])</f>
        <v>0</v>
      </c>
      <c r="AH185" s="294">
        <f>IF(NFI_Expiration=1,IF($A185&lt;VLOOKUP(Q$5,NFI,5,0),1,0)*Table_NFI[[#This Row],[Plastic Mat]],Table_NFI[Plastic Mat])*IF(Table_NFI[[#This Row],[Distribution Date]]&gt;"2014-04-01",1,2.5)</f>
        <v>0</v>
      </c>
      <c r="AI185" s="294">
        <f>IF(NFI_Expiration=1,IF($A185&lt;VLOOKUP(R$5,NFI,5,0),1,0)*Table_NFI[[#This Row],[Winter Clothes Adult]],Table_NFI[Winter Clothes Adult])</f>
        <v>0</v>
      </c>
      <c r="AJ185" s="294">
        <f>IF(NFI_Expiration=1,IF($A185&lt;VLOOKUP(S$5,NFI,5,0),1,0)*Table_NFI[[#This Row],[Winter Clothes Children]],Table_NFI[Winter Clothes Children])</f>
        <v>0</v>
      </c>
      <c r="AK185" s="294">
        <f>IF(NFI_Expiration=1,IF($A185&lt;VLOOKUP(T$5,NFI,5,0),1,0)*Table_NFI[[#This Row],[Winter Items Other]],Table_NFI[Winter Items Other])</f>
        <v>0</v>
      </c>
      <c r="AL185" s="294">
        <f>IF(NFI_Expiration=1,IF($A185&lt;VLOOKUP(M$5,NFI,5,0),1,0)*Table_NFI[[#This Row],[Winter Blanket]],Table_NFI[[#This Row],[Winter Blanket]])</f>
        <v>0</v>
      </c>
      <c r="AM185" s="294">
        <f>IF(Table_NFI[[#This Row],[Winter Clothes Adult]]+Table_NFI[[#This Row],[Winter Clothes Children]]+Table_NFI[[#This Row],[Winter Items Other]]+Table_NFI[[#This Row],[Winter Blanket]]&gt;0,1,0)</f>
        <v>0</v>
      </c>
      <c r="AN185" s="331">
        <f>IF(NFI_Expiration=1,IF($A185&lt;VLOOKUP(V$5,NFI,5,0),1,0)*Table_NFI[[#This Row],[Jerry Can]],Table_NFI[Jerry Can])</f>
        <v>0</v>
      </c>
      <c r="AO185" s="331">
        <f>IF(NFI_Expiration=1,IF($A185&lt;VLOOKUP(V$5,NFI,5,0),1,0)*Table_NFI[[#This Row],[Shelter Tool kit]],Table_NFI[Shelter Tool kit])</f>
        <v>0</v>
      </c>
      <c r="AP185" s="331">
        <f>IF(NFI_Expiration=1,IF($A185&lt;VLOOKUP(V$5,NFI,5,0),1,0)*Table_NFI[[#This Row],[Tent]],Table_NFI[Tent])</f>
        <v>0</v>
      </c>
      <c r="AQ185" s="467" t="str">
        <f>IFERROR(VLOOKUP(Table_NFI[[#This Row],[Camp Name]],CL,2,0),"")</f>
        <v>MMR015CMP218</v>
      </c>
      <c r="AR185" s="835">
        <f ca="1">IF(Table_NFI[[#This Row],[Pcode]]="","",IF(OFFSET(CampList[Opening Date],MATCH(Table_NFI[[#This Row],[Pcode]],CampList[CP_Pcode],0)-1,0,1,1)&gt;=NFI_Monitor_Date,1,0))</f>
        <v>1</v>
      </c>
      <c r="AS185" s="659" t="str">
        <f>IFERROR(VLOOKUP(Table_NFI[[#This Row],[Camp Name]],CL,3,0),"")</f>
        <v>Open</v>
      </c>
      <c r="AT185" s="294">
        <f ca="1">IF(Table_NFI[[#This Row],[Pcode]]="","",OFFSET(CampList[Priority],MATCH(Table_NFI[[#This Row],[Pcode]],CampList[CP_Pcode],0)-1,0,1,1))</f>
        <v>0</v>
      </c>
      <c r="AU185" s="293">
        <f>IFERROR(Table_NFI[[#This Row],[Kitchen Set]]/VLOOKUP(Table_NFI[[#This Row],[Camp Name]],CL,4,0),"")</f>
        <v>1.0229327243315254E-3</v>
      </c>
      <c r="AV185" s="461" t="s">
        <v>1092</v>
      </c>
      <c r="AW185" s="483"/>
    </row>
    <row r="186" spans="1:49" s="98" customFormat="1" ht="14.45" customHeight="1" x14ac:dyDescent="0.25">
      <c r="A186" s="297">
        <f t="shared" si="2"/>
        <v>22.5</v>
      </c>
      <c r="B186" s="460">
        <v>42061</v>
      </c>
      <c r="C186" s="461" t="s">
        <v>905</v>
      </c>
      <c r="D186" s="461" t="s">
        <v>905</v>
      </c>
      <c r="E186" s="461" t="s">
        <v>380</v>
      </c>
      <c r="F186" s="290" t="s">
        <v>5</v>
      </c>
      <c r="G186" s="290" t="s">
        <v>6</v>
      </c>
      <c r="H186" s="291"/>
      <c r="I186" s="291"/>
      <c r="J186" s="291"/>
      <c r="K186" s="291"/>
      <c r="L186" s="292"/>
      <c r="M186" s="292"/>
      <c r="N186" s="292"/>
      <c r="O186" s="292"/>
      <c r="P186" s="294"/>
      <c r="Q186" s="294"/>
      <c r="R186" s="294"/>
      <c r="S186" s="294"/>
      <c r="T186" s="294"/>
      <c r="U186" s="294"/>
      <c r="V186" s="431"/>
      <c r="W186" s="294">
        <v>37</v>
      </c>
      <c r="X186" s="294"/>
      <c r="Y186" s="294">
        <f>IF(NFI_Expiration=1,IF($A186&lt;VLOOKUP(H$5,NFI,5,0),1,0)*Table_NFI[[#This Row],[Hygiene Kit]],Table_NFI[Hygiene Kit])</f>
        <v>0</v>
      </c>
      <c r="Z186" s="294">
        <f>IF(NFI_Expiration=1,IF($A186&lt;VLOOKUP(I$5,NFI,5,0),1,0)*Table_NFI[[#This Row],[NFI Core Kit]],Table_NFI[NFI Core Kit])</f>
        <v>0</v>
      </c>
      <c r="AA186" s="294">
        <f>IF(NFI_Expiration=1,IF($A186&lt;VLOOKUP(J$5,NFI,5,0),1,0)*Table_NFI[[#This Row],[Sanitary Kit]],Table_NFI[Sanitary Kit])</f>
        <v>0</v>
      </c>
      <c r="AB186" s="294">
        <f>IF(NFI_Expiration=1,IF($A186&lt;VLOOKUP(K$5,NFI,5,0),1,0)*Table_NFI[[#This Row],[Mosquito net]],Table_NFI[Mosquito net])</f>
        <v>0</v>
      </c>
      <c r="AC186" s="294">
        <f>IF(NFI_Expiration=1,IF($A186&lt;VLOOKUP(L$5,NFI,5,0),1,0)*Table_NFI[[#This Row],[Tarpaulin]],Table_NFI[[#This Row],[Tarpaulin]])</f>
        <v>0</v>
      </c>
      <c r="AD186" s="294">
        <f>IF(NFI_Expiration=1,IF($A186&lt;VLOOKUP(M$5,NFI,5,0),1,0)*Table_NFI[[#This Row],[Blanket]],Table_NFI[[#This Row],[Blanket]])</f>
        <v>0</v>
      </c>
      <c r="AE186" s="294">
        <f>IF(NFI_Expiration=1,IF($A186&lt;VLOOKUP(N$5,NFI,5,0),1,0)*Table_NFI[[#This Row],[Kitchen Set]],Table_NFI[Kitchen Set])</f>
        <v>0</v>
      </c>
      <c r="AF186" s="294">
        <f>IF(NFI_Expiration=1,IF($A186&lt;VLOOKUP(O$5,NFI,5,0),1,0)*Table_NFI[[#This Row],[Clothes Kit]],Table_NFI[Clothes Kit])</f>
        <v>0</v>
      </c>
      <c r="AG186" s="294">
        <f>IF(NFI_Expiration=1,IF($A186&lt;VLOOKUP(P$5,NFI,5,0),1,0)*Table_NFI[[#This Row],[Plastic Bucket]],Table_NFI[Plastic Bucket])</f>
        <v>0</v>
      </c>
      <c r="AH186" s="294">
        <f>IF(NFI_Expiration=1,IF($A186&lt;VLOOKUP(Q$5,NFI,5,0),1,0)*Table_NFI[[#This Row],[Plastic Mat]],Table_NFI[Plastic Mat])*IF(Table_NFI[[#This Row],[Distribution Date]]&gt;"2014-04-01",1,2.5)</f>
        <v>0</v>
      </c>
      <c r="AI186" s="294">
        <f>IF(NFI_Expiration=1,IF($A186&lt;VLOOKUP(R$5,NFI,5,0),1,0)*Table_NFI[[#This Row],[Winter Clothes Adult]],Table_NFI[Winter Clothes Adult])</f>
        <v>0</v>
      </c>
      <c r="AJ186" s="294">
        <f>IF(NFI_Expiration=1,IF($A186&lt;VLOOKUP(S$5,NFI,5,0),1,0)*Table_NFI[[#This Row],[Winter Clothes Children]],Table_NFI[Winter Clothes Children])</f>
        <v>0</v>
      </c>
      <c r="AK186" s="294">
        <f>IF(NFI_Expiration=1,IF($A186&lt;VLOOKUP(T$5,NFI,5,0),1,0)*Table_NFI[[#This Row],[Winter Items Other]],Table_NFI[Winter Items Other])</f>
        <v>0</v>
      </c>
      <c r="AL186" s="294">
        <f>IF(NFI_Expiration=1,IF($A186&lt;VLOOKUP(M$5,NFI,5,0),1,0)*Table_NFI[[#This Row],[Winter Blanket]],Table_NFI[[#This Row],[Winter Blanket]])</f>
        <v>0</v>
      </c>
      <c r="AM186" s="294">
        <f>IF(Table_NFI[[#This Row],[Winter Clothes Adult]]+Table_NFI[[#This Row],[Winter Clothes Children]]+Table_NFI[[#This Row],[Winter Items Other]]+Table_NFI[[#This Row],[Winter Blanket]]&gt;0,1,0)</f>
        <v>0</v>
      </c>
      <c r="AN186" s="331">
        <f>IF(NFI_Expiration=1,IF($A186&lt;VLOOKUP(V$5,NFI,5,0),1,0)*Table_NFI[[#This Row],[Jerry Can]],Table_NFI[Jerry Can])</f>
        <v>0</v>
      </c>
      <c r="AO186" s="331">
        <f>IF(NFI_Expiration=1,IF($A186&lt;VLOOKUP(V$5,NFI,5,0),1,0)*Table_NFI[[#This Row],[Shelter Tool kit]],Table_NFI[Shelter Tool kit])</f>
        <v>0</v>
      </c>
      <c r="AP186" s="331">
        <f>IF(NFI_Expiration=1,IF($A186&lt;VLOOKUP(V$5,NFI,5,0),1,0)*Table_NFI[[#This Row],[Tent]],Table_NFI[Tent])</f>
        <v>0</v>
      </c>
      <c r="AQ186" s="467" t="str">
        <f>IFERROR(VLOOKUP(Table_NFI[[#This Row],[Camp Name]],CL,2,0),"")</f>
        <v>MMR001CMP050</v>
      </c>
      <c r="AR186" s="835">
        <f ca="1">IF(Table_NFI[[#This Row],[Pcode]]="","",IF(OFFSET(CampList[Opening Date],MATCH(Table_NFI[[#This Row],[Pcode]],CampList[CP_Pcode],0)-1,0,1,1)&gt;=NFI_Monitor_Date,1,0))</f>
        <v>0</v>
      </c>
      <c r="AS186" s="467" t="str">
        <f>IFERROR(VLOOKUP(Table_NFI[[#This Row],[Camp Name]],CL,3,0),"")</f>
        <v>Open</v>
      </c>
      <c r="AT186" s="294" t="str">
        <f ca="1">IF(Table_NFI[[#This Row],[Pcode]]="","",OFFSET(CampList[Priority],MATCH(Table_NFI[[#This Row],[Pcode]],CampList[CP_Pcode],0)-1,0,1,1))</f>
        <v>P4</v>
      </c>
      <c r="AU186" s="293">
        <f>IFERROR(Table_NFI[[#This Row],[Kitchen Set]]/VLOOKUP(Table_NFI[[#This Row],[Camp Name]],CL,4,0),"")</f>
        <v>0</v>
      </c>
      <c r="AV186" s="461"/>
      <c r="AW186" s="463"/>
    </row>
    <row r="187" spans="1:49" s="98" customFormat="1" ht="15" customHeight="1" x14ac:dyDescent="0.2">
      <c r="A187" s="297">
        <f t="shared" si="2"/>
        <v>22.533333333333335</v>
      </c>
      <c r="B187" s="460">
        <v>42060</v>
      </c>
      <c r="C187" s="461" t="s">
        <v>905</v>
      </c>
      <c r="D187" s="462" t="s">
        <v>905</v>
      </c>
      <c r="E187" s="461" t="s">
        <v>380</v>
      </c>
      <c r="F187" s="290" t="s">
        <v>5</v>
      </c>
      <c r="G187" s="290" t="s">
        <v>22</v>
      </c>
      <c r="H187" s="291"/>
      <c r="I187" s="291"/>
      <c r="J187" s="291"/>
      <c r="K187" s="291"/>
      <c r="L187" s="292"/>
      <c r="M187" s="292"/>
      <c r="N187" s="292"/>
      <c r="O187" s="292"/>
      <c r="P187" s="294"/>
      <c r="Q187" s="294"/>
      <c r="R187" s="294"/>
      <c r="S187" s="294"/>
      <c r="T187" s="294"/>
      <c r="U187" s="294"/>
      <c r="V187" s="431"/>
      <c r="W187" s="851">
        <v>76</v>
      </c>
      <c r="X187" s="331"/>
      <c r="Y187" s="294">
        <f>IF(NFI_Expiration=1,IF($A187&lt;VLOOKUP(H$5,NFI,5,0),1,0)*Table_NFI[[#This Row],[Hygiene Kit]],Table_NFI[Hygiene Kit])</f>
        <v>0</v>
      </c>
      <c r="Z187" s="294">
        <f>IF(NFI_Expiration=1,IF($A187&lt;VLOOKUP(I$5,NFI,5,0),1,0)*Table_NFI[[#This Row],[NFI Core Kit]],Table_NFI[NFI Core Kit])</f>
        <v>0</v>
      </c>
      <c r="AA187" s="294">
        <f>IF(NFI_Expiration=1,IF($A187&lt;VLOOKUP(J$5,NFI,5,0),1,0)*Table_NFI[[#This Row],[Sanitary Kit]],Table_NFI[Sanitary Kit])</f>
        <v>0</v>
      </c>
      <c r="AB187" s="294">
        <f>IF(NFI_Expiration=1,IF($A187&lt;VLOOKUP(K$5,NFI,5,0),1,0)*Table_NFI[[#This Row],[Mosquito net]],Table_NFI[Mosquito net])</f>
        <v>0</v>
      </c>
      <c r="AC187" s="294">
        <f>IF(NFI_Expiration=1,IF($A187&lt;VLOOKUP(L$5,NFI,5,0),1,0)*Table_NFI[[#This Row],[Tarpaulin]],Table_NFI[[#This Row],[Tarpaulin]])</f>
        <v>0</v>
      </c>
      <c r="AD187" s="294">
        <f>IF(NFI_Expiration=1,IF($A187&lt;VLOOKUP(M$5,NFI,5,0),1,0)*Table_NFI[[#This Row],[Blanket]],Table_NFI[[#This Row],[Blanket]])</f>
        <v>0</v>
      </c>
      <c r="AE187" s="294">
        <f>IF(NFI_Expiration=1,IF($A187&lt;VLOOKUP(N$5,NFI,5,0),1,0)*Table_NFI[[#This Row],[Kitchen Set]],Table_NFI[Kitchen Set])</f>
        <v>0</v>
      </c>
      <c r="AF187" s="294">
        <f>IF(NFI_Expiration=1,IF($A187&lt;VLOOKUP(O$5,NFI,5,0),1,0)*Table_NFI[[#This Row],[Clothes Kit]],Table_NFI[Clothes Kit])</f>
        <v>0</v>
      </c>
      <c r="AG187" s="294">
        <f>IF(NFI_Expiration=1,IF($A187&lt;VLOOKUP(P$5,NFI,5,0),1,0)*Table_NFI[[#This Row],[Plastic Bucket]],Table_NFI[Plastic Bucket])</f>
        <v>0</v>
      </c>
      <c r="AH187" s="294">
        <f>IF(NFI_Expiration=1,IF($A187&lt;VLOOKUP(Q$5,NFI,5,0),1,0)*Table_NFI[[#This Row],[Plastic Mat]],Table_NFI[Plastic Mat])*IF(Table_NFI[[#This Row],[Distribution Date]]&gt;"2014-04-01",1,2.5)</f>
        <v>0</v>
      </c>
      <c r="AI187" s="294">
        <f>IF(NFI_Expiration=1,IF($A187&lt;VLOOKUP(R$5,NFI,5,0),1,0)*Table_NFI[[#This Row],[Winter Clothes Adult]],Table_NFI[Winter Clothes Adult])</f>
        <v>0</v>
      </c>
      <c r="AJ187" s="294">
        <f>IF(NFI_Expiration=1,IF($A187&lt;VLOOKUP(S$5,NFI,5,0),1,0)*Table_NFI[[#This Row],[Winter Clothes Children]],Table_NFI[Winter Clothes Children])</f>
        <v>0</v>
      </c>
      <c r="AK187" s="294">
        <f>IF(NFI_Expiration=1,IF($A187&lt;VLOOKUP(T$5,NFI,5,0),1,0)*Table_NFI[[#This Row],[Winter Items Other]],Table_NFI[Winter Items Other])</f>
        <v>0</v>
      </c>
      <c r="AL187" s="294">
        <f>IF(NFI_Expiration=1,IF($A187&lt;VLOOKUP(M$5,NFI,5,0),1,0)*Table_NFI[[#This Row],[Winter Blanket]],Table_NFI[[#This Row],[Winter Blanket]])</f>
        <v>0</v>
      </c>
      <c r="AM187" s="294">
        <f>IF(Table_NFI[[#This Row],[Winter Clothes Adult]]+Table_NFI[[#This Row],[Winter Clothes Children]]+Table_NFI[[#This Row],[Winter Items Other]]+Table_NFI[[#This Row],[Winter Blanket]]&gt;0,1,0)</f>
        <v>0</v>
      </c>
      <c r="AN187" s="331">
        <f>IF(NFI_Expiration=1,IF($A187&lt;VLOOKUP(V$5,NFI,5,0),1,0)*Table_NFI[[#This Row],[Jerry Can]],Table_NFI[Jerry Can])</f>
        <v>0</v>
      </c>
      <c r="AO187" s="331">
        <f>IF(NFI_Expiration=1,IF($A187&lt;VLOOKUP(V$5,NFI,5,0),1,0)*Table_NFI[[#This Row],[Shelter Tool kit]],Table_NFI[Shelter Tool kit])</f>
        <v>0</v>
      </c>
      <c r="AP187" s="331">
        <f>IF(NFI_Expiration=1,IF($A187&lt;VLOOKUP(V$5,NFI,5,0),1,0)*Table_NFI[[#This Row],[Tent]],Table_NFI[Tent])</f>
        <v>0</v>
      </c>
      <c r="AQ187" s="467" t="str">
        <f>IFERROR(VLOOKUP(Table_NFI[[#This Row],[Camp Name]],CL,2,0),"")</f>
        <v>MMR001CMP047</v>
      </c>
      <c r="AR187" s="835">
        <f ca="1">IF(Table_NFI[[#This Row],[Pcode]]="","",IF(OFFSET(CampList[Opening Date],MATCH(Table_NFI[[#This Row],[Pcode]],CampList[CP_Pcode],0)-1,0,1,1)&gt;=NFI_Monitor_Date,1,0))</f>
        <v>0</v>
      </c>
      <c r="AS187" s="467" t="str">
        <f>IFERROR(VLOOKUP(Table_NFI[[#This Row],[Camp Name]],CL,3,0),"")</f>
        <v>Open</v>
      </c>
      <c r="AT187" s="294" t="str">
        <f ca="1">IF(Table_NFI[[#This Row],[Pcode]]="","",OFFSET(CampList[Priority],MATCH(Table_NFI[[#This Row],[Pcode]],CampList[CP_Pcode],0)-1,0,1,1))</f>
        <v>P4</v>
      </c>
      <c r="AU187" s="293">
        <f>IFERROR(Table_NFI[[#This Row],[Kitchen Set]]/VLOOKUP(Table_NFI[[#This Row],[Camp Name]],CL,4,0),"")</f>
        <v>0</v>
      </c>
      <c r="AV187" s="461"/>
      <c r="AW187" s="463"/>
    </row>
    <row r="188" spans="1:49" s="98" customFormat="1" x14ac:dyDescent="0.25">
      <c r="A188" s="297">
        <f t="shared" si="2"/>
        <v>22.666666666666668</v>
      </c>
      <c r="B188" s="460">
        <v>42056</v>
      </c>
      <c r="C188" s="461" t="s">
        <v>452</v>
      </c>
      <c r="D188" s="461" t="s">
        <v>452</v>
      </c>
      <c r="E188" s="461" t="s">
        <v>553</v>
      </c>
      <c r="F188" s="461" t="s">
        <v>146</v>
      </c>
      <c r="G188" s="461" t="s">
        <v>1331</v>
      </c>
      <c r="H188" s="291"/>
      <c r="I188" s="294"/>
      <c r="J188" s="291"/>
      <c r="K188" s="294">
        <v>161</v>
      </c>
      <c r="L188" s="292">
        <v>76</v>
      </c>
      <c r="M188" s="292"/>
      <c r="N188" s="292">
        <v>76</v>
      </c>
      <c r="O188" s="292"/>
      <c r="P188" s="294">
        <v>76</v>
      </c>
      <c r="Q188" s="294"/>
      <c r="R188" s="294"/>
      <c r="S188" s="294"/>
      <c r="T188" s="294"/>
      <c r="U188" s="294"/>
      <c r="V188" s="431">
        <v>76</v>
      </c>
      <c r="W188" s="331"/>
      <c r="X188" s="331"/>
      <c r="Y188" s="294">
        <f>IF(NFI_Expiration=1,IF($A188&lt;VLOOKUP(H$5,NFI,5,0),1,0)*Table_NFI[[#This Row],[Hygiene Kit]],Table_NFI[Hygiene Kit])</f>
        <v>0</v>
      </c>
      <c r="Z188" s="294">
        <f>IF(NFI_Expiration=1,IF($A188&lt;VLOOKUP(I$5,NFI,5,0),1,0)*Table_NFI[[#This Row],[NFI Core Kit]],Table_NFI[NFI Core Kit])</f>
        <v>0</v>
      </c>
      <c r="AA188" s="294">
        <f>IF(NFI_Expiration=1,IF($A188&lt;VLOOKUP(J$5,NFI,5,0),1,0)*Table_NFI[[#This Row],[Sanitary Kit]],Table_NFI[Sanitary Kit])</f>
        <v>0</v>
      </c>
      <c r="AB188" s="294">
        <f>IF(NFI_Expiration=1,IF($A188&lt;VLOOKUP(K$5,NFI,5,0),1,0)*Table_NFI[[#This Row],[Mosquito net]],Table_NFI[Mosquito net])</f>
        <v>0</v>
      </c>
      <c r="AC188" s="294">
        <f>IF(NFI_Expiration=1,IF($A188&lt;VLOOKUP(L$5,NFI,5,0),1,0)*Table_NFI[[#This Row],[Tarpaulin]],Table_NFI[[#This Row],[Tarpaulin]])</f>
        <v>0</v>
      </c>
      <c r="AD188" s="294">
        <f>IF(NFI_Expiration=1,IF($A188&lt;VLOOKUP(M$5,NFI,5,0),1,0)*Table_NFI[[#This Row],[Blanket]],Table_NFI[[#This Row],[Blanket]])</f>
        <v>0</v>
      </c>
      <c r="AE188" s="294">
        <f>IF(NFI_Expiration=1,IF($A188&lt;VLOOKUP(N$5,NFI,5,0),1,0)*Table_NFI[[#This Row],[Kitchen Set]],Table_NFI[Kitchen Set])</f>
        <v>0</v>
      </c>
      <c r="AF188" s="294">
        <f>IF(NFI_Expiration=1,IF($A188&lt;VLOOKUP(O$5,NFI,5,0),1,0)*Table_NFI[[#This Row],[Clothes Kit]],Table_NFI[Clothes Kit])</f>
        <v>0</v>
      </c>
      <c r="AG188" s="294">
        <f>IF(NFI_Expiration=1,IF($A188&lt;VLOOKUP(P$5,NFI,5,0),1,0)*Table_NFI[[#This Row],[Plastic Bucket]],Table_NFI[Plastic Bucket])</f>
        <v>0</v>
      </c>
      <c r="AH188" s="294">
        <f>IF(NFI_Expiration=1,IF($A188&lt;VLOOKUP(Q$5,NFI,5,0),1,0)*Table_NFI[[#This Row],[Plastic Mat]],Table_NFI[Plastic Mat])*IF(Table_NFI[[#This Row],[Distribution Date]]&gt;"2014-04-01",1,2.5)</f>
        <v>0</v>
      </c>
      <c r="AI188" s="294">
        <f>IF(NFI_Expiration=1,IF($A188&lt;VLOOKUP(R$5,NFI,5,0),1,0)*Table_NFI[[#This Row],[Winter Clothes Adult]],Table_NFI[Winter Clothes Adult])</f>
        <v>0</v>
      </c>
      <c r="AJ188" s="294">
        <f>IF(NFI_Expiration=1,IF($A188&lt;VLOOKUP(S$5,NFI,5,0),1,0)*Table_NFI[[#This Row],[Winter Clothes Children]],Table_NFI[Winter Clothes Children])</f>
        <v>0</v>
      </c>
      <c r="AK188" s="294">
        <f>IF(NFI_Expiration=1,IF($A188&lt;VLOOKUP(T$5,NFI,5,0),1,0)*Table_NFI[[#This Row],[Winter Items Other]],Table_NFI[Winter Items Other])</f>
        <v>0</v>
      </c>
      <c r="AL188" s="294">
        <f>IF(NFI_Expiration=1,IF($A188&lt;VLOOKUP(M$5,NFI,5,0),1,0)*Table_NFI[[#This Row],[Winter Blanket]],Table_NFI[[#This Row],[Winter Blanket]])</f>
        <v>0</v>
      </c>
      <c r="AM188" s="294">
        <f>IF(Table_NFI[[#This Row],[Winter Clothes Adult]]+Table_NFI[[#This Row],[Winter Clothes Children]]+Table_NFI[[#This Row],[Winter Items Other]]+Table_NFI[[#This Row],[Winter Blanket]]&gt;0,1,0)</f>
        <v>0</v>
      </c>
      <c r="AN188" s="331">
        <f>IF(NFI_Expiration=1,IF($A188&lt;VLOOKUP(V$5,NFI,5,0),1,0)*Table_NFI[[#This Row],[Jerry Can]],Table_NFI[Jerry Can])</f>
        <v>0</v>
      </c>
      <c r="AO188" s="331">
        <f>IF(NFI_Expiration=1,IF($A188&lt;VLOOKUP(V$5,NFI,5,0),1,0)*Table_NFI[[#This Row],[Shelter Tool kit]],Table_NFI[Shelter Tool kit])</f>
        <v>0</v>
      </c>
      <c r="AP188" s="331">
        <f>IF(NFI_Expiration=1,IF($A188&lt;VLOOKUP(V$5,NFI,5,0),1,0)*Table_NFI[[#This Row],[Tent]],Table_NFI[Tent])</f>
        <v>0</v>
      </c>
      <c r="AQ188" s="467" t="str">
        <f>IFERROR(VLOOKUP(Table_NFI[[#This Row],[Camp Name]],CL,2,0),"")</f>
        <v/>
      </c>
      <c r="AR188" s="835" t="str">
        <f ca="1">IF(Table_NFI[[#This Row],[Pcode]]="","",IF(OFFSET(CampList[Opening Date],MATCH(Table_NFI[[#This Row],[Pcode]],CampList[CP_Pcode],0)-1,0,1,1)&gt;=NFI_Monitor_Date,1,0))</f>
        <v/>
      </c>
      <c r="AS188" s="659" t="str">
        <f>IFERROR(VLOOKUP(Table_NFI[[#This Row],[Camp Name]],CL,3,0),"")</f>
        <v/>
      </c>
      <c r="AT188" s="294" t="str">
        <f ca="1">IF(Table_NFI[[#This Row],[Pcode]]="","",OFFSET(CampList[Priority],MATCH(Table_NFI[[#This Row],[Pcode]],CampList[CP_Pcode],0)-1,0,1,1))</f>
        <v/>
      </c>
      <c r="AU188" s="293" t="str">
        <f>IFERROR(Table_NFI[[#This Row],[Kitchen Set]]/VLOOKUP(Table_NFI[[#This Row],[Camp Name]],CL,4,0),"")</f>
        <v/>
      </c>
      <c r="AV188" s="461" t="s">
        <v>1092</v>
      </c>
      <c r="AW188" s="463"/>
    </row>
    <row r="189" spans="1:49" s="98" customFormat="1" ht="14.45" customHeight="1" x14ac:dyDescent="0.25">
      <c r="A189" s="297">
        <f t="shared" si="2"/>
        <v>22.666666666666668</v>
      </c>
      <c r="B189" s="460">
        <v>42056</v>
      </c>
      <c r="C189" s="465" t="s">
        <v>452</v>
      </c>
      <c r="D189" s="465" t="s">
        <v>1262</v>
      </c>
      <c r="E189" s="465" t="s">
        <v>553</v>
      </c>
      <c r="F189" s="465" t="s">
        <v>146</v>
      </c>
      <c r="G189" s="465" t="s">
        <v>373</v>
      </c>
      <c r="H189" s="292"/>
      <c r="I189" s="292">
        <v>54</v>
      </c>
      <c r="J189" s="292">
        <v>36</v>
      </c>
      <c r="K189" s="292">
        <v>108</v>
      </c>
      <c r="L189" s="292">
        <v>54</v>
      </c>
      <c r="M189" s="292">
        <v>108</v>
      </c>
      <c r="N189" s="292">
        <v>54</v>
      </c>
      <c r="O189" s="292">
        <v>54</v>
      </c>
      <c r="P189" s="294">
        <v>54</v>
      </c>
      <c r="Q189" s="294">
        <v>108</v>
      </c>
      <c r="R189" s="294"/>
      <c r="S189" s="294"/>
      <c r="T189" s="294"/>
      <c r="U189" s="294"/>
      <c r="V189" s="431">
        <v>54</v>
      </c>
      <c r="W189" s="294"/>
      <c r="X189" s="294"/>
      <c r="Y189" s="294">
        <f>IF(NFI_Expiration=1,IF($A189&lt;VLOOKUP(H$5,NFI,5,0),1,0)*Table_NFI[[#This Row],[Hygiene Kit]],Table_NFI[Hygiene Kit])</f>
        <v>0</v>
      </c>
      <c r="Z189" s="294">
        <f>IF(NFI_Expiration=1,IF($A189&lt;VLOOKUP(I$5,NFI,5,0),1,0)*Table_NFI[[#This Row],[NFI Core Kit]],Table_NFI[NFI Core Kit])</f>
        <v>0</v>
      </c>
      <c r="AA189" s="294">
        <f>IF(NFI_Expiration=1,IF($A189&lt;VLOOKUP(J$5,NFI,5,0),1,0)*Table_NFI[[#This Row],[Sanitary Kit]],Table_NFI[Sanitary Kit])</f>
        <v>0</v>
      </c>
      <c r="AB189" s="294">
        <f>IF(NFI_Expiration=1,IF($A189&lt;VLOOKUP(K$5,NFI,5,0),1,0)*Table_NFI[[#This Row],[Mosquito net]],Table_NFI[Mosquito net])</f>
        <v>0</v>
      </c>
      <c r="AC189" s="294">
        <f>IF(NFI_Expiration=1,IF($A189&lt;VLOOKUP(L$5,NFI,5,0),1,0)*Table_NFI[[#This Row],[Tarpaulin]],Table_NFI[[#This Row],[Tarpaulin]])</f>
        <v>0</v>
      </c>
      <c r="AD189" s="294">
        <f>IF(NFI_Expiration=1,IF($A189&lt;VLOOKUP(M$5,NFI,5,0),1,0)*Table_NFI[[#This Row],[Blanket]],Table_NFI[[#This Row],[Blanket]])</f>
        <v>0</v>
      </c>
      <c r="AE189" s="294">
        <f>IF(NFI_Expiration=1,IF($A189&lt;VLOOKUP(N$5,NFI,5,0),1,0)*Table_NFI[[#This Row],[Kitchen Set]],Table_NFI[Kitchen Set])</f>
        <v>0</v>
      </c>
      <c r="AF189" s="294">
        <f>IF(NFI_Expiration=1,IF($A189&lt;VLOOKUP(O$5,NFI,5,0),1,0)*Table_NFI[[#This Row],[Clothes Kit]],Table_NFI[Clothes Kit])</f>
        <v>0</v>
      </c>
      <c r="AG189" s="294">
        <f>IF(NFI_Expiration=1,IF($A189&lt;VLOOKUP(P$5,NFI,5,0),1,0)*Table_NFI[[#This Row],[Plastic Bucket]],Table_NFI[Plastic Bucket])</f>
        <v>0</v>
      </c>
      <c r="AH189" s="294">
        <f>IF(NFI_Expiration=1,IF($A189&lt;VLOOKUP(Q$5,NFI,5,0),1,0)*Table_NFI[[#This Row],[Plastic Mat]],Table_NFI[Plastic Mat])*IF(Table_NFI[[#This Row],[Distribution Date]]&gt;"2014-04-01",1,2.5)</f>
        <v>0</v>
      </c>
      <c r="AI189" s="294">
        <f>IF(NFI_Expiration=1,IF($A189&lt;VLOOKUP(R$5,NFI,5,0),1,0)*Table_NFI[[#This Row],[Winter Clothes Adult]],Table_NFI[Winter Clothes Adult])</f>
        <v>0</v>
      </c>
      <c r="AJ189" s="294">
        <f>IF(NFI_Expiration=1,IF($A189&lt;VLOOKUP(S$5,NFI,5,0),1,0)*Table_NFI[[#This Row],[Winter Clothes Children]],Table_NFI[Winter Clothes Children])</f>
        <v>0</v>
      </c>
      <c r="AK189" s="294">
        <f>IF(NFI_Expiration=1,IF($A189&lt;VLOOKUP(T$5,NFI,5,0),1,0)*Table_NFI[[#This Row],[Winter Items Other]],Table_NFI[Winter Items Other])</f>
        <v>0</v>
      </c>
      <c r="AL189" s="294">
        <f>IF(NFI_Expiration=1,IF($A189&lt;VLOOKUP(M$5,NFI,5,0),1,0)*Table_NFI[[#This Row],[Winter Blanket]],Table_NFI[[#This Row],[Winter Blanket]])</f>
        <v>0</v>
      </c>
      <c r="AM189" s="294">
        <f>IF(Table_NFI[[#This Row],[Winter Clothes Adult]]+Table_NFI[[#This Row],[Winter Clothes Children]]+Table_NFI[[#This Row],[Winter Items Other]]+Table_NFI[[#This Row],[Winter Blanket]]&gt;0,1,0)</f>
        <v>0</v>
      </c>
      <c r="AN189" s="331">
        <f>IF(NFI_Expiration=1,IF($A189&lt;VLOOKUP(V$5,NFI,5,0),1,0)*Table_NFI[[#This Row],[Jerry Can]],Table_NFI[Jerry Can])</f>
        <v>0</v>
      </c>
      <c r="AO189" s="331">
        <f>IF(NFI_Expiration=1,IF($A189&lt;VLOOKUP(V$5,NFI,5,0),1,0)*Table_NFI[[#This Row],[Shelter Tool kit]],Table_NFI[Shelter Tool kit])</f>
        <v>0</v>
      </c>
      <c r="AP189" s="331">
        <f>IF(NFI_Expiration=1,IF($A189&lt;VLOOKUP(V$5,NFI,5,0),1,0)*Table_NFI[[#This Row],[Tent]],Table_NFI[Tent])</f>
        <v>0</v>
      </c>
      <c r="AQ189" s="467" t="str">
        <f>IFERROR(VLOOKUP(Table_NFI[[#This Row],[Camp Name]],CL,2,0),"")</f>
        <v>MMR015CMP020</v>
      </c>
      <c r="AR189" s="835">
        <f ca="1">IF(Table_NFI[[#This Row],[Pcode]]="","",IF(OFFSET(CampList[Opening Date],MATCH(Table_NFI[[#This Row],[Pcode]],CampList[CP_Pcode],0)-1,0,1,1)&gt;=NFI_Monitor_Date,1,0))</f>
        <v>0</v>
      </c>
      <c r="AS189" s="467" t="str">
        <f>IFERROR(VLOOKUP(Table_NFI[[#This Row],[Camp Name]],CL,3,0),"")</f>
        <v>Open</v>
      </c>
      <c r="AT189" s="294" t="str">
        <f ca="1">IF(Table_NFI[[#This Row],[Pcode]]="","",OFFSET(CampList[Priority],MATCH(Table_NFI[[#This Row],[Pcode]],CampList[CP_Pcode],0)-1,0,1,1))</f>
        <v>P3</v>
      </c>
      <c r="AU189" s="293">
        <f>IFERROR(Table_NFI[[#This Row],[Kitchen Set]]/VLOOKUP(Table_NFI[[#This Row],[Camp Name]],CL,4,0),"")</f>
        <v>1.3092813500145475E-3</v>
      </c>
      <c r="AV189" s="461" t="s">
        <v>1092</v>
      </c>
      <c r="AW189" s="468"/>
    </row>
    <row r="190" spans="1:49" s="98" customFormat="1" ht="14.45" customHeight="1" x14ac:dyDescent="0.25">
      <c r="A190" s="297">
        <f t="shared" si="2"/>
        <v>22.833333333333332</v>
      </c>
      <c r="B190" s="460">
        <v>42051</v>
      </c>
      <c r="C190" s="465" t="s">
        <v>452</v>
      </c>
      <c r="D190" s="465" t="s">
        <v>506</v>
      </c>
      <c r="E190" s="465" t="s">
        <v>380</v>
      </c>
      <c r="F190" s="465" t="s">
        <v>310</v>
      </c>
      <c r="G190" s="465" t="s">
        <v>1248</v>
      </c>
      <c r="H190" s="292"/>
      <c r="I190" s="292"/>
      <c r="J190" s="292"/>
      <c r="K190" s="292"/>
      <c r="L190" s="292"/>
      <c r="M190" s="292"/>
      <c r="N190" s="292"/>
      <c r="O190" s="292"/>
      <c r="P190" s="294"/>
      <c r="Q190" s="294"/>
      <c r="R190" s="294">
        <v>1119</v>
      </c>
      <c r="S190" s="294">
        <v>1455</v>
      </c>
      <c r="T190" s="294"/>
      <c r="U190" s="294">
        <v>1080</v>
      </c>
      <c r="V190" s="431"/>
      <c r="W190" s="294"/>
      <c r="X190" s="294"/>
      <c r="Y190" s="294">
        <f>IF(NFI_Expiration=1,IF($A190&lt;VLOOKUP(H$5,NFI,5,0),1,0)*Table_NFI[[#This Row],[Hygiene Kit]],Table_NFI[Hygiene Kit])</f>
        <v>0</v>
      </c>
      <c r="Z190" s="294">
        <f>IF(NFI_Expiration=1,IF($A190&lt;VLOOKUP(I$5,NFI,5,0),1,0)*Table_NFI[[#This Row],[NFI Core Kit]],Table_NFI[NFI Core Kit])</f>
        <v>0</v>
      </c>
      <c r="AA190" s="294">
        <f>IF(NFI_Expiration=1,IF($A190&lt;VLOOKUP(J$5,NFI,5,0),1,0)*Table_NFI[[#This Row],[Sanitary Kit]],Table_NFI[Sanitary Kit])</f>
        <v>0</v>
      </c>
      <c r="AB190" s="294">
        <f>IF(NFI_Expiration=1,IF($A190&lt;VLOOKUP(K$5,NFI,5,0),1,0)*Table_NFI[[#This Row],[Mosquito net]],Table_NFI[Mosquito net])</f>
        <v>0</v>
      </c>
      <c r="AC190" s="294">
        <f>IF(NFI_Expiration=1,IF($A190&lt;VLOOKUP(L$5,NFI,5,0),1,0)*Table_NFI[[#This Row],[Tarpaulin]],Table_NFI[[#This Row],[Tarpaulin]])</f>
        <v>0</v>
      </c>
      <c r="AD190" s="294">
        <f>IF(NFI_Expiration=1,IF($A190&lt;VLOOKUP(M$5,NFI,5,0),1,0)*Table_NFI[[#This Row],[Blanket]],Table_NFI[[#This Row],[Blanket]])</f>
        <v>0</v>
      </c>
      <c r="AE190" s="294">
        <f>IF(NFI_Expiration=1,IF($A190&lt;VLOOKUP(N$5,NFI,5,0),1,0)*Table_NFI[[#This Row],[Kitchen Set]],Table_NFI[Kitchen Set])</f>
        <v>0</v>
      </c>
      <c r="AF190" s="294">
        <f>IF(NFI_Expiration=1,IF($A190&lt;VLOOKUP(O$5,NFI,5,0),1,0)*Table_NFI[[#This Row],[Clothes Kit]],Table_NFI[Clothes Kit])</f>
        <v>0</v>
      </c>
      <c r="AG190" s="294">
        <f>IF(NFI_Expiration=1,IF($A190&lt;VLOOKUP(P$5,NFI,5,0),1,0)*Table_NFI[[#This Row],[Plastic Bucket]],Table_NFI[Plastic Bucket])</f>
        <v>0</v>
      </c>
      <c r="AH190" s="294">
        <f>IF(NFI_Expiration=1,IF($A190&lt;VLOOKUP(Q$5,NFI,5,0),1,0)*Table_NFI[[#This Row],[Plastic Mat]],Table_NFI[Plastic Mat])*IF(Table_NFI[[#This Row],[Distribution Date]]&gt;"2014-04-01",1,2.5)</f>
        <v>0</v>
      </c>
      <c r="AI190" s="294">
        <f>IF(NFI_Expiration=1,IF($A190&lt;VLOOKUP(R$5,NFI,5,0),1,0)*Table_NFI[[#This Row],[Winter Clothes Adult]],Table_NFI[Winter Clothes Adult])</f>
        <v>0</v>
      </c>
      <c r="AJ190" s="294">
        <f>IF(NFI_Expiration=1,IF($A190&lt;VLOOKUP(S$5,NFI,5,0),1,0)*Table_NFI[[#This Row],[Winter Clothes Children]],Table_NFI[Winter Clothes Children])</f>
        <v>0</v>
      </c>
      <c r="AK190" s="294">
        <f>IF(NFI_Expiration=1,IF($A190&lt;VLOOKUP(T$5,NFI,5,0),1,0)*Table_NFI[[#This Row],[Winter Items Other]],Table_NFI[Winter Items Other])</f>
        <v>0</v>
      </c>
      <c r="AL190" s="294">
        <f>IF(NFI_Expiration=1,IF($A190&lt;VLOOKUP(M$5,NFI,5,0),1,0)*Table_NFI[[#This Row],[Winter Blanket]],Table_NFI[[#This Row],[Winter Blanket]])</f>
        <v>0</v>
      </c>
      <c r="AM190" s="294">
        <f>IF(Table_NFI[[#This Row],[Winter Clothes Adult]]+Table_NFI[[#This Row],[Winter Clothes Children]]+Table_NFI[[#This Row],[Winter Items Other]]+Table_NFI[[#This Row],[Winter Blanket]]&gt;0,1,0)</f>
        <v>1</v>
      </c>
      <c r="AN190" s="331">
        <f>IF(NFI_Expiration=1,IF($A190&lt;VLOOKUP(V$5,NFI,5,0),1,0)*Table_NFI[[#This Row],[Jerry Can]],Table_NFI[Jerry Can])</f>
        <v>0</v>
      </c>
      <c r="AO190" s="331">
        <f>IF(NFI_Expiration=1,IF($A190&lt;VLOOKUP(V$5,NFI,5,0),1,0)*Table_NFI[[#This Row],[Shelter Tool kit]],Table_NFI[Shelter Tool kit])</f>
        <v>0</v>
      </c>
      <c r="AP190" s="331">
        <f>IF(NFI_Expiration=1,IF($A190&lt;VLOOKUP(V$5,NFI,5,0),1,0)*Table_NFI[[#This Row],[Tent]],Table_NFI[Tent])</f>
        <v>0</v>
      </c>
      <c r="AQ190" s="467" t="str">
        <f>IFERROR(VLOOKUP(Table_NFI[[#This Row],[Camp Name]],CL,2,0),"")</f>
        <v>MMR001CMP117</v>
      </c>
      <c r="AR190" s="835">
        <f ca="1">IF(Table_NFI[[#This Row],[Pcode]]="","",IF(OFFSET(CampList[Opening Date],MATCH(Table_NFI[[#This Row],[Pcode]],CampList[CP_Pcode],0)-1,0,1,1)&gt;=NFI_Monitor_Date,1,0))</f>
        <v>0</v>
      </c>
      <c r="AS190" s="467" t="str">
        <f>IFERROR(VLOOKUP(Table_NFI[[#This Row],[Camp Name]],CL,3,0),"")</f>
        <v>Closed</v>
      </c>
      <c r="AT190" s="294" t="str">
        <f ca="1">IF(Table_NFI[[#This Row],[Pcode]]="","",OFFSET(CampList[Priority],MATCH(Table_NFI[[#This Row],[Pcode]],CampList[CP_Pcode],0)-1,0,1,1))</f>
        <v>P2</v>
      </c>
      <c r="AU190" s="293">
        <f>IFERROR(Table_NFI[[#This Row],[Kitchen Set]]/VLOOKUP(Table_NFI[[#This Row],[Camp Name]],CL,4,0),"")</f>
        <v>0</v>
      </c>
      <c r="AV190" s="461" t="s">
        <v>1092</v>
      </c>
      <c r="AW190" s="468"/>
    </row>
    <row r="191" spans="1:49" s="98" customFormat="1" ht="14.45" customHeight="1" x14ac:dyDescent="0.25">
      <c r="A191" s="297">
        <f t="shared" si="2"/>
        <v>22.833333333333332</v>
      </c>
      <c r="B191" s="460">
        <v>42051</v>
      </c>
      <c r="C191" s="465" t="s">
        <v>452</v>
      </c>
      <c r="D191" s="465" t="s">
        <v>506</v>
      </c>
      <c r="E191" s="465" t="s">
        <v>380</v>
      </c>
      <c r="F191" s="465" t="s">
        <v>310</v>
      </c>
      <c r="G191" s="465" t="s">
        <v>194</v>
      </c>
      <c r="H191" s="292"/>
      <c r="I191" s="292"/>
      <c r="J191" s="292"/>
      <c r="K191" s="292"/>
      <c r="L191" s="292"/>
      <c r="M191" s="292"/>
      <c r="N191" s="292"/>
      <c r="O191" s="292"/>
      <c r="P191" s="294"/>
      <c r="Q191" s="294"/>
      <c r="R191" s="294">
        <v>865</v>
      </c>
      <c r="S191" s="294">
        <v>924</v>
      </c>
      <c r="T191" s="294"/>
      <c r="U191" s="294">
        <v>918</v>
      </c>
      <c r="V191" s="431"/>
      <c r="W191" s="294"/>
      <c r="X191" s="294"/>
      <c r="Y191" s="294">
        <f>IF(NFI_Expiration=1,IF($A191&lt;VLOOKUP(H$5,NFI,5,0),1,0)*Table_NFI[[#This Row],[Hygiene Kit]],Table_NFI[Hygiene Kit])</f>
        <v>0</v>
      </c>
      <c r="Z191" s="294">
        <f>IF(NFI_Expiration=1,IF($A191&lt;VLOOKUP(I$5,NFI,5,0),1,0)*Table_NFI[[#This Row],[NFI Core Kit]],Table_NFI[NFI Core Kit])</f>
        <v>0</v>
      </c>
      <c r="AA191" s="294">
        <f>IF(NFI_Expiration=1,IF($A191&lt;VLOOKUP(J$5,NFI,5,0),1,0)*Table_NFI[[#This Row],[Sanitary Kit]],Table_NFI[Sanitary Kit])</f>
        <v>0</v>
      </c>
      <c r="AB191" s="294">
        <f>IF(NFI_Expiration=1,IF($A191&lt;VLOOKUP(K$5,NFI,5,0),1,0)*Table_NFI[[#This Row],[Mosquito net]],Table_NFI[Mosquito net])</f>
        <v>0</v>
      </c>
      <c r="AC191" s="294">
        <f>IF(NFI_Expiration=1,IF($A191&lt;VLOOKUP(L$5,NFI,5,0),1,0)*Table_NFI[[#This Row],[Tarpaulin]],Table_NFI[[#This Row],[Tarpaulin]])</f>
        <v>0</v>
      </c>
      <c r="AD191" s="294">
        <f>IF(NFI_Expiration=1,IF($A191&lt;VLOOKUP(M$5,NFI,5,0),1,0)*Table_NFI[[#This Row],[Blanket]],Table_NFI[[#This Row],[Blanket]])</f>
        <v>0</v>
      </c>
      <c r="AE191" s="294">
        <f>IF(NFI_Expiration=1,IF($A191&lt;VLOOKUP(N$5,NFI,5,0),1,0)*Table_NFI[[#This Row],[Kitchen Set]],Table_NFI[Kitchen Set])</f>
        <v>0</v>
      </c>
      <c r="AF191" s="294">
        <f>IF(NFI_Expiration=1,IF($A191&lt;VLOOKUP(O$5,NFI,5,0),1,0)*Table_NFI[[#This Row],[Clothes Kit]],Table_NFI[Clothes Kit])</f>
        <v>0</v>
      </c>
      <c r="AG191" s="294">
        <f>IF(NFI_Expiration=1,IF($A191&lt;VLOOKUP(P$5,NFI,5,0),1,0)*Table_NFI[[#This Row],[Plastic Bucket]],Table_NFI[Plastic Bucket])</f>
        <v>0</v>
      </c>
      <c r="AH191" s="294">
        <f>IF(NFI_Expiration=1,IF($A191&lt;VLOOKUP(Q$5,NFI,5,0),1,0)*Table_NFI[[#This Row],[Plastic Mat]],Table_NFI[Plastic Mat])*IF(Table_NFI[[#This Row],[Distribution Date]]&gt;"2014-04-01",1,2.5)</f>
        <v>0</v>
      </c>
      <c r="AI191" s="294">
        <f>IF(NFI_Expiration=1,IF($A191&lt;VLOOKUP(R$5,NFI,5,0),1,0)*Table_NFI[[#This Row],[Winter Clothes Adult]],Table_NFI[Winter Clothes Adult])</f>
        <v>0</v>
      </c>
      <c r="AJ191" s="294">
        <f>IF(NFI_Expiration=1,IF($A191&lt;VLOOKUP(S$5,NFI,5,0),1,0)*Table_NFI[[#This Row],[Winter Clothes Children]],Table_NFI[Winter Clothes Children])</f>
        <v>0</v>
      </c>
      <c r="AK191" s="294">
        <f>IF(NFI_Expiration=1,IF($A191&lt;VLOOKUP(T$5,NFI,5,0),1,0)*Table_NFI[[#This Row],[Winter Items Other]],Table_NFI[Winter Items Other])</f>
        <v>0</v>
      </c>
      <c r="AL191" s="294">
        <f>IF(NFI_Expiration=1,IF($A191&lt;VLOOKUP(M$5,NFI,5,0),1,0)*Table_NFI[[#This Row],[Winter Blanket]],Table_NFI[[#This Row],[Winter Blanket]])</f>
        <v>0</v>
      </c>
      <c r="AM191" s="294">
        <f>IF(Table_NFI[[#This Row],[Winter Clothes Adult]]+Table_NFI[[#This Row],[Winter Clothes Children]]+Table_NFI[[#This Row],[Winter Items Other]]+Table_NFI[[#This Row],[Winter Blanket]]&gt;0,1,0)</f>
        <v>1</v>
      </c>
      <c r="AN191" s="331">
        <f>IF(NFI_Expiration=1,IF($A191&lt;VLOOKUP(V$5,NFI,5,0),1,0)*Table_NFI[[#This Row],[Jerry Can]],Table_NFI[Jerry Can])</f>
        <v>0</v>
      </c>
      <c r="AO191" s="331">
        <f>IF(NFI_Expiration=1,IF($A191&lt;VLOOKUP(V$5,NFI,5,0),1,0)*Table_NFI[[#This Row],[Shelter Tool kit]],Table_NFI[Shelter Tool kit])</f>
        <v>0</v>
      </c>
      <c r="AP191" s="331">
        <f>IF(NFI_Expiration=1,IF($A191&lt;VLOOKUP(V$5,NFI,5,0),1,0)*Table_NFI[[#This Row],[Tent]],Table_NFI[Tent])</f>
        <v>0</v>
      </c>
      <c r="AQ191" s="467" t="str">
        <f>IFERROR(VLOOKUP(Table_NFI[[#This Row],[Camp Name]],CL,2,0),"")</f>
        <v>MMR001CMP122</v>
      </c>
      <c r="AR191" s="835">
        <f ca="1">IF(Table_NFI[[#This Row],[Pcode]]="","",IF(OFFSET(CampList[Opening Date],MATCH(Table_NFI[[#This Row],[Pcode]],CampList[CP_Pcode],0)-1,0,1,1)&gt;=NFI_Monitor_Date,1,0))</f>
        <v>0</v>
      </c>
      <c r="AS191" s="467" t="str">
        <f>IFERROR(VLOOKUP(Table_NFI[[#This Row],[Camp Name]],CL,3,0),"")</f>
        <v>Open</v>
      </c>
      <c r="AT191" s="294" t="str">
        <f ca="1">IF(Table_NFI[[#This Row],[Pcode]]="","",OFFSET(CampList[Priority],MATCH(Table_NFI[[#This Row],[Pcode]],CampList[CP_Pcode],0)-1,0,1,1))</f>
        <v>P2</v>
      </c>
      <c r="AU191" s="293">
        <f>IFERROR(Table_NFI[[#This Row],[Kitchen Set]]/VLOOKUP(Table_NFI[[#This Row],[Camp Name]],CL,4,0),"")</f>
        <v>0</v>
      </c>
      <c r="AV191" s="461" t="s">
        <v>1092</v>
      </c>
      <c r="AW191" s="468"/>
    </row>
    <row r="192" spans="1:49" s="98" customFormat="1" ht="14.45" customHeight="1" x14ac:dyDescent="0.25">
      <c r="A192" s="297">
        <f t="shared" si="2"/>
        <v>22.833333333333332</v>
      </c>
      <c r="B192" s="460">
        <v>42051</v>
      </c>
      <c r="C192" s="465" t="s">
        <v>452</v>
      </c>
      <c r="D192" s="465" t="s">
        <v>506</v>
      </c>
      <c r="E192" s="465" t="s">
        <v>380</v>
      </c>
      <c r="F192" s="465" t="s">
        <v>310</v>
      </c>
      <c r="G192" s="465" t="s">
        <v>196</v>
      </c>
      <c r="H192" s="292"/>
      <c r="I192" s="292"/>
      <c r="J192" s="292"/>
      <c r="K192" s="292"/>
      <c r="L192" s="292"/>
      <c r="M192" s="292"/>
      <c r="N192" s="292"/>
      <c r="O192" s="292"/>
      <c r="P192" s="294"/>
      <c r="Q192" s="294"/>
      <c r="R192" s="294">
        <v>2676</v>
      </c>
      <c r="S192" s="294">
        <v>2672</v>
      </c>
      <c r="T192" s="294"/>
      <c r="U192" s="294">
        <v>3186</v>
      </c>
      <c r="V192" s="431"/>
      <c r="W192" s="294"/>
      <c r="X192" s="294"/>
      <c r="Y192" s="294">
        <f>IF(NFI_Expiration=1,IF($A192&lt;VLOOKUP(H$5,NFI,5,0),1,0)*Table_NFI[[#This Row],[Hygiene Kit]],Table_NFI[Hygiene Kit])</f>
        <v>0</v>
      </c>
      <c r="Z192" s="294">
        <f>IF(NFI_Expiration=1,IF($A192&lt;VLOOKUP(I$5,NFI,5,0),1,0)*Table_NFI[[#This Row],[NFI Core Kit]],Table_NFI[NFI Core Kit])</f>
        <v>0</v>
      </c>
      <c r="AA192" s="294">
        <f>IF(NFI_Expiration=1,IF($A192&lt;VLOOKUP(J$5,NFI,5,0),1,0)*Table_NFI[[#This Row],[Sanitary Kit]],Table_NFI[Sanitary Kit])</f>
        <v>0</v>
      </c>
      <c r="AB192" s="294">
        <f>IF(NFI_Expiration=1,IF($A192&lt;VLOOKUP(K$5,NFI,5,0),1,0)*Table_NFI[[#This Row],[Mosquito net]],Table_NFI[Mosquito net])</f>
        <v>0</v>
      </c>
      <c r="AC192" s="294">
        <f>IF(NFI_Expiration=1,IF($A192&lt;VLOOKUP(L$5,NFI,5,0),1,0)*Table_NFI[[#This Row],[Tarpaulin]],Table_NFI[[#This Row],[Tarpaulin]])</f>
        <v>0</v>
      </c>
      <c r="AD192" s="294">
        <f>IF(NFI_Expiration=1,IF($A192&lt;VLOOKUP(M$5,NFI,5,0),1,0)*Table_NFI[[#This Row],[Blanket]],Table_NFI[[#This Row],[Blanket]])</f>
        <v>0</v>
      </c>
      <c r="AE192" s="294">
        <f>IF(NFI_Expiration=1,IF($A192&lt;VLOOKUP(N$5,NFI,5,0),1,0)*Table_NFI[[#This Row],[Kitchen Set]],Table_NFI[Kitchen Set])</f>
        <v>0</v>
      </c>
      <c r="AF192" s="294">
        <f>IF(NFI_Expiration=1,IF($A192&lt;VLOOKUP(O$5,NFI,5,0),1,0)*Table_NFI[[#This Row],[Clothes Kit]],Table_NFI[Clothes Kit])</f>
        <v>0</v>
      </c>
      <c r="AG192" s="294">
        <f>IF(NFI_Expiration=1,IF($A192&lt;VLOOKUP(P$5,NFI,5,0),1,0)*Table_NFI[[#This Row],[Plastic Bucket]],Table_NFI[Plastic Bucket])</f>
        <v>0</v>
      </c>
      <c r="AH192" s="294">
        <f>IF(NFI_Expiration=1,IF($A192&lt;VLOOKUP(Q$5,NFI,5,0),1,0)*Table_NFI[[#This Row],[Plastic Mat]],Table_NFI[Plastic Mat])*IF(Table_NFI[[#This Row],[Distribution Date]]&gt;"2014-04-01",1,2.5)</f>
        <v>0</v>
      </c>
      <c r="AI192" s="294">
        <f>IF(NFI_Expiration=1,IF($A192&lt;VLOOKUP(R$5,NFI,5,0),1,0)*Table_NFI[[#This Row],[Winter Clothes Adult]],Table_NFI[Winter Clothes Adult])</f>
        <v>0</v>
      </c>
      <c r="AJ192" s="294">
        <f>IF(NFI_Expiration=1,IF($A192&lt;VLOOKUP(S$5,NFI,5,0),1,0)*Table_NFI[[#This Row],[Winter Clothes Children]],Table_NFI[Winter Clothes Children])</f>
        <v>0</v>
      </c>
      <c r="AK192" s="294">
        <f>IF(NFI_Expiration=1,IF($A192&lt;VLOOKUP(T$5,NFI,5,0),1,0)*Table_NFI[[#This Row],[Winter Items Other]],Table_NFI[Winter Items Other])</f>
        <v>0</v>
      </c>
      <c r="AL192" s="294">
        <f>IF(NFI_Expiration=1,IF($A192&lt;VLOOKUP(M$5,NFI,5,0),1,0)*Table_NFI[[#This Row],[Winter Blanket]],Table_NFI[[#This Row],[Winter Blanket]])</f>
        <v>0</v>
      </c>
      <c r="AM192" s="294">
        <f>IF(Table_NFI[[#This Row],[Winter Clothes Adult]]+Table_NFI[[#This Row],[Winter Clothes Children]]+Table_NFI[[#This Row],[Winter Items Other]]+Table_NFI[[#This Row],[Winter Blanket]]&gt;0,1,0)</f>
        <v>1</v>
      </c>
      <c r="AN192" s="331">
        <f>IF(NFI_Expiration=1,IF($A192&lt;VLOOKUP(V$5,NFI,5,0),1,0)*Table_NFI[[#This Row],[Jerry Can]],Table_NFI[Jerry Can])</f>
        <v>0</v>
      </c>
      <c r="AO192" s="331">
        <f>IF(NFI_Expiration=1,IF($A192&lt;VLOOKUP(V$5,NFI,5,0),1,0)*Table_NFI[[#This Row],[Shelter Tool kit]],Table_NFI[Shelter Tool kit])</f>
        <v>0</v>
      </c>
      <c r="AP192" s="331">
        <f>IF(NFI_Expiration=1,IF($A192&lt;VLOOKUP(V$5,NFI,5,0),1,0)*Table_NFI[[#This Row],[Tent]],Table_NFI[Tent])</f>
        <v>0</v>
      </c>
      <c r="AQ192" s="467" t="str">
        <f>IFERROR(VLOOKUP(Table_NFI[[#This Row],[Camp Name]],CL,2,0),"")</f>
        <v>MMR001CMP121</v>
      </c>
      <c r="AR192" s="835">
        <f ca="1">IF(Table_NFI[[#This Row],[Pcode]]="","",IF(OFFSET(CampList[Opening Date],MATCH(Table_NFI[[#This Row],[Pcode]],CampList[CP_Pcode],0)-1,0,1,1)&gt;=NFI_Monitor_Date,1,0))</f>
        <v>0</v>
      </c>
      <c r="AS192" s="467" t="str">
        <f>IFERROR(VLOOKUP(Table_NFI[[#This Row],[Camp Name]],CL,3,0),"")</f>
        <v>Open</v>
      </c>
      <c r="AT192" s="294" t="str">
        <f ca="1">IF(Table_NFI[[#This Row],[Pcode]]="","",OFFSET(CampList[Priority],MATCH(Table_NFI[[#This Row],[Pcode]],CampList[CP_Pcode],0)-1,0,1,1))</f>
        <v>P2</v>
      </c>
      <c r="AU192" s="293">
        <f>IFERROR(Table_NFI[[#This Row],[Kitchen Set]]/VLOOKUP(Table_NFI[[#This Row],[Camp Name]],CL,4,0),"")</f>
        <v>0</v>
      </c>
      <c r="AV192" s="461" t="s">
        <v>1092</v>
      </c>
      <c r="AW192" s="468"/>
    </row>
    <row r="193" spans="1:49" s="98" customFormat="1" ht="14.45" customHeight="1" x14ac:dyDescent="0.25">
      <c r="A193" s="297">
        <f t="shared" si="2"/>
        <v>22.833333333333332</v>
      </c>
      <c r="B193" s="460">
        <v>42051</v>
      </c>
      <c r="C193" s="465" t="s">
        <v>452</v>
      </c>
      <c r="D193" s="465" t="s">
        <v>506</v>
      </c>
      <c r="E193" s="465" t="s">
        <v>380</v>
      </c>
      <c r="F193" s="465" t="s">
        <v>310</v>
      </c>
      <c r="G193" s="465" t="s">
        <v>353</v>
      </c>
      <c r="H193" s="292"/>
      <c r="I193" s="292"/>
      <c r="J193" s="292"/>
      <c r="K193" s="292"/>
      <c r="L193" s="292"/>
      <c r="M193" s="292"/>
      <c r="N193" s="292"/>
      <c r="O193" s="292"/>
      <c r="P193" s="294"/>
      <c r="Q193" s="294"/>
      <c r="R193" s="294">
        <v>1620</v>
      </c>
      <c r="S193" s="294">
        <v>2207</v>
      </c>
      <c r="T193" s="294"/>
      <c r="U193" s="294">
        <v>1760</v>
      </c>
      <c r="V193" s="431"/>
      <c r="W193" s="294"/>
      <c r="X193" s="294"/>
      <c r="Y193" s="294">
        <f>IF(NFI_Expiration=1,IF($A193&lt;VLOOKUP(H$5,NFI,5,0),1,0)*Table_NFI[[#This Row],[Hygiene Kit]],Table_NFI[Hygiene Kit])</f>
        <v>0</v>
      </c>
      <c r="Z193" s="294">
        <f>IF(NFI_Expiration=1,IF($A193&lt;VLOOKUP(I$5,NFI,5,0),1,0)*Table_NFI[[#This Row],[NFI Core Kit]],Table_NFI[NFI Core Kit])</f>
        <v>0</v>
      </c>
      <c r="AA193" s="294">
        <f>IF(NFI_Expiration=1,IF($A193&lt;VLOOKUP(J$5,NFI,5,0),1,0)*Table_NFI[[#This Row],[Sanitary Kit]],Table_NFI[Sanitary Kit])</f>
        <v>0</v>
      </c>
      <c r="AB193" s="294">
        <f>IF(NFI_Expiration=1,IF($A193&lt;VLOOKUP(K$5,NFI,5,0),1,0)*Table_NFI[[#This Row],[Mosquito net]],Table_NFI[Mosquito net])</f>
        <v>0</v>
      </c>
      <c r="AC193" s="294">
        <f>IF(NFI_Expiration=1,IF($A193&lt;VLOOKUP(L$5,NFI,5,0),1,0)*Table_NFI[[#This Row],[Tarpaulin]],Table_NFI[[#This Row],[Tarpaulin]])</f>
        <v>0</v>
      </c>
      <c r="AD193" s="294">
        <f>IF(NFI_Expiration=1,IF($A193&lt;VLOOKUP(M$5,NFI,5,0),1,0)*Table_NFI[[#This Row],[Blanket]],Table_NFI[[#This Row],[Blanket]])</f>
        <v>0</v>
      </c>
      <c r="AE193" s="294">
        <f>IF(NFI_Expiration=1,IF($A193&lt;VLOOKUP(N$5,NFI,5,0),1,0)*Table_NFI[[#This Row],[Kitchen Set]],Table_NFI[Kitchen Set])</f>
        <v>0</v>
      </c>
      <c r="AF193" s="294">
        <f>IF(NFI_Expiration=1,IF($A193&lt;VLOOKUP(O$5,NFI,5,0),1,0)*Table_NFI[[#This Row],[Clothes Kit]],Table_NFI[Clothes Kit])</f>
        <v>0</v>
      </c>
      <c r="AG193" s="294">
        <f>IF(NFI_Expiration=1,IF($A193&lt;VLOOKUP(P$5,NFI,5,0),1,0)*Table_NFI[[#This Row],[Plastic Bucket]],Table_NFI[Plastic Bucket])</f>
        <v>0</v>
      </c>
      <c r="AH193" s="294">
        <f>IF(NFI_Expiration=1,IF($A193&lt;VLOOKUP(Q$5,NFI,5,0),1,0)*Table_NFI[[#This Row],[Plastic Mat]],Table_NFI[Plastic Mat])*IF(Table_NFI[[#This Row],[Distribution Date]]&gt;"2014-04-01",1,2.5)</f>
        <v>0</v>
      </c>
      <c r="AI193" s="294">
        <f>IF(NFI_Expiration=1,IF($A193&lt;VLOOKUP(R$5,NFI,5,0),1,0)*Table_NFI[[#This Row],[Winter Clothes Adult]],Table_NFI[Winter Clothes Adult])</f>
        <v>0</v>
      </c>
      <c r="AJ193" s="294">
        <f>IF(NFI_Expiration=1,IF($A193&lt;VLOOKUP(S$5,NFI,5,0),1,0)*Table_NFI[[#This Row],[Winter Clothes Children]],Table_NFI[Winter Clothes Children])</f>
        <v>0</v>
      </c>
      <c r="AK193" s="294">
        <f>IF(NFI_Expiration=1,IF($A193&lt;VLOOKUP(T$5,NFI,5,0),1,0)*Table_NFI[[#This Row],[Winter Items Other]],Table_NFI[Winter Items Other])</f>
        <v>0</v>
      </c>
      <c r="AL193" s="294">
        <f>IF(NFI_Expiration=1,IF($A193&lt;VLOOKUP(M$5,NFI,5,0),1,0)*Table_NFI[[#This Row],[Winter Blanket]],Table_NFI[[#This Row],[Winter Blanket]])</f>
        <v>0</v>
      </c>
      <c r="AM193" s="294">
        <f>IF(Table_NFI[[#This Row],[Winter Clothes Adult]]+Table_NFI[[#This Row],[Winter Clothes Children]]+Table_NFI[[#This Row],[Winter Items Other]]+Table_NFI[[#This Row],[Winter Blanket]]&gt;0,1,0)</f>
        <v>1</v>
      </c>
      <c r="AN193" s="331">
        <f>IF(NFI_Expiration=1,IF($A193&lt;VLOOKUP(V$5,NFI,5,0),1,0)*Table_NFI[[#This Row],[Jerry Can]],Table_NFI[Jerry Can])</f>
        <v>0</v>
      </c>
      <c r="AO193" s="331">
        <f>IF(NFI_Expiration=1,IF($A193&lt;VLOOKUP(V$5,NFI,5,0),1,0)*Table_NFI[[#This Row],[Shelter Tool kit]],Table_NFI[Shelter Tool kit])</f>
        <v>0</v>
      </c>
      <c r="AP193" s="331">
        <f>IF(NFI_Expiration=1,IF($A193&lt;VLOOKUP(V$5,NFI,5,0),1,0)*Table_NFI[[#This Row],[Tent]],Table_NFI[Tent])</f>
        <v>0</v>
      </c>
      <c r="AQ193" s="467" t="str">
        <f>IFERROR(VLOOKUP(Table_NFI[[#This Row],[Camp Name]],CL,2,0),"")</f>
        <v>MMR001CMP116</v>
      </c>
      <c r="AR193" s="835">
        <f ca="1">IF(Table_NFI[[#This Row],[Pcode]]="","",IF(OFFSET(CampList[Opening Date],MATCH(Table_NFI[[#This Row],[Pcode]],CampList[CP_Pcode],0)-1,0,1,1)&gt;=NFI_Monitor_Date,1,0))</f>
        <v>0</v>
      </c>
      <c r="AS193" s="467" t="str">
        <f>IFERROR(VLOOKUP(Table_NFI[[#This Row],[Camp Name]],CL,3,0),"")</f>
        <v>Open</v>
      </c>
      <c r="AT193" s="294" t="str">
        <f ca="1">IF(Table_NFI[[#This Row],[Pcode]]="","",OFFSET(CampList[Priority],MATCH(Table_NFI[[#This Row],[Pcode]],CampList[CP_Pcode],0)-1,0,1,1))</f>
        <v>P4</v>
      </c>
      <c r="AU193" s="293">
        <f>IFERROR(Table_NFI[[#This Row],[Kitchen Set]]/VLOOKUP(Table_NFI[[#This Row],[Camp Name]],CL,4,0),"")</f>
        <v>0</v>
      </c>
      <c r="AV193" s="461" t="s">
        <v>1092</v>
      </c>
      <c r="AW193" s="468"/>
    </row>
    <row r="194" spans="1:49" s="464" customFormat="1" ht="21.75" customHeight="1" x14ac:dyDescent="0.25">
      <c r="A194" s="297">
        <f t="shared" si="2"/>
        <v>22.933333333333334</v>
      </c>
      <c r="B194" s="460">
        <v>42048</v>
      </c>
      <c r="C194" s="465" t="s">
        <v>452</v>
      </c>
      <c r="D194" s="465" t="s">
        <v>1262</v>
      </c>
      <c r="E194" s="465" t="s">
        <v>553</v>
      </c>
      <c r="F194" s="465" t="s">
        <v>146</v>
      </c>
      <c r="G194" s="465" t="s">
        <v>1332</v>
      </c>
      <c r="H194" s="292"/>
      <c r="I194" s="292">
        <v>68</v>
      </c>
      <c r="J194" s="292">
        <v>54</v>
      </c>
      <c r="K194" s="292">
        <v>134</v>
      </c>
      <c r="L194" s="292">
        <v>68</v>
      </c>
      <c r="M194" s="292">
        <v>134</v>
      </c>
      <c r="N194" s="292">
        <v>68</v>
      </c>
      <c r="O194" s="292"/>
      <c r="P194" s="294">
        <v>68</v>
      </c>
      <c r="Q194" s="294">
        <v>134</v>
      </c>
      <c r="R194" s="294"/>
      <c r="S194" s="294"/>
      <c r="T194" s="294"/>
      <c r="U194" s="294"/>
      <c r="V194" s="431">
        <v>68</v>
      </c>
      <c r="W194" s="294"/>
      <c r="X194" s="294"/>
      <c r="Y194" s="294">
        <f>IF(NFI_Expiration=1,IF($A194&lt;VLOOKUP(H$5,NFI,5,0),1,0)*Table_NFI[[#This Row],[Hygiene Kit]],Table_NFI[Hygiene Kit])</f>
        <v>0</v>
      </c>
      <c r="Z194" s="294">
        <f>IF(NFI_Expiration=1,IF($A194&lt;VLOOKUP(I$5,NFI,5,0),1,0)*Table_NFI[[#This Row],[NFI Core Kit]],Table_NFI[NFI Core Kit])</f>
        <v>0</v>
      </c>
      <c r="AA194" s="294">
        <f>IF(NFI_Expiration=1,IF($A194&lt;VLOOKUP(J$5,NFI,5,0),1,0)*Table_NFI[[#This Row],[Sanitary Kit]],Table_NFI[Sanitary Kit])</f>
        <v>0</v>
      </c>
      <c r="AB194" s="294">
        <f>IF(NFI_Expiration=1,IF($A194&lt;VLOOKUP(K$5,NFI,5,0),1,0)*Table_NFI[[#This Row],[Mosquito net]],Table_NFI[Mosquito net])</f>
        <v>0</v>
      </c>
      <c r="AC194" s="294">
        <f>IF(NFI_Expiration=1,IF($A194&lt;VLOOKUP(L$5,NFI,5,0),1,0)*Table_NFI[[#This Row],[Tarpaulin]],Table_NFI[[#This Row],[Tarpaulin]])</f>
        <v>0</v>
      </c>
      <c r="AD194" s="294">
        <f>IF(NFI_Expiration=1,IF($A194&lt;VLOOKUP(M$5,NFI,5,0),1,0)*Table_NFI[[#This Row],[Blanket]],Table_NFI[[#This Row],[Blanket]])</f>
        <v>0</v>
      </c>
      <c r="AE194" s="294">
        <f>IF(NFI_Expiration=1,IF($A194&lt;VLOOKUP(N$5,NFI,5,0),1,0)*Table_NFI[[#This Row],[Kitchen Set]],Table_NFI[Kitchen Set])</f>
        <v>0</v>
      </c>
      <c r="AF194" s="294">
        <f>IF(NFI_Expiration=1,IF($A194&lt;VLOOKUP(O$5,NFI,5,0),1,0)*Table_NFI[[#This Row],[Clothes Kit]],Table_NFI[Clothes Kit])</f>
        <v>0</v>
      </c>
      <c r="AG194" s="294">
        <f>IF(NFI_Expiration=1,IF($A194&lt;VLOOKUP(P$5,NFI,5,0),1,0)*Table_NFI[[#This Row],[Plastic Bucket]],Table_NFI[Plastic Bucket])</f>
        <v>0</v>
      </c>
      <c r="AH194" s="294">
        <f>IF(NFI_Expiration=1,IF($A194&lt;VLOOKUP(Q$5,NFI,5,0),1,0)*Table_NFI[[#This Row],[Plastic Mat]],Table_NFI[Plastic Mat])*IF(Table_NFI[[#This Row],[Distribution Date]]&gt;"2014-04-01",1,2.5)</f>
        <v>0</v>
      </c>
      <c r="AI194" s="294">
        <f>IF(NFI_Expiration=1,IF($A194&lt;VLOOKUP(R$5,NFI,5,0),1,0)*Table_NFI[[#This Row],[Winter Clothes Adult]],Table_NFI[Winter Clothes Adult])</f>
        <v>0</v>
      </c>
      <c r="AJ194" s="294">
        <f>IF(NFI_Expiration=1,IF($A194&lt;VLOOKUP(S$5,NFI,5,0),1,0)*Table_NFI[[#This Row],[Winter Clothes Children]],Table_NFI[Winter Clothes Children])</f>
        <v>0</v>
      </c>
      <c r="AK194" s="294">
        <f>IF(NFI_Expiration=1,IF($A194&lt;VLOOKUP(T$5,NFI,5,0),1,0)*Table_NFI[[#This Row],[Winter Items Other]],Table_NFI[Winter Items Other])</f>
        <v>0</v>
      </c>
      <c r="AL194" s="294">
        <f>IF(NFI_Expiration=1,IF($A194&lt;VLOOKUP(M$5,NFI,5,0),1,0)*Table_NFI[[#This Row],[Winter Blanket]],Table_NFI[[#This Row],[Winter Blanket]])</f>
        <v>0</v>
      </c>
      <c r="AM194" s="294">
        <f>IF(Table_NFI[[#This Row],[Winter Clothes Adult]]+Table_NFI[[#This Row],[Winter Clothes Children]]+Table_NFI[[#This Row],[Winter Items Other]]+Table_NFI[[#This Row],[Winter Blanket]]&gt;0,1,0)</f>
        <v>0</v>
      </c>
      <c r="AN194" s="331">
        <f>IF(NFI_Expiration=1,IF($A194&lt;VLOOKUP(V$5,NFI,5,0),1,0)*Table_NFI[[#This Row],[Jerry Can]],Table_NFI[Jerry Can])</f>
        <v>0</v>
      </c>
      <c r="AO194" s="331">
        <f>IF(NFI_Expiration=1,IF($A194&lt;VLOOKUP(V$5,NFI,5,0),1,0)*Table_NFI[[#This Row],[Shelter Tool kit]],Table_NFI[Shelter Tool kit])</f>
        <v>0</v>
      </c>
      <c r="AP194" s="331">
        <f>IF(NFI_Expiration=1,IF($A194&lt;VLOOKUP(V$5,NFI,5,0),1,0)*Table_NFI[[#This Row],[Tent]],Table_NFI[Tent])</f>
        <v>0</v>
      </c>
      <c r="AQ194" s="467" t="str">
        <f>IFERROR(VLOOKUP(Table_NFI[[#This Row],[Camp Name]],CL,2,0),"")</f>
        <v/>
      </c>
      <c r="AR194" s="835" t="str">
        <f ca="1">IF(Table_NFI[[#This Row],[Pcode]]="","",IF(OFFSET(CampList[Opening Date],MATCH(Table_NFI[[#This Row],[Pcode]],CampList[CP_Pcode],0)-1,0,1,1)&gt;=NFI_Monitor_Date,1,0))</f>
        <v/>
      </c>
      <c r="AS194" s="659" t="str">
        <f>IFERROR(VLOOKUP(Table_NFI[[#This Row],[Camp Name]],CL,3,0),"")</f>
        <v/>
      </c>
      <c r="AT194" s="294" t="str">
        <f ca="1">IF(Table_NFI[[#This Row],[Pcode]]="","",OFFSET(CampList[Priority],MATCH(Table_NFI[[#This Row],[Pcode]],CampList[CP_Pcode],0)-1,0,1,1))</f>
        <v/>
      </c>
      <c r="AU194" s="293" t="str">
        <f>IFERROR(Table_NFI[[#This Row],[Kitchen Set]]/VLOOKUP(Table_NFI[[#This Row],[Camp Name]],CL,4,0),"")</f>
        <v/>
      </c>
      <c r="AV194" s="461" t="s">
        <v>1092</v>
      </c>
      <c r="AW194" s="468"/>
    </row>
    <row r="195" spans="1:49" s="464" customFormat="1" ht="14.45" customHeight="1" x14ac:dyDescent="0.25">
      <c r="A195" s="297">
        <f t="shared" si="2"/>
        <v>22.933333333333334</v>
      </c>
      <c r="B195" s="460">
        <v>42048</v>
      </c>
      <c r="C195" s="465" t="s">
        <v>452</v>
      </c>
      <c r="D195" s="465" t="s">
        <v>506</v>
      </c>
      <c r="E195" s="465" t="s">
        <v>380</v>
      </c>
      <c r="F195" s="465" t="s">
        <v>237</v>
      </c>
      <c r="G195" s="465" t="s">
        <v>273</v>
      </c>
      <c r="H195" s="292"/>
      <c r="I195" s="292"/>
      <c r="J195" s="292"/>
      <c r="K195" s="292"/>
      <c r="L195" s="292"/>
      <c r="M195" s="292">
        <v>18</v>
      </c>
      <c r="N195" s="292">
        <v>9</v>
      </c>
      <c r="O195" s="292"/>
      <c r="P195" s="294">
        <v>29</v>
      </c>
      <c r="Q195" s="294">
        <v>145</v>
      </c>
      <c r="R195" s="294"/>
      <c r="S195" s="294"/>
      <c r="T195" s="294"/>
      <c r="U195" s="294"/>
      <c r="V195" s="431"/>
      <c r="W195" s="294"/>
      <c r="X195" s="294"/>
      <c r="Y195" s="294">
        <f>IF(NFI_Expiration=1,IF($A195&lt;VLOOKUP(H$5,NFI,5,0),1,0)*Table_NFI[[#This Row],[Hygiene Kit]],Table_NFI[Hygiene Kit])</f>
        <v>0</v>
      </c>
      <c r="Z195" s="294">
        <f>IF(NFI_Expiration=1,IF($A195&lt;VLOOKUP(I$5,NFI,5,0),1,0)*Table_NFI[[#This Row],[NFI Core Kit]],Table_NFI[NFI Core Kit])</f>
        <v>0</v>
      </c>
      <c r="AA195" s="294">
        <f>IF(NFI_Expiration=1,IF($A195&lt;VLOOKUP(J$5,NFI,5,0),1,0)*Table_NFI[[#This Row],[Sanitary Kit]],Table_NFI[Sanitary Kit])</f>
        <v>0</v>
      </c>
      <c r="AB195" s="294">
        <f>IF(NFI_Expiration=1,IF($A195&lt;VLOOKUP(K$5,NFI,5,0),1,0)*Table_NFI[[#This Row],[Mosquito net]],Table_NFI[Mosquito net])</f>
        <v>0</v>
      </c>
      <c r="AC195" s="294">
        <f>IF(NFI_Expiration=1,IF($A195&lt;VLOOKUP(L$5,NFI,5,0),1,0)*Table_NFI[[#This Row],[Tarpaulin]],Table_NFI[[#This Row],[Tarpaulin]])</f>
        <v>0</v>
      </c>
      <c r="AD195" s="294">
        <f>IF(NFI_Expiration=1,IF($A195&lt;VLOOKUP(M$5,NFI,5,0),1,0)*Table_NFI[[#This Row],[Blanket]],Table_NFI[[#This Row],[Blanket]])</f>
        <v>0</v>
      </c>
      <c r="AE195" s="294">
        <f>IF(NFI_Expiration=1,IF($A195&lt;VLOOKUP(N$5,NFI,5,0),1,0)*Table_NFI[[#This Row],[Kitchen Set]],Table_NFI[Kitchen Set])</f>
        <v>0</v>
      </c>
      <c r="AF195" s="294">
        <f>IF(NFI_Expiration=1,IF($A195&lt;VLOOKUP(O$5,NFI,5,0),1,0)*Table_NFI[[#This Row],[Clothes Kit]],Table_NFI[Clothes Kit])</f>
        <v>0</v>
      </c>
      <c r="AG195" s="294">
        <f>IF(NFI_Expiration=1,IF($A195&lt;VLOOKUP(P$5,NFI,5,0),1,0)*Table_NFI[[#This Row],[Plastic Bucket]],Table_NFI[Plastic Bucket])</f>
        <v>0</v>
      </c>
      <c r="AH195" s="294">
        <f>IF(NFI_Expiration=1,IF($A195&lt;VLOOKUP(Q$5,NFI,5,0),1,0)*Table_NFI[[#This Row],[Plastic Mat]],Table_NFI[Plastic Mat])*IF(Table_NFI[[#This Row],[Distribution Date]]&gt;"2014-04-01",1,2.5)</f>
        <v>0</v>
      </c>
      <c r="AI195" s="294">
        <f>IF(NFI_Expiration=1,IF($A195&lt;VLOOKUP(R$5,NFI,5,0),1,0)*Table_NFI[[#This Row],[Winter Clothes Adult]],Table_NFI[Winter Clothes Adult])</f>
        <v>0</v>
      </c>
      <c r="AJ195" s="294">
        <f>IF(NFI_Expiration=1,IF($A195&lt;VLOOKUP(S$5,NFI,5,0),1,0)*Table_NFI[[#This Row],[Winter Clothes Children]],Table_NFI[Winter Clothes Children])</f>
        <v>0</v>
      </c>
      <c r="AK195" s="294">
        <f>IF(NFI_Expiration=1,IF($A195&lt;VLOOKUP(T$5,NFI,5,0),1,0)*Table_NFI[[#This Row],[Winter Items Other]],Table_NFI[Winter Items Other])</f>
        <v>0</v>
      </c>
      <c r="AL195" s="294">
        <f>IF(NFI_Expiration=1,IF($A195&lt;VLOOKUP(M$5,NFI,5,0),1,0)*Table_NFI[[#This Row],[Winter Blanket]],Table_NFI[[#This Row],[Winter Blanket]])</f>
        <v>0</v>
      </c>
      <c r="AM195" s="294">
        <f>IF(Table_NFI[[#This Row],[Winter Clothes Adult]]+Table_NFI[[#This Row],[Winter Clothes Children]]+Table_NFI[[#This Row],[Winter Items Other]]+Table_NFI[[#This Row],[Winter Blanket]]&gt;0,1,0)</f>
        <v>0</v>
      </c>
      <c r="AN195" s="331">
        <f>IF(NFI_Expiration=1,IF($A195&lt;VLOOKUP(V$5,NFI,5,0),1,0)*Table_NFI[[#This Row],[Jerry Can]],Table_NFI[Jerry Can])</f>
        <v>0</v>
      </c>
      <c r="AO195" s="331">
        <f>IF(NFI_Expiration=1,IF($A195&lt;VLOOKUP(V$5,NFI,5,0),1,0)*Table_NFI[[#This Row],[Shelter Tool kit]],Table_NFI[Shelter Tool kit])</f>
        <v>0</v>
      </c>
      <c r="AP195" s="331">
        <f>IF(NFI_Expiration=1,IF($A195&lt;VLOOKUP(V$5,NFI,5,0),1,0)*Table_NFI[[#This Row],[Tent]],Table_NFI[Tent])</f>
        <v>0</v>
      </c>
      <c r="AQ195" s="467" t="str">
        <f>IFERROR(VLOOKUP(Table_NFI[[#This Row],[Camp Name]],CL,2,0),"")</f>
        <v>MMR001CMP162</v>
      </c>
      <c r="AR195" s="835">
        <f ca="1">IF(Table_NFI[[#This Row],[Pcode]]="","",IF(OFFSET(CampList[Opening Date],MATCH(Table_NFI[[#This Row],[Pcode]],CampList[CP_Pcode],0)-1,0,1,1)&gt;=NFI_Monitor_Date,1,0))</f>
        <v>0</v>
      </c>
      <c r="AS195" s="467" t="str">
        <f>IFERROR(VLOOKUP(Table_NFI[[#This Row],[Camp Name]],CL,3,0),"")</f>
        <v>Open</v>
      </c>
      <c r="AT195" s="294" t="str">
        <f ca="1">IF(Table_NFI[[#This Row],[Pcode]]="","",OFFSET(CampList[Priority],MATCH(Table_NFI[[#This Row],[Pcode]],CampList[CP_Pcode],0)-1,0,1,1))</f>
        <v>P4</v>
      </c>
      <c r="AU195" s="293">
        <f>IFERROR(Table_NFI[[#This Row],[Kitchen Set]]/VLOOKUP(Table_NFI[[#This Row],[Camp Name]],CL,4,0),"")</f>
        <v>2.1821355833575792E-4</v>
      </c>
      <c r="AV195" s="461" t="s">
        <v>1092</v>
      </c>
      <c r="AW195" s="468"/>
    </row>
    <row r="196" spans="1:49" s="464" customFormat="1" ht="14.45" customHeight="1" x14ac:dyDescent="0.25">
      <c r="A196" s="297">
        <f t="shared" si="2"/>
        <v>23.033333333333335</v>
      </c>
      <c r="B196" s="460">
        <v>42045</v>
      </c>
      <c r="C196" s="461" t="s">
        <v>452</v>
      </c>
      <c r="D196" s="465" t="s">
        <v>452</v>
      </c>
      <c r="E196" s="465" t="s">
        <v>553</v>
      </c>
      <c r="F196" s="465" t="s">
        <v>151</v>
      </c>
      <c r="G196" s="465" t="s">
        <v>1334</v>
      </c>
      <c r="H196" s="292"/>
      <c r="I196" s="292"/>
      <c r="J196" s="292"/>
      <c r="K196" s="292">
        <v>49</v>
      </c>
      <c r="L196" s="292">
        <v>16</v>
      </c>
      <c r="M196" s="292">
        <v>49</v>
      </c>
      <c r="N196" s="292">
        <v>16</v>
      </c>
      <c r="O196" s="292"/>
      <c r="P196" s="294">
        <v>16</v>
      </c>
      <c r="Q196" s="294">
        <v>92</v>
      </c>
      <c r="R196" s="294"/>
      <c r="S196" s="294"/>
      <c r="T196" s="294"/>
      <c r="U196" s="294"/>
      <c r="V196" s="431">
        <v>15</v>
      </c>
      <c r="W196" s="294"/>
      <c r="X196" s="294"/>
      <c r="Y196" s="294">
        <f>IF(NFI_Expiration=1,IF($A196&lt;VLOOKUP(H$5,NFI,5,0),1,0)*Table_NFI[[#This Row],[Hygiene Kit]],Table_NFI[Hygiene Kit])</f>
        <v>0</v>
      </c>
      <c r="Z196" s="294">
        <f>IF(NFI_Expiration=1,IF($A196&lt;VLOOKUP(I$5,NFI,5,0),1,0)*Table_NFI[[#This Row],[NFI Core Kit]],Table_NFI[NFI Core Kit])</f>
        <v>0</v>
      </c>
      <c r="AA196" s="294">
        <f>IF(NFI_Expiration=1,IF($A196&lt;VLOOKUP(J$5,NFI,5,0),1,0)*Table_NFI[[#This Row],[Sanitary Kit]],Table_NFI[Sanitary Kit])</f>
        <v>0</v>
      </c>
      <c r="AB196" s="294">
        <f>IF(NFI_Expiration=1,IF($A196&lt;VLOOKUP(K$5,NFI,5,0),1,0)*Table_NFI[[#This Row],[Mosquito net]],Table_NFI[Mosquito net])</f>
        <v>0</v>
      </c>
      <c r="AC196" s="294">
        <f>IF(NFI_Expiration=1,IF($A196&lt;VLOOKUP(L$5,NFI,5,0),1,0)*Table_NFI[[#This Row],[Tarpaulin]],Table_NFI[[#This Row],[Tarpaulin]])</f>
        <v>0</v>
      </c>
      <c r="AD196" s="294">
        <f>IF(NFI_Expiration=1,IF($A196&lt;VLOOKUP(M$5,NFI,5,0),1,0)*Table_NFI[[#This Row],[Blanket]],Table_NFI[[#This Row],[Blanket]])</f>
        <v>0</v>
      </c>
      <c r="AE196" s="294">
        <f>IF(NFI_Expiration=1,IF($A196&lt;VLOOKUP(N$5,NFI,5,0),1,0)*Table_NFI[[#This Row],[Kitchen Set]],Table_NFI[Kitchen Set])</f>
        <v>0</v>
      </c>
      <c r="AF196" s="294">
        <f>IF(NFI_Expiration=1,IF($A196&lt;VLOOKUP(O$5,NFI,5,0),1,0)*Table_NFI[[#This Row],[Clothes Kit]],Table_NFI[Clothes Kit])</f>
        <v>0</v>
      </c>
      <c r="AG196" s="294">
        <f>IF(NFI_Expiration=1,IF($A196&lt;VLOOKUP(P$5,NFI,5,0),1,0)*Table_NFI[[#This Row],[Plastic Bucket]],Table_NFI[Plastic Bucket])</f>
        <v>0</v>
      </c>
      <c r="AH196" s="294">
        <f>IF(NFI_Expiration=1,IF($A196&lt;VLOOKUP(Q$5,NFI,5,0),1,0)*Table_NFI[[#This Row],[Plastic Mat]],Table_NFI[Plastic Mat])*IF(Table_NFI[[#This Row],[Distribution Date]]&gt;"2014-04-01",1,2.5)</f>
        <v>0</v>
      </c>
      <c r="AI196" s="294">
        <f>IF(NFI_Expiration=1,IF($A196&lt;VLOOKUP(R$5,NFI,5,0),1,0)*Table_NFI[[#This Row],[Winter Clothes Adult]],Table_NFI[Winter Clothes Adult])</f>
        <v>0</v>
      </c>
      <c r="AJ196" s="294">
        <f>IF(NFI_Expiration=1,IF($A196&lt;VLOOKUP(S$5,NFI,5,0),1,0)*Table_NFI[[#This Row],[Winter Clothes Children]],Table_NFI[Winter Clothes Children])</f>
        <v>0</v>
      </c>
      <c r="AK196" s="294">
        <f>IF(NFI_Expiration=1,IF($A196&lt;VLOOKUP(T$5,NFI,5,0),1,0)*Table_NFI[[#This Row],[Winter Items Other]],Table_NFI[Winter Items Other])</f>
        <v>0</v>
      </c>
      <c r="AL196" s="294">
        <f>IF(NFI_Expiration=1,IF($A196&lt;VLOOKUP(M$5,NFI,5,0),1,0)*Table_NFI[[#This Row],[Winter Blanket]],Table_NFI[[#This Row],[Winter Blanket]])</f>
        <v>0</v>
      </c>
      <c r="AM196" s="294">
        <f>IF(Table_NFI[[#This Row],[Winter Clothes Adult]]+Table_NFI[[#This Row],[Winter Clothes Children]]+Table_NFI[[#This Row],[Winter Items Other]]+Table_NFI[[#This Row],[Winter Blanket]]&gt;0,1,0)</f>
        <v>0</v>
      </c>
      <c r="AN196" s="331">
        <f>IF(NFI_Expiration=1,IF($A196&lt;VLOOKUP(V$5,NFI,5,0),1,0)*Table_NFI[[#This Row],[Jerry Can]],Table_NFI[Jerry Can])</f>
        <v>0</v>
      </c>
      <c r="AO196" s="331">
        <f>IF(NFI_Expiration=1,IF($A196&lt;VLOOKUP(V$5,NFI,5,0),1,0)*Table_NFI[[#This Row],[Shelter Tool kit]],Table_NFI[Shelter Tool kit])</f>
        <v>0</v>
      </c>
      <c r="AP196" s="331">
        <f>IF(NFI_Expiration=1,IF($A196&lt;VLOOKUP(V$5,NFI,5,0),1,0)*Table_NFI[[#This Row],[Tent]],Table_NFI[Tent])</f>
        <v>0</v>
      </c>
      <c r="AQ196" s="467" t="str">
        <f>IFERROR(VLOOKUP(Table_NFI[[#This Row],[Camp Name]],CL,2,0),"")</f>
        <v/>
      </c>
      <c r="AR196" s="835" t="str">
        <f ca="1">IF(Table_NFI[[#This Row],[Pcode]]="","",IF(OFFSET(CampList[Opening Date],MATCH(Table_NFI[[#This Row],[Pcode]],CampList[CP_Pcode],0)-1,0,1,1)&gt;=NFI_Monitor_Date,1,0))</f>
        <v/>
      </c>
      <c r="AS196" s="659" t="str">
        <f>IFERROR(VLOOKUP(Table_NFI[[#This Row],[Camp Name]],CL,3,0),"")</f>
        <v/>
      </c>
      <c r="AT196" s="294" t="str">
        <f ca="1">IF(Table_NFI[[#This Row],[Pcode]]="","",OFFSET(CampList[Priority],MATCH(Table_NFI[[#This Row],[Pcode]],CampList[CP_Pcode],0)-1,0,1,1))</f>
        <v/>
      </c>
      <c r="AU196" s="293" t="str">
        <f>IFERROR(Table_NFI[[#This Row],[Kitchen Set]]/VLOOKUP(Table_NFI[[#This Row],[Camp Name]],CL,4,0),"")</f>
        <v/>
      </c>
      <c r="AV196" s="461" t="s">
        <v>1092</v>
      </c>
      <c r="AW196" s="463"/>
    </row>
    <row r="197" spans="1:49" s="464" customFormat="1" ht="14.45" customHeight="1" x14ac:dyDescent="0.25">
      <c r="A197" s="297">
        <f t="shared" si="2"/>
        <v>23.033333333333335</v>
      </c>
      <c r="B197" s="460">
        <v>42045</v>
      </c>
      <c r="C197" s="461" t="s">
        <v>452</v>
      </c>
      <c r="D197" s="465" t="s">
        <v>452</v>
      </c>
      <c r="E197" s="465" t="s">
        <v>553</v>
      </c>
      <c r="F197" s="465" t="s">
        <v>151</v>
      </c>
      <c r="G197" s="465" t="s">
        <v>1335</v>
      </c>
      <c r="H197" s="292"/>
      <c r="I197" s="292"/>
      <c r="J197" s="292"/>
      <c r="K197" s="292">
        <v>75</v>
      </c>
      <c r="L197" s="292">
        <v>13</v>
      </c>
      <c r="M197" s="292">
        <v>110</v>
      </c>
      <c r="N197" s="292">
        <v>13</v>
      </c>
      <c r="O197" s="292"/>
      <c r="P197" s="294">
        <v>13</v>
      </c>
      <c r="Q197" s="294">
        <v>45</v>
      </c>
      <c r="R197" s="294"/>
      <c r="S197" s="294"/>
      <c r="T197" s="294"/>
      <c r="U197" s="294"/>
      <c r="V197" s="431"/>
      <c r="W197" s="294"/>
      <c r="X197" s="294"/>
      <c r="Y197" s="294">
        <f>IF(NFI_Expiration=1,IF($A197&lt;VLOOKUP(H$5,NFI,5,0),1,0)*Table_NFI[[#This Row],[Hygiene Kit]],Table_NFI[Hygiene Kit])</f>
        <v>0</v>
      </c>
      <c r="Z197" s="294">
        <f>IF(NFI_Expiration=1,IF($A197&lt;VLOOKUP(I$5,NFI,5,0),1,0)*Table_NFI[[#This Row],[NFI Core Kit]],Table_NFI[NFI Core Kit])</f>
        <v>0</v>
      </c>
      <c r="AA197" s="294">
        <f>IF(NFI_Expiration=1,IF($A197&lt;VLOOKUP(J$5,NFI,5,0),1,0)*Table_NFI[[#This Row],[Sanitary Kit]],Table_NFI[Sanitary Kit])</f>
        <v>0</v>
      </c>
      <c r="AB197" s="294">
        <f>IF(NFI_Expiration=1,IF($A197&lt;VLOOKUP(K$5,NFI,5,0),1,0)*Table_NFI[[#This Row],[Mosquito net]],Table_NFI[Mosquito net])</f>
        <v>0</v>
      </c>
      <c r="AC197" s="294">
        <f>IF(NFI_Expiration=1,IF($A197&lt;VLOOKUP(L$5,NFI,5,0),1,0)*Table_NFI[[#This Row],[Tarpaulin]],Table_NFI[[#This Row],[Tarpaulin]])</f>
        <v>0</v>
      </c>
      <c r="AD197" s="294">
        <f>IF(NFI_Expiration=1,IF($A197&lt;VLOOKUP(M$5,NFI,5,0),1,0)*Table_NFI[[#This Row],[Blanket]],Table_NFI[[#This Row],[Blanket]])</f>
        <v>0</v>
      </c>
      <c r="AE197" s="294">
        <f>IF(NFI_Expiration=1,IF($A197&lt;VLOOKUP(N$5,NFI,5,0),1,0)*Table_NFI[[#This Row],[Kitchen Set]],Table_NFI[Kitchen Set])</f>
        <v>0</v>
      </c>
      <c r="AF197" s="294">
        <f>IF(NFI_Expiration=1,IF($A197&lt;VLOOKUP(O$5,NFI,5,0),1,0)*Table_NFI[[#This Row],[Clothes Kit]],Table_NFI[Clothes Kit])</f>
        <v>0</v>
      </c>
      <c r="AG197" s="294">
        <f>IF(NFI_Expiration=1,IF($A197&lt;VLOOKUP(P$5,NFI,5,0),1,0)*Table_NFI[[#This Row],[Plastic Bucket]],Table_NFI[Plastic Bucket])</f>
        <v>0</v>
      </c>
      <c r="AH197" s="294">
        <f>IF(NFI_Expiration=1,IF($A197&lt;VLOOKUP(Q$5,NFI,5,0),1,0)*Table_NFI[[#This Row],[Plastic Mat]],Table_NFI[Plastic Mat])*IF(Table_NFI[[#This Row],[Distribution Date]]&gt;"2014-04-01",1,2.5)</f>
        <v>0</v>
      </c>
      <c r="AI197" s="294">
        <f>IF(NFI_Expiration=1,IF($A197&lt;VLOOKUP(R$5,NFI,5,0),1,0)*Table_NFI[[#This Row],[Winter Clothes Adult]],Table_NFI[Winter Clothes Adult])</f>
        <v>0</v>
      </c>
      <c r="AJ197" s="294">
        <f>IF(NFI_Expiration=1,IF($A197&lt;VLOOKUP(S$5,NFI,5,0),1,0)*Table_NFI[[#This Row],[Winter Clothes Children]],Table_NFI[Winter Clothes Children])</f>
        <v>0</v>
      </c>
      <c r="AK197" s="294">
        <f>IF(NFI_Expiration=1,IF($A197&lt;VLOOKUP(T$5,NFI,5,0),1,0)*Table_NFI[[#This Row],[Winter Items Other]],Table_NFI[Winter Items Other])</f>
        <v>0</v>
      </c>
      <c r="AL197" s="294">
        <f>IF(NFI_Expiration=1,IF($A197&lt;VLOOKUP(M$5,NFI,5,0),1,0)*Table_NFI[[#This Row],[Winter Blanket]],Table_NFI[[#This Row],[Winter Blanket]])</f>
        <v>0</v>
      </c>
      <c r="AM197" s="294">
        <f>IF(Table_NFI[[#This Row],[Winter Clothes Adult]]+Table_NFI[[#This Row],[Winter Clothes Children]]+Table_NFI[[#This Row],[Winter Items Other]]+Table_NFI[[#This Row],[Winter Blanket]]&gt;0,1,0)</f>
        <v>0</v>
      </c>
      <c r="AN197" s="331">
        <f>IF(NFI_Expiration=1,IF($A197&lt;VLOOKUP(V$5,NFI,5,0),1,0)*Table_NFI[[#This Row],[Jerry Can]],Table_NFI[Jerry Can])</f>
        <v>0</v>
      </c>
      <c r="AO197" s="331">
        <f>IF(NFI_Expiration=1,IF($A197&lt;VLOOKUP(V$5,NFI,5,0),1,0)*Table_NFI[[#This Row],[Shelter Tool kit]],Table_NFI[Shelter Tool kit])</f>
        <v>0</v>
      </c>
      <c r="AP197" s="331">
        <f>IF(NFI_Expiration=1,IF($A197&lt;VLOOKUP(V$5,NFI,5,0),1,0)*Table_NFI[[#This Row],[Tent]],Table_NFI[Tent])</f>
        <v>0</v>
      </c>
      <c r="AQ197" s="467" t="str">
        <f>IFERROR(VLOOKUP(Table_NFI[[#This Row],[Camp Name]],CL,2,0),"")</f>
        <v/>
      </c>
      <c r="AR197" s="835" t="str">
        <f ca="1">IF(Table_NFI[[#This Row],[Pcode]]="","",IF(OFFSET(CampList[Opening Date],MATCH(Table_NFI[[#This Row],[Pcode]],CampList[CP_Pcode],0)-1,0,1,1)&gt;=NFI_Monitor_Date,1,0))</f>
        <v/>
      </c>
      <c r="AS197" s="659" t="str">
        <f>IFERROR(VLOOKUP(Table_NFI[[#This Row],[Camp Name]],CL,3,0),"")</f>
        <v/>
      </c>
      <c r="AT197" s="294" t="str">
        <f ca="1">IF(Table_NFI[[#This Row],[Pcode]]="","",OFFSET(CampList[Priority],MATCH(Table_NFI[[#This Row],[Pcode]],CampList[CP_Pcode],0)-1,0,1,1))</f>
        <v/>
      </c>
      <c r="AU197" s="293" t="str">
        <f>IFERROR(Table_NFI[[#This Row],[Kitchen Set]]/VLOOKUP(Table_NFI[[#This Row],[Camp Name]],CL,4,0),"")</f>
        <v/>
      </c>
      <c r="AV197" s="461" t="s">
        <v>1092</v>
      </c>
      <c r="AW197" s="463"/>
    </row>
    <row r="198" spans="1:49" s="464" customFormat="1" ht="14.45" customHeight="1" x14ac:dyDescent="0.25">
      <c r="A198" s="297">
        <f t="shared" ref="A198:A261" si="3">IF(ISBLANK(B198),"",(Report_Date-B198)/30)</f>
        <v>23.033333333333335</v>
      </c>
      <c r="B198" s="460">
        <v>42045</v>
      </c>
      <c r="C198" s="465" t="s">
        <v>452</v>
      </c>
      <c r="D198" s="465" t="s">
        <v>452</v>
      </c>
      <c r="E198" s="465" t="s">
        <v>553</v>
      </c>
      <c r="F198" s="465" t="s">
        <v>151</v>
      </c>
      <c r="G198" s="465" t="s">
        <v>1333</v>
      </c>
      <c r="H198" s="292"/>
      <c r="I198" s="292">
        <v>200</v>
      </c>
      <c r="J198" s="292"/>
      <c r="K198" s="292">
        <v>86</v>
      </c>
      <c r="L198" s="292">
        <v>28</v>
      </c>
      <c r="M198" s="292">
        <v>173</v>
      </c>
      <c r="N198" s="292">
        <v>28</v>
      </c>
      <c r="O198" s="292"/>
      <c r="P198" s="294">
        <v>43</v>
      </c>
      <c r="Q198" s="294">
        <v>199</v>
      </c>
      <c r="R198" s="294"/>
      <c r="S198" s="294"/>
      <c r="T198" s="294"/>
      <c r="U198" s="294"/>
      <c r="V198" s="431">
        <v>42</v>
      </c>
      <c r="W198" s="294"/>
      <c r="X198" s="294"/>
      <c r="Y198" s="294">
        <f>IF(NFI_Expiration=1,IF($A198&lt;VLOOKUP(H$5,NFI,5,0),1,0)*Table_NFI[[#This Row],[Hygiene Kit]],Table_NFI[Hygiene Kit])</f>
        <v>0</v>
      </c>
      <c r="Z198" s="294">
        <f>IF(NFI_Expiration=1,IF($A198&lt;VLOOKUP(I$5,NFI,5,0),1,0)*Table_NFI[[#This Row],[NFI Core Kit]],Table_NFI[NFI Core Kit])</f>
        <v>0</v>
      </c>
      <c r="AA198" s="294">
        <f>IF(NFI_Expiration=1,IF($A198&lt;VLOOKUP(J$5,NFI,5,0),1,0)*Table_NFI[[#This Row],[Sanitary Kit]],Table_NFI[Sanitary Kit])</f>
        <v>0</v>
      </c>
      <c r="AB198" s="294">
        <f>IF(NFI_Expiration=1,IF($A198&lt;VLOOKUP(K$5,NFI,5,0),1,0)*Table_NFI[[#This Row],[Mosquito net]],Table_NFI[Mosquito net])</f>
        <v>0</v>
      </c>
      <c r="AC198" s="294">
        <f>IF(NFI_Expiration=1,IF($A198&lt;VLOOKUP(L$5,NFI,5,0),1,0)*Table_NFI[[#This Row],[Tarpaulin]],Table_NFI[[#This Row],[Tarpaulin]])</f>
        <v>0</v>
      </c>
      <c r="AD198" s="294">
        <f>IF(NFI_Expiration=1,IF($A198&lt;VLOOKUP(M$5,NFI,5,0),1,0)*Table_NFI[[#This Row],[Blanket]],Table_NFI[[#This Row],[Blanket]])</f>
        <v>0</v>
      </c>
      <c r="AE198" s="294">
        <f>IF(NFI_Expiration=1,IF($A198&lt;VLOOKUP(N$5,NFI,5,0),1,0)*Table_NFI[[#This Row],[Kitchen Set]],Table_NFI[Kitchen Set])</f>
        <v>0</v>
      </c>
      <c r="AF198" s="294">
        <f>IF(NFI_Expiration=1,IF($A198&lt;VLOOKUP(O$5,NFI,5,0),1,0)*Table_NFI[[#This Row],[Clothes Kit]],Table_NFI[Clothes Kit])</f>
        <v>0</v>
      </c>
      <c r="AG198" s="294">
        <f>IF(NFI_Expiration=1,IF($A198&lt;VLOOKUP(P$5,NFI,5,0),1,0)*Table_NFI[[#This Row],[Plastic Bucket]],Table_NFI[Plastic Bucket])</f>
        <v>0</v>
      </c>
      <c r="AH198" s="294">
        <f>IF(NFI_Expiration=1,IF($A198&lt;VLOOKUP(Q$5,NFI,5,0),1,0)*Table_NFI[[#This Row],[Plastic Mat]],Table_NFI[Plastic Mat])*IF(Table_NFI[[#This Row],[Distribution Date]]&gt;"2014-04-01",1,2.5)</f>
        <v>0</v>
      </c>
      <c r="AI198" s="294">
        <f>IF(NFI_Expiration=1,IF($A198&lt;VLOOKUP(R$5,NFI,5,0),1,0)*Table_NFI[[#This Row],[Winter Clothes Adult]],Table_NFI[Winter Clothes Adult])</f>
        <v>0</v>
      </c>
      <c r="AJ198" s="294">
        <f>IF(NFI_Expiration=1,IF($A198&lt;VLOOKUP(S$5,NFI,5,0),1,0)*Table_NFI[[#This Row],[Winter Clothes Children]],Table_NFI[Winter Clothes Children])</f>
        <v>0</v>
      </c>
      <c r="AK198" s="294">
        <f>IF(NFI_Expiration=1,IF($A198&lt;VLOOKUP(T$5,NFI,5,0),1,0)*Table_NFI[[#This Row],[Winter Items Other]],Table_NFI[Winter Items Other])</f>
        <v>0</v>
      </c>
      <c r="AL198" s="294">
        <f>IF(NFI_Expiration=1,IF($A198&lt;VLOOKUP(M$5,NFI,5,0),1,0)*Table_NFI[[#This Row],[Winter Blanket]],Table_NFI[[#This Row],[Winter Blanket]])</f>
        <v>0</v>
      </c>
      <c r="AM198" s="294">
        <f>IF(Table_NFI[[#This Row],[Winter Clothes Adult]]+Table_NFI[[#This Row],[Winter Clothes Children]]+Table_NFI[[#This Row],[Winter Items Other]]+Table_NFI[[#This Row],[Winter Blanket]]&gt;0,1,0)</f>
        <v>0</v>
      </c>
      <c r="AN198" s="331">
        <f>IF(NFI_Expiration=1,IF($A198&lt;VLOOKUP(V$5,NFI,5,0),1,0)*Table_NFI[[#This Row],[Jerry Can]],Table_NFI[Jerry Can])</f>
        <v>0</v>
      </c>
      <c r="AO198" s="331">
        <f>IF(NFI_Expiration=1,IF($A198&lt;VLOOKUP(V$5,NFI,5,0),1,0)*Table_NFI[[#This Row],[Shelter Tool kit]],Table_NFI[Shelter Tool kit])</f>
        <v>0</v>
      </c>
      <c r="AP198" s="331">
        <f>IF(NFI_Expiration=1,IF($A198&lt;VLOOKUP(V$5,NFI,5,0),1,0)*Table_NFI[[#This Row],[Tent]],Table_NFI[Tent])</f>
        <v>0</v>
      </c>
      <c r="AQ198" s="467" t="str">
        <f>IFERROR(VLOOKUP(Table_NFI[[#This Row],[Camp Name]],CL,2,0),"")</f>
        <v/>
      </c>
      <c r="AR198" s="835" t="str">
        <f ca="1">IF(Table_NFI[[#This Row],[Pcode]]="","",IF(OFFSET(CampList[Opening Date],MATCH(Table_NFI[[#This Row],[Pcode]],CampList[CP_Pcode],0)-1,0,1,1)&gt;=NFI_Monitor_Date,1,0))</f>
        <v/>
      </c>
      <c r="AS198" s="659" t="str">
        <f>IFERROR(VLOOKUP(Table_NFI[[#This Row],[Camp Name]],CL,3,0),"")</f>
        <v/>
      </c>
      <c r="AT198" s="294" t="str">
        <f ca="1">IF(Table_NFI[[#This Row],[Pcode]]="","",OFFSET(CampList[Priority],MATCH(Table_NFI[[#This Row],[Pcode]],CampList[CP_Pcode],0)-1,0,1,1))</f>
        <v/>
      </c>
      <c r="AU198" s="293" t="str">
        <f>IFERROR(Table_NFI[[#This Row],[Kitchen Set]]/VLOOKUP(Table_NFI[[#This Row],[Camp Name]],CL,4,0),"")</f>
        <v/>
      </c>
      <c r="AV198" s="461" t="s">
        <v>1092</v>
      </c>
      <c r="AW198" s="468"/>
    </row>
    <row r="199" spans="1:49" s="464" customFormat="1" ht="14.45" customHeight="1" x14ac:dyDescent="0.25">
      <c r="A199" s="297">
        <f t="shared" si="3"/>
        <v>23.033333333333335</v>
      </c>
      <c r="B199" s="460">
        <v>42045</v>
      </c>
      <c r="C199" s="461" t="s">
        <v>452</v>
      </c>
      <c r="D199" s="465" t="s">
        <v>452</v>
      </c>
      <c r="E199" s="465" t="s">
        <v>553</v>
      </c>
      <c r="F199" s="465" t="s">
        <v>151</v>
      </c>
      <c r="G199" s="465" t="s">
        <v>1336</v>
      </c>
      <c r="H199" s="292"/>
      <c r="I199" s="292"/>
      <c r="J199" s="292"/>
      <c r="K199" s="292">
        <v>90</v>
      </c>
      <c r="L199" s="292">
        <v>43</v>
      </c>
      <c r="M199" s="292">
        <v>93</v>
      </c>
      <c r="N199" s="292">
        <v>43</v>
      </c>
      <c r="O199" s="292"/>
      <c r="P199" s="294">
        <v>32</v>
      </c>
      <c r="Q199" s="294">
        <v>164</v>
      </c>
      <c r="R199" s="294"/>
      <c r="S199" s="294"/>
      <c r="T199" s="294"/>
      <c r="U199" s="294"/>
      <c r="V199" s="431">
        <v>43</v>
      </c>
      <c r="W199" s="294"/>
      <c r="X199" s="294"/>
      <c r="Y199" s="294">
        <f>IF(NFI_Expiration=1,IF($A199&lt;VLOOKUP(H$5,NFI,5,0),1,0)*Table_NFI[[#This Row],[Hygiene Kit]],Table_NFI[Hygiene Kit])</f>
        <v>0</v>
      </c>
      <c r="Z199" s="294">
        <f>IF(NFI_Expiration=1,IF($A199&lt;VLOOKUP(I$5,NFI,5,0),1,0)*Table_NFI[[#This Row],[NFI Core Kit]],Table_NFI[NFI Core Kit])</f>
        <v>0</v>
      </c>
      <c r="AA199" s="294">
        <f>IF(NFI_Expiration=1,IF($A199&lt;VLOOKUP(J$5,NFI,5,0),1,0)*Table_NFI[[#This Row],[Sanitary Kit]],Table_NFI[Sanitary Kit])</f>
        <v>0</v>
      </c>
      <c r="AB199" s="294">
        <f>IF(NFI_Expiration=1,IF($A199&lt;VLOOKUP(K$5,NFI,5,0),1,0)*Table_NFI[[#This Row],[Mosquito net]],Table_NFI[Mosquito net])</f>
        <v>0</v>
      </c>
      <c r="AC199" s="294">
        <f>IF(NFI_Expiration=1,IF($A199&lt;VLOOKUP(L$5,NFI,5,0),1,0)*Table_NFI[[#This Row],[Tarpaulin]],Table_NFI[[#This Row],[Tarpaulin]])</f>
        <v>0</v>
      </c>
      <c r="AD199" s="294">
        <f>IF(NFI_Expiration=1,IF($A199&lt;VLOOKUP(M$5,NFI,5,0),1,0)*Table_NFI[[#This Row],[Blanket]],Table_NFI[[#This Row],[Blanket]])</f>
        <v>0</v>
      </c>
      <c r="AE199" s="294">
        <f>IF(NFI_Expiration=1,IF($A199&lt;VLOOKUP(N$5,NFI,5,0),1,0)*Table_NFI[[#This Row],[Kitchen Set]],Table_NFI[Kitchen Set])</f>
        <v>0</v>
      </c>
      <c r="AF199" s="294">
        <f>IF(NFI_Expiration=1,IF($A199&lt;VLOOKUP(O$5,NFI,5,0),1,0)*Table_NFI[[#This Row],[Clothes Kit]],Table_NFI[Clothes Kit])</f>
        <v>0</v>
      </c>
      <c r="AG199" s="294">
        <f>IF(NFI_Expiration=1,IF($A199&lt;VLOOKUP(P$5,NFI,5,0),1,0)*Table_NFI[[#This Row],[Plastic Bucket]],Table_NFI[Plastic Bucket])</f>
        <v>0</v>
      </c>
      <c r="AH199" s="294">
        <f>IF(NFI_Expiration=1,IF($A199&lt;VLOOKUP(Q$5,NFI,5,0),1,0)*Table_NFI[[#This Row],[Plastic Mat]],Table_NFI[Plastic Mat])*IF(Table_NFI[[#This Row],[Distribution Date]]&gt;"2014-04-01",1,2.5)</f>
        <v>0</v>
      </c>
      <c r="AI199" s="294">
        <f>IF(NFI_Expiration=1,IF($A199&lt;VLOOKUP(R$5,NFI,5,0),1,0)*Table_NFI[[#This Row],[Winter Clothes Adult]],Table_NFI[Winter Clothes Adult])</f>
        <v>0</v>
      </c>
      <c r="AJ199" s="294">
        <f>IF(NFI_Expiration=1,IF($A199&lt;VLOOKUP(S$5,NFI,5,0),1,0)*Table_NFI[[#This Row],[Winter Clothes Children]],Table_NFI[Winter Clothes Children])</f>
        <v>0</v>
      </c>
      <c r="AK199" s="294">
        <f>IF(NFI_Expiration=1,IF($A199&lt;VLOOKUP(T$5,NFI,5,0),1,0)*Table_NFI[[#This Row],[Winter Items Other]],Table_NFI[Winter Items Other])</f>
        <v>0</v>
      </c>
      <c r="AL199" s="294">
        <f>IF(NFI_Expiration=1,IF($A199&lt;VLOOKUP(M$5,NFI,5,0),1,0)*Table_NFI[[#This Row],[Winter Blanket]],Table_NFI[[#This Row],[Winter Blanket]])</f>
        <v>0</v>
      </c>
      <c r="AM199" s="294">
        <f>IF(Table_NFI[[#This Row],[Winter Clothes Adult]]+Table_NFI[[#This Row],[Winter Clothes Children]]+Table_NFI[[#This Row],[Winter Items Other]]+Table_NFI[[#This Row],[Winter Blanket]]&gt;0,1,0)</f>
        <v>0</v>
      </c>
      <c r="AN199" s="331">
        <f>IF(NFI_Expiration=1,IF($A199&lt;VLOOKUP(V$5,NFI,5,0),1,0)*Table_NFI[[#This Row],[Jerry Can]],Table_NFI[Jerry Can])</f>
        <v>0</v>
      </c>
      <c r="AO199" s="331">
        <f>IF(NFI_Expiration=1,IF($A199&lt;VLOOKUP(V$5,NFI,5,0),1,0)*Table_NFI[[#This Row],[Shelter Tool kit]],Table_NFI[Shelter Tool kit])</f>
        <v>0</v>
      </c>
      <c r="AP199" s="331">
        <f>IF(NFI_Expiration=1,IF($A199&lt;VLOOKUP(V$5,NFI,5,0),1,0)*Table_NFI[[#This Row],[Tent]],Table_NFI[Tent])</f>
        <v>0</v>
      </c>
      <c r="AQ199" s="467" t="str">
        <f>IFERROR(VLOOKUP(Table_NFI[[#This Row],[Camp Name]],CL,2,0),"")</f>
        <v/>
      </c>
      <c r="AR199" s="835" t="str">
        <f ca="1">IF(Table_NFI[[#This Row],[Pcode]]="","",IF(OFFSET(CampList[Opening Date],MATCH(Table_NFI[[#This Row],[Pcode]],CampList[CP_Pcode],0)-1,0,1,1)&gt;=NFI_Monitor_Date,1,0))</f>
        <v/>
      </c>
      <c r="AS199" s="659" t="str">
        <f>IFERROR(VLOOKUP(Table_NFI[[#This Row],[Camp Name]],CL,3,0),"")</f>
        <v/>
      </c>
      <c r="AT199" s="294" t="str">
        <f ca="1">IF(Table_NFI[[#This Row],[Pcode]]="","",OFFSET(CampList[Priority],MATCH(Table_NFI[[#This Row],[Pcode]],CampList[CP_Pcode],0)-1,0,1,1))</f>
        <v/>
      </c>
      <c r="AU199" s="293" t="str">
        <f>IFERROR(Table_NFI[[#This Row],[Kitchen Set]]/VLOOKUP(Table_NFI[[#This Row],[Camp Name]],CL,4,0),"")</f>
        <v/>
      </c>
      <c r="AV199" s="461" t="s">
        <v>1092</v>
      </c>
      <c r="AW199" s="463"/>
    </row>
    <row r="200" spans="1:49" s="464" customFormat="1" ht="14.45" customHeight="1" x14ac:dyDescent="0.25">
      <c r="A200" s="297">
        <f t="shared" si="3"/>
        <v>23.033333333333335</v>
      </c>
      <c r="B200" s="460">
        <v>42045</v>
      </c>
      <c r="C200" s="465" t="s">
        <v>452</v>
      </c>
      <c r="D200" s="465" t="s">
        <v>460</v>
      </c>
      <c r="E200" s="465" t="s">
        <v>380</v>
      </c>
      <c r="F200" s="465" t="s">
        <v>300</v>
      </c>
      <c r="G200" s="465" t="s">
        <v>1318</v>
      </c>
      <c r="H200" s="292"/>
      <c r="I200" s="292"/>
      <c r="J200" s="292">
        <v>46</v>
      </c>
      <c r="K200" s="292">
        <v>92</v>
      </c>
      <c r="L200" s="292">
        <v>46</v>
      </c>
      <c r="M200" s="292">
        <v>92</v>
      </c>
      <c r="N200" s="292">
        <v>46</v>
      </c>
      <c r="O200" s="292"/>
      <c r="P200" s="294">
        <v>46</v>
      </c>
      <c r="Q200" s="294">
        <v>230</v>
      </c>
      <c r="R200" s="294"/>
      <c r="S200" s="294"/>
      <c r="T200" s="294"/>
      <c r="U200" s="294"/>
      <c r="V200" s="431">
        <v>46</v>
      </c>
      <c r="W200" s="294"/>
      <c r="X200" s="294">
        <v>55</v>
      </c>
      <c r="Y200" s="294">
        <f>IF(NFI_Expiration=1,IF($A200&lt;VLOOKUP(H$5,NFI,5,0),1,0)*Table_NFI[[#This Row],[Hygiene Kit]],Table_NFI[Hygiene Kit])</f>
        <v>0</v>
      </c>
      <c r="Z200" s="294">
        <f>IF(NFI_Expiration=1,IF($A200&lt;VLOOKUP(I$5,NFI,5,0),1,0)*Table_NFI[[#This Row],[NFI Core Kit]],Table_NFI[NFI Core Kit])</f>
        <v>0</v>
      </c>
      <c r="AA200" s="294">
        <f>IF(NFI_Expiration=1,IF($A200&lt;VLOOKUP(J$5,NFI,5,0),1,0)*Table_NFI[[#This Row],[Sanitary Kit]],Table_NFI[Sanitary Kit])</f>
        <v>0</v>
      </c>
      <c r="AB200" s="294">
        <f>IF(NFI_Expiration=1,IF($A200&lt;VLOOKUP(K$5,NFI,5,0),1,0)*Table_NFI[[#This Row],[Mosquito net]],Table_NFI[Mosquito net])</f>
        <v>0</v>
      </c>
      <c r="AC200" s="294">
        <f>IF(NFI_Expiration=1,IF($A200&lt;VLOOKUP(L$5,NFI,5,0),1,0)*Table_NFI[[#This Row],[Tarpaulin]],Table_NFI[[#This Row],[Tarpaulin]])</f>
        <v>0</v>
      </c>
      <c r="AD200" s="294">
        <f>IF(NFI_Expiration=1,IF($A200&lt;VLOOKUP(M$5,NFI,5,0),1,0)*Table_NFI[[#This Row],[Blanket]],Table_NFI[[#This Row],[Blanket]])</f>
        <v>0</v>
      </c>
      <c r="AE200" s="294">
        <f>IF(NFI_Expiration=1,IF($A200&lt;VLOOKUP(N$5,NFI,5,0),1,0)*Table_NFI[[#This Row],[Kitchen Set]],Table_NFI[Kitchen Set])</f>
        <v>0</v>
      </c>
      <c r="AF200" s="294">
        <f>IF(NFI_Expiration=1,IF($A200&lt;VLOOKUP(O$5,NFI,5,0),1,0)*Table_NFI[[#This Row],[Clothes Kit]],Table_NFI[Clothes Kit])</f>
        <v>0</v>
      </c>
      <c r="AG200" s="294">
        <f>IF(NFI_Expiration=1,IF($A200&lt;VLOOKUP(P$5,NFI,5,0),1,0)*Table_NFI[[#This Row],[Plastic Bucket]],Table_NFI[Plastic Bucket])</f>
        <v>0</v>
      </c>
      <c r="AH200" s="294">
        <f>IF(NFI_Expiration=1,IF($A200&lt;VLOOKUP(Q$5,NFI,5,0),1,0)*Table_NFI[[#This Row],[Plastic Mat]],Table_NFI[Plastic Mat])*IF(Table_NFI[[#This Row],[Distribution Date]]&gt;"2014-04-01",1,2.5)</f>
        <v>0</v>
      </c>
      <c r="AI200" s="294">
        <f>IF(NFI_Expiration=1,IF($A200&lt;VLOOKUP(R$5,NFI,5,0),1,0)*Table_NFI[[#This Row],[Winter Clothes Adult]],Table_NFI[Winter Clothes Adult])</f>
        <v>0</v>
      </c>
      <c r="AJ200" s="294">
        <f>IF(NFI_Expiration=1,IF($A200&lt;VLOOKUP(S$5,NFI,5,0),1,0)*Table_NFI[[#This Row],[Winter Clothes Children]],Table_NFI[Winter Clothes Children])</f>
        <v>0</v>
      </c>
      <c r="AK200" s="294">
        <f>IF(NFI_Expiration=1,IF($A200&lt;VLOOKUP(T$5,NFI,5,0),1,0)*Table_NFI[[#This Row],[Winter Items Other]],Table_NFI[Winter Items Other])</f>
        <v>0</v>
      </c>
      <c r="AL200" s="294">
        <f>IF(NFI_Expiration=1,IF($A200&lt;VLOOKUP(M$5,NFI,5,0),1,0)*Table_NFI[[#This Row],[Winter Blanket]],Table_NFI[[#This Row],[Winter Blanket]])</f>
        <v>0</v>
      </c>
      <c r="AM200" s="294">
        <f>IF(Table_NFI[[#This Row],[Winter Clothes Adult]]+Table_NFI[[#This Row],[Winter Clothes Children]]+Table_NFI[[#This Row],[Winter Items Other]]+Table_NFI[[#This Row],[Winter Blanket]]&gt;0,1,0)</f>
        <v>0</v>
      </c>
      <c r="AN200" s="331">
        <f>IF(NFI_Expiration=1,IF($A200&lt;VLOOKUP(V$5,NFI,5,0),1,0)*Table_NFI[[#This Row],[Jerry Can]],Table_NFI[Jerry Can])</f>
        <v>0</v>
      </c>
      <c r="AO200" s="331">
        <f>IF(NFI_Expiration=1,IF($A200&lt;VLOOKUP(V$5,NFI,5,0),1,0)*Table_NFI[[#This Row],[Shelter Tool kit]],Table_NFI[Shelter Tool kit])</f>
        <v>0</v>
      </c>
      <c r="AP200" s="331">
        <f>IF(NFI_Expiration=1,IF($A200&lt;VLOOKUP(V$5,NFI,5,0),1,0)*Table_NFI[[#This Row],[Tent]],Table_NFI[Tent])</f>
        <v>0</v>
      </c>
      <c r="AQ200" s="467" t="str">
        <f>IFERROR(VLOOKUP(Table_NFI[[#This Row],[Camp Name]],CL,2,0),"")</f>
        <v/>
      </c>
      <c r="AR200" s="835" t="str">
        <f ca="1">IF(Table_NFI[[#This Row],[Pcode]]="","",IF(OFFSET(CampList[Opening Date],MATCH(Table_NFI[[#This Row],[Pcode]],CampList[CP_Pcode],0)-1,0,1,1)&gt;=NFI_Monitor_Date,1,0))</f>
        <v/>
      </c>
      <c r="AS200" s="659" t="str">
        <f>IFERROR(VLOOKUP(Table_NFI[[#This Row],[Camp Name]],CL,3,0),"")</f>
        <v/>
      </c>
      <c r="AT200" s="294" t="str">
        <f ca="1">IF(Table_NFI[[#This Row],[Pcode]]="","",OFFSET(CampList[Priority],MATCH(Table_NFI[[#This Row],[Pcode]],CampList[CP_Pcode],0)-1,0,1,1))</f>
        <v/>
      </c>
      <c r="AU200" s="293" t="str">
        <f>IFERROR(Table_NFI[[#This Row],[Kitchen Set]]/VLOOKUP(Table_NFI[[#This Row],[Camp Name]],CL,4,0),"")</f>
        <v/>
      </c>
      <c r="AV200" s="461" t="s">
        <v>1092</v>
      </c>
      <c r="AW200" s="468"/>
    </row>
    <row r="201" spans="1:49" s="464" customFormat="1" x14ac:dyDescent="0.25">
      <c r="A201" s="297">
        <f t="shared" si="3"/>
        <v>23.533333333333335</v>
      </c>
      <c r="B201" s="460">
        <v>42030</v>
      </c>
      <c r="C201" s="465" t="s">
        <v>452</v>
      </c>
      <c r="D201" s="465" t="s">
        <v>460</v>
      </c>
      <c r="E201" s="465" t="s">
        <v>380</v>
      </c>
      <c r="F201" s="465" t="s">
        <v>527</v>
      </c>
      <c r="G201" s="465" t="s">
        <v>120</v>
      </c>
      <c r="H201" s="292"/>
      <c r="I201" s="292">
        <v>100</v>
      </c>
      <c r="J201" s="292"/>
      <c r="K201" s="292">
        <v>200</v>
      </c>
      <c r="L201" s="292">
        <v>200</v>
      </c>
      <c r="M201" s="292">
        <v>200</v>
      </c>
      <c r="N201" s="292">
        <v>100</v>
      </c>
      <c r="O201" s="292"/>
      <c r="P201" s="294">
        <v>100</v>
      </c>
      <c r="Q201" s="294">
        <v>500</v>
      </c>
      <c r="R201" s="294"/>
      <c r="S201" s="294"/>
      <c r="T201" s="294"/>
      <c r="U201" s="294"/>
      <c r="V201" s="431">
        <v>100</v>
      </c>
      <c r="W201" s="294"/>
      <c r="X201" s="294"/>
      <c r="Y201" s="294">
        <f>IF(NFI_Expiration=1,IF($A201&lt;VLOOKUP(H$5,NFI,5,0),1,0)*Table_NFI[[#This Row],[Hygiene Kit]],Table_NFI[Hygiene Kit])</f>
        <v>0</v>
      </c>
      <c r="Z201" s="294">
        <f>IF(NFI_Expiration=1,IF($A201&lt;VLOOKUP(I$5,NFI,5,0),1,0)*Table_NFI[[#This Row],[NFI Core Kit]],Table_NFI[NFI Core Kit])</f>
        <v>0</v>
      </c>
      <c r="AA201" s="294">
        <f>IF(NFI_Expiration=1,IF($A201&lt;VLOOKUP(J$5,NFI,5,0),1,0)*Table_NFI[[#This Row],[Sanitary Kit]],Table_NFI[Sanitary Kit])</f>
        <v>0</v>
      </c>
      <c r="AB201" s="294">
        <f>IF(NFI_Expiration=1,IF($A201&lt;VLOOKUP(K$5,NFI,5,0),1,0)*Table_NFI[[#This Row],[Mosquito net]],Table_NFI[Mosquito net])</f>
        <v>0</v>
      </c>
      <c r="AC201" s="294">
        <f>IF(NFI_Expiration=1,IF($A201&lt;VLOOKUP(L$5,NFI,5,0),1,0)*Table_NFI[[#This Row],[Tarpaulin]],Table_NFI[[#This Row],[Tarpaulin]])</f>
        <v>0</v>
      </c>
      <c r="AD201" s="294">
        <f>IF(NFI_Expiration=1,IF($A201&lt;VLOOKUP(M$5,NFI,5,0),1,0)*Table_NFI[[#This Row],[Blanket]],Table_NFI[[#This Row],[Blanket]])</f>
        <v>0</v>
      </c>
      <c r="AE201" s="294">
        <f>IF(NFI_Expiration=1,IF($A201&lt;VLOOKUP(N$5,NFI,5,0),1,0)*Table_NFI[[#This Row],[Kitchen Set]],Table_NFI[Kitchen Set])</f>
        <v>0</v>
      </c>
      <c r="AF201" s="294">
        <f>IF(NFI_Expiration=1,IF($A201&lt;VLOOKUP(O$5,NFI,5,0),1,0)*Table_NFI[[#This Row],[Clothes Kit]],Table_NFI[Clothes Kit])</f>
        <v>0</v>
      </c>
      <c r="AG201" s="294">
        <f>IF(NFI_Expiration=1,IF($A201&lt;VLOOKUP(P$5,NFI,5,0),1,0)*Table_NFI[[#This Row],[Plastic Bucket]],Table_NFI[Plastic Bucket])</f>
        <v>0</v>
      </c>
      <c r="AH201" s="294">
        <f>IF(NFI_Expiration=1,IF($A201&lt;VLOOKUP(Q$5,NFI,5,0),1,0)*Table_NFI[[#This Row],[Plastic Mat]],Table_NFI[Plastic Mat])*IF(Table_NFI[[#This Row],[Distribution Date]]&gt;"2014-04-01",1,2.5)</f>
        <v>0</v>
      </c>
      <c r="AI201" s="294">
        <f>IF(NFI_Expiration=1,IF($A201&lt;VLOOKUP(R$5,NFI,5,0),1,0)*Table_NFI[[#This Row],[Winter Clothes Adult]],Table_NFI[Winter Clothes Adult])</f>
        <v>0</v>
      </c>
      <c r="AJ201" s="294">
        <f>IF(NFI_Expiration=1,IF($A201&lt;VLOOKUP(S$5,NFI,5,0),1,0)*Table_NFI[[#This Row],[Winter Clothes Children]],Table_NFI[Winter Clothes Children])</f>
        <v>0</v>
      </c>
      <c r="AK201" s="294">
        <f>IF(NFI_Expiration=1,IF($A201&lt;VLOOKUP(T$5,NFI,5,0),1,0)*Table_NFI[[#This Row],[Winter Items Other]],Table_NFI[Winter Items Other])</f>
        <v>0</v>
      </c>
      <c r="AL201" s="294">
        <f>IF(NFI_Expiration=1,IF($A201&lt;VLOOKUP(M$5,NFI,5,0),1,0)*Table_NFI[[#This Row],[Winter Blanket]],Table_NFI[[#This Row],[Winter Blanket]])</f>
        <v>0</v>
      </c>
      <c r="AM201" s="294">
        <f>IF(Table_NFI[[#This Row],[Winter Clothes Adult]]+Table_NFI[[#This Row],[Winter Clothes Children]]+Table_NFI[[#This Row],[Winter Items Other]]+Table_NFI[[#This Row],[Winter Blanket]]&gt;0,1,0)</f>
        <v>0</v>
      </c>
      <c r="AN201" s="331">
        <f>IF(NFI_Expiration=1,IF($A201&lt;VLOOKUP(V$5,NFI,5,0),1,0)*Table_NFI[[#This Row],[Jerry Can]],Table_NFI[Jerry Can])</f>
        <v>0</v>
      </c>
      <c r="AO201" s="331">
        <f>IF(NFI_Expiration=1,IF($A201&lt;VLOOKUP(V$5,NFI,5,0),1,0)*Table_NFI[[#This Row],[Shelter Tool kit]],Table_NFI[Shelter Tool kit])</f>
        <v>0</v>
      </c>
      <c r="AP201" s="331">
        <f>IF(NFI_Expiration=1,IF($A201&lt;VLOOKUP(V$5,NFI,5,0),1,0)*Table_NFI[[#This Row],[Tent]],Table_NFI[Tent])</f>
        <v>0</v>
      </c>
      <c r="AQ201" s="467" t="str">
        <f>IFERROR(VLOOKUP(Table_NFI[[#This Row],[Camp Name]],CL,2,0),"")</f>
        <v>MMR001CMP168</v>
      </c>
      <c r="AR201" s="835">
        <f ca="1">IF(Table_NFI[[#This Row],[Pcode]]="","",IF(OFFSET(CampList[Opening Date],MATCH(Table_NFI[[#This Row],[Pcode]],CampList[CP_Pcode],0)-1,0,1,1)&gt;=NFI_Monitor_Date,1,0))</f>
        <v>0</v>
      </c>
      <c r="AS201" s="467" t="str">
        <f>IFERROR(VLOOKUP(Table_NFI[[#This Row],[Camp Name]],CL,3,0),"")</f>
        <v>Open</v>
      </c>
      <c r="AT201" s="294" t="str">
        <f ca="1">IF(Table_NFI[[#This Row],[Pcode]]="","",OFFSET(CampList[Priority],MATCH(Table_NFI[[#This Row],[Pcode]],CampList[CP_Pcode],0)-1,0,1,1))</f>
        <v>P4</v>
      </c>
      <c r="AU201" s="293">
        <f>IFERROR(Table_NFI[[#This Row],[Kitchen Set]]/VLOOKUP(Table_NFI[[#This Row],[Camp Name]],CL,4,0),"")</f>
        <v>2.4227740763173833E-3</v>
      </c>
      <c r="AV201" s="461" t="s">
        <v>1092</v>
      </c>
      <c r="AW201" s="468" t="s">
        <v>1339</v>
      </c>
    </row>
    <row r="202" spans="1:49" s="464" customFormat="1" ht="14.45" customHeight="1" x14ac:dyDescent="0.25">
      <c r="A202" s="297">
        <f t="shared" si="3"/>
        <v>23.533333333333335</v>
      </c>
      <c r="B202" s="460">
        <v>42030</v>
      </c>
      <c r="C202" s="461" t="s">
        <v>452</v>
      </c>
      <c r="D202" s="465" t="s">
        <v>506</v>
      </c>
      <c r="E202" s="465" t="s">
        <v>380</v>
      </c>
      <c r="F202" s="465" t="s">
        <v>527</v>
      </c>
      <c r="G202" s="465" t="s">
        <v>1337</v>
      </c>
      <c r="H202" s="292"/>
      <c r="I202" s="292">
        <v>200</v>
      </c>
      <c r="J202" s="292"/>
      <c r="K202" s="292">
        <v>400</v>
      </c>
      <c r="L202" s="292">
        <v>250</v>
      </c>
      <c r="M202" s="292">
        <v>400</v>
      </c>
      <c r="N202" s="292">
        <v>200</v>
      </c>
      <c r="O202" s="292"/>
      <c r="P202" s="294">
        <v>200</v>
      </c>
      <c r="Q202" s="294">
        <v>1200</v>
      </c>
      <c r="R202" s="294"/>
      <c r="S202" s="294"/>
      <c r="T202" s="294"/>
      <c r="U202" s="294"/>
      <c r="V202" s="431">
        <v>200</v>
      </c>
      <c r="W202" s="294"/>
      <c r="X202" s="294">
        <v>30</v>
      </c>
      <c r="Y202" s="294">
        <f>IF(NFI_Expiration=1,IF($A202&lt;VLOOKUP(H$5,NFI,5,0),1,0)*Table_NFI[[#This Row],[Hygiene Kit]],Table_NFI[Hygiene Kit])</f>
        <v>0</v>
      </c>
      <c r="Z202" s="294">
        <f>IF(NFI_Expiration=1,IF($A202&lt;VLOOKUP(I$5,NFI,5,0),1,0)*Table_NFI[[#This Row],[NFI Core Kit]],Table_NFI[NFI Core Kit])</f>
        <v>0</v>
      </c>
      <c r="AA202" s="294">
        <f>IF(NFI_Expiration=1,IF($A202&lt;VLOOKUP(J$5,NFI,5,0),1,0)*Table_NFI[[#This Row],[Sanitary Kit]],Table_NFI[Sanitary Kit])</f>
        <v>0</v>
      </c>
      <c r="AB202" s="294">
        <f>IF(NFI_Expiration=1,IF($A202&lt;VLOOKUP(K$5,NFI,5,0),1,0)*Table_NFI[[#This Row],[Mosquito net]],Table_NFI[Mosquito net])</f>
        <v>0</v>
      </c>
      <c r="AC202" s="294">
        <f>IF(NFI_Expiration=1,IF($A202&lt;VLOOKUP(L$5,NFI,5,0),1,0)*Table_NFI[[#This Row],[Tarpaulin]],Table_NFI[[#This Row],[Tarpaulin]])</f>
        <v>0</v>
      </c>
      <c r="AD202" s="294">
        <f>IF(NFI_Expiration=1,IF($A202&lt;VLOOKUP(M$5,NFI,5,0),1,0)*Table_NFI[[#This Row],[Blanket]],Table_NFI[[#This Row],[Blanket]])</f>
        <v>0</v>
      </c>
      <c r="AE202" s="294">
        <f>IF(NFI_Expiration=1,IF($A202&lt;VLOOKUP(N$5,NFI,5,0),1,0)*Table_NFI[[#This Row],[Kitchen Set]],Table_NFI[Kitchen Set])</f>
        <v>0</v>
      </c>
      <c r="AF202" s="294">
        <f>IF(NFI_Expiration=1,IF($A202&lt;VLOOKUP(O$5,NFI,5,0),1,0)*Table_NFI[[#This Row],[Clothes Kit]],Table_NFI[Clothes Kit])</f>
        <v>0</v>
      </c>
      <c r="AG202" s="294">
        <f>IF(NFI_Expiration=1,IF($A202&lt;VLOOKUP(P$5,NFI,5,0),1,0)*Table_NFI[[#This Row],[Plastic Bucket]],Table_NFI[Plastic Bucket])</f>
        <v>0</v>
      </c>
      <c r="AH202" s="294">
        <f>IF(NFI_Expiration=1,IF($A202&lt;VLOOKUP(Q$5,NFI,5,0),1,0)*Table_NFI[[#This Row],[Plastic Mat]],Table_NFI[Plastic Mat])*IF(Table_NFI[[#This Row],[Distribution Date]]&gt;"2014-04-01",1,2.5)</f>
        <v>0</v>
      </c>
      <c r="AI202" s="294">
        <f>IF(NFI_Expiration=1,IF($A202&lt;VLOOKUP(R$5,NFI,5,0),1,0)*Table_NFI[[#This Row],[Winter Clothes Adult]],Table_NFI[Winter Clothes Adult])</f>
        <v>0</v>
      </c>
      <c r="AJ202" s="294">
        <f>IF(NFI_Expiration=1,IF($A202&lt;VLOOKUP(S$5,NFI,5,0),1,0)*Table_NFI[[#This Row],[Winter Clothes Children]],Table_NFI[Winter Clothes Children])</f>
        <v>0</v>
      </c>
      <c r="AK202" s="294">
        <f>IF(NFI_Expiration=1,IF($A202&lt;VLOOKUP(T$5,NFI,5,0),1,0)*Table_NFI[[#This Row],[Winter Items Other]],Table_NFI[Winter Items Other])</f>
        <v>0</v>
      </c>
      <c r="AL202" s="294">
        <f>IF(NFI_Expiration=1,IF($A202&lt;VLOOKUP(M$5,NFI,5,0),1,0)*Table_NFI[[#This Row],[Winter Blanket]],Table_NFI[[#This Row],[Winter Blanket]])</f>
        <v>0</v>
      </c>
      <c r="AM202" s="294">
        <f>IF(Table_NFI[[#This Row],[Winter Clothes Adult]]+Table_NFI[[#This Row],[Winter Clothes Children]]+Table_NFI[[#This Row],[Winter Items Other]]+Table_NFI[[#This Row],[Winter Blanket]]&gt;0,1,0)</f>
        <v>0</v>
      </c>
      <c r="AN202" s="331">
        <f>IF(NFI_Expiration=1,IF($A202&lt;VLOOKUP(V$5,NFI,5,0),1,0)*Table_NFI[[#This Row],[Jerry Can]],Table_NFI[Jerry Can])</f>
        <v>0</v>
      </c>
      <c r="AO202" s="331">
        <f>IF(NFI_Expiration=1,IF($A202&lt;VLOOKUP(V$5,NFI,5,0),1,0)*Table_NFI[[#This Row],[Shelter Tool kit]],Table_NFI[Shelter Tool kit])</f>
        <v>0</v>
      </c>
      <c r="AP202" s="331">
        <f>IF(NFI_Expiration=1,IF($A202&lt;VLOOKUP(V$5,NFI,5,0),1,0)*Table_NFI[[#This Row],[Tent]],Table_NFI[Tent])</f>
        <v>0</v>
      </c>
      <c r="AQ202" s="467" t="str">
        <f>IFERROR(VLOOKUP(Table_NFI[[#This Row],[Camp Name]],CL,2,0),"")</f>
        <v/>
      </c>
      <c r="AR202" s="835" t="str">
        <f ca="1">IF(Table_NFI[[#This Row],[Pcode]]="","",IF(OFFSET(CampList[Opening Date],MATCH(Table_NFI[[#This Row],[Pcode]],CampList[CP_Pcode],0)-1,0,1,1)&gt;=NFI_Monitor_Date,1,0))</f>
        <v/>
      </c>
      <c r="AS202" s="467" t="str">
        <f>IFERROR(VLOOKUP(Table_NFI[[#This Row],[Camp Name]],CL,3,0),"")</f>
        <v/>
      </c>
      <c r="AT202" s="294" t="str">
        <f ca="1">IF(Table_NFI[[#This Row],[Pcode]]="","",OFFSET(CampList[Priority],MATCH(Table_NFI[[#This Row],[Pcode]],CampList[CP_Pcode],0)-1,0,1,1))</f>
        <v/>
      </c>
      <c r="AU202" s="293" t="str">
        <f>IFERROR(Table_NFI[[#This Row],[Kitchen Set]]/VLOOKUP(Table_NFI[[#This Row],[Camp Name]],CL,4,0),"")</f>
        <v/>
      </c>
      <c r="AV202" s="461" t="s">
        <v>1092</v>
      </c>
      <c r="AW202" s="463"/>
    </row>
    <row r="203" spans="1:49" s="98" customFormat="1" x14ac:dyDescent="0.25">
      <c r="A203" s="297">
        <f t="shared" si="3"/>
        <v>23.966666666666665</v>
      </c>
      <c r="B203" s="460">
        <v>42017</v>
      </c>
      <c r="C203" s="461" t="s">
        <v>1094</v>
      </c>
      <c r="D203" s="461" t="s">
        <v>900</v>
      </c>
      <c r="E203" s="461" t="s">
        <v>380</v>
      </c>
      <c r="F203" s="461" t="s">
        <v>27</v>
      </c>
      <c r="G203" s="461" t="s">
        <v>28</v>
      </c>
      <c r="H203" s="291"/>
      <c r="I203" s="294"/>
      <c r="J203" s="294"/>
      <c r="K203" s="294"/>
      <c r="L203" s="292"/>
      <c r="M203" s="292"/>
      <c r="N203" s="292"/>
      <c r="O203" s="292"/>
      <c r="P203" s="294"/>
      <c r="Q203" s="294"/>
      <c r="R203" s="294">
        <v>293</v>
      </c>
      <c r="S203" s="294">
        <v>190</v>
      </c>
      <c r="T203" s="294"/>
      <c r="U203" s="294">
        <v>170</v>
      </c>
      <c r="V203" s="431"/>
      <c r="W203" s="294"/>
      <c r="X203" s="294"/>
      <c r="Y203" s="294">
        <f>IF(NFI_Expiration=1,IF($A203&lt;VLOOKUP(H$5,NFI,5,0),1,0)*Table_NFI[[#This Row],[Hygiene Kit]],Table_NFI[Hygiene Kit])</f>
        <v>0</v>
      </c>
      <c r="Z203" s="294">
        <f>IF(NFI_Expiration=1,IF($A203&lt;VLOOKUP(I$5,NFI,5,0),1,0)*Table_NFI[[#This Row],[NFI Core Kit]],Table_NFI[NFI Core Kit])</f>
        <v>0</v>
      </c>
      <c r="AA203" s="294">
        <f>IF(NFI_Expiration=1,IF($A203&lt;VLOOKUP(J$5,NFI,5,0),1,0)*Table_NFI[[#This Row],[Sanitary Kit]],Table_NFI[Sanitary Kit])</f>
        <v>0</v>
      </c>
      <c r="AB203" s="294">
        <f>IF(NFI_Expiration=1,IF($A203&lt;VLOOKUP(K$5,NFI,5,0),1,0)*Table_NFI[[#This Row],[Mosquito net]],Table_NFI[Mosquito net])</f>
        <v>0</v>
      </c>
      <c r="AC203" s="294">
        <f>IF(NFI_Expiration=1,IF($A203&lt;VLOOKUP(L$5,NFI,5,0),1,0)*Table_NFI[[#This Row],[Tarpaulin]],Table_NFI[[#This Row],[Tarpaulin]])</f>
        <v>0</v>
      </c>
      <c r="AD203" s="294">
        <f>IF(NFI_Expiration=1,IF($A203&lt;VLOOKUP(M$5,NFI,5,0),1,0)*Table_NFI[[#This Row],[Blanket]],Table_NFI[[#This Row],[Blanket]])</f>
        <v>0</v>
      </c>
      <c r="AE203" s="294">
        <f>IF(NFI_Expiration=1,IF($A203&lt;VLOOKUP(N$5,NFI,5,0),1,0)*Table_NFI[[#This Row],[Kitchen Set]],Table_NFI[Kitchen Set])</f>
        <v>0</v>
      </c>
      <c r="AF203" s="294">
        <f>IF(NFI_Expiration=1,IF($A203&lt;VLOOKUP(O$5,NFI,5,0),1,0)*Table_NFI[[#This Row],[Clothes Kit]],Table_NFI[Clothes Kit])</f>
        <v>0</v>
      </c>
      <c r="AG203" s="294">
        <f>IF(NFI_Expiration=1,IF($A203&lt;VLOOKUP(P$5,NFI,5,0),1,0)*Table_NFI[[#This Row],[Plastic Bucket]],Table_NFI[Plastic Bucket])</f>
        <v>0</v>
      </c>
      <c r="AH203" s="294">
        <f>IF(NFI_Expiration=1,IF($A203&lt;VLOOKUP(Q$5,NFI,5,0),1,0)*Table_NFI[[#This Row],[Plastic Mat]],Table_NFI[Plastic Mat])*IF(Table_NFI[[#This Row],[Distribution Date]]&gt;"2014-04-01",1,2.5)</f>
        <v>0</v>
      </c>
      <c r="AI203" s="294">
        <f>IF(NFI_Expiration=1,IF($A203&lt;VLOOKUP(R$5,NFI,5,0),1,0)*Table_NFI[[#This Row],[Winter Clothes Adult]],Table_NFI[Winter Clothes Adult])</f>
        <v>0</v>
      </c>
      <c r="AJ203" s="294">
        <f>IF(NFI_Expiration=1,IF($A203&lt;VLOOKUP(S$5,NFI,5,0),1,0)*Table_NFI[[#This Row],[Winter Clothes Children]],Table_NFI[Winter Clothes Children])</f>
        <v>0</v>
      </c>
      <c r="AK203" s="294">
        <f>IF(NFI_Expiration=1,IF($A203&lt;VLOOKUP(T$5,NFI,5,0),1,0)*Table_NFI[[#This Row],[Winter Items Other]],Table_NFI[Winter Items Other])</f>
        <v>0</v>
      </c>
      <c r="AL203" s="294">
        <f>IF(NFI_Expiration=1,IF($A203&lt;VLOOKUP(M$5,NFI,5,0),1,0)*Table_NFI[[#This Row],[Winter Blanket]],Table_NFI[[#This Row],[Winter Blanket]])</f>
        <v>0</v>
      </c>
      <c r="AM203" s="294">
        <f>IF(Table_NFI[[#This Row],[Winter Clothes Adult]]+Table_NFI[[#This Row],[Winter Clothes Children]]+Table_NFI[[#This Row],[Winter Items Other]]+Table_NFI[[#This Row],[Winter Blanket]]&gt;0,1,0)</f>
        <v>1</v>
      </c>
      <c r="AN203" s="331">
        <f>IF(NFI_Expiration=1,IF($A203&lt;VLOOKUP(V$5,NFI,5,0),1,0)*Table_NFI[[#This Row],[Jerry Can]],Table_NFI[Jerry Can])</f>
        <v>0</v>
      </c>
      <c r="AO203" s="331">
        <f>IF(NFI_Expiration=1,IF($A203&lt;VLOOKUP(V$5,NFI,5,0),1,0)*Table_NFI[[#This Row],[Shelter Tool kit]],Table_NFI[Shelter Tool kit])</f>
        <v>0</v>
      </c>
      <c r="AP203" s="331">
        <f>IF(NFI_Expiration=1,IF($A203&lt;VLOOKUP(V$5,NFI,5,0),1,0)*Table_NFI[[#This Row],[Tent]],Table_NFI[Tent])</f>
        <v>0</v>
      </c>
      <c r="AQ203" s="467" t="str">
        <f>IFERROR(VLOOKUP(Table_NFI[[#This Row],[Camp Name]],CL,2,0),"")</f>
        <v>MMR001CMP042</v>
      </c>
      <c r="AR203" s="835">
        <f ca="1">IF(Table_NFI[[#This Row],[Pcode]]="","",IF(OFFSET(CampList[Opening Date],MATCH(Table_NFI[[#This Row],[Pcode]],CampList[CP_Pcode],0)-1,0,1,1)&gt;=NFI_Monitor_Date,1,0))</f>
        <v>0</v>
      </c>
      <c r="AS203" s="467" t="str">
        <f>IFERROR(VLOOKUP(Table_NFI[[#This Row],[Camp Name]],CL,3,0),"")</f>
        <v>Open</v>
      </c>
      <c r="AT203" s="294" t="str">
        <f ca="1">IF(Table_NFI[[#This Row],[Pcode]]="","",OFFSET(CampList[Priority],MATCH(Table_NFI[[#This Row],[Pcode]],CampList[CP_Pcode],0)-1,0,1,1))</f>
        <v>P1</v>
      </c>
      <c r="AU203" s="293">
        <f>IFERROR(Table_NFI[[#This Row],[Kitchen Set]]/VLOOKUP(Table_NFI[[#This Row],[Camp Name]],CL,4,0),"")</f>
        <v>0</v>
      </c>
      <c r="AV203" s="461"/>
      <c r="AW203" s="483"/>
    </row>
    <row r="204" spans="1:49" s="98" customFormat="1" ht="14.45" customHeight="1" x14ac:dyDescent="0.25">
      <c r="A204" s="297">
        <f t="shared" si="3"/>
        <v>23.966666666666665</v>
      </c>
      <c r="B204" s="460">
        <v>42017</v>
      </c>
      <c r="C204" s="461" t="s">
        <v>1094</v>
      </c>
      <c r="D204" s="461" t="s">
        <v>900</v>
      </c>
      <c r="E204" s="461" t="s">
        <v>380</v>
      </c>
      <c r="F204" s="461" t="s">
        <v>27</v>
      </c>
      <c r="G204" s="461" t="s">
        <v>365</v>
      </c>
      <c r="H204" s="291"/>
      <c r="I204" s="294"/>
      <c r="J204" s="294"/>
      <c r="K204" s="294"/>
      <c r="L204" s="292"/>
      <c r="M204" s="292"/>
      <c r="N204" s="292"/>
      <c r="O204" s="292"/>
      <c r="P204" s="294"/>
      <c r="Q204" s="294"/>
      <c r="R204" s="294">
        <v>350</v>
      </c>
      <c r="S204" s="294">
        <v>236</v>
      </c>
      <c r="T204" s="294"/>
      <c r="U204" s="294">
        <v>203</v>
      </c>
      <c r="V204" s="431"/>
      <c r="W204" s="294"/>
      <c r="X204" s="294"/>
      <c r="Y204" s="294">
        <f>IF(NFI_Expiration=1,IF($A204&lt;VLOOKUP(H$5,NFI,5,0),1,0)*Table_NFI[[#This Row],[Hygiene Kit]],Table_NFI[Hygiene Kit])</f>
        <v>0</v>
      </c>
      <c r="Z204" s="294">
        <f>IF(NFI_Expiration=1,IF($A204&lt;VLOOKUP(I$5,NFI,5,0),1,0)*Table_NFI[[#This Row],[NFI Core Kit]],Table_NFI[NFI Core Kit])</f>
        <v>0</v>
      </c>
      <c r="AA204" s="294">
        <f>IF(NFI_Expiration=1,IF($A204&lt;VLOOKUP(J$5,NFI,5,0),1,0)*Table_NFI[[#This Row],[Sanitary Kit]],Table_NFI[Sanitary Kit])</f>
        <v>0</v>
      </c>
      <c r="AB204" s="294">
        <f>IF(NFI_Expiration=1,IF($A204&lt;VLOOKUP(K$5,NFI,5,0),1,0)*Table_NFI[[#This Row],[Mosquito net]],Table_NFI[Mosquito net])</f>
        <v>0</v>
      </c>
      <c r="AC204" s="294">
        <f>IF(NFI_Expiration=1,IF($A204&lt;VLOOKUP(L$5,NFI,5,0),1,0)*Table_NFI[[#This Row],[Tarpaulin]],Table_NFI[[#This Row],[Tarpaulin]])</f>
        <v>0</v>
      </c>
      <c r="AD204" s="294">
        <f>IF(NFI_Expiration=1,IF($A204&lt;VLOOKUP(M$5,NFI,5,0),1,0)*Table_NFI[[#This Row],[Blanket]],Table_NFI[[#This Row],[Blanket]])</f>
        <v>0</v>
      </c>
      <c r="AE204" s="294">
        <f>IF(NFI_Expiration=1,IF($A204&lt;VLOOKUP(N$5,NFI,5,0),1,0)*Table_NFI[[#This Row],[Kitchen Set]],Table_NFI[Kitchen Set])</f>
        <v>0</v>
      </c>
      <c r="AF204" s="294">
        <f>IF(NFI_Expiration=1,IF($A204&lt;VLOOKUP(O$5,NFI,5,0),1,0)*Table_NFI[[#This Row],[Clothes Kit]],Table_NFI[Clothes Kit])</f>
        <v>0</v>
      </c>
      <c r="AG204" s="294">
        <f>IF(NFI_Expiration=1,IF($A204&lt;VLOOKUP(P$5,NFI,5,0),1,0)*Table_NFI[[#This Row],[Plastic Bucket]],Table_NFI[Plastic Bucket])</f>
        <v>0</v>
      </c>
      <c r="AH204" s="294">
        <f>IF(NFI_Expiration=1,IF($A204&lt;VLOOKUP(Q$5,NFI,5,0),1,0)*Table_NFI[[#This Row],[Plastic Mat]],Table_NFI[Plastic Mat])*IF(Table_NFI[[#This Row],[Distribution Date]]&gt;"2014-04-01",1,2.5)</f>
        <v>0</v>
      </c>
      <c r="AI204" s="294">
        <f>IF(NFI_Expiration=1,IF($A204&lt;VLOOKUP(R$5,NFI,5,0),1,0)*Table_NFI[[#This Row],[Winter Clothes Adult]],Table_NFI[Winter Clothes Adult])</f>
        <v>0</v>
      </c>
      <c r="AJ204" s="294">
        <f>IF(NFI_Expiration=1,IF($A204&lt;VLOOKUP(S$5,NFI,5,0),1,0)*Table_NFI[[#This Row],[Winter Clothes Children]],Table_NFI[Winter Clothes Children])</f>
        <v>0</v>
      </c>
      <c r="AK204" s="294">
        <f>IF(NFI_Expiration=1,IF($A204&lt;VLOOKUP(T$5,NFI,5,0),1,0)*Table_NFI[[#This Row],[Winter Items Other]],Table_NFI[Winter Items Other])</f>
        <v>0</v>
      </c>
      <c r="AL204" s="294">
        <f>IF(NFI_Expiration=1,IF($A204&lt;VLOOKUP(M$5,NFI,5,0),1,0)*Table_NFI[[#This Row],[Winter Blanket]],Table_NFI[[#This Row],[Winter Blanket]])</f>
        <v>0</v>
      </c>
      <c r="AM204" s="294">
        <f>IF(Table_NFI[[#This Row],[Winter Clothes Adult]]+Table_NFI[[#This Row],[Winter Clothes Children]]+Table_NFI[[#This Row],[Winter Items Other]]+Table_NFI[[#This Row],[Winter Blanket]]&gt;0,1,0)</f>
        <v>1</v>
      </c>
      <c r="AN204" s="331">
        <f>IF(NFI_Expiration=1,IF($A204&lt;VLOOKUP(V$5,NFI,5,0),1,0)*Table_NFI[[#This Row],[Jerry Can]],Table_NFI[Jerry Can])</f>
        <v>0</v>
      </c>
      <c r="AO204" s="331">
        <f>IF(NFI_Expiration=1,IF($A204&lt;VLOOKUP(V$5,NFI,5,0),1,0)*Table_NFI[[#This Row],[Shelter Tool kit]],Table_NFI[Shelter Tool kit])</f>
        <v>0</v>
      </c>
      <c r="AP204" s="331">
        <f>IF(NFI_Expiration=1,IF($A204&lt;VLOOKUP(V$5,NFI,5,0),1,0)*Table_NFI[[#This Row],[Tent]],Table_NFI[Tent])</f>
        <v>0</v>
      </c>
      <c r="AQ204" s="467" t="str">
        <f>IFERROR(VLOOKUP(Table_NFI[[#This Row],[Camp Name]],CL,2,0),"")</f>
        <v>MMR001CMP195</v>
      </c>
      <c r="AR204" s="835">
        <f ca="1">IF(Table_NFI[[#This Row],[Pcode]]="","",IF(OFFSET(CampList[Opening Date],MATCH(Table_NFI[[#This Row],[Pcode]],CampList[CP_Pcode],0)-1,0,1,1)&gt;=NFI_Monitor_Date,1,0))</f>
        <v>0</v>
      </c>
      <c r="AS204" s="467" t="str">
        <f>IFERROR(VLOOKUP(Table_NFI[[#This Row],[Camp Name]],CL,3,0),"")</f>
        <v>Open</v>
      </c>
      <c r="AT204" s="294" t="str">
        <f ca="1">IF(Table_NFI[[#This Row],[Pcode]]="","",OFFSET(CampList[Priority],MATCH(Table_NFI[[#This Row],[Pcode]],CampList[CP_Pcode],0)-1,0,1,1))</f>
        <v>P1</v>
      </c>
      <c r="AU204" s="293">
        <f>IFERROR(Table_NFI[[#This Row],[Kitchen Set]]/VLOOKUP(Table_NFI[[#This Row],[Camp Name]],CL,4,0),"")</f>
        <v>0</v>
      </c>
      <c r="AV204" s="461"/>
      <c r="AW204" s="483"/>
    </row>
    <row r="205" spans="1:49" s="464" customFormat="1" ht="14.45" customHeight="1" x14ac:dyDescent="0.25">
      <c r="A205" s="297">
        <f t="shared" si="3"/>
        <v>23.966666666666665</v>
      </c>
      <c r="B205" s="460">
        <v>42017</v>
      </c>
      <c r="C205" s="461" t="s">
        <v>1094</v>
      </c>
      <c r="D205" s="461" t="s">
        <v>900</v>
      </c>
      <c r="E205" s="461" t="s">
        <v>380</v>
      </c>
      <c r="F205" s="461" t="s">
        <v>185</v>
      </c>
      <c r="G205" s="461" t="s">
        <v>229</v>
      </c>
      <c r="H205" s="291"/>
      <c r="I205" s="294"/>
      <c r="J205" s="294"/>
      <c r="K205" s="294"/>
      <c r="L205" s="292"/>
      <c r="M205" s="292"/>
      <c r="N205" s="292"/>
      <c r="O205" s="292"/>
      <c r="P205" s="294"/>
      <c r="Q205" s="294"/>
      <c r="R205" s="294">
        <v>195</v>
      </c>
      <c r="S205" s="294">
        <v>91</v>
      </c>
      <c r="T205" s="294"/>
      <c r="U205" s="294">
        <v>92</v>
      </c>
      <c r="V205" s="431"/>
      <c r="W205" s="294"/>
      <c r="X205" s="294"/>
      <c r="Y205" s="294">
        <f>IF(NFI_Expiration=1,IF($A205&lt;VLOOKUP(H$5,NFI,5,0),1,0)*Table_NFI[[#This Row],[Hygiene Kit]],Table_NFI[Hygiene Kit])</f>
        <v>0</v>
      </c>
      <c r="Z205" s="294">
        <f>IF(NFI_Expiration=1,IF($A205&lt;VLOOKUP(I$5,NFI,5,0),1,0)*Table_NFI[[#This Row],[NFI Core Kit]],Table_NFI[NFI Core Kit])</f>
        <v>0</v>
      </c>
      <c r="AA205" s="294">
        <f>IF(NFI_Expiration=1,IF($A205&lt;VLOOKUP(J$5,NFI,5,0),1,0)*Table_NFI[[#This Row],[Sanitary Kit]],Table_NFI[Sanitary Kit])</f>
        <v>0</v>
      </c>
      <c r="AB205" s="294">
        <f>IF(NFI_Expiration=1,IF($A205&lt;VLOOKUP(K$5,NFI,5,0),1,0)*Table_NFI[[#This Row],[Mosquito net]],Table_NFI[Mosquito net])</f>
        <v>0</v>
      </c>
      <c r="AC205" s="294">
        <f>IF(NFI_Expiration=1,IF($A205&lt;VLOOKUP(L$5,NFI,5,0),1,0)*Table_NFI[[#This Row],[Tarpaulin]],Table_NFI[[#This Row],[Tarpaulin]])</f>
        <v>0</v>
      </c>
      <c r="AD205" s="294">
        <f>IF(NFI_Expiration=1,IF($A205&lt;VLOOKUP(M$5,NFI,5,0),1,0)*Table_NFI[[#This Row],[Blanket]],Table_NFI[[#This Row],[Blanket]])</f>
        <v>0</v>
      </c>
      <c r="AE205" s="294">
        <f>IF(NFI_Expiration=1,IF($A205&lt;VLOOKUP(N$5,NFI,5,0),1,0)*Table_NFI[[#This Row],[Kitchen Set]],Table_NFI[Kitchen Set])</f>
        <v>0</v>
      </c>
      <c r="AF205" s="294">
        <f>IF(NFI_Expiration=1,IF($A205&lt;VLOOKUP(O$5,NFI,5,0),1,0)*Table_NFI[[#This Row],[Clothes Kit]],Table_NFI[Clothes Kit])</f>
        <v>0</v>
      </c>
      <c r="AG205" s="294">
        <f>IF(NFI_Expiration=1,IF($A205&lt;VLOOKUP(P$5,NFI,5,0),1,0)*Table_NFI[[#This Row],[Plastic Bucket]],Table_NFI[Plastic Bucket])</f>
        <v>0</v>
      </c>
      <c r="AH205" s="294">
        <f>IF(NFI_Expiration=1,IF($A205&lt;VLOOKUP(Q$5,NFI,5,0),1,0)*Table_NFI[[#This Row],[Plastic Mat]],Table_NFI[Plastic Mat])*IF(Table_NFI[[#This Row],[Distribution Date]]&gt;"2014-04-01",1,2.5)</f>
        <v>0</v>
      </c>
      <c r="AI205" s="294">
        <f>IF(NFI_Expiration=1,IF($A205&lt;VLOOKUP(R$5,NFI,5,0),1,0)*Table_NFI[[#This Row],[Winter Clothes Adult]],Table_NFI[Winter Clothes Adult])</f>
        <v>0</v>
      </c>
      <c r="AJ205" s="294">
        <f>IF(NFI_Expiration=1,IF($A205&lt;VLOOKUP(S$5,NFI,5,0),1,0)*Table_NFI[[#This Row],[Winter Clothes Children]],Table_NFI[Winter Clothes Children])</f>
        <v>0</v>
      </c>
      <c r="AK205" s="294">
        <f>IF(NFI_Expiration=1,IF($A205&lt;VLOOKUP(T$5,NFI,5,0),1,0)*Table_NFI[[#This Row],[Winter Items Other]],Table_NFI[Winter Items Other])</f>
        <v>0</v>
      </c>
      <c r="AL205" s="294">
        <f>IF(NFI_Expiration=1,IF($A205&lt;VLOOKUP(M$5,NFI,5,0),1,0)*Table_NFI[[#This Row],[Winter Blanket]],Table_NFI[[#This Row],[Winter Blanket]])</f>
        <v>0</v>
      </c>
      <c r="AM205" s="294">
        <f>IF(Table_NFI[[#This Row],[Winter Clothes Adult]]+Table_NFI[[#This Row],[Winter Clothes Children]]+Table_NFI[[#This Row],[Winter Items Other]]+Table_NFI[[#This Row],[Winter Blanket]]&gt;0,1,0)</f>
        <v>1</v>
      </c>
      <c r="AN205" s="331">
        <f>IF(NFI_Expiration=1,IF($A205&lt;VLOOKUP(V$5,NFI,5,0),1,0)*Table_NFI[[#This Row],[Jerry Can]],Table_NFI[Jerry Can])</f>
        <v>0</v>
      </c>
      <c r="AO205" s="331">
        <f>IF(NFI_Expiration=1,IF($A205&lt;VLOOKUP(V$5,NFI,5,0),1,0)*Table_NFI[[#This Row],[Shelter Tool kit]],Table_NFI[Shelter Tool kit])</f>
        <v>0</v>
      </c>
      <c r="AP205" s="331">
        <f>IF(NFI_Expiration=1,IF($A205&lt;VLOOKUP(V$5,NFI,5,0),1,0)*Table_NFI[[#This Row],[Tent]],Table_NFI[Tent])</f>
        <v>0</v>
      </c>
      <c r="AQ205" s="467" t="str">
        <f>IFERROR(VLOOKUP(Table_NFI[[#This Row],[Camp Name]],CL,2,0),"")</f>
        <v>MMR001CMP072</v>
      </c>
      <c r="AR205" s="835">
        <f ca="1">IF(Table_NFI[[#This Row],[Pcode]]="","",IF(OFFSET(CampList[Opening Date],MATCH(Table_NFI[[#This Row],[Pcode]],CampList[CP_Pcode],0)-1,0,1,1)&gt;=NFI_Monitor_Date,1,0))</f>
        <v>0</v>
      </c>
      <c r="AS205" s="467" t="str">
        <f>IFERROR(VLOOKUP(Table_NFI[[#This Row],[Camp Name]],CL,3,0),"")</f>
        <v>Open</v>
      </c>
      <c r="AT205" s="294" t="str">
        <f ca="1">IF(Table_NFI[[#This Row],[Pcode]]="","",OFFSET(CampList[Priority],MATCH(Table_NFI[[#This Row],[Pcode]],CampList[CP_Pcode],0)-1,0,1,1))</f>
        <v>P3</v>
      </c>
      <c r="AU205" s="293">
        <f>IFERROR(Table_NFI[[#This Row],[Kitchen Set]]/VLOOKUP(Table_NFI[[#This Row],[Camp Name]],CL,4,0),"")</f>
        <v>0</v>
      </c>
      <c r="AV205" s="461"/>
      <c r="AW205" s="483"/>
    </row>
    <row r="206" spans="1:49" s="98" customFormat="1" ht="14.45" customHeight="1" x14ac:dyDescent="0.25">
      <c r="A206" s="297">
        <f t="shared" si="3"/>
        <v>23.966666666666665</v>
      </c>
      <c r="B206" s="460">
        <v>42017</v>
      </c>
      <c r="C206" s="461" t="s">
        <v>1094</v>
      </c>
      <c r="D206" s="461" t="s">
        <v>900</v>
      </c>
      <c r="E206" s="461" t="s">
        <v>380</v>
      </c>
      <c r="F206" s="461" t="s">
        <v>237</v>
      </c>
      <c r="G206" s="461" t="s">
        <v>273</v>
      </c>
      <c r="H206" s="291"/>
      <c r="I206" s="294"/>
      <c r="J206" s="294"/>
      <c r="K206" s="294"/>
      <c r="L206" s="292"/>
      <c r="M206" s="292"/>
      <c r="N206" s="292"/>
      <c r="O206" s="292"/>
      <c r="P206" s="294"/>
      <c r="Q206" s="294"/>
      <c r="R206" s="294">
        <v>323</v>
      </c>
      <c r="S206" s="294">
        <v>178</v>
      </c>
      <c r="T206" s="294"/>
      <c r="U206" s="294"/>
      <c r="V206" s="431"/>
      <c r="W206" s="294"/>
      <c r="X206" s="294"/>
      <c r="Y206" s="294">
        <f>IF(NFI_Expiration=1,IF($A206&lt;VLOOKUP(H$5,NFI,5,0),1,0)*Table_NFI[[#This Row],[Hygiene Kit]],Table_NFI[Hygiene Kit])</f>
        <v>0</v>
      </c>
      <c r="Z206" s="294">
        <f>IF(NFI_Expiration=1,IF($A206&lt;VLOOKUP(I$5,NFI,5,0),1,0)*Table_NFI[[#This Row],[NFI Core Kit]],Table_NFI[NFI Core Kit])</f>
        <v>0</v>
      </c>
      <c r="AA206" s="294">
        <f>IF(NFI_Expiration=1,IF($A206&lt;VLOOKUP(J$5,NFI,5,0),1,0)*Table_NFI[[#This Row],[Sanitary Kit]],Table_NFI[Sanitary Kit])</f>
        <v>0</v>
      </c>
      <c r="AB206" s="294">
        <f>IF(NFI_Expiration=1,IF($A206&lt;VLOOKUP(K$5,NFI,5,0),1,0)*Table_NFI[[#This Row],[Mosquito net]],Table_NFI[Mosquito net])</f>
        <v>0</v>
      </c>
      <c r="AC206" s="294">
        <f>IF(NFI_Expiration=1,IF($A206&lt;VLOOKUP(L$5,NFI,5,0),1,0)*Table_NFI[[#This Row],[Tarpaulin]],Table_NFI[[#This Row],[Tarpaulin]])</f>
        <v>0</v>
      </c>
      <c r="AD206" s="294">
        <f>IF(NFI_Expiration=1,IF($A206&lt;VLOOKUP(M$5,NFI,5,0),1,0)*Table_NFI[[#This Row],[Blanket]],Table_NFI[[#This Row],[Blanket]])</f>
        <v>0</v>
      </c>
      <c r="AE206" s="294">
        <f>IF(NFI_Expiration=1,IF($A206&lt;VLOOKUP(N$5,NFI,5,0),1,0)*Table_NFI[[#This Row],[Kitchen Set]],Table_NFI[Kitchen Set])</f>
        <v>0</v>
      </c>
      <c r="AF206" s="294">
        <f>IF(NFI_Expiration=1,IF($A206&lt;VLOOKUP(O$5,NFI,5,0),1,0)*Table_NFI[[#This Row],[Clothes Kit]],Table_NFI[Clothes Kit])</f>
        <v>0</v>
      </c>
      <c r="AG206" s="294">
        <f>IF(NFI_Expiration=1,IF($A206&lt;VLOOKUP(P$5,NFI,5,0),1,0)*Table_NFI[[#This Row],[Plastic Bucket]],Table_NFI[Plastic Bucket])</f>
        <v>0</v>
      </c>
      <c r="AH206" s="294">
        <f>IF(NFI_Expiration=1,IF($A206&lt;VLOOKUP(Q$5,NFI,5,0),1,0)*Table_NFI[[#This Row],[Plastic Mat]],Table_NFI[Plastic Mat])*IF(Table_NFI[[#This Row],[Distribution Date]]&gt;"2014-04-01",1,2.5)</f>
        <v>0</v>
      </c>
      <c r="AI206" s="294">
        <f>IF(NFI_Expiration=1,IF($A206&lt;VLOOKUP(R$5,NFI,5,0),1,0)*Table_NFI[[#This Row],[Winter Clothes Adult]],Table_NFI[Winter Clothes Adult])</f>
        <v>0</v>
      </c>
      <c r="AJ206" s="294">
        <f>IF(NFI_Expiration=1,IF($A206&lt;VLOOKUP(S$5,NFI,5,0),1,0)*Table_NFI[[#This Row],[Winter Clothes Children]],Table_NFI[Winter Clothes Children])</f>
        <v>0</v>
      </c>
      <c r="AK206" s="294">
        <f>IF(NFI_Expiration=1,IF($A206&lt;VLOOKUP(T$5,NFI,5,0),1,0)*Table_NFI[[#This Row],[Winter Items Other]],Table_NFI[Winter Items Other])</f>
        <v>0</v>
      </c>
      <c r="AL206" s="294">
        <f>IF(NFI_Expiration=1,IF($A206&lt;VLOOKUP(M$5,NFI,5,0),1,0)*Table_NFI[[#This Row],[Winter Blanket]],Table_NFI[[#This Row],[Winter Blanket]])</f>
        <v>0</v>
      </c>
      <c r="AM206" s="294">
        <f>IF(Table_NFI[[#This Row],[Winter Clothes Adult]]+Table_NFI[[#This Row],[Winter Clothes Children]]+Table_NFI[[#This Row],[Winter Items Other]]+Table_NFI[[#This Row],[Winter Blanket]]&gt;0,1,0)</f>
        <v>1</v>
      </c>
      <c r="AN206" s="331">
        <f>IF(NFI_Expiration=1,IF($A206&lt;VLOOKUP(V$5,NFI,5,0),1,0)*Table_NFI[[#This Row],[Jerry Can]],Table_NFI[Jerry Can])</f>
        <v>0</v>
      </c>
      <c r="AO206" s="331">
        <f>IF(NFI_Expiration=1,IF($A206&lt;VLOOKUP(V$5,NFI,5,0),1,0)*Table_NFI[[#This Row],[Shelter Tool kit]],Table_NFI[Shelter Tool kit])</f>
        <v>0</v>
      </c>
      <c r="AP206" s="331">
        <f>IF(NFI_Expiration=1,IF($A206&lt;VLOOKUP(V$5,NFI,5,0),1,0)*Table_NFI[[#This Row],[Tent]],Table_NFI[Tent])</f>
        <v>0</v>
      </c>
      <c r="AQ206" s="467" t="str">
        <f>IFERROR(VLOOKUP(Table_NFI[[#This Row],[Camp Name]],CL,2,0),"")</f>
        <v>MMR001CMP162</v>
      </c>
      <c r="AR206" s="835">
        <f ca="1">IF(Table_NFI[[#This Row],[Pcode]]="","",IF(OFFSET(CampList[Opening Date],MATCH(Table_NFI[[#This Row],[Pcode]],CampList[CP_Pcode],0)-1,0,1,1)&gt;=NFI_Monitor_Date,1,0))</f>
        <v>0</v>
      </c>
      <c r="AS206" s="467" t="str">
        <f>IFERROR(VLOOKUP(Table_NFI[[#This Row],[Camp Name]],CL,3,0),"")</f>
        <v>Open</v>
      </c>
      <c r="AT206" s="294" t="str">
        <f ca="1">IF(Table_NFI[[#This Row],[Pcode]]="","",OFFSET(CampList[Priority],MATCH(Table_NFI[[#This Row],[Pcode]],CampList[CP_Pcode],0)-1,0,1,1))</f>
        <v>P4</v>
      </c>
      <c r="AU206" s="293">
        <f>IFERROR(Table_NFI[[#This Row],[Kitchen Set]]/VLOOKUP(Table_NFI[[#This Row],[Camp Name]],CL,4,0),"")</f>
        <v>0</v>
      </c>
      <c r="AV206" s="461"/>
      <c r="AW206" s="483"/>
    </row>
    <row r="207" spans="1:49" s="98" customFormat="1" x14ac:dyDescent="0.25">
      <c r="A207" s="297">
        <f t="shared" si="3"/>
        <v>23.966666666666665</v>
      </c>
      <c r="B207" s="460">
        <v>42017</v>
      </c>
      <c r="C207" s="461" t="s">
        <v>1094</v>
      </c>
      <c r="D207" s="461" t="s">
        <v>900</v>
      </c>
      <c r="E207" s="461" t="s">
        <v>380</v>
      </c>
      <c r="F207" s="461" t="s">
        <v>27</v>
      </c>
      <c r="G207" s="461" t="s">
        <v>864</v>
      </c>
      <c r="H207" s="291"/>
      <c r="I207" s="294"/>
      <c r="J207" s="294"/>
      <c r="K207" s="294"/>
      <c r="L207" s="292"/>
      <c r="M207" s="292"/>
      <c r="N207" s="292"/>
      <c r="O207" s="292"/>
      <c r="P207" s="294"/>
      <c r="Q207" s="294"/>
      <c r="R207" s="294">
        <v>187</v>
      </c>
      <c r="S207" s="294">
        <v>137</v>
      </c>
      <c r="T207" s="294"/>
      <c r="U207" s="294">
        <v>118</v>
      </c>
      <c r="V207" s="431"/>
      <c r="W207" s="331"/>
      <c r="X207" s="331"/>
      <c r="Y207" s="294">
        <f>IF(NFI_Expiration=1,IF($A207&lt;VLOOKUP(H$5,NFI,5,0),1,0)*Table_NFI[[#This Row],[Hygiene Kit]],Table_NFI[Hygiene Kit])</f>
        <v>0</v>
      </c>
      <c r="Z207" s="294">
        <f>IF(NFI_Expiration=1,IF($A207&lt;VLOOKUP(I$5,NFI,5,0),1,0)*Table_NFI[[#This Row],[NFI Core Kit]],Table_NFI[NFI Core Kit])</f>
        <v>0</v>
      </c>
      <c r="AA207" s="294">
        <f>IF(NFI_Expiration=1,IF($A207&lt;VLOOKUP(J$5,NFI,5,0),1,0)*Table_NFI[[#This Row],[Sanitary Kit]],Table_NFI[Sanitary Kit])</f>
        <v>0</v>
      </c>
      <c r="AB207" s="294">
        <f>IF(NFI_Expiration=1,IF($A207&lt;VLOOKUP(K$5,NFI,5,0),1,0)*Table_NFI[[#This Row],[Mosquito net]],Table_NFI[Mosquito net])</f>
        <v>0</v>
      </c>
      <c r="AC207" s="294">
        <f>IF(NFI_Expiration=1,IF($A207&lt;VLOOKUP(L$5,NFI,5,0),1,0)*Table_NFI[[#This Row],[Tarpaulin]],Table_NFI[[#This Row],[Tarpaulin]])</f>
        <v>0</v>
      </c>
      <c r="AD207" s="294">
        <f>IF(NFI_Expiration=1,IF($A207&lt;VLOOKUP(M$5,NFI,5,0),1,0)*Table_NFI[[#This Row],[Blanket]],Table_NFI[[#This Row],[Blanket]])</f>
        <v>0</v>
      </c>
      <c r="AE207" s="294">
        <f>IF(NFI_Expiration=1,IF($A207&lt;VLOOKUP(N$5,NFI,5,0),1,0)*Table_NFI[[#This Row],[Kitchen Set]],Table_NFI[Kitchen Set])</f>
        <v>0</v>
      </c>
      <c r="AF207" s="294">
        <f>IF(NFI_Expiration=1,IF($A207&lt;VLOOKUP(O$5,NFI,5,0),1,0)*Table_NFI[[#This Row],[Clothes Kit]],Table_NFI[Clothes Kit])</f>
        <v>0</v>
      </c>
      <c r="AG207" s="294">
        <f>IF(NFI_Expiration=1,IF($A207&lt;VLOOKUP(P$5,NFI,5,0),1,0)*Table_NFI[[#This Row],[Plastic Bucket]],Table_NFI[Plastic Bucket])</f>
        <v>0</v>
      </c>
      <c r="AH207" s="294">
        <f>IF(NFI_Expiration=1,IF($A207&lt;VLOOKUP(Q$5,NFI,5,0),1,0)*Table_NFI[[#This Row],[Plastic Mat]],Table_NFI[Plastic Mat])*IF(Table_NFI[[#This Row],[Distribution Date]]&gt;"2014-04-01",1,2.5)</f>
        <v>0</v>
      </c>
      <c r="AI207" s="294">
        <f>IF(NFI_Expiration=1,IF($A207&lt;VLOOKUP(R$5,NFI,5,0),1,0)*Table_NFI[[#This Row],[Winter Clothes Adult]],Table_NFI[Winter Clothes Adult])</f>
        <v>0</v>
      </c>
      <c r="AJ207" s="294">
        <f>IF(NFI_Expiration=1,IF($A207&lt;VLOOKUP(S$5,NFI,5,0),1,0)*Table_NFI[[#This Row],[Winter Clothes Children]],Table_NFI[Winter Clothes Children])</f>
        <v>0</v>
      </c>
      <c r="AK207" s="294">
        <f>IF(NFI_Expiration=1,IF($A207&lt;VLOOKUP(T$5,NFI,5,0),1,0)*Table_NFI[[#This Row],[Winter Items Other]],Table_NFI[Winter Items Other])</f>
        <v>0</v>
      </c>
      <c r="AL207" s="294">
        <f>IF(NFI_Expiration=1,IF($A207&lt;VLOOKUP(M$5,NFI,5,0),1,0)*Table_NFI[[#This Row],[Winter Blanket]],Table_NFI[[#This Row],[Winter Blanket]])</f>
        <v>0</v>
      </c>
      <c r="AM207" s="294">
        <f>IF(Table_NFI[[#This Row],[Winter Clothes Adult]]+Table_NFI[[#This Row],[Winter Clothes Children]]+Table_NFI[[#This Row],[Winter Items Other]]+Table_NFI[[#This Row],[Winter Blanket]]&gt;0,1,0)</f>
        <v>1</v>
      </c>
      <c r="AN207" s="331">
        <f>IF(NFI_Expiration=1,IF($A207&lt;VLOOKUP(V$5,NFI,5,0),1,0)*Table_NFI[[#This Row],[Jerry Can]],Table_NFI[Jerry Can])</f>
        <v>0</v>
      </c>
      <c r="AO207" s="331">
        <f>IF(NFI_Expiration=1,IF($A207&lt;VLOOKUP(V$5,NFI,5,0),1,0)*Table_NFI[[#This Row],[Shelter Tool kit]],Table_NFI[Shelter Tool kit])</f>
        <v>0</v>
      </c>
      <c r="AP207" s="331">
        <f>IF(NFI_Expiration=1,IF($A207&lt;VLOOKUP(V$5,NFI,5,0),1,0)*Table_NFI[[#This Row],[Tent]],Table_NFI[Tent])</f>
        <v>0</v>
      </c>
      <c r="AQ207" s="467" t="str">
        <f>IFERROR(VLOOKUP(Table_NFI[[#This Row],[Camp Name]],CL,2,0),"")</f>
        <v>MMR001CMP210</v>
      </c>
      <c r="AR207" s="835">
        <f ca="1">IF(Table_NFI[[#This Row],[Pcode]]="","",IF(OFFSET(CampList[Opening Date],MATCH(Table_NFI[[#This Row],[Pcode]],CampList[CP_Pcode],0)-1,0,1,1)&gt;=NFI_Monitor_Date,1,0))</f>
        <v>0</v>
      </c>
      <c r="AS207" s="467" t="str">
        <f>IFERROR(VLOOKUP(Table_NFI[[#This Row],[Camp Name]],CL,3,0),"")</f>
        <v>Open</v>
      </c>
      <c r="AT207" s="294" t="str">
        <f ca="1">IF(Table_NFI[[#This Row],[Pcode]]="","",OFFSET(CampList[Priority],MATCH(Table_NFI[[#This Row],[Pcode]],CampList[CP_Pcode],0)-1,0,1,1))</f>
        <v>P1</v>
      </c>
      <c r="AU207" s="293">
        <f>IFERROR(Table_NFI[[#This Row],[Kitchen Set]]/VLOOKUP(Table_NFI[[#This Row],[Camp Name]],CL,4,0),"")</f>
        <v>0</v>
      </c>
      <c r="AV207" s="461"/>
      <c r="AW207" s="483"/>
    </row>
    <row r="208" spans="1:49" s="98" customFormat="1" x14ac:dyDescent="0.25">
      <c r="A208" s="297">
        <f t="shared" si="3"/>
        <v>23.966666666666665</v>
      </c>
      <c r="B208" s="460">
        <v>42017</v>
      </c>
      <c r="C208" s="461" t="s">
        <v>1094</v>
      </c>
      <c r="D208" s="461" t="s">
        <v>900</v>
      </c>
      <c r="E208" s="461" t="s">
        <v>380</v>
      </c>
      <c r="F208" s="461" t="s">
        <v>527</v>
      </c>
      <c r="G208" s="461" t="s">
        <v>118</v>
      </c>
      <c r="H208" s="291"/>
      <c r="I208" s="294"/>
      <c r="J208" s="294"/>
      <c r="K208" s="294"/>
      <c r="L208" s="292"/>
      <c r="M208" s="292"/>
      <c r="N208" s="292"/>
      <c r="O208" s="292"/>
      <c r="P208" s="294"/>
      <c r="Q208" s="294"/>
      <c r="R208" s="294">
        <v>26</v>
      </c>
      <c r="S208" s="294">
        <v>14</v>
      </c>
      <c r="T208" s="294"/>
      <c r="U208" s="294"/>
      <c r="V208" s="431"/>
      <c r="W208" s="331"/>
      <c r="X208" s="331"/>
      <c r="Y208" s="294">
        <f>IF(NFI_Expiration=1,IF($A208&lt;VLOOKUP(H$5,NFI,5,0),1,0)*Table_NFI[[#This Row],[Hygiene Kit]],Table_NFI[Hygiene Kit])</f>
        <v>0</v>
      </c>
      <c r="Z208" s="294">
        <f>IF(NFI_Expiration=1,IF($A208&lt;VLOOKUP(I$5,NFI,5,0),1,0)*Table_NFI[[#This Row],[NFI Core Kit]],Table_NFI[NFI Core Kit])</f>
        <v>0</v>
      </c>
      <c r="AA208" s="294">
        <f>IF(NFI_Expiration=1,IF($A208&lt;VLOOKUP(J$5,NFI,5,0),1,0)*Table_NFI[[#This Row],[Sanitary Kit]],Table_NFI[Sanitary Kit])</f>
        <v>0</v>
      </c>
      <c r="AB208" s="294">
        <f>IF(NFI_Expiration=1,IF($A208&lt;VLOOKUP(K$5,NFI,5,0),1,0)*Table_NFI[[#This Row],[Mosquito net]],Table_NFI[Mosquito net])</f>
        <v>0</v>
      </c>
      <c r="AC208" s="294">
        <f>IF(NFI_Expiration=1,IF($A208&lt;VLOOKUP(L$5,NFI,5,0),1,0)*Table_NFI[[#This Row],[Tarpaulin]],Table_NFI[[#This Row],[Tarpaulin]])</f>
        <v>0</v>
      </c>
      <c r="AD208" s="294">
        <f>IF(NFI_Expiration=1,IF($A208&lt;VLOOKUP(M$5,NFI,5,0),1,0)*Table_NFI[[#This Row],[Blanket]],Table_NFI[[#This Row],[Blanket]])</f>
        <v>0</v>
      </c>
      <c r="AE208" s="294">
        <f>IF(NFI_Expiration=1,IF($A208&lt;VLOOKUP(N$5,NFI,5,0),1,0)*Table_NFI[[#This Row],[Kitchen Set]],Table_NFI[Kitchen Set])</f>
        <v>0</v>
      </c>
      <c r="AF208" s="294">
        <f>IF(NFI_Expiration=1,IF($A208&lt;VLOOKUP(O$5,NFI,5,0),1,0)*Table_NFI[[#This Row],[Clothes Kit]],Table_NFI[Clothes Kit])</f>
        <v>0</v>
      </c>
      <c r="AG208" s="294">
        <f>IF(NFI_Expiration=1,IF($A208&lt;VLOOKUP(P$5,NFI,5,0),1,0)*Table_NFI[[#This Row],[Plastic Bucket]],Table_NFI[Plastic Bucket])</f>
        <v>0</v>
      </c>
      <c r="AH208" s="294">
        <f>IF(NFI_Expiration=1,IF($A208&lt;VLOOKUP(Q$5,NFI,5,0),1,0)*Table_NFI[[#This Row],[Plastic Mat]],Table_NFI[Plastic Mat])*IF(Table_NFI[[#This Row],[Distribution Date]]&gt;"2014-04-01",1,2.5)</f>
        <v>0</v>
      </c>
      <c r="AI208" s="294">
        <f>IF(NFI_Expiration=1,IF($A208&lt;VLOOKUP(R$5,NFI,5,0),1,0)*Table_NFI[[#This Row],[Winter Clothes Adult]],Table_NFI[Winter Clothes Adult])</f>
        <v>0</v>
      </c>
      <c r="AJ208" s="294">
        <f>IF(NFI_Expiration=1,IF($A208&lt;VLOOKUP(S$5,NFI,5,0),1,0)*Table_NFI[[#This Row],[Winter Clothes Children]],Table_NFI[Winter Clothes Children])</f>
        <v>0</v>
      </c>
      <c r="AK208" s="294">
        <f>IF(NFI_Expiration=1,IF($A208&lt;VLOOKUP(T$5,NFI,5,0),1,0)*Table_NFI[[#This Row],[Winter Items Other]],Table_NFI[Winter Items Other])</f>
        <v>0</v>
      </c>
      <c r="AL208" s="294">
        <f>IF(NFI_Expiration=1,IF($A208&lt;VLOOKUP(M$5,NFI,5,0),1,0)*Table_NFI[[#This Row],[Winter Blanket]],Table_NFI[[#This Row],[Winter Blanket]])</f>
        <v>0</v>
      </c>
      <c r="AM208" s="294">
        <f>IF(Table_NFI[[#This Row],[Winter Clothes Adult]]+Table_NFI[[#This Row],[Winter Clothes Children]]+Table_NFI[[#This Row],[Winter Items Other]]+Table_NFI[[#This Row],[Winter Blanket]]&gt;0,1,0)</f>
        <v>1</v>
      </c>
      <c r="AN208" s="331">
        <f>IF(NFI_Expiration=1,IF($A208&lt;VLOOKUP(V$5,NFI,5,0),1,0)*Table_NFI[[#This Row],[Jerry Can]],Table_NFI[Jerry Can])</f>
        <v>0</v>
      </c>
      <c r="AO208" s="331">
        <f>IF(NFI_Expiration=1,IF($A208&lt;VLOOKUP(V$5,NFI,5,0),1,0)*Table_NFI[[#This Row],[Shelter Tool kit]],Table_NFI[Shelter Tool kit])</f>
        <v>0</v>
      </c>
      <c r="AP208" s="331">
        <f>IF(NFI_Expiration=1,IF($A208&lt;VLOOKUP(V$5,NFI,5,0),1,0)*Table_NFI[[#This Row],[Tent]],Table_NFI[Tent])</f>
        <v>0</v>
      </c>
      <c r="AQ208" s="467" t="str">
        <f>IFERROR(VLOOKUP(Table_NFI[[#This Row],[Camp Name]],CL,2,0),"")</f>
        <v>MMR001CMP182</v>
      </c>
      <c r="AR208" s="835">
        <f ca="1">IF(Table_NFI[[#This Row],[Pcode]]="","",IF(OFFSET(CampList[Opening Date],MATCH(Table_NFI[[#This Row],[Pcode]],CampList[CP_Pcode],0)-1,0,1,1)&gt;=NFI_Monitor_Date,1,0))</f>
        <v>0</v>
      </c>
      <c r="AS208" s="467" t="str">
        <f>IFERROR(VLOOKUP(Table_NFI[[#This Row],[Camp Name]],CL,3,0),"")</f>
        <v>Open</v>
      </c>
      <c r="AT208" s="294" t="str">
        <f ca="1">IF(Table_NFI[[#This Row],[Pcode]]="","",OFFSET(CampList[Priority],MATCH(Table_NFI[[#This Row],[Pcode]],CampList[CP_Pcode],0)-1,0,1,1))</f>
        <v>P4</v>
      </c>
      <c r="AU208" s="293">
        <f>IFERROR(Table_NFI[[#This Row],[Kitchen Set]]/VLOOKUP(Table_NFI[[#This Row],[Camp Name]],CL,4,0),"")</f>
        <v>0</v>
      </c>
      <c r="AV208" s="461"/>
      <c r="AW208" s="483"/>
    </row>
    <row r="209" spans="1:49" s="98" customFormat="1" ht="14.45" customHeight="1" x14ac:dyDescent="0.25">
      <c r="A209" s="297">
        <f t="shared" si="3"/>
        <v>23.966666666666665</v>
      </c>
      <c r="B209" s="460">
        <v>42017</v>
      </c>
      <c r="C209" s="461" t="s">
        <v>1094</v>
      </c>
      <c r="D209" s="461" t="s">
        <v>900</v>
      </c>
      <c r="E209" s="461" t="s">
        <v>380</v>
      </c>
      <c r="F209" s="461" t="s">
        <v>527</v>
      </c>
      <c r="G209" s="461" t="s">
        <v>124</v>
      </c>
      <c r="H209" s="291"/>
      <c r="I209" s="294"/>
      <c r="J209" s="294"/>
      <c r="K209" s="294"/>
      <c r="L209" s="292"/>
      <c r="M209" s="292"/>
      <c r="N209" s="292"/>
      <c r="O209" s="292"/>
      <c r="P209" s="294"/>
      <c r="Q209" s="294"/>
      <c r="R209" s="294">
        <v>34</v>
      </c>
      <c r="S209" s="294">
        <v>9</v>
      </c>
      <c r="T209" s="294"/>
      <c r="U209" s="294"/>
      <c r="V209" s="431"/>
      <c r="W209" s="294"/>
      <c r="X209" s="294"/>
      <c r="Y209" s="294">
        <f>IF(NFI_Expiration=1,IF($A209&lt;VLOOKUP(H$5,NFI,5,0),1,0)*Table_NFI[[#This Row],[Hygiene Kit]],Table_NFI[Hygiene Kit])</f>
        <v>0</v>
      </c>
      <c r="Z209" s="294">
        <f>IF(NFI_Expiration=1,IF($A209&lt;VLOOKUP(I$5,NFI,5,0),1,0)*Table_NFI[[#This Row],[NFI Core Kit]],Table_NFI[NFI Core Kit])</f>
        <v>0</v>
      </c>
      <c r="AA209" s="294">
        <f>IF(NFI_Expiration=1,IF($A209&lt;VLOOKUP(J$5,NFI,5,0),1,0)*Table_NFI[[#This Row],[Sanitary Kit]],Table_NFI[Sanitary Kit])</f>
        <v>0</v>
      </c>
      <c r="AB209" s="294">
        <f>IF(NFI_Expiration=1,IF($A209&lt;VLOOKUP(K$5,NFI,5,0),1,0)*Table_NFI[[#This Row],[Mosquito net]],Table_NFI[Mosquito net])</f>
        <v>0</v>
      </c>
      <c r="AC209" s="294">
        <f>IF(NFI_Expiration=1,IF($A209&lt;VLOOKUP(L$5,NFI,5,0),1,0)*Table_NFI[[#This Row],[Tarpaulin]],Table_NFI[[#This Row],[Tarpaulin]])</f>
        <v>0</v>
      </c>
      <c r="AD209" s="294">
        <f>IF(NFI_Expiration=1,IF($A209&lt;VLOOKUP(M$5,NFI,5,0),1,0)*Table_NFI[[#This Row],[Blanket]],Table_NFI[[#This Row],[Blanket]])</f>
        <v>0</v>
      </c>
      <c r="AE209" s="294">
        <f>IF(NFI_Expiration=1,IF($A209&lt;VLOOKUP(N$5,NFI,5,0),1,0)*Table_NFI[[#This Row],[Kitchen Set]],Table_NFI[Kitchen Set])</f>
        <v>0</v>
      </c>
      <c r="AF209" s="294">
        <f>IF(NFI_Expiration=1,IF($A209&lt;VLOOKUP(O$5,NFI,5,0),1,0)*Table_NFI[[#This Row],[Clothes Kit]],Table_NFI[Clothes Kit])</f>
        <v>0</v>
      </c>
      <c r="AG209" s="294">
        <f>IF(NFI_Expiration=1,IF($A209&lt;VLOOKUP(P$5,NFI,5,0),1,0)*Table_NFI[[#This Row],[Plastic Bucket]],Table_NFI[Plastic Bucket])</f>
        <v>0</v>
      </c>
      <c r="AH209" s="294">
        <f>IF(NFI_Expiration=1,IF($A209&lt;VLOOKUP(Q$5,NFI,5,0),1,0)*Table_NFI[[#This Row],[Plastic Mat]],Table_NFI[Plastic Mat])*IF(Table_NFI[[#This Row],[Distribution Date]]&gt;"2014-04-01",1,2.5)</f>
        <v>0</v>
      </c>
      <c r="AI209" s="294">
        <f>IF(NFI_Expiration=1,IF($A209&lt;VLOOKUP(R$5,NFI,5,0),1,0)*Table_NFI[[#This Row],[Winter Clothes Adult]],Table_NFI[Winter Clothes Adult])</f>
        <v>0</v>
      </c>
      <c r="AJ209" s="294">
        <f>IF(NFI_Expiration=1,IF($A209&lt;VLOOKUP(S$5,NFI,5,0),1,0)*Table_NFI[[#This Row],[Winter Clothes Children]],Table_NFI[Winter Clothes Children])</f>
        <v>0</v>
      </c>
      <c r="AK209" s="294">
        <f>IF(NFI_Expiration=1,IF($A209&lt;VLOOKUP(T$5,NFI,5,0),1,0)*Table_NFI[[#This Row],[Winter Items Other]],Table_NFI[Winter Items Other])</f>
        <v>0</v>
      </c>
      <c r="AL209" s="294">
        <f>IF(NFI_Expiration=1,IF($A209&lt;VLOOKUP(M$5,NFI,5,0),1,0)*Table_NFI[[#This Row],[Winter Blanket]],Table_NFI[[#This Row],[Winter Blanket]])</f>
        <v>0</v>
      </c>
      <c r="AM209" s="294">
        <f>IF(Table_NFI[[#This Row],[Winter Clothes Adult]]+Table_NFI[[#This Row],[Winter Clothes Children]]+Table_NFI[[#This Row],[Winter Items Other]]+Table_NFI[[#This Row],[Winter Blanket]]&gt;0,1,0)</f>
        <v>1</v>
      </c>
      <c r="AN209" s="331">
        <f>IF(NFI_Expiration=1,IF($A209&lt;VLOOKUP(V$5,NFI,5,0),1,0)*Table_NFI[[#This Row],[Jerry Can]],Table_NFI[Jerry Can])</f>
        <v>0</v>
      </c>
      <c r="AO209" s="331">
        <f>IF(NFI_Expiration=1,IF($A209&lt;VLOOKUP(V$5,NFI,5,0),1,0)*Table_NFI[[#This Row],[Shelter Tool kit]],Table_NFI[Shelter Tool kit])</f>
        <v>0</v>
      </c>
      <c r="AP209" s="331">
        <f>IF(NFI_Expiration=1,IF($A209&lt;VLOOKUP(V$5,NFI,5,0),1,0)*Table_NFI[[#This Row],[Tent]],Table_NFI[Tent])</f>
        <v>0</v>
      </c>
      <c r="AQ209" s="467" t="str">
        <f>IFERROR(VLOOKUP(Table_NFI[[#This Row],[Camp Name]],CL,2,0),"")</f>
        <v>MMR001CMP183</v>
      </c>
      <c r="AR209" s="835">
        <f ca="1">IF(Table_NFI[[#This Row],[Pcode]]="","",IF(OFFSET(CampList[Opening Date],MATCH(Table_NFI[[#This Row],[Pcode]],CampList[CP_Pcode],0)-1,0,1,1)&gt;=NFI_Monitor_Date,1,0))</f>
        <v>0</v>
      </c>
      <c r="AS209" s="467" t="str">
        <f>IFERROR(VLOOKUP(Table_NFI[[#This Row],[Camp Name]],CL,3,0),"")</f>
        <v>Open</v>
      </c>
      <c r="AT209" s="294" t="str">
        <f ca="1">IF(Table_NFI[[#This Row],[Pcode]]="","",OFFSET(CampList[Priority],MATCH(Table_NFI[[#This Row],[Pcode]],CampList[CP_Pcode],0)-1,0,1,1))</f>
        <v>P4</v>
      </c>
      <c r="AU209" s="293">
        <f>IFERROR(Table_NFI[[#This Row],[Kitchen Set]]/VLOOKUP(Table_NFI[[#This Row],[Camp Name]],CL,4,0),"")</f>
        <v>0</v>
      </c>
      <c r="AV209" s="461"/>
      <c r="AW209" s="483"/>
    </row>
    <row r="210" spans="1:49" s="98" customFormat="1" ht="14.45" customHeight="1" x14ac:dyDescent="0.25">
      <c r="A210" s="297">
        <f t="shared" si="3"/>
        <v>23.966666666666665</v>
      </c>
      <c r="B210" s="460">
        <v>42017</v>
      </c>
      <c r="C210" s="461" t="s">
        <v>1094</v>
      </c>
      <c r="D210" s="461" t="s">
        <v>900</v>
      </c>
      <c r="E210" s="461" t="s">
        <v>380</v>
      </c>
      <c r="F210" s="461" t="s">
        <v>27</v>
      </c>
      <c r="G210" s="461" t="s">
        <v>1019</v>
      </c>
      <c r="H210" s="291"/>
      <c r="I210" s="294"/>
      <c r="J210" s="294"/>
      <c r="K210" s="294"/>
      <c r="L210" s="292"/>
      <c r="M210" s="292"/>
      <c r="N210" s="292"/>
      <c r="O210" s="292"/>
      <c r="P210" s="294"/>
      <c r="Q210" s="294"/>
      <c r="R210" s="294">
        <v>111</v>
      </c>
      <c r="S210" s="294">
        <v>56</v>
      </c>
      <c r="T210" s="294"/>
      <c r="U210" s="294">
        <v>58</v>
      </c>
      <c r="V210" s="431"/>
      <c r="W210" s="294"/>
      <c r="X210" s="294"/>
      <c r="Y210" s="294">
        <f>IF(NFI_Expiration=1,IF($A210&lt;VLOOKUP(H$5,NFI,5,0),1,0)*Table_NFI[[#This Row],[Hygiene Kit]],Table_NFI[Hygiene Kit])</f>
        <v>0</v>
      </c>
      <c r="Z210" s="294">
        <f>IF(NFI_Expiration=1,IF($A210&lt;VLOOKUP(I$5,NFI,5,0),1,0)*Table_NFI[[#This Row],[NFI Core Kit]],Table_NFI[NFI Core Kit])</f>
        <v>0</v>
      </c>
      <c r="AA210" s="294">
        <f>IF(NFI_Expiration=1,IF($A210&lt;VLOOKUP(J$5,NFI,5,0),1,0)*Table_NFI[[#This Row],[Sanitary Kit]],Table_NFI[Sanitary Kit])</f>
        <v>0</v>
      </c>
      <c r="AB210" s="294">
        <f>IF(NFI_Expiration=1,IF($A210&lt;VLOOKUP(K$5,NFI,5,0),1,0)*Table_NFI[[#This Row],[Mosquito net]],Table_NFI[Mosquito net])</f>
        <v>0</v>
      </c>
      <c r="AC210" s="294">
        <f>IF(NFI_Expiration=1,IF($A210&lt;VLOOKUP(L$5,NFI,5,0),1,0)*Table_NFI[[#This Row],[Tarpaulin]],Table_NFI[[#This Row],[Tarpaulin]])</f>
        <v>0</v>
      </c>
      <c r="AD210" s="294">
        <f>IF(NFI_Expiration=1,IF($A210&lt;VLOOKUP(M$5,NFI,5,0),1,0)*Table_NFI[[#This Row],[Blanket]],Table_NFI[[#This Row],[Blanket]])</f>
        <v>0</v>
      </c>
      <c r="AE210" s="294">
        <f>IF(NFI_Expiration=1,IF($A210&lt;VLOOKUP(N$5,NFI,5,0),1,0)*Table_NFI[[#This Row],[Kitchen Set]],Table_NFI[Kitchen Set])</f>
        <v>0</v>
      </c>
      <c r="AF210" s="294">
        <f>IF(NFI_Expiration=1,IF($A210&lt;VLOOKUP(O$5,NFI,5,0),1,0)*Table_NFI[[#This Row],[Clothes Kit]],Table_NFI[Clothes Kit])</f>
        <v>0</v>
      </c>
      <c r="AG210" s="294">
        <f>IF(NFI_Expiration=1,IF($A210&lt;VLOOKUP(P$5,NFI,5,0),1,0)*Table_NFI[[#This Row],[Plastic Bucket]],Table_NFI[Plastic Bucket])</f>
        <v>0</v>
      </c>
      <c r="AH210" s="294">
        <f>IF(NFI_Expiration=1,IF($A210&lt;VLOOKUP(Q$5,NFI,5,0),1,0)*Table_NFI[[#This Row],[Plastic Mat]],Table_NFI[Plastic Mat])*IF(Table_NFI[[#This Row],[Distribution Date]]&gt;"2014-04-01",1,2.5)</f>
        <v>0</v>
      </c>
      <c r="AI210" s="294">
        <f>IF(NFI_Expiration=1,IF($A210&lt;VLOOKUP(R$5,NFI,5,0),1,0)*Table_NFI[[#This Row],[Winter Clothes Adult]],Table_NFI[Winter Clothes Adult])</f>
        <v>0</v>
      </c>
      <c r="AJ210" s="294">
        <f>IF(NFI_Expiration=1,IF($A210&lt;VLOOKUP(S$5,NFI,5,0),1,0)*Table_NFI[[#This Row],[Winter Clothes Children]],Table_NFI[Winter Clothes Children])</f>
        <v>0</v>
      </c>
      <c r="AK210" s="294">
        <f>IF(NFI_Expiration=1,IF($A210&lt;VLOOKUP(T$5,NFI,5,0),1,0)*Table_NFI[[#This Row],[Winter Items Other]],Table_NFI[Winter Items Other])</f>
        <v>0</v>
      </c>
      <c r="AL210" s="294">
        <f>IF(NFI_Expiration=1,IF($A210&lt;VLOOKUP(M$5,NFI,5,0),1,0)*Table_NFI[[#This Row],[Winter Blanket]],Table_NFI[[#This Row],[Winter Blanket]])</f>
        <v>0</v>
      </c>
      <c r="AM210" s="294">
        <f>IF(Table_NFI[[#This Row],[Winter Clothes Adult]]+Table_NFI[[#This Row],[Winter Clothes Children]]+Table_NFI[[#This Row],[Winter Items Other]]+Table_NFI[[#This Row],[Winter Blanket]]&gt;0,1,0)</f>
        <v>1</v>
      </c>
      <c r="AN210" s="331">
        <f>IF(NFI_Expiration=1,IF($A210&lt;VLOOKUP(V$5,NFI,5,0),1,0)*Table_NFI[[#This Row],[Jerry Can]],Table_NFI[Jerry Can])</f>
        <v>0</v>
      </c>
      <c r="AO210" s="331">
        <f>IF(NFI_Expiration=1,IF($A210&lt;VLOOKUP(V$5,NFI,5,0),1,0)*Table_NFI[[#This Row],[Shelter Tool kit]],Table_NFI[Shelter Tool kit])</f>
        <v>0</v>
      </c>
      <c r="AP210" s="331">
        <f>IF(NFI_Expiration=1,IF($A210&lt;VLOOKUP(V$5,NFI,5,0),1,0)*Table_NFI[[#This Row],[Tent]],Table_NFI[Tent])</f>
        <v>0</v>
      </c>
      <c r="AQ210" s="467" t="str">
        <f>IFERROR(VLOOKUP(Table_NFI[[#This Row],[Camp Name]],CL,2,0),"")</f>
        <v>MMR001CMP225</v>
      </c>
      <c r="AR210" s="835">
        <f ca="1">IF(Table_NFI[[#This Row],[Pcode]]="","",IF(OFFSET(CampList[Opening Date],MATCH(Table_NFI[[#This Row],[Pcode]],CampList[CP_Pcode],0)-1,0,1,1)&gt;=NFI_Monitor_Date,1,0))</f>
        <v>0</v>
      </c>
      <c r="AS210" s="467" t="str">
        <f>IFERROR(VLOOKUP(Table_NFI[[#This Row],[Camp Name]],CL,3,0),"")</f>
        <v>Open</v>
      </c>
      <c r="AT210" s="294" t="str">
        <f ca="1">IF(Table_NFI[[#This Row],[Pcode]]="","",OFFSET(CampList[Priority],MATCH(Table_NFI[[#This Row],[Pcode]],CampList[CP_Pcode],0)-1,0,1,1))</f>
        <v>P1</v>
      </c>
      <c r="AU210" s="293">
        <f>IFERROR(Table_NFI[[#This Row],[Kitchen Set]]/VLOOKUP(Table_NFI[[#This Row],[Camp Name]],CL,4,0),"")</f>
        <v>0</v>
      </c>
      <c r="AV210" s="461"/>
      <c r="AW210" s="483"/>
    </row>
    <row r="211" spans="1:49" s="98" customFormat="1" x14ac:dyDescent="0.25">
      <c r="A211" s="297">
        <f t="shared" si="3"/>
        <v>23.966666666666665</v>
      </c>
      <c r="B211" s="460">
        <v>42017</v>
      </c>
      <c r="C211" s="461" t="s">
        <v>1094</v>
      </c>
      <c r="D211" s="461" t="s">
        <v>900</v>
      </c>
      <c r="E211" s="461" t="s">
        <v>380</v>
      </c>
      <c r="F211" s="461" t="s">
        <v>185</v>
      </c>
      <c r="G211" s="461" t="s">
        <v>225</v>
      </c>
      <c r="H211" s="291"/>
      <c r="I211" s="294"/>
      <c r="J211" s="294"/>
      <c r="K211" s="294"/>
      <c r="L211" s="292"/>
      <c r="M211" s="292"/>
      <c r="N211" s="292"/>
      <c r="O211" s="292"/>
      <c r="P211" s="294"/>
      <c r="Q211" s="294"/>
      <c r="R211" s="294">
        <v>155</v>
      </c>
      <c r="S211" s="294">
        <v>73</v>
      </c>
      <c r="T211" s="294"/>
      <c r="U211" s="294">
        <v>96</v>
      </c>
      <c r="V211" s="431"/>
      <c r="W211" s="294"/>
      <c r="X211" s="294"/>
      <c r="Y211" s="294">
        <f>IF(NFI_Expiration=1,IF($A211&lt;VLOOKUP(H$5,NFI,5,0),1,0)*Table_NFI[[#This Row],[Hygiene Kit]],Table_NFI[Hygiene Kit])</f>
        <v>0</v>
      </c>
      <c r="Z211" s="294">
        <f>IF(NFI_Expiration=1,IF($A211&lt;VLOOKUP(I$5,NFI,5,0),1,0)*Table_NFI[[#This Row],[NFI Core Kit]],Table_NFI[NFI Core Kit])</f>
        <v>0</v>
      </c>
      <c r="AA211" s="294">
        <f>IF(NFI_Expiration=1,IF($A211&lt;VLOOKUP(J$5,NFI,5,0),1,0)*Table_NFI[[#This Row],[Sanitary Kit]],Table_NFI[Sanitary Kit])</f>
        <v>0</v>
      </c>
      <c r="AB211" s="294">
        <f>IF(NFI_Expiration=1,IF($A211&lt;VLOOKUP(K$5,NFI,5,0),1,0)*Table_NFI[[#This Row],[Mosquito net]],Table_NFI[Mosquito net])</f>
        <v>0</v>
      </c>
      <c r="AC211" s="294">
        <f>IF(NFI_Expiration=1,IF($A211&lt;VLOOKUP(L$5,NFI,5,0),1,0)*Table_NFI[[#This Row],[Tarpaulin]],Table_NFI[[#This Row],[Tarpaulin]])</f>
        <v>0</v>
      </c>
      <c r="AD211" s="294">
        <f>IF(NFI_Expiration=1,IF($A211&lt;VLOOKUP(M$5,NFI,5,0),1,0)*Table_NFI[[#This Row],[Blanket]],Table_NFI[[#This Row],[Blanket]])</f>
        <v>0</v>
      </c>
      <c r="AE211" s="294">
        <f>IF(NFI_Expiration=1,IF($A211&lt;VLOOKUP(N$5,NFI,5,0),1,0)*Table_NFI[[#This Row],[Kitchen Set]],Table_NFI[Kitchen Set])</f>
        <v>0</v>
      </c>
      <c r="AF211" s="294">
        <f>IF(NFI_Expiration=1,IF($A211&lt;VLOOKUP(O$5,NFI,5,0),1,0)*Table_NFI[[#This Row],[Clothes Kit]],Table_NFI[Clothes Kit])</f>
        <v>0</v>
      </c>
      <c r="AG211" s="294">
        <f>IF(NFI_Expiration=1,IF($A211&lt;VLOOKUP(P$5,NFI,5,0),1,0)*Table_NFI[[#This Row],[Plastic Bucket]],Table_NFI[Plastic Bucket])</f>
        <v>0</v>
      </c>
      <c r="AH211" s="294">
        <f>IF(NFI_Expiration=1,IF($A211&lt;VLOOKUP(Q$5,NFI,5,0),1,0)*Table_NFI[[#This Row],[Plastic Mat]],Table_NFI[Plastic Mat])*IF(Table_NFI[[#This Row],[Distribution Date]]&gt;"2014-04-01",1,2.5)</f>
        <v>0</v>
      </c>
      <c r="AI211" s="294">
        <f>IF(NFI_Expiration=1,IF($A211&lt;VLOOKUP(R$5,NFI,5,0),1,0)*Table_NFI[[#This Row],[Winter Clothes Adult]],Table_NFI[Winter Clothes Adult])</f>
        <v>0</v>
      </c>
      <c r="AJ211" s="294">
        <f>IF(NFI_Expiration=1,IF($A211&lt;VLOOKUP(S$5,NFI,5,0),1,0)*Table_NFI[[#This Row],[Winter Clothes Children]],Table_NFI[Winter Clothes Children])</f>
        <v>0</v>
      </c>
      <c r="AK211" s="294">
        <f>IF(NFI_Expiration=1,IF($A211&lt;VLOOKUP(T$5,NFI,5,0),1,0)*Table_NFI[[#This Row],[Winter Items Other]],Table_NFI[Winter Items Other])</f>
        <v>0</v>
      </c>
      <c r="AL211" s="294">
        <f>IF(NFI_Expiration=1,IF($A211&lt;VLOOKUP(M$5,NFI,5,0),1,0)*Table_NFI[[#This Row],[Winter Blanket]],Table_NFI[[#This Row],[Winter Blanket]])</f>
        <v>0</v>
      </c>
      <c r="AM211" s="294">
        <f>IF(Table_NFI[[#This Row],[Winter Clothes Adult]]+Table_NFI[[#This Row],[Winter Clothes Children]]+Table_NFI[[#This Row],[Winter Items Other]]+Table_NFI[[#This Row],[Winter Blanket]]&gt;0,1,0)</f>
        <v>1</v>
      </c>
      <c r="AN211" s="331">
        <f>IF(NFI_Expiration=1,IF($A211&lt;VLOOKUP(V$5,NFI,5,0),1,0)*Table_NFI[[#This Row],[Jerry Can]],Table_NFI[Jerry Can])</f>
        <v>0</v>
      </c>
      <c r="AO211" s="331">
        <f>IF(NFI_Expiration=1,IF($A211&lt;VLOOKUP(V$5,NFI,5,0),1,0)*Table_NFI[[#This Row],[Shelter Tool kit]],Table_NFI[Shelter Tool kit])</f>
        <v>0</v>
      </c>
      <c r="AP211" s="331">
        <f>IF(NFI_Expiration=1,IF($A211&lt;VLOOKUP(V$5,NFI,5,0),1,0)*Table_NFI[[#This Row],[Tent]],Table_NFI[Tent])</f>
        <v>0</v>
      </c>
      <c r="AQ211" s="467" t="str">
        <f>IFERROR(VLOOKUP(Table_NFI[[#This Row],[Camp Name]],CL,2,0),"")</f>
        <v>MMR001CMP073</v>
      </c>
      <c r="AR211" s="835">
        <f ca="1">IF(Table_NFI[[#This Row],[Pcode]]="","",IF(OFFSET(CampList[Opening Date],MATCH(Table_NFI[[#This Row],[Pcode]],CampList[CP_Pcode],0)-1,0,1,1)&gt;=NFI_Monitor_Date,1,0))</f>
        <v>0</v>
      </c>
      <c r="AS211" s="467" t="str">
        <f>IFERROR(VLOOKUP(Table_NFI[[#This Row],[Camp Name]],CL,3,0),"")</f>
        <v>Open</v>
      </c>
      <c r="AT211" s="294" t="str">
        <f ca="1">IF(Table_NFI[[#This Row],[Pcode]]="","",OFFSET(CampList[Priority],MATCH(Table_NFI[[#This Row],[Pcode]],CampList[CP_Pcode],0)-1,0,1,1))</f>
        <v>P3</v>
      </c>
      <c r="AU211" s="293">
        <f>IFERROR(Table_NFI[[#This Row],[Kitchen Set]]/VLOOKUP(Table_NFI[[#This Row],[Camp Name]],CL,4,0),"")</f>
        <v>0</v>
      </c>
      <c r="AV211" s="461"/>
      <c r="AW211" s="483"/>
    </row>
    <row r="212" spans="1:49" s="98" customFormat="1" ht="14.45" customHeight="1" x14ac:dyDescent="0.25">
      <c r="A212" s="297">
        <f t="shared" si="3"/>
        <v>23.966666666666665</v>
      </c>
      <c r="B212" s="460">
        <v>42017</v>
      </c>
      <c r="C212" s="461" t="s">
        <v>1094</v>
      </c>
      <c r="D212" s="461" t="s">
        <v>900</v>
      </c>
      <c r="E212" s="461" t="s">
        <v>380</v>
      </c>
      <c r="F212" s="461" t="s">
        <v>808</v>
      </c>
      <c r="G212" s="461" t="s">
        <v>808</v>
      </c>
      <c r="H212" s="291"/>
      <c r="I212" s="294"/>
      <c r="J212" s="294"/>
      <c r="K212" s="294"/>
      <c r="L212" s="292"/>
      <c r="M212" s="292"/>
      <c r="N212" s="292"/>
      <c r="O212" s="292"/>
      <c r="P212" s="294"/>
      <c r="Q212" s="294"/>
      <c r="R212" s="294">
        <v>91</v>
      </c>
      <c r="S212" s="294">
        <v>32</v>
      </c>
      <c r="T212" s="294"/>
      <c r="U212" s="294">
        <v>36</v>
      </c>
      <c r="V212" s="431"/>
      <c r="W212" s="294"/>
      <c r="X212" s="294"/>
      <c r="Y212" s="294">
        <f>IF(NFI_Expiration=1,IF($A212&lt;VLOOKUP(H$5,NFI,5,0),1,0)*Table_NFI[[#This Row],[Hygiene Kit]],Table_NFI[Hygiene Kit])</f>
        <v>0</v>
      </c>
      <c r="Z212" s="294">
        <f>IF(NFI_Expiration=1,IF($A212&lt;VLOOKUP(I$5,NFI,5,0),1,0)*Table_NFI[[#This Row],[NFI Core Kit]],Table_NFI[NFI Core Kit])</f>
        <v>0</v>
      </c>
      <c r="AA212" s="294">
        <f>IF(NFI_Expiration=1,IF($A212&lt;VLOOKUP(J$5,NFI,5,0),1,0)*Table_NFI[[#This Row],[Sanitary Kit]],Table_NFI[Sanitary Kit])</f>
        <v>0</v>
      </c>
      <c r="AB212" s="294">
        <f>IF(NFI_Expiration=1,IF($A212&lt;VLOOKUP(K$5,NFI,5,0),1,0)*Table_NFI[[#This Row],[Mosquito net]],Table_NFI[Mosquito net])</f>
        <v>0</v>
      </c>
      <c r="AC212" s="294">
        <f>IF(NFI_Expiration=1,IF($A212&lt;VLOOKUP(L$5,NFI,5,0),1,0)*Table_NFI[[#This Row],[Tarpaulin]],Table_NFI[[#This Row],[Tarpaulin]])</f>
        <v>0</v>
      </c>
      <c r="AD212" s="294">
        <f>IF(NFI_Expiration=1,IF($A212&lt;VLOOKUP(M$5,NFI,5,0),1,0)*Table_NFI[[#This Row],[Blanket]],Table_NFI[[#This Row],[Blanket]])</f>
        <v>0</v>
      </c>
      <c r="AE212" s="294">
        <f>IF(NFI_Expiration=1,IF($A212&lt;VLOOKUP(N$5,NFI,5,0),1,0)*Table_NFI[[#This Row],[Kitchen Set]],Table_NFI[Kitchen Set])</f>
        <v>0</v>
      </c>
      <c r="AF212" s="294">
        <f>IF(NFI_Expiration=1,IF($A212&lt;VLOOKUP(O$5,NFI,5,0),1,0)*Table_NFI[[#This Row],[Clothes Kit]],Table_NFI[Clothes Kit])</f>
        <v>0</v>
      </c>
      <c r="AG212" s="294">
        <f>IF(NFI_Expiration=1,IF($A212&lt;VLOOKUP(P$5,NFI,5,0),1,0)*Table_NFI[[#This Row],[Plastic Bucket]],Table_NFI[Plastic Bucket])</f>
        <v>0</v>
      </c>
      <c r="AH212" s="294">
        <f>IF(NFI_Expiration=1,IF($A212&lt;VLOOKUP(Q$5,NFI,5,0),1,0)*Table_NFI[[#This Row],[Plastic Mat]],Table_NFI[Plastic Mat])*IF(Table_NFI[[#This Row],[Distribution Date]]&gt;"2014-04-01",1,2.5)</f>
        <v>0</v>
      </c>
      <c r="AI212" s="294">
        <f>IF(NFI_Expiration=1,IF($A212&lt;VLOOKUP(R$5,NFI,5,0),1,0)*Table_NFI[[#This Row],[Winter Clothes Adult]],Table_NFI[Winter Clothes Adult])</f>
        <v>0</v>
      </c>
      <c r="AJ212" s="294">
        <f>IF(NFI_Expiration=1,IF($A212&lt;VLOOKUP(S$5,NFI,5,0),1,0)*Table_NFI[[#This Row],[Winter Clothes Children]],Table_NFI[Winter Clothes Children])</f>
        <v>0</v>
      </c>
      <c r="AK212" s="294">
        <f>IF(NFI_Expiration=1,IF($A212&lt;VLOOKUP(T$5,NFI,5,0),1,0)*Table_NFI[[#This Row],[Winter Items Other]],Table_NFI[Winter Items Other])</f>
        <v>0</v>
      </c>
      <c r="AL212" s="294">
        <f>IF(NFI_Expiration=1,IF($A212&lt;VLOOKUP(M$5,NFI,5,0),1,0)*Table_NFI[[#This Row],[Winter Blanket]],Table_NFI[[#This Row],[Winter Blanket]])</f>
        <v>0</v>
      </c>
      <c r="AM212" s="294">
        <f>IF(Table_NFI[[#This Row],[Winter Clothes Adult]]+Table_NFI[[#This Row],[Winter Clothes Children]]+Table_NFI[[#This Row],[Winter Items Other]]+Table_NFI[[#This Row],[Winter Blanket]]&gt;0,1,0)</f>
        <v>1</v>
      </c>
      <c r="AN212" s="331">
        <f>IF(NFI_Expiration=1,IF($A212&lt;VLOOKUP(V$5,NFI,5,0),1,0)*Table_NFI[[#This Row],[Jerry Can]],Table_NFI[Jerry Can])</f>
        <v>0</v>
      </c>
      <c r="AO212" s="331">
        <f>IF(NFI_Expiration=1,IF($A212&lt;VLOOKUP(V$5,NFI,5,0),1,0)*Table_NFI[[#This Row],[Shelter Tool kit]],Table_NFI[Shelter Tool kit])</f>
        <v>0</v>
      </c>
      <c r="AP212" s="331">
        <f>IF(NFI_Expiration=1,IF($A212&lt;VLOOKUP(V$5,NFI,5,0),1,0)*Table_NFI[[#This Row],[Tent]],Table_NFI[Tent])</f>
        <v>0</v>
      </c>
      <c r="AQ212" s="467" t="str">
        <f>IFERROR(VLOOKUP(Table_NFI[[#This Row],[Camp Name]],CL,2,0),"")</f>
        <v>MMR001CMP206</v>
      </c>
      <c r="AR212" s="835">
        <f ca="1">IF(Table_NFI[[#This Row],[Pcode]]="","",IF(OFFSET(CampList[Opening Date],MATCH(Table_NFI[[#This Row],[Pcode]],CampList[CP_Pcode],0)-1,0,1,1)&gt;=NFI_Monitor_Date,1,0))</f>
        <v>0</v>
      </c>
      <c r="AS212" s="467" t="str">
        <f>IFERROR(VLOOKUP(Table_NFI[[#This Row],[Camp Name]],CL,3,0),"")</f>
        <v>Open</v>
      </c>
      <c r="AT212" s="294" t="str">
        <f ca="1">IF(Table_NFI[[#This Row],[Pcode]]="","",OFFSET(CampList[Priority],MATCH(Table_NFI[[#This Row],[Pcode]],CampList[CP_Pcode],0)-1,0,1,1))</f>
        <v>P4</v>
      </c>
      <c r="AU212" s="293" t="str">
        <f>IFERROR(Table_NFI[[#This Row],[Kitchen Set]]/VLOOKUP(Table_NFI[[#This Row],[Camp Name]],CL,4,0),"")</f>
        <v/>
      </c>
      <c r="AV212" s="461"/>
      <c r="AW212" s="483"/>
    </row>
    <row r="213" spans="1:49" s="98" customFormat="1" ht="14.45" customHeight="1" x14ac:dyDescent="0.25">
      <c r="A213" s="297">
        <f t="shared" si="3"/>
        <v>23.966666666666665</v>
      </c>
      <c r="B213" s="460">
        <v>42017</v>
      </c>
      <c r="C213" s="465" t="s">
        <v>452</v>
      </c>
      <c r="D213" s="465" t="s">
        <v>505</v>
      </c>
      <c r="E213" s="465" t="s">
        <v>380</v>
      </c>
      <c r="F213" s="465" t="s">
        <v>237</v>
      </c>
      <c r="G213" s="465" t="s">
        <v>1244</v>
      </c>
      <c r="H213" s="292"/>
      <c r="I213" s="292"/>
      <c r="J213" s="292"/>
      <c r="K213" s="292"/>
      <c r="L213" s="292">
        <v>2</v>
      </c>
      <c r="M213" s="292"/>
      <c r="N213" s="292"/>
      <c r="O213" s="292"/>
      <c r="P213" s="294"/>
      <c r="Q213" s="294"/>
      <c r="R213" s="294"/>
      <c r="S213" s="294"/>
      <c r="T213" s="294"/>
      <c r="U213" s="294"/>
      <c r="V213" s="431"/>
      <c r="W213" s="294"/>
      <c r="X213" s="294"/>
      <c r="Y213" s="294">
        <f>IF(NFI_Expiration=1,IF($A213&lt;VLOOKUP(H$5,NFI,5,0),1,0)*Table_NFI[[#This Row],[Hygiene Kit]],Table_NFI[Hygiene Kit])</f>
        <v>0</v>
      </c>
      <c r="Z213" s="294">
        <f>IF(NFI_Expiration=1,IF($A213&lt;VLOOKUP(I$5,NFI,5,0),1,0)*Table_NFI[[#This Row],[NFI Core Kit]],Table_NFI[NFI Core Kit])</f>
        <v>0</v>
      </c>
      <c r="AA213" s="294">
        <f>IF(NFI_Expiration=1,IF($A213&lt;VLOOKUP(J$5,NFI,5,0),1,0)*Table_NFI[[#This Row],[Sanitary Kit]],Table_NFI[Sanitary Kit])</f>
        <v>0</v>
      </c>
      <c r="AB213" s="294">
        <f>IF(NFI_Expiration=1,IF($A213&lt;VLOOKUP(K$5,NFI,5,0),1,0)*Table_NFI[[#This Row],[Mosquito net]],Table_NFI[Mosquito net])</f>
        <v>0</v>
      </c>
      <c r="AC213" s="294">
        <f>IF(NFI_Expiration=1,IF($A213&lt;VLOOKUP(L$5,NFI,5,0),1,0)*Table_NFI[[#This Row],[Tarpaulin]],Table_NFI[[#This Row],[Tarpaulin]])</f>
        <v>0</v>
      </c>
      <c r="AD213" s="294">
        <f>IF(NFI_Expiration=1,IF($A213&lt;VLOOKUP(M$5,NFI,5,0),1,0)*Table_NFI[[#This Row],[Blanket]],Table_NFI[[#This Row],[Blanket]])</f>
        <v>0</v>
      </c>
      <c r="AE213" s="294">
        <f>IF(NFI_Expiration=1,IF($A213&lt;VLOOKUP(N$5,NFI,5,0),1,0)*Table_NFI[[#This Row],[Kitchen Set]],Table_NFI[Kitchen Set])</f>
        <v>0</v>
      </c>
      <c r="AF213" s="294">
        <f>IF(NFI_Expiration=1,IF($A213&lt;VLOOKUP(O$5,NFI,5,0),1,0)*Table_NFI[[#This Row],[Clothes Kit]],Table_NFI[Clothes Kit])</f>
        <v>0</v>
      </c>
      <c r="AG213" s="294">
        <f>IF(NFI_Expiration=1,IF($A213&lt;VLOOKUP(P$5,NFI,5,0),1,0)*Table_NFI[[#This Row],[Plastic Bucket]],Table_NFI[Plastic Bucket])</f>
        <v>0</v>
      </c>
      <c r="AH213" s="294">
        <f>IF(NFI_Expiration=1,IF($A213&lt;VLOOKUP(Q$5,NFI,5,0),1,0)*Table_NFI[[#This Row],[Plastic Mat]],Table_NFI[Plastic Mat])*IF(Table_NFI[[#This Row],[Distribution Date]]&gt;"2014-04-01",1,2.5)</f>
        <v>0</v>
      </c>
      <c r="AI213" s="294">
        <f>IF(NFI_Expiration=1,IF($A213&lt;VLOOKUP(R$5,NFI,5,0),1,0)*Table_NFI[[#This Row],[Winter Clothes Adult]],Table_NFI[Winter Clothes Adult])</f>
        <v>0</v>
      </c>
      <c r="AJ213" s="294">
        <f>IF(NFI_Expiration=1,IF($A213&lt;VLOOKUP(S$5,NFI,5,0),1,0)*Table_NFI[[#This Row],[Winter Clothes Children]],Table_NFI[Winter Clothes Children])</f>
        <v>0</v>
      </c>
      <c r="AK213" s="294">
        <f>IF(NFI_Expiration=1,IF($A213&lt;VLOOKUP(T$5,NFI,5,0),1,0)*Table_NFI[[#This Row],[Winter Items Other]],Table_NFI[Winter Items Other])</f>
        <v>0</v>
      </c>
      <c r="AL213" s="294">
        <f>IF(NFI_Expiration=1,IF($A213&lt;VLOOKUP(M$5,NFI,5,0),1,0)*Table_NFI[[#This Row],[Winter Blanket]],Table_NFI[[#This Row],[Winter Blanket]])</f>
        <v>0</v>
      </c>
      <c r="AM213" s="294">
        <f>IF(Table_NFI[[#This Row],[Winter Clothes Adult]]+Table_NFI[[#This Row],[Winter Clothes Children]]+Table_NFI[[#This Row],[Winter Items Other]]+Table_NFI[[#This Row],[Winter Blanket]]&gt;0,1,0)</f>
        <v>0</v>
      </c>
      <c r="AN213" s="331">
        <f>IF(NFI_Expiration=1,IF($A213&lt;VLOOKUP(V$5,NFI,5,0),1,0)*Table_NFI[[#This Row],[Jerry Can]],Table_NFI[Jerry Can])</f>
        <v>0</v>
      </c>
      <c r="AO213" s="331">
        <f>IF(NFI_Expiration=1,IF($A213&lt;VLOOKUP(V$5,NFI,5,0),1,0)*Table_NFI[[#This Row],[Shelter Tool kit]],Table_NFI[Shelter Tool kit])</f>
        <v>0</v>
      </c>
      <c r="AP213" s="331">
        <f>IF(NFI_Expiration=1,IF($A213&lt;VLOOKUP(V$5,NFI,5,0),1,0)*Table_NFI[[#This Row],[Tent]],Table_NFI[Tent])</f>
        <v>0</v>
      </c>
      <c r="AQ213" s="467" t="str">
        <f>IFERROR(VLOOKUP(Table_NFI[[#This Row],[Camp Name]],CL,2,0),"")</f>
        <v>MMR001CMP023</v>
      </c>
      <c r="AR213" s="835">
        <f ca="1">IF(Table_NFI[[#This Row],[Pcode]]="","",IF(OFFSET(CampList[Opening Date],MATCH(Table_NFI[[#This Row],[Pcode]],CampList[CP_Pcode],0)-1,0,1,1)&gt;=NFI_Monitor_Date,1,0))</f>
        <v>0</v>
      </c>
      <c r="AS213" s="467" t="str">
        <f>IFERROR(VLOOKUP(Table_NFI[[#This Row],[Camp Name]],CL,3,0),"")</f>
        <v>Open</v>
      </c>
      <c r="AT213" s="294" t="str">
        <f ca="1">IF(Table_NFI[[#This Row],[Pcode]]="","",OFFSET(CampList[Priority],MATCH(Table_NFI[[#This Row],[Pcode]],CampList[CP_Pcode],0)-1,0,1,1))</f>
        <v>P4</v>
      </c>
      <c r="AU213" s="293">
        <f>IFERROR(Table_NFI[[#This Row],[Kitchen Set]]/VLOOKUP(Table_NFI[[#This Row],[Camp Name]],CL,4,0),"")</f>
        <v>0</v>
      </c>
      <c r="AV213" s="461" t="s">
        <v>1092</v>
      </c>
      <c r="AW213" s="468"/>
    </row>
    <row r="214" spans="1:49" s="98" customFormat="1" ht="14.45" customHeight="1" x14ac:dyDescent="0.25">
      <c r="A214" s="297">
        <f t="shared" si="3"/>
        <v>23.966666666666665</v>
      </c>
      <c r="B214" s="460">
        <v>42017</v>
      </c>
      <c r="C214" s="461" t="s">
        <v>1094</v>
      </c>
      <c r="D214" s="461" t="s">
        <v>900</v>
      </c>
      <c r="E214" s="461" t="s">
        <v>380</v>
      </c>
      <c r="F214" s="461" t="s">
        <v>527</v>
      </c>
      <c r="G214" s="461" t="s">
        <v>126</v>
      </c>
      <c r="H214" s="291"/>
      <c r="I214" s="294"/>
      <c r="J214" s="294"/>
      <c r="K214" s="294"/>
      <c r="L214" s="292"/>
      <c r="M214" s="292"/>
      <c r="N214" s="292"/>
      <c r="O214" s="292"/>
      <c r="P214" s="294"/>
      <c r="Q214" s="294"/>
      <c r="R214" s="294">
        <v>94</v>
      </c>
      <c r="S214" s="294">
        <v>58</v>
      </c>
      <c r="T214" s="294"/>
      <c r="U214" s="294"/>
      <c r="V214" s="431"/>
      <c r="W214" s="294"/>
      <c r="X214" s="294"/>
      <c r="Y214" s="294">
        <f>IF(NFI_Expiration=1,IF($A214&lt;VLOOKUP(H$5,NFI,5,0),1,0)*Table_NFI[[#This Row],[Hygiene Kit]],Table_NFI[Hygiene Kit])</f>
        <v>0</v>
      </c>
      <c r="Z214" s="294">
        <f>IF(NFI_Expiration=1,IF($A214&lt;VLOOKUP(I$5,NFI,5,0),1,0)*Table_NFI[[#This Row],[NFI Core Kit]],Table_NFI[NFI Core Kit])</f>
        <v>0</v>
      </c>
      <c r="AA214" s="294">
        <f>IF(NFI_Expiration=1,IF($A214&lt;VLOOKUP(J$5,NFI,5,0),1,0)*Table_NFI[[#This Row],[Sanitary Kit]],Table_NFI[Sanitary Kit])</f>
        <v>0</v>
      </c>
      <c r="AB214" s="294">
        <f>IF(NFI_Expiration=1,IF($A214&lt;VLOOKUP(K$5,NFI,5,0),1,0)*Table_NFI[[#This Row],[Mosquito net]],Table_NFI[Mosquito net])</f>
        <v>0</v>
      </c>
      <c r="AC214" s="294">
        <f>IF(NFI_Expiration=1,IF($A214&lt;VLOOKUP(L$5,NFI,5,0),1,0)*Table_NFI[[#This Row],[Tarpaulin]],Table_NFI[[#This Row],[Tarpaulin]])</f>
        <v>0</v>
      </c>
      <c r="AD214" s="294">
        <f>IF(NFI_Expiration=1,IF($A214&lt;VLOOKUP(M$5,NFI,5,0),1,0)*Table_NFI[[#This Row],[Blanket]],Table_NFI[[#This Row],[Blanket]])</f>
        <v>0</v>
      </c>
      <c r="AE214" s="294">
        <f>IF(NFI_Expiration=1,IF($A214&lt;VLOOKUP(N$5,NFI,5,0),1,0)*Table_NFI[[#This Row],[Kitchen Set]],Table_NFI[Kitchen Set])</f>
        <v>0</v>
      </c>
      <c r="AF214" s="294">
        <f>IF(NFI_Expiration=1,IF($A214&lt;VLOOKUP(O$5,NFI,5,0),1,0)*Table_NFI[[#This Row],[Clothes Kit]],Table_NFI[Clothes Kit])</f>
        <v>0</v>
      </c>
      <c r="AG214" s="294">
        <f>IF(NFI_Expiration=1,IF($A214&lt;VLOOKUP(P$5,NFI,5,0),1,0)*Table_NFI[[#This Row],[Plastic Bucket]],Table_NFI[Plastic Bucket])</f>
        <v>0</v>
      </c>
      <c r="AH214" s="294">
        <f>IF(NFI_Expiration=1,IF($A214&lt;VLOOKUP(Q$5,NFI,5,0),1,0)*Table_NFI[[#This Row],[Plastic Mat]],Table_NFI[Plastic Mat])*IF(Table_NFI[[#This Row],[Distribution Date]]&gt;"2014-04-01",1,2.5)</f>
        <v>0</v>
      </c>
      <c r="AI214" s="294">
        <f>IF(NFI_Expiration=1,IF($A214&lt;VLOOKUP(R$5,NFI,5,0),1,0)*Table_NFI[[#This Row],[Winter Clothes Adult]],Table_NFI[Winter Clothes Adult])</f>
        <v>0</v>
      </c>
      <c r="AJ214" s="294">
        <f>IF(NFI_Expiration=1,IF($A214&lt;VLOOKUP(S$5,NFI,5,0),1,0)*Table_NFI[[#This Row],[Winter Clothes Children]],Table_NFI[Winter Clothes Children])</f>
        <v>0</v>
      </c>
      <c r="AK214" s="294">
        <f>IF(NFI_Expiration=1,IF($A214&lt;VLOOKUP(T$5,NFI,5,0),1,0)*Table_NFI[[#This Row],[Winter Items Other]],Table_NFI[Winter Items Other])</f>
        <v>0</v>
      </c>
      <c r="AL214" s="294">
        <f>IF(NFI_Expiration=1,IF($A214&lt;VLOOKUP(M$5,NFI,5,0),1,0)*Table_NFI[[#This Row],[Winter Blanket]],Table_NFI[[#This Row],[Winter Blanket]])</f>
        <v>0</v>
      </c>
      <c r="AM214" s="294">
        <f>IF(Table_NFI[[#This Row],[Winter Clothes Adult]]+Table_NFI[[#This Row],[Winter Clothes Children]]+Table_NFI[[#This Row],[Winter Items Other]]+Table_NFI[[#This Row],[Winter Blanket]]&gt;0,1,0)</f>
        <v>1</v>
      </c>
      <c r="AN214" s="331">
        <f>IF(NFI_Expiration=1,IF($A214&lt;VLOOKUP(V$5,NFI,5,0),1,0)*Table_NFI[[#This Row],[Jerry Can]],Table_NFI[Jerry Can])</f>
        <v>0</v>
      </c>
      <c r="AO214" s="331">
        <f>IF(NFI_Expiration=1,IF($A214&lt;VLOOKUP(V$5,NFI,5,0),1,0)*Table_NFI[[#This Row],[Shelter Tool kit]],Table_NFI[Shelter Tool kit])</f>
        <v>0</v>
      </c>
      <c r="AP214" s="331">
        <f>IF(NFI_Expiration=1,IF($A214&lt;VLOOKUP(V$5,NFI,5,0),1,0)*Table_NFI[[#This Row],[Tent]],Table_NFI[Tent])</f>
        <v>0</v>
      </c>
      <c r="AQ214" s="467" t="str">
        <f>IFERROR(VLOOKUP(Table_NFI[[#This Row],[Camp Name]],CL,2,0),"")</f>
        <v>MMR001CMP184</v>
      </c>
      <c r="AR214" s="835">
        <f ca="1">IF(Table_NFI[[#This Row],[Pcode]]="","",IF(OFFSET(CampList[Opening Date],MATCH(Table_NFI[[#This Row],[Pcode]],CampList[CP_Pcode],0)-1,0,1,1)&gt;=NFI_Monitor_Date,1,0))</f>
        <v>0</v>
      </c>
      <c r="AS214" s="467" t="str">
        <f>IFERROR(VLOOKUP(Table_NFI[[#This Row],[Camp Name]],CL,3,0),"")</f>
        <v>Open</v>
      </c>
      <c r="AT214" s="294" t="str">
        <f ca="1">IF(Table_NFI[[#This Row],[Pcode]]="","",OFFSET(CampList[Priority],MATCH(Table_NFI[[#This Row],[Pcode]],CampList[CP_Pcode],0)-1,0,1,1))</f>
        <v>P4</v>
      </c>
      <c r="AU214" s="293">
        <f>IFERROR(Table_NFI[[#This Row],[Kitchen Set]]/VLOOKUP(Table_NFI[[#This Row],[Camp Name]],CL,4,0),"")</f>
        <v>0</v>
      </c>
      <c r="AV214" s="461"/>
      <c r="AW214" s="483"/>
    </row>
    <row r="215" spans="1:49" s="98" customFormat="1" x14ac:dyDescent="0.25">
      <c r="A215" s="297">
        <f t="shared" si="3"/>
        <v>23.966666666666665</v>
      </c>
      <c r="B215" s="460">
        <v>42017</v>
      </c>
      <c r="C215" s="461" t="s">
        <v>1094</v>
      </c>
      <c r="D215" s="461" t="s">
        <v>900</v>
      </c>
      <c r="E215" s="461" t="s">
        <v>380</v>
      </c>
      <c r="F215" s="461" t="s">
        <v>527</v>
      </c>
      <c r="G215" s="461" t="s">
        <v>140</v>
      </c>
      <c r="H215" s="291"/>
      <c r="I215" s="294"/>
      <c r="J215" s="294"/>
      <c r="K215" s="294"/>
      <c r="L215" s="292"/>
      <c r="M215" s="292"/>
      <c r="N215" s="292"/>
      <c r="O215" s="292"/>
      <c r="P215" s="294"/>
      <c r="Q215" s="294"/>
      <c r="R215" s="294">
        <v>33</v>
      </c>
      <c r="S215" s="294">
        <v>8</v>
      </c>
      <c r="T215" s="294"/>
      <c r="U215" s="294"/>
      <c r="V215" s="431"/>
      <c r="W215" s="294"/>
      <c r="X215" s="294"/>
      <c r="Y215" s="294">
        <f>IF(NFI_Expiration=1,IF($A215&lt;VLOOKUP(H$5,NFI,5,0),1,0)*Table_NFI[[#This Row],[Hygiene Kit]],Table_NFI[Hygiene Kit])</f>
        <v>0</v>
      </c>
      <c r="Z215" s="294">
        <f>IF(NFI_Expiration=1,IF($A215&lt;VLOOKUP(I$5,NFI,5,0),1,0)*Table_NFI[[#This Row],[NFI Core Kit]],Table_NFI[NFI Core Kit])</f>
        <v>0</v>
      </c>
      <c r="AA215" s="294">
        <f>IF(NFI_Expiration=1,IF($A215&lt;VLOOKUP(J$5,NFI,5,0),1,0)*Table_NFI[[#This Row],[Sanitary Kit]],Table_NFI[Sanitary Kit])</f>
        <v>0</v>
      </c>
      <c r="AB215" s="294">
        <f>IF(NFI_Expiration=1,IF($A215&lt;VLOOKUP(K$5,NFI,5,0),1,0)*Table_NFI[[#This Row],[Mosquito net]],Table_NFI[Mosquito net])</f>
        <v>0</v>
      </c>
      <c r="AC215" s="294">
        <f>IF(NFI_Expiration=1,IF($A215&lt;VLOOKUP(L$5,NFI,5,0),1,0)*Table_NFI[[#This Row],[Tarpaulin]],Table_NFI[[#This Row],[Tarpaulin]])</f>
        <v>0</v>
      </c>
      <c r="AD215" s="294">
        <f>IF(NFI_Expiration=1,IF($A215&lt;VLOOKUP(M$5,NFI,5,0),1,0)*Table_NFI[[#This Row],[Blanket]],Table_NFI[[#This Row],[Blanket]])</f>
        <v>0</v>
      </c>
      <c r="AE215" s="294">
        <f>IF(NFI_Expiration=1,IF($A215&lt;VLOOKUP(N$5,NFI,5,0),1,0)*Table_NFI[[#This Row],[Kitchen Set]],Table_NFI[Kitchen Set])</f>
        <v>0</v>
      </c>
      <c r="AF215" s="294">
        <f>IF(NFI_Expiration=1,IF($A215&lt;VLOOKUP(O$5,NFI,5,0),1,0)*Table_NFI[[#This Row],[Clothes Kit]],Table_NFI[Clothes Kit])</f>
        <v>0</v>
      </c>
      <c r="AG215" s="294">
        <f>IF(NFI_Expiration=1,IF($A215&lt;VLOOKUP(P$5,NFI,5,0),1,0)*Table_NFI[[#This Row],[Plastic Bucket]],Table_NFI[Plastic Bucket])</f>
        <v>0</v>
      </c>
      <c r="AH215" s="294">
        <f>IF(NFI_Expiration=1,IF($A215&lt;VLOOKUP(Q$5,NFI,5,0),1,0)*Table_NFI[[#This Row],[Plastic Mat]],Table_NFI[Plastic Mat])*IF(Table_NFI[[#This Row],[Distribution Date]]&gt;"2014-04-01",1,2.5)</f>
        <v>0</v>
      </c>
      <c r="AI215" s="294">
        <f>IF(NFI_Expiration=1,IF($A215&lt;VLOOKUP(R$5,NFI,5,0),1,0)*Table_NFI[[#This Row],[Winter Clothes Adult]],Table_NFI[Winter Clothes Adult])</f>
        <v>0</v>
      </c>
      <c r="AJ215" s="294">
        <f>IF(NFI_Expiration=1,IF($A215&lt;VLOOKUP(S$5,NFI,5,0),1,0)*Table_NFI[[#This Row],[Winter Clothes Children]],Table_NFI[Winter Clothes Children])</f>
        <v>0</v>
      </c>
      <c r="AK215" s="294">
        <f>IF(NFI_Expiration=1,IF($A215&lt;VLOOKUP(T$5,NFI,5,0),1,0)*Table_NFI[[#This Row],[Winter Items Other]],Table_NFI[Winter Items Other])</f>
        <v>0</v>
      </c>
      <c r="AL215" s="294">
        <f>IF(NFI_Expiration=1,IF($A215&lt;VLOOKUP(M$5,NFI,5,0),1,0)*Table_NFI[[#This Row],[Winter Blanket]],Table_NFI[[#This Row],[Winter Blanket]])</f>
        <v>0</v>
      </c>
      <c r="AM215" s="294">
        <f>IF(Table_NFI[[#This Row],[Winter Clothes Adult]]+Table_NFI[[#This Row],[Winter Clothes Children]]+Table_NFI[[#This Row],[Winter Items Other]]+Table_NFI[[#This Row],[Winter Blanket]]&gt;0,1,0)</f>
        <v>1</v>
      </c>
      <c r="AN215" s="331">
        <f>IF(NFI_Expiration=1,IF($A215&lt;VLOOKUP(V$5,NFI,5,0),1,0)*Table_NFI[[#This Row],[Jerry Can]],Table_NFI[Jerry Can])</f>
        <v>0</v>
      </c>
      <c r="AO215" s="331">
        <f>IF(NFI_Expiration=1,IF($A215&lt;VLOOKUP(V$5,NFI,5,0),1,0)*Table_NFI[[#This Row],[Shelter Tool kit]],Table_NFI[Shelter Tool kit])</f>
        <v>0</v>
      </c>
      <c r="AP215" s="331">
        <f>IF(NFI_Expiration=1,IF($A215&lt;VLOOKUP(V$5,NFI,5,0),1,0)*Table_NFI[[#This Row],[Tent]],Table_NFI[Tent])</f>
        <v>0</v>
      </c>
      <c r="AQ215" s="467" t="str">
        <f>IFERROR(VLOOKUP(Table_NFI[[#This Row],[Camp Name]],CL,2,0),"")</f>
        <v>MMR001CMP105</v>
      </c>
      <c r="AR215" s="835">
        <f ca="1">IF(Table_NFI[[#This Row],[Pcode]]="","",IF(OFFSET(CampList[Opening Date],MATCH(Table_NFI[[#This Row],[Pcode]],CampList[CP_Pcode],0)-1,0,1,1)&gt;=NFI_Monitor_Date,1,0))</f>
        <v>0</v>
      </c>
      <c r="AS215" s="467" t="str">
        <f>IFERROR(VLOOKUP(Table_NFI[[#This Row],[Camp Name]],CL,3,0),"")</f>
        <v>Open</v>
      </c>
      <c r="AT215" s="294" t="str">
        <f ca="1">IF(Table_NFI[[#This Row],[Pcode]]="","",OFFSET(CampList[Priority],MATCH(Table_NFI[[#This Row],[Pcode]],CampList[CP_Pcode],0)-1,0,1,1))</f>
        <v>P4</v>
      </c>
      <c r="AU215" s="293">
        <f>IFERROR(Table_NFI[[#This Row],[Kitchen Set]]/VLOOKUP(Table_NFI[[#This Row],[Camp Name]],CL,4,0),"")</f>
        <v>0</v>
      </c>
      <c r="AV215" s="461"/>
      <c r="AW215" s="483"/>
    </row>
    <row r="216" spans="1:49" s="98" customFormat="1" ht="15" customHeight="1" x14ac:dyDescent="0.25">
      <c r="A216" s="297">
        <f t="shared" si="3"/>
        <v>24.066666666666666</v>
      </c>
      <c r="B216" s="460">
        <v>42014</v>
      </c>
      <c r="C216" s="461" t="s">
        <v>452</v>
      </c>
      <c r="D216" s="465" t="s">
        <v>452</v>
      </c>
      <c r="E216" s="465" t="s">
        <v>380</v>
      </c>
      <c r="F216" s="465" t="s">
        <v>300</v>
      </c>
      <c r="G216" s="465" t="s">
        <v>890</v>
      </c>
      <c r="H216" s="292"/>
      <c r="I216" s="292"/>
      <c r="J216" s="292">
        <v>55</v>
      </c>
      <c r="K216" s="292">
        <v>110</v>
      </c>
      <c r="L216" s="292">
        <v>55</v>
      </c>
      <c r="M216" s="292">
        <v>110</v>
      </c>
      <c r="N216" s="292">
        <v>55</v>
      </c>
      <c r="O216" s="292"/>
      <c r="P216" s="294">
        <v>55</v>
      </c>
      <c r="Q216" s="294">
        <v>275</v>
      </c>
      <c r="R216" s="294"/>
      <c r="S216" s="294"/>
      <c r="T216" s="294"/>
      <c r="U216" s="294"/>
      <c r="V216" s="431">
        <v>55</v>
      </c>
      <c r="W216" s="294"/>
      <c r="X216" s="294"/>
      <c r="Y216" s="294">
        <f>IF(NFI_Expiration=1,IF($A216&lt;VLOOKUP(H$5,NFI,5,0),1,0)*Table_NFI[[#This Row],[Hygiene Kit]],Table_NFI[Hygiene Kit])</f>
        <v>0</v>
      </c>
      <c r="Z216" s="294">
        <f>IF(NFI_Expiration=1,IF($A216&lt;VLOOKUP(I$5,NFI,5,0),1,0)*Table_NFI[[#This Row],[NFI Core Kit]],Table_NFI[NFI Core Kit])</f>
        <v>0</v>
      </c>
      <c r="AA216" s="294">
        <f>IF(NFI_Expiration=1,IF($A216&lt;VLOOKUP(J$5,NFI,5,0),1,0)*Table_NFI[[#This Row],[Sanitary Kit]],Table_NFI[Sanitary Kit])</f>
        <v>0</v>
      </c>
      <c r="AB216" s="294">
        <f>IF(NFI_Expiration=1,IF($A216&lt;VLOOKUP(K$5,NFI,5,0),1,0)*Table_NFI[[#This Row],[Mosquito net]],Table_NFI[Mosquito net])</f>
        <v>0</v>
      </c>
      <c r="AC216" s="294">
        <f>IF(NFI_Expiration=1,IF($A216&lt;VLOOKUP(L$5,NFI,5,0),1,0)*Table_NFI[[#This Row],[Tarpaulin]],Table_NFI[[#This Row],[Tarpaulin]])</f>
        <v>0</v>
      </c>
      <c r="AD216" s="294">
        <f>IF(NFI_Expiration=1,IF($A216&lt;VLOOKUP(M$5,NFI,5,0),1,0)*Table_NFI[[#This Row],[Blanket]],Table_NFI[[#This Row],[Blanket]])</f>
        <v>0</v>
      </c>
      <c r="AE216" s="294">
        <f>IF(NFI_Expiration=1,IF($A216&lt;VLOOKUP(N$5,NFI,5,0),1,0)*Table_NFI[[#This Row],[Kitchen Set]],Table_NFI[Kitchen Set])</f>
        <v>0</v>
      </c>
      <c r="AF216" s="294">
        <f>IF(NFI_Expiration=1,IF($A216&lt;VLOOKUP(O$5,NFI,5,0),1,0)*Table_NFI[[#This Row],[Clothes Kit]],Table_NFI[Clothes Kit])</f>
        <v>0</v>
      </c>
      <c r="AG216" s="294">
        <f>IF(NFI_Expiration=1,IF($A216&lt;VLOOKUP(P$5,NFI,5,0),1,0)*Table_NFI[[#This Row],[Plastic Bucket]],Table_NFI[Plastic Bucket])</f>
        <v>0</v>
      </c>
      <c r="AH216" s="294">
        <f>IF(NFI_Expiration=1,IF($A216&lt;VLOOKUP(Q$5,NFI,5,0),1,0)*Table_NFI[[#This Row],[Plastic Mat]],Table_NFI[Plastic Mat])*IF(Table_NFI[[#This Row],[Distribution Date]]&gt;"2014-04-01",1,2.5)</f>
        <v>0</v>
      </c>
      <c r="AI216" s="294">
        <f>IF(NFI_Expiration=1,IF($A216&lt;VLOOKUP(R$5,NFI,5,0),1,0)*Table_NFI[[#This Row],[Winter Clothes Adult]],Table_NFI[Winter Clothes Adult])</f>
        <v>0</v>
      </c>
      <c r="AJ216" s="294">
        <f>IF(NFI_Expiration=1,IF($A216&lt;VLOOKUP(S$5,NFI,5,0),1,0)*Table_NFI[[#This Row],[Winter Clothes Children]],Table_NFI[Winter Clothes Children])</f>
        <v>0</v>
      </c>
      <c r="AK216" s="294">
        <f>IF(NFI_Expiration=1,IF($A216&lt;VLOOKUP(T$5,NFI,5,0),1,0)*Table_NFI[[#This Row],[Winter Items Other]],Table_NFI[Winter Items Other])</f>
        <v>0</v>
      </c>
      <c r="AL216" s="294">
        <f>IF(NFI_Expiration=1,IF($A216&lt;VLOOKUP(M$5,NFI,5,0),1,0)*Table_NFI[[#This Row],[Winter Blanket]],Table_NFI[[#This Row],[Winter Blanket]])</f>
        <v>0</v>
      </c>
      <c r="AM216" s="294">
        <f>IF(Table_NFI[[#This Row],[Winter Clothes Adult]]+Table_NFI[[#This Row],[Winter Clothes Children]]+Table_NFI[[#This Row],[Winter Items Other]]+Table_NFI[[#This Row],[Winter Blanket]]&gt;0,1,0)</f>
        <v>0</v>
      </c>
      <c r="AN216" s="331">
        <f>IF(NFI_Expiration=1,IF($A216&lt;VLOOKUP(V$5,NFI,5,0),1,0)*Table_NFI[[#This Row],[Jerry Can]],Table_NFI[Jerry Can])</f>
        <v>0</v>
      </c>
      <c r="AO216" s="331">
        <f>IF(NFI_Expiration=1,IF($A216&lt;VLOOKUP(V$5,NFI,5,0),1,0)*Table_NFI[[#This Row],[Shelter Tool kit]],Table_NFI[Shelter Tool kit])</f>
        <v>0</v>
      </c>
      <c r="AP216" s="331">
        <f>IF(NFI_Expiration=1,IF($A216&lt;VLOOKUP(V$5,NFI,5,0),1,0)*Table_NFI[[#This Row],[Tent]],Table_NFI[Tent])</f>
        <v>0</v>
      </c>
      <c r="AQ216" s="467" t="str">
        <f>IFERROR(VLOOKUP(Table_NFI[[#This Row],[Camp Name]],CL,2,0),"")</f>
        <v>MMR001CMP220</v>
      </c>
      <c r="AR216" s="835">
        <f ca="1">IF(Table_NFI[[#This Row],[Pcode]]="","",IF(OFFSET(CampList[Opening Date],MATCH(Table_NFI[[#This Row],[Pcode]],CampList[CP_Pcode],0)-1,0,1,1)&gt;=NFI_Monitor_Date,1,0))</f>
        <v>0</v>
      </c>
      <c r="AS216" s="467" t="str">
        <f>IFERROR(VLOOKUP(Table_NFI[[#This Row],[Camp Name]],CL,3,0),"")</f>
        <v>Closed</v>
      </c>
      <c r="AT216" s="294" t="str">
        <f ca="1">IF(Table_NFI[[#This Row],[Pcode]]="","",OFFSET(CampList[Priority],MATCH(Table_NFI[[#This Row],[Pcode]],CampList[CP_Pcode],0)-1,0,1,1))</f>
        <v>P3</v>
      </c>
      <c r="AU216" s="293">
        <f>IFERROR(Table_NFI[[#This Row],[Kitchen Set]]/VLOOKUP(Table_NFI[[#This Row],[Camp Name]],CL,4,0),"")</f>
        <v>1.3257164895027359E-3</v>
      </c>
      <c r="AV216" s="461" t="s">
        <v>1092</v>
      </c>
      <c r="AW216" s="463"/>
    </row>
    <row r="217" spans="1:49" s="98" customFormat="1" x14ac:dyDescent="0.25">
      <c r="A217" s="297">
        <f t="shared" si="3"/>
        <v>24.366666666666667</v>
      </c>
      <c r="B217" s="460">
        <v>42005</v>
      </c>
      <c r="C217" s="465" t="s">
        <v>452</v>
      </c>
      <c r="D217" s="465" t="s">
        <v>460</v>
      </c>
      <c r="E217" s="465" t="s">
        <v>380</v>
      </c>
      <c r="F217" s="465" t="s">
        <v>310</v>
      </c>
      <c r="G217" s="465" t="s">
        <v>347</v>
      </c>
      <c r="H217" s="292"/>
      <c r="I217" s="292"/>
      <c r="J217" s="292"/>
      <c r="K217" s="292"/>
      <c r="L217" s="292"/>
      <c r="M217" s="292"/>
      <c r="N217" s="292">
        <v>50</v>
      </c>
      <c r="O217" s="292"/>
      <c r="P217" s="294"/>
      <c r="Q217" s="294"/>
      <c r="R217" s="294"/>
      <c r="S217" s="294"/>
      <c r="T217" s="294"/>
      <c r="U217" s="294"/>
      <c r="V217" s="431"/>
      <c r="W217" s="294"/>
      <c r="X217" s="294">
        <v>90</v>
      </c>
      <c r="Y217" s="294">
        <f>IF(NFI_Expiration=1,IF($A217&lt;VLOOKUP(H$5,NFI,5,0),1,0)*Table_NFI[[#This Row],[Hygiene Kit]],Table_NFI[Hygiene Kit])</f>
        <v>0</v>
      </c>
      <c r="Z217" s="294">
        <f>IF(NFI_Expiration=1,IF($A217&lt;VLOOKUP(I$5,NFI,5,0),1,0)*Table_NFI[[#This Row],[NFI Core Kit]],Table_NFI[NFI Core Kit])</f>
        <v>0</v>
      </c>
      <c r="AA217" s="294">
        <f>IF(NFI_Expiration=1,IF($A217&lt;VLOOKUP(J$5,NFI,5,0),1,0)*Table_NFI[[#This Row],[Sanitary Kit]],Table_NFI[Sanitary Kit])</f>
        <v>0</v>
      </c>
      <c r="AB217" s="294">
        <f>IF(NFI_Expiration=1,IF($A217&lt;VLOOKUP(K$5,NFI,5,0),1,0)*Table_NFI[[#This Row],[Mosquito net]],Table_NFI[Mosquito net])</f>
        <v>0</v>
      </c>
      <c r="AC217" s="294">
        <f>IF(NFI_Expiration=1,IF($A217&lt;VLOOKUP(L$5,NFI,5,0),1,0)*Table_NFI[[#This Row],[Tarpaulin]],Table_NFI[[#This Row],[Tarpaulin]])</f>
        <v>0</v>
      </c>
      <c r="AD217" s="294">
        <f>IF(NFI_Expiration=1,IF($A217&lt;VLOOKUP(M$5,NFI,5,0),1,0)*Table_NFI[[#This Row],[Blanket]],Table_NFI[[#This Row],[Blanket]])</f>
        <v>0</v>
      </c>
      <c r="AE217" s="294">
        <f>IF(NFI_Expiration=1,IF($A217&lt;VLOOKUP(N$5,NFI,5,0),1,0)*Table_NFI[[#This Row],[Kitchen Set]],Table_NFI[Kitchen Set])</f>
        <v>0</v>
      </c>
      <c r="AF217" s="294">
        <f>IF(NFI_Expiration=1,IF($A217&lt;VLOOKUP(O$5,NFI,5,0),1,0)*Table_NFI[[#This Row],[Clothes Kit]],Table_NFI[Clothes Kit])</f>
        <v>0</v>
      </c>
      <c r="AG217" s="294">
        <f>IF(NFI_Expiration=1,IF($A217&lt;VLOOKUP(P$5,NFI,5,0),1,0)*Table_NFI[[#This Row],[Plastic Bucket]],Table_NFI[Plastic Bucket])</f>
        <v>0</v>
      </c>
      <c r="AH217" s="294">
        <f>IF(NFI_Expiration=1,IF($A217&lt;VLOOKUP(Q$5,NFI,5,0),1,0)*Table_NFI[[#This Row],[Plastic Mat]],Table_NFI[Plastic Mat])*IF(Table_NFI[[#This Row],[Distribution Date]]&gt;"2014-04-01",1,2.5)</f>
        <v>0</v>
      </c>
      <c r="AI217" s="294">
        <f>IF(NFI_Expiration=1,IF($A217&lt;VLOOKUP(R$5,NFI,5,0),1,0)*Table_NFI[[#This Row],[Winter Clothes Adult]],Table_NFI[Winter Clothes Adult])</f>
        <v>0</v>
      </c>
      <c r="AJ217" s="294">
        <f>IF(NFI_Expiration=1,IF($A217&lt;VLOOKUP(S$5,NFI,5,0),1,0)*Table_NFI[[#This Row],[Winter Clothes Children]],Table_NFI[Winter Clothes Children])</f>
        <v>0</v>
      </c>
      <c r="AK217" s="294">
        <f>IF(NFI_Expiration=1,IF($A217&lt;VLOOKUP(T$5,NFI,5,0),1,0)*Table_NFI[[#This Row],[Winter Items Other]],Table_NFI[Winter Items Other])</f>
        <v>0</v>
      </c>
      <c r="AL217" s="294">
        <f>IF(NFI_Expiration=1,IF($A217&lt;VLOOKUP(M$5,NFI,5,0),1,0)*Table_NFI[[#This Row],[Winter Blanket]],Table_NFI[[#This Row],[Winter Blanket]])</f>
        <v>0</v>
      </c>
      <c r="AM217" s="294">
        <f>IF(Table_NFI[[#This Row],[Winter Clothes Adult]]+Table_NFI[[#This Row],[Winter Clothes Children]]+Table_NFI[[#This Row],[Winter Items Other]]+Table_NFI[[#This Row],[Winter Blanket]]&gt;0,1,0)</f>
        <v>0</v>
      </c>
      <c r="AN217" s="331">
        <f>IF(NFI_Expiration=1,IF($A217&lt;VLOOKUP(V$5,NFI,5,0),1,0)*Table_NFI[[#This Row],[Jerry Can]],Table_NFI[Jerry Can])</f>
        <v>0</v>
      </c>
      <c r="AO217" s="331">
        <f>IF(NFI_Expiration=1,IF($A217&lt;VLOOKUP(V$5,NFI,5,0),1,0)*Table_NFI[[#This Row],[Shelter Tool kit]],Table_NFI[Shelter Tool kit])</f>
        <v>0</v>
      </c>
      <c r="AP217" s="331">
        <f>IF(NFI_Expiration=1,IF($A217&lt;VLOOKUP(V$5,NFI,5,0),1,0)*Table_NFI[[#This Row],[Tent]],Table_NFI[Tent])</f>
        <v>0</v>
      </c>
      <c r="AQ217" s="467" t="str">
        <f>IFERROR(VLOOKUP(Table_NFI[[#This Row],[Camp Name]],CL,2,0),"")</f>
        <v>MMR001CMP041</v>
      </c>
      <c r="AR217" s="835">
        <f ca="1">IF(Table_NFI[[#This Row],[Pcode]]="","",IF(OFFSET(CampList[Opening Date],MATCH(Table_NFI[[#This Row],[Pcode]],CampList[CP_Pcode],0)-1,0,1,1)&gt;=NFI_Monitor_Date,1,0))</f>
        <v>0</v>
      </c>
      <c r="AS217" s="467" t="str">
        <f>IFERROR(VLOOKUP(Table_NFI[[#This Row],[Camp Name]],CL,3,0),"")</f>
        <v>Open</v>
      </c>
      <c r="AT217" s="294" t="str">
        <f ca="1">IF(Table_NFI[[#This Row],[Pcode]]="","",OFFSET(CampList[Priority],MATCH(Table_NFI[[#This Row],[Pcode]],CampList[CP_Pcode],0)-1,0,1,1))</f>
        <v>P1</v>
      </c>
      <c r="AU217" s="293">
        <f>IFERROR(Table_NFI[[#This Row],[Kitchen Set]]/VLOOKUP(Table_NFI[[#This Row],[Camp Name]],CL,4,0),"")</f>
        <v>1.2240501370936153E-3</v>
      </c>
      <c r="AV217" s="461" t="s">
        <v>1092</v>
      </c>
      <c r="AW217" s="468"/>
    </row>
    <row r="218" spans="1:49" s="98" customFormat="1" ht="14.45" customHeight="1" x14ac:dyDescent="0.25">
      <c r="A218" s="297">
        <f t="shared" si="3"/>
        <v>24.433333333333334</v>
      </c>
      <c r="B218" s="460">
        <v>42003</v>
      </c>
      <c r="C218" s="461" t="s">
        <v>452</v>
      </c>
      <c r="D218" s="461" t="s">
        <v>460</v>
      </c>
      <c r="E218" s="461" t="s">
        <v>380</v>
      </c>
      <c r="F218" s="461" t="s">
        <v>310</v>
      </c>
      <c r="G218" s="461" t="s">
        <v>347</v>
      </c>
      <c r="H218" s="291"/>
      <c r="I218" s="291"/>
      <c r="J218" s="291">
        <v>120</v>
      </c>
      <c r="K218" s="291">
        <v>240</v>
      </c>
      <c r="L218" s="292">
        <v>135</v>
      </c>
      <c r="M218" s="292">
        <v>240</v>
      </c>
      <c r="N218" s="292">
        <v>170</v>
      </c>
      <c r="O218" s="292">
        <v>120</v>
      </c>
      <c r="P218" s="294">
        <v>120</v>
      </c>
      <c r="Q218" s="294">
        <v>600</v>
      </c>
      <c r="R218" s="294"/>
      <c r="S218" s="294"/>
      <c r="T218" s="294"/>
      <c r="U218" s="294"/>
      <c r="V218" s="431"/>
      <c r="W218" s="294"/>
      <c r="X218" s="294"/>
      <c r="Y218" s="294">
        <f>IF(NFI_Expiration=1,IF($A218&lt;VLOOKUP(H$5,NFI,5,0),1,0)*Table_NFI[[#This Row],[Hygiene Kit]],Table_NFI[Hygiene Kit])</f>
        <v>0</v>
      </c>
      <c r="Z218" s="294">
        <f>IF(NFI_Expiration=1,IF($A218&lt;VLOOKUP(I$5,NFI,5,0),1,0)*Table_NFI[[#This Row],[NFI Core Kit]],Table_NFI[NFI Core Kit])</f>
        <v>0</v>
      </c>
      <c r="AA218" s="294">
        <f>IF(NFI_Expiration=1,IF($A218&lt;VLOOKUP(J$5,NFI,5,0),1,0)*Table_NFI[[#This Row],[Sanitary Kit]],Table_NFI[Sanitary Kit])</f>
        <v>0</v>
      </c>
      <c r="AB218" s="294">
        <f>IF(NFI_Expiration=1,IF($A218&lt;VLOOKUP(K$5,NFI,5,0),1,0)*Table_NFI[[#This Row],[Mosquito net]],Table_NFI[Mosquito net])</f>
        <v>0</v>
      </c>
      <c r="AC218" s="294">
        <f>IF(NFI_Expiration=1,IF($A218&lt;VLOOKUP(L$5,NFI,5,0),1,0)*Table_NFI[[#This Row],[Tarpaulin]],Table_NFI[[#This Row],[Tarpaulin]])</f>
        <v>0</v>
      </c>
      <c r="AD218" s="294">
        <f>IF(NFI_Expiration=1,IF($A218&lt;VLOOKUP(M$5,NFI,5,0),1,0)*Table_NFI[[#This Row],[Blanket]],Table_NFI[[#This Row],[Blanket]])</f>
        <v>0</v>
      </c>
      <c r="AE218" s="294">
        <f>IF(NFI_Expiration=1,IF($A218&lt;VLOOKUP(N$5,NFI,5,0),1,0)*Table_NFI[[#This Row],[Kitchen Set]],Table_NFI[Kitchen Set])</f>
        <v>0</v>
      </c>
      <c r="AF218" s="294">
        <f>IF(NFI_Expiration=1,IF($A218&lt;VLOOKUP(O$5,NFI,5,0),1,0)*Table_NFI[[#This Row],[Clothes Kit]],Table_NFI[Clothes Kit])</f>
        <v>0</v>
      </c>
      <c r="AG218" s="294">
        <f>IF(NFI_Expiration=1,IF($A218&lt;VLOOKUP(P$5,NFI,5,0),1,0)*Table_NFI[[#This Row],[Plastic Bucket]],Table_NFI[Plastic Bucket])</f>
        <v>0</v>
      </c>
      <c r="AH218" s="294">
        <f>IF(NFI_Expiration=1,IF($A218&lt;VLOOKUP(Q$5,NFI,5,0),1,0)*Table_NFI[[#This Row],[Plastic Mat]],Table_NFI[Plastic Mat])*IF(Table_NFI[[#This Row],[Distribution Date]]&gt;"2014-04-01",1,2.5)</f>
        <v>0</v>
      </c>
      <c r="AI218" s="294">
        <f>IF(NFI_Expiration=1,IF($A218&lt;VLOOKUP(R$5,NFI,5,0),1,0)*Table_NFI[[#This Row],[Winter Clothes Adult]],Table_NFI[Winter Clothes Adult])</f>
        <v>0</v>
      </c>
      <c r="AJ218" s="294">
        <f>IF(NFI_Expiration=1,IF($A218&lt;VLOOKUP(S$5,NFI,5,0),1,0)*Table_NFI[[#This Row],[Winter Clothes Children]],Table_NFI[Winter Clothes Children])</f>
        <v>0</v>
      </c>
      <c r="AK218" s="294">
        <f>IF(NFI_Expiration=1,IF($A218&lt;VLOOKUP(T$5,NFI,5,0),1,0)*Table_NFI[[#This Row],[Winter Items Other]],Table_NFI[Winter Items Other])</f>
        <v>0</v>
      </c>
      <c r="AL218" s="294">
        <f>IF(NFI_Expiration=1,IF($A218&lt;VLOOKUP(M$5,NFI,5,0),1,0)*Table_NFI[[#This Row],[Winter Blanket]],Table_NFI[[#This Row],[Winter Blanket]])</f>
        <v>0</v>
      </c>
      <c r="AM218" s="294">
        <f>IF(Table_NFI[[#This Row],[Winter Clothes Adult]]+Table_NFI[[#This Row],[Winter Clothes Children]]+Table_NFI[[#This Row],[Winter Items Other]]+Table_NFI[[#This Row],[Winter Blanket]]&gt;0,1,0)</f>
        <v>0</v>
      </c>
      <c r="AN218" s="331">
        <f>IF(NFI_Expiration=1,IF($A218&lt;VLOOKUP(V$5,NFI,5,0),1,0)*Table_NFI[[#This Row],[Jerry Can]],Table_NFI[Jerry Can])</f>
        <v>0</v>
      </c>
      <c r="AO218" s="331">
        <f>IF(NFI_Expiration=1,IF($A218&lt;VLOOKUP(V$5,NFI,5,0),1,0)*Table_NFI[[#This Row],[Shelter Tool kit]],Table_NFI[Shelter Tool kit])</f>
        <v>0</v>
      </c>
      <c r="AP218" s="331">
        <f>IF(NFI_Expiration=1,IF($A218&lt;VLOOKUP(V$5,NFI,5,0),1,0)*Table_NFI[[#This Row],[Tent]],Table_NFI[Tent])</f>
        <v>0</v>
      </c>
      <c r="AQ218" s="467" t="str">
        <f>IFERROR(VLOOKUP(Table_NFI[[#This Row],[Camp Name]],CL,2,0),"")</f>
        <v>MMR001CMP041</v>
      </c>
      <c r="AR218" s="835">
        <f ca="1">IF(Table_NFI[[#This Row],[Pcode]]="","",IF(OFFSET(CampList[Opening Date],MATCH(Table_NFI[[#This Row],[Pcode]],CampList[CP_Pcode],0)-1,0,1,1)&gt;=NFI_Monitor_Date,1,0))</f>
        <v>0</v>
      </c>
      <c r="AS218" s="467" t="str">
        <f>IFERROR(VLOOKUP(Table_NFI[[#This Row],[Camp Name]],CL,3,0),"")</f>
        <v>Open</v>
      </c>
      <c r="AT218" s="294" t="str">
        <f ca="1">IF(Table_NFI[[#This Row],[Pcode]]="","",OFFSET(CampList[Priority],MATCH(Table_NFI[[#This Row],[Pcode]],CampList[CP_Pcode],0)-1,0,1,1))</f>
        <v>P1</v>
      </c>
      <c r="AU218" s="293">
        <f>IFERROR(Table_NFI[[#This Row],[Kitchen Set]]/VLOOKUP(Table_NFI[[#This Row],[Camp Name]],CL,4,0),"")</f>
        <v>4.1617704661182919E-3</v>
      </c>
      <c r="AV218" s="461"/>
      <c r="AW218" s="463"/>
    </row>
    <row r="219" spans="1:49" s="98" customFormat="1" ht="14.45" customHeight="1" x14ac:dyDescent="0.25">
      <c r="A219" s="297">
        <f t="shared" si="3"/>
        <v>24.8</v>
      </c>
      <c r="B219" s="460">
        <v>41992</v>
      </c>
      <c r="C219" s="461" t="s">
        <v>452</v>
      </c>
      <c r="D219" s="461" t="s">
        <v>460</v>
      </c>
      <c r="E219" s="461" t="s">
        <v>380</v>
      </c>
      <c r="F219" s="461" t="s">
        <v>310</v>
      </c>
      <c r="G219" s="461" t="s">
        <v>336</v>
      </c>
      <c r="H219" s="291"/>
      <c r="I219" s="291"/>
      <c r="J219" s="291"/>
      <c r="K219" s="291"/>
      <c r="L219" s="292"/>
      <c r="M219" s="292"/>
      <c r="N219" s="292"/>
      <c r="O219" s="292"/>
      <c r="P219" s="294"/>
      <c r="Q219" s="294"/>
      <c r="R219" s="294">
        <v>364</v>
      </c>
      <c r="S219" s="294">
        <v>543</v>
      </c>
      <c r="T219" s="294"/>
      <c r="U219" s="294">
        <v>362</v>
      </c>
      <c r="V219" s="431"/>
      <c r="W219" s="294"/>
      <c r="X219" s="294"/>
      <c r="Y219" s="294">
        <f>IF(NFI_Expiration=1,IF($A219&lt;VLOOKUP(H$5,NFI,5,0),1,0)*Table_NFI[[#This Row],[Hygiene Kit]],Table_NFI[Hygiene Kit])</f>
        <v>0</v>
      </c>
      <c r="Z219" s="294">
        <f>IF(NFI_Expiration=1,IF($A219&lt;VLOOKUP(I$5,NFI,5,0),1,0)*Table_NFI[[#This Row],[NFI Core Kit]],Table_NFI[NFI Core Kit])</f>
        <v>0</v>
      </c>
      <c r="AA219" s="294">
        <f>IF(NFI_Expiration=1,IF($A219&lt;VLOOKUP(J$5,NFI,5,0),1,0)*Table_NFI[[#This Row],[Sanitary Kit]],Table_NFI[Sanitary Kit])</f>
        <v>0</v>
      </c>
      <c r="AB219" s="294">
        <f>IF(NFI_Expiration=1,IF($A219&lt;VLOOKUP(K$5,NFI,5,0),1,0)*Table_NFI[[#This Row],[Mosquito net]],Table_NFI[Mosquito net])</f>
        <v>0</v>
      </c>
      <c r="AC219" s="294">
        <f>IF(NFI_Expiration=1,IF($A219&lt;VLOOKUP(L$5,NFI,5,0),1,0)*Table_NFI[[#This Row],[Tarpaulin]],Table_NFI[[#This Row],[Tarpaulin]])</f>
        <v>0</v>
      </c>
      <c r="AD219" s="294">
        <f>IF(NFI_Expiration=1,IF($A219&lt;VLOOKUP(M$5,NFI,5,0),1,0)*Table_NFI[[#This Row],[Blanket]],Table_NFI[[#This Row],[Blanket]])</f>
        <v>0</v>
      </c>
      <c r="AE219" s="294">
        <f>IF(NFI_Expiration=1,IF($A219&lt;VLOOKUP(N$5,NFI,5,0),1,0)*Table_NFI[[#This Row],[Kitchen Set]],Table_NFI[Kitchen Set])</f>
        <v>0</v>
      </c>
      <c r="AF219" s="294">
        <f>IF(NFI_Expiration=1,IF($A219&lt;VLOOKUP(O$5,NFI,5,0),1,0)*Table_NFI[[#This Row],[Clothes Kit]],Table_NFI[Clothes Kit])</f>
        <v>0</v>
      </c>
      <c r="AG219" s="294">
        <f>IF(NFI_Expiration=1,IF($A219&lt;VLOOKUP(P$5,NFI,5,0),1,0)*Table_NFI[[#This Row],[Plastic Bucket]],Table_NFI[Plastic Bucket])</f>
        <v>0</v>
      </c>
      <c r="AH219" s="294">
        <f>IF(NFI_Expiration=1,IF($A219&lt;VLOOKUP(Q$5,NFI,5,0),1,0)*Table_NFI[[#This Row],[Plastic Mat]],Table_NFI[Plastic Mat])*IF(Table_NFI[[#This Row],[Distribution Date]]&gt;"2014-04-01",1,2.5)</f>
        <v>0</v>
      </c>
      <c r="AI219" s="294">
        <f>IF(NFI_Expiration=1,IF($A219&lt;VLOOKUP(R$5,NFI,5,0),1,0)*Table_NFI[[#This Row],[Winter Clothes Adult]],Table_NFI[Winter Clothes Adult])</f>
        <v>0</v>
      </c>
      <c r="AJ219" s="294">
        <f>IF(NFI_Expiration=1,IF($A219&lt;VLOOKUP(S$5,NFI,5,0),1,0)*Table_NFI[[#This Row],[Winter Clothes Children]],Table_NFI[Winter Clothes Children])</f>
        <v>0</v>
      </c>
      <c r="AK219" s="294">
        <f>IF(NFI_Expiration=1,IF($A219&lt;VLOOKUP(T$5,NFI,5,0),1,0)*Table_NFI[[#This Row],[Winter Items Other]],Table_NFI[Winter Items Other])</f>
        <v>0</v>
      </c>
      <c r="AL219" s="294">
        <f>IF(NFI_Expiration=1,IF($A219&lt;VLOOKUP(M$5,NFI,5,0),1,0)*Table_NFI[[#This Row],[Winter Blanket]],Table_NFI[[#This Row],[Winter Blanket]])</f>
        <v>0</v>
      </c>
      <c r="AM219" s="294">
        <f>IF(Table_NFI[[#This Row],[Winter Clothes Adult]]+Table_NFI[[#This Row],[Winter Clothes Children]]+Table_NFI[[#This Row],[Winter Items Other]]+Table_NFI[[#This Row],[Winter Blanket]]&gt;0,1,0)</f>
        <v>1</v>
      </c>
      <c r="AN219" s="331">
        <f>IF(NFI_Expiration=1,IF($A219&lt;VLOOKUP(V$5,NFI,5,0),1,0)*Table_NFI[[#This Row],[Jerry Can]],Table_NFI[Jerry Can])</f>
        <v>0</v>
      </c>
      <c r="AO219" s="331">
        <f>IF(NFI_Expiration=1,IF($A219&lt;VLOOKUP(V$5,NFI,5,0),1,0)*Table_NFI[[#This Row],[Shelter Tool kit]],Table_NFI[Shelter Tool kit])</f>
        <v>0</v>
      </c>
      <c r="AP219" s="331">
        <f>IF(NFI_Expiration=1,IF($A219&lt;VLOOKUP(V$5,NFI,5,0),1,0)*Table_NFI[[#This Row],[Tent]],Table_NFI[Tent])</f>
        <v>0</v>
      </c>
      <c r="AQ219" s="467" t="str">
        <f>IFERROR(VLOOKUP(Table_NFI[[#This Row],[Camp Name]],CL,2,0),"")</f>
        <v>MMR001CMP115</v>
      </c>
      <c r="AR219" s="835">
        <f ca="1">IF(Table_NFI[[#This Row],[Pcode]]="","",IF(OFFSET(CampList[Opening Date],MATCH(Table_NFI[[#This Row],[Pcode]],CampList[CP_Pcode],0)-1,0,1,1)&gt;=NFI_Monitor_Date,1,0))</f>
        <v>0</v>
      </c>
      <c r="AS219" s="467" t="str">
        <f>IFERROR(VLOOKUP(Table_NFI[[#This Row],[Camp Name]],CL,3,0),"")</f>
        <v>Open</v>
      </c>
      <c r="AT219" s="294" t="str">
        <f ca="1">IF(Table_NFI[[#This Row],[Pcode]]="","",OFFSET(CampList[Priority],MATCH(Table_NFI[[#This Row],[Pcode]],CampList[CP_Pcode],0)-1,0,1,1))</f>
        <v>P1</v>
      </c>
      <c r="AU219" s="293">
        <f>IFERROR(Table_NFI[[#This Row],[Kitchen Set]]/VLOOKUP(Table_NFI[[#This Row],[Camp Name]],CL,4,0),"")</f>
        <v>0</v>
      </c>
      <c r="AV219" s="461"/>
      <c r="AW219" s="463"/>
    </row>
    <row r="220" spans="1:49" s="464" customFormat="1" ht="14.45" customHeight="1" x14ac:dyDescent="0.25">
      <c r="A220" s="297">
        <f t="shared" si="3"/>
        <v>24.8</v>
      </c>
      <c r="B220" s="460">
        <v>41992</v>
      </c>
      <c r="C220" s="461" t="s">
        <v>452</v>
      </c>
      <c r="D220" s="461"/>
      <c r="E220" s="461" t="s">
        <v>380</v>
      </c>
      <c r="F220" s="461" t="s">
        <v>27</v>
      </c>
      <c r="G220" s="461" t="s">
        <v>364</v>
      </c>
      <c r="H220" s="291"/>
      <c r="I220" s="291"/>
      <c r="J220" s="291"/>
      <c r="K220" s="291"/>
      <c r="L220" s="292"/>
      <c r="M220" s="292"/>
      <c r="N220" s="292"/>
      <c r="O220" s="292"/>
      <c r="P220" s="294"/>
      <c r="Q220" s="294"/>
      <c r="R220" s="294">
        <v>320</v>
      </c>
      <c r="S220" s="294">
        <v>465</v>
      </c>
      <c r="T220" s="294"/>
      <c r="U220" s="294">
        <v>310</v>
      </c>
      <c r="V220" s="431"/>
      <c r="W220" s="294"/>
      <c r="X220" s="294"/>
      <c r="Y220" s="294">
        <f>IF(NFI_Expiration=1,IF($A220&lt;VLOOKUP(H$5,NFI,5,0),1,0)*Table_NFI[[#This Row],[Hygiene Kit]],Table_NFI[Hygiene Kit])</f>
        <v>0</v>
      </c>
      <c r="Z220" s="294">
        <f>IF(NFI_Expiration=1,IF($A220&lt;VLOOKUP(I$5,NFI,5,0),1,0)*Table_NFI[[#This Row],[NFI Core Kit]],Table_NFI[NFI Core Kit])</f>
        <v>0</v>
      </c>
      <c r="AA220" s="294">
        <f>IF(NFI_Expiration=1,IF($A220&lt;VLOOKUP(J$5,NFI,5,0),1,0)*Table_NFI[[#This Row],[Sanitary Kit]],Table_NFI[Sanitary Kit])</f>
        <v>0</v>
      </c>
      <c r="AB220" s="294">
        <f>IF(NFI_Expiration=1,IF($A220&lt;VLOOKUP(K$5,NFI,5,0),1,0)*Table_NFI[[#This Row],[Mosquito net]],Table_NFI[Mosquito net])</f>
        <v>0</v>
      </c>
      <c r="AC220" s="294">
        <f>IF(NFI_Expiration=1,IF($A220&lt;VLOOKUP(L$5,NFI,5,0),1,0)*Table_NFI[[#This Row],[Tarpaulin]],Table_NFI[[#This Row],[Tarpaulin]])</f>
        <v>0</v>
      </c>
      <c r="AD220" s="294">
        <f>IF(NFI_Expiration=1,IF($A220&lt;VLOOKUP(M$5,NFI,5,0),1,0)*Table_NFI[[#This Row],[Blanket]],Table_NFI[[#This Row],[Blanket]])</f>
        <v>0</v>
      </c>
      <c r="AE220" s="294">
        <f>IF(NFI_Expiration=1,IF($A220&lt;VLOOKUP(N$5,NFI,5,0),1,0)*Table_NFI[[#This Row],[Kitchen Set]],Table_NFI[Kitchen Set])</f>
        <v>0</v>
      </c>
      <c r="AF220" s="294">
        <f>IF(NFI_Expiration=1,IF($A220&lt;VLOOKUP(O$5,NFI,5,0),1,0)*Table_NFI[[#This Row],[Clothes Kit]],Table_NFI[Clothes Kit])</f>
        <v>0</v>
      </c>
      <c r="AG220" s="294">
        <f>IF(NFI_Expiration=1,IF($A220&lt;VLOOKUP(P$5,NFI,5,0),1,0)*Table_NFI[[#This Row],[Plastic Bucket]],Table_NFI[Plastic Bucket])</f>
        <v>0</v>
      </c>
      <c r="AH220" s="294">
        <f>IF(NFI_Expiration=1,IF($A220&lt;VLOOKUP(Q$5,NFI,5,0),1,0)*Table_NFI[[#This Row],[Plastic Mat]],Table_NFI[Plastic Mat])*IF(Table_NFI[[#This Row],[Distribution Date]]&gt;"2014-04-01",1,2.5)</f>
        <v>0</v>
      </c>
      <c r="AI220" s="294">
        <f>IF(NFI_Expiration=1,IF($A220&lt;VLOOKUP(R$5,NFI,5,0),1,0)*Table_NFI[[#This Row],[Winter Clothes Adult]],Table_NFI[Winter Clothes Adult])</f>
        <v>0</v>
      </c>
      <c r="AJ220" s="294">
        <f>IF(NFI_Expiration=1,IF($A220&lt;VLOOKUP(S$5,NFI,5,0),1,0)*Table_NFI[[#This Row],[Winter Clothes Children]],Table_NFI[Winter Clothes Children])</f>
        <v>0</v>
      </c>
      <c r="AK220" s="294">
        <f>IF(NFI_Expiration=1,IF($A220&lt;VLOOKUP(T$5,NFI,5,0),1,0)*Table_NFI[[#This Row],[Winter Items Other]],Table_NFI[Winter Items Other])</f>
        <v>0</v>
      </c>
      <c r="AL220" s="294">
        <f>IF(NFI_Expiration=1,IF($A220&lt;VLOOKUP(M$5,NFI,5,0),1,0)*Table_NFI[[#This Row],[Winter Blanket]],Table_NFI[[#This Row],[Winter Blanket]])</f>
        <v>0</v>
      </c>
      <c r="AM220" s="294">
        <f>IF(Table_NFI[[#This Row],[Winter Clothes Adult]]+Table_NFI[[#This Row],[Winter Clothes Children]]+Table_NFI[[#This Row],[Winter Items Other]]+Table_NFI[[#This Row],[Winter Blanket]]&gt;0,1,0)</f>
        <v>1</v>
      </c>
      <c r="AN220" s="331">
        <f>IF(NFI_Expiration=1,IF($A220&lt;VLOOKUP(V$5,NFI,5,0),1,0)*Table_NFI[[#This Row],[Jerry Can]],Table_NFI[Jerry Can])</f>
        <v>0</v>
      </c>
      <c r="AO220" s="331">
        <f>IF(NFI_Expiration=1,IF($A220&lt;VLOOKUP(V$5,NFI,5,0),1,0)*Table_NFI[[#This Row],[Shelter Tool kit]],Table_NFI[Shelter Tool kit])</f>
        <v>0</v>
      </c>
      <c r="AP220" s="331">
        <f>IF(NFI_Expiration=1,IF($A220&lt;VLOOKUP(V$5,NFI,5,0),1,0)*Table_NFI[[#This Row],[Tent]],Table_NFI[Tent])</f>
        <v>0</v>
      </c>
      <c r="AQ220" s="467" t="str">
        <f>IFERROR(VLOOKUP(Table_NFI[[#This Row],[Camp Name]],CL,2,0),"")</f>
        <v>MMR001CMP043</v>
      </c>
      <c r="AR220" s="835">
        <f ca="1">IF(Table_NFI[[#This Row],[Pcode]]="","",IF(OFFSET(CampList[Opening Date],MATCH(Table_NFI[[#This Row],[Pcode]],CampList[CP_Pcode],0)-1,0,1,1)&gt;=NFI_Monitor_Date,1,0))</f>
        <v>0</v>
      </c>
      <c r="AS220" s="467" t="str">
        <f>IFERROR(VLOOKUP(Table_NFI[[#This Row],[Camp Name]],CL,3,0),"")</f>
        <v>Open</v>
      </c>
      <c r="AT220" s="294" t="str">
        <f ca="1">IF(Table_NFI[[#This Row],[Pcode]]="","",OFFSET(CampList[Priority],MATCH(Table_NFI[[#This Row],[Pcode]],CampList[CP_Pcode],0)-1,0,1,1))</f>
        <v>P1</v>
      </c>
      <c r="AU220" s="293">
        <f>IFERROR(Table_NFI[[#This Row],[Kitchen Set]]/VLOOKUP(Table_NFI[[#This Row],[Camp Name]],CL,4,0),"")</f>
        <v>0</v>
      </c>
      <c r="AV220" s="461"/>
      <c r="AW220" s="463"/>
    </row>
    <row r="221" spans="1:49" s="464" customFormat="1" ht="14.45" customHeight="1" x14ac:dyDescent="0.25">
      <c r="A221" s="297">
        <f t="shared" si="3"/>
        <v>24.8</v>
      </c>
      <c r="B221" s="460">
        <v>41992</v>
      </c>
      <c r="C221" s="461" t="s">
        <v>452</v>
      </c>
      <c r="D221" s="461"/>
      <c r="E221" s="461" t="s">
        <v>380</v>
      </c>
      <c r="F221" s="461" t="s">
        <v>310</v>
      </c>
      <c r="G221" s="461" t="s">
        <v>1243</v>
      </c>
      <c r="H221" s="291"/>
      <c r="I221" s="291"/>
      <c r="J221" s="291"/>
      <c r="K221" s="291"/>
      <c r="L221" s="292"/>
      <c r="M221" s="292"/>
      <c r="N221" s="292"/>
      <c r="O221" s="292"/>
      <c r="P221" s="294"/>
      <c r="Q221" s="294"/>
      <c r="R221" s="294">
        <v>384</v>
      </c>
      <c r="S221" s="294">
        <v>573</v>
      </c>
      <c r="T221" s="294"/>
      <c r="U221" s="294">
        <v>382</v>
      </c>
      <c r="V221" s="431"/>
      <c r="W221" s="294"/>
      <c r="X221" s="294"/>
      <c r="Y221" s="294">
        <f>IF(NFI_Expiration=1,IF($A221&lt;VLOOKUP(H$5,NFI,5,0),1,0)*Table_NFI[[#This Row],[Hygiene Kit]],Table_NFI[Hygiene Kit])</f>
        <v>0</v>
      </c>
      <c r="Z221" s="294">
        <f>IF(NFI_Expiration=1,IF($A221&lt;VLOOKUP(I$5,NFI,5,0),1,0)*Table_NFI[[#This Row],[NFI Core Kit]],Table_NFI[NFI Core Kit])</f>
        <v>0</v>
      </c>
      <c r="AA221" s="294">
        <f>IF(NFI_Expiration=1,IF($A221&lt;VLOOKUP(J$5,NFI,5,0),1,0)*Table_NFI[[#This Row],[Sanitary Kit]],Table_NFI[Sanitary Kit])</f>
        <v>0</v>
      </c>
      <c r="AB221" s="294">
        <f>IF(NFI_Expiration=1,IF($A221&lt;VLOOKUP(K$5,NFI,5,0),1,0)*Table_NFI[[#This Row],[Mosquito net]],Table_NFI[Mosquito net])</f>
        <v>0</v>
      </c>
      <c r="AC221" s="294">
        <f>IF(NFI_Expiration=1,IF($A221&lt;VLOOKUP(L$5,NFI,5,0),1,0)*Table_NFI[[#This Row],[Tarpaulin]],Table_NFI[[#This Row],[Tarpaulin]])</f>
        <v>0</v>
      </c>
      <c r="AD221" s="294">
        <f>IF(NFI_Expiration=1,IF($A221&lt;VLOOKUP(M$5,NFI,5,0),1,0)*Table_NFI[[#This Row],[Blanket]],Table_NFI[[#This Row],[Blanket]])</f>
        <v>0</v>
      </c>
      <c r="AE221" s="294">
        <f>IF(NFI_Expiration=1,IF($A221&lt;VLOOKUP(N$5,NFI,5,0),1,0)*Table_NFI[[#This Row],[Kitchen Set]],Table_NFI[Kitchen Set])</f>
        <v>0</v>
      </c>
      <c r="AF221" s="294">
        <f>IF(NFI_Expiration=1,IF($A221&lt;VLOOKUP(O$5,NFI,5,0),1,0)*Table_NFI[[#This Row],[Clothes Kit]],Table_NFI[Clothes Kit])</f>
        <v>0</v>
      </c>
      <c r="AG221" s="294">
        <f>IF(NFI_Expiration=1,IF($A221&lt;VLOOKUP(P$5,NFI,5,0),1,0)*Table_NFI[[#This Row],[Plastic Bucket]],Table_NFI[Plastic Bucket])</f>
        <v>0</v>
      </c>
      <c r="AH221" s="294">
        <f>IF(NFI_Expiration=1,IF($A221&lt;VLOOKUP(Q$5,NFI,5,0),1,0)*Table_NFI[[#This Row],[Plastic Mat]],Table_NFI[Plastic Mat])*IF(Table_NFI[[#This Row],[Distribution Date]]&gt;"2014-04-01",1,2.5)</f>
        <v>0</v>
      </c>
      <c r="AI221" s="294">
        <f>IF(NFI_Expiration=1,IF($A221&lt;VLOOKUP(R$5,NFI,5,0),1,0)*Table_NFI[[#This Row],[Winter Clothes Adult]],Table_NFI[Winter Clothes Adult])</f>
        <v>0</v>
      </c>
      <c r="AJ221" s="294">
        <f>IF(NFI_Expiration=1,IF($A221&lt;VLOOKUP(S$5,NFI,5,0),1,0)*Table_NFI[[#This Row],[Winter Clothes Children]],Table_NFI[Winter Clothes Children])</f>
        <v>0</v>
      </c>
      <c r="AK221" s="294">
        <f>IF(NFI_Expiration=1,IF($A221&lt;VLOOKUP(T$5,NFI,5,0),1,0)*Table_NFI[[#This Row],[Winter Items Other]],Table_NFI[Winter Items Other])</f>
        <v>0</v>
      </c>
      <c r="AL221" s="294">
        <f>IF(NFI_Expiration=1,IF($A221&lt;VLOOKUP(M$5,NFI,5,0),1,0)*Table_NFI[[#This Row],[Winter Blanket]],Table_NFI[[#This Row],[Winter Blanket]])</f>
        <v>0</v>
      </c>
      <c r="AM221" s="294">
        <f>IF(Table_NFI[[#This Row],[Winter Clothes Adult]]+Table_NFI[[#This Row],[Winter Clothes Children]]+Table_NFI[[#This Row],[Winter Items Other]]+Table_NFI[[#This Row],[Winter Blanket]]&gt;0,1,0)</f>
        <v>1</v>
      </c>
      <c r="AN221" s="331">
        <f>IF(NFI_Expiration=1,IF($A221&lt;VLOOKUP(V$5,NFI,5,0),1,0)*Table_NFI[[#This Row],[Jerry Can]],Table_NFI[Jerry Can])</f>
        <v>0</v>
      </c>
      <c r="AO221" s="331">
        <f>IF(NFI_Expiration=1,IF($A221&lt;VLOOKUP(V$5,NFI,5,0),1,0)*Table_NFI[[#This Row],[Shelter Tool kit]],Table_NFI[Shelter Tool kit])</f>
        <v>0</v>
      </c>
      <c r="AP221" s="331">
        <f>IF(NFI_Expiration=1,IF($A221&lt;VLOOKUP(V$5,NFI,5,0),1,0)*Table_NFI[[#This Row],[Tent]],Table_NFI[Tent])</f>
        <v>0</v>
      </c>
      <c r="AQ221" s="467" t="str">
        <f>IFERROR(VLOOKUP(Table_NFI[[#This Row],[Camp Name]],CL,2,0),"")</f>
        <v>MMR001CMP120</v>
      </c>
      <c r="AR221" s="835">
        <f ca="1">IF(Table_NFI[[#This Row],[Pcode]]="","",IF(OFFSET(CampList[Opening Date],MATCH(Table_NFI[[#This Row],[Pcode]],CampList[CP_Pcode],0)-1,0,1,1)&gt;=NFI_Monitor_Date,1,0))</f>
        <v>0</v>
      </c>
      <c r="AS221" s="467" t="str">
        <f>IFERROR(VLOOKUP(Table_NFI[[#This Row],[Camp Name]],CL,3,0),"")</f>
        <v>Open</v>
      </c>
      <c r="AT221" s="294" t="str">
        <f ca="1">IF(Table_NFI[[#This Row],[Pcode]]="","",OFFSET(CampList[Priority],MATCH(Table_NFI[[#This Row],[Pcode]],CampList[CP_Pcode],0)-1,0,1,1))</f>
        <v>P1</v>
      </c>
      <c r="AU221" s="293">
        <f>IFERROR(Table_NFI[[#This Row],[Kitchen Set]]/VLOOKUP(Table_NFI[[#This Row],[Camp Name]],CL,4,0),"")</f>
        <v>0</v>
      </c>
      <c r="AV221" s="461"/>
      <c r="AW221" s="463"/>
    </row>
    <row r="222" spans="1:49" s="464" customFormat="1" ht="14.45" customHeight="1" x14ac:dyDescent="0.25">
      <c r="A222" s="297">
        <f t="shared" si="3"/>
        <v>24.8</v>
      </c>
      <c r="B222" s="460">
        <v>41992</v>
      </c>
      <c r="C222" s="461" t="s">
        <v>452</v>
      </c>
      <c r="D222" s="461" t="s">
        <v>460</v>
      </c>
      <c r="E222" s="461" t="s">
        <v>380</v>
      </c>
      <c r="F222" s="461" t="s">
        <v>310</v>
      </c>
      <c r="G222" s="461" t="s">
        <v>1245</v>
      </c>
      <c r="H222" s="291"/>
      <c r="I222" s="291"/>
      <c r="J222" s="291"/>
      <c r="K222" s="291"/>
      <c r="L222" s="292"/>
      <c r="M222" s="292"/>
      <c r="N222" s="292"/>
      <c r="O222" s="292"/>
      <c r="P222" s="294"/>
      <c r="Q222" s="294"/>
      <c r="R222" s="294">
        <v>1292</v>
      </c>
      <c r="S222" s="294">
        <v>1938</v>
      </c>
      <c r="T222" s="294"/>
      <c r="U222" s="294">
        <v>1292</v>
      </c>
      <c r="V222" s="431"/>
      <c r="W222" s="294"/>
      <c r="X222" s="294"/>
      <c r="Y222" s="294">
        <f>IF(NFI_Expiration=1,IF($A222&lt;VLOOKUP(H$5,NFI,5,0),1,0)*Table_NFI[[#This Row],[Hygiene Kit]],Table_NFI[Hygiene Kit])</f>
        <v>0</v>
      </c>
      <c r="Z222" s="294">
        <f>IF(NFI_Expiration=1,IF($A222&lt;VLOOKUP(I$5,NFI,5,0),1,0)*Table_NFI[[#This Row],[NFI Core Kit]],Table_NFI[NFI Core Kit])</f>
        <v>0</v>
      </c>
      <c r="AA222" s="294">
        <f>IF(NFI_Expiration=1,IF($A222&lt;VLOOKUP(J$5,NFI,5,0),1,0)*Table_NFI[[#This Row],[Sanitary Kit]],Table_NFI[Sanitary Kit])</f>
        <v>0</v>
      </c>
      <c r="AB222" s="294">
        <f>IF(NFI_Expiration=1,IF($A222&lt;VLOOKUP(K$5,NFI,5,0),1,0)*Table_NFI[[#This Row],[Mosquito net]],Table_NFI[Mosquito net])</f>
        <v>0</v>
      </c>
      <c r="AC222" s="294">
        <f>IF(NFI_Expiration=1,IF($A222&lt;VLOOKUP(L$5,NFI,5,0),1,0)*Table_NFI[[#This Row],[Tarpaulin]],Table_NFI[[#This Row],[Tarpaulin]])</f>
        <v>0</v>
      </c>
      <c r="AD222" s="294">
        <f>IF(NFI_Expiration=1,IF($A222&lt;VLOOKUP(M$5,NFI,5,0),1,0)*Table_NFI[[#This Row],[Blanket]],Table_NFI[[#This Row],[Blanket]])</f>
        <v>0</v>
      </c>
      <c r="AE222" s="294">
        <f>IF(NFI_Expiration=1,IF($A222&lt;VLOOKUP(N$5,NFI,5,0),1,0)*Table_NFI[[#This Row],[Kitchen Set]],Table_NFI[Kitchen Set])</f>
        <v>0</v>
      </c>
      <c r="AF222" s="294">
        <f>IF(NFI_Expiration=1,IF($A222&lt;VLOOKUP(O$5,NFI,5,0),1,0)*Table_NFI[[#This Row],[Clothes Kit]],Table_NFI[Clothes Kit])</f>
        <v>0</v>
      </c>
      <c r="AG222" s="294">
        <f>IF(NFI_Expiration=1,IF($A222&lt;VLOOKUP(P$5,NFI,5,0),1,0)*Table_NFI[[#This Row],[Plastic Bucket]],Table_NFI[Plastic Bucket])</f>
        <v>0</v>
      </c>
      <c r="AH222" s="294">
        <f>IF(NFI_Expiration=1,IF($A222&lt;VLOOKUP(Q$5,NFI,5,0),1,0)*Table_NFI[[#This Row],[Plastic Mat]],Table_NFI[Plastic Mat])*IF(Table_NFI[[#This Row],[Distribution Date]]&gt;"2014-04-01",1,2.5)</f>
        <v>0</v>
      </c>
      <c r="AI222" s="294">
        <f>IF(NFI_Expiration=1,IF($A222&lt;VLOOKUP(R$5,NFI,5,0),1,0)*Table_NFI[[#This Row],[Winter Clothes Adult]],Table_NFI[Winter Clothes Adult])</f>
        <v>0</v>
      </c>
      <c r="AJ222" s="294">
        <f>IF(NFI_Expiration=1,IF($A222&lt;VLOOKUP(S$5,NFI,5,0),1,0)*Table_NFI[[#This Row],[Winter Clothes Children]],Table_NFI[Winter Clothes Children])</f>
        <v>0</v>
      </c>
      <c r="AK222" s="294">
        <f>IF(NFI_Expiration=1,IF($A222&lt;VLOOKUP(T$5,NFI,5,0),1,0)*Table_NFI[[#This Row],[Winter Items Other]],Table_NFI[Winter Items Other])</f>
        <v>0</v>
      </c>
      <c r="AL222" s="294">
        <f>IF(NFI_Expiration=1,IF($A222&lt;VLOOKUP(M$5,NFI,5,0),1,0)*Table_NFI[[#This Row],[Winter Blanket]],Table_NFI[[#This Row],[Winter Blanket]])</f>
        <v>0</v>
      </c>
      <c r="AM222" s="294">
        <f>IF(Table_NFI[[#This Row],[Winter Clothes Adult]]+Table_NFI[[#This Row],[Winter Clothes Children]]+Table_NFI[[#This Row],[Winter Items Other]]+Table_NFI[[#This Row],[Winter Blanket]]&gt;0,1,0)</f>
        <v>1</v>
      </c>
      <c r="AN222" s="331">
        <f>IF(NFI_Expiration=1,IF($A222&lt;VLOOKUP(V$5,NFI,5,0),1,0)*Table_NFI[[#This Row],[Jerry Can]],Table_NFI[Jerry Can])</f>
        <v>0</v>
      </c>
      <c r="AO222" s="331">
        <f>IF(NFI_Expiration=1,IF($A222&lt;VLOOKUP(V$5,NFI,5,0),1,0)*Table_NFI[[#This Row],[Shelter Tool kit]],Table_NFI[Shelter Tool kit])</f>
        <v>0</v>
      </c>
      <c r="AP222" s="331">
        <f>IF(NFI_Expiration=1,IF($A222&lt;VLOOKUP(V$5,NFI,5,0),1,0)*Table_NFI[[#This Row],[Tent]],Table_NFI[Tent])</f>
        <v>0</v>
      </c>
      <c r="AQ222" s="467" t="str">
        <f>IFERROR(VLOOKUP(Table_NFI[[#This Row],[Camp Name]],CL,2,0),"")</f>
        <v>MMR001CMP111</v>
      </c>
      <c r="AR222" s="835">
        <f ca="1">IF(Table_NFI[[#This Row],[Pcode]]="","",IF(OFFSET(CampList[Opening Date],MATCH(Table_NFI[[#This Row],[Pcode]],CampList[CP_Pcode],0)-1,0,1,1)&gt;=NFI_Monitor_Date,1,0))</f>
        <v>0</v>
      </c>
      <c r="AS222" s="467" t="str">
        <f>IFERROR(VLOOKUP(Table_NFI[[#This Row],[Camp Name]],CL,3,0),"")</f>
        <v>Open</v>
      </c>
      <c r="AT222" s="294" t="str">
        <f ca="1">IF(Table_NFI[[#This Row],[Pcode]]="","",OFFSET(CampList[Priority],MATCH(Table_NFI[[#This Row],[Pcode]],CampList[CP_Pcode],0)-1,0,1,1))</f>
        <v>P2</v>
      </c>
      <c r="AU222" s="293">
        <f>IFERROR(Table_NFI[[#This Row],[Kitchen Set]]/VLOOKUP(Table_NFI[[#This Row],[Camp Name]],CL,4,0),"")</f>
        <v>0</v>
      </c>
      <c r="AV222" s="461"/>
      <c r="AW222" s="463"/>
    </row>
    <row r="223" spans="1:49" s="464" customFormat="1" ht="14.45" customHeight="1" x14ac:dyDescent="0.2">
      <c r="A223" s="297">
        <f t="shared" si="3"/>
        <v>24.833333333333332</v>
      </c>
      <c r="B223" s="460">
        <v>41991</v>
      </c>
      <c r="C223" s="461" t="s">
        <v>905</v>
      </c>
      <c r="D223" s="461" t="s">
        <v>905</v>
      </c>
      <c r="E223" s="461" t="s">
        <v>380</v>
      </c>
      <c r="F223" s="290" t="s">
        <v>185</v>
      </c>
      <c r="G223" s="290" t="s">
        <v>229</v>
      </c>
      <c r="H223" s="291"/>
      <c r="I223" s="291"/>
      <c r="J223" s="575">
        <v>85</v>
      </c>
      <c r="K223" s="291"/>
      <c r="L223" s="292"/>
      <c r="M223" s="292"/>
      <c r="N223" s="292"/>
      <c r="O223" s="292"/>
      <c r="P223" s="294"/>
      <c r="Q223" s="294"/>
      <c r="R223" s="294"/>
      <c r="S223" s="294"/>
      <c r="T223" s="294"/>
      <c r="U223" s="294"/>
      <c r="V223" s="431"/>
      <c r="W223" s="294"/>
      <c r="X223" s="294"/>
      <c r="Y223" s="294">
        <f>IF(NFI_Expiration=1,IF($A223&lt;VLOOKUP(H$5,NFI,5,0),1,0)*Table_NFI[[#This Row],[Hygiene Kit]],Table_NFI[Hygiene Kit])</f>
        <v>0</v>
      </c>
      <c r="Z223" s="294">
        <f>IF(NFI_Expiration=1,IF($A223&lt;VLOOKUP(I$5,NFI,5,0),1,0)*Table_NFI[[#This Row],[NFI Core Kit]],Table_NFI[NFI Core Kit])</f>
        <v>0</v>
      </c>
      <c r="AA223" s="294">
        <f>IF(NFI_Expiration=1,IF($A223&lt;VLOOKUP(J$5,NFI,5,0),1,0)*Table_NFI[[#This Row],[Sanitary Kit]],Table_NFI[Sanitary Kit])</f>
        <v>0</v>
      </c>
      <c r="AB223" s="294">
        <f>IF(NFI_Expiration=1,IF($A223&lt;VLOOKUP(K$5,NFI,5,0),1,0)*Table_NFI[[#This Row],[Mosquito net]],Table_NFI[Mosquito net])</f>
        <v>0</v>
      </c>
      <c r="AC223" s="294">
        <f>IF(NFI_Expiration=1,IF($A223&lt;VLOOKUP(L$5,NFI,5,0),1,0)*Table_NFI[[#This Row],[Tarpaulin]],Table_NFI[[#This Row],[Tarpaulin]])</f>
        <v>0</v>
      </c>
      <c r="AD223" s="294">
        <f>IF(NFI_Expiration=1,IF($A223&lt;VLOOKUP(M$5,NFI,5,0),1,0)*Table_NFI[[#This Row],[Blanket]],Table_NFI[[#This Row],[Blanket]])</f>
        <v>0</v>
      </c>
      <c r="AE223" s="294">
        <f>IF(NFI_Expiration=1,IF($A223&lt;VLOOKUP(N$5,NFI,5,0),1,0)*Table_NFI[[#This Row],[Kitchen Set]],Table_NFI[Kitchen Set])</f>
        <v>0</v>
      </c>
      <c r="AF223" s="294">
        <f>IF(NFI_Expiration=1,IF($A223&lt;VLOOKUP(O$5,NFI,5,0),1,0)*Table_NFI[[#This Row],[Clothes Kit]],Table_NFI[Clothes Kit])</f>
        <v>0</v>
      </c>
      <c r="AG223" s="294">
        <f>IF(NFI_Expiration=1,IF($A223&lt;VLOOKUP(P$5,NFI,5,0),1,0)*Table_NFI[[#This Row],[Plastic Bucket]],Table_NFI[Plastic Bucket])</f>
        <v>0</v>
      </c>
      <c r="AH223" s="294">
        <f>IF(NFI_Expiration=1,IF($A223&lt;VLOOKUP(Q$5,NFI,5,0),1,0)*Table_NFI[[#This Row],[Plastic Mat]],Table_NFI[Plastic Mat])*IF(Table_NFI[[#This Row],[Distribution Date]]&gt;"2014-04-01",1,2.5)</f>
        <v>0</v>
      </c>
      <c r="AI223" s="294">
        <f>IF(NFI_Expiration=1,IF($A223&lt;VLOOKUP(R$5,NFI,5,0),1,0)*Table_NFI[[#This Row],[Winter Clothes Adult]],Table_NFI[Winter Clothes Adult])</f>
        <v>0</v>
      </c>
      <c r="AJ223" s="294">
        <f>IF(NFI_Expiration=1,IF($A223&lt;VLOOKUP(S$5,NFI,5,0),1,0)*Table_NFI[[#This Row],[Winter Clothes Children]],Table_NFI[Winter Clothes Children])</f>
        <v>0</v>
      </c>
      <c r="AK223" s="294">
        <f>IF(NFI_Expiration=1,IF($A223&lt;VLOOKUP(T$5,NFI,5,0),1,0)*Table_NFI[[#This Row],[Winter Items Other]],Table_NFI[Winter Items Other])</f>
        <v>0</v>
      </c>
      <c r="AL223" s="294">
        <f>IF(NFI_Expiration=1,IF($A223&lt;VLOOKUP(M$5,NFI,5,0),1,0)*Table_NFI[[#This Row],[Winter Blanket]],Table_NFI[[#This Row],[Winter Blanket]])</f>
        <v>0</v>
      </c>
      <c r="AM223" s="294">
        <f>IF(Table_NFI[[#This Row],[Winter Clothes Adult]]+Table_NFI[[#This Row],[Winter Clothes Children]]+Table_NFI[[#This Row],[Winter Items Other]]+Table_NFI[[#This Row],[Winter Blanket]]&gt;0,1,0)</f>
        <v>0</v>
      </c>
      <c r="AN223" s="331">
        <f>IF(NFI_Expiration=1,IF($A223&lt;VLOOKUP(V$5,NFI,5,0),1,0)*Table_NFI[[#This Row],[Jerry Can]],Table_NFI[Jerry Can])</f>
        <v>0</v>
      </c>
      <c r="AO223" s="331">
        <f>IF(NFI_Expiration=1,IF($A223&lt;VLOOKUP(V$5,NFI,5,0),1,0)*Table_NFI[[#This Row],[Shelter Tool kit]],Table_NFI[Shelter Tool kit])</f>
        <v>0</v>
      </c>
      <c r="AP223" s="331">
        <f>IF(NFI_Expiration=1,IF($A223&lt;VLOOKUP(V$5,NFI,5,0),1,0)*Table_NFI[[#This Row],[Tent]],Table_NFI[Tent])</f>
        <v>0</v>
      </c>
      <c r="AQ223" s="467" t="str">
        <f>IFERROR(VLOOKUP(Table_NFI[[#This Row],[Camp Name]],CL,2,0),"")</f>
        <v>MMR001CMP072</v>
      </c>
      <c r="AR223" s="835">
        <f ca="1">IF(Table_NFI[[#This Row],[Pcode]]="","",IF(OFFSET(CampList[Opening Date],MATCH(Table_NFI[[#This Row],[Pcode]],CampList[CP_Pcode],0)-1,0,1,1)&gt;=NFI_Monitor_Date,1,0))</f>
        <v>0</v>
      </c>
      <c r="AS223" s="467" t="str">
        <f>IFERROR(VLOOKUP(Table_NFI[[#This Row],[Camp Name]],CL,3,0),"")</f>
        <v>Open</v>
      </c>
      <c r="AT223" s="294" t="str">
        <f ca="1">IF(Table_NFI[[#This Row],[Pcode]]="","",OFFSET(CampList[Priority],MATCH(Table_NFI[[#This Row],[Pcode]],CampList[CP_Pcode],0)-1,0,1,1))</f>
        <v>P3</v>
      </c>
      <c r="AU223" s="293">
        <f>IFERROR(Table_NFI[[#This Row],[Kitchen Set]]/VLOOKUP(Table_NFI[[#This Row],[Camp Name]],CL,4,0),"")</f>
        <v>0</v>
      </c>
      <c r="AV223" s="461"/>
      <c r="AW223" s="463"/>
    </row>
    <row r="224" spans="1:49" s="464" customFormat="1" ht="14.45" customHeight="1" x14ac:dyDescent="0.2">
      <c r="A224" s="297">
        <f t="shared" si="3"/>
        <v>24.833333333333332</v>
      </c>
      <c r="B224" s="460">
        <v>41991</v>
      </c>
      <c r="C224" s="461" t="s">
        <v>905</v>
      </c>
      <c r="D224" s="462" t="s">
        <v>905</v>
      </c>
      <c r="E224" s="461" t="s">
        <v>380</v>
      </c>
      <c r="F224" s="290" t="s">
        <v>185</v>
      </c>
      <c r="G224" s="290" t="s">
        <v>225</v>
      </c>
      <c r="H224" s="291"/>
      <c r="I224" s="291"/>
      <c r="J224" s="575">
        <v>61</v>
      </c>
      <c r="K224" s="291"/>
      <c r="L224" s="292"/>
      <c r="M224" s="292"/>
      <c r="N224" s="292"/>
      <c r="O224" s="292"/>
      <c r="P224" s="294"/>
      <c r="Q224" s="294"/>
      <c r="R224" s="294"/>
      <c r="S224" s="294"/>
      <c r="T224" s="294"/>
      <c r="U224" s="294"/>
      <c r="V224" s="431"/>
      <c r="W224" s="294"/>
      <c r="X224" s="294"/>
      <c r="Y224" s="294">
        <f>IF(NFI_Expiration=1,IF($A224&lt;VLOOKUP(H$5,NFI,5,0),1,0)*Table_NFI[[#This Row],[Hygiene Kit]],Table_NFI[Hygiene Kit])</f>
        <v>0</v>
      </c>
      <c r="Z224" s="294">
        <f>IF(NFI_Expiration=1,IF($A224&lt;VLOOKUP(I$5,NFI,5,0),1,0)*Table_NFI[[#This Row],[NFI Core Kit]],Table_NFI[NFI Core Kit])</f>
        <v>0</v>
      </c>
      <c r="AA224" s="294">
        <f>IF(NFI_Expiration=1,IF($A224&lt;VLOOKUP(J$5,NFI,5,0),1,0)*Table_NFI[[#This Row],[Sanitary Kit]],Table_NFI[Sanitary Kit])</f>
        <v>0</v>
      </c>
      <c r="AB224" s="294">
        <f>IF(NFI_Expiration=1,IF($A224&lt;VLOOKUP(K$5,NFI,5,0),1,0)*Table_NFI[[#This Row],[Mosquito net]],Table_NFI[Mosquito net])</f>
        <v>0</v>
      </c>
      <c r="AC224" s="294">
        <f>IF(NFI_Expiration=1,IF($A224&lt;VLOOKUP(L$5,NFI,5,0),1,0)*Table_NFI[[#This Row],[Tarpaulin]],Table_NFI[[#This Row],[Tarpaulin]])</f>
        <v>0</v>
      </c>
      <c r="AD224" s="294">
        <f>IF(NFI_Expiration=1,IF($A224&lt;VLOOKUP(M$5,NFI,5,0),1,0)*Table_NFI[[#This Row],[Blanket]],Table_NFI[[#This Row],[Blanket]])</f>
        <v>0</v>
      </c>
      <c r="AE224" s="294">
        <f>IF(NFI_Expiration=1,IF($A224&lt;VLOOKUP(N$5,NFI,5,0),1,0)*Table_NFI[[#This Row],[Kitchen Set]],Table_NFI[Kitchen Set])</f>
        <v>0</v>
      </c>
      <c r="AF224" s="294">
        <f>IF(NFI_Expiration=1,IF($A224&lt;VLOOKUP(O$5,NFI,5,0),1,0)*Table_NFI[[#This Row],[Clothes Kit]],Table_NFI[Clothes Kit])</f>
        <v>0</v>
      </c>
      <c r="AG224" s="294">
        <f>IF(NFI_Expiration=1,IF($A224&lt;VLOOKUP(P$5,NFI,5,0),1,0)*Table_NFI[[#This Row],[Plastic Bucket]],Table_NFI[Plastic Bucket])</f>
        <v>0</v>
      </c>
      <c r="AH224" s="294">
        <f>IF(NFI_Expiration=1,IF($A224&lt;VLOOKUP(Q$5,NFI,5,0),1,0)*Table_NFI[[#This Row],[Plastic Mat]],Table_NFI[Plastic Mat])*IF(Table_NFI[[#This Row],[Distribution Date]]&gt;"2014-04-01",1,2.5)</f>
        <v>0</v>
      </c>
      <c r="AI224" s="294">
        <f>IF(NFI_Expiration=1,IF($A224&lt;VLOOKUP(R$5,NFI,5,0),1,0)*Table_NFI[[#This Row],[Winter Clothes Adult]],Table_NFI[Winter Clothes Adult])</f>
        <v>0</v>
      </c>
      <c r="AJ224" s="294">
        <f>IF(NFI_Expiration=1,IF($A224&lt;VLOOKUP(S$5,NFI,5,0),1,0)*Table_NFI[[#This Row],[Winter Clothes Children]],Table_NFI[Winter Clothes Children])</f>
        <v>0</v>
      </c>
      <c r="AK224" s="294">
        <f>IF(NFI_Expiration=1,IF($A224&lt;VLOOKUP(T$5,NFI,5,0),1,0)*Table_NFI[[#This Row],[Winter Items Other]],Table_NFI[Winter Items Other])</f>
        <v>0</v>
      </c>
      <c r="AL224" s="294">
        <f>IF(NFI_Expiration=1,IF($A224&lt;VLOOKUP(M$5,NFI,5,0),1,0)*Table_NFI[[#This Row],[Winter Blanket]],Table_NFI[[#This Row],[Winter Blanket]])</f>
        <v>0</v>
      </c>
      <c r="AM224" s="294">
        <f>IF(Table_NFI[[#This Row],[Winter Clothes Adult]]+Table_NFI[[#This Row],[Winter Clothes Children]]+Table_NFI[[#This Row],[Winter Items Other]]+Table_NFI[[#This Row],[Winter Blanket]]&gt;0,1,0)</f>
        <v>0</v>
      </c>
      <c r="AN224" s="331">
        <f>IF(NFI_Expiration=1,IF($A224&lt;VLOOKUP(V$5,NFI,5,0),1,0)*Table_NFI[[#This Row],[Jerry Can]],Table_NFI[Jerry Can])</f>
        <v>0</v>
      </c>
      <c r="AO224" s="331">
        <f>IF(NFI_Expiration=1,IF($A224&lt;VLOOKUP(V$5,NFI,5,0),1,0)*Table_NFI[[#This Row],[Shelter Tool kit]],Table_NFI[Shelter Tool kit])</f>
        <v>0</v>
      </c>
      <c r="AP224" s="331">
        <f>IF(NFI_Expiration=1,IF($A224&lt;VLOOKUP(V$5,NFI,5,0),1,0)*Table_NFI[[#This Row],[Tent]],Table_NFI[Tent])</f>
        <v>0</v>
      </c>
      <c r="AQ224" s="467" t="str">
        <f>IFERROR(VLOOKUP(Table_NFI[[#This Row],[Camp Name]],CL,2,0),"")</f>
        <v>MMR001CMP073</v>
      </c>
      <c r="AR224" s="835">
        <f ca="1">IF(Table_NFI[[#This Row],[Pcode]]="","",IF(OFFSET(CampList[Opening Date],MATCH(Table_NFI[[#This Row],[Pcode]],CampList[CP_Pcode],0)-1,0,1,1)&gt;=NFI_Monitor_Date,1,0))</f>
        <v>0</v>
      </c>
      <c r="AS224" s="467" t="str">
        <f>IFERROR(VLOOKUP(Table_NFI[[#This Row],[Camp Name]],CL,3,0),"")</f>
        <v>Open</v>
      </c>
      <c r="AT224" s="294" t="str">
        <f ca="1">IF(Table_NFI[[#This Row],[Pcode]]="","",OFFSET(CampList[Priority],MATCH(Table_NFI[[#This Row],[Pcode]],CampList[CP_Pcode],0)-1,0,1,1))</f>
        <v>P3</v>
      </c>
      <c r="AU224" s="293">
        <f>IFERROR(Table_NFI[[#This Row],[Kitchen Set]]/VLOOKUP(Table_NFI[[#This Row],[Camp Name]],CL,4,0),"")</f>
        <v>0</v>
      </c>
      <c r="AV224" s="461"/>
      <c r="AW224" s="463"/>
    </row>
    <row r="225" spans="1:49" s="464" customFormat="1" ht="14.45" customHeight="1" x14ac:dyDescent="0.2">
      <c r="A225" s="297">
        <f t="shared" si="3"/>
        <v>24.866666666666667</v>
      </c>
      <c r="B225" s="460">
        <v>41990</v>
      </c>
      <c r="C225" s="461" t="s">
        <v>905</v>
      </c>
      <c r="D225" s="462" t="s">
        <v>905</v>
      </c>
      <c r="E225" s="461" t="s">
        <v>380</v>
      </c>
      <c r="F225" s="290" t="s">
        <v>185</v>
      </c>
      <c r="G225" s="290" t="s">
        <v>186</v>
      </c>
      <c r="H225" s="291"/>
      <c r="I225" s="291"/>
      <c r="J225" s="575"/>
      <c r="K225" s="291"/>
      <c r="L225" s="292"/>
      <c r="M225" s="292"/>
      <c r="N225" s="292"/>
      <c r="O225" s="292"/>
      <c r="P225" s="294"/>
      <c r="Q225" s="294"/>
      <c r="R225" s="294"/>
      <c r="S225" s="294"/>
      <c r="T225" s="294"/>
      <c r="U225" s="294"/>
      <c r="V225" s="431"/>
      <c r="W225" s="294"/>
      <c r="X225" s="294"/>
      <c r="Y225" s="294">
        <f>IF(NFI_Expiration=1,IF($A225&lt;VLOOKUP(H$5,NFI,5,0),1,0)*Table_NFI[[#This Row],[Hygiene Kit]],Table_NFI[Hygiene Kit])</f>
        <v>0</v>
      </c>
      <c r="Z225" s="294">
        <f>IF(NFI_Expiration=1,IF($A225&lt;VLOOKUP(I$5,NFI,5,0),1,0)*Table_NFI[[#This Row],[NFI Core Kit]],Table_NFI[NFI Core Kit])</f>
        <v>0</v>
      </c>
      <c r="AA225" s="294">
        <f>IF(NFI_Expiration=1,IF($A225&lt;VLOOKUP(J$5,NFI,5,0),1,0)*Table_NFI[[#This Row],[Sanitary Kit]],Table_NFI[Sanitary Kit])</f>
        <v>0</v>
      </c>
      <c r="AB225" s="294">
        <f>IF(NFI_Expiration=1,IF($A225&lt;VLOOKUP(K$5,NFI,5,0),1,0)*Table_NFI[[#This Row],[Mosquito net]],Table_NFI[Mosquito net])</f>
        <v>0</v>
      </c>
      <c r="AC225" s="294">
        <f>IF(NFI_Expiration=1,IF($A225&lt;VLOOKUP(L$5,NFI,5,0),1,0)*Table_NFI[[#This Row],[Tarpaulin]],Table_NFI[[#This Row],[Tarpaulin]])</f>
        <v>0</v>
      </c>
      <c r="AD225" s="294">
        <f>IF(NFI_Expiration=1,IF($A225&lt;VLOOKUP(M$5,NFI,5,0),1,0)*Table_NFI[[#This Row],[Blanket]],Table_NFI[[#This Row],[Blanket]])</f>
        <v>0</v>
      </c>
      <c r="AE225" s="294">
        <f>IF(NFI_Expiration=1,IF($A225&lt;VLOOKUP(N$5,NFI,5,0),1,0)*Table_NFI[[#This Row],[Kitchen Set]],Table_NFI[Kitchen Set])</f>
        <v>0</v>
      </c>
      <c r="AF225" s="294">
        <f>IF(NFI_Expiration=1,IF($A225&lt;VLOOKUP(O$5,NFI,5,0),1,0)*Table_NFI[[#This Row],[Clothes Kit]],Table_NFI[Clothes Kit])</f>
        <v>0</v>
      </c>
      <c r="AG225" s="294">
        <f>IF(NFI_Expiration=1,IF($A225&lt;VLOOKUP(P$5,NFI,5,0),1,0)*Table_NFI[[#This Row],[Plastic Bucket]],Table_NFI[Plastic Bucket])</f>
        <v>0</v>
      </c>
      <c r="AH225" s="294">
        <f>IF(NFI_Expiration=1,IF($A225&lt;VLOOKUP(Q$5,NFI,5,0),1,0)*Table_NFI[[#This Row],[Plastic Mat]],Table_NFI[Plastic Mat])*IF(Table_NFI[[#This Row],[Distribution Date]]&gt;"2014-04-01",1,2.5)</f>
        <v>0</v>
      </c>
      <c r="AI225" s="294">
        <f>IF(NFI_Expiration=1,IF($A225&lt;VLOOKUP(R$5,NFI,5,0),1,0)*Table_NFI[[#This Row],[Winter Clothes Adult]],Table_NFI[Winter Clothes Adult])</f>
        <v>0</v>
      </c>
      <c r="AJ225" s="294">
        <f>IF(NFI_Expiration=1,IF($A225&lt;VLOOKUP(S$5,NFI,5,0),1,0)*Table_NFI[[#This Row],[Winter Clothes Children]],Table_NFI[Winter Clothes Children])</f>
        <v>0</v>
      </c>
      <c r="AK225" s="294">
        <f>IF(NFI_Expiration=1,IF($A225&lt;VLOOKUP(T$5,NFI,5,0),1,0)*Table_NFI[[#This Row],[Winter Items Other]],Table_NFI[Winter Items Other])</f>
        <v>0</v>
      </c>
      <c r="AL225" s="294">
        <f>IF(NFI_Expiration=1,IF($A225&lt;VLOOKUP(M$5,NFI,5,0),1,0)*Table_NFI[[#This Row],[Winter Blanket]],Table_NFI[[#This Row],[Winter Blanket]])</f>
        <v>0</v>
      </c>
      <c r="AM225" s="294">
        <f>IF(Table_NFI[[#This Row],[Winter Clothes Adult]]+Table_NFI[[#This Row],[Winter Clothes Children]]+Table_NFI[[#This Row],[Winter Items Other]]+Table_NFI[[#This Row],[Winter Blanket]]&gt;0,1,0)</f>
        <v>0</v>
      </c>
      <c r="AN225" s="331">
        <f>IF(NFI_Expiration=1,IF($A225&lt;VLOOKUP(V$5,NFI,5,0),1,0)*Table_NFI[[#This Row],[Jerry Can]],Table_NFI[Jerry Can])</f>
        <v>0</v>
      </c>
      <c r="AO225" s="331">
        <f>IF(NFI_Expiration=1,IF($A225&lt;VLOOKUP(V$5,NFI,5,0),1,0)*Table_NFI[[#This Row],[Shelter Tool kit]],Table_NFI[Shelter Tool kit])</f>
        <v>0</v>
      </c>
      <c r="AP225" s="331">
        <f>IF(NFI_Expiration=1,IF($A225&lt;VLOOKUP(V$5,NFI,5,0),1,0)*Table_NFI[[#This Row],[Tent]],Table_NFI[Tent])</f>
        <v>0</v>
      </c>
      <c r="AQ225" s="467" t="str">
        <f>IFERROR(VLOOKUP(Table_NFI[[#This Row],[Camp Name]],CL,2,0),"")</f>
        <v>MMR001CMP071</v>
      </c>
      <c r="AR225" s="835">
        <f ca="1">IF(Table_NFI[[#This Row],[Pcode]]="","",IF(OFFSET(CampList[Opening Date],MATCH(Table_NFI[[#This Row],[Pcode]],CampList[CP_Pcode],0)-1,0,1,1)&gt;=NFI_Monitor_Date,1,0))</f>
        <v>0</v>
      </c>
      <c r="AS225" s="467" t="str">
        <f>IFERROR(VLOOKUP(Table_NFI[[#This Row],[Camp Name]],CL,3,0),"")</f>
        <v>Open</v>
      </c>
      <c r="AT225" s="294" t="str">
        <f ca="1">IF(Table_NFI[[#This Row],[Pcode]]="","",OFFSET(CampList[Priority],MATCH(Table_NFI[[#This Row],[Pcode]],CampList[CP_Pcode],0)-1,0,1,1))</f>
        <v>P3</v>
      </c>
      <c r="AU225" s="293">
        <f>IFERROR(Table_NFI[[#This Row],[Kitchen Set]]/VLOOKUP(Table_NFI[[#This Row],[Camp Name]],CL,4,0),"")</f>
        <v>0</v>
      </c>
      <c r="AV225" s="461"/>
      <c r="AW225" s="463"/>
    </row>
    <row r="226" spans="1:49" s="98" customFormat="1" ht="14.45" customHeight="1" x14ac:dyDescent="0.25">
      <c r="A226" s="297">
        <f t="shared" si="3"/>
        <v>24.866666666666667</v>
      </c>
      <c r="B226" s="460">
        <v>41990</v>
      </c>
      <c r="C226" s="461" t="s">
        <v>905</v>
      </c>
      <c r="D226" s="461" t="s">
        <v>905</v>
      </c>
      <c r="E226" s="461" t="s">
        <v>380</v>
      </c>
      <c r="F226" s="461" t="s">
        <v>185</v>
      </c>
      <c r="G226" s="290" t="s">
        <v>223</v>
      </c>
      <c r="H226" s="291"/>
      <c r="I226" s="291"/>
      <c r="J226" s="292">
        <v>124</v>
      </c>
      <c r="K226" s="291"/>
      <c r="L226" s="292"/>
      <c r="M226" s="292"/>
      <c r="N226" s="292"/>
      <c r="O226" s="292"/>
      <c r="P226" s="294"/>
      <c r="Q226" s="294"/>
      <c r="R226" s="294"/>
      <c r="S226" s="294"/>
      <c r="T226" s="294"/>
      <c r="U226" s="294"/>
      <c r="V226" s="431"/>
      <c r="W226" s="294"/>
      <c r="X226" s="294"/>
      <c r="Y226" s="294">
        <f>IF(NFI_Expiration=1,IF($A226&lt;VLOOKUP(H$5,NFI,5,0),1,0)*Table_NFI[[#This Row],[Hygiene Kit]],Table_NFI[Hygiene Kit])</f>
        <v>0</v>
      </c>
      <c r="Z226" s="294">
        <f>IF(NFI_Expiration=1,IF($A226&lt;VLOOKUP(I$5,NFI,5,0),1,0)*Table_NFI[[#This Row],[NFI Core Kit]],Table_NFI[NFI Core Kit])</f>
        <v>0</v>
      </c>
      <c r="AA226" s="294">
        <f>IF(NFI_Expiration=1,IF($A226&lt;VLOOKUP(J$5,NFI,5,0),1,0)*Table_NFI[[#This Row],[Sanitary Kit]],Table_NFI[Sanitary Kit])</f>
        <v>0</v>
      </c>
      <c r="AB226" s="294">
        <f>IF(NFI_Expiration=1,IF($A226&lt;VLOOKUP(K$5,NFI,5,0),1,0)*Table_NFI[[#This Row],[Mosquito net]],Table_NFI[Mosquito net])</f>
        <v>0</v>
      </c>
      <c r="AC226" s="294">
        <f>IF(NFI_Expiration=1,IF($A226&lt;VLOOKUP(L$5,NFI,5,0),1,0)*Table_NFI[[#This Row],[Tarpaulin]],Table_NFI[[#This Row],[Tarpaulin]])</f>
        <v>0</v>
      </c>
      <c r="AD226" s="294">
        <f>IF(NFI_Expiration=1,IF($A226&lt;VLOOKUP(M$5,NFI,5,0),1,0)*Table_NFI[[#This Row],[Blanket]],Table_NFI[[#This Row],[Blanket]])</f>
        <v>0</v>
      </c>
      <c r="AE226" s="294">
        <f>IF(NFI_Expiration=1,IF($A226&lt;VLOOKUP(N$5,NFI,5,0),1,0)*Table_NFI[[#This Row],[Kitchen Set]],Table_NFI[Kitchen Set])</f>
        <v>0</v>
      </c>
      <c r="AF226" s="294">
        <f>IF(NFI_Expiration=1,IF($A226&lt;VLOOKUP(O$5,NFI,5,0),1,0)*Table_NFI[[#This Row],[Clothes Kit]],Table_NFI[Clothes Kit])</f>
        <v>0</v>
      </c>
      <c r="AG226" s="294">
        <f>IF(NFI_Expiration=1,IF($A226&lt;VLOOKUP(P$5,NFI,5,0),1,0)*Table_NFI[[#This Row],[Plastic Bucket]],Table_NFI[Plastic Bucket])</f>
        <v>0</v>
      </c>
      <c r="AH226" s="294">
        <f>IF(NFI_Expiration=1,IF($A226&lt;VLOOKUP(Q$5,NFI,5,0),1,0)*Table_NFI[[#This Row],[Plastic Mat]],Table_NFI[Plastic Mat])*IF(Table_NFI[[#This Row],[Distribution Date]]&gt;"2014-04-01",1,2.5)</f>
        <v>0</v>
      </c>
      <c r="AI226" s="294">
        <f>IF(NFI_Expiration=1,IF($A226&lt;VLOOKUP(R$5,NFI,5,0),1,0)*Table_NFI[[#This Row],[Winter Clothes Adult]],Table_NFI[Winter Clothes Adult])</f>
        <v>0</v>
      </c>
      <c r="AJ226" s="294">
        <f>IF(NFI_Expiration=1,IF($A226&lt;VLOOKUP(S$5,NFI,5,0),1,0)*Table_NFI[[#This Row],[Winter Clothes Children]],Table_NFI[Winter Clothes Children])</f>
        <v>0</v>
      </c>
      <c r="AK226" s="294">
        <f>IF(NFI_Expiration=1,IF($A226&lt;VLOOKUP(T$5,NFI,5,0),1,0)*Table_NFI[[#This Row],[Winter Items Other]],Table_NFI[Winter Items Other])</f>
        <v>0</v>
      </c>
      <c r="AL226" s="294">
        <f>IF(NFI_Expiration=1,IF($A226&lt;VLOOKUP(M$5,NFI,5,0),1,0)*Table_NFI[[#This Row],[Winter Blanket]],Table_NFI[[#This Row],[Winter Blanket]])</f>
        <v>0</v>
      </c>
      <c r="AM226" s="294">
        <f>IF(Table_NFI[[#This Row],[Winter Clothes Adult]]+Table_NFI[[#This Row],[Winter Clothes Children]]+Table_NFI[[#This Row],[Winter Items Other]]+Table_NFI[[#This Row],[Winter Blanket]]&gt;0,1,0)</f>
        <v>0</v>
      </c>
      <c r="AN226" s="331">
        <f>IF(NFI_Expiration=1,IF($A226&lt;VLOOKUP(V$5,NFI,5,0),1,0)*Table_NFI[[#This Row],[Jerry Can]],Table_NFI[Jerry Can])</f>
        <v>0</v>
      </c>
      <c r="AO226" s="331">
        <f>IF(NFI_Expiration=1,IF($A226&lt;VLOOKUP(V$5,NFI,5,0),1,0)*Table_NFI[[#This Row],[Shelter Tool kit]],Table_NFI[Shelter Tool kit])</f>
        <v>0</v>
      </c>
      <c r="AP226" s="331">
        <f>IF(NFI_Expiration=1,IF($A226&lt;VLOOKUP(V$5,NFI,5,0),1,0)*Table_NFI[[#This Row],[Tent]],Table_NFI[Tent])</f>
        <v>0</v>
      </c>
      <c r="AQ226" s="467" t="str">
        <f>IFERROR(VLOOKUP(Table_NFI[[#This Row],[Camp Name]],CL,2,0),"")</f>
        <v>MMR001CMP069</v>
      </c>
      <c r="AR226" s="835">
        <f ca="1">IF(Table_NFI[[#This Row],[Pcode]]="","",IF(OFFSET(CampList[Opening Date],MATCH(Table_NFI[[#This Row],[Pcode]],CampList[CP_Pcode],0)-1,0,1,1)&gt;=NFI_Monitor_Date,1,0))</f>
        <v>0</v>
      </c>
      <c r="AS226" s="467" t="str">
        <f>IFERROR(VLOOKUP(Table_NFI[[#This Row],[Camp Name]],CL,3,0),"")</f>
        <v>Open</v>
      </c>
      <c r="AT226" s="294" t="str">
        <f ca="1">IF(Table_NFI[[#This Row],[Pcode]]="","",OFFSET(CampList[Priority],MATCH(Table_NFI[[#This Row],[Pcode]],CampList[CP_Pcode],0)-1,0,1,1))</f>
        <v>P3</v>
      </c>
      <c r="AU226" s="293">
        <f>IFERROR(Table_NFI[[#This Row],[Kitchen Set]]/VLOOKUP(Table_NFI[[#This Row],[Camp Name]],CL,4,0),"")</f>
        <v>0</v>
      </c>
      <c r="AV226" s="461"/>
      <c r="AW226" s="463"/>
    </row>
    <row r="227" spans="1:49" s="464" customFormat="1" ht="14.45" customHeight="1" x14ac:dyDescent="0.2">
      <c r="A227" s="297">
        <f t="shared" si="3"/>
        <v>24.866666666666667</v>
      </c>
      <c r="B227" s="460">
        <v>41990</v>
      </c>
      <c r="C227" s="461" t="s">
        <v>905</v>
      </c>
      <c r="D227" s="462" t="s">
        <v>905</v>
      </c>
      <c r="E227" s="461" t="s">
        <v>380</v>
      </c>
      <c r="F227" s="290" t="s">
        <v>185</v>
      </c>
      <c r="G227" s="290" t="s">
        <v>190</v>
      </c>
      <c r="H227" s="291"/>
      <c r="I227" s="291"/>
      <c r="J227" s="575">
        <v>283</v>
      </c>
      <c r="K227" s="291"/>
      <c r="L227" s="292"/>
      <c r="M227" s="292"/>
      <c r="N227" s="292"/>
      <c r="O227" s="292"/>
      <c r="P227" s="294"/>
      <c r="Q227" s="294"/>
      <c r="R227" s="294"/>
      <c r="S227" s="294"/>
      <c r="T227" s="294"/>
      <c r="U227" s="294"/>
      <c r="V227" s="431"/>
      <c r="W227" s="294"/>
      <c r="X227" s="294"/>
      <c r="Y227" s="294">
        <f>IF(NFI_Expiration=1,IF($A227&lt;VLOOKUP(H$5,NFI,5,0),1,0)*Table_NFI[[#This Row],[Hygiene Kit]],Table_NFI[Hygiene Kit])</f>
        <v>0</v>
      </c>
      <c r="Z227" s="294">
        <f>IF(NFI_Expiration=1,IF($A227&lt;VLOOKUP(I$5,NFI,5,0),1,0)*Table_NFI[[#This Row],[NFI Core Kit]],Table_NFI[NFI Core Kit])</f>
        <v>0</v>
      </c>
      <c r="AA227" s="294">
        <f>IF(NFI_Expiration=1,IF($A227&lt;VLOOKUP(J$5,NFI,5,0),1,0)*Table_NFI[[#This Row],[Sanitary Kit]],Table_NFI[Sanitary Kit])</f>
        <v>0</v>
      </c>
      <c r="AB227" s="294">
        <f>IF(NFI_Expiration=1,IF($A227&lt;VLOOKUP(K$5,NFI,5,0),1,0)*Table_NFI[[#This Row],[Mosquito net]],Table_NFI[Mosquito net])</f>
        <v>0</v>
      </c>
      <c r="AC227" s="294">
        <f>IF(NFI_Expiration=1,IF($A227&lt;VLOOKUP(L$5,NFI,5,0),1,0)*Table_NFI[[#This Row],[Tarpaulin]],Table_NFI[[#This Row],[Tarpaulin]])</f>
        <v>0</v>
      </c>
      <c r="AD227" s="294">
        <f>IF(NFI_Expiration=1,IF($A227&lt;VLOOKUP(M$5,NFI,5,0),1,0)*Table_NFI[[#This Row],[Blanket]],Table_NFI[[#This Row],[Blanket]])</f>
        <v>0</v>
      </c>
      <c r="AE227" s="294">
        <f>IF(NFI_Expiration=1,IF($A227&lt;VLOOKUP(N$5,NFI,5,0),1,0)*Table_NFI[[#This Row],[Kitchen Set]],Table_NFI[Kitchen Set])</f>
        <v>0</v>
      </c>
      <c r="AF227" s="294">
        <f>IF(NFI_Expiration=1,IF($A227&lt;VLOOKUP(O$5,NFI,5,0),1,0)*Table_NFI[[#This Row],[Clothes Kit]],Table_NFI[Clothes Kit])</f>
        <v>0</v>
      </c>
      <c r="AG227" s="294">
        <f>IF(NFI_Expiration=1,IF($A227&lt;VLOOKUP(P$5,NFI,5,0),1,0)*Table_NFI[[#This Row],[Plastic Bucket]],Table_NFI[Plastic Bucket])</f>
        <v>0</v>
      </c>
      <c r="AH227" s="294">
        <f>IF(NFI_Expiration=1,IF($A227&lt;VLOOKUP(Q$5,NFI,5,0),1,0)*Table_NFI[[#This Row],[Plastic Mat]],Table_NFI[Plastic Mat])*IF(Table_NFI[[#This Row],[Distribution Date]]&gt;"2014-04-01",1,2.5)</f>
        <v>0</v>
      </c>
      <c r="AI227" s="294">
        <f>IF(NFI_Expiration=1,IF($A227&lt;VLOOKUP(R$5,NFI,5,0),1,0)*Table_NFI[[#This Row],[Winter Clothes Adult]],Table_NFI[Winter Clothes Adult])</f>
        <v>0</v>
      </c>
      <c r="AJ227" s="294">
        <f>IF(NFI_Expiration=1,IF($A227&lt;VLOOKUP(S$5,NFI,5,0),1,0)*Table_NFI[[#This Row],[Winter Clothes Children]],Table_NFI[Winter Clothes Children])</f>
        <v>0</v>
      </c>
      <c r="AK227" s="294">
        <f>IF(NFI_Expiration=1,IF($A227&lt;VLOOKUP(T$5,NFI,5,0),1,0)*Table_NFI[[#This Row],[Winter Items Other]],Table_NFI[Winter Items Other])</f>
        <v>0</v>
      </c>
      <c r="AL227" s="294">
        <f>IF(NFI_Expiration=1,IF($A227&lt;VLOOKUP(M$5,NFI,5,0),1,0)*Table_NFI[[#This Row],[Winter Blanket]],Table_NFI[[#This Row],[Winter Blanket]])</f>
        <v>0</v>
      </c>
      <c r="AM227" s="294">
        <f>IF(Table_NFI[[#This Row],[Winter Clothes Adult]]+Table_NFI[[#This Row],[Winter Clothes Children]]+Table_NFI[[#This Row],[Winter Items Other]]+Table_NFI[[#This Row],[Winter Blanket]]&gt;0,1,0)</f>
        <v>0</v>
      </c>
      <c r="AN227" s="331">
        <f>IF(NFI_Expiration=1,IF($A227&lt;VLOOKUP(V$5,NFI,5,0),1,0)*Table_NFI[[#This Row],[Jerry Can]],Table_NFI[Jerry Can])</f>
        <v>0</v>
      </c>
      <c r="AO227" s="331">
        <f>IF(NFI_Expiration=1,IF($A227&lt;VLOOKUP(V$5,NFI,5,0),1,0)*Table_NFI[[#This Row],[Shelter Tool kit]],Table_NFI[Shelter Tool kit])</f>
        <v>0</v>
      </c>
      <c r="AP227" s="331">
        <f>IF(NFI_Expiration=1,IF($A227&lt;VLOOKUP(V$5,NFI,5,0),1,0)*Table_NFI[[#This Row],[Tent]],Table_NFI[Tent])</f>
        <v>0</v>
      </c>
      <c r="AQ227" s="467" t="str">
        <f>IFERROR(VLOOKUP(Table_NFI[[#This Row],[Camp Name]],CL,2,0),"")</f>
        <v>MMR001CMP070</v>
      </c>
      <c r="AR227" s="835">
        <f ca="1">IF(Table_NFI[[#This Row],[Pcode]]="","",IF(OFFSET(CampList[Opening Date],MATCH(Table_NFI[[#This Row],[Pcode]],CampList[CP_Pcode],0)-1,0,1,1)&gt;=NFI_Monitor_Date,1,0))</f>
        <v>0</v>
      </c>
      <c r="AS227" s="467" t="str">
        <f>IFERROR(VLOOKUP(Table_NFI[[#This Row],[Camp Name]],CL,3,0),"")</f>
        <v>Open</v>
      </c>
      <c r="AT227" s="294" t="str">
        <f ca="1">IF(Table_NFI[[#This Row],[Pcode]]="","",OFFSET(CampList[Priority],MATCH(Table_NFI[[#This Row],[Pcode]],CampList[CP_Pcode],0)-1,0,1,1))</f>
        <v>P3</v>
      </c>
      <c r="AU227" s="293">
        <f>IFERROR(Table_NFI[[#This Row],[Kitchen Set]]/VLOOKUP(Table_NFI[[#This Row],[Camp Name]],CL,4,0),"")</f>
        <v>0</v>
      </c>
      <c r="AV227" s="461"/>
      <c r="AW227" s="463"/>
    </row>
    <row r="228" spans="1:49" s="464" customFormat="1" ht="14.45" customHeight="1" x14ac:dyDescent="0.25">
      <c r="A228" s="297">
        <f t="shared" si="3"/>
        <v>25.1</v>
      </c>
      <c r="B228" s="460">
        <v>41983</v>
      </c>
      <c r="C228" s="461" t="s">
        <v>905</v>
      </c>
      <c r="D228" s="461" t="s">
        <v>905</v>
      </c>
      <c r="E228" s="461" t="s">
        <v>380</v>
      </c>
      <c r="F228" s="290" t="s">
        <v>185</v>
      </c>
      <c r="G228" s="290" t="s">
        <v>1431</v>
      </c>
      <c r="H228" s="291"/>
      <c r="I228" s="291"/>
      <c r="J228" s="294">
        <v>85</v>
      </c>
      <c r="K228" s="291"/>
      <c r="L228" s="292"/>
      <c r="M228" s="292"/>
      <c r="N228" s="292"/>
      <c r="O228" s="292"/>
      <c r="P228" s="294"/>
      <c r="Q228" s="294"/>
      <c r="R228" s="294"/>
      <c r="S228" s="294"/>
      <c r="T228" s="294"/>
      <c r="U228" s="294"/>
      <c r="V228" s="431"/>
      <c r="W228" s="294"/>
      <c r="X228" s="294"/>
      <c r="Y228" s="294">
        <f>IF(NFI_Expiration=1,IF($A228&lt;VLOOKUP(H$5,NFI,5,0),1,0)*Table_NFI[[#This Row],[Hygiene Kit]],Table_NFI[Hygiene Kit])</f>
        <v>0</v>
      </c>
      <c r="Z228" s="294">
        <f>IF(NFI_Expiration=1,IF($A228&lt;VLOOKUP(I$5,NFI,5,0),1,0)*Table_NFI[[#This Row],[NFI Core Kit]],Table_NFI[NFI Core Kit])</f>
        <v>0</v>
      </c>
      <c r="AA228" s="294">
        <f>IF(NFI_Expiration=1,IF($A228&lt;VLOOKUP(J$5,NFI,5,0),1,0)*Table_NFI[[#This Row],[Sanitary Kit]],Table_NFI[Sanitary Kit])</f>
        <v>0</v>
      </c>
      <c r="AB228" s="294">
        <f>IF(NFI_Expiration=1,IF($A228&lt;VLOOKUP(K$5,NFI,5,0),1,0)*Table_NFI[[#This Row],[Mosquito net]],Table_NFI[Mosquito net])</f>
        <v>0</v>
      </c>
      <c r="AC228" s="294">
        <f>IF(NFI_Expiration=1,IF($A228&lt;VLOOKUP(L$5,NFI,5,0),1,0)*Table_NFI[[#This Row],[Tarpaulin]],Table_NFI[[#This Row],[Tarpaulin]])</f>
        <v>0</v>
      </c>
      <c r="AD228" s="294">
        <f>IF(NFI_Expiration=1,IF($A228&lt;VLOOKUP(M$5,NFI,5,0),1,0)*Table_NFI[[#This Row],[Blanket]],Table_NFI[[#This Row],[Blanket]])</f>
        <v>0</v>
      </c>
      <c r="AE228" s="294">
        <f>IF(NFI_Expiration=1,IF($A228&lt;VLOOKUP(N$5,NFI,5,0),1,0)*Table_NFI[[#This Row],[Kitchen Set]],Table_NFI[Kitchen Set])</f>
        <v>0</v>
      </c>
      <c r="AF228" s="294">
        <f>IF(NFI_Expiration=1,IF($A228&lt;VLOOKUP(O$5,NFI,5,0),1,0)*Table_NFI[[#This Row],[Clothes Kit]],Table_NFI[Clothes Kit])</f>
        <v>0</v>
      </c>
      <c r="AG228" s="294">
        <f>IF(NFI_Expiration=1,IF($A228&lt;VLOOKUP(P$5,NFI,5,0),1,0)*Table_NFI[[#This Row],[Plastic Bucket]],Table_NFI[Plastic Bucket])</f>
        <v>0</v>
      </c>
      <c r="AH228" s="294">
        <f>IF(NFI_Expiration=1,IF($A228&lt;VLOOKUP(Q$5,NFI,5,0),1,0)*Table_NFI[[#This Row],[Plastic Mat]],Table_NFI[Plastic Mat])*IF(Table_NFI[[#This Row],[Distribution Date]]&gt;"2014-04-01",1,2.5)</f>
        <v>0</v>
      </c>
      <c r="AI228" s="294">
        <f>IF(NFI_Expiration=1,IF($A228&lt;VLOOKUP(R$5,NFI,5,0),1,0)*Table_NFI[[#This Row],[Winter Clothes Adult]],Table_NFI[Winter Clothes Adult])</f>
        <v>0</v>
      </c>
      <c r="AJ228" s="294">
        <f>IF(NFI_Expiration=1,IF($A228&lt;VLOOKUP(S$5,NFI,5,0),1,0)*Table_NFI[[#This Row],[Winter Clothes Children]],Table_NFI[Winter Clothes Children])</f>
        <v>0</v>
      </c>
      <c r="AK228" s="294">
        <f>IF(NFI_Expiration=1,IF($A228&lt;VLOOKUP(T$5,NFI,5,0),1,0)*Table_NFI[[#This Row],[Winter Items Other]],Table_NFI[Winter Items Other])</f>
        <v>0</v>
      </c>
      <c r="AL228" s="294">
        <f>IF(NFI_Expiration=1,IF($A228&lt;VLOOKUP(M$5,NFI,5,0),1,0)*Table_NFI[[#This Row],[Winter Blanket]],Table_NFI[[#This Row],[Winter Blanket]])</f>
        <v>0</v>
      </c>
      <c r="AM228" s="294">
        <f>IF(Table_NFI[[#This Row],[Winter Clothes Adult]]+Table_NFI[[#This Row],[Winter Clothes Children]]+Table_NFI[[#This Row],[Winter Items Other]]+Table_NFI[[#This Row],[Winter Blanket]]&gt;0,1,0)</f>
        <v>0</v>
      </c>
      <c r="AN228" s="331">
        <f>IF(NFI_Expiration=1,IF($A228&lt;VLOOKUP(V$5,NFI,5,0),1,0)*Table_NFI[[#This Row],[Jerry Can]],Table_NFI[Jerry Can])</f>
        <v>0</v>
      </c>
      <c r="AO228" s="331">
        <f>IF(NFI_Expiration=1,IF($A228&lt;VLOOKUP(V$5,NFI,5,0),1,0)*Table_NFI[[#This Row],[Shelter Tool kit]],Table_NFI[Shelter Tool kit])</f>
        <v>0</v>
      </c>
      <c r="AP228" s="331">
        <f>IF(NFI_Expiration=1,IF($A228&lt;VLOOKUP(V$5,NFI,5,0),1,0)*Table_NFI[[#This Row],[Tent]],Table_NFI[Tent])</f>
        <v>0</v>
      </c>
      <c r="AQ228" s="467" t="str">
        <f>IFERROR(VLOOKUP(Table_NFI[[#This Row],[Camp Name]],CL,2,0),"")</f>
        <v/>
      </c>
      <c r="AR228" s="835" t="str">
        <f ca="1">IF(Table_NFI[[#This Row],[Pcode]]="","",IF(OFFSET(CampList[Opening Date],MATCH(Table_NFI[[#This Row],[Pcode]],CampList[CP_Pcode],0)-1,0,1,1)&gt;=NFI_Monitor_Date,1,0))</f>
        <v/>
      </c>
      <c r="AS228" s="467" t="str">
        <f>IFERROR(VLOOKUP(Table_NFI[[#This Row],[Camp Name]],CL,3,0),"")</f>
        <v/>
      </c>
      <c r="AT228" s="294" t="str">
        <f ca="1">IF(Table_NFI[[#This Row],[Pcode]]="","",OFFSET(CampList[Priority],MATCH(Table_NFI[[#This Row],[Pcode]],CampList[CP_Pcode],0)-1,0,1,1))</f>
        <v/>
      </c>
      <c r="AU228" s="293" t="str">
        <f>IFERROR(Table_NFI[[#This Row],[Kitchen Set]]/VLOOKUP(Table_NFI[[#This Row],[Camp Name]],CL,4,0),"")</f>
        <v/>
      </c>
      <c r="AV228" s="461"/>
      <c r="AW228" s="463"/>
    </row>
    <row r="229" spans="1:49" s="464" customFormat="1" ht="14.45" customHeight="1" x14ac:dyDescent="0.2">
      <c r="A229" s="297">
        <f t="shared" si="3"/>
        <v>25.1</v>
      </c>
      <c r="B229" s="460">
        <v>41983</v>
      </c>
      <c r="C229" s="461" t="s">
        <v>905</v>
      </c>
      <c r="D229" s="461" t="s">
        <v>905</v>
      </c>
      <c r="E229" s="461" t="s">
        <v>380</v>
      </c>
      <c r="F229" s="461" t="s">
        <v>185</v>
      </c>
      <c r="G229" s="290" t="s">
        <v>217</v>
      </c>
      <c r="H229" s="291"/>
      <c r="I229" s="291"/>
      <c r="J229" s="575">
        <v>33</v>
      </c>
      <c r="K229" s="291"/>
      <c r="L229" s="292"/>
      <c r="M229" s="292"/>
      <c r="N229" s="292"/>
      <c r="O229" s="292"/>
      <c r="P229" s="294"/>
      <c r="Q229" s="294"/>
      <c r="R229" s="294"/>
      <c r="S229" s="294"/>
      <c r="T229" s="294"/>
      <c r="U229" s="294"/>
      <c r="V229" s="431"/>
      <c r="W229" s="294"/>
      <c r="X229" s="294"/>
      <c r="Y229" s="294">
        <f>IF(NFI_Expiration=1,IF($A229&lt;VLOOKUP(H$5,NFI,5,0),1,0)*Table_NFI[[#This Row],[Hygiene Kit]],Table_NFI[Hygiene Kit])</f>
        <v>0</v>
      </c>
      <c r="Z229" s="294">
        <f>IF(NFI_Expiration=1,IF($A229&lt;VLOOKUP(I$5,NFI,5,0),1,0)*Table_NFI[[#This Row],[NFI Core Kit]],Table_NFI[NFI Core Kit])</f>
        <v>0</v>
      </c>
      <c r="AA229" s="294">
        <f>IF(NFI_Expiration=1,IF($A229&lt;VLOOKUP(J$5,NFI,5,0),1,0)*Table_NFI[[#This Row],[Sanitary Kit]],Table_NFI[Sanitary Kit])</f>
        <v>0</v>
      </c>
      <c r="AB229" s="294">
        <f>IF(NFI_Expiration=1,IF($A229&lt;VLOOKUP(K$5,NFI,5,0),1,0)*Table_NFI[[#This Row],[Mosquito net]],Table_NFI[Mosquito net])</f>
        <v>0</v>
      </c>
      <c r="AC229" s="294">
        <f>IF(NFI_Expiration=1,IF($A229&lt;VLOOKUP(L$5,NFI,5,0),1,0)*Table_NFI[[#This Row],[Tarpaulin]],Table_NFI[[#This Row],[Tarpaulin]])</f>
        <v>0</v>
      </c>
      <c r="AD229" s="294">
        <f>IF(NFI_Expiration=1,IF($A229&lt;VLOOKUP(M$5,NFI,5,0),1,0)*Table_NFI[[#This Row],[Blanket]],Table_NFI[[#This Row],[Blanket]])</f>
        <v>0</v>
      </c>
      <c r="AE229" s="294">
        <f>IF(NFI_Expiration=1,IF($A229&lt;VLOOKUP(N$5,NFI,5,0),1,0)*Table_NFI[[#This Row],[Kitchen Set]],Table_NFI[Kitchen Set])</f>
        <v>0</v>
      </c>
      <c r="AF229" s="294">
        <f>IF(NFI_Expiration=1,IF($A229&lt;VLOOKUP(O$5,NFI,5,0),1,0)*Table_NFI[[#This Row],[Clothes Kit]],Table_NFI[Clothes Kit])</f>
        <v>0</v>
      </c>
      <c r="AG229" s="294">
        <f>IF(NFI_Expiration=1,IF($A229&lt;VLOOKUP(P$5,NFI,5,0),1,0)*Table_NFI[[#This Row],[Plastic Bucket]],Table_NFI[Plastic Bucket])</f>
        <v>0</v>
      </c>
      <c r="AH229" s="294">
        <f>IF(NFI_Expiration=1,IF($A229&lt;VLOOKUP(Q$5,NFI,5,0),1,0)*Table_NFI[[#This Row],[Plastic Mat]],Table_NFI[Plastic Mat])*IF(Table_NFI[[#This Row],[Distribution Date]]&gt;"2014-04-01",1,2.5)</f>
        <v>0</v>
      </c>
      <c r="AI229" s="294">
        <f>IF(NFI_Expiration=1,IF($A229&lt;VLOOKUP(R$5,NFI,5,0),1,0)*Table_NFI[[#This Row],[Winter Clothes Adult]],Table_NFI[Winter Clothes Adult])</f>
        <v>0</v>
      </c>
      <c r="AJ229" s="294">
        <f>IF(NFI_Expiration=1,IF($A229&lt;VLOOKUP(S$5,NFI,5,0),1,0)*Table_NFI[[#This Row],[Winter Clothes Children]],Table_NFI[Winter Clothes Children])</f>
        <v>0</v>
      </c>
      <c r="AK229" s="294">
        <f>IF(NFI_Expiration=1,IF($A229&lt;VLOOKUP(T$5,NFI,5,0),1,0)*Table_NFI[[#This Row],[Winter Items Other]],Table_NFI[Winter Items Other])</f>
        <v>0</v>
      </c>
      <c r="AL229" s="294">
        <f>IF(NFI_Expiration=1,IF($A229&lt;VLOOKUP(M$5,NFI,5,0),1,0)*Table_NFI[[#This Row],[Winter Blanket]],Table_NFI[[#This Row],[Winter Blanket]])</f>
        <v>0</v>
      </c>
      <c r="AM229" s="294">
        <f>IF(Table_NFI[[#This Row],[Winter Clothes Adult]]+Table_NFI[[#This Row],[Winter Clothes Children]]+Table_NFI[[#This Row],[Winter Items Other]]+Table_NFI[[#This Row],[Winter Blanket]]&gt;0,1,0)</f>
        <v>0</v>
      </c>
      <c r="AN229" s="331">
        <f>IF(NFI_Expiration=1,IF($A229&lt;VLOOKUP(V$5,NFI,5,0),1,0)*Table_NFI[[#This Row],[Jerry Can]],Table_NFI[Jerry Can])</f>
        <v>0</v>
      </c>
      <c r="AO229" s="331">
        <f>IF(NFI_Expiration=1,IF($A229&lt;VLOOKUP(V$5,NFI,5,0),1,0)*Table_NFI[[#This Row],[Shelter Tool kit]],Table_NFI[Shelter Tool kit])</f>
        <v>0</v>
      </c>
      <c r="AP229" s="331">
        <f>IF(NFI_Expiration=1,IF($A229&lt;VLOOKUP(V$5,NFI,5,0),1,0)*Table_NFI[[#This Row],[Tent]],Table_NFI[Tent])</f>
        <v>0</v>
      </c>
      <c r="AQ229" s="467" t="str">
        <f>IFERROR(VLOOKUP(Table_NFI[[#This Row],[Camp Name]],CL,2,0),"")</f>
        <v>MMR001CMP059</v>
      </c>
      <c r="AR229" s="835">
        <f ca="1">IF(Table_NFI[[#This Row],[Pcode]]="","",IF(OFFSET(CampList[Opening Date],MATCH(Table_NFI[[#This Row],[Pcode]],CampList[CP_Pcode],0)-1,0,1,1)&gt;=NFI_Monitor_Date,1,0))</f>
        <v>0</v>
      </c>
      <c r="AS229" s="467" t="str">
        <f>IFERROR(VLOOKUP(Table_NFI[[#This Row],[Camp Name]],CL,3,0),"")</f>
        <v>Closed</v>
      </c>
      <c r="AT229" s="294" t="str">
        <f ca="1">IF(Table_NFI[[#This Row],[Pcode]]="","",OFFSET(CampList[Priority],MATCH(Table_NFI[[#This Row],[Pcode]],CampList[CP_Pcode],0)-1,0,1,1))</f>
        <v>P4</v>
      </c>
      <c r="AU229" s="293">
        <f>IFERROR(Table_NFI[[#This Row],[Kitchen Set]]/VLOOKUP(Table_NFI[[#This Row],[Camp Name]],CL,4,0),"")</f>
        <v>0</v>
      </c>
      <c r="AV229" s="461"/>
      <c r="AW229" s="463"/>
    </row>
    <row r="230" spans="1:49" s="464" customFormat="1" ht="14.45" customHeight="1" x14ac:dyDescent="0.2">
      <c r="A230" s="297">
        <f t="shared" si="3"/>
        <v>25.1</v>
      </c>
      <c r="B230" s="460">
        <v>41983</v>
      </c>
      <c r="C230" s="461" t="s">
        <v>905</v>
      </c>
      <c r="D230" s="461" t="s">
        <v>905</v>
      </c>
      <c r="E230" s="461" t="s">
        <v>380</v>
      </c>
      <c r="F230" s="461" t="s">
        <v>5</v>
      </c>
      <c r="G230" s="461" t="s">
        <v>366</v>
      </c>
      <c r="H230" s="291"/>
      <c r="I230" s="291"/>
      <c r="J230" s="575">
        <v>245</v>
      </c>
      <c r="K230" s="291"/>
      <c r="L230" s="292"/>
      <c r="M230" s="292"/>
      <c r="N230" s="292"/>
      <c r="O230" s="292"/>
      <c r="P230" s="294"/>
      <c r="Q230" s="294"/>
      <c r="R230" s="294"/>
      <c r="S230" s="294"/>
      <c r="T230" s="294"/>
      <c r="U230" s="294"/>
      <c r="V230" s="431"/>
      <c r="W230" s="294"/>
      <c r="X230" s="294"/>
      <c r="Y230" s="294">
        <f>IF(NFI_Expiration=1,IF($A230&lt;VLOOKUP(H$5,NFI,5,0),1,0)*Table_NFI[[#This Row],[Hygiene Kit]],Table_NFI[Hygiene Kit])</f>
        <v>0</v>
      </c>
      <c r="Z230" s="294">
        <f>IF(NFI_Expiration=1,IF($A230&lt;VLOOKUP(I$5,NFI,5,0),1,0)*Table_NFI[[#This Row],[NFI Core Kit]],Table_NFI[NFI Core Kit])</f>
        <v>0</v>
      </c>
      <c r="AA230" s="294">
        <f>IF(NFI_Expiration=1,IF($A230&lt;VLOOKUP(J$5,NFI,5,0),1,0)*Table_NFI[[#This Row],[Sanitary Kit]],Table_NFI[Sanitary Kit])</f>
        <v>0</v>
      </c>
      <c r="AB230" s="294">
        <f>IF(NFI_Expiration=1,IF($A230&lt;VLOOKUP(K$5,NFI,5,0),1,0)*Table_NFI[[#This Row],[Mosquito net]],Table_NFI[Mosquito net])</f>
        <v>0</v>
      </c>
      <c r="AC230" s="294">
        <f>IF(NFI_Expiration=1,IF($A230&lt;VLOOKUP(L$5,NFI,5,0),1,0)*Table_NFI[[#This Row],[Tarpaulin]],Table_NFI[[#This Row],[Tarpaulin]])</f>
        <v>0</v>
      </c>
      <c r="AD230" s="294">
        <f>IF(NFI_Expiration=1,IF($A230&lt;VLOOKUP(M$5,NFI,5,0),1,0)*Table_NFI[[#This Row],[Blanket]],Table_NFI[[#This Row],[Blanket]])</f>
        <v>0</v>
      </c>
      <c r="AE230" s="294">
        <f>IF(NFI_Expiration=1,IF($A230&lt;VLOOKUP(N$5,NFI,5,0),1,0)*Table_NFI[[#This Row],[Kitchen Set]],Table_NFI[Kitchen Set])</f>
        <v>0</v>
      </c>
      <c r="AF230" s="294">
        <f>IF(NFI_Expiration=1,IF($A230&lt;VLOOKUP(O$5,NFI,5,0),1,0)*Table_NFI[[#This Row],[Clothes Kit]],Table_NFI[Clothes Kit])</f>
        <v>0</v>
      </c>
      <c r="AG230" s="294">
        <f>IF(NFI_Expiration=1,IF($A230&lt;VLOOKUP(P$5,NFI,5,0),1,0)*Table_NFI[[#This Row],[Plastic Bucket]],Table_NFI[Plastic Bucket])</f>
        <v>0</v>
      </c>
      <c r="AH230" s="294">
        <f>IF(NFI_Expiration=1,IF($A230&lt;VLOOKUP(Q$5,NFI,5,0),1,0)*Table_NFI[[#This Row],[Plastic Mat]],Table_NFI[Plastic Mat])*IF(Table_NFI[[#This Row],[Distribution Date]]&gt;"2014-04-01",1,2.5)</f>
        <v>0</v>
      </c>
      <c r="AI230" s="294">
        <f>IF(NFI_Expiration=1,IF($A230&lt;VLOOKUP(R$5,NFI,5,0),1,0)*Table_NFI[[#This Row],[Winter Clothes Adult]],Table_NFI[Winter Clothes Adult])</f>
        <v>0</v>
      </c>
      <c r="AJ230" s="294">
        <f>IF(NFI_Expiration=1,IF($A230&lt;VLOOKUP(S$5,NFI,5,0),1,0)*Table_NFI[[#This Row],[Winter Clothes Children]],Table_NFI[Winter Clothes Children])</f>
        <v>0</v>
      </c>
      <c r="AK230" s="294">
        <f>IF(NFI_Expiration=1,IF($A230&lt;VLOOKUP(T$5,NFI,5,0),1,0)*Table_NFI[[#This Row],[Winter Items Other]],Table_NFI[Winter Items Other])</f>
        <v>0</v>
      </c>
      <c r="AL230" s="294">
        <f>IF(NFI_Expiration=1,IF($A230&lt;VLOOKUP(M$5,NFI,5,0),1,0)*Table_NFI[[#This Row],[Winter Blanket]],Table_NFI[[#This Row],[Winter Blanket]])</f>
        <v>0</v>
      </c>
      <c r="AM230" s="294">
        <f>IF(Table_NFI[[#This Row],[Winter Clothes Adult]]+Table_NFI[[#This Row],[Winter Clothes Children]]+Table_NFI[[#This Row],[Winter Items Other]]+Table_NFI[[#This Row],[Winter Blanket]]&gt;0,1,0)</f>
        <v>0</v>
      </c>
      <c r="AN230" s="331">
        <f>IF(NFI_Expiration=1,IF($A230&lt;VLOOKUP(V$5,NFI,5,0),1,0)*Table_NFI[[#This Row],[Jerry Can]],Table_NFI[Jerry Can])</f>
        <v>0</v>
      </c>
      <c r="AO230" s="331">
        <f>IF(NFI_Expiration=1,IF($A230&lt;VLOOKUP(V$5,NFI,5,0),1,0)*Table_NFI[[#This Row],[Shelter Tool kit]],Table_NFI[Shelter Tool kit])</f>
        <v>0</v>
      </c>
      <c r="AP230" s="331">
        <f>IF(NFI_Expiration=1,IF($A230&lt;VLOOKUP(V$5,NFI,5,0),1,0)*Table_NFI[[#This Row],[Tent]],Table_NFI[Tent])</f>
        <v>0</v>
      </c>
      <c r="AQ230" s="467" t="str">
        <f>IFERROR(VLOOKUP(Table_NFI[[#This Row],[Camp Name]],CL,2,0),"")</f>
        <v>MMR001CMP193</v>
      </c>
      <c r="AR230" s="835">
        <f ca="1">IF(Table_NFI[[#This Row],[Pcode]]="","",IF(OFFSET(CampList[Opening Date],MATCH(Table_NFI[[#This Row],[Pcode]],CampList[CP_Pcode],0)-1,0,1,1)&gt;=NFI_Monitor_Date,1,0))</f>
        <v>0</v>
      </c>
      <c r="AS230" s="467" t="str">
        <f>IFERROR(VLOOKUP(Table_NFI[[#This Row],[Camp Name]],CL,3,0),"")</f>
        <v>Open</v>
      </c>
      <c r="AT230" s="294" t="str">
        <f ca="1">IF(Table_NFI[[#This Row],[Pcode]]="","",OFFSET(CampList[Priority],MATCH(Table_NFI[[#This Row],[Pcode]],CampList[CP_Pcode],0)-1,0,1,1))</f>
        <v>P4</v>
      </c>
      <c r="AU230" s="293">
        <f>IFERROR(Table_NFI[[#This Row],[Kitchen Set]]/VLOOKUP(Table_NFI[[#This Row],[Camp Name]],CL,4,0),"")</f>
        <v>0</v>
      </c>
      <c r="AV230" s="461"/>
      <c r="AW230" s="463"/>
    </row>
    <row r="231" spans="1:49" s="464" customFormat="1" ht="14.45" customHeight="1" x14ac:dyDescent="0.2">
      <c r="A231" s="297">
        <f t="shared" si="3"/>
        <v>25.1</v>
      </c>
      <c r="B231" s="460">
        <v>41983</v>
      </c>
      <c r="C231" s="461" t="s">
        <v>905</v>
      </c>
      <c r="D231" s="461" t="s">
        <v>905</v>
      </c>
      <c r="E231" s="461" t="s">
        <v>380</v>
      </c>
      <c r="F231" s="461" t="s">
        <v>5</v>
      </c>
      <c r="G231" s="461" t="s">
        <v>24</v>
      </c>
      <c r="H231" s="291"/>
      <c r="I231" s="291"/>
      <c r="J231" s="575">
        <v>55</v>
      </c>
      <c r="K231" s="291"/>
      <c r="L231" s="292"/>
      <c r="M231" s="292"/>
      <c r="N231" s="292"/>
      <c r="O231" s="292"/>
      <c r="P231" s="294"/>
      <c r="Q231" s="294"/>
      <c r="R231" s="294"/>
      <c r="S231" s="294"/>
      <c r="T231" s="294"/>
      <c r="U231" s="294"/>
      <c r="V231" s="431"/>
      <c r="W231" s="294"/>
      <c r="X231" s="294"/>
      <c r="Y231" s="294">
        <f>IF(NFI_Expiration=1,IF($A231&lt;VLOOKUP(H$5,NFI,5,0),1,0)*Table_NFI[[#This Row],[Hygiene Kit]],Table_NFI[Hygiene Kit])</f>
        <v>0</v>
      </c>
      <c r="Z231" s="294">
        <f>IF(NFI_Expiration=1,IF($A231&lt;VLOOKUP(I$5,NFI,5,0),1,0)*Table_NFI[[#This Row],[NFI Core Kit]],Table_NFI[NFI Core Kit])</f>
        <v>0</v>
      </c>
      <c r="AA231" s="294">
        <f>IF(NFI_Expiration=1,IF($A231&lt;VLOOKUP(J$5,NFI,5,0),1,0)*Table_NFI[[#This Row],[Sanitary Kit]],Table_NFI[Sanitary Kit])</f>
        <v>0</v>
      </c>
      <c r="AB231" s="294">
        <f>IF(NFI_Expiration=1,IF($A231&lt;VLOOKUP(K$5,NFI,5,0),1,0)*Table_NFI[[#This Row],[Mosquito net]],Table_NFI[Mosquito net])</f>
        <v>0</v>
      </c>
      <c r="AC231" s="294">
        <f>IF(NFI_Expiration=1,IF($A231&lt;VLOOKUP(L$5,NFI,5,0),1,0)*Table_NFI[[#This Row],[Tarpaulin]],Table_NFI[[#This Row],[Tarpaulin]])</f>
        <v>0</v>
      </c>
      <c r="AD231" s="294">
        <f>IF(NFI_Expiration=1,IF($A231&lt;VLOOKUP(M$5,NFI,5,0),1,0)*Table_NFI[[#This Row],[Blanket]],Table_NFI[[#This Row],[Blanket]])</f>
        <v>0</v>
      </c>
      <c r="AE231" s="294">
        <f>IF(NFI_Expiration=1,IF($A231&lt;VLOOKUP(N$5,NFI,5,0),1,0)*Table_NFI[[#This Row],[Kitchen Set]],Table_NFI[Kitchen Set])</f>
        <v>0</v>
      </c>
      <c r="AF231" s="294">
        <f>IF(NFI_Expiration=1,IF($A231&lt;VLOOKUP(O$5,NFI,5,0),1,0)*Table_NFI[[#This Row],[Clothes Kit]],Table_NFI[Clothes Kit])</f>
        <v>0</v>
      </c>
      <c r="AG231" s="294">
        <f>IF(NFI_Expiration=1,IF($A231&lt;VLOOKUP(P$5,NFI,5,0),1,0)*Table_NFI[[#This Row],[Plastic Bucket]],Table_NFI[Plastic Bucket])</f>
        <v>0</v>
      </c>
      <c r="AH231" s="294">
        <f>IF(NFI_Expiration=1,IF($A231&lt;VLOOKUP(Q$5,NFI,5,0),1,0)*Table_NFI[[#This Row],[Plastic Mat]],Table_NFI[Plastic Mat])*IF(Table_NFI[[#This Row],[Distribution Date]]&gt;"2014-04-01",1,2.5)</f>
        <v>0</v>
      </c>
      <c r="AI231" s="294">
        <f>IF(NFI_Expiration=1,IF($A231&lt;VLOOKUP(R$5,NFI,5,0),1,0)*Table_NFI[[#This Row],[Winter Clothes Adult]],Table_NFI[Winter Clothes Adult])</f>
        <v>0</v>
      </c>
      <c r="AJ231" s="294">
        <f>IF(NFI_Expiration=1,IF($A231&lt;VLOOKUP(S$5,NFI,5,0),1,0)*Table_NFI[[#This Row],[Winter Clothes Children]],Table_NFI[Winter Clothes Children])</f>
        <v>0</v>
      </c>
      <c r="AK231" s="294">
        <f>IF(NFI_Expiration=1,IF($A231&lt;VLOOKUP(T$5,NFI,5,0),1,0)*Table_NFI[[#This Row],[Winter Items Other]],Table_NFI[Winter Items Other])</f>
        <v>0</v>
      </c>
      <c r="AL231" s="294">
        <f>IF(NFI_Expiration=1,IF($A231&lt;VLOOKUP(M$5,NFI,5,0),1,0)*Table_NFI[[#This Row],[Winter Blanket]],Table_NFI[[#This Row],[Winter Blanket]])</f>
        <v>0</v>
      </c>
      <c r="AM231" s="294">
        <f>IF(Table_NFI[[#This Row],[Winter Clothes Adult]]+Table_NFI[[#This Row],[Winter Clothes Children]]+Table_NFI[[#This Row],[Winter Items Other]]+Table_NFI[[#This Row],[Winter Blanket]]&gt;0,1,0)</f>
        <v>0</v>
      </c>
      <c r="AN231" s="331">
        <f>IF(NFI_Expiration=1,IF($A231&lt;VLOOKUP(V$5,NFI,5,0),1,0)*Table_NFI[[#This Row],[Jerry Can]],Table_NFI[Jerry Can])</f>
        <v>0</v>
      </c>
      <c r="AO231" s="331">
        <f>IF(NFI_Expiration=1,IF($A231&lt;VLOOKUP(V$5,NFI,5,0),1,0)*Table_NFI[[#This Row],[Shelter Tool kit]],Table_NFI[Shelter Tool kit])</f>
        <v>0</v>
      </c>
      <c r="AP231" s="331">
        <f>IF(NFI_Expiration=1,IF($A231&lt;VLOOKUP(V$5,NFI,5,0),1,0)*Table_NFI[[#This Row],[Tent]],Table_NFI[Tent])</f>
        <v>0</v>
      </c>
      <c r="AQ231" s="467" t="str">
        <f>IFERROR(VLOOKUP(Table_NFI[[#This Row],[Camp Name]],CL,2,0),"")</f>
        <v>MMR001CMP055</v>
      </c>
      <c r="AR231" s="835">
        <f ca="1">IF(Table_NFI[[#This Row],[Pcode]]="","",IF(OFFSET(CampList[Opening Date],MATCH(Table_NFI[[#This Row],[Pcode]],CampList[CP_Pcode],0)-1,0,1,1)&gt;=NFI_Monitor_Date,1,0))</f>
        <v>0</v>
      </c>
      <c r="AS231" s="467" t="str">
        <f>IFERROR(VLOOKUP(Table_NFI[[#This Row],[Camp Name]],CL,3,0),"")</f>
        <v>Open</v>
      </c>
      <c r="AT231" s="294" t="str">
        <f ca="1">IF(Table_NFI[[#This Row],[Pcode]]="","",OFFSET(CampList[Priority],MATCH(Table_NFI[[#This Row],[Pcode]],CampList[CP_Pcode],0)-1,0,1,1))</f>
        <v>P4</v>
      </c>
      <c r="AU231" s="293">
        <f>IFERROR(Table_NFI[[#This Row],[Kitchen Set]]/VLOOKUP(Table_NFI[[#This Row],[Camp Name]],CL,4,0),"")</f>
        <v>0</v>
      </c>
      <c r="AV231" s="461"/>
      <c r="AW231" s="463"/>
    </row>
    <row r="232" spans="1:49" s="464" customFormat="1" ht="14.45" customHeight="1" x14ac:dyDescent="0.25">
      <c r="A232" s="297">
        <f t="shared" si="3"/>
        <v>25.133333333333333</v>
      </c>
      <c r="B232" s="460">
        <v>41982</v>
      </c>
      <c r="C232" s="461" t="s">
        <v>905</v>
      </c>
      <c r="D232" s="461" t="s">
        <v>905</v>
      </c>
      <c r="E232" s="461" t="s">
        <v>380</v>
      </c>
      <c r="F232" s="290" t="s">
        <v>5</v>
      </c>
      <c r="G232" s="290" t="s">
        <v>6</v>
      </c>
      <c r="H232" s="291"/>
      <c r="I232" s="291"/>
      <c r="J232" s="294">
        <v>354</v>
      </c>
      <c r="K232" s="291"/>
      <c r="L232" s="292"/>
      <c r="M232" s="292"/>
      <c r="N232" s="292"/>
      <c r="O232" s="292"/>
      <c r="P232" s="294"/>
      <c r="Q232" s="294"/>
      <c r="R232" s="294"/>
      <c r="S232" s="294"/>
      <c r="T232" s="294"/>
      <c r="U232" s="294"/>
      <c r="V232" s="431"/>
      <c r="W232" s="294"/>
      <c r="X232" s="294"/>
      <c r="Y232" s="294">
        <f>IF(NFI_Expiration=1,IF($A232&lt;VLOOKUP(H$5,NFI,5,0),1,0)*Table_NFI[[#This Row],[Hygiene Kit]],Table_NFI[Hygiene Kit])</f>
        <v>0</v>
      </c>
      <c r="Z232" s="294">
        <f>IF(NFI_Expiration=1,IF($A232&lt;VLOOKUP(I$5,NFI,5,0),1,0)*Table_NFI[[#This Row],[NFI Core Kit]],Table_NFI[NFI Core Kit])</f>
        <v>0</v>
      </c>
      <c r="AA232" s="294">
        <f>IF(NFI_Expiration=1,IF($A232&lt;VLOOKUP(J$5,NFI,5,0),1,0)*Table_NFI[[#This Row],[Sanitary Kit]],Table_NFI[Sanitary Kit])</f>
        <v>0</v>
      </c>
      <c r="AB232" s="294">
        <f>IF(NFI_Expiration=1,IF($A232&lt;VLOOKUP(K$5,NFI,5,0),1,0)*Table_NFI[[#This Row],[Mosquito net]],Table_NFI[Mosquito net])</f>
        <v>0</v>
      </c>
      <c r="AC232" s="294">
        <f>IF(NFI_Expiration=1,IF($A232&lt;VLOOKUP(L$5,NFI,5,0),1,0)*Table_NFI[[#This Row],[Tarpaulin]],Table_NFI[[#This Row],[Tarpaulin]])</f>
        <v>0</v>
      </c>
      <c r="AD232" s="294">
        <f>IF(NFI_Expiration=1,IF($A232&lt;VLOOKUP(M$5,NFI,5,0),1,0)*Table_NFI[[#This Row],[Blanket]],Table_NFI[[#This Row],[Blanket]])</f>
        <v>0</v>
      </c>
      <c r="AE232" s="294">
        <f>IF(NFI_Expiration=1,IF($A232&lt;VLOOKUP(N$5,NFI,5,0),1,0)*Table_NFI[[#This Row],[Kitchen Set]],Table_NFI[Kitchen Set])</f>
        <v>0</v>
      </c>
      <c r="AF232" s="294">
        <f>IF(NFI_Expiration=1,IF($A232&lt;VLOOKUP(O$5,NFI,5,0),1,0)*Table_NFI[[#This Row],[Clothes Kit]],Table_NFI[Clothes Kit])</f>
        <v>0</v>
      </c>
      <c r="AG232" s="294">
        <f>IF(NFI_Expiration=1,IF($A232&lt;VLOOKUP(P$5,NFI,5,0),1,0)*Table_NFI[[#This Row],[Plastic Bucket]],Table_NFI[Plastic Bucket])</f>
        <v>0</v>
      </c>
      <c r="AH232" s="294">
        <f>IF(NFI_Expiration=1,IF($A232&lt;VLOOKUP(Q$5,NFI,5,0),1,0)*Table_NFI[[#This Row],[Plastic Mat]],Table_NFI[Plastic Mat])*IF(Table_NFI[[#This Row],[Distribution Date]]&gt;"2014-04-01",1,2.5)</f>
        <v>0</v>
      </c>
      <c r="AI232" s="294">
        <f>IF(NFI_Expiration=1,IF($A232&lt;VLOOKUP(R$5,NFI,5,0),1,0)*Table_NFI[[#This Row],[Winter Clothes Adult]],Table_NFI[Winter Clothes Adult])</f>
        <v>0</v>
      </c>
      <c r="AJ232" s="294">
        <f>IF(NFI_Expiration=1,IF($A232&lt;VLOOKUP(S$5,NFI,5,0),1,0)*Table_NFI[[#This Row],[Winter Clothes Children]],Table_NFI[Winter Clothes Children])</f>
        <v>0</v>
      </c>
      <c r="AK232" s="294">
        <f>IF(NFI_Expiration=1,IF($A232&lt;VLOOKUP(T$5,NFI,5,0),1,0)*Table_NFI[[#This Row],[Winter Items Other]],Table_NFI[Winter Items Other])</f>
        <v>0</v>
      </c>
      <c r="AL232" s="294">
        <f>IF(NFI_Expiration=1,IF($A232&lt;VLOOKUP(M$5,NFI,5,0),1,0)*Table_NFI[[#This Row],[Winter Blanket]],Table_NFI[[#This Row],[Winter Blanket]])</f>
        <v>0</v>
      </c>
      <c r="AM232" s="294">
        <f>IF(Table_NFI[[#This Row],[Winter Clothes Adult]]+Table_NFI[[#This Row],[Winter Clothes Children]]+Table_NFI[[#This Row],[Winter Items Other]]+Table_NFI[[#This Row],[Winter Blanket]]&gt;0,1,0)</f>
        <v>0</v>
      </c>
      <c r="AN232" s="331">
        <f>IF(NFI_Expiration=1,IF($A232&lt;VLOOKUP(V$5,NFI,5,0),1,0)*Table_NFI[[#This Row],[Jerry Can]],Table_NFI[Jerry Can])</f>
        <v>0</v>
      </c>
      <c r="AO232" s="331">
        <f>IF(NFI_Expiration=1,IF($A232&lt;VLOOKUP(V$5,NFI,5,0),1,0)*Table_NFI[[#This Row],[Shelter Tool kit]],Table_NFI[Shelter Tool kit])</f>
        <v>0</v>
      </c>
      <c r="AP232" s="331">
        <f>IF(NFI_Expiration=1,IF($A232&lt;VLOOKUP(V$5,NFI,5,0),1,0)*Table_NFI[[#This Row],[Tent]],Table_NFI[Tent])</f>
        <v>0</v>
      </c>
      <c r="AQ232" s="467" t="str">
        <f>IFERROR(VLOOKUP(Table_NFI[[#This Row],[Camp Name]],CL,2,0),"")</f>
        <v>MMR001CMP050</v>
      </c>
      <c r="AR232" s="835">
        <f ca="1">IF(Table_NFI[[#This Row],[Pcode]]="","",IF(OFFSET(CampList[Opening Date],MATCH(Table_NFI[[#This Row],[Pcode]],CampList[CP_Pcode],0)-1,0,1,1)&gt;=NFI_Monitor_Date,1,0))</f>
        <v>0</v>
      </c>
      <c r="AS232" s="467" t="str">
        <f>IFERROR(VLOOKUP(Table_NFI[[#This Row],[Camp Name]],CL,3,0),"")</f>
        <v>Open</v>
      </c>
      <c r="AT232" s="294" t="str">
        <f ca="1">IF(Table_NFI[[#This Row],[Pcode]]="","",OFFSET(CampList[Priority],MATCH(Table_NFI[[#This Row],[Pcode]],CampList[CP_Pcode],0)-1,0,1,1))</f>
        <v>P4</v>
      </c>
      <c r="AU232" s="293">
        <f>IFERROR(Table_NFI[[#This Row],[Kitchen Set]]/VLOOKUP(Table_NFI[[#This Row],[Camp Name]],CL,4,0),"")</f>
        <v>0</v>
      </c>
      <c r="AV232" s="461"/>
      <c r="AW232" s="463"/>
    </row>
    <row r="233" spans="1:49" s="464" customFormat="1" ht="14.45" customHeight="1" x14ac:dyDescent="0.2">
      <c r="A233" s="297">
        <f t="shared" si="3"/>
        <v>25.133333333333333</v>
      </c>
      <c r="B233" s="460">
        <v>41982</v>
      </c>
      <c r="C233" s="461" t="s">
        <v>905</v>
      </c>
      <c r="D233" s="462" t="s">
        <v>905</v>
      </c>
      <c r="E233" s="461" t="s">
        <v>380</v>
      </c>
      <c r="F233" s="290" t="s">
        <v>5</v>
      </c>
      <c r="G233" s="290" t="s">
        <v>22</v>
      </c>
      <c r="H233" s="291"/>
      <c r="I233" s="291"/>
      <c r="J233" s="575">
        <v>1135</v>
      </c>
      <c r="K233" s="291"/>
      <c r="L233" s="292"/>
      <c r="M233" s="292"/>
      <c r="N233" s="292"/>
      <c r="O233" s="292"/>
      <c r="P233" s="294"/>
      <c r="Q233" s="294"/>
      <c r="R233" s="294"/>
      <c r="S233" s="294"/>
      <c r="T233" s="294"/>
      <c r="U233" s="294"/>
      <c r="V233" s="431"/>
      <c r="W233" s="294"/>
      <c r="X233" s="294"/>
      <c r="Y233" s="294">
        <f>IF(NFI_Expiration=1,IF($A233&lt;VLOOKUP(H$5,NFI,5,0),1,0)*Table_NFI[[#This Row],[Hygiene Kit]],Table_NFI[Hygiene Kit])</f>
        <v>0</v>
      </c>
      <c r="Z233" s="294">
        <f>IF(NFI_Expiration=1,IF($A233&lt;VLOOKUP(I$5,NFI,5,0),1,0)*Table_NFI[[#This Row],[NFI Core Kit]],Table_NFI[NFI Core Kit])</f>
        <v>0</v>
      </c>
      <c r="AA233" s="294">
        <f>IF(NFI_Expiration=1,IF($A233&lt;VLOOKUP(J$5,NFI,5,0),1,0)*Table_NFI[[#This Row],[Sanitary Kit]],Table_NFI[Sanitary Kit])</f>
        <v>0</v>
      </c>
      <c r="AB233" s="294">
        <f>IF(NFI_Expiration=1,IF($A233&lt;VLOOKUP(K$5,NFI,5,0),1,0)*Table_NFI[[#This Row],[Mosquito net]],Table_NFI[Mosquito net])</f>
        <v>0</v>
      </c>
      <c r="AC233" s="294">
        <f>IF(NFI_Expiration=1,IF($A233&lt;VLOOKUP(L$5,NFI,5,0),1,0)*Table_NFI[[#This Row],[Tarpaulin]],Table_NFI[[#This Row],[Tarpaulin]])</f>
        <v>0</v>
      </c>
      <c r="AD233" s="294">
        <f>IF(NFI_Expiration=1,IF($A233&lt;VLOOKUP(M$5,NFI,5,0),1,0)*Table_NFI[[#This Row],[Blanket]],Table_NFI[[#This Row],[Blanket]])</f>
        <v>0</v>
      </c>
      <c r="AE233" s="294">
        <f>IF(NFI_Expiration=1,IF($A233&lt;VLOOKUP(N$5,NFI,5,0),1,0)*Table_NFI[[#This Row],[Kitchen Set]],Table_NFI[Kitchen Set])</f>
        <v>0</v>
      </c>
      <c r="AF233" s="294">
        <f>IF(NFI_Expiration=1,IF($A233&lt;VLOOKUP(O$5,NFI,5,0),1,0)*Table_NFI[[#This Row],[Clothes Kit]],Table_NFI[Clothes Kit])</f>
        <v>0</v>
      </c>
      <c r="AG233" s="294">
        <f>IF(NFI_Expiration=1,IF($A233&lt;VLOOKUP(P$5,NFI,5,0),1,0)*Table_NFI[[#This Row],[Plastic Bucket]],Table_NFI[Plastic Bucket])</f>
        <v>0</v>
      </c>
      <c r="AH233" s="294">
        <f>IF(NFI_Expiration=1,IF($A233&lt;VLOOKUP(Q$5,NFI,5,0),1,0)*Table_NFI[[#This Row],[Plastic Mat]],Table_NFI[Plastic Mat])*IF(Table_NFI[[#This Row],[Distribution Date]]&gt;"2014-04-01",1,2.5)</f>
        <v>0</v>
      </c>
      <c r="AI233" s="294">
        <f>IF(NFI_Expiration=1,IF($A233&lt;VLOOKUP(R$5,NFI,5,0),1,0)*Table_NFI[[#This Row],[Winter Clothes Adult]],Table_NFI[Winter Clothes Adult])</f>
        <v>0</v>
      </c>
      <c r="AJ233" s="294">
        <f>IF(NFI_Expiration=1,IF($A233&lt;VLOOKUP(S$5,NFI,5,0),1,0)*Table_NFI[[#This Row],[Winter Clothes Children]],Table_NFI[Winter Clothes Children])</f>
        <v>0</v>
      </c>
      <c r="AK233" s="294">
        <f>IF(NFI_Expiration=1,IF($A233&lt;VLOOKUP(T$5,NFI,5,0),1,0)*Table_NFI[[#This Row],[Winter Items Other]],Table_NFI[Winter Items Other])</f>
        <v>0</v>
      </c>
      <c r="AL233" s="294">
        <f>IF(NFI_Expiration=1,IF($A233&lt;VLOOKUP(M$5,NFI,5,0),1,0)*Table_NFI[[#This Row],[Winter Blanket]],Table_NFI[[#This Row],[Winter Blanket]])</f>
        <v>0</v>
      </c>
      <c r="AM233" s="294">
        <f>IF(Table_NFI[[#This Row],[Winter Clothes Adult]]+Table_NFI[[#This Row],[Winter Clothes Children]]+Table_NFI[[#This Row],[Winter Items Other]]+Table_NFI[[#This Row],[Winter Blanket]]&gt;0,1,0)</f>
        <v>0</v>
      </c>
      <c r="AN233" s="331">
        <f>IF(NFI_Expiration=1,IF($A233&lt;VLOOKUP(V$5,NFI,5,0),1,0)*Table_NFI[[#This Row],[Jerry Can]],Table_NFI[Jerry Can])</f>
        <v>0</v>
      </c>
      <c r="AO233" s="331">
        <f>IF(NFI_Expiration=1,IF($A233&lt;VLOOKUP(V$5,NFI,5,0),1,0)*Table_NFI[[#This Row],[Shelter Tool kit]],Table_NFI[Shelter Tool kit])</f>
        <v>0</v>
      </c>
      <c r="AP233" s="331">
        <f>IF(NFI_Expiration=1,IF($A233&lt;VLOOKUP(V$5,NFI,5,0),1,0)*Table_NFI[[#This Row],[Tent]],Table_NFI[Tent])</f>
        <v>0</v>
      </c>
      <c r="AQ233" s="467" t="str">
        <f>IFERROR(VLOOKUP(Table_NFI[[#This Row],[Camp Name]],CL,2,0),"")</f>
        <v>MMR001CMP047</v>
      </c>
      <c r="AR233" s="835">
        <f ca="1">IF(Table_NFI[[#This Row],[Pcode]]="","",IF(OFFSET(CampList[Opening Date],MATCH(Table_NFI[[#This Row],[Pcode]],CampList[CP_Pcode],0)-1,0,1,1)&gt;=NFI_Monitor_Date,1,0))</f>
        <v>0</v>
      </c>
      <c r="AS233" s="467" t="str">
        <f>IFERROR(VLOOKUP(Table_NFI[[#This Row],[Camp Name]],CL,3,0),"")</f>
        <v>Open</v>
      </c>
      <c r="AT233" s="294" t="str">
        <f ca="1">IF(Table_NFI[[#This Row],[Pcode]]="","",OFFSET(CampList[Priority],MATCH(Table_NFI[[#This Row],[Pcode]],CampList[CP_Pcode],0)-1,0,1,1))</f>
        <v>P4</v>
      </c>
      <c r="AU233" s="293">
        <f>IFERROR(Table_NFI[[#This Row],[Kitchen Set]]/VLOOKUP(Table_NFI[[#This Row],[Camp Name]],CL,4,0),"")</f>
        <v>0</v>
      </c>
      <c r="AV233" s="461"/>
      <c r="AW233" s="463"/>
    </row>
    <row r="234" spans="1:49" s="464" customFormat="1" ht="14.45" customHeight="1" x14ac:dyDescent="0.25">
      <c r="A234" s="297">
        <f t="shared" si="3"/>
        <v>25.266666666666666</v>
      </c>
      <c r="B234" s="460">
        <v>41978</v>
      </c>
      <c r="C234" s="461" t="s">
        <v>452</v>
      </c>
      <c r="D234" s="461" t="s">
        <v>506</v>
      </c>
      <c r="E234" s="461" t="s">
        <v>380</v>
      </c>
      <c r="F234" s="461" t="s">
        <v>310</v>
      </c>
      <c r="G234" s="461" t="s">
        <v>334</v>
      </c>
      <c r="H234" s="291"/>
      <c r="I234" s="291"/>
      <c r="J234" s="291"/>
      <c r="K234" s="291">
        <v>164</v>
      </c>
      <c r="L234" s="292"/>
      <c r="M234" s="292"/>
      <c r="N234" s="292"/>
      <c r="O234" s="292"/>
      <c r="P234" s="294"/>
      <c r="Q234" s="294"/>
      <c r="R234" s="294">
        <v>302</v>
      </c>
      <c r="S234" s="294">
        <v>440</v>
      </c>
      <c r="T234" s="294"/>
      <c r="U234" s="294">
        <v>297</v>
      </c>
      <c r="V234" s="431"/>
      <c r="W234" s="294"/>
      <c r="X234" s="294"/>
      <c r="Y234" s="294">
        <f>IF(NFI_Expiration=1,IF($A234&lt;VLOOKUP(H$5,NFI,5,0),1,0)*Table_NFI[[#This Row],[Hygiene Kit]],Table_NFI[Hygiene Kit])</f>
        <v>0</v>
      </c>
      <c r="Z234" s="294">
        <f>IF(NFI_Expiration=1,IF($A234&lt;VLOOKUP(I$5,NFI,5,0),1,0)*Table_NFI[[#This Row],[NFI Core Kit]],Table_NFI[NFI Core Kit])</f>
        <v>0</v>
      </c>
      <c r="AA234" s="294">
        <f>IF(NFI_Expiration=1,IF($A234&lt;VLOOKUP(J$5,NFI,5,0),1,0)*Table_NFI[[#This Row],[Sanitary Kit]],Table_NFI[Sanitary Kit])</f>
        <v>0</v>
      </c>
      <c r="AB234" s="294">
        <f>IF(NFI_Expiration=1,IF($A234&lt;VLOOKUP(K$5,NFI,5,0),1,0)*Table_NFI[[#This Row],[Mosquito net]],Table_NFI[Mosquito net])</f>
        <v>0</v>
      </c>
      <c r="AC234" s="294">
        <f>IF(NFI_Expiration=1,IF($A234&lt;VLOOKUP(L$5,NFI,5,0),1,0)*Table_NFI[[#This Row],[Tarpaulin]],Table_NFI[[#This Row],[Tarpaulin]])</f>
        <v>0</v>
      </c>
      <c r="AD234" s="294">
        <f>IF(NFI_Expiration=1,IF($A234&lt;VLOOKUP(M$5,NFI,5,0),1,0)*Table_NFI[[#This Row],[Blanket]],Table_NFI[[#This Row],[Blanket]])</f>
        <v>0</v>
      </c>
      <c r="AE234" s="294">
        <f>IF(NFI_Expiration=1,IF($A234&lt;VLOOKUP(N$5,NFI,5,0),1,0)*Table_NFI[[#This Row],[Kitchen Set]],Table_NFI[Kitchen Set])</f>
        <v>0</v>
      </c>
      <c r="AF234" s="294">
        <f>IF(NFI_Expiration=1,IF($A234&lt;VLOOKUP(O$5,NFI,5,0),1,0)*Table_NFI[[#This Row],[Clothes Kit]],Table_NFI[Clothes Kit])</f>
        <v>0</v>
      </c>
      <c r="AG234" s="294">
        <f>IF(NFI_Expiration=1,IF($A234&lt;VLOOKUP(P$5,NFI,5,0),1,0)*Table_NFI[[#This Row],[Plastic Bucket]],Table_NFI[Plastic Bucket])</f>
        <v>0</v>
      </c>
      <c r="AH234" s="294">
        <f>IF(NFI_Expiration=1,IF($A234&lt;VLOOKUP(Q$5,NFI,5,0),1,0)*Table_NFI[[#This Row],[Plastic Mat]],Table_NFI[Plastic Mat])*IF(Table_NFI[[#This Row],[Distribution Date]]&gt;"2014-04-01",1,2.5)</f>
        <v>0</v>
      </c>
      <c r="AI234" s="294">
        <f>IF(NFI_Expiration=1,IF($A234&lt;VLOOKUP(R$5,NFI,5,0),1,0)*Table_NFI[[#This Row],[Winter Clothes Adult]],Table_NFI[Winter Clothes Adult])</f>
        <v>0</v>
      </c>
      <c r="AJ234" s="294">
        <f>IF(NFI_Expiration=1,IF($A234&lt;VLOOKUP(S$5,NFI,5,0),1,0)*Table_NFI[[#This Row],[Winter Clothes Children]],Table_NFI[Winter Clothes Children])</f>
        <v>0</v>
      </c>
      <c r="AK234" s="294">
        <f>IF(NFI_Expiration=1,IF($A234&lt;VLOOKUP(T$5,NFI,5,0),1,0)*Table_NFI[[#This Row],[Winter Items Other]],Table_NFI[Winter Items Other])</f>
        <v>0</v>
      </c>
      <c r="AL234" s="294">
        <f>IF(NFI_Expiration=1,IF($A234&lt;VLOOKUP(M$5,NFI,5,0),1,0)*Table_NFI[[#This Row],[Winter Blanket]],Table_NFI[[#This Row],[Winter Blanket]])</f>
        <v>0</v>
      </c>
      <c r="AM234" s="294">
        <f>IF(Table_NFI[[#This Row],[Winter Clothes Adult]]+Table_NFI[[#This Row],[Winter Clothes Children]]+Table_NFI[[#This Row],[Winter Items Other]]+Table_NFI[[#This Row],[Winter Blanket]]&gt;0,1,0)</f>
        <v>1</v>
      </c>
      <c r="AN234" s="331">
        <f>IF(NFI_Expiration=1,IF($A234&lt;VLOOKUP(V$5,NFI,5,0),1,0)*Table_NFI[[#This Row],[Jerry Can]],Table_NFI[Jerry Can])</f>
        <v>0</v>
      </c>
      <c r="AO234" s="331">
        <f>IF(NFI_Expiration=1,IF($A234&lt;VLOOKUP(V$5,NFI,5,0),1,0)*Table_NFI[[#This Row],[Shelter Tool kit]],Table_NFI[Shelter Tool kit])</f>
        <v>0</v>
      </c>
      <c r="AP234" s="331">
        <f>IF(NFI_Expiration=1,IF($A234&lt;VLOOKUP(V$5,NFI,5,0),1,0)*Table_NFI[[#This Row],[Tent]],Table_NFI[Tent])</f>
        <v>0</v>
      </c>
      <c r="AQ234" s="467" t="str">
        <f>IFERROR(VLOOKUP(Table_NFI[[#This Row],[Camp Name]],CL,2,0),"")</f>
        <v>MMR001CMP113</v>
      </c>
      <c r="AR234" s="835">
        <f ca="1">IF(Table_NFI[[#This Row],[Pcode]]="","",IF(OFFSET(CampList[Opening Date],MATCH(Table_NFI[[#This Row],[Pcode]],CampList[CP_Pcode],0)-1,0,1,1)&gt;=NFI_Monitor_Date,1,0))</f>
        <v>0</v>
      </c>
      <c r="AS234" s="467" t="str">
        <f>IFERROR(VLOOKUP(Table_NFI[[#This Row],[Camp Name]],CL,3,0),"")</f>
        <v>Open</v>
      </c>
      <c r="AT234" s="294" t="str">
        <f ca="1">IF(Table_NFI[[#This Row],[Pcode]]="","",OFFSET(CampList[Priority],MATCH(Table_NFI[[#This Row],[Pcode]],CampList[CP_Pcode],0)-1,0,1,1))</f>
        <v>P1</v>
      </c>
      <c r="AU234" s="293">
        <f>IFERROR(Table_NFI[[#This Row],[Kitchen Set]]/VLOOKUP(Table_NFI[[#This Row],[Camp Name]],CL,4,0),"")</f>
        <v>0</v>
      </c>
      <c r="AV234" s="461"/>
      <c r="AW234" s="463"/>
    </row>
    <row r="235" spans="1:49" s="464" customFormat="1" ht="14.45" customHeight="1" x14ac:dyDescent="0.25">
      <c r="A235" s="297">
        <f t="shared" si="3"/>
        <v>25.266666666666666</v>
      </c>
      <c r="B235" s="460">
        <v>41978</v>
      </c>
      <c r="C235" s="461" t="s">
        <v>452</v>
      </c>
      <c r="D235" s="461" t="s">
        <v>506</v>
      </c>
      <c r="E235" s="461" t="s">
        <v>380</v>
      </c>
      <c r="F235" s="461" t="s">
        <v>310</v>
      </c>
      <c r="G235" s="461" t="s">
        <v>355</v>
      </c>
      <c r="H235" s="291"/>
      <c r="I235" s="291"/>
      <c r="J235" s="291"/>
      <c r="K235" s="291">
        <v>124</v>
      </c>
      <c r="L235" s="292"/>
      <c r="M235" s="292"/>
      <c r="N235" s="292"/>
      <c r="O235" s="292"/>
      <c r="P235" s="294"/>
      <c r="Q235" s="294"/>
      <c r="R235" s="294">
        <v>262</v>
      </c>
      <c r="S235" s="294">
        <v>400</v>
      </c>
      <c r="T235" s="294"/>
      <c r="U235" s="294">
        <v>257</v>
      </c>
      <c r="V235" s="431"/>
      <c r="W235" s="294"/>
      <c r="X235" s="294"/>
      <c r="Y235" s="294">
        <f>IF(NFI_Expiration=1,IF($A235&lt;VLOOKUP(H$5,NFI,5,0),1,0)*Table_NFI[[#This Row],[Hygiene Kit]],Table_NFI[Hygiene Kit])</f>
        <v>0</v>
      </c>
      <c r="Z235" s="294">
        <f>IF(NFI_Expiration=1,IF($A235&lt;VLOOKUP(I$5,NFI,5,0),1,0)*Table_NFI[[#This Row],[NFI Core Kit]],Table_NFI[NFI Core Kit])</f>
        <v>0</v>
      </c>
      <c r="AA235" s="294">
        <f>IF(NFI_Expiration=1,IF($A235&lt;VLOOKUP(J$5,NFI,5,0),1,0)*Table_NFI[[#This Row],[Sanitary Kit]],Table_NFI[Sanitary Kit])</f>
        <v>0</v>
      </c>
      <c r="AB235" s="294">
        <f>IF(NFI_Expiration=1,IF($A235&lt;VLOOKUP(K$5,NFI,5,0),1,0)*Table_NFI[[#This Row],[Mosquito net]],Table_NFI[Mosquito net])</f>
        <v>0</v>
      </c>
      <c r="AC235" s="294">
        <f>IF(NFI_Expiration=1,IF($A235&lt;VLOOKUP(L$5,NFI,5,0),1,0)*Table_NFI[[#This Row],[Tarpaulin]],Table_NFI[[#This Row],[Tarpaulin]])</f>
        <v>0</v>
      </c>
      <c r="AD235" s="294">
        <f>IF(NFI_Expiration=1,IF($A235&lt;VLOOKUP(M$5,NFI,5,0),1,0)*Table_NFI[[#This Row],[Blanket]],Table_NFI[[#This Row],[Blanket]])</f>
        <v>0</v>
      </c>
      <c r="AE235" s="294">
        <f>IF(NFI_Expiration=1,IF($A235&lt;VLOOKUP(N$5,NFI,5,0),1,0)*Table_NFI[[#This Row],[Kitchen Set]],Table_NFI[Kitchen Set])</f>
        <v>0</v>
      </c>
      <c r="AF235" s="294">
        <f>IF(NFI_Expiration=1,IF($A235&lt;VLOOKUP(O$5,NFI,5,0),1,0)*Table_NFI[[#This Row],[Clothes Kit]],Table_NFI[Clothes Kit])</f>
        <v>0</v>
      </c>
      <c r="AG235" s="294">
        <f>IF(NFI_Expiration=1,IF($A235&lt;VLOOKUP(P$5,NFI,5,0),1,0)*Table_NFI[[#This Row],[Plastic Bucket]],Table_NFI[Plastic Bucket])</f>
        <v>0</v>
      </c>
      <c r="AH235" s="294">
        <f>IF(NFI_Expiration=1,IF($A235&lt;VLOOKUP(Q$5,NFI,5,0),1,0)*Table_NFI[[#This Row],[Plastic Mat]],Table_NFI[Plastic Mat])*IF(Table_NFI[[#This Row],[Distribution Date]]&gt;"2014-04-01",1,2.5)</f>
        <v>0</v>
      </c>
      <c r="AI235" s="294">
        <f>IF(NFI_Expiration=1,IF($A235&lt;VLOOKUP(R$5,NFI,5,0),1,0)*Table_NFI[[#This Row],[Winter Clothes Adult]],Table_NFI[Winter Clothes Adult])</f>
        <v>0</v>
      </c>
      <c r="AJ235" s="294">
        <f>IF(NFI_Expiration=1,IF($A235&lt;VLOOKUP(S$5,NFI,5,0),1,0)*Table_NFI[[#This Row],[Winter Clothes Children]],Table_NFI[Winter Clothes Children])</f>
        <v>0</v>
      </c>
      <c r="AK235" s="294">
        <f>IF(NFI_Expiration=1,IF($A235&lt;VLOOKUP(T$5,NFI,5,0),1,0)*Table_NFI[[#This Row],[Winter Items Other]],Table_NFI[Winter Items Other])</f>
        <v>0</v>
      </c>
      <c r="AL235" s="294">
        <f>IF(NFI_Expiration=1,IF($A235&lt;VLOOKUP(M$5,NFI,5,0),1,0)*Table_NFI[[#This Row],[Winter Blanket]],Table_NFI[[#This Row],[Winter Blanket]])</f>
        <v>0</v>
      </c>
      <c r="AM235" s="294">
        <f>IF(Table_NFI[[#This Row],[Winter Clothes Adult]]+Table_NFI[[#This Row],[Winter Clothes Children]]+Table_NFI[[#This Row],[Winter Items Other]]+Table_NFI[[#This Row],[Winter Blanket]]&gt;0,1,0)</f>
        <v>1</v>
      </c>
      <c r="AN235" s="331">
        <f>IF(NFI_Expiration=1,IF($A235&lt;VLOOKUP(V$5,NFI,5,0),1,0)*Table_NFI[[#This Row],[Jerry Can]],Table_NFI[Jerry Can])</f>
        <v>0</v>
      </c>
      <c r="AO235" s="331">
        <f>IF(NFI_Expiration=1,IF($A235&lt;VLOOKUP(V$5,NFI,5,0),1,0)*Table_NFI[[#This Row],[Shelter Tool kit]],Table_NFI[Shelter Tool kit])</f>
        <v>0</v>
      </c>
      <c r="AP235" s="331">
        <f>IF(NFI_Expiration=1,IF($A235&lt;VLOOKUP(V$5,NFI,5,0),1,0)*Table_NFI[[#This Row],[Tent]],Table_NFI[Tent])</f>
        <v>0</v>
      </c>
      <c r="AQ235" s="467" t="str">
        <f>IFERROR(VLOOKUP(Table_NFI[[#This Row],[Camp Name]],CL,2,0),"")</f>
        <v>MMR001CMP160</v>
      </c>
      <c r="AR235" s="835">
        <f ca="1">IF(Table_NFI[[#This Row],[Pcode]]="","",IF(OFFSET(CampList[Opening Date],MATCH(Table_NFI[[#This Row],[Pcode]],CampList[CP_Pcode],0)-1,0,1,1)&gt;=NFI_Monitor_Date,1,0))</f>
        <v>0</v>
      </c>
      <c r="AS235" s="467" t="str">
        <f>IFERROR(VLOOKUP(Table_NFI[[#This Row],[Camp Name]],CL,3,0),"")</f>
        <v>Open</v>
      </c>
      <c r="AT235" s="294" t="str">
        <f ca="1">IF(Table_NFI[[#This Row],[Pcode]]="","",OFFSET(CampList[Priority],MATCH(Table_NFI[[#This Row],[Pcode]],CampList[CP_Pcode],0)-1,0,1,1))</f>
        <v>P1</v>
      </c>
      <c r="AU235" s="293">
        <f>IFERROR(Table_NFI[[#This Row],[Kitchen Set]]/VLOOKUP(Table_NFI[[#This Row],[Camp Name]],CL,4,0),"")</f>
        <v>0</v>
      </c>
      <c r="AV235" s="461"/>
      <c r="AW235" s="463"/>
    </row>
    <row r="236" spans="1:49" s="464" customFormat="1" ht="14.45" customHeight="1" x14ac:dyDescent="0.25">
      <c r="A236" s="297">
        <f t="shared" si="3"/>
        <v>25.666666666666668</v>
      </c>
      <c r="B236" s="460">
        <v>41966</v>
      </c>
      <c r="C236" s="461" t="s">
        <v>452</v>
      </c>
      <c r="D236" s="461" t="s">
        <v>460</v>
      </c>
      <c r="E236" s="461" t="s">
        <v>380</v>
      </c>
      <c r="F236" s="461" t="s">
        <v>237</v>
      </c>
      <c r="G236" s="461" t="s">
        <v>253</v>
      </c>
      <c r="H236" s="291"/>
      <c r="I236" s="291"/>
      <c r="J236" s="291"/>
      <c r="K236" s="291">
        <v>72</v>
      </c>
      <c r="L236" s="292">
        <v>36</v>
      </c>
      <c r="M236" s="292">
        <v>72</v>
      </c>
      <c r="N236" s="292">
        <v>36</v>
      </c>
      <c r="O236" s="292"/>
      <c r="P236" s="294">
        <v>36</v>
      </c>
      <c r="Q236" s="294">
        <v>180</v>
      </c>
      <c r="R236" s="294"/>
      <c r="S236" s="294"/>
      <c r="T236" s="294"/>
      <c r="U236" s="294"/>
      <c r="V236" s="431"/>
      <c r="W236" s="294"/>
      <c r="X236" s="294"/>
      <c r="Y236" s="294">
        <f>IF(NFI_Expiration=1,IF($A236&lt;VLOOKUP(H$5,NFI,5,0),1,0)*Table_NFI[[#This Row],[Hygiene Kit]],Table_NFI[Hygiene Kit])</f>
        <v>0</v>
      </c>
      <c r="Z236" s="294">
        <f>IF(NFI_Expiration=1,IF($A236&lt;VLOOKUP(I$5,NFI,5,0),1,0)*Table_NFI[[#This Row],[NFI Core Kit]],Table_NFI[NFI Core Kit])</f>
        <v>0</v>
      </c>
      <c r="AA236" s="294">
        <f>IF(NFI_Expiration=1,IF($A236&lt;VLOOKUP(J$5,NFI,5,0),1,0)*Table_NFI[[#This Row],[Sanitary Kit]],Table_NFI[Sanitary Kit])</f>
        <v>0</v>
      </c>
      <c r="AB236" s="294">
        <f>IF(NFI_Expiration=1,IF($A236&lt;VLOOKUP(K$5,NFI,5,0),1,0)*Table_NFI[[#This Row],[Mosquito net]],Table_NFI[Mosquito net])</f>
        <v>0</v>
      </c>
      <c r="AC236" s="294">
        <f>IF(NFI_Expiration=1,IF($A236&lt;VLOOKUP(L$5,NFI,5,0),1,0)*Table_NFI[[#This Row],[Tarpaulin]],Table_NFI[[#This Row],[Tarpaulin]])</f>
        <v>0</v>
      </c>
      <c r="AD236" s="294">
        <f>IF(NFI_Expiration=1,IF($A236&lt;VLOOKUP(M$5,NFI,5,0),1,0)*Table_NFI[[#This Row],[Blanket]],Table_NFI[[#This Row],[Blanket]])</f>
        <v>0</v>
      </c>
      <c r="AE236" s="294">
        <f>IF(NFI_Expiration=1,IF($A236&lt;VLOOKUP(N$5,NFI,5,0),1,0)*Table_NFI[[#This Row],[Kitchen Set]],Table_NFI[Kitchen Set])</f>
        <v>0</v>
      </c>
      <c r="AF236" s="294">
        <f>IF(NFI_Expiration=1,IF($A236&lt;VLOOKUP(O$5,NFI,5,0),1,0)*Table_NFI[[#This Row],[Clothes Kit]],Table_NFI[Clothes Kit])</f>
        <v>0</v>
      </c>
      <c r="AG236" s="294">
        <f>IF(NFI_Expiration=1,IF($A236&lt;VLOOKUP(P$5,NFI,5,0),1,0)*Table_NFI[[#This Row],[Plastic Bucket]],Table_NFI[Plastic Bucket])</f>
        <v>0</v>
      </c>
      <c r="AH236" s="294">
        <f>IF(NFI_Expiration=1,IF($A236&lt;VLOOKUP(Q$5,NFI,5,0),1,0)*Table_NFI[[#This Row],[Plastic Mat]],Table_NFI[Plastic Mat])*IF(Table_NFI[[#This Row],[Distribution Date]]&gt;"2014-04-01",1,2.5)</f>
        <v>0</v>
      </c>
      <c r="AI236" s="294">
        <f>IF(NFI_Expiration=1,IF($A236&lt;VLOOKUP(R$5,NFI,5,0),1,0)*Table_NFI[[#This Row],[Winter Clothes Adult]],Table_NFI[Winter Clothes Adult])</f>
        <v>0</v>
      </c>
      <c r="AJ236" s="294">
        <f>IF(NFI_Expiration=1,IF($A236&lt;VLOOKUP(S$5,NFI,5,0),1,0)*Table_NFI[[#This Row],[Winter Clothes Children]],Table_NFI[Winter Clothes Children])</f>
        <v>0</v>
      </c>
      <c r="AK236" s="294">
        <f>IF(NFI_Expiration=1,IF($A236&lt;VLOOKUP(T$5,NFI,5,0),1,0)*Table_NFI[[#This Row],[Winter Items Other]],Table_NFI[Winter Items Other])</f>
        <v>0</v>
      </c>
      <c r="AL236" s="294">
        <f>IF(NFI_Expiration=1,IF($A236&lt;VLOOKUP(M$5,NFI,5,0),1,0)*Table_NFI[[#This Row],[Winter Blanket]],Table_NFI[[#This Row],[Winter Blanket]])</f>
        <v>0</v>
      </c>
      <c r="AM236" s="294">
        <f>IF(Table_NFI[[#This Row],[Winter Clothes Adult]]+Table_NFI[[#This Row],[Winter Clothes Children]]+Table_NFI[[#This Row],[Winter Items Other]]+Table_NFI[[#This Row],[Winter Blanket]]&gt;0,1,0)</f>
        <v>0</v>
      </c>
      <c r="AN236" s="331">
        <f>IF(NFI_Expiration=1,IF($A236&lt;VLOOKUP(V$5,NFI,5,0),1,0)*Table_NFI[[#This Row],[Jerry Can]],Table_NFI[Jerry Can])</f>
        <v>0</v>
      </c>
      <c r="AO236" s="331">
        <f>IF(NFI_Expiration=1,IF($A236&lt;VLOOKUP(V$5,NFI,5,0),1,0)*Table_NFI[[#This Row],[Shelter Tool kit]],Table_NFI[Shelter Tool kit])</f>
        <v>0</v>
      </c>
      <c r="AP236" s="331">
        <f>IF(NFI_Expiration=1,IF($A236&lt;VLOOKUP(V$5,NFI,5,0),1,0)*Table_NFI[[#This Row],[Tent]],Table_NFI[Tent])</f>
        <v>0</v>
      </c>
      <c r="AQ236" s="467" t="str">
        <f>IFERROR(VLOOKUP(Table_NFI[[#This Row],[Camp Name]],CL,2,0),"")</f>
        <v>MMR001CMP018</v>
      </c>
      <c r="AR236" s="835">
        <f ca="1">IF(Table_NFI[[#This Row],[Pcode]]="","",IF(OFFSET(CampList[Opening Date],MATCH(Table_NFI[[#This Row],[Pcode]],CampList[CP_Pcode],0)-1,0,1,1)&gt;=NFI_Monitor_Date,1,0))</f>
        <v>0</v>
      </c>
      <c r="AS236" s="467" t="str">
        <f>IFERROR(VLOOKUP(Table_NFI[[#This Row],[Camp Name]],CL,3,0),"")</f>
        <v>Open</v>
      </c>
      <c r="AT236" s="294" t="str">
        <f ca="1">IF(Table_NFI[[#This Row],[Pcode]]="","",OFFSET(CampList[Priority],MATCH(Table_NFI[[#This Row],[Pcode]],CampList[CP_Pcode],0)-1,0,1,1))</f>
        <v>P4</v>
      </c>
      <c r="AU236" s="293">
        <f>IFERROR(Table_NFI[[#This Row],[Kitchen Set]]/VLOOKUP(Table_NFI[[#This Row],[Camp Name]],CL,4,0),"")</f>
        <v>8.8397790055248619E-4</v>
      </c>
      <c r="AV236" s="461"/>
      <c r="AW236" s="463"/>
    </row>
    <row r="237" spans="1:49" s="464" customFormat="1" ht="14.45" customHeight="1" x14ac:dyDescent="0.25">
      <c r="A237" s="297">
        <f t="shared" si="3"/>
        <v>26.066666666666666</v>
      </c>
      <c r="B237" s="460">
        <v>41954</v>
      </c>
      <c r="C237" s="461" t="s">
        <v>452</v>
      </c>
      <c r="D237" s="461" t="s">
        <v>460</v>
      </c>
      <c r="E237" s="461" t="s">
        <v>380</v>
      </c>
      <c r="F237" s="461" t="s">
        <v>527</v>
      </c>
      <c r="G237" s="461" t="s">
        <v>88</v>
      </c>
      <c r="H237" s="291"/>
      <c r="I237" s="291"/>
      <c r="J237" s="291">
        <v>19</v>
      </c>
      <c r="K237" s="291">
        <v>38</v>
      </c>
      <c r="L237" s="292">
        <v>19</v>
      </c>
      <c r="M237" s="292">
        <v>38</v>
      </c>
      <c r="N237" s="292">
        <v>19</v>
      </c>
      <c r="O237" s="292"/>
      <c r="P237" s="294">
        <v>19</v>
      </c>
      <c r="Q237" s="294">
        <v>95</v>
      </c>
      <c r="R237" s="294"/>
      <c r="S237" s="294"/>
      <c r="T237" s="294"/>
      <c r="U237" s="294"/>
      <c r="V237" s="431"/>
      <c r="W237" s="294"/>
      <c r="X237" s="294"/>
      <c r="Y237" s="294">
        <f>IF(NFI_Expiration=1,IF($A237&lt;VLOOKUP(H$5,NFI,5,0),1,0)*Table_NFI[[#This Row],[Hygiene Kit]],Table_NFI[Hygiene Kit])</f>
        <v>0</v>
      </c>
      <c r="Z237" s="294">
        <f>IF(NFI_Expiration=1,IF($A237&lt;VLOOKUP(I$5,NFI,5,0),1,0)*Table_NFI[[#This Row],[NFI Core Kit]],Table_NFI[NFI Core Kit])</f>
        <v>0</v>
      </c>
      <c r="AA237" s="294">
        <f>IF(NFI_Expiration=1,IF($A237&lt;VLOOKUP(J$5,NFI,5,0),1,0)*Table_NFI[[#This Row],[Sanitary Kit]],Table_NFI[Sanitary Kit])</f>
        <v>0</v>
      </c>
      <c r="AB237" s="294">
        <f>IF(NFI_Expiration=1,IF($A237&lt;VLOOKUP(K$5,NFI,5,0),1,0)*Table_NFI[[#This Row],[Mosquito net]],Table_NFI[Mosquito net])</f>
        <v>0</v>
      </c>
      <c r="AC237" s="294">
        <f>IF(NFI_Expiration=1,IF($A237&lt;VLOOKUP(L$5,NFI,5,0),1,0)*Table_NFI[[#This Row],[Tarpaulin]],Table_NFI[[#This Row],[Tarpaulin]])</f>
        <v>0</v>
      </c>
      <c r="AD237" s="294">
        <f>IF(NFI_Expiration=1,IF($A237&lt;VLOOKUP(M$5,NFI,5,0),1,0)*Table_NFI[[#This Row],[Blanket]],Table_NFI[[#This Row],[Blanket]])</f>
        <v>0</v>
      </c>
      <c r="AE237" s="294">
        <f>IF(NFI_Expiration=1,IF($A237&lt;VLOOKUP(N$5,NFI,5,0),1,0)*Table_NFI[[#This Row],[Kitchen Set]],Table_NFI[Kitchen Set])</f>
        <v>0</v>
      </c>
      <c r="AF237" s="294">
        <f>IF(NFI_Expiration=1,IF($A237&lt;VLOOKUP(O$5,NFI,5,0),1,0)*Table_NFI[[#This Row],[Clothes Kit]],Table_NFI[Clothes Kit])</f>
        <v>0</v>
      </c>
      <c r="AG237" s="294">
        <f>IF(NFI_Expiration=1,IF($A237&lt;VLOOKUP(P$5,NFI,5,0),1,0)*Table_NFI[[#This Row],[Plastic Bucket]],Table_NFI[Plastic Bucket])</f>
        <v>0</v>
      </c>
      <c r="AH237" s="294">
        <f>IF(NFI_Expiration=1,IF($A237&lt;VLOOKUP(Q$5,NFI,5,0),1,0)*Table_NFI[[#This Row],[Plastic Mat]],Table_NFI[Plastic Mat])*IF(Table_NFI[[#This Row],[Distribution Date]]&gt;"2014-04-01",1,2.5)</f>
        <v>0</v>
      </c>
      <c r="AI237" s="294">
        <f>IF(NFI_Expiration=1,IF($A237&lt;VLOOKUP(R$5,NFI,5,0),1,0)*Table_NFI[[#This Row],[Winter Clothes Adult]],Table_NFI[Winter Clothes Adult])</f>
        <v>0</v>
      </c>
      <c r="AJ237" s="294">
        <f>IF(NFI_Expiration=1,IF($A237&lt;VLOOKUP(S$5,NFI,5,0),1,0)*Table_NFI[[#This Row],[Winter Clothes Children]],Table_NFI[Winter Clothes Children])</f>
        <v>0</v>
      </c>
      <c r="AK237" s="294">
        <f>IF(NFI_Expiration=1,IF($A237&lt;VLOOKUP(T$5,NFI,5,0),1,0)*Table_NFI[[#This Row],[Winter Items Other]],Table_NFI[Winter Items Other])</f>
        <v>0</v>
      </c>
      <c r="AL237" s="294">
        <f>IF(NFI_Expiration=1,IF($A237&lt;VLOOKUP(M$5,NFI,5,0),1,0)*Table_NFI[[#This Row],[Winter Blanket]],Table_NFI[[#This Row],[Winter Blanket]])</f>
        <v>0</v>
      </c>
      <c r="AM237" s="294">
        <f>IF(Table_NFI[[#This Row],[Winter Clothes Adult]]+Table_NFI[[#This Row],[Winter Clothes Children]]+Table_NFI[[#This Row],[Winter Items Other]]+Table_NFI[[#This Row],[Winter Blanket]]&gt;0,1,0)</f>
        <v>0</v>
      </c>
      <c r="AN237" s="331">
        <f>IF(NFI_Expiration=1,IF($A237&lt;VLOOKUP(V$5,NFI,5,0),1,0)*Table_NFI[[#This Row],[Jerry Can]],Table_NFI[Jerry Can])</f>
        <v>0</v>
      </c>
      <c r="AO237" s="331">
        <f>IF(NFI_Expiration=1,IF($A237&lt;VLOOKUP(V$5,NFI,5,0),1,0)*Table_NFI[[#This Row],[Shelter Tool kit]],Table_NFI[Shelter Tool kit])</f>
        <v>0</v>
      </c>
      <c r="AP237" s="331">
        <f>IF(NFI_Expiration=1,IF($A237&lt;VLOOKUP(V$5,NFI,5,0),1,0)*Table_NFI[[#This Row],[Tent]],Table_NFI[Tent])</f>
        <v>0</v>
      </c>
      <c r="AQ237" s="467" t="str">
        <f>IFERROR(VLOOKUP(Table_NFI[[#This Row],[Camp Name]],CL,2,0),"")</f>
        <v>MMR001CMP148</v>
      </c>
      <c r="AR237" s="835">
        <f ca="1">IF(Table_NFI[[#This Row],[Pcode]]="","",IF(OFFSET(CampList[Opening Date],MATCH(Table_NFI[[#This Row],[Pcode]],CampList[CP_Pcode],0)-1,0,1,1)&gt;=NFI_Monitor_Date,1,0))</f>
        <v>0</v>
      </c>
      <c r="AS237" s="467" t="str">
        <f>IFERROR(VLOOKUP(Table_NFI[[#This Row],[Camp Name]],CL,3,0),"")</f>
        <v>Open</v>
      </c>
      <c r="AT237" s="294" t="str">
        <f ca="1">IF(Table_NFI[[#This Row],[Pcode]]="","",OFFSET(CampList[Priority],MATCH(Table_NFI[[#This Row],[Pcode]],CampList[CP_Pcode],0)-1,0,1,1))</f>
        <v>P4</v>
      </c>
      <c r="AU237" s="293">
        <f>IFERROR(Table_NFI[[#This Row],[Kitchen Set]]/VLOOKUP(Table_NFI[[#This Row],[Camp Name]],CL,4,0),"")</f>
        <v>4.6135541364155112E-4</v>
      </c>
      <c r="AV237" s="461"/>
      <c r="AW237" s="463"/>
    </row>
    <row r="238" spans="1:49" s="464" customFormat="1" ht="14.45" customHeight="1" x14ac:dyDescent="0.25">
      <c r="A238" s="297">
        <f t="shared" si="3"/>
        <v>26.1</v>
      </c>
      <c r="B238" s="460">
        <v>41953</v>
      </c>
      <c r="C238" s="461" t="s">
        <v>1094</v>
      </c>
      <c r="D238" s="461" t="s">
        <v>900</v>
      </c>
      <c r="E238" s="461" t="s">
        <v>380</v>
      </c>
      <c r="F238" s="461" t="s">
        <v>300</v>
      </c>
      <c r="G238" s="461" t="s">
        <v>890</v>
      </c>
      <c r="H238" s="291"/>
      <c r="I238" s="291"/>
      <c r="J238" s="291"/>
      <c r="K238" s="291"/>
      <c r="L238" s="292"/>
      <c r="M238" s="292"/>
      <c r="N238" s="292"/>
      <c r="O238" s="292"/>
      <c r="P238" s="294"/>
      <c r="Q238" s="294"/>
      <c r="R238" s="294">
        <v>52</v>
      </c>
      <c r="S238" s="294">
        <v>16</v>
      </c>
      <c r="T238" s="294"/>
      <c r="U238" s="294"/>
      <c r="V238" s="431"/>
      <c r="W238" s="294"/>
      <c r="X238" s="294"/>
      <c r="Y238" s="294">
        <f>IF(NFI_Expiration=1,IF($A238&lt;VLOOKUP(H$5,NFI,5,0),1,0)*Table_NFI[[#This Row],[Hygiene Kit]],Table_NFI[Hygiene Kit])</f>
        <v>0</v>
      </c>
      <c r="Z238" s="294">
        <f>IF(NFI_Expiration=1,IF($A238&lt;VLOOKUP(I$5,NFI,5,0),1,0)*Table_NFI[[#This Row],[NFI Core Kit]],Table_NFI[NFI Core Kit])</f>
        <v>0</v>
      </c>
      <c r="AA238" s="294">
        <f>IF(NFI_Expiration=1,IF($A238&lt;VLOOKUP(J$5,NFI,5,0),1,0)*Table_NFI[[#This Row],[Sanitary Kit]],Table_NFI[Sanitary Kit])</f>
        <v>0</v>
      </c>
      <c r="AB238" s="294">
        <f>IF(NFI_Expiration=1,IF($A238&lt;VLOOKUP(K$5,NFI,5,0),1,0)*Table_NFI[[#This Row],[Mosquito net]],Table_NFI[Mosquito net])</f>
        <v>0</v>
      </c>
      <c r="AC238" s="294">
        <f>IF(NFI_Expiration=1,IF($A238&lt;VLOOKUP(L$5,NFI,5,0),1,0)*Table_NFI[[#This Row],[Tarpaulin]],Table_NFI[[#This Row],[Tarpaulin]])</f>
        <v>0</v>
      </c>
      <c r="AD238" s="294">
        <f>IF(NFI_Expiration=1,IF($A238&lt;VLOOKUP(M$5,NFI,5,0),1,0)*Table_NFI[[#This Row],[Blanket]],Table_NFI[[#This Row],[Blanket]])</f>
        <v>0</v>
      </c>
      <c r="AE238" s="294">
        <f>IF(NFI_Expiration=1,IF($A238&lt;VLOOKUP(N$5,NFI,5,0),1,0)*Table_NFI[[#This Row],[Kitchen Set]],Table_NFI[Kitchen Set])</f>
        <v>0</v>
      </c>
      <c r="AF238" s="294">
        <f>IF(NFI_Expiration=1,IF($A238&lt;VLOOKUP(O$5,NFI,5,0),1,0)*Table_NFI[[#This Row],[Clothes Kit]],Table_NFI[Clothes Kit])</f>
        <v>0</v>
      </c>
      <c r="AG238" s="294">
        <f>IF(NFI_Expiration=1,IF($A238&lt;VLOOKUP(P$5,NFI,5,0),1,0)*Table_NFI[[#This Row],[Plastic Bucket]],Table_NFI[Plastic Bucket])</f>
        <v>0</v>
      </c>
      <c r="AH238" s="294">
        <f>IF(NFI_Expiration=1,IF($A238&lt;VLOOKUP(Q$5,NFI,5,0),1,0)*Table_NFI[[#This Row],[Plastic Mat]],Table_NFI[Plastic Mat])*IF(Table_NFI[[#This Row],[Distribution Date]]&gt;"2014-04-01",1,2.5)</f>
        <v>0</v>
      </c>
      <c r="AI238" s="294">
        <f>IF(NFI_Expiration=1,IF($A238&lt;VLOOKUP(R$5,NFI,5,0),1,0)*Table_NFI[[#This Row],[Winter Clothes Adult]],Table_NFI[Winter Clothes Adult])</f>
        <v>0</v>
      </c>
      <c r="AJ238" s="294">
        <f>IF(NFI_Expiration=1,IF($A238&lt;VLOOKUP(S$5,NFI,5,0),1,0)*Table_NFI[[#This Row],[Winter Clothes Children]],Table_NFI[Winter Clothes Children])</f>
        <v>0</v>
      </c>
      <c r="AK238" s="294">
        <f>IF(NFI_Expiration=1,IF($A238&lt;VLOOKUP(T$5,NFI,5,0),1,0)*Table_NFI[[#This Row],[Winter Items Other]],Table_NFI[Winter Items Other])</f>
        <v>0</v>
      </c>
      <c r="AL238" s="294">
        <f>IF(NFI_Expiration=1,IF($A238&lt;VLOOKUP(M$5,NFI,5,0),1,0)*Table_NFI[[#This Row],[Winter Blanket]],Table_NFI[[#This Row],[Winter Blanket]])</f>
        <v>0</v>
      </c>
      <c r="AM238" s="294">
        <f>IF(Table_NFI[[#This Row],[Winter Clothes Adult]]+Table_NFI[[#This Row],[Winter Clothes Children]]+Table_NFI[[#This Row],[Winter Items Other]]+Table_NFI[[#This Row],[Winter Blanket]]&gt;0,1,0)</f>
        <v>1</v>
      </c>
      <c r="AN238" s="331">
        <f>IF(NFI_Expiration=1,IF($A238&lt;VLOOKUP(V$5,NFI,5,0),1,0)*Table_NFI[[#This Row],[Jerry Can]],Table_NFI[Jerry Can])</f>
        <v>0</v>
      </c>
      <c r="AO238" s="331">
        <f>IF(NFI_Expiration=1,IF($A238&lt;VLOOKUP(V$5,NFI,5,0),1,0)*Table_NFI[[#This Row],[Shelter Tool kit]],Table_NFI[Shelter Tool kit])</f>
        <v>0</v>
      </c>
      <c r="AP238" s="331">
        <f>IF(NFI_Expiration=1,IF($A238&lt;VLOOKUP(V$5,NFI,5,0),1,0)*Table_NFI[[#This Row],[Tent]],Table_NFI[Tent])</f>
        <v>0</v>
      </c>
      <c r="AQ238" s="467" t="str">
        <f>IFERROR(VLOOKUP(Table_NFI[[#This Row],[Camp Name]],CL,2,0),"")</f>
        <v>MMR001CMP220</v>
      </c>
      <c r="AR238" s="835">
        <f ca="1">IF(Table_NFI[[#This Row],[Pcode]]="","",IF(OFFSET(CampList[Opening Date],MATCH(Table_NFI[[#This Row],[Pcode]],CampList[CP_Pcode],0)-1,0,1,1)&gt;=NFI_Monitor_Date,1,0))</f>
        <v>0</v>
      </c>
      <c r="AS238" s="467" t="str">
        <f>IFERROR(VLOOKUP(Table_NFI[[#This Row],[Camp Name]],CL,3,0),"")</f>
        <v>Closed</v>
      </c>
      <c r="AT238" s="294" t="str">
        <f ca="1">IF(Table_NFI[[#This Row],[Pcode]]="","",OFFSET(CampList[Priority],MATCH(Table_NFI[[#This Row],[Pcode]],CampList[CP_Pcode],0)-1,0,1,1))</f>
        <v>P3</v>
      </c>
      <c r="AU238" s="293">
        <f>IFERROR(Table_NFI[[#This Row],[Kitchen Set]]/VLOOKUP(Table_NFI[[#This Row],[Camp Name]],CL,4,0),"")</f>
        <v>0</v>
      </c>
      <c r="AV238" s="461"/>
      <c r="AW238" s="463"/>
    </row>
    <row r="239" spans="1:49" s="464" customFormat="1" ht="14.45" customHeight="1" x14ac:dyDescent="0.25">
      <c r="A239" s="297">
        <f t="shared" si="3"/>
        <v>26.1</v>
      </c>
      <c r="B239" s="460">
        <v>41953</v>
      </c>
      <c r="C239" s="461" t="s">
        <v>1094</v>
      </c>
      <c r="D239" s="461" t="s">
        <v>900</v>
      </c>
      <c r="E239" s="461" t="s">
        <v>380</v>
      </c>
      <c r="F239" s="461" t="s">
        <v>527</v>
      </c>
      <c r="G239" s="461" t="s">
        <v>611</v>
      </c>
      <c r="H239" s="291"/>
      <c r="I239" s="291"/>
      <c r="J239" s="291"/>
      <c r="K239" s="291"/>
      <c r="L239" s="292"/>
      <c r="M239" s="292"/>
      <c r="N239" s="292"/>
      <c r="O239" s="292"/>
      <c r="P239" s="294"/>
      <c r="Q239" s="294"/>
      <c r="R239" s="294">
        <v>50</v>
      </c>
      <c r="S239" s="294">
        <v>17</v>
      </c>
      <c r="T239" s="294"/>
      <c r="U239" s="294"/>
      <c r="V239" s="431"/>
      <c r="W239" s="294"/>
      <c r="X239" s="294"/>
      <c r="Y239" s="294">
        <f>IF(NFI_Expiration=1,IF($A239&lt;VLOOKUP(H$5,NFI,5,0),1,0)*Table_NFI[[#This Row],[Hygiene Kit]],Table_NFI[Hygiene Kit])</f>
        <v>0</v>
      </c>
      <c r="Z239" s="294">
        <f>IF(NFI_Expiration=1,IF($A239&lt;VLOOKUP(I$5,NFI,5,0),1,0)*Table_NFI[[#This Row],[NFI Core Kit]],Table_NFI[NFI Core Kit])</f>
        <v>0</v>
      </c>
      <c r="AA239" s="294">
        <f>IF(NFI_Expiration=1,IF($A239&lt;VLOOKUP(J$5,NFI,5,0),1,0)*Table_NFI[[#This Row],[Sanitary Kit]],Table_NFI[Sanitary Kit])</f>
        <v>0</v>
      </c>
      <c r="AB239" s="294">
        <f>IF(NFI_Expiration=1,IF($A239&lt;VLOOKUP(K$5,NFI,5,0),1,0)*Table_NFI[[#This Row],[Mosquito net]],Table_NFI[Mosquito net])</f>
        <v>0</v>
      </c>
      <c r="AC239" s="294">
        <f>IF(NFI_Expiration=1,IF($A239&lt;VLOOKUP(L$5,NFI,5,0),1,0)*Table_NFI[[#This Row],[Tarpaulin]],Table_NFI[[#This Row],[Tarpaulin]])</f>
        <v>0</v>
      </c>
      <c r="AD239" s="294">
        <f>IF(NFI_Expiration=1,IF($A239&lt;VLOOKUP(M$5,NFI,5,0),1,0)*Table_NFI[[#This Row],[Blanket]],Table_NFI[[#This Row],[Blanket]])</f>
        <v>0</v>
      </c>
      <c r="AE239" s="294">
        <f>IF(NFI_Expiration=1,IF($A239&lt;VLOOKUP(N$5,NFI,5,0),1,0)*Table_NFI[[#This Row],[Kitchen Set]],Table_NFI[Kitchen Set])</f>
        <v>0</v>
      </c>
      <c r="AF239" s="294">
        <f>IF(NFI_Expiration=1,IF($A239&lt;VLOOKUP(O$5,NFI,5,0),1,0)*Table_NFI[[#This Row],[Clothes Kit]],Table_NFI[Clothes Kit])</f>
        <v>0</v>
      </c>
      <c r="AG239" s="294">
        <f>IF(NFI_Expiration=1,IF($A239&lt;VLOOKUP(P$5,NFI,5,0),1,0)*Table_NFI[[#This Row],[Plastic Bucket]],Table_NFI[Plastic Bucket])</f>
        <v>0</v>
      </c>
      <c r="AH239" s="294">
        <f>IF(NFI_Expiration=1,IF($A239&lt;VLOOKUP(Q$5,NFI,5,0),1,0)*Table_NFI[[#This Row],[Plastic Mat]],Table_NFI[Plastic Mat])*IF(Table_NFI[[#This Row],[Distribution Date]]&gt;"2014-04-01",1,2.5)</f>
        <v>0</v>
      </c>
      <c r="AI239" s="294">
        <f>IF(NFI_Expiration=1,IF($A239&lt;VLOOKUP(R$5,NFI,5,0),1,0)*Table_NFI[[#This Row],[Winter Clothes Adult]],Table_NFI[Winter Clothes Adult])</f>
        <v>0</v>
      </c>
      <c r="AJ239" s="294">
        <f>IF(NFI_Expiration=1,IF($A239&lt;VLOOKUP(S$5,NFI,5,0),1,0)*Table_NFI[[#This Row],[Winter Clothes Children]],Table_NFI[Winter Clothes Children])</f>
        <v>0</v>
      </c>
      <c r="AK239" s="294">
        <f>IF(NFI_Expiration=1,IF($A239&lt;VLOOKUP(T$5,NFI,5,0),1,0)*Table_NFI[[#This Row],[Winter Items Other]],Table_NFI[Winter Items Other])</f>
        <v>0</v>
      </c>
      <c r="AL239" s="294">
        <f>IF(NFI_Expiration=1,IF($A239&lt;VLOOKUP(M$5,NFI,5,0),1,0)*Table_NFI[[#This Row],[Winter Blanket]],Table_NFI[[#This Row],[Winter Blanket]])</f>
        <v>0</v>
      </c>
      <c r="AM239" s="294">
        <f>IF(Table_NFI[[#This Row],[Winter Clothes Adult]]+Table_NFI[[#This Row],[Winter Clothes Children]]+Table_NFI[[#This Row],[Winter Items Other]]+Table_NFI[[#This Row],[Winter Blanket]]&gt;0,1,0)</f>
        <v>1</v>
      </c>
      <c r="AN239" s="331">
        <f>IF(NFI_Expiration=1,IF($A239&lt;VLOOKUP(V$5,NFI,5,0),1,0)*Table_NFI[[#This Row],[Jerry Can]],Table_NFI[Jerry Can])</f>
        <v>0</v>
      </c>
      <c r="AO239" s="331">
        <f>IF(NFI_Expiration=1,IF($A239&lt;VLOOKUP(V$5,NFI,5,0),1,0)*Table_NFI[[#This Row],[Shelter Tool kit]],Table_NFI[Shelter Tool kit])</f>
        <v>0</v>
      </c>
      <c r="AP239" s="331">
        <f>IF(NFI_Expiration=1,IF($A239&lt;VLOOKUP(V$5,NFI,5,0),1,0)*Table_NFI[[#This Row],[Tent]],Table_NFI[Tent])</f>
        <v>0</v>
      </c>
      <c r="AQ239" s="467" t="str">
        <f>IFERROR(VLOOKUP(Table_NFI[[#This Row],[Camp Name]],CL,2,0),"")</f>
        <v>MMR001CMP192</v>
      </c>
      <c r="AR239" s="835">
        <f ca="1">IF(Table_NFI[[#This Row],[Pcode]]="","",IF(OFFSET(CampList[Opening Date],MATCH(Table_NFI[[#This Row],[Pcode]],CampList[CP_Pcode],0)-1,0,1,1)&gt;=NFI_Monitor_Date,1,0))</f>
        <v>0</v>
      </c>
      <c r="AS239" s="467" t="str">
        <f>IFERROR(VLOOKUP(Table_NFI[[#This Row],[Camp Name]],CL,3,0),"")</f>
        <v>Open</v>
      </c>
      <c r="AT239" s="294" t="str">
        <f ca="1">IF(Table_NFI[[#This Row],[Pcode]]="","",OFFSET(CampList[Priority],MATCH(Table_NFI[[#This Row],[Pcode]],CampList[CP_Pcode],0)-1,0,1,1))</f>
        <v>P4</v>
      </c>
      <c r="AU239" s="293">
        <f>IFERROR(Table_NFI[[#This Row],[Kitchen Set]]/VLOOKUP(Table_NFI[[#This Row],[Camp Name]],CL,4,0),"")</f>
        <v>0</v>
      </c>
      <c r="AV239" s="461"/>
      <c r="AW239" s="463"/>
    </row>
    <row r="240" spans="1:49" s="464" customFormat="1" ht="14.45" customHeight="1" x14ac:dyDescent="0.25">
      <c r="A240" s="297">
        <f t="shared" si="3"/>
        <v>26.1</v>
      </c>
      <c r="B240" s="460">
        <v>41953</v>
      </c>
      <c r="C240" s="461" t="s">
        <v>1094</v>
      </c>
      <c r="D240" s="461" t="s">
        <v>900</v>
      </c>
      <c r="E240" s="461" t="s">
        <v>380</v>
      </c>
      <c r="F240" s="461" t="s">
        <v>527</v>
      </c>
      <c r="G240" s="461" t="s">
        <v>108</v>
      </c>
      <c r="H240" s="291"/>
      <c r="I240" s="291"/>
      <c r="J240" s="291"/>
      <c r="K240" s="291"/>
      <c r="L240" s="292"/>
      <c r="M240" s="292"/>
      <c r="N240" s="292"/>
      <c r="O240" s="292"/>
      <c r="P240" s="294"/>
      <c r="Q240" s="294"/>
      <c r="R240" s="294">
        <v>117</v>
      </c>
      <c r="S240" s="294">
        <v>65</v>
      </c>
      <c r="T240" s="294"/>
      <c r="U240" s="294"/>
      <c r="V240" s="431"/>
      <c r="W240" s="294"/>
      <c r="X240" s="294"/>
      <c r="Y240" s="294">
        <f>IF(NFI_Expiration=1,IF($A240&lt;VLOOKUP(H$5,NFI,5,0),1,0)*Table_NFI[[#This Row],[Hygiene Kit]],Table_NFI[Hygiene Kit])</f>
        <v>0</v>
      </c>
      <c r="Z240" s="294">
        <f>IF(NFI_Expiration=1,IF($A240&lt;VLOOKUP(I$5,NFI,5,0),1,0)*Table_NFI[[#This Row],[NFI Core Kit]],Table_NFI[NFI Core Kit])</f>
        <v>0</v>
      </c>
      <c r="AA240" s="294">
        <f>IF(NFI_Expiration=1,IF($A240&lt;VLOOKUP(J$5,NFI,5,0),1,0)*Table_NFI[[#This Row],[Sanitary Kit]],Table_NFI[Sanitary Kit])</f>
        <v>0</v>
      </c>
      <c r="AB240" s="294">
        <f>IF(NFI_Expiration=1,IF($A240&lt;VLOOKUP(K$5,NFI,5,0),1,0)*Table_NFI[[#This Row],[Mosquito net]],Table_NFI[Mosquito net])</f>
        <v>0</v>
      </c>
      <c r="AC240" s="294">
        <f>IF(NFI_Expiration=1,IF($A240&lt;VLOOKUP(L$5,NFI,5,0),1,0)*Table_NFI[[#This Row],[Tarpaulin]],Table_NFI[[#This Row],[Tarpaulin]])</f>
        <v>0</v>
      </c>
      <c r="AD240" s="294">
        <f>IF(NFI_Expiration=1,IF($A240&lt;VLOOKUP(M$5,NFI,5,0),1,0)*Table_NFI[[#This Row],[Blanket]],Table_NFI[[#This Row],[Blanket]])</f>
        <v>0</v>
      </c>
      <c r="AE240" s="294">
        <f>IF(NFI_Expiration=1,IF($A240&lt;VLOOKUP(N$5,NFI,5,0),1,0)*Table_NFI[[#This Row],[Kitchen Set]],Table_NFI[Kitchen Set])</f>
        <v>0</v>
      </c>
      <c r="AF240" s="294">
        <f>IF(NFI_Expiration=1,IF($A240&lt;VLOOKUP(O$5,NFI,5,0),1,0)*Table_NFI[[#This Row],[Clothes Kit]],Table_NFI[Clothes Kit])</f>
        <v>0</v>
      </c>
      <c r="AG240" s="294">
        <f>IF(NFI_Expiration=1,IF($A240&lt;VLOOKUP(P$5,NFI,5,0),1,0)*Table_NFI[[#This Row],[Plastic Bucket]],Table_NFI[Plastic Bucket])</f>
        <v>0</v>
      </c>
      <c r="AH240" s="294">
        <f>IF(NFI_Expiration=1,IF($A240&lt;VLOOKUP(Q$5,NFI,5,0),1,0)*Table_NFI[[#This Row],[Plastic Mat]],Table_NFI[Plastic Mat])*IF(Table_NFI[[#This Row],[Distribution Date]]&gt;"2014-04-01",1,2.5)</f>
        <v>0</v>
      </c>
      <c r="AI240" s="294">
        <f>IF(NFI_Expiration=1,IF($A240&lt;VLOOKUP(R$5,NFI,5,0),1,0)*Table_NFI[[#This Row],[Winter Clothes Adult]],Table_NFI[Winter Clothes Adult])</f>
        <v>0</v>
      </c>
      <c r="AJ240" s="294">
        <f>IF(NFI_Expiration=1,IF($A240&lt;VLOOKUP(S$5,NFI,5,0),1,0)*Table_NFI[[#This Row],[Winter Clothes Children]],Table_NFI[Winter Clothes Children])</f>
        <v>0</v>
      </c>
      <c r="AK240" s="294">
        <f>IF(NFI_Expiration=1,IF($A240&lt;VLOOKUP(T$5,NFI,5,0),1,0)*Table_NFI[[#This Row],[Winter Items Other]],Table_NFI[Winter Items Other])</f>
        <v>0</v>
      </c>
      <c r="AL240" s="294">
        <f>IF(NFI_Expiration=1,IF($A240&lt;VLOOKUP(M$5,NFI,5,0),1,0)*Table_NFI[[#This Row],[Winter Blanket]],Table_NFI[[#This Row],[Winter Blanket]])</f>
        <v>0</v>
      </c>
      <c r="AM240" s="294">
        <f>IF(Table_NFI[[#This Row],[Winter Clothes Adult]]+Table_NFI[[#This Row],[Winter Clothes Children]]+Table_NFI[[#This Row],[Winter Items Other]]+Table_NFI[[#This Row],[Winter Blanket]]&gt;0,1,0)</f>
        <v>1</v>
      </c>
      <c r="AN240" s="331">
        <f>IF(NFI_Expiration=1,IF($A240&lt;VLOOKUP(V$5,NFI,5,0),1,0)*Table_NFI[[#This Row],[Jerry Can]],Table_NFI[Jerry Can])</f>
        <v>0</v>
      </c>
      <c r="AO240" s="331">
        <f>IF(NFI_Expiration=1,IF($A240&lt;VLOOKUP(V$5,NFI,5,0),1,0)*Table_NFI[[#This Row],[Shelter Tool kit]],Table_NFI[Shelter Tool kit])</f>
        <v>0</v>
      </c>
      <c r="AP240" s="331">
        <f>IF(NFI_Expiration=1,IF($A240&lt;VLOOKUP(V$5,NFI,5,0),1,0)*Table_NFI[[#This Row],[Tent]],Table_NFI[Tent])</f>
        <v>0</v>
      </c>
      <c r="AQ240" s="467" t="str">
        <f>IFERROR(VLOOKUP(Table_NFI[[#This Row],[Camp Name]],CL,2,0),"")</f>
        <v>MMR001CMP103</v>
      </c>
      <c r="AR240" s="835">
        <f ca="1">IF(Table_NFI[[#This Row],[Pcode]]="","",IF(OFFSET(CampList[Opening Date],MATCH(Table_NFI[[#This Row],[Pcode]],CampList[CP_Pcode],0)-1,0,1,1)&gt;=NFI_Monitor_Date,1,0))</f>
        <v>0</v>
      </c>
      <c r="AS240" s="467" t="str">
        <f>IFERROR(VLOOKUP(Table_NFI[[#This Row],[Camp Name]],CL,3,0),"")</f>
        <v>Open</v>
      </c>
      <c r="AT240" s="294" t="str">
        <f ca="1">IF(Table_NFI[[#This Row],[Pcode]]="","",OFFSET(CampList[Priority],MATCH(Table_NFI[[#This Row],[Pcode]],CampList[CP_Pcode],0)-1,0,1,1))</f>
        <v>P4</v>
      </c>
      <c r="AU240" s="293">
        <f>IFERROR(Table_NFI[[#This Row],[Kitchen Set]]/VLOOKUP(Table_NFI[[#This Row],[Camp Name]],CL,4,0),"")</f>
        <v>0</v>
      </c>
      <c r="AV240" s="461"/>
      <c r="AW240" s="463"/>
    </row>
    <row r="241" spans="1:49" s="464" customFormat="1" ht="14.45" customHeight="1" x14ac:dyDescent="0.25">
      <c r="A241" s="297">
        <f t="shared" si="3"/>
        <v>26.1</v>
      </c>
      <c r="B241" s="460">
        <v>41953</v>
      </c>
      <c r="C241" s="461" t="s">
        <v>1094</v>
      </c>
      <c r="D241" s="461" t="s">
        <v>900</v>
      </c>
      <c r="E241" s="461" t="s">
        <v>380</v>
      </c>
      <c r="F241" s="461" t="s">
        <v>300</v>
      </c>
      <c r="G241" s="461" t="s">
        <v>301</v>
      </c>
      <c r="H241" s="291"/>
      <c r="I241" s="291"/>
      <c r="J241" s="291"/>
      <c r="K241" s="291"/>
      <c r="L241" s="292"/>
      <c r="M241" s="292"/>
      <c r="N241" s="292"/>
      <c r="O241" s="292"/>
      <c r="P241" s="294"/>
      <c r="Q241" s="294"/>
      <c r="R241" s="294">
        <v>72</v>
      </c>
      <c r="S241" s="294">
        <v>11</v>
      </c>
      <c r="T241" s="294"/>
      <c r="U241" s="294"/>
      <c r="V241" s="431"/>
      <c r="W241" s="294"/>
      <c r="X241" s="294"/>
      <c r="Y241" s="294">
        <f>IF(NFI_Expiration=1,IF($A241&lt;VLOOKUP(H$5,NFI,5,0),1,0)*Table_NFI[[#This Row],[Hygiene Kit]],Table_NFI[Hygiene Kit])</f>
        <v>0</v>
      </c>
      <c r="Z241" s="294">
        <f>IF(NFI_Expiration=1,IF($A241&lt;VLOOKUP(I$5,NFI,5,0),1,0)*Table_NFI[[#This Row],[NFI Core Kit]],Table_NFI[NFI Core Kit])</f>
        <v>0</v>
      </c>
      <c r="AA241" s="294">
        <f>IF(NFI_Expiration=1,IF($A241&lt;VLOOKUP(J$5,NFI,5,0),1,0)*Table_NFI[[#This Row],[Sanitary Kit]],Table_NFI[Sanitary Kit])</f>
        <v>0</v>
      </c>
      <c r="AB241" s="294">
        <f>IF(NFI_Expiration=1,IF($A241&lt;VLOOKUP(K$5,NFI,5,0),1,0)*Table_NFI[[#This Row],[Mosquito net]],Table_NFI[Mosquito net])</f>
        <v>0</v>
      </c>
      <c r="AC241" s="294">
        <f>IF(NFI_Expiration=1,IF($A241&lt;VLOOKUP(L$5,NFI,5,0),1,0)*Table_NFI[[#This Row],[Tarpaulin]],Table_NFI[[#This Row],[Tarpaulin]])</f>
        <v>0</v>
      </c>
      <c r="AD241" s="294">
        <f>IF(NFI_Expiration=1,IF($A241&lt;VLOOKUP(M$5,NFI,5,0),1,0)*Table_NFI[[#This Row],[Blanket]],Table_NFI[[#This Row],[Blanket]])</f>
        <v>0</v>
      </c>
      <c r="AE241" s="294">
        <f>IF(NFI_Expiration=1,IF($A241&lt;VLOOKUP(N$5,NFI,5,0),1,0)*Table_NFI[[#This Row],[Kitchen Set]],Table_NFI[Kitchen Set])</f>
        <v>0</v>
      </c>
      <c r="AF241" s="294">
        <f>IF(NFI_Expiration=1,IF($A241&lt;VLOOKUP(O$5,NFI,5,0),1,0)*Table_NFI[[#This Row],[Clothes Kit]],Table_NFI[Clothes Kit])</f>
        <v>0</v>
      </c>
      <c r="AG241" s="294">
        <f>IF(NFI_Expiration=1,IF($A241&lt;VLOOKUP(P$5,NFI,5,0),1,0)*Table_NFI[[#This Row],[Plastic Bucket]],Table_NFI[Plastic Bucket])</f>
        <v>0</v>
      </c>
      <c r="AH241" s="294">
        <f>IF(NFI_Expiration=1,IF($A241&lt;VLOOKUP(Q$5,NFI,5,0),1,0)*Table_NFI[[#This Row],[Plastic Mat]],Table_NFI[Plastic Mat])*IF(Table_NFI[[#This Row],[Distribution Date]]&gt;"2014-04-01",1,2.5)</f>
        <v>0</v>
      </c>
      <c r="AI241" s="294">
        <f>IF(NFI_Expiration=1,IF($A241&lt;VLOOKUP(R$5,NFI,5,0),1,0)*Table_NFI[[#This Row],[Winter Clothes Adult]],Table_NFI[Winter Clothes Adult])</f>
        <v>0</v>
      </c>
      <c r="AJ241" s="294">
        <f>IF(NFI_Expiration=1,IF($A241&lt;VLOOKUP(S$5,NFI,5,0),1,0)*Table_NFI[[#This Row],[Winter Clothes Children]],Table_NFI[Winter Clothes Children])</f>
        <v>0</v>
      </c>
      <c r="AK241" s="294">
        <f>IF(NFI_Expiration=1,IF($A241&lt;VLOOKUP(T$5,NFI,5,0),1,0)*Table_NFI[[#This Row],[Winter Items Other]],Table_NFI[Winter Items Other])</f>
        <v>0</v>
      </c>
      <c r="AL241" s="294">
        <f>IF(NFI_Expiration=1,IF($A241&lt;VLOOKUP(M$5,NFI,5,0),1,0)*Table_NFI[[#This Row],[Winter Blanket]],Table_NFI[[#This Row],[Winter Blanket]])</f>
        <v>0</v>
      </c>
      <c r="AM241" s="294">
        <f>IF(Table_NFI[[#This Row],[Winter Clothes Adult]]+Table_NFI[[#This Row],[Winter Clothes Children]]+Table_NFI[[#This Row],[Winter Items Other]]+Table_NFI[[#This Row],[Winter Blanket]]&gt;0,1,0)</f>
        <v>1</v>
      </c>
      <c r="AN241" s="331">
        <f>IF(NFI_Expiration=1,IF($A241&lt;VLOOKUP(V$5,NFI,5,0),1,0)*Table_NFI[[#This Row],[Jerry Can]],Table_NFI[Jerry Can])</f>
        <v>0</v>
      </c>
      <c r="AO241" s="331">
        <f>IF(NFI_Expiration=1,IF($A241&lt;VLOOKUP(V$5,NFI,5,0),1,0)*Table_NFI[[#This Row],[Shelter Tool kit]],Table_NFI[Shelter Tool kit])</f>
        <v>0</v>
      </c>
      <c r="AP241" s="331">
        <f>IF(NFI_Expiration=1,IF($A241&lt;VLOOKUP(V$5,NFI,5,0),1,0)*Table_NFI[[#This Row],[Tent]],Table_NFI[Tent])</f>
        <v>0</v>
      </c>
      <c r="AQ241" s="467" t="str">
        <f>IFERROR(VLOOKUP(Table_NFI[[#This Row],[Camp Name]],CL,2,0),"")</f>
        <v>MMR001CMP075</v>
      </c>
      <c r="AR241" s="835">
        <f ca="1">IF(Table_NFI[[#This Row],[Pcode]]="","",IF(OFFSET(CampList[Opening Date],MATCH(Table_NFI[[#This Row],[Pcode]],CampList[CP_Pcode],0)-1,0,1,1)&gt;=NFI_Monitor_Date,1,0))</f>
        <v>0</v>
      </c>
      <c r="AS241" s="467" t="str">
        <f>IFERROR(VLOOKUP(Table_NFI[[#This Row],[Camp Name]],CL,3,0),"")</f>
        <v>Open</v>
      </c>
      <c r="AT241" s="294" t="str">
        <f ca="1">IF(Table_NFI[[#This Row],[Pcode]]="","",OFFSET(CampList[Priority],MATCH(Table_NFI[[#This Row],[Pcode]],CampList[CP_Pcode],0)-1,0,1,1))</f>
        <v>P3</v>
      </c>
      <c r="AU241" s="293" t="str">
        <f>IFERROR(Table_NFI[[#This Row],[Kitchen Set]]/VLOOKUP(Table_NFI[[#This Row],[Camp Name]],CL,4,0),"")</f>
        <v/>
      </c>
      <c r="AV241" s="461"/>
      <c r="AW241" s="463"/>
    </row>
    <row r="242" spans="1:49" s="464" customFormat="1" x14ac:dyDescent="0.25">
      <c r="A242" s="297">
        <f t="shared" si="3"/>
        <v>26.333333333333332</v>
      </c>
      <c r="B242" s="460">
        <v>41946</v>
      </c>
      <c r="C242" s="461" t="s">
        <v>452</v>
      </c>
      <c r="D242" s="461" t="s">
        <v>505</v>
      </c>
      <c r="E242" s="461" t="s">
        <v>380</v>
      </c>
      <c r="F242" s="461" t="s">
        <v>310</v>
      </c>
      <c r="G242" s="461" t="s">
        <v>313</v>
      </c>
      <c r="H242" s="291"/>
      <c r="I242" s="291"/>
      <c r="J242" s="291">
        <v>15</v>
      </c>
      <c r="K242" s="291">
        <v>30</v>
      </c>
      <c r="L242" s="292">
        <v>15</v>
      </c>
      <c r="M242" s="292">
        <v>30</v>
      </c>
      <c r="N242" s="292">
        <v>15</v>
      </c>
      <c r="O242" s="292"/>
      <c r="P242" s="294">
        <v>15</v>
      </c>
      <c r="Q242" s="294">
        <v>75</v>
      </c>
      <c r="R242" s="294"/>
      <c r="S242" s="294"/>
      <c r="T242" s="294"/>
      <c r="U242" s="294"/>
      <c r="V242" s="431"/>
      <c r="W242" s="331"/>
      <c r="X242" s="331"/>
      <c r="Y242" s="294">
        <f>IF(NFI_Expiration=1,IF($A242&lt;VLOOKUP(H$5,NFI,5,0),1,0)*Table_NFI[[#This Row],[Hygiene Kit]],Table_NFI[Hygiene Kit])</f>
        <v>0</v>
      </c>
      <c r="Z242" s="294">
        <f>IF(NFI_Expiration=1,IF($A242&lt;VLOOKUP(I$5,NFI,5,0),1,0)*Table_NFI[[#This Row],[NFI Core Kit]],Table_NFI[NFI Core Kit])</f>
        <v>0</v>
      </c>
      <c r="AA242" s="294">
        <f>IF(NFI_Expiration=1,IF($A242&lt;VLOOKUP(J$5,NFI,5,0),1,0)*Table_NFI[[#This Row],[Sanitary Kit]],Table_NFI[Sanitary Kit])</f>
        <v>0</v>
      </c>
      <c r="AB242" s="294">
        <f>IF(NFI_Expiration=1,IF($A242&lt;VLOOKUP(K$5,NFI,5,0),1,0)*Table_NFI[[#This Row],[Mosquito net]],Table_NFI[Mosquito net])</f>
        <v>0</v>
      </c>
      <c r="AC242" s="294">
        <f>IF(NFI_Expiration=1,IF($A242&lt;VLOOKUP(L$5,NFI,5,0),1,0)*Table_NFI[[#This Row],[Tarpaulin]],Table_NFI[[#This Row],[Tarpaulin]])</f>
        <v>0</v>
      </c>
      <c r="AD242" s="294">
        <f>IF(NFI_Expiration=1,IF($A242&lt;VLOOKUP(M$5,NFI,5,0),1,0)*Table_NFI[[#This Row],[Blanket]],Table_NFI[[#This Row],[Blanket]])</f>
        <v>0</v>
      </c>
      <c r="AE242" s="294">
        <f>IF(NFI_Expiration=1,IF($A242&lt;VLOOKUP(N$5,NFI,5,0),1,0)*Table_NFI[[#This Row],[Kitchen Set]],Table_NFI[Kitchen Set])</f>
        <v>0</v>
      </c>
      <c r="AF242" s="294">
        <f>IF(NFI_Expiration=1,IF($A242&lt;VLOOKUP(O$5,NFI,5,0),1,0)*Table_NFI[[#This Row],[Clothes Kit]],Table_NFI[Clothes Kit])</f>
        <v>0</v>
      </c>
      <c r="AG242" s="294">
        <f>IF(NFI_Expiration=1,IF($A242&lt;VLOOKUP(P$5,NFI,5,0),1,0)*Table_NFI[[#This Row],[Plastic Bucket]],Table_NFI[Plastic Bucket])</f>
        <v>0</v>
      </c>
      <c r="AH242" s="294">
        <f>IF(NFI_Expiration=1,IF($A242&lt;VLOOKUP(Q$5,NFI,5,0),1,0)*Table_NFI[[#This Row],[Plastic Mat]],Table_NFI[Plastic Mat])*IF(Table_NFI[[#This Row],[Distribution Date]]&gt;"2014-04-01",1,2.5)</f>
        <v>0</v>
      </c>
      <c r="AI242" s="294">
        <f>IF(NFI_Expiration=1,IF($A242&lt;VLOOKUP(R$5,NFI,5,0),1,0)*Table_NFI[[#This Row],[Winter Clothes Adult]],Table_NFI[Winter Clothes Adult])</f>
        <v>0</v>
      </c>
      <c r="AJ242" s="294">
        <f>IF(NFI_Expiration=1,IF($A242&lt;VLOOKUP(S$5,NFI,5,0),1,0)*Table_NFI[[#This Row],[Winter Clothes Children]],Table_NFI[Winter Clothes Children])</f>
        <v>0</v>
      </c>
      <c r="AK242" s="294">
        <f>IF(NFI_Expiration=1,IF($A242&lt;VLOOKUP(T$5,NFI,5,0),1,0)*Table_NFI[[#This Row],[Winter Items Other]],Table_NFI[Winter Items Other])</f>
        <v>0</v>
      </c>
      <c r="AL242" s="294">
        <f>IF(NFI_Expiration=1,IF($A242&lt;VLOOKUP(M$5,NFI,5,0),1,0)*Table_NFI[[#This Row],[Winter Blanket]],Table_NFI[[#This Row],[Winter Blanket]])</f>
        <v>0</v>
      </c>
      <c r="AM242" s="294">
        <f>IF(Table_NFI[[#This Row],[Winter Clothes Adult]]+Table_NFI[[#This Row],[Winter Clothes Children]]+Table_NFI[[#This Row],[Winter Items Other]]+Table_NFI[[#This Row],[Winter Blanket]]&gt;0,1,0)</f>
        <v>0</v>
      </c>
      <c r="AN242" s="331">
        <f>IF(NFI_Expiration=1,IF($A242&lt;VLOOKUP(V$5,NFI,5,0),1,0)*Table_NFI[[#This Row],[Jerry Can]],Table_NFI[Jerry Can])</f>
        <v>0</v>
      </c>
      <c r="AO242" s="331">
        <f>IF(NFI_Expiration=1,IF($A242&lt;VLOOKUP(V$5,NFI,5,0),1,0)*Table_NFI[[#This Row],[Shelter Tool kit]],Table_NFI[Shelter Tool kit])</f>
        <v>0</v>
      </c>
      <c r="AP242" s="331">
        <f>IF(NFI_Expiration=1,IF($A242&lt;VLOOKUP(V$5,NFI,5,0),1,0)*Table_NFI[[#This Row],[Tent]],Table_NFI[Tent])</f>
        <v>0</v>
      </c>
      <c r="AQ242" s="467" t="str">
        <f>IFERROR(VLOOKUP(Table_NFI[[#This Row],[Camp Name]],CL,2,0),"")</f>
        <v>MMR001CMP028</v>
      </c>
      <c r="AR242" s="835">
        <f ca="1">IF(Table_NFI[[#This Row],[Pcode]]="","",IF(OFFSET(CampList[Opening Date],MATCH(Table_NFI[[#This Row],[Pcode]],CampList[CP_Pcode],0)-1,0,1,1)&gt;=NFI_Monitor_Date,1,0))</f>
        <v>0</v>
      </c>
      <c r="AS242" s="467" t="str">
        <f>IFERROR(VLOOKUP(Table_NFI[[#This Row],[Camp Name]],CL,3,0),"")</f>
        <v>Open</v>
      </c>
      <c r="AT242" s="294" t="str">
        <f ca="1">IF(Table_NFI[[#This Row],[Pcode]]="","",OFFSET(CampList[Priority],MATCH(Table_NFI[[#This Row],[Pcode]],CampList[CP_Pcode],0)-1,0,1,1))</f>
        <v>P4</v>
      </c>
      <c r="AU242" s="293">
        <f>IFERROR(Table_NFI[[#This Row],[Kitchen Set]]/VLOOKUP(Table_NFI[[#This Row],[Camp Name]],CL,4,0),"")</f>
        <v>3.6859565057132326E-4</v>
      </c>
      <c r="AV242" s="461"/>
      <c r="AW242" s="463"/>
    </row>
    <row r="243" spans="1:49" s="464" customFormat="1" x14ac:dyDescent="0.25">
      <c r="A243" s="297">
        <f t="shared" si="3"/>
        <v>26.433333333333334</v>
      </c>
      <c r="B243" s="460">
        <v>41943</v>
      </c>
      <c r="C243" s="461" t="s">
        <v>452</v>
      </c>
      <c r="D243" s="461"/>
      <c r="E243" s="461" t="s">
        <v>380</v>
      </c>
      <c r="F243" s="461" t="s">
        <v>527</v>
      </c>
      <c r="G243" s="461" t="s">
        <v>62</v>
      </c>
      <c r="H243" s="291"/>
      <c r="I243" s="291"/>
      <c r="J243" s="291">
        <v>77</v>
      </c>
      <c r="K243" s="291">
        <v>154</v>
      </c>
      <c r="L243" s="292">
        <v>77</v>
      </c>
      <c r="M243" s="292">
        <v>154</v>
      </c>
      <c r="N243" s="292">
        <v>77</v>
      </c>
      <c r="O243" s="292"/>
      <c r="P243" s="294">
        <v>77</v>
      </c>
      <c r="Q243" s="294">
        <v>385</v>
      </c>
      <c r="R243" s="294"/>
      <c r="S243" s="294"/>
      <c r="T243" s="294"/>
      <c r="U243" s="294"/>
      <c r="V243" s="431"/>
      <c r="W243" s="331"/>
      <c r="X243" s="331"/>
      <c r="Y243" s="294">
        <f>IF(NFI_Expiration=1,IF($A243&lt;VLOOKUP(H$5,NFI,5,0),1,0)*Table_NFI[[#This Row],[Hygiene Kit]],Table_NFI[Hygiene Kit])</f>
        <v>0</v>
      </c>
      <c r="Z243" s="294">
        <f>IF(NFI_Expiration=1,IF($A243&lt;VLOOKUP(I$5,NFI,5,0),1,0)*Table_NFI[[#This Row],[NFI Core Kit]],Table_NFI[NFI Core Kit])</f>
        <v>0</v>
      </c>
      <c r="AA243" s="294">
        <f>IF(NFI_Expiration=1,IF($A243&lt;VLOOKUP(J$5,NFI,5,0),1,0)*Table_NFI[[#This Row],[Sanitary Kit]],Table_NFI[Sanitary Kit])</f>
        <v>0</v>
      </c>
      <c r="AB243" s="294">
        <f>IF(NFI_Expiration=1,IF($A243&lt;VLOOKUP(K$5,NFI,5,0),1,0)*Table_NFI[[#This Row],[Mosquito net]],Table_NFI[Mosquito net])</f>
        <v>0</v>
      </c>
      <c r="AC243" s="294">
        <f>IF(NFI_Expiration=1,IF($A243&lt;VLOOKUP(L$5,NFI,5,0),1,0)*Table_NFI[[#This Row],[Tarpaulin]],Table_NFI[[#This Row],[Tarpaulin]])</f>
        <v>0</v>
      </c>
      <c r="AD243" s="294">
        <f>IF(NFI_Expiration=1,IF($A243&lt;VLOOKUP(M$5,NFI,5,0),1,0)*Table_NFI[[#This Row],[Blanket]],Table_NFI[[#This Row],[Blanket]])</f>
        <v>0</v>
      </c>
      <c r="AE243" s="294">
        <f>IF(NFI_Expiration=1,IF($A243&lt;VLOOKUP(N$5,NFI,5,0),1,0)*Table_NFI[[#This Row],[Kitchen Set]],Table_NFI[Kitchen Set])</f>
        <v>0</v>
      </c>
      <c r="AF243" s="294">
        <f>IF(NFI_Expiration=1,IF($A243&lt;VLOOKUP(O$5,NFI,5,0),1,0)*Table_NFI[[#This Row],[Clothes Kit]],Table_NFI[Clothes Kit])</f>
        <v>0</v>
      </c>
      <c r="AG243" s="294">
        <f>IF(NFI_Expiration=1,IF($A243&lt;VLOOKUP(P$5,NFI,5,0),1,0)*Table_NFI[[#This Row],[Plastic Bucket]],Table_NFI[Plastic Bucket])</f>
        <v>0</v>
      </c>
      <c r="AH243" s="294">
        <f>IF(NFI_Expiration=1,IF($A243&lt;VLOOKUP(Q$5,NFI,5,0),1,0)*Table_NFI[[#This Row],[Plastic Mat]],Table_NFI[Plastic Mat])*IF(Table_NFI[[#This Row],[Distribution Date]]&gt;"2014-04-01",1,2.5)</f>
        <v>0</v>
      </c>
      <c r="AI243" s="294">
        <f>IF(NFI_Expiration=1,IF($A243&lt;VLOOKUP(R$5,NFI,5,0),1,0)*Table_NFI[[#This Row],[Winter Clothes Adult]],Table_NFI[Winter Clothes Adult])</f>
        <v>0</v>
      </c>
      <c r="AJ243" s="294">
        <f>IF(NFI_Expiration=1,IF($A243&lt;VLOOKUP(S$5,NFI,5,0),1,0)*Table_NFI[[#This Row],[Winter Clothes Children]],Table_NFI[Winter Clothes Children])</f>
        <v>0</v>
      </c>
      <c r="AK243" s="294">
        <f>IF(NFI_Expiration=1,IF($A243&lt;VLOOKUP(T$5,NFI,5,0),1,0)*Table_NFI[[#This Row],[Winter Items Other]],Table_NFI[Winter Items Other])</f>
        <v>0</v>
      </c>
      <c r="AL243" s="294">
        <f>IF(NFI_Expiration=1,IF($A243&lt;VLOOKUP(M$5,NFI,5,0),1,0)*Table_NFI[[#This Row],[Winter Blanket]],Table_NFI[[#This Row],[Winter Blanket]])</f>
        <v>0</v>
      </c>
      <c r="AM243" s="294">
        <f>IF(Table_NFI[[#This Row],[Winter Clothes Adult]]+Table_NFI[[#This Row],[Winter Clothes Children]]+Table_NFI[[#This Row],[Winter Items Other]]+Table_NFI[[#This Row],[Winter Blanket]]&gt;0,1,0)</f>
        <v>0</v>
      </c>
      <c r="AN243" s="331">
        <f>IF(NFI_Expiration=1,IF($A243&lt;VLOOKUP(V$5,NFI,5,0),1,0)*Table_NFI[[#This Row],[Jerry Can]],Table_NFI[Jerry Can])</f>
        <v>0</v>
      </c>
      <c r="AO243" s="331">
        <f>IF(NFI_Expiration=1,IF($A243&lt;VLOOKUP(V$5,NFI,5,0),1,0)*Table_NFI[[#This Row],[Shelter Tool kit]],Table_NFI[Shelter Tool kit])</f>
        <v>0</v>
      </c>
      <c r="AP243" s="331">
        <f>IF(NFI_Expiration=1,IF($A243&lt;VLOOKUP(V$5,NFI,5,0),1,0)*Table_NFI[[#This Row],[Tent]],Table_NFI[Tent])</f>
        <v>0</v>
      </c>
      <c r="AQ243" s="467" t="str">
        <f>IFERROR(VLOOKUP(Table_NFI[[#This Row],[Camp Name]],CL,2,0),"")</f>
        <v>MMR001CMP179</v>
      </c>
      <c r="AR243" s="835">
        <f ca="1">IF(Table_NFI[[#This Row],[Pcode]]="","",IF(OFFSET(CampList[Opening Date],MATCH(Table_NFI[[#This Row],[Pcode]],CampList[CP_Pcode],0)-1,0,1,1)&gt;=NFI_Monitor_Date,1,0))</f>
        <v>0</v>
      </c>
      <c r="AS243" s="467" t="str">
        <f>IFERROR(VLOOKUP(Table_NFI[[#This Row],[Camp Name]],CL,3,0),"")</f>
        <v>Open</v>
      </c>
      <c r="AT243" s="294" t="str">
        <f ca="1">IF(Table_NFI[[#This Row],[Pcode]]="","",OFFSET(CampList[Priority],MATCH(Table_NFI[[#This Row],[Pcode]],CampList[CP_Pcode],0)-1,0,1,1))</f>
        <v>P4</v>
      </c>
      <c r="AU243" s="293">
        <f>IFERROR(Table_NFI[[#This Row],[Kitchen Set]]/VLOOKUP(Table_NFI[[#This Row],[Camp Name]],CL,4,0),"")</f>
        <v>1.8655360387643853E-3</v>
      </c>
      <c r="AV243" s="461"/>
      <c r="AW243" s="463"/>
    </row>
    <row r="244" spans="1:49" s="464" customFormat="1" x14ac:dyDescent="0.25">
      <c r="A244" s="297">
        <f t="shared" si="3"/>
        <v>26.433333333333334</v>
      </c>
      <c r="B244" s="460">
        <v>41943</v>
      </c>
      <c r="C244" s="461" t="s">
        <v>452</v>
      </c>
      <c r="D244" s="461"/>
      <c r="E244" s="461" t="s">
        <v>380</v>
      </c>
      <c r="F244" s="461" t="s">
        <v>527</v>
      </c>
      <c r="G244" s="461" t="s">
        <v>120</v>
      </c>
      <c r="H244" s="291"/>
      <c r="I244" s="291"/>
      <c r="J244" s="291">
        <v>59</v>
      </c>
      <c r="K244" s="291">
        <v>118</v>
      </c>
      <c r="L244" s="292">
        <v>59</v>
      </c>
      <c r="M244" s="292">
        <v>118</v>
      </c>
      <c r="N244" s="292">
        <v>59</v>
      </c>
      <c r="O244" s="292"/>
      <c r="P244" s="294">
        <v>59</v>
      </c>
      <c r="Q244" s="294">
        <v>295</v>
      </c>
      <c r="R244" s="294"/>
      <c r="S244" s="294"/>
      <c r="T244" s="294"/>
      <c r="U244" s="294"/>
      <c r="V244" s="431"/>
      <c r="W244" s="331"/>
      <c r="X244" s="331"/>
      <c r="Y244" s="294">
        <f>IF(NFI_Expiration=1,IF($A244&lt;VLOOKUP(H$5,NFI,5,0),1,0)*Table_NFI[[#This Row],[Hygiene Kit]],Table_NFI[Hygiene Kit])</f>
        <v>0</v>
      </c>
      <c r="Z244" s="294">
        <f>IF(NFI_Expiration=1,IF($A244&lt;VLOOKUP(I$5,NFI,5,0),1,0)*Table_NFI[[#This Row],[NFI Core Kit]],Table_NFI[NFI Core Kit])</f>
        <v>0</v>
      </c>
      <c r="AA244" s="294">
        <f>IF(NFI_Expiration=1,IF($A244&lt;VLOOKUP(J$5,NFI,5,0),1,0)*Table_NFI[[#This Row],[Sanitary Kit]],Table_NFI[Sanitary Kit])</f>
        <v>0</v>
      </c>
      <c r="AB244" s="294">
        <f>IF(NFI_Expiration=1,IF($A244&lt;VLOOKUP(K$5,NFI,5,0),1,0)*Table_NFI[[#This Row],[Mosquito net]],Table_NFI[Mosquito net])</f>
        <v>0</v>
      </c>
      <c r="AC244" s="294">
        <f>IF(NFI_Expiration=1,IF($A244&lt;VLOOKUP(L$5,NFI,5,0),1,0)*Table_NFI[[#This Row],[Tarpaulin]],Table_NFI[[#This Row],[Tarpaulin]])</f>
        <v>0</v>
      </c>
      <c r="AD244" s="294">
        <f>IF(NFI_Expiration=1,IF($A244&lt;VLOOKUP(M$5,NFI,5,0),1,0)*Table_NFI[[#This Row],[Blanket]],Table_NFI[[#This Row],[Blanket]])</f>
        <v>0</v>
      </c>
      <c r="AE244" s="294">
        <f>IF(NFI_Expiration=1,IF($A244&lt;VLOOKUP(N$5,NFI,5,0),1,0)*Table_NFI[[#This Row],[Kitchen Set]],Table_NFI[Kitchen Set])</f>
        <v>0</v>
      </c>
      <c r="AF244" s="294">
        <f>IF(NFI_Expiration=1,IF($A244&lt;VLOOKUP(O$5,NFI,5,0),1,0)*Table_NFI[[#This Row],[Clothes Kit]],Table_NFI[Clothes Kit])</f>
        <v>0</v>
      </c>
      <c r="AG244" s="294">
        <f>IF(NFI_Expiration=1,IF($A244&lt;VLOOKUP(P$5,NFI,5,0),1,0)*Table_NFI[[#This Row],[Plastic Bucket]],Table_NFI[Plastic Bucket])</f>
        <v>0</v>
      </c>
      <c r="AH244" s="294">
        <f>IF(NFI_Expiration=1,IF($A244&lt;VLOOKUP(Q$5,NFI,5,0),1,0)*Table_NFI[[#This Row],[Plastic Mat]],Table_NFI[Plastic Mat])*IF(Table_NFI[[#This Row],[Distribution Date]]&gt;"2014-04-01",1,2.5)</f>
        <v>0</v>
      </c>
      <c r="AI244" s="294">
        <f>IF(NFI_Expiration=1,IF($A244&lt;VLOOKUP(R$5,NFI,5,0),1,0)*Table_NFI[[#This Row],[Winter Clothes Adult]],Table_NFI[Winter Clothes Adult])</f>
        <v>0</v>
      </c>
      <c r="AJ244" s="294">
        <f>IF(NFI_Expiration=1,IF($A244&lt;VLOOKUP(S$5,NFI,5,0),1,0)*Table_NFI[[#This Row],[Winter Clothes Children]],Table_NFI[Winter Clothes Children])</f>
        <v>0</v>
      </c>
      <c r="AK244" s="294">
        <f>IF(NFI_Expiration=1,IF($A244&lt;VLOOKUP(T$5,NFI,5,0),1,0)*Table_NFI[[#This Row],[Winter Items Other]],Table_NFI[Winter Items Other])</f>
        <v>0</v>
      </c>
      <c r="AL244" s="294">
        <f>IF(NFI_Expiration=1,IF($A244&lt;VLOOKUP(M$5,NFI,5,0),1,0)*Table_NFI[[#This Row],[Winter Blanket]],Table_NFI[[#This Row],[Winter Blanket]])</f>
        <v>0</v>
      </c>
      <c r="AM244" s="294">
        <f>IF(Table_NFI[[#This Row],[Winter Clothes Adult]]+Table_NFI[[#This Row],[Winter Clothes Children]]+Table_NFI[[#This Row],[Winter Items Other]]+Table_NFI[[#This Row],[Winter Blanket]]&gt;0,1,0)</f>
        <v>0</v>
      </c>
      <c r="AN244" s="331">
        <f>IF(NFI_Expiration=1,IF($A244&lt;VLOOKUP(V$5,NFI,5,0),1,0)*Table_NFI[[#This Row],[Jerry Can]],Table_NFI[Jerry Can])</f>
        <v>0</v>
      </c>
      <c r="AO244" s="331">
        <f>IF(NFI_Expiration=1,IF($A244&lt;VLOOKUP(V$5,NFI,5,0),1,0)*Table_NFI[[#This Row],[Shelter Tool kit]],Table_NFI[Shelter Tool kit])</f>
        <v>0</v>
      </c>
      <c r="AP244" s="331">
        <f>IF(NFI_Expiration=1,IF($A244&lt;VLOOKUP(V$5,NFI,5,0),1,0)*Table_NFI[[#This Row],[Tent]],Table_NFI[Tent])</f>
        <v>0</v>
      </c>
      <c r="AQ244" s="467" t="str">
        <f>IFERROR(VLOOKUP(Table_NFI[[#This Row],[Camp Name]],CL,2,0),"")</f>
        <v>MMR001CMP168</v>
      </c>
      <c r="AR244" s="835">
        <f ca="1">IF(Table_NFI[[#This Row],[Pcode]]="","",IF(OFFSET(CampList[Opening Date],MATCH(Table_NFI[[#This Row],[Pcode]],CampList[CP_Pcode],0)-1,0,1,1)&gt;=NFI_Monitor_Date,1,0))</f>
        <v>0</v>
      </c>
      <c r="AS244" s="467" t="str">
        <f>IFERROR(VLOOKUP(Table_NFI[[#This Row],[Camp Name]],CL,3,0),"")</f>
        <v>Open</v>
      </c>
      <c r="AT244" s="294" t="str">
        <f ca="1">IF(Table_NFI[[#This Row],[Pcode]]="","",OFFSET(CampList[Priority],MATCH(Table_NFI[[#This Row],[Pcode]],CampList[CP_Pcode],0)-1,0,1,1))</f>
        <v>P4</v>
      </c>
      <c r="AU244" s="293">
        <f>IFERROR(Table_NFI[[#This Row],[Kitchen Set]]/VLOOKUP(Table_NFI[[#This Row],[Camp Name]],CL,4,0),"")</f>
        <v>1.4294367050272563E-3</v>
      </c>
      <c r="AV244" s="461"/>
      <c r="AW244" s="463"/>
    </row>
    <row r="245" spans="1:49" s="464" customFormat="1" x14ac:dyDescent="0.25">
      <c r="A245" s="297">
        <f t="shared" si="3"/>
        <v>26.433333333333334</v>
      </c>
      <c r="B245" s="460">
        <v>41943</v>
      </c>
      <c r="C245" s="461" t="s">
        <v>452</v>
      </c>
      <c r="D245" s="461"/>
      <c r="E245" s="461" t="s">
        <v>380</v>
      </c>
      <c r="F245" s="461" t="s">
        <v>527</v>
      </c>
      <c r="G245" s="461" t="s">
        <v>41</v>
      </c>
      <c r="H245" s="291"/>
      <c r="I245" s="291"/>
      <c r="J245" s="291">
        <v>67</v>
      </c>
      <c r="K245" s="291">
        <v>134</v>
      </c>
      <c r="L245" s="292">
        <v>67</v>
      </c>
      <c r="M245" s="292">
        <v>134</v>
      </c>
      <c r="N245" s="292">
        <v>67</v>
      </c>
      <c r="O245" s="292"/>
      <c r="P245" s="294">
        <v>67</v>
      </c>
      <c r="Q245" s="294">
        <v>335</v>
      </c>
      <c r="R245" s="294"/>
      <c r="S245" s="294"/>
      <c r="T245" s="294"/>
      <c r="U245" s="294"/>
      <c r="V245" s="431"/>
      <c r="W245" s="294"/>
      <c r="X245" s="294"/>
      <c r="Y245" s="294">
        <f>IF(NFI_Expiration=1,IF($A245&lt;VLOOKUP(H$5,NFI,5,0),1,0)*Table_NFI[[#This Row],[Hygiene Kit]],Table_NFI[Hygiene Kit])</f>
        <v>0</v>
      </c>
      <c r="Z245" s="294">
        <f>IF(NFI_Expiration=1,IF($A245&lt;VLOOKUP(I$5,NFI,5,0),1,0)*Table_NFI[[#This Row],[NFI Core Kit]],Table_NFI[NFI Core Kit])</f>
        <v>0</v>
      </c>
      <c r="AA245" s="294">
        <f>IF(NFI_Expiration=1,IF($A245&lt;VLOOKUP(J$5,NFI,5,0),1,0)*Table_NFI[[#This Row],[Sanitary Kit]],Table_NFI[Sanitary Kit])</f>
        <v>0</v>
      </c>
      <c r="AB245" s="294">
        <f>IF(NFI_Expiration=1,IF($A245&lt;VLOOKUP(K$5,NFI,5,0),1,0)*Table_NFI[[#This Row],[Mosquito net]],Table_NFI[Mosquito net])</f>
        <v>0</v>
      </c>
      <c r="AC245" s="294">
        <f>IF(NFI_Expiration=1,IF($A245&lt;VLOOKUP(L$5,NFI,5,0),1,0)*Table_NFI[[#This Row],[Tarpaulin]],Table_NFI[[#This Row],[Tarpaulin]])</f>
        <v>0</v>
      </c>
      <c r="AD245" s="294">
        <f>IF(NFI_Expiration=1,IF($A245&lt;VLOOKUP(M$5,NFI,5,0),1,0)*Table_NFI[[#This Row],[Blanket]],Table_NFI[[#This Row],[Blanket]])</f>
        <v>0</v>
      </c>
      <c r="AE245" s="294">
        <f>IF(NFI_Expiration=1,IF($A245&lt;VLOOKUP(N$5,NFI,5,0),1,0)*Table_NFI[[#This Row],[Kitchen Set]],Table_NFI[Kitchen Set])</f>
        <v>0</v>
      </c>
      <c r="AF245" s="294">
        <f>IF(NFI_Expiration=1,IF($A245&lt;VLOOKUP(O$5,NFI,5,0),1,0)*Table_NFI[[#This Row],[Clothes Kit]],Table_NFI[Clothes Kit])</f>
        <v>0</v>
      </c>
      <c r="AG245" s="294">
        <f>IF(NFI_Expiration=1,IF($A245&lt;VLOOKUP(P$5,NFI,5,0),1,0)*Table_NFI[[#This Row],[Plastic Bucket]],Table_NFI[Plastic Bucket])</f>
        <v>0</v>
      </c>
      <c r="AH245" s="294">
        <f>IF(NFI_Expiration=1,IF($A245&lt;VLOOKUP(Q$5,NFI,5,0),1,0)*Table_NFI[[#This Row],[Plastic Mat]],Table_NFI[Plastic Mat])*IF(Table_NFI[[#This Row],[Distribution Date]]&gt;"2014-04-01",1,2.5)</f>
        <v>0</v>
      </c>
      <c r="AI245" s="294">
        <f>IF(NFI_Expiration=1,IF($A245&lt;VLOOKUP(R$5,NFI,5,0),1,0)*Table_NFI[[#This Row],[Winter Clothes Adult]],Table_NFI[Winter Clothes Adult])</f>
        <v>0</v>
      </c>
      <c r="AJ245" s="294">
        <f>IF(NFI_Expiration=1,IF($A245&lt;VLOOKUP(S$5,NFI,5,0),1,0)*Table_NFI[[#This Row],[Winter Clothes Children]],Table_NFI[Winter Clothes Children])</f>
        <v>0</v>
      </c>
      <c r="AK245" s="294">
        <f>IF(NFI_Expiration=1,IF($A245&lt;VLOOKUP(T$5,NFI,5,0),1,0)*Table_NFI[[#This Row],[Winter Items Other]],Table_NFI[Winter Items Other])</f>
        <v>0</v>
      </c>
      <c r="AL245" s="294">
        <f>IF(NFI_Expiration=1,IF($A245&lt;VLOOKUP(M$5,NFI,5,0),1,0)*Table_NFI[[#This Row],[Winter Blanket]],Table_NFI[[#This Row],[Winter Blanket]])</f>
        <v>0</v>
      </c>
      <c r="AM245" s="294">
        <f>IF(Table_NFI[[#This Row],[Winter Clothes Adult]]+Table_NFI[[#This Row],[Winter Clothes Children]]+Table_NFI[[#This Row],[Winter Items Other]]+Table_NFI[[#This Row],[Winter Blanket]]&gt;0,1,0)</f>
        <v>0</v>
      </c>
      <c r="AN245" s="331">
        <f>IF(NFI_Expiration=1,IF($A245&lt;VLOOKUP(V$5,NFI,5,0),1,0)*Table_NFI[[#This Row],[Jerry Can]],Table_NFI[Jerry Can])</f>
        <v>0</v>
      </c>
      <c r="AO245" s="331">
        <f>IF(NFI_Expiration=1,IF($A245&lt;VLOOKUP(V$5,NFI,5,0),1,0)*Table_NFI[[#This Row],[Shelter Tool kit]],Table_NFI[Shelter Tool kit])</f>
        <v>0</v>
      </c>
      <c r="AP245" s="331">
        <f>IF(NFI_Expiration=1,IF($A245&lt;VLOOKUP(V$5,NFI,5,0),1,0)*Table_NFI[[#This Row],[Tent]],Table_NFI[Tent])</f>
        <v>0</v>
      </c>
      <c r="AQ245" s="467" t="str">
        <f>IFERROR(VLOOKUP(Table_NFI[[#This Row],[Camp Name]],CL,2,0),"")</f>
        <v>MMR001CMP176</v>
      </c>
      <c r="AR245" s="835">
        <f ca="1">IF(Table_NFI[[#This Row],[Pcode]]="","",IF(OFFSET(CampList[Opening Date],MATCH(Table_NFI[[#This Row],[Pcode]],CampList[CP_Pcode],0)-1,0,1,1)&gt;=NFI_Monitor_Date,1,0))</f>
        <v>0</v>
      </c>
      <c r="AS245" s="467" t="str">
        <f>IFERROR(VLOOKUP(Table_NFI[[#This Row],[Camp Name]],CL,3,0),"")</f>
        <v>Open</v>
      </c>
      <c r="AT245" s="294" t="str">
        <f ca="1">IF(Table_NFI[[#This Row],[Pcode]]="","",OFFSET(CampList[Priority],MATCH(Table_NFI[[#This Row],[Pcode]],CampList[CP_Pcode],0)-1,0,1,1))</f>
        <v>P4</v>
      </c>
      <c r="AU245" s="293">
        <f>IFERROR(Table_NFI[[#This Row],[Kitchen Set]]/VLOOKUP(Table_NFI[[#This Row],[Camp Name]],CL,4,0),"")</f>
        <v>1.6232586311326468E-3</v>
      </c>
      <c r="AV245" s="461"/>
      <c r="AW245" s="463"/>
    </row>
    <row r="246" spans="1:49" s="464" customFormat="1" x14ac:dyDescent="0.25">
      <c r="A246" s="297">
        <f t="shared" si="3"/>
        <v>26.433333333333334</v>
      </c>
      <c r="B246" s="460">
        <v>41943</v>
      </c>
      <c r="C246" s="461" t="s">
        <v>452</v>
      </c>
      <c r="D246" s="461"/>
      <c r="E246" s="461" t="s">
        <v>380</v>
      </c>
      <c r="F246" s="461" t="s">
        <v>527</v>
      </c>
      <c r="G246" s="461" t="s">
        <v>43</v>
      </c>
      <c r="H246" s="291"/>
      <c r="I246" s="291"/>
      <c r="J246" s="291">
        <v>14</v>
      </c>
      <c r="K246" s="291">
        <v>28</v>
      </c>
      <c r="L246" s="292">
        <v>14</v>
      </c>
      <c r="M246" s="292">
        <v>28</v>
      </c>
      <c r="N246" s="292">
        <v>14</v>
      </c>
      <c r="O246" s="292"/>
      <c r="P246" s="294">
        <v>14</v>
      </c>
      <c r="Q246" s="294">
        <v>70</v>
      </c>
      <c r="R246" s="294"/>
      <c r="S246" s="294"/>
      <c r="T246" s="294"/>
      <c r="U246" s="294"/>
      <c r="V246" s="431"/>
      <c r="W246" s="294"/>
      <c r="X246" s="294"/>
      <c r="Y246" s="294">
        <f>IF(NFI_Expiration=1,IF($A246&lt;VLOOKUP(H$5,NFI,5,0),1,0)*Table_NFI[[#This Row],[Hygiene Kit]],Table_NFI[Hygiene Kit])</f>
        <v>0</v>
      </c>
      <c r="Z246" s="294">
        <f>IF(NFI_Expiration=1,IF($A246&lt;VLOOKUP(I$5,NFI,5,0),1,0)*Table_NFI[[#This Row],[NFI Core Kit]],Table_NFI[NFI Core Kit])</f>
        <v>0</v>
      </c>
      <c r="AA246" s="294">
        <f>IF(NFI_Expiration=1,IF($A246&lt;VLOOKUP(J$5,NFI,5,0),1,0)*Table_NFI[[#This Row],[Sanitary Kit]],Table_NFI[Sanitary Kit])</f>
        <v>0</v>
      </c>
      <c r="AB246" s="294">
        <f>IF(NFI_Expiration=1,IF($A246&lt;VLOOKUP(K$5,NFI,5,0),1,0)*Table_NFI[[#This Row],[Mosquito net]],Table_NFI[Mosquito net])</f>
        <v>0</v>
      </c>
      <c r="AC246" s="294">
        <f>IF(NFI_Expiration=1,IF($A246&lt;VLOOKUP(L$5,NFI,5,0),1,0)*Table_NFI[[#This Row],[Tarpaulin]],Table_NFI[[#This Row],[Tarpaulin]])</f>
        <v>0</v>
      </c>
      <c r="AD246" s="294">
        <f>IF(NFI_Expiration=1,IF($A246&lt;VLOOKUP(M$5,NFI,5,0),1,0)*Table_NFI[[#This Row],[Blanket]],Table_NFI[[#This Row],[Blanket]])</f>
        <v>0</v>
      </c>
      <c r="AE246" s="294">
        <f>IF(NFI_Expiration=1,IF($A246&lt;VLOOKUP(N$5,NFI,5,0),1,0)*Table_NFI[[#This Row],[Kitchen Set]],Table_NFI[Kitchen Set])</f>
        <v>0</v>
      </c>
      <c r="AF246" s="294">
        <f>IF(NFI_Expiration=1,IF($A246&lt;VLOOKUP(O$5,NFI,5,0),1,0)*Table_NFI[[#This Row],[Clothes Kit]],Table_NFI[Clothes Kit])</f>
        <v>0</v>
      </c>
      <c r="AG246" s="294">
        <f>IF(NFI_Expiration=1,IF($A246&lt;VLOOKUP(P$5,NFI,5,0),1,0)*Table_NFI[[#This Row],[Plastic Bucket]],Table_NFI[Plastic Bucket])</f>
        <v>0</v>
      </c>
      <c r="AH246" s="294">
        <f>IF(NFI_Expiration=1,IF($A246&lt;VLOOKUP(Q$5,NFI,5,0),1,0)*Table_NFI[[#This Row],[Plastic Mat]],Table_NFI[Plastic Mat])*IF(Table_NFI[[#This Row],[Distribution Date]]&gt;"2014-04-01",1,2.5)</f>
        <v>0</v>
      </c>
      <c r="AI246" s="294">
        <f>IF(NFI_Expiration=1,IF($A246&lt;VLOOKUP(R$5,NFI,5,0),1,0)*Table_NFI[[#This Row],[Winter Clothes Adult]],Table_NFI[Winter Clothes Adult])</f>
        <v>0</v>
      </c>
      <c r="AJ246" s="294">
        <f>IF(NFI_Expiration=1,IF($A246&lt;VLOOKUP(S$5,NFI,5,0),1,0)*Table_NFI[[#This Row],[Winter Clothes Children]],Table_NFI[Winter Clothes Children])</f>
        <v>0</v>
      </c>
      <c r="AK246" s="294">
        <f>IF(NFI_Expiration=1,IF($A246&lt;VLOOKUP(T$5,NFI,5,0),1,0)*Table_NFI[[#This Row],[Winter Items Other]],Table_NFI[Winter Items Other])</f>
        <v>0</v>
      </c>
      <c r="AL246" s="294">
        <f>IF(NFI_Expiration=1,IF($A246&lt;VLOOKUP(M$5,NFI,5,0),1,0)*Table_NFI[[#This Row],[Winter Blanket]],Table_NFI[[#This Row],[Winter Blanket]])</f>
        <v>0</v>
      </c>
      <c r="AM246" s="294">
        <f>IF(Table_NFI[[#This Row],[Winter Clothes Adult]]+Table_NFI[[#This Row],[Winter Clothes Children]]+Table_NFI[[#This Row],[Winter Items Other]]+Table_NFI[[#This Row],[Winter Blanket]]&gt;0,1,0)</f>
        <v>0</v>
      </c>
      <c r="AN246" s="331">
        <f>IF(NFI_Expiration=1,IF($A246&lt;VLOOKUP(V$5,NFI,5,0),1,0)*Table_NFI[[#This Row],[Jerry Can]],Table_NFI[Jerry Can])</f>
        <v>0</v>
      </c>
      <c r="AO246" s="331">
        <f>IF(NFI_Expiration=1,IF($A246&lt;VLOOKUP(V$5,NFI,5,0),1,0)*Table_NFI[[#This Row],[Shelter Tool kit]],Table_NFI[Shelter Tool kit])</f>
        <v>0</v>
      </c>
      <c r="AP246" s="331">
        <f>IF(NFI_Expiration=1,IF($A246&lt;VLOOKUP(V$5,NFI,5,0),1,0)*Table_NFI[[#This Row],[Tent]],Table_NFI[Tent])</f>
        <v>0</v>
      </c>
      <c r="AQ246" s="467" t="str">
        <f>IFERROR(VLOOKUP(Table_NFI[[#This Row],[Camp Name]],CL,2,0),"")</f>
        <v>MMR001CMP190</v>
      </c>
      <c r="AR246" s="835">
        <f ca="1">IF(Table_NFI[[#This Row],[Pcode]]="","",IF(OFFSET(CampList[Opening Date],MATCH(Table_NFI[[#This Row],[Pcode]],CampList[CP_Pcode],0)-1,0,1,1)&gt;=NFI_Monitor_Date,1,0))</f>
        <v>0</v>
      </c>
      <c r="AS246" s="467" t="str">
        <f>IFERROR(VLOOKUP(Table_NFI[[#This Row],[Camp Name]],CL,3,0),"")</f>
        <v>Open</v>
      </c>
      <c r="AT246" s="294" t="str">
        <f ca="1">IF(Table_NFI[[#This Row],[Pcode]]="","",OFFSET(CampList[Priority],MATCH(Table_NFI[[#This Row],[Pcode]],CampList[CP_Pcode],0)-1,0,1,1))</f>
        <v>P4</v>
      </c>
      <c r="AU246" s="293">
        <f>IFERROR(Table_NFI[[#This Row],[Kitchen Set]]/VLOOKUP(Table_NFI[[#This Row],[Camp Name]],CL,4,0),"")</f>
        <v>3.391883706844337E-4</v>
      </c>
      <c r="AV246" s="461"/>
      <c r="AW246" s="463"/>
    </row>
    <row r="247" spans="1:49" s="464" customFormat="1" x14ac:dyDescent="0.25">
      <c r="A247" s="297">
        <f t="shared" si="3"/>
        <v>26.433333333333334</v>
      </c>
      <c r="B247" s="460">
        <v>41943</v>
      </c>
      <c r="C247" s="461" t="s">
        <v>452</v>
      </c>
      <c r="D247" s="461"/>
      <c r="E247" s="461" t="s">
        <v>380</v>
      </c>
      <c r="F247" s="461" t="s">
        <v>527</v>
      </c>
      <c r="G247" s="461" t="s">
        <v>52</v>
      </c>
      <c r="H247" s="291"/>
      <c r="I247" s="291"/>
      <c r="J247" s="291">
        <v>38</v>
      </c>
      <c r="K247" s="291">
        <v>76</v>
      </c>
      <c r="L247" s="292">
        <v>38</v>
      </c>
      <c r="M247" s="292">
        <v>76</v>
      </c>
      <c r="N247" s="292">
        <v>38</v>
      </c>
      <c r="O247" s="292"/>
      <c r="P247" s="294">
        <v>38</v>
      </c>
      <c r="Q247" s="294">
        <v>190</v>
      </c>
      <c r="R247" s="294"/>
      <c r="S247" s="294"/>
      <c r="T247" s="294"/>
      <c r="U247" s="294"/>
      <c r="V247" s="431"/>
      <c r="W247" s="331"/>
      <c r="X247" s="331"/>
      <c r="Y247" s="294">
        <f>IF(NFI_Expiration=1,IF($A247&lt;VLOOKUP(H$5,NFI,5,0),1,0)*Table_NFI[[#This Row],[Hygiene Kit]],Table_NFI[Hygiene Kit])</f>
        <v>0</v>
      </c>
      <c r="Z247" s="294">
        <f>IF(NFI_Expiration=1,IF($A247&lt;VLOOKUP(I$5,NFI,5,0),1,0)*Table_NFI[[#This Row],[NFI Core Kit]],Table_NFI[NFI Core Kit])</f>
        <v>0</v>
      </c>
      <c r="AA247" s="294">
        <f>IF(NFI_Expiration=1,IF($A247&lt;VLOOKUP(J$5,NFI,5,0),1,0)*Table_NFI[[#This Row],[Sanitary Kit]],Table_NFI[Sanitary Kit])</f>
        <v>0</v>
      </c>
      <c r="AB247" s="294">
        <f>IF(NFI_Expiration=1,IF($A247&lt;VLOOKUP(K$5,NFI,5,0),1,0)*Table_NFI[[#This Row],[Mosquito net]],Table_NFI[Mosquito net])</f>
        <v>0</v>
      </c>
      <c r="AC247" s="294">
        <f>IF(NFI_Expiration=1,IF($A247&lt;VLOOKUP(L$5,NFI,5,0),1,0)*Table_NFI[[#This Row],[Tarpaulin]],Table_NFI[[#This Row],[Tarpaulin]])</f>
        <v>0</v>
      </c>
      <c r="AD247" s="294">
        <f>IF(NFI_Expiration=1,IF($A247&lt;VLOOKUP(M$5,NFI,5,0),1,0)*Table_NFI[[#This Row],[Blanket]],Table_NFI[[#This Row],[Blanket]])</f>
        <v>0</v>
      </c>
      <c r="AE247" s="294">
        <f>IF(NFI_Expiration=1,IF($A247&lt;VLOOKUP(N$5,NFI,5,0),1,0)*Table_NFI[[#This Row],[Kitchen Set]],Table_NFI[Kitchen Set])</f>
        <v>0</v>
      </c>
      <c r="AF247" s="294">
        <f>IF(NFI_Expiration=1,IF($A247&lt;VLOOKUP(O$5,NFI,5,0),1,0)*Table_NFI[[#This Row],[Clothes Kit]],Table_NFI[Clothes Kit])</f>
        <v>0</v>
      </c>
      <c r="AG247" s="294">
        <f>IF(NFI_Expiration=1,IF($A247&lt;VLOOKUP(P$5,NFI,5,0),1,0)*Table_NFI[[#This Row],[Plastic Bucket]],Table_NFI[Plastic Bucket])</f>
        <v>0</v>
      </c>
      <c r="AH247" s="294">
        <f>IF(NFI_Expiration=1,IF($A247&lt;VLOOKUP(Q$5,NFI,5,0),1,0)*Table_NFI[[#This Row],[Plastic Mat]],Table_NFI[Plastic Mat])*IF(Table_NFI[[#This Row],[Distribution Date]]&gt;"2014-04-01",1,2.5)</f>
        <v>0</v>
      </c>
      <c r="AI247" s="294">
        <f>IF(NFI_Expiration=1,IF($A247&lt;VLOOKUP(R$5,NFI,5,0),1,0)*Table_NFI[[#This Row],[Winter Clothes Adult]],Table_NFI[Winter Clothes Adult])</f>
        <v>0</v>
      </c>
      <c r="AJ247" s="294">
        <f>IF(NFI_Expiration=1,IF($A247&lt;VLOOKUP(S$5,NFI,5,0),1,0)*Table_NFI[[#This Row],[Winter Clothes Children]],Table_NFI[Winter Clothes Children])</f>
        <v>0</v>
      </c>
      <c r="AK247" s="294">
        <f>IF(NFI_Expiration=1,IF($A247&lt;VLOOKUP(T$5,NFI,5,0),1,0)*Table_NFI[[#This Row],[Winter Items Other]],Table_NFI[Winter Items Other])</f>
        <v>0</v>
      </c>
      <c r="AL247" s="294">
        <f>IF(NFI_Expiration=1,IF($A247&lt;VLOOKUP(M$5,NFI,5,0),1,0)*Table_NFI[[#This Row],[Winter Blanket]],Table_NFI[[#This Row],[Winter Blanket]])</f>
        <v>0</v>
      </c>
      <c r="AM247" s="294">
        <f>IF(Table_NFI[[#This Row],[Winter Clothes Adult]]+Table_NFI[[#This Row],[Winter Clothes Children]]+Table_NFI[[#This Row],[Winter Items Other]]+Table_NFI[[#This Row],[Winter Blanket]]&gt;0,1,0)</f>
        <v>0</v>
      </c>
      <c r="AN247" s="331">
        <f>IF(NFI_Expiration=1,IF($A247&lt;VLOOKUP(V$5,NFI,5,0),1,0)*Table_NFI[[#This Row],[Jerry Can]],Table_NFI[Jerry Can])</f>
        <v>0</v>
      </c>
      <c r="AO247" s="331">
        <f>IF(NFI_Expiration=1,IF($A247&lt;VLOOKUP(V$5,NFI,5,0),1,0)*Table_NFI[[#This Row],[Shelter Tool kit]],Table_NFI[Shelter Tool kit])</f>
        <v>0</v>
      </c>
      <c r="AP247" s="331">
        <f>IF(NFI_Expiration=1,IF($A247&lt;VLOOKUP(V$5,NFI,5,0),1,0)*Table_NFI[[#This Row],[Tent]],Table_NFI[Tent])</f>
        <v>0</v>
      </c>
      <c r="AQ247" s="467" t="str">
        <f>IFERROR(VLOOKUP(Table_NFI[[#This Row],[Camp Name]],CL,2,0),"")</f>
        <v>MMR001CMP169</v>
      </c>
      <c r="AR247" s="835">
        <f ca="1">IF(Table_NFI[[#This Row],[Pcode]]="","",IF(OFFSET(CampList[Opening Date],MATCH(Table_NFI[[#This Row],[Pcode]],CampList[CP_Pcode],0)-1,0,1,1)&gt;=NFI_Monitor_Date,1,0))</f>
        <v>0</v>
      </c>
      <c r="AS247" s="467" t="str">
        <f>IFERROR(VLOOKUP(Table_NFI[[#This Row],[Camp Name]],CL,3,0),"")</f>
        <v>Open</v>
      </c>
      <c r="AT247" s="294" t="str">
        <f ca="1">IF(Table_NFI[[#This Row],[Pcode]]="","",OFFSET(CampList[Priority],MATCH(Table_NFI[[#This Row],[Pcode]],CampList[CP_Pcode],0)-1,0,1,1))</f>
        <v>P4</v>
      </c>
      <c r="AU247" s="293">
        <f>IFERROR(Table_NFI[[#This Row],[Kitchen Set]]/VLOOKUP(Table_NFI[[#This Row],[Camp Name]],CL,4,0),"")</f>
        <v>9.2065414900060572E-4</v>
      </c>
      <c r="AV247" s="461"/>
      <c r="AW247" s="463"/>
    </row>
    <row r="248" spans="1:49" s="464" customFormat="1" ht="14.45" customHeight="1" x14ac:dyDescent="0.25">
      <c r="A248" s="297">
        <f t="shared" si="3"/>
        <v>26.433333333333334</v>
      </c>
      <c r="B248" s="460">
        <v>41943</v>
      </c>
      <c r="C248" s="461" t="s">
        <v>452</v>
      </c>
      <c r="D248" s="461"/>
      <c r="E248" s="461" t="s">
        <v>380</v>
      </c>
      <c r="F248" s="461" t="s">
        <v>527</v>
      </c>
      <c r="G248" s="461" t="s">
        <v>72</v>
      </c>
      <c r="H248" s="291"/>
      <c r="I248" s="291"/>
      <c r="J248" s="291">
        <v>5</v>
      </c>
      <c r="K248" s="291">
        <v>10</v>
      </c>
      <c r="L248" s="292">
        <v>5</v>
      </c>
      <c r="M248" s="292">
        <v>10</v>
      </c>
      <c r="N248" s="292">
        <v>5</v>
      </c>
      <c r="O248" s="292"/>
      <c r="P248" s="294">
        <v>5</v>
      </c>
      <c r="Q248" s="294">
        <v>25</v>
      </c>
      <c r="R248" s="294"/>
      <c r="S248" s="294"/>
      <c r="T248" s="294"/>
      <c r="U248" s="294"/>
      <c r="V248" s="431"/>
      <c r="W248" s="294"/>
      <c r="X248" s="294"/>
      <c r="Y248" s="294">
        <f>IF(NFI_Expiration=1,IF($A248&lt;VLOOKUP(H$5,NFI,5,0),1,0)*Table_NFI[[#This Row],[Hygiene Kit]],Table_NFI[Hygiene Kit])</f>
        <v>0</v>
      </c>
      <c r="Z248" s="294">
        <f>IF(NFI_Expiration=1,IF($A248&lt;VLOOKUP(I$5,NFI,5,0),1,0)*Table_NFI[[#This Row],[NFI Core Kit]],Table_NFI[NFI Core Kit])</f>
        <v>0</v>
      </c>
      <c r="AA248" s="294">
        <f>IF(NFI_Expiration=1,IF($A248&lt;VLOOKUP(J$5,NFI,5,0),1,0)*Table_NFI[[#This Row],[Sanitary Kit]],Table_NFI[Sanitary Kit])</f>
        <v>0</v>
      </c>
      <c r="AB248" s="294">
        <f>IF(NFI_Expiration=1,IF($A248&lt;VLOOKUP(K$5,NFI,5,0),1,0)*Table_NFI[[#This Row],[Mosquito net]],Table_NFI[Mosquito net])</f>
        <v>0</v>
      </c>
      <c r="AC248" s="294">
        <f>IF(NFI_Expiration=1,IF($A248&lt;VLOOKUP(L$5,NFI,5,0),1,0)*Table_NFI[[#This Row],[Tarpaulin]],Table_NFI[[#This Row],[Tarpaulin]])</f>
        <v>0</v>
      </c>
      <c r="AD248" s="294">
        <f>IF(NFI_Expiration=1,IF($A248&lt;VLOOKUP(M$5,NFI,5,0),1,0)*Table_NFI[[#This Row],[Blanket]],Table_NFI[[#This Row],[Blanket]])</f>
        <v>0</v>
      </c>
      <c r="AE248" s="294">
        <f>IF(NFI_Expiration=1,IF($A248&lt;VLOOKUP(N$5,NFI,5,0),1,0)*Table_NFI[[#This Row],[Kitchen Set]],Table_NFI[Kitchen Set])</f>
        <v>0</v>
      </c>
      <c r="AF248" s="294">
        <f>IF(NFI_Expiration=1,IF($A248&lt;VLOOKUP(O$5,NFI,5,0),1,0)*Table_NFI[[#This Row],[Clothes Kit]],Table_NFI[Clothes Kit])</f>
        <v>0</v>
      </c>
      <c r="AG248" s="294">
        <f>IF(NFI_Expiration=1,IF($A248&lt;VLOOKUP(P$5,NFI,5,0),1,0)*Table_NFI[[#This Row],[Plastic Bucket]],Table_NFI[Plastic Bucket])</f>
        <v>0</v>
      </c>
      <c r="AH248" s="294">
        <f>IF(NFI_Expiration=1,IF($A248&lt;VLOOKUP(Q$5,NFI,5,0),1,0)*Table_NFI[[#This Row],[Plastic Mat]],Table_NFI[Plastic Mat])*IF(Table_NFI[[#This Row],[Distribution Date]]&gt;"2014-04-01",1,2.5)</f>
        <v>0</v>
      </c>
      <c r="AI248" s="294">
        <f>IF(NFI_Expiration=1,IF($A248&lt;VLOOKUP(R$5,NFI,5,0),1,0)*Table_NFI[[#This Row],[Winter Clothes Adult]],Table_NFI[Winter Clothes Adult])</f>
        <v>0</v>
      </c>
      <c r="AJ248" s="294">
        <f>IF(NFI_Expiration=1,IF($A248&lt;VLOOKUP(S$5,NFI,5,0),1,0)*Table_NFI[[#This Row],[Winter Clothes Children]],Table_NFI[Winter Clothes Children])</f>
        <v>0</v>
      </c>
      <c r="AK248" s="294">
        <f>IF(NFI_Expiration=1,IF($A248&lt;VLOOKUP(T$5,NFI,5,0),1,0)*Table_NFI[[#This Row],[Winter Items Other]],Table_NFI[Winter Items Other])</f>
        <v>0</v>
      </c>
      <c r="AL248" s="294">
        <f>IF(NFI_Expiration=1,IF($A248&lt;VLOOKUP(M$5,NFI,5,0),1,0)*Table_NFI[[#This Row],[Winter Blanket]],Table_NFI[[#This Row],[Winter Blanket]])</f>
        <v>0</v>
      </c>
      <c r="AM248" s="294">
        <f>IF(Table_NFI[[#This Row],[Winter Clothes Adult]]+Table_NFI[[#This Row],[Winter Clothes Children]]+Table_NFI[[#This Row],[Winter Items Other]]+Table_NFI[[#This Row],[Winter Blanket]]&gt;0,1,0)</f>
        <v>0</v>
      </c>
      <c r="AN248" s="331">
        <f>IF(NFI_Expiration=1,IF($A248&lt;VLOOKUP(V$5,NFI,5,0),1,0)*Table_NFI[[#This Row],[Jerry Can]],Table_NFI[Jerry Can])</f>
        <v>0</v>
      </c>
      <c r="AO248" s="331">
        <f>IF(NFI_Expiration=1,IF($A248&lt;VLOOKUP(V$5,NFI,5,0),1,0)*Table_NFI[[#This Row],[Shelter Tool kit]],Table_NFI[Shelter Tool kit])</f>
        <v>0</v>
      </c>
      <c r="AP248" s="331">
        <f>IF(NFI_Expiration=1,IF($A248&lt;VLOOKUP(V$5,NFI,5,0),1,0)*Table_NFI[[#This Row],[Tent]],Table_NFI[Tent])</f>
        <v>0</v>
      </c>
      <c r="AQ248" s="467" t="str">
        <f>IFERROR(VLOOKUP(Table_NFI[[#This Row],[Camp Name]],CL,2,0),"")</f>
        <v>MMR001CMP109</v>
      </c>
      <c r="AR248" s="835">
        <f ca="1">IF(Table_NFI[[#This Row],[Pcode]]="","",IF(OFFSET(CampList[Opening Date],MATCH(Table_NFI[[#This Row],[Pcode]],CampList[CP_Pcode],0)-1,0,1,1)&gt;=NFI_Monitor_Date,1,0))</f>
        <v>0</v>
      </c>
      <c r="AS248" s="467" t="str">
        <f>IFERROR(VLOOKUP(Table_NFI[[#This Row],[Camp Name]],CL,3,0),"")</f>
        <v>Open</v>
      </c>
      <c r="AT248" s="294" t="str">
        <f ca="1">IF(Table_NFI[[#This Row],[Pcode]]="","",OFFSET(CampList[Priority],MATCH(Table_NFI[[#This Row],[Pcode]],CampList[CP_Pcode],0)-1,0,1,1))</f>
        <v>P4</v>
      </c>
      <c r="AU248" s="293">
        <f>IFERROR(Table_NFI[[#This Row],[Kitchen Set]]/VLOOKUP(Table_NFI[[#This Row],[Camp Name]],CL,4,0),"")</f>
        <v>1.2051968086388508E-4</v>
      </c>
      <c r="AV248" s="461"/>
      <c r="AW248" s="463"/>
    </row>
    <row r="249" spans="1:49" s="464" customFormat="1" x14ac:dyDescent="0.25">
      <c r="A249" s="297">
        <f t="shared" si="3"/>
        <v>26.433333333333334</v>
      </c>
      <c r="B249" s="460">
        <v>41943</v>
      </c>
      <c r="C249" s="461" t="s">
        <v>452</v>
      </c>
      <c r="D249" s="461"/>
      <c r="E249" s="461" t="s">
        <v>380</v>
      </c>
      <c r="F249" s="461" t="s">
        <v>527</v>
      </c>
      <c r="G249" s="461" t="s">
        <v>76</v>
      </c>
      <c r="H249" s="291"/>
      <c r="I249" s="291"/>
      <c r="J249" s="291">
        <v>67</v>
      </c>
      <c r="K249" s="291">
        <v>134</v>
      </c>
      <c r="L249" s="292">
        <v>67</v>
      </c>
      <c r="M249" s="292">
        <v>134</v>
      </c>
      <c r="N249" s="292">
        <v>67</v>
      </c>
      <c r="O249" s="292"/>
      <c r="P249" s="294">
        <v>67</v>
      </c>
      <c r="Q249" s="294">
        <v>335</v>
      </c>
      <c r="R249" s="294"/>
      <c r="S249" s="294"/>
      <c r="T249" s="294"/>
      <c r="U249" s="294"/>
      <c r="V249" s="431"/>
      <c r="W249" s="294"/>
      <c r="X249" s="294"/>
      <c r="Y249" s="294">
        <f>IF(NFI_Expiration=1,IF($A249&lt;VLOOKUP(H$5,NFI,5,0),1,0)*Table_NFI[[#This Row],[Hygiene Kit]],Table_NFI[Hygiene Kit])</f>
        <v>0</v>
      </c>
      <c r="Z249" s="294">
        <f>IF(NFI_Expiration=1,IF($A249&lt;VLOOKUP(I$5,NFI,5,0),1,0)*Table_NFI[[#This Row],[NFI Core Kit]],Table_NFI[NFI Core Kit])</f>
        <v>0</v>
      </c>
      <c r="AA249" s="294">
        <f>IF(NFI_Expiration=1,IF($A249&lt;VLOOKUP(J$5,NFI,5,0),1,0)*Table_NFI[[#This Row],[Sanitary Kit]],Table_NFI[Sanitary Kit])</f>
        <v>0</v>
      </c>
      <c r="AB249" s="294">
        <f>IF(NFI_Expiration=1,IF($A249&lt;VLOOKUP(K$5,NFI,5,0),1,0)*Table_NFI[[#This Row],[Mosquito net]],Table_NFI[Mosquito net])</f>
        <v>0</v>
      </c>
      <c r="AC249" s="294">
        <f>IF(NFI_Expiration=1,IF($A249&lt;VLOOKUP(L$5,NFI,5,0),1,0)*Table_NFI[[#This Row],[Tarpaulin]],Table_NFI[[#This Row],[Tarpaulin]])</f>
        <v>0</v>
      </c>
      <c r="AD249" s="294">
        <f>IF(NFI_Expiration=1,IF($A249&lt;VLOOKUP(M$5,NFI,5,0),1,0)*Table_NFI[[#This Row],[Blanket]],Table_NFI[[#This Row],[Blanket]])</f>
        <v>0</v>
      </c>
      <c r="AE249" s="294">
        <f>IF(NFI_Expiration=1,IF($A249&lt;VLOOKUP(N$5,NFI,5,0),1,0)*Table_NFI[[#This Row],[Kitchen Set]],Table_NFI[Kitchen Set])</f>
        <v>0</v>
      </c>
      <c r="AF249" s="294">
        <f>IF(NFI_Expiration=1,IF($A249&lt;VLOOKUP(O$5,NFI,5,0),1,0)*Table_NFI[[#This Row],[Clothes Kit]],Table_NFI[Clothes Kit])</f>
        <v>0</v>
      </c>
      <c r="AG249" s="294">
        <f>IF(NFI_Expiration=1,IF($A249&lt;VLOOKUP(P$5,NFI,5,0),1,0)*Table_NFI[[#This Row],[Plastic Bucket]],Table_NFI[Plastic Bucket])</f>
        <v>0</v>
      </c>
      <c r="AH249" s="294">
        <f>IF(NFI_Expiration=1,IF($A249&lt;VLOOKUP(Q$5,NFI,5,0),1,0)*Table_NFI[[#This Row],[Plastic Mat]],Table_NFI[Plastic Mat])*IF(Table_NFI[[#This Row],[Distribution Date]]&gt;"2014-04-01",1,2.5)</f>
        <v>0</v>
      </c>
      <c r="AI249" s="294">
        <f>IF(NFI_Expiration=1,IF($A249&lt;VLOOKUP(R$5,NFI,5,0),1,0)*Table_NFI[[#This Row],[Winter Clothes Adult]],Table_NFI[Winter Clothes Adult])</f>
        <v>0</v>
      </c>
      <c r="AJ249" s="294">
        <f>IF(NFI_Expiration=1,IF($A249&lt;VLOOKUP(S$5,NFI,5,0),1,0)*Table_NFI[[#This Row],[Winter Clothes Children]],Table_NFI[Winter Clothes Children])</f>
        <v>0</v>
      </c>
      <c r="AK249" s="294">
        <f>IF(NFI_Expiration=1,IF($A249&lt;VLOOKUP(T$5,NFI,5,0),1,0)*Table_NFI[[#This Row],[Winter Items Other]],Table_NFI[Winter Items Other])</f>
        <v>0</v>
      </c>
      <c r="AL249" s="294">
        <f>IF(NFI_Expiration=1,IF($A249&lt;VLOOKUP(M$5,NFI,5,0),1,0)*Table_NFI[[#This Row],[Winter Blanket]],Table_NFI[[#This Row],[Winter Blanket]])</f>
        <v>0</v>
      </c>
      <c r="AM249" s="294">
        <f>IF(Table_NFI[[#This Row],[Winter Clothes Adult]]+Table_NFI[[#This Row],[Winter Clothes Children]]+Table_NFI[[#This Row],[Winter Items Other]]+Table_NFI[[#This Row],[Winter Blanket]]&gt;0,1,0)</f>
        <v>0</v>
      </c>
      <c r="AN249" s="331">
        <f>IF(NFI_Expiration=1,IF($A249&lt;VLOOKUP(V$5,NFI,5,0),1,0)*Table_NFI[[#This Row],[Jerry Can]],Table_NFI[Jerry Can])</f>
        <v>0</v>
      </c>
      <c r="AO249" s="331">
        <f>IF(NFI_Expiration=1,IF($A249&lt;VLOOKUP(V$5,NFI,5,0),1,0)*Table_NFI[[#This Row],[Shelter Tool kit]],Table_NFI[Shelter Tool kit])</f>
        <v>0</v>
      </c>
      <c r="AP249" s="331">
        <f>IF(NFI_Expiration=1,IF($A249&lt;VLOOKUP(V$5,NFI,5,0),1,0)*Table_NFI[[#This Row],[Tent]],Table_NFI[Tent])</f>
        <v>0</v>
      </c>
      <c r="AQ249" s="467" t="str">
        <f>IFERROR(VLOOKUP(Table_NFI[[#This Row],[Camp Name]],CL,2,0),"")</f>
        <v>MMR001CMP174</v>
      </c>
      <c r="AR249" s="835">
        <f ca="1">IF(Table_NFI[[#This Row],[Pcode]]="","",IF(OFFSET(CampList[Opening Date],MATCH(Table_NFI[[#This Row],[Pcode]],CampList[CP_Pcode],0)-1,0,1,1)&gt;=NFI_Monitor_Date,1,0))</f>
        <v>0</v>
      </c>
      <c r="AS249" s="467" t="str">
        <f>IFERROR(VLOOKUP(Table_NFI[[#This Row],[Camp Name]],CL,3,0),"")</f>
        <v>Open</v>
      </c>
      <c r="AT249" s="294" t="str">
        <f ca="1">IF(Table_NFI[[#This Row],[Pcode]]="","",OFFSET(CampList[Priority],MATCH(Table_NFI[[#This Row],[Pcode]],CampList[CP_Pcode],0)-1,0,1,1))</f>
        <v>P4</v>
      </c>
      <c r="AU249" s="293">
        <f>IFERROR(Table_NFI[[#This Row],[Kitchen Set]]/VLOOKUP(Table_NFI[[#This Row],[Camp Name]],CL,4,0),"")</f>
        <v>1.6232586311326468E-3</v>
      </c>
      <c r="AV249" s="461"/>
      <c r="AW249" s="463"/>
    </row>
    <row r="250" spans="1:49" s="464" customFormat="1" ht="14.45" customHeight="1" x14ac:dyDescent="0.25">
      <c r="A250" s="297">
        <f t="shared" si="3"/>
        <v>26.433333333333334</v>
      </c>
      <c r="B250" s="460">
        <v>41943</v>
      </c>
      <c r="C250" s="461" t="s">
        <v>452</v>
      </c>
      <c r="D250" s="461"/>
      <c r="E250" s="461" t="s">
        <v>380</v>
      </c>
      <c r="F250" s="461" t="s">
        <v>527</v>
      </c>
      <c r="G250" s="461" t="s">
        <v>44</v>
      </c>
      <c r="H250" s="291"/>
      <c r="I250" s="291"/>
      <c r="J250" s="291">
        <v>10</v>
      </c>
      <c r="K250" s="291">
        <v>20</v>
      </c>
      <c r="L250" s="292">
        <v>10</v>
      </c>
      <c r="M250" s="292">
        <v>20</v>
      </c>
      <c r="N250" s="292">
        <v>10</v>
      </c>
      <c r="O250" s="292"/>
      <c r="P250" s="294">
        <v>10</v>
      </c>
      <c r="Q250" s="294">
        <v>50</v>
      </c>
      <c r="R250" s="294"/>
      <c r="S250" s="294"/>
      <c r="T250" s="294"/>
      <c r="U250" s="294"/>
      <c r="V250" s="431"/>
      <c r="W250" s="294"/>
      <c r="X250" s="294"/>
      <c r="Y250" s="294">
        <f>IF(NFI_Expiration=1,IF($A250&lt;VLOOKUP(H$5,NFI,5,0),1,0)*Table_NFI[[#This Row],[Hygiene Kit]],Table_NFI[Hygiene Kit])</f>
        <v>0</v>
      </c>
      <c r="Z250" s="294">
        <f>IF(NFI_Expiration=1,IF($A250&lt;VLOOKUP(I$5,NFI,5,0),1,0)*Table_NFI[[#This Row],[NFI Core Kit]],Table_NFI[NFI Core Kit])</f>
        <v>0</v>
      </c>
      <c r="AA250" s="294">
        <f>IF(NFI_Expiration=1,IF($A250&lt;VLOOKUP(J$5,NFI,5,0),1,0)*Table_NFI[[#This Row],[Sanitary Kit]],Table_NFI[Sanitary Kit])</f>
        <v>0</v>
      </c>
      <c r="AB250" s="294">
        <f>IF(NFI_Expiration=1,IF($A250&lt;VLOOKUP(K$5,NFI,5,0),1,0)*Table_NFI[[#This Row],[Mosquito net]],Table_NFI[Mosquito net])</f>
        <v>0</v>
      </c>
      <c r="AC250" s="294">
        <f>IF(NFI_Expiration=1,IF($A250&lt;VLOOKUP(L$5,NFI,5,0),1,0)*Table_NFI[[#This Row],[Tarpaulin]],Table_NFI[[#This Row],[Tarpaulin]])</f>
        <v>0</v>
      </c>
      <c r="AD250" s="294">
        <f>IF(NFI_Expiration=1,IF($A250&lt;VLOOKUP(M$5,NFI,5,0),1,0)*Table_NFI[[#This Row],[Blanket]],Table_NFI[[#This Row],[Blanket]])</f>
        <v>0</v>
      </c>
      <c r="AE250" s="294">
        <f>IF(NFI_Expiration=1,IF($A250&lt;VLOOKUP(N$5,NFI,5,0),1,0)*Table_NFI[[#This Row],[Kitchen Set]],Table_NFI[Kitchen Set])</f>
        <v>0</v>
      </c>
      <c r="AF250" s="294">
        <f>IF(NFI_Expiration=1,IF($A250&lt;VLOOKUP(O$5,NFI,5,0),1,0)*Table_NFI[[#This Row],[Clothes Kit]],Table_NFI[Clothes Kit])</f>
        <v>0</v>
      </c>
      <c r="AG250" s="294">
        <f>IF(NFI_Expiration=1,IF($A250&lt;VLOOKUP(P$5,NFI,5,0),1,0)*Table_NFI[[#This Row],[Plastic Bucket]],Table_NFI[Plastic Bucket])</f>
        <v>0</v>
      </c>
      <c r="AH250" s="294">
        <f>IF(NFI_Expiration=1,IF($A250&lt;VLOOKUP(Q$5,NFI,5,0),1,0)*Table_NFI[[#This Row],[Plastic Mat]],Table_NFI[Plastic Mat])*IF(Table_NFI[[#This Row],[Distribution Date]]&gt;"2014-04-01",1,2.5)</f>
        <v>0</v>
      </c>
      <c r="AI250" s="294">
        <f>IF(NFI_Expiration=1,IF($A250&lt;VLOOKUP(R$5,NFI,5,0),1,0)*Table_NFI[[#This Row],[Winter Clothes Adult]],Table_NFI[Winter Clothes Adult])</f>
        <v>0</v>
      </c>
      <c r="AJ250" s="294">
        <f>IF(NFI_Expiration=1,IF($A250&lt;VLOOKUP(S$5,NFI,5,0),1,0)*Table_NFI[[#This Row],[Winter Clothes Children]],Table_NFI[Winter Clothes Children])</f>
        <v>0</v>
      </c>
      <c r="AK250" s="294">
        <f>IF(NFI_Expiration=1,IF($A250&lt;VLOOKUP(T$5,NFI,5,0),1,0)*Table_NFI[[#This Row],[Winter Items Other]],Table_NFI[Winter Items Other])</f>
        <v>0</v>
      </c>
      <c r="AL250" s="294">
        <f>IF(NFI_Expiration=1,IF($A250&lt;VLOOKUP(M$5,NFI,5,0),1,0)*Table_NFI[[#This Row],[Winter Blanket]],Table_NFI[[#This Row],[Winter Blanket]])</f>
        <v>0</v>
      </c>
      <c r="AM250" s="294">
        <f>IF(Table_NFI[[#This Row],[Winter Clothes Adult]]+Table_NFI[[#This Row],[Winter Clothes Children]]+Table_NFI[[#This Row],[Winter Items Other]]+Table_NFI[[#This Row],[Winter Blanket]]&gt;0,1,0)</f>
        <v>0</v>
      </c>
      <c r="AN250" s="331">
        <f>IF(NFI_Expiration=1,IF($A250&lt;VLOOKUP(V$5,NFI,5,0),1,0)*Table_NFI[[#This Row],[Jerry Can]],Table_NFI[Jerry Can])</f>
        <v>0</v>
      </c>
      <c r="AO250" s="331">
        <f>IF(NFI_Expiration=1,IF($A250&lt;VLOOKUP(V$5,NFI,5,0),1,0)*Table_NFI[[#This Row],[Shelter Tool kit]],Table_NFI[Shelter Tool kit])</f>
        <v>0</v>
      </c>
      <c r="AP250" s="331">
        <f>IF(NFI_Expiration=1,IF($A250&lt;VLOOKUP(V$5,NFI,5,0),1,0)*Table_NFI[[#This Row],[Tent]],Table_NFI[Tent])</f>
        <v>0</v>
      </c>
      <c r="AQ250" s="467" t="str">
        <f>IFERROR(VLOOKUP(Table_NFI[[#This Row],[Camp Name]],CL,2,0),"")</f>
        <v>MMR001CMP191</v>
      </c>
      <c r="AR250" s="835">
        <f ca="1">IF(Table_NFI[[#This Row],[Pcode]]="","",IF(OFFSET(CampList[Opening Date],MATCH(Table_NFI[[#This Row],[Pcode]],CampList[CP_Pcode],0)-1,0,1,1)&gt;=NFI_Monitor_Date,1,0))</f>
        <v>0</v>
      </c>
      <c r="AS250" s="467" t="str">
        <f>IFERROR(VLOOKUP(Table_NFI[[#This Row],[Camp Name]],CL,3,0),"")</f>
        <v>Open</v>
      </c>
      <c r="AT250" s="294" t="str">
        <f ca="1">IF(Table_NFI[[#This Row],[Pcode]]="","",OFFSET(CampList[Priority],MATCH(Table_NFI[[#This Row],[Pcode]],CampList[CP_Pcode],0)-1,0,1,1))</f>
        <v>P4</v>
      </c>
      <c r="AU250" s="293">
        <f>IFERROR(Table_NFI[[#This Row],[Kitchen Set]]/VLOOKUP(Table_NFI[[#This Row],[Camp Name]],CL,4,0),"")</f>
        <v>2.431788337143135E-4</v>
      </c>
      <c r="AV250" s="461"/>
      <c r="AW250" s="463"/>
    </row>
    <row r="251" spans="1:49" s="464" customFormat="1" ht="14.45" customHeight="1" x14ac:dyDescent="0.25">
      <c r="A251" s="297">
        <f t="shared" si="3"/>
        <v>26.433333333333334</v>
      </c>
      <c r="B251" s="460">
        <v>41943</v>
      </c>
      <c r="C251" s="461" t="s">
        <v>452</v>
      </c>
      <c r="D251" s="461"/>
      <c r="E251" s="461" t="s">
        <v>380</v>
      </c>
      <c r="F251" s="461" t="s">
        <v>527</v>
      </c>
      <c r="G251" s="461" t="s">
        <v>1065</v>
      </c>
      <c r="H251" s="291"/>
      <c r="I251" s="291"/>
      <c r="J251" s="291">
        <v>64</v>
      </c>
      <c r="K251" s="291">
        <v>128</v>
      </c>
      <c r="L251" s="292">
        <v>64</v>
      </c>
      <c r="M251" s="292">
        <v>128</v>
      </c>
      <c r="N251" s="292">
        <v>64</v>
      </c>
      <c r="O251" s="292"/>
      <c r="P251" s="294">
        <v>64</v>
      </c>
      <c r="Q251" s="294">
        <v>320</v>
      </c>
      <c r="R251" s="294"/>
      <c r="S251" s="294"/>
      <c r="T251" s="294"/>
      <c r="U251" s="294"/>
      <c r="V251" s="431"/>
      <c r="W251" s="294"/>
      <c r="X251" s="294"/>
      <c r="Y251" s="294">
        <f>IF(NFI_Expiration=1,IF($A251&lt;VLOOKUP(H$5,NFI,5,0),1,0)*Table_NFI[[#This Row],[Hygiene Kit]],Table_NFI[Hygiene Kit])</f>
        <v>0</v>
      </c>
      <c r="Z251" s="294">
        <f>IF(NFI_Expiration=1,IF($A251&lt;VLOOKUP(I$5,NFI,5,0),1,0)*Table_NFI[[#This Row],[NFI Core Kit]],Table_NFI[NFI Core Kit])</f>
        <v>0</v>
      </c>
      <c r="AA251" s="294">
        <f>IF(NFI_Expiration=1,IF($A251&lt;VLOOKUP(J$5,NFI,5,0),1,0)*Table_NFI[[#This Row],[Sanitary Kit]],Table_NFI[Sanitary Kit])</f>
        <v>0</v>
      </c>
      <c r="AB251" s="294">
        <f>IF(NFI_Expiration=1,IF($A251&lt;VLOOKUP(K$5,NFI,5,0),1,0)*Table_NFI[[#This Row],[Mosquito net]],Table_NFI[Mosquito net])</f>
        <v>0</v>
      </c>
      <c r="AC251" s="294">
        <f>IF(NFI_Expiration=1,IF($A251&lt;VLOOKUP(L$5,NFI,5,0),1,0)*Table_NFI[[#This Row],[Tarpaulin]],Table_NFI[[#This Row],[Tarpaulin]])</f>
        <v>0</v>
      </c>
      <c r="AD251" s="294">
        <f>IF(NFI_Expiration=1,IF($A251&lt;VLOOKUP(M$5,NFI,5,0),1,0)*Table_NFI[[#This Row],[Blanket]],Table_NFI[[#This Row],[Blanket]])</f>
        <v>0</v>
      </c>
      <c r="AE251" s="294">
        <f>IF(NFI_Expiration=1,IF($A251&lt;VLOOKUP(N$5,NFI,5,0),1,0)*Table_NFI[[#This Row],[Kitchen Set]],Table_NFI[Kitchen Set])</f>
        <v>0</v>
      </c>
      <c r="AF251" s="294">
        <f>IF(NFI_Expiration=1,IF($A251&lt;VLOOKUP(O$5,NFI,5,0),1,0)*Table_NFI[[#This Row],[Clothes Kit]],Table_NFI[Clothes Kit])</f>
        <v>0</v>
      </c>
      <c r="AG251" s="294">
        <f>IF(NFI_Expiration=1,IF($A251&lt;VLOOKUP(P$5,NFI,5,0),1,0)*Table_NFI[[#This Row],[Plastic Bucket]],Table_NFI[Plastic Bucket])</f>
        <v>0</v>
      </c>
      <c r="AH251" s="294">
        <f>IF(NFI_Expiration=1,IF($A251&lt;VLOOKUP(Q$5,NFI,5,0),1,0)*Table_NFI[[#This Row],[Plastic Mat]],Table_NFI[Plastic Mat])*IF(Table_NFI[[#This Row],[Distribution Date]]&gt;"2014-04-01",1,2.5)</f>
        <v>0</v>
      </c>
      <c r="AI251" s="294">
        <f>IF(NFI_Expiration=1,IF($A251&lt;VLOOKUP(R$5,NFI,5,0),1,0)*Table_NFI[[#This Row],[Winter Clothes Adult]],Table_NFI[Winter Clothes Adult])</f>
        <v>0</v>
      </c>
      <c r="AJ251" s="294">
        <f>IF(NFI_Expiration=1,IF($A251&lt;VLOOKUP(S$5,NFI,5,0),1,0)*Table_NFI[[#This Row],[Winter Clothes Children]],Table_NFI[Winter Clothes Children])</f>
        <v>0</v>
      </c>
      <c r="AK251" s="294">
        <f>IF(NFI_Expiration=1,IF($A251&lt;VLOOKUP(T$5,NFI,5,0),1,0)*Table_NFI[[#This Row],[Winter Items Other]],Table_NFI[Winter Items Other])</f>
        <v>0</v>
      </c>
      <c r="AL251" s="294">
        <f>IF(NFI_Expiration=1,IF($A251&lt;VLOOKUP(M$5,NFI,5,0),1,0)*Table_NFI[[#This Row],[Winter Blanket]],Table_NFI[[#This Row],[Winter Blanket]])</f>
        <v>0</v>
      </c>
      <c r="AM251" s="294">
        <f>IF(Table_NFI[[#This Row],[Winter Clothes Adult]]+Table_NFI[[#This Row],[Winter Clothes Children]]+Table_NFI[[#This Row],[Winter Items Other]]+Table_NFI[[#This Row],[Winter Blanket]]&gt;0,1,0)</f>
        <v>0</v>
      </c>
      <c r="AN251" s="331">
        <f>IF(NFI_Expiration=1,IF($A251&lt;VLOOKUP(V$5,NFI,5,0),1,0)*Table_NFI[[#This Row],[Jerry Can]],Table_NFI[Jerry Can])</f>
        <v>0</v>
      </c>
      <c r="AO251" s="331">
        <f>IF(NFI_Expiration=1,IF($A251&lt;VLOOKUP(V$5,NFI,5,0),1,0)*Table_NFI[[#This Row],[Shelter Tool kit]],Table_NFI[Shelter Tool kit])</f>
        <v>0</v>
      </c>
      <c r="AP251" s="331">
        <f>IF(NFI_Expiration=1,IF($A251&lt;VLOOKUP(V$5,NFI,5,0),1,0)*Table_NFI[[#This Row],[Tent]],Table_NFI[Tent])</f>
        <v>0</v>
      </c>
      <c r="AQ251" s="467" t="str">
        <f>IFERROR(VLOOKUP(Table_NFI[[#This Row],[Camp Name]],CL,2,0),"")</f>
        <v>MMR001CMP229</v>
      </c>
      <c r="AR251" s="835">
        <f ca="1">IF(Table_NFI[[#This Row],[Pcode]]="","",IF(OFFSET(CampList[Opening Date],MATCH(Table_NFI[[#This Row],[Pcode]],CampList[CP_Pcode],0)-1,0,1,1)&gt;=NFI_Monitor_Date,1,0))</f>
        <v>0</v>
      </c>
      <c r="AS251" s="467" t="str">
        <f>IFERROR(VLOOKUP(Table_NFI[[#This Row],[Camp Name]],CL,3,0),"")</f>
        <v>Open</v>
      </c>
      <c r="AT251" s="294" t="str">
        <f ca="1">IF(Table_NFI[[#This Row],[Pcode]]="","",OFFSET(CampList[Priority],MATCH(Table_NFI[[#This Row],[Pcode]],CampList[CP_Pcode],0)-1,0,1,1))</f>
        <v>P4</v>
      </c>
      <c r="AU251" s="293">
        <f>IFERROR(Table_NFI[[#This Row],[Kitchen Set]]/VLOOKUP(Table_NFI[[#This Row],[Camp Name]],CL,4,0),"")</f>
        <v>1.5563445357716064E-3</v>
      </c>
      <c r="AV251" s="461"/>
      <c r="AW251" s="463"/>
    </row>
    <row r="252" spans="1:49" s="464" customFormat="1" ht="14.45" customHeight="1" x14ac:dyDescent="0.25">
      <c r="A252" s="297">
        <f t="shared" si="3"/>
        <v>26.433333333333334</v>
      </c>
      <c r="B252" s="460">
        <v>41943</v>
      </c>
      <c r="C252" s="461" t="s">
        <v>1094</v>
      </c>
      <c r="D252" s="461" t="s">
        <v>900</v>
      </c>
      <c r="E252" s="461" t="s">
        <v>380</v>
      </c>
      <c r="F252" s="461" t="s">
        <v>892</v>
      </c>
      <c r="G252" s="461" t="s">
        <v>894</v>
      </c>
      <c r="H252" s="291"/>
      <c r="I252" s="291"/>
      <c r="J252" s="291"/>
      <c r="K252" s="291"/>
      <c r="L252" s="292"/>
      <c r="M252" s="292"/>
      <c r="N252" s="292"/>
      <c r="O252" s="292"/>
      <c r="P252" s="294"/>
      <c r="Q252" s="294"/>
      <c r="R252" s="294">
        <v>20</v>
      </c>
      <c r="S252" s="294">
        <v>8</v>
      </c>
      <c r="T252" s="294"/>
      <c r="U252" s="294"/>
      <c r="V252" s="431"/>
      <c r="W252" s="294"/>
      <c r="X252" s="294"/>
      <c r="Y252" s="294">
        <f>IF(NFI_Expiration=1,IF($A252&lt;VLOOKUP(H$5,NFI,5,0),1,0)*Table_NFI[[#This Row],[Hygiene Kit]],Table_NFI[Hygiene Kit])</f>
        <v>0</v>
      </c>
      <c r="Z252" s="294">
        <f>IF(NFI_Expiration=1,IF($A252&lt;VLOOKUP(I$5,NFI,5,0),1,0)*Table_NFI[[#This Row],[NFI Core Kit]],Table_NFI[NFI Core Kit])</f>
        <v>0</v>
      </c>
      <c r="AA252" s="294">
        <f>IF(NFI_Expiration=1,IF($A252&lt;VLOOKUP(J$5,NFI,5,0),1,0)*Table_NFI[[#This Row],[Sanitary Kit]],Table_NFI[Sanitary Kit])</f>
        <v>0</v>
      </c>
      <c r="AB252" s="294">
        <f>IF(NFI_Expiration=1,IF($A252&lt;VLOOKUP(K$5,NFI,5,0),1,0)*Table_NFI[[#This Row],[Mosquito net]],Table_NFI[Mosquito net])</f>
        <v>0</v>
      </c>
      <c r="AC252" s="294">
        <f>IF(NFI_Expiration=1,IF($A252&lt;VLOOKUP(L$5,NFI,5,0),1,0)*Table_NFI[[#This Row],[Tarpaulin]],Table_NFI[[#This Row],[Tarpaulin]])</f>
        <v>0</v>
      </c>
      <c r="AD252" s="294">
        <f>IF(NFI_Expiration=1,IF($A252&lt;VLOOKUP(M$5,NFI,5,0),1,0)*Table_NFI[[#This Row],[Blanket]],Table_NFI[[#This Row],[Blanket]])</f>
        <v>0</v>
      </c>
      <c r="AE252" s="294">
        <f>IF(NFI_Expiration=1,IF($A252&lt;VLOOKUP(N$5,NFI,5,0),1,0)*Table_NFI[[#This Row],[Kitchen Set]],Table_NFI[Kitchen Set])</f>
        <v>0</v>
      </c>
      <c r="AF252" s="294">
        <f>IF(NFI_Expiration=1,IF($A252&lt;VLOOKUP(O$5,NFI,5,0),1,0)*Table_NFI[[#This Row],[Clothes Kit]],Table_NFI[Clothes Kit])</f>
        <v>0</v>
      </c>
      <c r="AG252" s="294">
        <f>IF(NFI_Expiration=1,IF($A252&lt;VLOOKUP(P$5,NFI,5,0),1,0)*Table_NFI[[#This Row],[Plastic Bucket]],Table_NFI[Plastic Bucket])</f>
        <v>0</v>
      </c>
      <c r="AH252" s="294">
        <f>IF(NFI_Expiration=1,IF($A252&lt;VLOOKUP(Q$5,NFI,5,0),1,0)*Table_NFI[[#This Row],[Plastic Mat]],Table_NFI[Plastic Mat])*IF(Table_NFI[[#This Row],[Distribution Date]]&gt;"2014-04-01",1,2.5)</f>
        <v>0</v>
      </c>
      <c r="AI252" s="294">
        <f>IF(NFI_Expiration=1,IF($A252&lt;VLOOKUP(R$5,NFI,5,0),1,0)*Table_NFI[[#This Row],[Winter Clothes Adult]],Table_NFI[Winter Clothes Adult])</f>
        <v>0</v>
      </c>
      <c r="AJ252" s="294">
        <f>IF(NFI_Expiration=1,IF($A252&lt;VLOOKUP(S$5,NFI,5,0),1,0)*Table_NFI[[#This Row],[Winter Clothes Children]],Table_NFI[Winter Clothes Children])</f>
        <v>0</v>
      </c>
      <c r="AK252" s="294">
        <f>IF(NFI_Expiration=1,IF($A252&lt;VLOOKUP(T$5,NFI,5,0),1,0)*Table_NFI[[#This Row],[Winter Items Other]],Table_NFI[Winter Items Other])</f>
        <v>0</v>
      </c>
      <c r="AL252" s="294">
        <f>IF(NFI_Expiration=1,IF($A252&lt;VLOOKUP(M$5,NFI,5,0),1,0)*Table_NFI[[#This Row],[Winter Blanket]],Table_NFI[[#This Row],[Winter Blanket]])</f>
        <v>0</v>
      </c>
      <c r="AM252" s="294">
        <f>IF(Table_NFI[[#This Row],[Winter Clothes Adult]]+Table_NFI[[#This Row],[Winter Clothes Children]]+Table_NFI[[#This Row],[Winter Items Other]]+Table_NFI[[#This Row],[Winter Blanket]]&gt;0,1,0)</f>
        <v>1</v>
      </c>
      <c r="AN252" s="331">
        <f>IF(NFI_Expiration=1,IF($A252&lt;VLOOKUP(V$5,NFI,5,0),1,0)*Table_NFI[[#This Row],[Jerry Can]],Table_NFI[Jerry Can])</f>
        <v>0</v>
      </c>
      <c r="AO252" s="331">
        <f>IF(NFI_Expiration=1,IF($A252&lt;VLOOKUP(V$5,NFI,5,0),1,0)*Table_NFI[[#This Row],[Shelter Tool kit]],Table_NFI[Shelter Tool kit])</f>
        <v>0</v>
      </c>
      <c r="AP252" s="331">
        <f>IF(NFI_Expiration=1,IF($A252&lt;VLOOKUP(V$5,NFI,5,0),1,0)*Table_NFI[[#This Row],[Tent]],Table_NFI[Tent])</f>
        <v>0</v>
      </c>
      <c r="AQ252" s="467" t="str">
        <f>IFERROR(VLOOKUP(Table_NFI[[#This Row],[Camp Name]],CL,2,0),"")</f>
        <v>MMR001CMP221</v>
      </c>
      <c r="AR252" s="835">
        <f ca="1">IF(Table_NFI[[#This Row],[Pcode]]="","",IF(OFFSET(CampList[Opening Date],MATCH(Table_NFI[[#This Row],[Pcode]],CampList[CP_Pcode],0)-1,0,1,1)&gt;=NFI_Monitor_Date,1,0))</f>
        <v>0</v>
      </c>
      <c r="AS252" s="467" t="str">
        <f>IFERROR(VLOOKUP(Table_NFI[[#This Row],[Camp Name]],CL,3,0),"")</f>
        <v>Closed</v>
      </c>
      <c r="AT252" s="294" t="str">
        <f ca="1">IF(Table_NFI[[#This Row],[Pcode]]="","",OFFSET(CampList[Priority],MATCH(Table_NFI[[#This Row],[Pcode]],CampList[CP_Pcode],0)-1,0,1,1))</f>
        <v>P3</v>
      </c>
      <c r="AU252" s="293">
        <f>IFERROR(Table_NFI[[#This Row],[Kitchen Set]]/VLOOKUP(Table_NFI[[#This Row],[Camp Name]],CL,4,0),"")</f>
        <v>0</v>
      </c>
      <c r="AV252" s="461"/>
      <c r="AW252" s="463"/>
    </row>
    <row r="253" spans="1:49" s="464" customFormat="1" ht="14.45" customHeight="1" x14ac:dyDescent="0.25">
      <c r="A253" s="297">
        <f t="shared" si="3"/>
        <v>26.433333333333334</v>
      </c>
      <c r="B253" s="460">
        <v>41943</v>
      </c>
      <c r="C253" s="461" t="s">
        <v>452</v>
      </c>
      <c r="D253" s="461"/>
      <c r="E253" s="461" t="s">
        <v>380</v>
      </c>
      <c r="F253" s="461" t="s">
        <v>527</v>
      </c>
      <c r="G253" s="461" t="s">
        <v>90</v>
      </c>
      <c r="H253" s="291"/>
      <c r="I253" s="291"/>
      <c r="J253" s="291">
        <v>25</v>
      </c>
      <c r="K253" s="291">
        <v>50</v>
      </c>
      <c r="L253" s="292">
        <v>25</v>
      </c>
      <c r="M253" s="292">
        <v>50</v>
      </c>
      <c r="N253" s="292">
        <v>25</v>
      </c>
      <c r="O253" s="292"/>
      <c r="P253" s="294">
        <v>25</v>
      </c>
      <c r="Q253" s="294">
        <v>125</v>
      </c>
      <c r="R253" s="294"/>
      <c r="S253" s="294"/>
      <c r="T253" s="294"/>
      <c r="U253" s="294"/>
      <c r="V253" s="431"/>
      <c r="W253" s="294"/>
      <c r="X253" s="294"/>
      <c r="Y253" s="294">
        <f>IF(NFI_Expiration=1,IF($A253&lt;VLOOKUP(H$5,NFI,5,0),1,0)*Table_NFI[[#This Row],[Hygiene Kit]],Table_NFI[Hygiene Kit])</f>
        <v>0</v>
      </c>
      <c r="Z253" s="294">
        <f>IF(NFI_Expiration=1,IF($A253&lt;VLOOKUP(I$5,NFI,5,0),1,0)*Table_NFI[[#This Row],[NFI Core Kit]],Table_NFI[NFI Core Kit])</f>
        <v>0</v>
      </c>
      <c r="AA253" s="294">
        <f>IF(NFI_Expiration=1,IF($A253&lt;VLOOKUP(J$5,NFI,5,0),1,0)*Table_NFI[[#This Row],[Sanitary Kit]],Table_NFI[Sanitary Kit])</f>
        <v>0</v>
      </c>
      <c r="AB253" s="294">
        <f>IF(NFI_Expiration=1,IF($A253&lt;VLOOKUP(K$5,NFI,5,0),1,0)*Table_NFI[[#This Row],[Mosquito net]],Table_NFI[Mosquito net])</f>
        <v>0</v>
      </c>
      <c r="AC253" s="294">
        <f>IF(NFI_Expiration=1,IF($A253&lt;VLOOKUP(L$5,NFI,5,0),1,0)*Table_NFI[[#This Row],[Tarpaulin]],Table_NFI[[#This Row],[Tarpaulin]])</f>
        <v>0</v>
      </c>
      <c r="AD253" s="294">
        <f>IF(NFI_Expiration=1,IF($A253&lt;VLOOKUP(M$5,NFI,5,0),1,0)*Table_NFI[[#This Row],[Blanket]],Table_NFI[[#This Row],[Blanket]])</f>
        <v>0</v>
      </c>
      <c r="AE253" s="294">
        <f>IF(NFI_Expiration=1,IF($A253&lt;VLOOKUP(N$5,NFI,5,0),1,0)*Table_NFI[[#This Row],[Kitchen Set]],Table_NFI[Kitchen Set])</f>
        <v>0</v>
      </c>
      <c r="AF253" s="294">
        <f>IF(NFI_Expiration=1,IF($A253&lt;VLOOKUP(O$5,NFI,5,0),1,0)*Table_NFI[[#This Row],[Clothes Kit]],Table_NFI[Clothes Kit])</f>
        <v>0</v>
      </c>
      <c r="AG253" s="294">
        <f>IF(NFI_Expiration=1,IF($A253&lt;VLOOKUP(P$5,NFI,5,0),1,0)*Table_NFI[[#This Row],[Plastic Bucket]],Table_NFI[Plastic Bucket])</f>
        <v>0</v>
      </c>
      <c r="AH253" s="294">
        <f>IF(NFI_Expiration=1,IF($A253&lt;VLOOKUP(Q$5,NFI,5,0),1,0)*Table_NFI[[#This Row],[Plastic Mat]],Table_NFI[Plastic Mat])*IF(Table_NFI[[#This Row],[Distribution Date]]&gt;"2014-04-01",1,2.5)</f>
        <v>0</v>
      </c>
      <c r="AI253" s="294">
        <f>IF(NFI_Expiration=1,IF($A253&lt;VLOOKUP(R$5,NFI,5,0),1,0)*Table_NFI[[#This Row],[Winter Clothes Adult]],Table_NFI[Winter Clothes Adult])</f>
        <v>0</v>
      </c>
      <c r="AJ253" s="294">
        <f>IF(NFI_Expiration=1,IF($A253&lt;VLOOKUP(S$5,NFI,5,0),1,0)*Table_NFI[[#This Row],[Winter Clothes Children]],Table_NFI[Winter Clothes Children])</f>
        <v>0</v>
      </c>
      <c r="AK253" s="294">
        <f>IF(NFI_Expiration=1,IF($A253&lt;VLOOKUP(T$5,NFI,5,0),1,0)*Table_NFI[[#This Row],[Winter Items Other]],Table_NFI[Winter Items Other])</f>
        <v>0</v>
      </c>
      <c r="AL253" s="294">
        <f>IF(NFI_Expiration=1,IF($A253&lt;VLOOKUP(M$5,NFI,5,0),1,0)*Table_NFI[[#This Row],[Winter Blanket]],Table_NFI[[#This Row],[Winter Blanket]])</f>
        <v>0</v>
      </c>
      <c r="AM253" s="294">
        <f>IF(Table_NFI[[#This Row],[Winter Clothes Adult]]+Table_NFI[[#This Row],[Winter Clothes Children]]+Table_NFI[[#This Row],[Winter Items Other]]+Table_NFI[[#This Row],[Winter Blanket]]&gt;0,1,0)</f>
        <v>0</v>
      </c>
      <c r="AN253" s="331">
        <f>IF(NFI_Expiration=1,IF($A253&lt;VLOOKUP(V$5,NFI,5,0),1,0)*Table_NFI[[#This Row],[Jerry Can]],Table_NFI[Jerry Can])</f>
        <v>0</v>
      </c>
      <c r="AO253" s="331">
        <f>IF(NFI_Expiration=1,IF($A253&lt;VLOOKUP(V$5,NFI,5,0),1,0)*Table_NFI[[#This Row],[Shelter Tool kit]],Table_NFI[Shelter Tool kit])</f>
        <v>0</v>
      </c>
      <c r="AP253" s="331">
        <f>IF(NFI_Expiration=1,IF($A253&lt;VLOOKUP(V$5,NFI,5,0),1,0)*Table_NFI[[#This Row],[Tent]],Table_NFI[Tent])</f>
        <v>0</v>
      </c>
      <c r="AQ253" s="467" t="str">
        <f>IFERROR(VLOOKUP(Table_NFI[[#This Row],[Camp Name]],CL,2,0),"")</f>
        <v>MMR001CMP181</v>
      </c>
      <c r="AR253" s="835">
        <f ca="1">IF(Table_NFI[[#This Row],[Pcode]]="","",IF(OFFSET(CampList[Opening Date],MATCH(Table_NFI[[#This Row],[Pcode]],CampList[CP_Pcode],0)-1,0,1,1)&gt;=NFI_Monitor_Date,1,0))</f>
        <v>0</v>
      </c>
      <c r="AS253" s="467" t="str">
        <f>IFERROR(VLOOKUP(Table_NFI[[#This Row],[Camp Name]],CL,3,0),"")</f>
        <v>Open</v>
      </c>
      <c r="AT253" s="294" t="str">
        <f ca="1">IF(Table_NFI[[#This Row],[Pcode]]="","",OFFSET(CampList[Priority],MATCH(Table_NFI[[#This Row],[Pcode]],CampList[CP_Pcode],0)-1,0,1,1))</f>
        <v>P4</v>
      </c>
      <c r="AU253" s="293">
        <f>IFERROR(Table_NFI[[#This Row],[Kitchen Set]]/VLOOKUP(Table_NFI[[#This Row],[Camp Name]],CL,4,0),"")</f>
        <v>6.0569351907934583E-4</v>
      </c>
      <c r="AV253" s="461"/>
      <c r="AW253" s="463"/>
    </row>
    <row r="254" spans="1:49" s="464" customFormat="1" ht="14.45" customHeight="1" x14ac:dyDescent="0.25">
      <c r="A254" s="297">
        <f t="shared" si="3"/>
        <v>26.433333333333334</v>
      </c>
      <c r="B254" s="460">
        <v>41943</v>
      </c>
      <c r="C254" s="461" t="s">
        <v>452</v>
      </c>
      <c r="D254" s="461"/>
      <c r="E254" s="461" t="s">
        <v>380</v>
      </c>
      <c r="F254" s="461" t="s">
        <v>527</v>
      </c>
      <c r="G254" s="461" t="s">
        <v>92</v>
      </c>
      <c r="H254" s="291"/>
      <c r="I254" s="291"/>
      <c r="J254" s="291">
        <v>15</v>
      </c>
      <c r="K254" s="291">
        <v>30</v>
      </c>
      <c r="L254" s="292">
        <v>15</v>
      </c>
      <c r="M254" s="292">
        <v>30</v>
      </c>
      <c r="N254" s="292">
        <v>15</v>
      </c>
      <c r="O254" s="292"/>
      <c r="P254" s="294">
        <v>15</v>
      </c>
      <c r="Q254" s="294">
        <v>75</v>
      </c>
      <c r="R254" s="294"/>
      <c r="S254" s="294"/>
      <c r="T254" s="294"/>
      <c r="U254" s="294"/>
      <c r="V254" s="431"/>
      <c r="W254" s="294"/>
      <c r="X254" s="294"/>
      <c r="Y254" s="294">
        <f>IF(NFI_Expiration=1,IF($A254&lt;VLOOKUP(H$5,NFI,5,0),1,0)*Table_NFI[[#This Row],[Hygiene Kit]],Table_NFI[Hygiene Kit])</f>
        <v>0</v>
      </c>
      <c r="Z254" s="294">
        <f>IF(NFI_Expiration=1,IF($A254&lt;VLOOKUP(I$5,NFI,5,0),1,0)*Table_NFI[[#This Row],[NFI Core Kit]],Table_NFI[NFI Core Kit])</f>
        <v>0</v>
      </c>
      <c r="AA254" s="294">
        <f>IF(NFI_Expiration=1,IF($A254&lt;VLOOKUP(J$5,NFI,5,0),1,0)*Table_NFI[[#This Row],[Sanitary Kit]],Table_NFI[Sanitary Kit])</f>
        <v>0</v>
      </c>
      <c r="AB254" s="294">
        <f>IF(NFI_Expiration=1,IF($A254&lt;VLOOKUP(K$5,NFI,5,0),1,0)*Table_NFI[[#This Row],[Mosquito net]],Table_NFI[Mosquito net])</f>
        <v>0</v>
      </c>
      <c r="AC254" s="294">
        <f>IF(NFI_Expiration=1,IF($A254&lt;VLOOKUP(L$5,NFI,5,0),1,0)*Table_NFI[[#This Row],[Tarpaulin]],Table_NFI[[#This Row],[Tarpaulin]])</f>
        <v>0</v>
      </c>
      <c r="AD254" s="294">
        <f>IF(NFI_Expiration=1,IF($A254&lt;VLOOKUP(M$5,NFI,5,0),1,0)*Table_NFI[[#This Row],[Blanket]],Table_NFI[[#This Row],[Blanket]])</f>
        <v>0</v>
      </c>
      <c r="AE254" s="294">
        <f>IF(NFI_Expiration=1,IF($A254&lt;VLOOKUP(N$5,NFI,5,0),1,0)*Table_NFI[[#This Row],[Kitchen Set]],Table_NFI[Kitchen Set])</f>
        <v>0</v>
      </c>
      <c r="AF254" s="294">
        <f>IF(NFI_Expiration=1,IF($A254&lt;VLOOKUP(O$5,NFI,5,0),1,0)*Table_NFI[[#This Row],[Clothes Kit]],Table_NFI[Clothes Kit])</f>
        <v>0</v>
      </c>
      <c r="AG254" s="294">
        <f>IF(NFI_Expiration=1,IF($A254&lt;VLOOKUP(P$5,NFI,5,0),1,0)*Table_NFI[[#This Row],[Plastic Bucket]],Table_NFI[Plastic Bucket])</f>
        <v>0</v>
      </c>
      <c r="AH254" s="294">
        <f>IF(NFI_Expiration=1,IF($A254&lt;VLOOKUP(Q$5,NFI,5,0),1,0)*Table_NFI[[#This Row],[Plastic Mat]],Table_NFI[Plastic Mat])*IF(Table_NFI[[#This Row],[Distribution Date]]&gt;"2014-04-01",1,2.5)</f>
        <v>0</v>
      </c>
      <c r="AI254" s="294">
        <f>IF(NFI_Expiration=1,IF($A254&lt;VLOOKUP(R$5,NFI,5,0),1,0)*Table_NFI[[#This Row],[Winter Clothes Adult]],Table_NFI[Winter Clothes Adult])</f>
        <v>0</v>
      </c>
      <c r="AJ254" s="294">
        <f>IF(NFI_Expiration=1,IF($A254&lt;VLOOKUP(S$5,NFI,5,0),1,0)*Table_NFI[[#This Row],[Winter Clothes Children]],Table_NFI[Winter Clothes Children])</f>
        <v>0</v>
      </c>
      <c r="AK254" s="294">
        <f>IF(NFI_Expiration=1,IF($A254&lt;VLOOKUP(T$5,NFI,5,0),1,0)*Table_NFI[[#This Row],[Winter Items Other]],Table_NFI[Winter Items Other])</f>
        <v>0</v>
      </c>
      <c r="AL254" s="294">
        <f>IF(NFI_Expiration=1,IF($A254&lt;VLOOKUP(M$5,NFI,5,0),1,0)*Table_NFI[[#This Row],[Winter Blanket]],Table_NFI[[#This Row],[Winter Blanket]])</f>
        <v>0</v>
      </c>
      <c r="AM254" s="294">
        <f>IF(Table_NFI[[#This Row],[Winter Clothes Adult]]+Table_NFI[[#This Row],[Winter Clothes Children]]+Table_NFI[[#This Row],[Winter Items Other]]+Table_NFI[[#This Row],[Winter Blanket]]&gt;0,1,0)</f>
        <v>0</v>
      </c>
      <c r="AN254" s="331">
        <f>IF(NFI_Expiration=1,IF($A254&lt;VLOOKUP(V$5,NFI,5,0),1,0)*Table_NFI[[#This Row],[Jerry Can]],Table_NFI[Jerry Can])</f>
        <v>0</v>
      </c>
      <c r="AO254" s="331">
        <f>IF(NFI_Expiration=1,IF($A254&lt;VLOOKUP(V$5,NFI,5,0),1,0)*Table_NFI[[#This Row],[Shelter Tool kit]],Table_NFI[Shelter Tool kit])</f>
        <v>0</v>
      </c>
      <c r="AP254" s="331">
        <f>IF(NFI_Expiration=1,IF($A254&lt;VLOOKUP(V$5,NFI,5,0),1,0)*Table_NFI[[#This Row],[Tent]],Table_NFI[Tent])</f>
        <v>0</v>
      </c>
      <c r="AQ254" s="467" t="str">
        <f>IFERROR(VLOOKUP(Table_NFI[[#This Row],[Camp Name]],CL,2,0),"")</f>
        <v>MMR001CMP167</v>
      </c>
      <c r="AR254" s="835">
        <f ca="1">IF(Table_NFI[[#This Row],[Pcode]]="","",IF(OFFSET(CampList[Opening Date],MATCH(Table_NFI[[#This Row],[Pcode]],CampList[CP_Pcode],0)-1,0,1,1)&gt;=NFI_Monitor_Date,1,0))</f>
        <v>0</v>
      </c>
      <c r="AS254" s="467" t="str">
        <f>IFERROR(VLOOKUP(Table_NFI[[#This Row],[Camp Name]],CL,3,0),"")</f>
        <v>Open</v>
      </c>
      <c r="AT254" s="294" t="str">
        <f ca="1">IF(Table_NFI[[#This Row],[Pcode]]="","",OFFSET(CampList[Priority],MATCH(Table_NFI[[#This Row],[Pcode]],CampList[CP_Pcode],0)-1,0,1,1))</f>
        <v>P4</v>
      </c>
      <c r="AU254" s="293">
        <f>IFERROR(Table_NFI[[#This Row],[Kitchen Set]]/VLOOKUP(Table_NFI[[#This Row],[Camp Name]],CL,4,0),"")</f>
        <v>3.6341611144760752E-4</v>
      </c>
      <c r="AV254" s="461"/>
      <c r="AW254" s="463"/>
    </row>
    <row r="255" spans="1:49" s="464" customFormat="1" ht="14.45" customHeight="1" x14ac:dyDescent="0.25">
      <c r="A255" s="297">
        <f t="shared" si="3"/>
        <v>26.433333333333334</v>
      </c>
      <c r="B255" s="460">
        <v>41943</v>
      </c>
      <c r="C255" s="461" t="s">
        <v>1094</v>
      </c>
      <c r="D255" s="461" t="s">
        <v>900</v>
      </c>
      <c r="E255" s="461" t="s">
        <v>380</v>
      </c>
      <c r="F255" s="461" t="s">
        <v>527</v>
      </c>
      <c r="G255" s="461" t="s">
        <v>100</v>
      </c>
      <c r="H255" s="291"/>
      <c r="I255" s="291"/>
      <c r="J255" s="291"/>
      <c r="K255" s="291"/>
      <c r="L255" s="292"/>
      <c r="M255" s="292"/>
      <c r="N255" s="292"/>
      <c r="O255" s="292"/>
      <c r="P255" s="294"/>
      <c r="Q255" s="294"/>
      <c r="R255" s="294">
        <v>11</v>
      </c>
      <c r="S255" s="294">
        <v>15</v>
      </c>
      <c r="T255" s="294"/>
      <c r="U255" s="294"/>
      <c r="V255" s="431"/>
      <c r="W255" s="294"/>
      <c r="X255" s="294"/>
      <c r="Y255" s="294">
        <f>IF(NFI_Expiration=1,IF($A255&lt;VLOOKUP(H$5,NFI,5,0),1,0)*Table_NFI[[#This Row],[Hygiene Kit]],Table_NFI[Hygiene Kit])</f>
        <v>0</v>
      </c>
      <c r="Z255" s="294">
        <f>IF(NFI_Expiration=1,IF($A255&lt;VLOOKUP(I$5,NFI,5,0),1,0)*Table_NFI[[#This Row],[NFI Core Kit]],Table_NFI[NFI Core Kit])</f>
        <v>0</v>
      </c>
      <c r="AA255" s="294">
        <f>IF(NFI_Expiration=1,IF($A255&lt;VLOOKUP(J$5,NFI,5,0),1,0)*Table_NFI[[#This Row],[Sanitary Kit]],Table_NFI[Sanitary Kit])</f>
        <v>0</v>
      </c>
      <c r="AB255" s="294">
        <f>IF(NFI_Expiration=1,IF($A255&lt;VLOOKUP(K$5,NFI,5,0),1,0)*Table_NFI[[#This Row],[Mosquito net]],Table_NFI[Mosquito net])</f>
        <v>0</v>
      </c>
      <c r="AC255" s="294">
        <f>IF(NFI_Expiration=1,IF($A255&lt;VLOOKUP(L$5,NFI,5,0),1,0)*Table_NFI[[#This Row],[Tarpaulin]],Table_NFI[[#This Row],[Tarpaulin]])</f>
        <v>0</v>
      </c>
      <c r="AD255" s="294">
        <f>IF(NFI_Expiration=1,IF($A255&lt;VLOOKUP(M$5,NFI,5,0),1,0)*Table_NFI[[#This Row],[Blanket]],Table_NFI[[#This Row],[Blanket]])</f>
        <v>0</v>
      </c>
      <c r="AE255" s="294">
        <f>IF(NFI_Expiration=1,IF($A255&lt;VLOOKUP(N$5,NFI,5,0),1,0)*Table_NFI[[#This Row],[Kitchen Set]],Table_NFI[Kitchen Set])</f>
        <v>0</v>
      </c>
      <c r="AF255" s="294">
        <f>IF(NFI_Expiration=1,IF($A255&lt;VLOOKUP(O$5,NFI,5,0),1,0)*Table_NFI[[#This Row],[Clothes Kit]],Table_NFI[Clothes Kit])</f>
        <v>0</v>
      </c>
      <c r="AG255" s="294">
        <f>IF(NFI_Expiration=1,IF($A255&lt;VLOOKUP(P$5,NFI,5,0),1,0)*Table_NFI[[#This Row],[Plastic Bucket]],Table_NFI[Plastic Bucket])</f>
        <v>0</v>
      </c>
      <c r="AH255" s="294">
        <f>IF(NFI_Expiration=1,IF($A255&lt;VLOOKUP(Q$5,NFI,5,0),1,0)*Table_NFI[[#This Row],[Plastic Mat]],Table_NFI[Plastic Mat])*IF(Table_NFI[[#This Row],[Distribution Date]]&gt;"2014-04-01",1,2.5)</f>
        <v>0</v>
      </c>
      <c r="AI255" s="294">
        <f>IF(NFI_Expiration=1,IF($A255&lt;VLOOKUP(R$5,NFI,5,0),1,0)*Table_NFI[[#This Row],[Winter Clothes Adult]],Table_NFI[Winter Clothes Adult])</f>
        <v>0</v>
      </c>
      <c r="AJ255" s="294">
        <f>IF(NFI_Expiration=1,IF($A255&lt;VLOOKUP(S$5,NFI,5,0),1,0)*Table_NFI[[#This Row],[Winter Clothes Children]],Table_NFI[Winter Clothes Children])</f>
        <v>0</v>
      </c>
      <c r="AK255" s="294">
        <f>IF(NFI_Expiration=1,IF($A255&lt;VLOOKUP(T$5,NFI,5,0),1,0)*Table_NFI[[#This Row],[Winter Items Other]],Table_NFI[Winter Items Other])</f>
        <v>0</v>
      </c>
      <c r="AL255" s="294">
        <f>IF(NFI_Expiration=1,IF($A255&lt;VLOOKUP(M$5,NFI,5,0),1,0)*Table_NFI[[#This Row],[Winter Blanket]],Table_NFI[[#This Row],[Winter Blanket]])</f>
        <v>0</v>
      </c>
      <c r="AM255" s="294">
        <f>IF(Table_NFI[[#This Row],[Winter Clothes Adult]]+Table_NFI[[#This Row],[Winter Clothes Children]]+Table_NFI[[#This Row],[Winter Items Other]]+Table_NFI[[#This Row],[Winter Blanket]]&gt;0,1,0)</f>
        <v>1</v>
      </c>
      <c r="AN255" s="331">
        <f>IF(NFI_Expiration=1,IF($A255&lt;VLOOKUP(V$5,NFI,5,0),1,0)*Table_NFI[[#This Row],[Jerry Can]],Table_NFI[Jerry Can])</f>
        <v>0</v>
      </c>
      <c r="AO255" s="331">
        <f>IF(NFI_Expiration=1,IF($A255&lt;VLOOKUP(V$5,NFI,5,0),1,0)*Table_NFI[[#This Row],[Shelter Tool kit]],Table_NFI[Shelter Tool kit])</f>
        <v>0</v>
      </c>
      <c r="AP255" s="331">
        <f>IF(NFI_Expiration=1,IF($A255&lt;VLOOKUP(V$5,NFI,5,0),1,0)*Table_NFI[[#This Row],[Tent]],Table_NFI[Tent])</f>
        <v>0</v>
      </c>
      <c r="AQ255" s="467" t="str">
        <f>IFERROR(VLOOKUP(Table_NFI[[#This Row],[Camp Name]],CL,2,0),"")</f>
        <v>MMR001CMP091</v>
      </c>
      <c r="AR255" s="835">
        <f ca="1">IF(Table_NFI[[#This Row],[Pcode]]="","",IF(OFFSET(CampList[Opening Date],MATCH(Table_NFI[[#This Row],[Pcode]],CampList[CP_Pcode],0)-1,0,1,1)&gt;=NFI_Monitor_Date,1,0))</f>
        <v>0</v>
      </c>
      <c r="AS255" s="467" t="str">
        <f>IFERROR(VLOOKUP(Table_NFI[[#This Row],[Camp Name]],CL,3,0),"")</f>
        <v>Open</v>
      </c>
      <c r="AT255" s="294" t="str">
        <f ca="1">IF(Table_NFI[[#This Row],[Pcode]]="","",OFFSET(CampList[Priority],MATCH(Table_NFI[[#This Row],[Pcode]],CampList[CP_Pcode],0)-1,0,1,1))</f>
        <v>P4</v>
      </c>
      <c r="AU255" s="293">
        <f>IFERROR(Table_NFI[[#This Row],[Kitchen Set]]/VLOOKUP(Table_NFI[[#This Row],[Camp Name]],CL,4,0),"")</f>
        <v>0</v>
      </c>
      <c r="AV255" s="461"/>
      <c r="AW255" s="463"/>
    </row>
    <row r="256" spans="1:49" s="464" customFormat="1" ht="14.45" customHeight="1" x14ac:dyDescent="0.25">
      <c r="A256" s="297">
        <f t="shared" si="3"/>
        <v>26.433333333333334</v>
      </c>
      <c r="B256" s="460">
        <v>41943</v>
      </c>
      <c r="C256" s="461" t="s">
        <v>452</v>
      </c>
      <c r="D256" s="461"/>
      <c r="E256" s="461" t="s">
        <v>380</v>
      </c>
      <c r="F256" s="461" t="s">
        <v>527</v>
      </c>
      <c r="G256" s="461" t="s">
        <v>100</v>
      </c>
      <c r="H256" s="291"/>
      <c r="I256" s="291"/>
      <c r="J256" s="291">
        <v>5</v>
      </c>
      <c r="K256" s="291">
        <v>10</v>
      </c>
      <c r="L256" s="292">
        <v>5</v>
      </c>
      <c r="M256" s="292">
        <v>10</v>
      </c>
      <c r="N256" s="292">
        <v>5</v>
      </c>
      <c r="O256" s="292"/>
      <c r="P256" s="294">
        <v>5</v>
      </c>
      <c r="Q256" s="294">
        <v>25</v>
      </c>
      <c r="R256" s="294"/>
      <c r="S256" s="294"/>
      <c r="T256" s="294"/>
      <c r="U256" s="294"/>
      <c r="V256" s="431"/>
      <c r="W256" s="294"/>
      <c r="X256" s="294"/>
      <c r="Y256" s="294">
        <f>IF(NFI_Expiration=1,IF($A256&lt;VLOOKUP(H$5,NFI,5,0),1,0)*Table_NFI[[#This Row],[Hygiene Kit]],Table_NFI[Hygiene Kit])</f>
        <v>0</v>
      </c>
      <c r="Z256" s="294">
        <f>IF(NFI_Expiration=1,IF($A256&lt;VLOOKUP(I$5,NFI,5,0),1,0)*Table_NFI[[#This Row],[NFI Core Kit]],Table_NFI[NFI Core Kit])</f>
        <v>0</v>
      </c>
      <c r="AA256" s="294">
        <f>IF(NFI_Expiration=1,IF($A256&lt;VLOOKUP(J$5,NFI,5,0),1,0)*Table_NFI[[#This Row],[Sanitary Kit]],Table_NFI[Sanitary Kit])</f>
        <v>0</v>
      </c>
      <c r="AB256" s="294">
        <f>IF(NFI_Expiration=1,IF($A256&lt;VLOOKUP(K$5,NFI,5,0),1,0)*Table_NFI[[#This Row],[Mosquito net]],Table_NFI[Mosquito net])</f>
        <v>0</v>
      </c>
      <c r="AC256" s="294">
        <f>IF(NFI_Expiration=1,IF($A256&lt;VLOOKUP(L$5,NFI,5,0),1,0)*Table_NFI[[#This Row],[Tarpaulin]],Table_NFI[[#This Row],[Tarpaulin]])</f>
        <v>0</v>
      </c>
      <c r="AD256" s="294">
        <f>IF(NFI_Expiration=1,IF($A256&lt;VLOOKUP(M$5,NFI,5,0),1,0)*Table_NFI[[#This Row],[Blanket]],Table_NFI[[#This Row],[Blanket]])</f>
        <v>0</v>
      </c>
      <c r="AE256" s="294">
        <f>IF(NFI_Expiration=1,IF($A256&lt;VLOOKUP(N$5,NFI,5,0),1,0)*Table_NFI[[#This Row],[Kitchen Set]],Table_NFI[Kitchen Set])</f>
        <v>0</v>
      </c>
      <c r="AF256" s="294">
        <f>IF(NFI_Expiration=1,IF($A256&lt;VLOOKUP(O$5,NFI,5,0),1,0)*Table_NFI[[#This Row],[Clothes Kit]],Table_NFI[Clothes Kit])</f>
        <v>0</v>
      </c>
      <c r="AG256" s="294">
        <f>IF(NFI_Expiration=1,IF($A256&lt;VLOOKUP(P$5,NFI,5,0),1,0)*Table_NFI[[#This Row],[Plastic Bucket]],Table_NFI[Plastic Bucket])</f>
        <v>0</v>
      </c>
      <c r="AH256" s="294">
        <f>IF(NFI_Expiration=1,IF($A256&lt;VLOOKUP(Q$5,NFI,5,0),1,0)*Table_NFI[[#This Row],[Plastic Mat]],Table_NFI[Plastic Mat])*IF(Table_NFI[[#This Row],[Distribution Date]]&gt;"2014-04-01",1,2.5)</f>
        <v>0</v>
      </c>
      <c r="AI256" s="294">
        <f>IF(NFI_Expiration=1,IF($A256&lt;VLOOKUP(R$5,NFI,5,0),1,0)*Table_NFI[[#This Row],[Winter Clothes Adult]],Table_NFI[Winter Clothes Adult])</f>
        <v>0</v>
      </c>
      <c r="AJ256" s="294">
        <f>IF(NFI_Expiration=1,IF($A256&lt;VLOOKUP(S$5,NFI,5,0),1,0)*Table_NFI[[#This Row],[Winter Clothes Children]],Table_NFI[Winter Clothes Children])</f>
        <v>0</v>
      </c>
      <c r="AK256" s="294">
        <f>IF(NFI_Expiration=1,IF($A256&lt;VLOOKUP(T$5,NFI,5,0),1,0)*Table_NFI[[#This Row],[Winter Items Other]],Table_NFI[Winter Items Other])</f>
        <v>0</v>
      </c>
      <c r="AL256" s="294">
        <f>IF(NFI_Expiration=1,IF($A256&lt;VLOOKUP(M$5,NFI,5,0),1,0)*Table_NFI[[#This Row],[Winter Blanket]],Table_NFI[[#This Row],[Winter Blanket]])</f>
        <v>0</v>
      </c>
      <c r="AM256" s="294">
        <f>IF(Table_NFI[[#This Row],[Winter Clothes Adult]]+Table_NFI[[#This Row],[Winter Clothes Children]]+Table_NFI[[#This Row],[Winter Items Other]]+Table_NFI[[#This Row],[Winter Blanket]]&gt;0,1,0)</f>
        <v>0</v>
      </c>
      <c r="AN256" s="331">
        <f>IF(NFI_Expiration=1,IF($A256&lt;VLOOKUP(V$5,NFI,5,0),1,0)*Table_NFI[[#This Row],[Jerry Can]],Table_NFI[Jerry Can])</f>
        <v>0</v>
      </c>
      <c r="AO256" s="331">
        <f>IF(NFI_Expiration=1,IF($A256&lt;VLOOKUP(V$5,NFI,5,0),1,0)*Table_NFI[[#This Row],[Shelter Tool kit]],Table_NFI[Shelter Tool kit])</f>
        <v>0</v>
      </c>
      <c r="AP256" s="331">
        <f>IF(NFI_Expiration=1,IF($A256&lt;VLOOKUP(V$5,NFI,5,0),1,0)*Table_NFI[[#This Row],[Tent]],Table_NFI[Tent])</f>
        <v>0</v>
      </c>
      <c r="AQ256" s="467" t="str">
        <f>IFERROR(VLOOKUP(Table_NFI[[#This Row],[Camp Name]],CL,2,0),"")</f>
        <v>MMR001CMP091</v>
      </c>
      <c r="AR256" s="835">
        <f ca="1">IF(Table_NFI[[#This Row],[Pcode]]="","",IF(OFFSET(CampList[Opening Date],MATCH(Table_NFI[[#This Row],[Pcode]],CampList[CP_Pcode],0)-1,0,1,1)&gt;=NFI_Monitor_Date,1,0))</f>
        <v>0</v>
      </c>
      <c r="AS256" s="467" t="str">
        <f>IFERROR(VLOOKUP(Table_NFI[[#This Row],[Camp Name]],CL,3,0),"")</f>
        <v>Open</v>
      </c>
      <c r="AT256" s="294" t="str">
        <f ca="1">IF(Table_NFI[[#This Row],[Pcode]]="","",OFFSET(CampList[Priority],MATCH(Table_NFI[[#This Row],[Pcode]],CampList[CP_Pcode],0)-1,0,1,1))</f>
        <v>P4</v>
      </c>
      <c r="AU256" s="293">
        <f>IFERROR(Table_NFI[[#This Row],[Kitchen Set]]/VLOOKUP(Table_NFI[[#This Row],[Camp Name]],CL,4,0),"")</f>
        <v>1.2158941685715675E-4</v>
      </c>
      <c r="AV256" s="461"/>
      <c r="AW256" s="463"/>
    </row>
    <row r="257" spans="1:49" s="464" customFormat="1" ht="14.45" customHeight="1" x14ac:dyDescent="0.25">
      <c r="A257" s="297">
        <f t="shared" si="3"/>
        <v>26.433333333333334</v>
      </c>
      <c r="B257" s="460">
        <v>41943</v>
      </c>
      <c r="C257" s="461" t="s">
        <v>452</v>
      </c>
      <c r="D257" s="461"/>
      <c r="E257" s="461" t="s">
        <v>380</v>
      </c>
      <c r="F257" s="461" t="s">
        <v>527</v>
      </c>
      <c r="G257" s="461" t="s">
        <v>611</v>
      </c>
      <c r="H257" s="291"/>
      <c r="I257" s="291"/>
      <c r="J257" s="291">
        <v>17</v>
      </c>
      <c r="K257" s="291">
        <v>34</v>
      </c>
      <c r="L257" s="292">
        <v>17</v>
      </c>
      <c r="M257" s="292">
        <v>34</v>
      </c>
      <c r="N257" s="292">
        <v>17</v>
      </c>
      <c r="O257" s="292"/>
      <c r="P257" s="294">
        <v>17</v>
      </c>
      <c r="Q257" s="294">
        <v>85</v>
      </c>
      <c r="R257" s="294"/>
      <c r="S257" s="294"/>
      <c r="T257" s="294"/>
      <c r="U257" s="294"/>
      <c r="V257" s="431"/>
      <c r="W257" s="294"/>
      <c r="X257" s="294"/>
      <c r="Y257" s="294">
        <f>IF(NFI_Expiration=1,IF($A257&lt;VLOOKUP(H$5,NFI,5,0),1,0)*Table_NFI[[#This Row],[Hygiene Kit]],Table_NFI[Hygiene Kit])</f>
        <v>0</v>
      </c>
      <c r="Z257" s="294">
        <f>IF(NFI_Expiration=1,IF($A257&lt;VLOOKUP(I$5,NFI,5,0),1,0)*Table_NFI[[#This Row],[NFI Core Kit]],Table_NFI[NFI Core Kit])</f>
        <v>0</v>
      </c>
      <c r="AA257" s="294">
        <f>IF(NFI_Expiration=1,IF($A257&lt;VLOOKUP(J$5,NFI,5,0),1,0)*Table_NFI[[#This Row],[Sanitary Kit]],Table_NFI[Sanitary Kit])</f>
        <v>0</v>
      </c>
      <c r="AB257" s="294">
        <f>IF(NFI_Expiration=1,IF($A257&lt;VLOOKUP(K$5,NFI,5,0),1,0)*Table_NFI[[#This Row],[Mosquito net]],Table_NFI[Mosquito net])</f>
        <v>0</v>
      </c>
      <c r="AC257" s="294">
        <f>IF(NFI_Expiration=1,IF($A257&lt;VLOOKUP(L$5,NFI,5,0),1,0)*Table_NFI[[#This Row],[Tarpaulin]],Table_NFI[[#This Row],[Tarpaulin]])</f>
        <v>0</v>
      </c>
      <c r="AD257" s="294">
        <f>IF(NFI_Expiration=1,IF($A257&lt;VLOOKUP(M$5,NFI,5,0),1,0)*Table_NFI[[#This Row],[Blanket]],Table_NFI[[#This Row],[Blanket]])</f>
        <v>0</v>
      </c>
      <c r="AE257" s="294">
        <f>IF(NFI_Expiration=1,IF($A257&lt;VLOOKUP(N$5,NFI,5,0),1,0)*Table_NFI[[#This Row],[Kitchen Set]],Table_NFI[Kitchen Set])</f>
        <v>0</v>
      </c>
      <c r="AF257" s="294">
        <f>IF(NFI_Expiration=1,IF($A257&lt;VLOOKUP(O$5,NFI,5,0),1,0)*Table_NFI[[#This Row],[Clothes Kit]],Table_NFI[Clothes Kit])</f>
        <v>0</v>
      </c>
      <c r="AG257" s="294">
        <f>IF(NFI_Expiration=1,IF($A257&lt;VLOOKUP(P$5,NFI,5,0),1,0)*Table_NFI[[#This Row],[Plastic Bucket]],Table_NFI[Plastic Bucket])</f>
        <v>0</v>
      </c>
      <c r="AH257" s="294">
        <f>IF(NFI_Expiration=1,IF($A257&lt;VLOOKUP(Q$5,NFI,5,0),1,0)*Table_NFI[[#This Row],[Plastic Mat]],Table_NFI[Plastic Mat])*IF(Table_NFI[[#This Row],[Distribution Date]]&gt;"2014-04-01",1,2.5)</f>
        <v>0</v>
      </c>
      <c r="AI257" s="294">
        <f>IF(NFI_Expiration=1,IF($A257&lt;VLOOKUP(R$5,NFI,5,0),1,0)*Table_NFI[[#This Row],[Winter Clothes Adult]],Table_NFI[Winter Clothes Adult])</f>
        <v>0</v>
      </c>
      <c r="AJ257" s="294">
        <f>IF(NFI_Expiration=1,IF($A257&lt;VLOOKUP(S$5,NFI,5,0),1,0)*Table_NFI[[#This Row],[Winter Clothes Children]],Table_NFI[Winter Clothes Children])</f>
        <v>0</v>
      </c>
      <c r="AK257" s="294">
        <f>IF(NFI_Expiration=1,IF($A257&lt;VLOOKUP(T$5,NFI,5,0),1,0)*Table_NFI[[#This Row],[Winter Items Other]],Table_NFI[Winter Items Other])</f>
        <v>0</v>
      </c>
      <c r="AL257" s="294">
        <f>IF(NFI_Expiration=1,IF($A257&lt;VLOOKUP(M$5,NFI,5,0),1,0)*Table_NFI[[#This Row],[Winter Blanket]],Table_NFI[[#This Row],[Winter Blanket]])</f>
        <v>0</v>
      </c>
      <c r="AM257" s="294">
        <f>IF(Table_NFI[[#This Row],[Winter Clothes Adult]]+Table_NFI[[#This Row],[Winter Clothes Children]]+Table_NFI[[#This Row],[Winter Items Other]]+Table_NFI[[#This Row],[Winter Blanket]]&gt;0,1,0)</f>
        <v>0</v>
      </c>
      <c r="AN257" s="331">
        <f>IF(NFI_Expiration=1,IF($A257&lt;VLOOKUP(V$5,NFI,5,0),1,0)*Table_NFI[[#This Row],[Jerry Can]],Table_NFI[Jerry Can])</f>
        <v>0</v>
      </c>
      <c r="AO257" s="331">
        <f>IF(NFI_Expiration=1,IF($A257&lt;VLOOKUP(V$5,NFI,5,0),1,0)*Table_NFI[[#This Row],[Shelter Tool kit]],Table_NFI[Shelter Tool kit])</f>
        <v>0</v>
      </c>
      <c r="AP257" s="331">
        <f>IF(NFI_Expiration=1,IF($A257&lt;VLOOKUP(V$5,NFI,5,0),1,0)*Table_NFI[[#This Row],[Tent]],Table_NFI[Tent])</f>
        <v>0</v>
      </c>
      <c r="AQ257" s="467" t="str">
        <f>IFERROR(VLOOKUP(Table_NFI[[#This Row],[Camp Name]],CL,2,0),"")</f>
        <v>MMR001CMP192</v>
      </c>
      <c r="AR257" s="835">
        <f ca="1">IF(Table_NFI[[#This Row],[Pcode]]="","",IF(OFFSET(CampList[Opening Date],MATCH(Table_NFI[[#This Row],[Pcode]],CampList[CP_Pcode],0)-1,0,1,1)&gt;=NFI_Monitor_Date,1,0))</f>
        <v>0</v>
      </c>
      <c r="AS257" s="467" t="str">
        <f>IFERROR(VLOOKUP(Table_NFI[[#This Row],[Camp Name]],CL,3,0),"")</f>
        <v>Open</v>
      </c>
      <c r="AT257" s="294" t="str">
        <f ca="1">IF(Table_NFI[[#This Row],[Pcode]]="","",OFFSET(CampList[Priority],MATCH(Table_NFI[[#This Row],[Pcode]],CampList[CP_Pcode],0)-1,0,1,1))</f>
        <v>P4</v>
      </c>
      <c r="AU257" s="293">
        <f>IFERROR(Table_NFI[[#This Row],[Kitchen Set]]/VLOOKUP(Table_NFI[[#This Row],[Camp Name]],CL,4,0),"")</f>
        <v>4.1187159297395516E-4</v>
      </c>
      <c r="AV257" s="461"/>
      <c r="AW257" s="463"/>
    </row>
    <row r="258" spans="1:49" s="464" customFormat="1" ht="14.45" customHeight="1" x14ac:dyDescent="0.25">
      <c r="A258" s="297">
        <f t="shared" si="3"/>
        <v>26.433333333333334</v>
      </c>
      <c r="B258" s="460">
        <v>41943</v>
      </c>
      <c r="C258" s="461" t="s">
        <v>452</v>
      </c>
      <c r="D258" s="461"/>
      <c r="E258" s="461" t="s">
        <v>380</v>
      </c>
      <c r="F258" s="461" t="s">
        <v>527</v>
      </c>
      <c r="G258" s="461" t="s">
        <v>108</v>
      </c>
      <c r="H258" s="291"/>
      <c r="I258" s="291"/>
      <c r="J258" s="291">
        <v>36</v>
      </c>
      <c r="K258" s="291">
        <v>72</v>
      </c>
      <c r="L258" s="292">
        <v>36</v>
      </c>
      <c r="M258" s="292">
        <v>72</v>
      </c>
      <c r="N258" s="292">
        <v>36</v>
      </c>
      <c r="O258" s="292"/>
      <c r="P258" s="294">
        <v>36</v>
      </c>
      <c r="Q258" s="294">
        <v>180</v>
      </c>
      <c r="R258" s="294"/>
      <c r="S258" s="294"/>
      <c r="T258" s="294"/>
      <c r="U258" s="294"/>
      <c r="V258" s="431"/>
      <c r="W258" s="294"/>
      <c r="X258" s="294"/>
      <c r="Y258" s="294">
        <f>IF(NFI_Expiration=1,IF($A258&lt;VLOOKUP(H$5,NFI,5,0),1,0)*Table_NFI[[#This Row],[Hygiene Kit]],Table_NFI[Hygiene Kit])</f>
        <v>0</v>
      </c>
      <c r="Z258" s="294">
        <f>IF(NFI_Expiration=1,IF($A258&lt;VLOOKUP(I$5,NFI,5,0),1,0)*Table_NFI[[#This Row],[NFI Core Kit]],Table_NFI[NFI Core Kit])</f>
        <v>0</v>
      </c>
      <c r="AA258" s="294">
        <f>IF(NFI_Expiration=1,IF($A258&lt;VLOOKUP(J$5,NFI,5,0),1,0)*Table_NFI[[#This Row],[Sanitary Kit]],Table_NFI[Sanitary Kit])</f>
        <v>0</v>
      </c>
      <c r="AB258" s="294">
        <f>IF(NFI_Expiration=1,IF($A258&lt;VLOOKUP(K$5,NFI,5,0),1,0)*Table_NFI[[#This Row],[Mosquito net]],Table_NFI[Mosquito net])</f>
        <v>0</v>
      </c>
      <c r="AC258" s="294">
        <f>IF(NFI_Expiration=1,IF($A258&lt;VLOOKUP(L$5,NFI,5,0),1,0)*Table_NFI[[#This Row],[Tarpaulin]],Table_NFI[[#This Row],[Tarpaulin]])</f>
        <v>0</v>
      </c>
      <c r="AD258" s="294">
        <f>IF(NFI_Expiration=1,IF($A258&lt;VLOOKUP(M$5,NFI,5,0),1,0)*Table_NFI[[#This Row],[Blanket]],Table_NFI[[#This Row],[Blanket]])</f>
        <v>0</v>
      </c>
      <c r="AE258" s="294">
        <f>IF(NFI_Expiration=1,IF($A258&lt;VLOOKUP(N$5,NFI,5,0),1,0)*Table_NFI[[#This Row],[Kitchen Set]],Table_NFI[Kitchen Set])</f>
        <v>0</v>
      </c>
      <c r="AF258" s="294">
        <f>IF(NFI_Expiration=1,IF($A258&lt;VLOOKUP(O$5,NFI,5,0),1,0)*Table_NFI[[#This Row],[Clothes Kit]],Table_NFI[Clothes Kit])</f>
        <v>0</v>
      </c>
      <c r="AG258" s="294">
        <f>IF(NFI_Expiration=1,IF($A258&lt;VLOOKUP(P$5,NFI,5,0),1,0)*Table_NFI[[#This Row],[Plastic Bucket]],Table_NFI[Plastic Bucket])</f>
        <v>0</v>
      </c>
      <c r="AH258" s="294">
        <f>IF(NFI_Expiration=1,IF($A258&lt;VLOOKUP(Q$5,NFI,5,0),1,0)*Table_NFI[[#This Row],[Plastic Mat]],Table_NFI[Plastic Mat])*IF(Table_NFI[[#This Row],[Distribution Date]]&gt;"2014-04-01",1,2.5)</f>
        <v>0</v>
      </c>
      <c r="AI258" s="294">
        <f>IF(NFI_Expiration=1,IF($A258&lt;VLOOKUP(R$5,NFI,5,0),1,0)*Table_NFI[[#This Row],[Winter Clothes Adult]],Table_NFI[Winter Clothes Adult])</f>
        <v>0</v>
      </c>
      <c r="AJ258" s="294">
        <f>IF(NFI_Expiration=1,IF($A258&lt;VLOOKUP(S$5,NFI,5,0),1,0)*Table_NFI[[#This Row],[Winter Clothes Children]],Table_NFI[Winter Clothes Children])</f>
        <v>0</v>
      </c>
      <c r="AK258" s="294">
        <f>IF(NFI_Expiration=1,IF($A258&lt;VLOOKUP(T$5,NFI,5,0),1,0)*Table_NFI[[#This Row],[Winter Items Other]],Table_NFI[Winter Items Other])</f>
        <v>0</v>
      </c>
      <c r="AL258" s="294">
        <f>IF(NFI_Expiration=1,IF($A258&lt;VLOOKUP(M$5,NFI,5,0),1,0)*Table_NFI[[#This Row],[Winter Blanket]],Table_NFI[[#This Row],[Winter Blanket]])</f>
        <v>0</v>
      </c>
      <c r="AM258" s="294">
        <f>IF(Table_NFI[[#This Row],[Winter Clothes Adult]]+Table_NFI[[#This Row],[Winter Clothes Children]]+Table_NFI[[#This Row],[Winter Items Other]]+Table_NFI[[#This Row],[Winter Blanket]]&gt;0,1,0)</f>
        <v>0</v>
      </c>
      <c r="AN258" s="331">
        <f>IF(NFI_Expiration=1,IF($A258&lt;VLOOKUP(V$5,NFI,5,0),1,0)*Table_NFI[[#This Row],[Jerry Can]],Table_NFI[Jerry Can])</f>
        <v>0</v>
      </c>
      <c r="AO258" s="331">
        <f>IF(NFI_Expiration=1,IF($A258&lt;VLOOKUP(V$5,NFI,5,0),1,0)*Table_NFI[[#This Row],[Shelter Tool kit]],Table_NFI[Shelter Tool kit])</f>
        <v>0</v>
      </c>
      <c r="AP258" s="331">
        <f>IF(NFI_Expiration=1,IF($A258&lt;VLOOKUP(V$5,NFI,5,0),1,0)*Table_NFI[[#This Row],[Tent]],Table_NFI[Tent])</f>
        <v>0</v>
      </c>
      <c r="AQ258" s="467" t="str">
        <f>IFERROR(VLOOKUP(Table_NFI[[#This Row],[Camp Name]],CL,2,0),"")</f>
        <v>MMR001CMP103</v>
      </c>
      <c r="AR258" s="835">
        <f ca="1">IF(Table_NFI[[#This Row],[Pcode]]="","",IF(OFFSET(CampList[Opening Date],MATCH(Table_NFI[[#This Row],[Pcode]],CampList[CP_Pcode],0)-1,0,1,1)&gt;=NFI_Monitor_Date,1,0))</f>
        <v>0</v>
      </c>
      <c r="AS258" s="467" t="str">
        <f>IFERROR(VLOOKUP(Table_NFI[[#This Row],[Camp Name]],CL,3,0),"")</f>
        <v>Open</v>
      </c>
      <c r="AT258" s="294" t="str">
        <f ca="1">IF(Table_NFI[[#This Row],[Pcode]]="","",OFFSET(CampList[Priority],MATCH(Table_NFI[[#This Row],[Pcode]],CampList[CP_Pcode],0)-1,0,1,1))</f>
        <v>P4</v>
      </c>
      <c r="AU258" s="293">
        <f>IFERROR(Table_NFI[[#This Row],[Kitchen Set]]/VLOOKUP(Table_NFI[[#This Row],[Camp Name]],CL,4,0),"")</f>
        <v>8.6774170221997249E-4</v>
      </c>
      <c r="AV258" s="461"/>
      <c r="AW258" s="463" t="s">
        <v>1110</v>
      </c>
    </row>
    <row r="259" spans="1:49" s="464" customFormat="1" ht="14.45" customHeight="1" x14ac:dyDescent="0.25">
      <c r="A259" s="297">
        <f t="shared" si="3"/>
        <v>26.433333333333334</v>
      </c>
      <c r="B259" s="460">
        <v>41943</v>
      </c>
      <c r="C259" s="461" t="s">
        <v>452</v>
      </c>
      <c r="D259" s="461"/>
      <c r="E259" s="461" t="s">
        <v>380</v>
      </c>
      <c r="F259" s="461" t="s">
        <v>527</v>
      </c>
      <c r="G259" s="461" t="s">
        <v>118</v>
      </c>
      <c r="H259" s="291"/>
      <c r="I259" s="291"/>
      <c r="J259" s="291">
        <v>12</v>
      </c>
      <c r="K259" s="291">
        <v>24</v>
      </c>
      <c r="L259" s="292">
        <v>12</v>
      </c>
      <c r="M259" s="292">
        <v>24</v>
      </c>
      <c r="N259" s="292">
        <v>12</v>
      </c>
      <c r="O259" s="292"/>
      <c r="P259" s="294">
        <v>12</v>
      </c>
      <c r="Q259" s="294">
        <v>60</v>
      </c>
      <c r="R259" s="294"/>
      <c r="S259" s="294"/>
      <c r="T259" s="294"/>
      <c r="U259" s="294"/>
      <c r="V259" s="431"/>
      <c r="W259" s="294"/>
      <c r="X259" s="294"/>
      <c r="Y259" s="294">
        <f>IF(NFI_Expiration=1,IF($A259&lt;VLOOKUP(H$5,NFI,5,0),1,0)*Table_NFI[[#This Row],[Hygiene Kit]],Table_NFI[Hygiene Kit])</f>
        <v>0</v>
      </c>
      <c r="Z259" s="294">
        <f>IF(NFI_Expiration=1,IF($A259&lt;VLOOKUP(I$5,NFI,5,0),1,0)*Table_NFI[[#This Row],[NFI Core Kit]],Table_NFI[NFI Core Kit])</f>
        <v>0</v>
      </c>
      <c r="AA259" s="294">
        <f>IF(NFI_Expiration=1,IF($A259&lt;VLOOKUP(J$5,NFI,5,0),1,0)*Table_NFI[[#This Row],[Sanitary Kit]],Table_NFI[Sanitary Kit])</f>
        <v>0</v>
      </c>
      <c r="AB259" s="294">
        <f>IF(NFI_Expiration=1,IF($A259&lt;VLOOKUP(K$5,NFI,5,0),1,0)*Table_NFI[[#This Row],[Mosquito net]],Table_NFI[Mosquito net])</f>
        <v>0</v>
      </c>
      <c r="AC259" s="294">
        <f>IF(NFI_Expiration=1,IF($A259&lt;VLOOKUP(L$5,NFI,5,0),1,0)*Table_NFI[[#This Row],[Tarpaulin]],Table_NFI[[#This Row],[Tarpaulin]])</f>
        <v>0</v>
      </c>
      <c r="AD259" s="294">
        <f>IF(NFI_Expiration=1,IF($A259&lt;VLOOKUP(M$5,NFI,5,0),1,0)*Table_NFI[[#This Row],[Blanket]],Table_NFI[[#This Row],[Blanket]])</f>
        <v>0</v>
      </c>
      <c r="AE259" s="294">
        <f>IF(NFI_Expiration=1,IF($A259&lt;VLOOKUP(N$5,NFI,5,0),1,0)*Table_NFI[[#This Row],[Kitchen Set]],Table_NFI[Kitchen Set])</f>
        <v>0</v>
      </c>
      <c r="AF259" s="294">
        <f>IF(NFI_Expiration=1,IF($A259&lt;VLOOKUP(O$5,NFI,5,0),1,0)*Table_NFI[[#This Row],[Clothes Kit]],Table_NFI[Clothes Kit])</f>
        <v>0</v>
      </c>
      <c r="AG259" s="294">
        <f>IF(NFI_Expiration=1,IF($A259&lt;VLOOKUP(P$5,NFI,5,0),1,0)*Table_NFI[[#This Row],[Plastic Bucket]],Table_NFI[Plastic Bucket])</f>
        <v>0</v>
      </c>
      <c r="AH259" s="294">
        <f>IF(NFI_Expiration=1,IF($A259&lt;VLOOKUP(Q$5,NFI,5,0),1,0)*Table_NFI[[#This Row],[Plastic Mat]],Table_NFI[Plastic Mat])*IF(Table_NFI[[#This Row],[Distribution Date]]&gt;"2014-04-01",1,2.5)</f>
        <v>0</v>
      </c>
      <c r="AI259" s="294">
        <f>IF(NFI_Expiration=1,IF($A259&lt;VLOOKUP(R$5,NFI,5,0),1,0)*Table_NFI[[#This Row],[Winter Clothes Adult]],Table_NFI[Winter Clothes Adult])</f>
        <v>0</v>
      </c>
      <c r="AJ259" s="294">
        <f>IF(NFI_Expiration=1,IF($A259&lt;VLOOKUP(S$5,NFI,5,0),1,0)*Table_NFI[[#This Row],[Winter Clothes Children]],Table_NFI[Winter Clothes Children])</f>
        <v>0</v>
      </c>
      <c r="AK259" s="294">
        <f>IF(NFI_Expiration=1,IF($A259&lt;VLOOKUP(T$5,NFI,5,0),1,0)*Table_NFI[[#This Row],[Winter Items Other]],Table_NFI[Winter Items Other])</f>
        <v>0</v>
      </c>
      <c r="AL259" s="294">
        <f>IF(NFI_Expiration=1,IF($A259&lt;VLOOKUP(M$5,NFI,5,0),1,0)*Table_NFI[[#This Row],[Winter Blanket]],Table_NFI[[#This Row],[Winter Blanket]])</f>
        <v>0</v>
      </c>
      <c r="AM259" s="294">
        <f>IF(Table_NFI[[#This Row],[Winter Clothes Adult]]+Table_NFI[[#This Row],[Winter Clothes Children]]+Table_NFI[[#This Row],[Winter Items Other]]+Table_NFI[[#This Row],[Winter Blanket]]&gt;0,1,0)</f>
        <v>0</v>
      </c>
      <c r="AN259" s="331">
        <f>IF(NFI_Expiration=1,IF($A259&lt;VLOOKUP(V$5,NFI,5,0),1,0)*Table_NFI[[#This Row],[Jerry Can]],Table_NFI[Jerry Can])</f>
        <v>0</v>
      </c>
      <c r="AO259" s="331">
        <f>IF(NFI_Expiration=1,IF($A259&lt;VLOOKUP(V$5,NFI,5,0),1,0)*Table_NFI[[#This Row],[Shelter Tool kit]],Table_NFI[Shelter Tool kit])</f>
        <v>0</v>
      </c>
      <c r="AP259" s="331">
        <f>IF(NFI_Expiration=1,IF($A259&lt;VLOOKUP(V$5,NFI,5,0),1,0)*Table_NFI[[#This Row],[Tent]],Table_NFI[Tent])</f>
        <v>0</v>
      </c>
      <c r="AQ259" s="467" t="str">
        <f>IFERROR(VLOOKUP(Table_NFI[[#This Row],[Camp Name]],CL,2,0),"")</f>
        <v>MMR001CMP182</v>
      </c>
      <c r="AR259" s="835">
        <f ca="1">IF(Table_NFI[[#This Row],[Pcode]]="","",IF(OFFSET(CampList[Opening Date],MATCH(Table_NFI[[#This Row],[Pcode]],CampList[CP_Pcode],0)-1,0,1,1)&gt;=NFI_Monitor_Date,1,0))</f>
        <v>0</v>
      </c>
      <c r="AS259" s="467" t="str">
        <f>IFERROR(VLOOKUP(Table_NFI[[#This Row],[Camp Name]],CL,3,0),"")</f>
        <v>Open</v>
      </c>
      <c r="AT259" s="294" t="str">
        <f ca="1">IF(Table_NFI[[#This Row],[Pcode]]="","",OFFSET(CampList[Priority],MATCH(Table_NFI[[#This Row],[Pcode]],CampList[CP_Pcode],0)-1,0,1,1))</f>
        <v>P4</v>
      </c>
      <c r="AU259" s="293">
        <f>IFERROR(Table_NFI[[#This Row],[Kitchen Set]]/VLOOKUP(Table_NFI[[#This Row],[Camp Name]],CL,4,0),"")</f>
        <v>2.9073288915808601E-4</v>
      </c>
      <c r="AV259" s="461"/>
      <c r="AW259" s="463"/>
    </row>
    <row r="260" spans="1:49" s="464" customFormat="1" ht="41.45" customHeight="1" x14ac:dyDescent="0.25">
      <c r="A260" s="297">
        <f t="shared" si="3"/>
        <v>26.433333333333334</v>
      </c>
      <c r="B260" s="460">
        <v>41943</v>
      </c>
      <c r="C260" s="461" t="s">
        <v>452</v>
      </c>
      <c r="D260" s="461"/>
      <c r="E260" s="461" t="s">
        <v>380</v>
      </c>
      <c r="F260" s="461" t="s">
        <v>527</v>
      </c>
      <c r="G260" s="461" t="s">
        <v>124</v>
      </c>
      <c r="H260" s="291"/>
      <c r="I260" s="291"/>
      <c r="J260" s="291">
        <v>9</v>
      </c>
      <c r="K260" s="291">
        <v>18</v>
      </c>
      <c r="L260" s="292">
        <v>9</v>
      </c>
      <c r="M260" s="292">
        <v>18</v>
      </c>
      <c r="N260" s="292">
        <v>9</v>
      </c>
      <c r="O260" s="292"/>
      <c r="P260" s="294">
        <v>9</v>
      </c>
      <c r="Q260" s="294">
        <v>45</v>
      </c>
      <c r="R260" s="294"/>
      <c r="S260" s="294"/>
      <c r="T260" s="294"/>
      <c r="U260" s="294"/>
      <c r="V260" s="431"/>
      <c r="W260" s="294"/>
      <c r="X260" s="294"/>
      <c r="Y260" s="294">
        <f>IF(NFI_Expiration=1,IF($A260&lt;VLOOKUP(H$5,NFI,5,0),1,0)*Table_NFI[[#This Row],[Hygiene Kit]],Table_NFI[Hygiene Kit])</f>
        <v>0</v>
      </c>
      <c r="Z260" s="294">
        <f>IF(NFI_Expiration=1,IF($A260&lt;VLOOKUP(I$5,NFI,5,0),1,0)*Table_NFI[[#This Row],[NFI Core Kit]],Table_NFI[NFI Core Kit])</f>
        <v>0</v>
      </c>
      <c r="AA260" s="294">
        <f>IF(NFI_Expiration=1,IF($A260&lt;VLOOKUP(J$5,NFI,5,0),1,0)*Table_NFI[[#This Row],[Sanitary Kit]],Table_NFI[Sanitary Kit])</f>
        <v>0</v>
      </c>
      <c r="AB260" s="294">
        <f>IF(NFI_Expiration=1,IF($A260&lt;VLOOKUP(K$5,NFI,5,0),1,0)*Table_NFI[[#This Row],[Mosquito net]],Table_NFI[Mosquito net])</f>
        <v>0</v>
      </c>
      <c r="AC260" s="294">
        <f>IF(NFI_Expiration=1,IF($A260&lt;VLOOKUP(L$5,NFI,5,0),1,0)*Table_NFI[[#This Row],[Tarpaulin]],Table_NFI[[#This Row],[Tarpaulin]])</f>
        <v>0</v>
      </c>
      <c r="AD260" s="294">
        <f>IF(NFI_Expiration=1,IF($A260&lt;VLOOKUP(M$5,NFI,5,0),1,0)*Table_NFI[[#This Row],[Blanket]],Table_NFI[[#This Row],[Blanket]])</f>
        <v>0</v>
      </c>
      <c r="AE260" s="294">
        <f>IF(NFI_Expiration=1,IF($A260&lt;VLOOKUP(N$5,NFI,5,0),1,0)*Table_NFI[[#This Row],[Kitchen Set]],Table_NFI[Kitchen Set])</f>
        <v>0</v>
      </c>
      <c r="AF260" s="294">
        <f>IF(NFI_Expiration=1,IF($A260&lt;VLOOKUP(O$5,NFI,5,0),1,0)*Table_NFI[[#This Row],[Clothes Kit]],Table_NFI[Clothes Kit])</f>
        <v>0</v>
      </c>
      <c r="AG260" s="294">
        <f>IF(NFI_Expiration=1,IF($A260&lt;VLOOKUP(P$5,NFI,5,0),1,0)*Table_NFI[[#This Row],[Plastic Bucket]],Table_NFI[Plastic Bucket])</f>
        <v>0</v>
      </c>
      <c r="AH260" s="294">
        <f>IF(NFI_Expiration=1,IF($A260&lt;VLOOKUP(Q$5,NFI,5,0),1,0)*Table_NFI[[#This Row],[Plastic Mat]],Table_NFI[Plastic Mat])*IF(Table_NFI[[#This Row],[Distribution Date]]&gt;"2014-04-01",1,2.5)</f>
        <v>0</v>
      </c>
      <c r="AI260" s="294">
        <f>IF(NFI_Expiration=1,IF($A260&lt;VLOOKUP(R$5,NFI,5,0),1,0)*Table_NFI[[#This Row],[Winter Clothes Adult]],Table_NFI[Winter Clothes Adult])</f>
        <v>0</v>
      </c>
      <c r="AJ260" s="294">
        <f>IF(NFI_Expiration=1,IF($A260&lt;VLOOKUP(S$5,NFI,5,0),1,0)*Table_NFI[[#This Row],[Winter Clothes Children]],Table_NFI[Winter Clothes Children])</f>
        <v>0</v>
      </c>
      <c r="AK260" s="294">
        <f>IF(NFI_Expiration=1,IF($A260&lt;VLOOKUP(T$5,NFI,5,0),1,0)*Table_NFI[[#This Row],[Winter Items Other]],Table_NFI[Winter Items Other])</f>
        <v>0</v>
      </c>
      <c r="AL260" s="294">
        <f>IF(NFI_Expiration=1,IF($A260&lt;VLOOKUP(M$5,NFI,5,0),1,0)*Table_NFI[[#This Row],[Winter Blanket]],Table_NFI[[#This Row],[Winter Blanket]])</f>
        <v>0</v>
      </c>
      <c r="AM260" s="294">
        <f>IF(Table_NFI[[#This Row],[Winter Clothes Adult]]+Table_NFI[[#This Row],[Winter Clothes Children]]+Table_NFI[[#This Row],[Winter Items Other]]+Table_NFI[[#This Row],[Winter Blanket]]&gt;0,1,0)</f>
        <v>0</v>
      </c>
      <c r="AN260" s="331">
        <f>IF(NFI_Expiration=1,IF($A260&lt;VLOOKUP(V$5,NFI,5,0),1,0)*Table_NFI[[#This Row],[Jerry Can]],Table_NFI[Jerry Can])</f>
        <v>0</v>
      </c>
      <c r="AO260" s="331">
        <f>IF(NFI_Expiration=1,IF($A260&lt;VLOOKUP(V$5,NFI,5,0),1,0)*Table_NFI[[#This Row],[Shelter Tool kit]],Table_NFI[Shelter Tool kit])</f>
        <v>0</v>
      </c>
      <c r="AP260" s="331">
        <f>IF(NFI_Expiration=1,IF($A260&lt;VLOOKUP(V$5,NFI,5,0),1,0)*Table_NFI[[#This Row],[Tent]],Table_NFI[Tent])</f>
        <v>0</v>
      </c>
      <c r="AQ260" s="467" t="str">
        <f>IFERROR(VLOOKUP(Table_NFI[[#This Row],[Camp Name]],CL,2,0),"")</f>
        <v>MMR001CMP183</v>
      </c>
      <c r="AR260" s="835">
        <f ca="1">IF(Table_NFI[[#This Row],[Pcode]]="","",IF(OFFSET(CampList[Opening Date],MATCH(Table_NFI[[#This Row],[Pcode]],CampList[CP_Pcode],0)-1,0,1,1)&gt;=NFI_Monitor_Date,1,0))</f>
        <v>0</v>
      </c>
      <c r="AS260" s="467" t="str">
        <f>IFERROR(VLOOKUP(Table_NFI[[#This Row],[Camp Name]],CL,3,0),"")</f>
        <v>Open</v>
      </c>
      <c r="AT260" s="294" t="str">
        <f ca="1">IF(Table_NFI[[#This Row],[Pcode]]="","",OFFSET(CampList[Priority],MATCH(Table_NFI[[#This Row],[Pcode]],CampList[CP_Pcode],0)-1,0,1,1))</f>
        <v>P4</v>
      </c>
      <c r="AU260" s="293">
        <f>IFERROR(Table_NFI[[#This Row],[Kitchen Set]]/VLOOKUP(Table_NFI[[#This Row],[Camp Name]],CL,4,0),"")</f>
        <v>2.1804966686856452E-4</v>
      </c>
      <c r="AV260" s="461"/>
      <c r="AW260" s="463"/>
    </row>
    <row r="261" spans="1:49" s="464" customFormat="1" ht="14.45" customHeight="1" x14ac:dyDescent="0.25">
      <c r="A261" s="297">
        <f t="shared" si="3"/>
        <v>26.433333333333334</v>
      </c>
      <c r="B261" s="460">
        <v>41943</v>
      </c>
      <c r="C261" s="461" t="s">
        <v>452</v>
      </c>
      <c r="D261" s="461"/>
      <c r="E261" s="461" t="s">
        <v>380</v>
      </c>
      <c r="F261" s="461" t="s">
        <v>527</v>
      </c>
      <c r="G261" s="461" t="s">
        <v>126</v>
      </c>
      <c r="H261" s="291"/>
      <c r="I261" s="291"/>
      <c r="J261" s="291">
        <v>38</v>
      </c>
      <c r="K261" s="291">
        <v>76</v>
      </c>
      <c r="L261" s="292">
        <v>38</v>
      </c>
      <c r="M261" s="292">
        <v>76</v>
      </c>
      <c r="N261" s="292">
        <v>38</v>
      </c>
      <c r="O261" s="292"/>
      <c r="P261" s="294">
        <v>38</v>
      </c>
      <c r="Q261" s="294">
        <v>190</v>
      </c>
      <c r="R261" s="294"/>
      <c r="S261" s="294"/>
      <c r="T261" s="294"/>
      <c r="U261" s="294"/>
      <c r="V261" s="431"/>
      <c r="W261" s="294"/>
      <c r="X261" s="294"/>
      <c r="Y261" s="294">
        <f>IF(NFI_Expiration=1,IF($A261&lt;VLOOKUP(H$5,NFI,5,0),1,0)*Table_NFI[[#This Row],[Hygiene Kit]],Table_NFI[Hygiene Kit])</f>
        <v>0</v>
      </c>
      <c r="Z261" s="294">
        <f>IF(NFI_Expiration=1,IF($A261&lt;VLOOKUP(I$5,NFI,5,0),1,0)*Table_NFI[[#This Row],[NFI Core Kit]],Table_NFI[NFI Core Kit])</f>
        <v>0</v>
      </c>
      <c r="AA261" s="294">
        <f>IF(NFI_Expiration=1,IF($A261&lt;VLOOKUP(J$5,NFI,5,0),1,0)*Table_NFI[[#This Row],[Sanitary Kit]],Table_NFI[Sanitary Kit])</f>
        <v>0</v>
      </c>
      <c r="AB261" s="294">
        <f>IF(NFI_Expiration=1,IF($A261&lt;VLOOKUP(K$5,NFI,5,0),1,0)*Table_NFI[[#This Row],[Mosquito net]],Table_NFI[Mosquito net])</f>
        <v>0</v>
      </c>
      <c r="AC261" s="294">
        <f>IF(NFI_Expiration=1,IF($A261&lt;VLOOKUP(L$5,NFI,5,0),1,0)*Table_NFI[[#This Row],[Tarpaulin]],Table_NFI[[#This Row],[Tarpaulin]])</f>
        <v>0</v>
      </c>
      <c r="AD261" s="294">
        <f>IF(NFI_Expiration=1,IF($A261&lt;VLOOKUP(M$5,NFI,5,0),1,0)*Table_NFI[[#This Row],[Blanket]],Table_NFI[[#This Row],[Blanket]])</f>
        <v>0</v>
      </c>
      <c r="AE261" s="294">
        <f>IF(NFI_Expiration=1,IF($A261&lt;VLOOKUP(N$5,NFI,5,0),1,0)*Table_NFI[[#This Row],[Kitchen Set]],Table_NFI[Kitchen Set])</f>
        <v>0</v>
      </c>
      <c r="AF261" s="294">
        <f>IF(NFI_Expiration=1,IF($A261&lt;VLOOKUP(O$5,NFI,5,0),1,0)*Table_NFI[[#This Row],[Clothes Kit]],Table_NFI[Clothes Kit])</f>
        <v>0</v>
      </c>
      <c r="AG261" s="294">
        <f>IF(NFI_Expiration=1,IF($A261&lt;VLOOKUP(P$5,NFI,5,0),1,0)*Table_NFI[[#This Row],[Plastic Bucket]],Table_NFI[Plastic Bucket])</f>
        <v>0</v>
      </c>
      <c r="AH261" s="294">
        <f>IF(NFI_Expiration=1,IF($A261&lt;VLOOKUP(Q$5,NFI,5,0),1,0)*Table_NFI[[#This Row],[Plastic Mat]],Table_NFI[Plastic Mat])*IF(Table_NFI[[#This Row],[Distribution Date]]&gt;"2014-04-01",1,2.5)</f>
        <v>0</v>
      </c>
      <c r="AI261" s="294">
        <f>IF(NFI_Expiration=1,IF($A261&lt;VLOOKUP(R$5,NFI,5,0),1,0)*Table_NFI[[#This Row],[Winter Clothes Adult]],Table_NFI[Winter Clothes Adult])</f>
        <v>0</v>
      </c>
      <c r="AJ261" s="294">
        <f>IF(NFI_Expiration=1,IF($A261&lt;VLOOKUP(S$5,NFI,5,0),1,0)*Table_NFI[[#This Row],[Winter Clothes Children]],Table_NFI[Winter Clothes Children])</f>
        <v>0</v>
      </c>
      <c r="AK261" s="294">
        <f>IF(NFI_Expiration=1,IF($A261&lt;VLOOKUP(T$5,NFI,5,0),1,0)*Table_NFI[[#This Row],[Winter Items Other]],Table_NFI[Winter Items Other])</f>
        <v>0</v>
      </c>
      <c r="AL261" s="294">
        <f>IF(NFI_Expiration=1,IF($A261&lt;VLOOKUP(M$5,NFI,5,0),1,0)*Table_NFI[[#This Row],[Winter Blanket]],Table_NFI[[#This Row],[Winter Blanket]])</f>
        <v>0</v>
      </c>
      <c r="AM261" s="294">
        <f>IF(Table_NFI[[#This Row],[Winter Clothes Adult]]+Table_NFI[[#This Row],[Winter Clothes Children]]+Table_NFI[[#This Row],[Winter Items Other]]+Table_NFI[[#This Row],[Winter Blanket]]&gt;0,1,0)</f>
        <v>0</v>
      </c>
      <c r="AN261" s="331">
        <f>IF(NFI_Expiration=1,IF($A261&lt;VLOOKUP(V$5,NFI,5,0),1,0)*Table_NFI[[#This Row],[Jerry Can]],Table_NFI[Jerry Can])</f>
        <v>0</v>
      </c>
      <c r="AO261" s="331">
        <f>IF(NFI_Expiration=1,IF($A261&lt;VLOOKUP(V$5,NFI,5,0),1,0)*Table_NFI[[#This Row],[Shelter Tool kit]],Table_NFI[Shelter Tool kit])</f>
        <v>0</v>
      </c>
      <c r="AP261" s="331">
        <f>IF(NFI_Expiration=1,IF($A261&lt;VLOOKUP(V$5,NFI,5,0),1,0)*Table_NFI[[#This Row],[Tent]],Table_NFI[Tent])</f>
        <v>0</v>
      </c>
      <c r="AQ261" s="467" t="str">
        <f>IFERROR(VLOOKUP(Table_NFI[[#This Row],[Camp Name]],CL,2,0),"")</f>
        <v>MMR001CMP184</v>
      </c>
      <c r="AR261" s="835">
        <f ca="1">IF(Table_NFI[[#This Row],[Pcode]]="","",IF(OFFSET(CampList[Opening Date],MATCH(Table_NFI[[#This Row],[Pcode]],CampList[CP_Pcode],0)-1,0,1,1)&gt;=NFI_Monitor_Date,1,0))</f>
        <v>0</v>
      </c>
      <c r="AS261" s="467" t="str">
        <f>IFERROR(VLOOKUP(Table_NFI[[#This Row],[Camp Name]],CL,3,0),"")</f>
        <v>Open</v>
      </c>
      <c r="AT261" s="294" t="str">
        <f ca="1">IF(Table_NFI[[#This Row],[Pcode]]="","",OFFSET(CampList[Priority],MATCH(Table_NFI[[#This Row],[Pcode]],CampList[CP_Pcode],0)-1,0,1,1))</f>
        <v>P4</v>
      </c>
      <c r="AU261" s="293">
        <f>IFERROR(Table_NFI[[#This Row],[Kitchen Set]]/VLOOKUP(Table_NFI[[#This Row],[Camp Name]],CL,4,0),"")</f>
        <v>9.2065414900060572E-4</v>
      </c>
      <c r="AV261" s="461"/>
      <c r="AW261" s="463"/>
    </row>
    <row r="262" spans="1:49" s="464" customFormat="1" ht="14.45" customHeight="1" x14ac:dyDescent="0.25">
      <c r="A262" s="297">
        <f t="shared" ref="A262:A325" si="4">IF(ISBLANK(B262),"",(Report_Date-B262)/30)</f>
        <v>26.433333333333334</v>
      </c>
      <c r="B262" s="460">
        <v>41943</v>
      </c>
      <c r="C262" s="461" t="s">
        <v>452</v>
      </c>
      <c r="D262" s="461"/>
      <c r="E262" s="461" t="s">
        <v>380</v>
      </c>
      <c r="F262" s="461" t="s">
        <v>527</v>
      </c>
      <c r="G262" s="461" t="s">
        <v>140</v>
      </c>
      <c r="H262" s="291"/>
      <c r="I262" s="291"/>
      <c r="J262" s="291">
        <v>10</v>
      </c>
      <c r="K262" s="291">
        <v>20</v>
      </c>
      <c r="L262" s="292">
        <v>10</v>
      </c>
      <c r="M262" s="292">
        <v>20</v>
      </c>
      <c r="N262" s="292">
        <v>10</v>
      </c>
      <c r="O262" s="292"/>
      <c r="P262" s="294">
        <v>10</v>
      </c>
      <c r="Q262" s="294">
        <v>50</v>
      </c>
      <c r="R262" s="294"/>
      <c r="S262" s="294"/>
      <c r="T262" s="294"/>
      <c r="U262" s="294"/>
      <c r="V262" s="431"/>
      <c r="W262" s="294"/>
      <c r="X262" s="294"/>
      <c r="Y262" s="294">
        <f>IF(NFI_Expiration=1,IF($A262&lt;VLOOKUP(H$5,NFI,5,0),1,0)*Table_NFI[[#This Row],[Hygiene Kit]],Table_NFI[Hygiene Kit])</f>
        <v>0</v>
      </c>
      <c r="Z262" s="294">
        <f>IF(NFI_Expiration=1,IF($A262&lt;VLOOKUP(I$5,NFI,5,0),1,0)*Table_NFI[[#This Row],[NFI Core Kit]],Table_NFI[NFI Core Kit])</f>
        <v>0</v>
      </c>
      <c r="AA262" s="294">
        <f>IF(NFI_Expiration=1,IF($A262&lt;VLOOKUP(J$5,NFI,5,0),1,0)*Table_NFI[[#This Row],[Sanitary Kit]],Table_NFI[Sanitary Kit])</f>
        <v>0</v>
      </c>
      <c r="AB262" s="294">
        <f>IF(NFI_Expiration=1,IF($A262&lt;VLOOKUP(K$5,NFI,5,0),1,0)*Table_NFI[[#This Row],[Mosquito net]],Table_NFI[Mosquito net])</f>
        <v>0</v>
      </c>
      <c r="AC262" s="294">
        <f>IF(NFI_Expiration=1,IF($A262&lt;VLOOKUP(L$5,NFI,5,0),1,0)*Table_NFI[[#This Row],[Tarpaulin]],Table_NFI[[#This Row],[Tarpaulin]])</f>
        <v>0</v>
      </c>
      <c r="AD262" s="294">
        <f>IF(NFI_Expiration=1,IF($A262&lt;VLOOKUP(M$5,NFI,5,0),1,0)*Table_NFI[[#This Row],[Blanket]],Table_NFI[[#This Row],[Blanket]])</f>
        <v>0</v>
      </c>
      <c r="AE262" s="294">
        <f>IF(NFI_Expiration=1,IF($A262&lt;VLOOKUP(N$5,NFI,5,0),1,0)*Table_NFI[[#This Row],[Kitchen Set]],Table_NFI[Kitchen Set])</f>
        <v>0</v>
      </c>
      <c r="AF262" s="294">
        <f>IF(NFI_Expiration=1,IF($A262&lt;VLOOKUP(O$5,NFI,5,0),1,0)*Table_NFI[[#This Row],[Clothes Kit]],Table_NFI[Clothes Kit])</f>
        <v>0</v>
      </c>
      <c r="AG262" s="294">
        <f>IF(NFI_Expiration=1,IF($A262&lt;VLOOKUP(P$5,NFI,5,0),1,0)*Table_NFI[[#This Row],[Plastic Bucket]],Table_NFI[Plastic Bucket])</f>
        <v>0</v>
      </c>
      <c r="AH262" s="294">
        <f>IF(NFI_Expiration=1,IF($A262&lt;VLOOKUP(Q$5,NFI,5,0),1,0)*Table_NFI[[#This Row],[Plastic Mat]],Table_NFI[Plastic Mat])*IF(Table_NFI[[#This Row],[Distribution Date]]&gt;"2014-04-01",1,2.5)</f>
        <v>0</v>
      </c>
      <c r="AI262" s="294">
        <f>IF(NFI_Expiration=1,IF($A262&lt;VLOOKUP(R$5,NFI,5,0),1,0)*Table_NFI[[#This Row],[Winter Clothes Adult]],Table_NFI[Winter Clothes Adult])</f>
        <v>0</v>
      </c>
      <c r="AJ262" s="294">
        <f>IF(NFI_Expiration=1,IF($A262&lt;VLOOKUP(S$5,NFI,5,0),1,0)*Table_NFI[[#This Row],[Winter Clothes Children]],Table_NFI[Winter Clothes Children])</f>
        <v>0</v>
      </c>
      <c r="AK262" s="294">
        <f>IF(NFI_Expiration=1,IF($A262&lt;VLOOKUP(T$5,NFI,5,0),1,0)*Table_NFI[[#This Row],[Winter Items Other]],Table_NFI[Winter Items Other])</f>
        <v>0</v>
      </c>
      <c r="AL262" s="294">
        <f>IF(NFI_Expiration=1,IF($A262&lt;VLOOKUP(M$5,NFI,5,0),1,0)*Table_NFI[[#This Row],[Winter Blanket]],Table_NFI[[#This Row],[Winter Blanket]])</f>
        <v>0</v>
      </c>
      <c r="AM262" s="294">
        <f>IF(Table_NFI[[#This Row],[Winter Clothes Adult]]+Table_NFI[[#This Row],[Winter Clothes Children]]+Table_NFI[[#This Row],[Winter Items Other]]+Table_NFI[[#This Row],[Winter Blanket]]&gt;0,1,0)</f>
        <v>0</v>
      </c>
      <c r="AN262" s="331">
        <f>IF(NFI_Expiration=1,IF($A262&lt;VLOOKUP(V$5,NFI,5,0),1,0)*Table_NFI[[#This Row],[Jerry Can]],Table_NFI[Jerry Can])</f>
        <v>0</v>
      </c>
      <c r="AO262" s="331">
        <f>IF(NFI_Expiration=1,IF($A262&lt;VLOOKUP(V$5,NFI,5,0),1,0)*Table_NFI[[#This Row],[Shelter Tool kit]],Table_NFI[Shelter Tool kit])</f>
        <v>0</v>
      </c>
      <c r="AP262" s="331">
        <f>IF(NFI_Expiration=1,IF($A262&lt;VLOOKUP(V$5,NFI,5,0),1,0)*Table_NFI[[#This Row],[Tent]],Table_NFI[Tent])</f>
        <v>0</v>
      </c>
      <c r="AQ262" s="467" t="str">
        <f>IFERROR(VLOOKUP(Table_NFI[[#This Row],[Camp Name]],CL,2,0),"")</f>
        <v>MMR001CMP105</v>
      </c>
      <c r="AR262" s="835">
        <f ca="1">IF(Table_NFI[[#This Row],[Pcode]]="","",IF(OFFSET(CampList[Opening Date],MATCH(Table_NFI[[#This Row],[Pcode]],CampList[CP_Pcode],0)-1,0,1,1)&gt;=NFI_Monitor_Date,1,0))</f>
        <v>0</v>
      </c>
      <c r="AS262" s="467" t="str">
        <f>IFERROR(VLOOKUP(Table_NFI[[#This Row],[Camp Name]],CL,3,0),"")</f>
        <v>Open</v>
      </c>
      <c r="AT262" s="294" t="str">
        <f ca="1">IF(Table_NFI[[#This Row],[Pcode]]="","",OFFSET(CampList[Priority],MATCH(Table_NFI[[#This Row],[Pcode]],CampList[CP_Pcode],0)-1,0,1,1))</f>
        <v>P4</v>
      </c>
      <c r="AU262" s="293">
        <f>IFERROR(Table_NFI[[#This Row],[Kitchen Set]]/VLOOKUP(Table_NFI[[#This Row],[Camp Name]],CL,4,0),"")</f>
        <v>2.431788337143135E-4</v>
      </c>
      <c r="AV262" s="461"/>
      <c r="AW262" s="463"/>
    </row>
    <row r="263" spans="1:49" s="464" customFormat="1" ht="14.45" customHeight="1" x14ac:dyDescent="0.25">
      <c r="A263" s="297">
        <f t="shared" si="4"/>
        <v>26.466666666666665</v>
      </c>
      <c r="B263" s="460">
        <v>41942</v>
      </c>
      <c r="C263" s="465" t="s">
        <v>452</v>
      </c>
      <c r="D263" s="465"/>
      <c r="E263" s="465" t="s">
        <v>380</v>
      </c>
      <c r="F263" s="465" t="s">
        <v>5</v>
      </c>
      <c r="G263" s="465" t="s">
        <v>512</v>
      </c>
      <c r="H263" s="292"/>
      <c r="I263" s="292"/>
      <c r="J263" s="292"/>
      <c r="K263" s="292"/>
      <c r="L263" s="292"/>
      <c r="M263" s="292"/>
      <c r="N263" s="292"/>
      <c r="O263" s="292"/>
      <c r="P263" s="294"/>
      <c r="Q263" s="294"/>
      <c r="R263" s="294"/>
      <c r="S263" s="294"/>
      <c r="T263" s="294"/>
      <c r="U263" s="294"/>
      <c r="V263" s="431"/>
      <c r="W263" s="294"/>
      <c r="X263" s="294"/>
      <c r="Y263" s="294">
        <f>IF(NFI_Expiration=1,IF($A263&lt;VLOOKUP(H$5,NFI,5,0),1,0)*Table_NFI[[#This Row],[Hygiene Kit]],Table_NFI[Hygiene Kit])</f>
        <v>0</v>
      </c>
      <c r="Z263" s="294">
        <f>IF(NFI_Expiration=1,IF($A263&lt;VLOOKUP(I$5,NFI,5,0),1,0)*Table_NFI[[#This Row],[NFI Core Kit]],Table_NFI[NFI Core Kit])</f>
        <v>0</v>
      </c>
      <c r="AA263" s="294">
        <f>IF(NFI_Expiration=1,IF($A263&lt;VLOOKUP(J$5,NFI,5,0),1,0)*Table_NFI[[#This Row],[Sanitary Kit]],Table_NFI[Sanitary Kit])</f>
        <v>0</v>
      </c>
      <c r="AB263" s="294">
        <f>IF(NFI_Expiration=1,IF($A263&lt;VLOOKUP(K$5,NFI,5,0),1,0)*Table_NFI[[#This Row],[Mosquito net]],Table_NFI[Mosquito net])</f>
        <v>0</v>
      </c>
      <c r="AC263" s="294">
        <f>IF(NFI_Expiration=1,IF($A263&lt;VLOOKUP(L$5,NFI,5,0),1,0)*Table_NFI[[#This Row],[Tarpaulin]],Table_NFI[[#This Row],[Tarpaulin]])</f>
        <v>0</v>
      </c>
      <c r="AD263" s="294">
        <f>IF(NFI_Expiration=1,IF($A263&lt;VLOOKUP(M$5,NFI,5,0),1,0)*Table_NFI[[#This Row],[Blanket]],Table_NFI[[#This Row],[Blanket]])</f>
        <v>0</v>
      </c>
      <c r="AE263" s="294">
        <f>IF(NFI_Expiration=1,IF($A263&lt;VLOOKUP(N$5,NFI,5,0),1,0)*Table_NFI[[#This Row],[Kitchen Set]],Table_NFI[Kitchen Set])</f>
        <v>0</v>
      </c>
      <c r="AF263" s="294">
        <f>IF(NFI_Expiration=1,IF($A263&lt;VLOOKUP(O$5,NFI,5,0),1,0)*Table_NFI[[#This Row],[Clothes Kit]],Table_NFI[Clothes Kit])</f>
        <v>0</v>
      </c>
      <c r="AG263" s="294">
        <f>IF(NFI_Expiration=1,IF($A263&lt;VLOOKUP(P$5,NFI,5,0),1,0)*Table_NFI[[#This Row],[Plastic Bucket]],Table_NFI[Plastic Bucket])</f>
        <v>0</v>
      </c>
      <c r="AH263" s="294">
        <f>IF(NFI_Expiration=1,IF($A263&lt;VLOOKUP(Q$5,NFI,5,0),1,0)*Table_NFI[[#This Row],[Plastic Mat]],Table_NFI[Plastic Mat])*IF(Table_NFI[[#This Row],[Distribution Date]]&gt;"2014-04-01",1,2.5)</f>
        <v>0</v>
      </c>
      <c r="AI263" s="294">
        <f>IF(NFI_Expiration=1,IF($A263&lt;VLOOKUP(R$5,NFI,5,0),1,0)*Table_NFI[[#This Row],[Winter Clothes Adult]],Table_NFI[Winter Clothes Adult])</f>
        <v>0</v>
      </c>
      <c r="AJ263" s="294">
        <f>IF(NFI_Expiration=1,IF($A263&lt;VLOOKUP(S$5,NFI,5,0),1,0)*Table_NFI[[#This Row],[Winter Clothes Children]],Table_NFI[Winter Clothes Children])</f>
        <v>0</v>
      </c>
      <c r="AK263" s="294">
        <f>IF(NFI_Expiration=1,IF($A263&lt;VLOOKUP(T$5,NFI,5,0),1,0)*Table_NFI[[#This Row],[Winter Items Other]],Table_NFI[Winter Items Other])</f>
        <v>0</v>
      </c>
      <c r="AL263" s="294">
        <f>IF(NFI_Expiration=1,IF($A263&lt;VLOOKUP(M$5,NFI,5,0),1,0)*Table_NFI[[#This Row],[Winter Blanket]],Table_NFI[[#This Row],[Winter Blanket]])</f>
        <v>0</v>
      </c>
      <c r="AM263" s="294">
        <f>IF(Table_NFI[[#This Row],[Winter Clothes Adult]]+Table_NFI[[#This Row],[Winter Clothes Children]]+Table_NFI[[#This Row],[Winter Items Other]]+Table_NFI[[#This Row],[Winter Blanket]]&gt;0,1,0)</f>
        <v>0</v>
      </c>
      <c r="AN263" s="331">
        <f>IF(NFI_Expiration=1,IF($A263&lt;VLOOKUP(V$5,NFI,5,0),1,0)*Table_NFI[[#This Row],[Jerry Can]],Table_NFI[Jerry Can])</f>
        <v>0</v>
      </c>
      <c r="AO263" s="331">
        <f>IF(NFI_Expiration=1,IF($A263&lt;VLOOKUP(V$5,NFI,5,0),1,0)*Table_NFI[[#This Row],[Shelter Tool kit]],Table_NFI[Shelter Tool kit])</f>
        <v>0</v>
      </c>
      <c r="AP263" s="331">
        <f>IF(NFI_Expiration=1,IF($A263&lt;VLOOKUP(V$5,NFI,5,0),1,0)*Table_NFI[[#This Row],[Tent]],Table_NFI[Tent])</f>
        <v>0</v>
      </c>
      <c r="AQ263" s="467" t="str">
        <f>IFERROR(VLOOKUP(Table_NFI[[#This Row],[Camp Name]],CL,2,0),"")</f>
        <v>MMR001CMP194</v>
      </c>
      <c r="AR263" s="835">
        <f ca="1">IF(Table_NFI[[#This Row],[Pcode]]="","",IF(OFFSET(CampList[Opening Date],MATCH(Table_NFI[[#This Row],[Pcode]],CampList[CP_Pcode],0)-1,0,1,1)&gt;=NFI_Monitor_Date,1,0))</f>
        <v>0</v>
      </c>
      <c r="AS263" s="467" t="str">
        <f>IFERROR(VLOOKUP(Table_NFI[[#This Row],[Camp Name]],CL,3,0),"")</f>
        <v>Open</v>
      </c>
      <c r="AT263" s="294" t="str">
        <f ca="1">IF(Table_NFI[[#This Row],[Pcode]]="","",OFFSET(CampList[Priority],MATCH(Table_NFI[[#This Row],[Pcode]],CampList[CP_Pcode],0)-1,0,1,1))</f>
        <v>P4</v>
      </c>
      <c r="AU263" s="293">
        <f>IFERROR(Table_NFI[[#This Row],[Kitchen Set]]/VLOOKUP(Table_NFI[[#This Row],[Camp Name]],CL,4,0),"")</f>
        <v>0</v>
      </c>
      <c r="AV263" s="465"/>
      <c r="AW263" s="468"/>
    </row>
    <row r="264" spans="1:49" s="464" customFormat="1" x14ac:dyDescent="0.25">
      <c r="A264" s="297">
        <f t="shared" si="4"/>
        <v>26.633333333333333</v>
      </c>
      <c r="B264" s="460">
        <v>41937</v>
      </c>
      <c r="C264" s="461" t="s">
        <v>1094</v>
      </c>
      <c r="D264" s="461" t="s">
        <v>900</v>
      </c>
      <c r="E264" s="461" t="s">
        <v>380</v>
      </c>
      <c r="F264" s="461" t="s">
        <v>527</v>
      </c>
      <c r="G264" s="461" t="s">
        <v>62</v>
      </c>
      <c r="H264" s="291"/>
      <c r="I264" s="291"/>
      <c r="J264" s="291"/>
      <c r="K264" s="291"/>
      <c r="L264" s="292"/>
      <c r="M264" s="292"/>
      <c r="N264" s="292"/>
      <c r="O264" s="292"/>
      <c r="P264" s="294"/>
      <c r="Q264" s="294"/>
      <c r="R264" s="294">
        <v>229</v>
      </c>
      <c r="S264" s="294">
        <v>126</v>
      </c>
      <c r="T264" s="294"/>
      <c r="U264" s="294"/>
      <c r="V264" s="431"/>
      <c r="W264" s="294"/>
      <c r="X264" s="294"/>
      <c r="Y264" s="294">
        <f>IF(NFI_Expiration=1,IF($A264&lt;VLOOKUP(H$5,NFI,5,0),1,0)*Table_NFI[[#This Row],[Hygiene Kit]],Table_NFI[Hygiene Kit])</f>
        <v>0</v>
      </c>
      <c r="Z264" s="294">
        <f>IF(NFI_Expiration=1,IF($A264&lt;VLOOKUP(I$5,NFI,5,0),1,0)*Table_NFI[[#This Row],[NFI Core Kit]],Table_NFI[NFI Core Kit])</f>
        <v>0</v>
      </c>
      <c r="AA264" s="294">
        <f>IF(NFI_Expiration=1,IF($A264&lt;VLOOKUP(J$5,NFI,5,0),1,0)*Table_NFI[[#This Row],[Sanitary Kit]],Table_NFI[Sanitary Kit])</f>
        <v>0</v>
      </c>
      <c r="AB264" s="294">
        <f>IF(NFI_Expiration=1,IF($A264&lt;VLOOKUP(K$5,NFI,5,0),1,0)*Table_NFI[[#This Row],[Mosquito net]],Table_NFI[Mosquito net])</f>
        <v>0</v>
      </c>
      <c r="AC264" s="294">
        <f>IF(NFI_Expiration=1,IF($A264&lt;VLOOKUP(L$5,NFI,5,0),1,0)*Table_NFI[[#This Row],[Tarpaulin]],Table_NFI[[#This Row],[Tarpaulin]])</f>
        <v>0</v>
      </c>
      <c r="AD264" s="294">
        <f>IF(NFI_Expiration=1,IF($A264&lt;VLOOKUP(M$5,NFI,5,0),1,0)*Table_NFI[[#This Row],[Blanket]],Table_NFI[[#This Row],[Blanket]])</f>
        <v>0</v>
      </c>
      <c r="AE264" s="294">
        <f>IF(NFI_Expiration=1,IF($A264&lt;VLOOKUP(N$5,NFI,5,0),1,0)*Table_NFI[[#This Row],[Kitchen Set]],Table_NFI[Kitchen Set])</f>
        <v>0</v>
      </c>
      <c r="AF264" s="294">
        <f>IF(NFI_Expiration=1,IF($A264&lt;VLOOKUP(O$5,NFI,5,0),1,0)*Table_NFI[[#This Row],[Clothes Kit]],Table_NFI[Clothes Kit])</f>
        <v>0</v>
      </c>
      <c r="AG264" s="294">
        <f>IF(NFI_Expiration=1,IF($A264&lt;VLOOKUP(P$5,NFI,5,0),1,0)*Table_NFI[[#This Row],[Plastic Bucket]],Table_NFI[Plastic Bucket])</f>
        <v>0</v>
      </c>
      <c r="AH264" s="294">
        <f>IF(NFI_Expiration=1,IF($A264&lt;VLOOKUP(Q$5,NFI,5,0),1,0)*Table_NFI[[#This Row],[Plastic Mat]],Table_NFI[Plastic Mat])*IF(Table_NFI[[#This Row],[Distribution Date]]&gt;"2014-04-01",1,2.5)</f>
        <v>0</v>
      </c>
      <c r="AI264" s="294">
        <f>IF(NFI_Expiration=1,IF($A264&lt;VLOOKUP(R$5,NFI,5,0),1,0)*Table_NFI[[#This Row],[Winter Clothes Adult]],Table_NFI[Winter Clothes Adult])</f>
        <v>0</v>
      </c>
      <c r="AJ264" s="294">
        <f>IF(NFI_Expiration=1,IF($A264&lt;VLOOKUP(S$5,NFI,5,0),1,0)*Table_NFI[[#This Row],[Winter Clothes Children]],Table_NFI[Winter Clothes Children])</f>
        <v>0</v>
      </c>
      <c r="AK264" s="294">
        <f>IF(NFI_Expiration=1,IF($A264&lt;VLOOKUP(T$5,NFI,5,0),1,0)*Table_NFI[[#This Row],[Winter Items Other]],Table_NFI[Winter Items Other])</f>
        <v>0</v>
      </c>
      <c r="AL264" s="294">
        <f>IF(NFI_Expiration=1,IF($A264&lt;VLOOKUP(M$5,NFI,5,0),1,0)*Table_NFI[[#This Row],[Winter Blanket]],Table_NFI[[#This Row],[Winter Blanket]])</f>
        <v>0</v>
      </c>
      <c r="AM264" s="294">
        <f>IF(Table_NFI[[#This Row],[Winter Clothes Adult]]+Table_NFI[[#This Row],[Winter Clothes Children]]+Table_NFI[[#This Row],[Winter Items Other]]+Table_NFI[[#This Row],[Winter Blanket]]&gt;0,1,0)</f>
        <v>1</v>
      </c>
      <c r="AN264" s="331">
        <f>IF(NFI_Expiration=1,IF($A264&lt;VLOOKUP(V$5,NFI,5,0),1,0)*Table_NFI[[#This Row],[Jerry Can]],Table_NFI[Jerry Can])</f>
        <v>0</v>
      </c>
      <c r="AO264" s="331">
        <f>IF(NFI_Expiration=1,IF($A264&lt;VLOOKUP(V$5,NFI,5,0),1,0)*Table_NFI[[#This Row],[Shelter Tool kit]],Table_NFI[Shelter Tool kit])</f>
        <v>0</v>
      </c>
      <c r="AP264" s="331">
        <f>IF(NFI_Expiration=1,IF($A264&lt;VLOOKUP(V$5,NFI,5,0),1,0)*Table_NFI[[#This Row],[Tent]],Table_NFI[Tent])</f>
        <v>0</v>
      </c>
      <c r="AQ264" s="467" t="str">
        <f>IFERROR(VLOOKUP(Table_NFI[[#This Row],[Camp Name]],CL,2,0),"")</f>
        <v>MMR001CMP179</v>
      </c>
      <c r="AR264" s="835">
        <f ca="1">IF(Table_NFI[[#This Row],[Pcode]]="","",IF(OFFSET(CampList[Opening Date],MATCH(Table_NFI[[#This Row],[Pcode]],CampList[CP_Pcode],0)-1,0,1,1)&gt;=NFI_Monitor_Date,1,0))</f>
        <v>0</v>
      </c>
      <c r="AS264" s="467" t="str">
        <f>IFERROR(VLOOKUP(Table_NFI[[#This Row],[Camp Name]],CL,3,0),"")</f>
        <v>Open</v>
      </c>
      <c r="AT264" s="294" t="str">
        <f ca="1">IF(Table_NFI[[#This Row],[Pcode]]="","",OFFSET(CampList[Priority],MATCH(Table_NFI[[#This Row],[Pcode]],CampList[CP_Pcode],0)-1,0,1,1))</f>
        <v>P4</v>
      </c>
      <c r="AU264" s="293">
        <f>IFERROR(Table_NFI[[#This Row],[Kitchen Set]]/VLOOKUP(Table_NFI[[#This Row],[Camp Name]],CL,4,0),"")</f>
        <v>0</v>
      </c>
      <c r="AV264" s="461"/>
      <c r="AW264" s="463"/>
    </row>
    <row r="265" spans="1:49" s="464" customFormat="1" x14ac:dyDescent="0.25">
      <c r="A265" s="297">
        <f t="shared" si="4"/>
        <v>26.633333333333333</v>
      </c>
      <c r="B265" s="460">
        <v>41937</v>
      </c>
      <c r="C265" s="461" t="s">
        <v>1094</v>
      </c>
      <c r="D265" s="461" t="s">
        <v>900</v>
      </c>
      <c r="E265" s="461" t="s">
        <v>380</v>
      </c>
      <c r="F265" s="461" t="s">
        <v>527</v>
      </c>
      <c r="G265" s="461" t="s">
        <v>120</v>
      </c>
      <c r="H265" s="291"/>
      <c r="I265" s="291"/>
      <c r="J265" s="291"/>
      <c r="K265" s="291"/>
      <c r="L265" s="292"/>
      <c r="M265" s="292"/>
      <c r="N265" s="292"/>
      <c r="O265" s="292"/>
      <c r="P265" s="294"/>
      <c r="Q265" s="294"/>
      <c r="R265" s="294">
        <v>223</v>
      </c>
      <c r="S265" s="294">
        <v>96</v>
      </c>
      <c r="T265" s="294"/>
      <c r="U265" s="294"/>
      <c r="V265" s="431"/>
      <c r="W265" s="294"/>
      <c r="X265" s="294"/>
      <c r="Y265" s="294">
        <f>IF(NFI_Expiration=1,IF($A265&lt;VLOOKUP(H$5,NFI,5,0),1,0)*Table_NFI[[#This Row],[Hygiene Kit]],Table_NFI[Hygiene Kit])</f>
        <v>0</v>
      </c>
      <c r="Z265" s="294">
        <f>IF(NFI_Expiration=1,IF($A265&lt;VLOOKUP(I$5,NFI,5,0),1,0)*Table_NFI[[#This Row],[NFI Core Kit]],Table_NFI[NFI Core Kit])</f>
        <v>0</v>
      </c>
      <c r="AA265" s="294">
        <f>IF(NFI_Expiration=1,IF($A265&lt;VLOOKUP(J$5,NFI,5,0),1,0)*Table_NFI[[#This Row],[Sanitary Kit]],Table_NFI[Sanitary Kit])</f>
        <v>0</v>
      </c>
      <c r="AB265" s="294">
        <f>IF(NFI_Expiration=1,IF($A265&lt;VLOOKUP(K$5,NFI,5,0),1,0)*Table_NFI[[#This Row],[Mosquito net]],Table_NFI[Mosquito net])</f>
        <v>0</v>
      </c>
      <c r="AC265" s="294">
        <f>IF(NFI_Expiration=1,IF($A265&lt;VLOOKUP(L$5,NFI,5,0),1,0)*Table_NFI[[#This Row],[Tarpaulin]],Table_NFI[[#This Row],[Tarpaulin]])</f>
        <v>0</v>
      </c>
      <c r="AD265" s="294">
        <f>IF(NFI_Expiration=1,IF($A265&lt;VLOOKUP(M$5,NFI,5,0),1,0)*Table_NFI[[#This Row],[Blanket]],Table_NFI[[#This Row],[Blanket]])</f>
        <v>0</v>
      </c>
      <c r="AE265" s="294">
        <f>IF(NFI_Expiration=1,IF($A265&lt;VLOOKUP(N$5,NFI,5,0),1,0)*Table_NFI[[#This Row],[Kitchen Set]],Table_NFI[Kitchen Set])</f>
        <v>0</v>
      </c>
      <c r="AF265" s="294">
        <f>IF(NFI_Expiration=1,IF($A265&lt;VLOOKUP(O$5,NFI,5,0),1,0)*Table_NFI[[#This Row],[Clothes Kit]],Table_NFI[Clothes Kit])</f>
        <v>0</v>
      </c>
      <c r="AG265" s="294">
        <f>IF(NFI_Expiration=1,IF($A265&lt;VLOOKUP(P$5,NFI,5,0),1,0)*Table_NFI[[#This Row],[Plastic Bucket]],Table_NFI[Plastic Bucket])</f>
        <v>0</v>
      </c>
      <c r="AH265" s="294">
        <f>IF(NFI_Expiration=1,IF($A265&lt;VLOOKUP(Q$5,NFI,5,0),1,0)*Table_NFI[[#This Row],[Plastic Mat]],Table_NFI[Plastic Mat])*IF(Table_NFI[[#This Row],[Distribution Date]]&gt;"2014-04-01",1,2.5)</f>
        <v>0</v>
      </c>
      <c r="AI265" s="294">
        <f>IF(NFI_Expiration=1,IF($A265&lt;VLOOKUP(R$5,NFI,5,0),1,0)*Table_NFI[[#This Row],[Winter Clothes Adult]],Table_NFI[Winter Clothes Adult])</f>
        <v>0</v>
      </c>
      <c r="AJ265" s="294">
        <f>IF(NFI_Expiration=1,IF($A265&lt;VLOOKUP(S$5,NFI,5,0),1,0)*Table_NFI[[#This Row],[Winter Clothes Children]],Table_NFI[Winter Clothes Children])</f>
        <v>0</v>
      </c>
      <c r="AK265" s="294">
        <f>IF(NFI_Expiration=1,IF($A265&lt;VLOOKUP(T$5,NFI,5,0),1,0)*Table_NFI[[#This Row],[Winter Items Other]],Table_NFI[Winter Items Other])</f>
        <v>0</v>
      </c>
      <c r="AL265" s="294">
        <f>IF(NFI_Expiration=1,IF($A265&lt;VLOOKUP(M$5,NFI,5,0),1,0)*Table_NFI[[#This Row],[Winter Blanket]],Table_NFI[[#This Row],[Winter Blanket]])</f>
        <v>0</v>
      </c>
      <c r="AM265" s="294">
        <f>IF(Table_NFI[[#This Row],[Winter Clothes Adult]]+Table_NFI[[#This Row],[Winter Clothes Children]]+Table_NFI[[#This Row],[Winter Items Other]]+Table_NFI[[#This Row],[Winter Blanket]]&gt;0,1,0)</f>
        <v>1</v>
      </c>
      <c r="AN265" s="331">
        <f>IF(NFI_Expiration=1,IF($A265&lt;VLOOKUP(V$5,NFI,5,0),1,0)*Table_NFI[[#This Row],[Jerry Can]],Table_NFI[Jerry Can])</f>
        <v>0</v>
      </c>
      <c r="AO265" s="331">
        <f>IF(NFI_Expiration=1,IF($A265&lt;VLOOKUP(V$5,NFI,5,0),1,0)*Table_NFI[[#This Row],[Shelter Tool kit]],Table_NFI[Shelter Tool kit])</f>
        <v>0</v>
      </c>
      <c r="AP265" s="331">
        <f>IF(NFI_Expiration=1,IF($A265&lt;VLOOKUP(V$5,NFI,5,0),1,0)*Table_NFI[[#This Row],[Tent]],Table_NFI[Tent])</f>
        <v>0</v>
      </c>
      <c r="AQ265" s="467" t="str">
        <f>IFERROR(VLOOKUP(Table_NFI[[#This Row],[Camp Name]],CL,2,0),"")</f>
        <v>MMR001CMP168</v>
      </c>
      <c r="AR265" s="835">
        <f ca="1">IF(Table_NFI[[#This Row],[Pcode]]="","",IF(OFFSET(CampList[Opening Date],MATCH(Table_NFI[[#This Row],[Pcode]],CampList[CP_Pcode],0)-1,0,1,1)&gt;=NFI_Monitor_Date,1,0))</f>
        <v>0</v>
      </c>
      <c r="AS265" s="467" t="str">
        <f>IFERROR(VLOOKUP(Table_NFI[[#This Row],[Camp Name]],CL,3,0),"")</f>
        <v>Open</v>
      </c>
      <c r="AT265" s="294" t="str">
        <f ca="1">IF(Table_NFI[[#This Row],[Pcode]]="","",OFFSET(CampList[Priority],MATCH(Table_NFI[[#This Row],[Pcode]],CampList[CP_Pcode],0)-1,0,1,1))</f>
        <v>P4</v>
      </c>
      <c r="AU265" s="293">
        <f>IFERROR(Table_NFI[[#This Row],[Kitchen Set]]/VLOOKUP(Table_NFI[[#This Row],[Camp Name]],CL,4,0),"")</f>
        <v>0</v>
      </c>
      <c r="AV265" s="461"/>
      <c r="AW265" s="463"/>
    </row>
    <row r="266" spans="1:49" s="464" customFormat="1" ht="15" customHeight="1" x14ac:dyDescent="0.25">
      <c r="A266" s="297">
        <f t="shared" si="4"/>
        <v>26.633333333333333</v>
      </c>
      <c r="B266" s="460">
        <v>41937</v>
      </c>
      <c r="C266" s="461" t="s">
        <v>1094</v>
      </c>
      <c r="D266" s="461" t="s">
        <v>900</v>
      </c>
      <c r="E266" s="461" t="s">
        <v>380</v>
      </c>
      <c r="F266" s="461" t="s">
        <v>527</v>
      </c>
      <c r="G266" s="461" t="s">
        <v>41</v>
      </c>
      <c r="H266" s="291"/>
      <c r="I266" s="291"/>
      <c r="J266" s="291"/>
      <c r="K266" s="291"/>
      <c r="L266" s="292"/>
      <c r="M266" s="292"/>
      <c r="N266" s="292"/>
      <c r="O266" s="292"/>
      <c r="P266" s="294"/>
      <c r="Q266" s="294"/>
      <c r="R266" s="294">
        <v>232</v>
      </c>
      <c r="S266" s="294">
        <v>105</v>
      </c>
      <c r="T266" s="294"/>
      <c r="U266" s="294"/>
      <c r="V266" s="431"/>
      <c r="W266" s="294"/>
      <c r="X266" s="294"/>
      <c r="Y266" s="294">
        <f>IF(NFI_Expiration=1,IF($A266&lt;VLOOKUP(H$5,NFI,5,0),1,0)*Table_NFI[[#This Row],[Hygiene Kit]],Table_NFI[Hygiene Kit])</f>
        <v>0</v>
      </c>
      <c r="Z266" s="294">
        <f>IF(NFI_Expiration=1,IF($A266&lt;VLOOKUP(I$5,NFI,5,0),1,0)*Table_NFI[[#This Row],[NFI Core Kit]],Table_NFI[NFI Core Kit])</f>
        <v>0</v>
      </c>
      <c r="AA266" s="294">
        <f>IF(NFI_Expiration=1,IF($A266&lt;VLOOKUP(J$5,NFI,5,0),1,0)*Table_NFI[[#This Row],[Sanitary Kit]],Table_NFI[Sanitary Kit])</f>
        <v>0</v>
      </c>
      <c r="AB266" s="294">
        <f>IF(NFI_Expiration=1,IF($A266&lt;VLOOKUP(K$5,NFI,5,0),1,0)*Table_NFI[[#This Row],[Mosquito net]],Table_NFI[Mosquito net])</f>
        <v>0</v>
      </c>
      <c r="AC266" s="294">
        <f>IF(NFI_Expiration=1,IF($A266&lt;VLOOKUP(L$5,NFI,5,0),1,0)*Table_NFI[[#This Row],[Tarpaulin]],Table_NFI[[#This Row],[Tarpaulin]])</f>
        <v>0</v>
      </c>
      <c r="AD266" s="294">
        <f>IF(NFI_Expiration=1,IF($A266&lt;VLOOKUP(M$5,NFI,5,0),1,0)*Table_NFI[[#This Row],[Blanket]],Table_NFI[[#This Row],[Blanket]])</f>
        <v>0</v>
      </c>
      <c r="AE266" s="294">
        <f>IF(NFI_Expiration=1,IF($A266&lt;VLOOKUP(N$5,NFI,5,0),1,0)*Table_NFI[[#This Row],[Kitchen Set]],Table_NFI[Kitchen Set])</f>
        <v>0</v>
      </c>
      <c r="AF266" s="294">
        <f>IF(NFI_Expiration=1,IF($A266&lt;VLOOKUP(O$5,NFI,5,0),1,0)*Table_NFI[[#This Row],[Clothes Kit]],Table_NFI[Clothes Kit])</f>
        <v>0</v>
      </c>
      <c r="AG266" s="294">
        <f>IF(NFI_Expiration=1,IF($A266&lt;VLOOKUP(P$5,NFI,5,0),1,0)*Table_NFI[[#This Row],[Plastic Bucket]],Table_NFI[Plastic Bucket])</f>
        <v>0</v>
      </c>
      <c r="AH266" s="294">
        <f>IF(NFI_Expiration=1,IF($A266&lt;VLOOKUP(Q$5,NFI,5,0),1,0)*Table_NFI[[#This Row],[Plastic Mat]],Table_NFI[Plastic Mat])*IF(Table_NFI[[#This Row],[Distribution Date]]&gt;"2014-04-01",1,2.5)</f>
        <v>0</v>
      </c>
      <c r="AI266" s="294">
        <f>IF(NFI_Expiration=1,IF($A266&lt;VLOOKUP(R$5,NFI,5,0),1,0)*Table_NFI[[#This Row],[Winter Clothes Adult]],Table_NFI[Winter Clothes Adult])</f>
        <v>0</v>
      </c>
      <c r="AJ266" s="294">
        <f>IF(NFI_Expiration=1,IF($A266&lt;VLOOKUP(S$5,NFI,5,0),1,0)*Table_NFI[[#This Row],[Winter Clothes Children]],Table_NFI[Winter Clothes Children])</f>
        <v>0</v>
      </c>
      <c r="AK266" s="294">
        <f>IF(NFI_Expiration=1,IF($A266&lt;VLOOKUP(T$5,NFI,5,0),1,0)*Table_NFI[[#This Row],[Winter Items Other]],Table_NFI[Winter Items Other])</f>
        <v>0</v>
      </c>
      <c r="AL266" s="294">
        <f>IF(NFI_Expiration=1,IF($A266&lt;VLOOKUP(M$5,NFI,5,0),1,0)*Table_NFI[[#This Row],[Winter Blanket]],Table_NFI[[#This Row],[Winter Blanket]])</f>
        <v>0</v>
      </c>
      <c r="AM266" s="294">
        <f>IF(Table_NFI[[#This Row],[Winter Clothes Adult]]+Table_NFI[[#This Row],[Winter Clothes Children]]+Table_NFI[[#This Row],[Winter Items Other]]+Table_NFI[[#This Row],[Winter Blanket]]&gt;0,1,0)</f>
        <v>1</v>
      </c>
      <c r="AN266" s="331">
        <f>IF(NFI_Expiration=1,IF($A266&lt;VLOOKUP(V$5,NFI,5,0),1,0)*Table_NFI[[#This Row],[Jerry Can]],Table_NFI[Jerry Can])</f>
        <v>0</v>
      </c>
      <c r="AO266" s="331">
        <f>IF(NFI_Expiration=1,IF($A266&lt;VLOOKUP(V$5,NFI,5,0),1,0)*Table_NFI[[#This Row],[Shelter Tool kit]],Table_NFI[Shelter Tool kit])</f>
        <v>0</v>
      </c>
      <c r="AP266" s="331">
        <f>IF(NFI_Expiration=1,IF($A266&lt;VLOOKUP(V$5,NFI,5,0),1,0)*Table_NFI[[#This Row],[Tent]],Table_NFI[Tent])</f>
        <v>0</v>
      </c>
      <c r="AQ266" s="467" t="str">
        <f>IFERROR(VLOOKUP(Table_NFI[[#This Row],[Camp Name]],CL,2,0),"")</f>
        <v>MMR001CMP176</v>
      </c>
      <c r="AR266" s="835">
        <f ca="1">IF(Table_NFI[[#This Row],[Pcode]]="","",IF(OFFSET(CampList[Opening Date],MATCH(Table_NFI[[#This Row],[Pcode]],CampList[CP_Pcode],0)-1,0,1,1)&gt;=NFI_Monitor_Date,1,0))</f>
        <v>0</v>
      </c>
      <c r="AS266" s="467" t="str">
        <f>IFERROR(VLOOKUP(Table_NFI[[#This Row],[Camp Name]],CL,3,0),"")</f>
        <v>Open</v>
      </c>
      <c r="AT266" s="294" t="str">
        <f ca="1">IF(Table_NFI[[#This Row],[Pcode]]="","",OFFSET(CampList[Priority],MATCH(Table_NFI[[#This Row],[Pcode]],CampList[CP_Pcode],0)-1,0,1,1))</f>
        <v>P4</v>
      </c>
      <c r="AU266" s="293">
        <f>IFERROR(Table_NFI[[#This Row],[Kitchen Set]]/VLOOKUP(Table_NFI[[#This Row],[Camp Name]],CL,4,0),"")</f>
        <v>0</v>
      </c>
      <c r="AV266" s="461"/>
      <c r="AW266" s="463"/>
    </row>
    <row r="267" spans="1:49" s="464" customFormat="1" ht="14.45" customHeight="1" x14ac:dyDescent="0.25">
      <c r="A267" s="297">
        <f t="shared" si="4"/>
        <v>26.633333333333333</v>
      </c>
      <c r="B267" s="460">
        <v>41937</v>
      </c>
      <c r="C267" s="461" t="s">
        <v>1094</v>
      </c>
      <c r="D267" s="461" t="s">
        <v>900</v>
      </c>
      <c r="E267" s="461" t="s">
        <v>380</v>
      </c>
      <c r="F267" s="461" t="s">
        <v>527</v>
      </c>
      <c r="G267" s="461" t="s">
        <v>43</v>
      </c>
      <c r="H267" s="291"/>
      <c r="I267" s="291"/>
      <c r="J267" s="291"/>
      <c r="K267" s="291"/>
      <c r="L267" s="292"/>
      <c r="M267" s="292"/>
      <c r="N267" s="292"/>
      <c r="O267" s="292"/>
      <c r="P267" s="294"/>
      <c r="Q267" s="294"/>
      <c r="R267" s="294">
        <v>55</v>
      </c>
      <c r="S267" s="294">
        <v>27</v>
      </c>
      <c r="T267" s="294"/>
      <c r="U267" s="294"/>
      <c r="V267" s="431"/>
      <c r="W267" s="294"/>
      <c r="X267" s="294"/>
      <c r="Y267" s="294">
        <f>IF(NFI_Expiration=1,IF($A267&lt;VLOOKUP(H$5,NFI,5,0),1,0)*Table_NFI[[#This Row],[Hygiene Kit]],Table_NFI[Hygiene Kit])</f>
        <v>0</v>
      </c>
      <c r="Z267" s="294">
        <f>IF(NFI_Expiration=1,IF($A267&lt;VLOOKUP(I$5,NFI,5,0),1,0)*Table_NFI[[#This Row],[NFI Core Kit]],Table_NFI[NFI Core Kit])</f>
        <v>0</v>
      </c>
      <c r="AA267" s="294">
        <f>IF(NFI_Expiration=1,IF($A267&lt;VLOOKUP(J$5,NFI,5,0),1,0)*Table_NFI[[#This Row],[Sanitary Kit]],Table_NFI[Sanitary Kit])</f>
        <v>0</v>
      </c>
      <c r="AB267" s="294">
        <f>IF(NFI_Expiration=1,IF($A267&lt;VLOOKUP(K$5,NFI,5,0),1,0)*Table_NFI[[#This Row],[Mosquito net]],Table_NFI[Mosquito net])</f>
        <v>0</v>
      </c>
      <c r="AC267" s="294">
        <f>IF(NFI_Expiration=1,IF($A267&lt;VLOOKUP(L$5,NFI,5,0),1,0)*Table_NFI[[#This Row],[Tarpaulin]],Table_NFI[[#This Row],[Tarpaulin]])</f>
        <v>0</v>
      </c>
      <c r="AD267" s="294">
        <f>IF(NFI_Expiration=1,IF($A267&lt;VLOOKUP(M$5,NFI,5,0),1,0)*Table_NFI[[#This Row],[Blanket]],Table_NFI[[#This Row],[Blanket]])</f>
        <v>0</v>
      </c>
      <c r="AE267" s="294">
        <f>IF(NFI_Expiration=1,IF($A267&lt;VLOOKUP(N$5,NFI,5,0),1,0)*Table_NFI[[#This Row],[Kitchen Set]],Table_NFI[Kitchen Set])</f>
        <v>0</v>
      </c>
      <c r="AF267" s="294">
        <f>IF(NFI_Expiration=1,IF($A267&lt;VLOOKUP(O$5,NFI,5,0),1,0)*Table_NFI[[#This Row],[Clothes Kit]],Table_NFI[Clothes Kit])</f>
        <v>0</v>
      </c>
      <c r="AG267" s="294">
        <f>IF(NFI_Expiration=1,IF($A267&lt;VLOOKUP(P$5,NFI,5,0),1,0)*Table_NFI[[#This Row],[Plastic Bucket]],Table_NFI[Plastic Bucket])</f>
        <v>0</v>
      </c>
      <c r="AH267" s="294">
        <f>IF(NFI_Expiration=1,IF($A267&lt;VLOOKUP(Q$5,NFI,5,0),1,0)*Table_NFI[[#This Row],[Plastic Mat]],Table_NFI[Plastic Mat])*IF(Table_NFI[[#This Row],[Distribution Date]]&gt;"2014-04-01",1,2.5)</f>
        <v>0</v>
      </c>
      <c r="AI267" s="294">
        <f>IF(NFI_Expiration=1,IF($A267&lt;VLOOKUP(R$5,NFI,5,0),1,0)*Table_NFI[[#This Row],[Winter Clothes Adult]],Table_NFI[Winter Clothes Adult])</f>
        <v>0</v>
      </c>
      <c r="AJ267" s="294">
        <f>IF(NFI_Expiration=1,IF($A267&lt;VLOOKUP(S$5,NFI,5,0),1,0)*Table_NFI[[#This Row],[Winter Clothes Children]],Table_NFI[Winter Clothes Children])</f>
        <v>0</v>
      </c>
      <c r="AK267" s="294">
        <f>IF(NFI_Expiration=1,IF($A267&lt;VLOOKUP(T$5,NFI,5,0),1,0)*Table_NFI[[#This Row],[Winter Items Other]],Table_NFI[Winter Items Other])</f>
        <v>0</v>
      </c>
      <c r="AL267" s="294">
        <f>IF(NFI_Expiration=1,IF($A267&lt;VLOOKUP(M$5,NFI,5,0),1,0)*Table_NFI[[#This Row],[Winter Blanket]],Table_NFI[[#This Row],[Winter Blanket]])</f>
        <v>0</v>
      </c>
      <c r="AM267" s="294">
        <f>IF(Table_NFI[[#This Row],[Winter Clothes Adult]]+Table_NFI[[#This Row],[Winter Clothes Children]]+Table_NFI[[#This Row],[Winter Items Other]]+Table_NFI[[#This Row],[Winter Blanket]]&gt;0,1,0)</f>
        <v>1</v>
      </c>
      <c r="AN267" s="331">
        <f>IF(NFI_Expiration=1,IF($A267&lt;VLOOKUP(V$5,NFI,5,0),1,0)*Table_NFI[[#This Row],[Jerry Can]],Table_NFI[Jerry Can])</f>
        <v>0</v>
      </c>
      <c r="AO267" s="331">
        <f>IF(NFI_Expiration=1,IF($A267&lt;VLOOKUP(V$5,NFI,5,0),1,0)*Table_NFI[[#This Row],[Shelter Tool kit]],Table_NFI[Shelter Tool kit])</f>
        <v>0</v>
      </c>
      <c r="AP267" s="331">
        <f>IF(NFI_Expiration=1,IF($A267&lt;VLOOKUP(V$5,NFI,5,0),1,0)*Table_NFI[[#This Row],[Tent]],Table_NFI[Tent])</f>
        <v>0</v>
      </c>
      <c r="AQ267" s="467" t="str">
        <f>IFERROR(VLOOKUP(Table_NFI[[#This Row],[Camp Name]],CL,2,0),"")</f>
        <v>MMR001CMP190</v>
      </c>
      <c r="AR267" s="835">
        <f ca="1">IF(Table_NFI[[#This Row],[Pcode]]="","",IF(OFFSET(CampList[Opening Date],MATCH(Table_NFI[[#This Row],[Pcode]],CampList[CP_Pcode],0)-1,0,1,1)&gt;=NFI_Monitor_Date,1,0))</f>
        <v>0</v>
      </c>
      <c r="AS267" s="467" t="str">
        <f>IFERROR(VLOOKUP(Table_NFI[[#This Row],[Camp Name]],CL,3,0),"")</f>
        <v>Open</v>
      </c>
      <c r="AT267" s="294" t="str">
        <f ca="1">IF(Table_NFI[[#This Row],[Pcode]]="","",OFFSET(CampList[Priority],MATCH(Table_NFI[[#This Row],[Pcode]],CampList[CP_Pcode],0)-1,0,1,1))</f>
        <v>P4</v>
      </c>
      <c r="AU267" s="293">
        <f>IFERROR(Table_NFI[[#This Row],[Kitchen Set]]/VLOOKUP(Table_NFI[[#This Row],[Camp Name]],CL,4,0),"")</f>
        <v>0</v>
      </c>
      <c r="AV267" s="461"/>
      <c r="AW267" s="463"/>
    </row>
    <row r="268" spans="1:49" s="464" customFormat="1" x14ac:dyDescent="0.25">
      <c r="A268" s="297">
        <f t="shared" si="4"/>
        <v>26.633333333333333</v>
      </c>
      <c r="B268" s="460">
        <v>41937</v>
      </c>
      <c r="C268" s="461" t="s">
        <v>1094</v>
      </c>
      <c r="D268" s="461" t="s">
        <v>900</v>
      </c>
      <c r="E268" s="461" t="s">
        <v>380</v>
      </c>
      <c r="F268" s="461" t="s">
        <v>527</v>
      </c>
      <c r="G268" s="461" t="s">
        <v>52</v>
      </c>
      <c r="H268" s="291"/>
      <c r="I268" s="291"/>
      <c r="J268" s="291"/>
      <c r="K268" s="291"/>
      <c r="L268" s="292"/>
      <c r="M268" s="292"/>
      <c r="N268" s="292"/>
      <c r="O268" s="292"/>
      <c r="P268" s="294"/>
      <c r="Q268" s="294"/>
      <c r="R268" s="294">
        <v>123</v>
      </c>
      <c r="S268" s="294">
        <v>104</v>
      </c>
      <c r="T268" s="294"/>
      <c r="U268" s="294"/>
      <c r="V268" s="431"/>
      <c r="W268" s="331"/>
      <c r="X268" s="331"/>
      <c r="Y268" s="294">
        <f>IF(NFI_Expiration=1,IF($A268&lt;VLOOKUP(H$5,NFI,5,0),1,0)*Table_NFI[[#This Row],[Hygiene Kit]],Table_NFI[Hygiene Kit])</f>
        <v>0</v>
      </c>
      <c r="Z268" s="294">
        <f>IF(NFI_Expiration=1,IF($A268&lt;VLOOKUP(I$5,NFI,5,0),1,0)*Table_NFI[[#This Row],[NFI Core Kit]],Table_NFI[NFI Core Kit])</f>
        <v>0</v>
      </c>
      <c r="AA268" s="294">
        <f>IF(NFI_Expiration=1,IF($A268&lt;VLOOKUP(J$5,NFI,5,0),1,0)*Table_NFI[[#This Row],[Sanitary Kit]],Table_NFI[Sanitary Kit])</f>
        <v>0</v>
      </c>
      <c r="AB268" s="294">
        <f>IF(NFI_Expiration=1,IF($A268&lt;VLOOKUP(K$5,NFI,5,0),1,0)*Table_NFI[[#This Row],[Mosquito net]],Table_NFI[Mosquito net])</f>
        <v>0</v>
      </c>
      <c r="AC268" s="294">
        <f>IF(NFI_Expiration=1,IF($A268&lt;VLOOKUP(L$5,NFI,5,0),1,0)*Table_NFI[[#This Row],[Tarpaulin]],Table_NFI[[#This Row],[Tarpaulin]])</f>
        <v>0</v>
      </c>
      <c r="AD268" s="294">
        <f>IF(NFI_Expiration=1,IF($A268&lt;VLOOKUP(M$5,NFI,5,0),1,0)*Table_NFI[[#This Row],[Blanket]],Table_NFI[[#This Row],[Blanket]])</f>
        <v>0</v>
      </c>
      <c r="AE268" s="294">
        <f>IF(NFI_Expiration=1,IF($A268&lt;VLOOKUP(N$5,NFI,5,0),1,0)*Table_NFI[[#This Row],[Kitchen Set]],Table_NFI[Kitchen Set])</f>
        <v>0</v>
      </c>
      <c r="AF268" s="294">
        <f>IF(NFI_Expiration=1,IF($A268&lt;VLOOKUP(O$5,NFI,5,0),1,0)*Table_NFI[[#This Row],[Clothes Kit]],Table_NFI[Clothes Kit])</f>
        <v>0</v>
      </c>
      <c r="AG268" s="294">
        <f>IF(NFI_Expiration=1,IF($A268&lt;VLOOKUP(P$5,NFI,5,0),1,0)*Table_NFI[[#This Row],[Plastic Bucket]],Table_NFI[Plastic Bucket])</f>
        <v>0</v>
      </c>
      <c r="AH268" s="294">
        <f>IF(NFI_Expiration=1,IF($A268&lt;VLOOKUP(Q$5,NFI,5,0),1,0)*Table_NFI[[#This Row],[Plastic Mat]],Table_NFI[Plastic Mat])*IF(Table_NFI[[#This Row],[Distribution Date]]&gt;"2014-04-01",1,2.5)</f>
        <v>0</v>
      </c>
      <c r="AI268" s="294">
        <f>IF(NFI_Expiration=1,IF($A268&lt;VLOOKUP(R$5,NFI,5,0),1,0)*Table_NFI[[#This Row],[Winter Clothes Adult]],Table_NFI[Winter Clothes Adult])</f>
        <v>0</v>
      </c>
      <c r="AJ268" s="294">
        <f>IF(NFI_Expiration=1,IF($A268&lt;VLOOKUP(S$5,NFI,5,0),1,0)*Table_NFI[[#This Row],[Winter Clothes Children]],Table_NFI[Winter Clothes Children])</f>
        <v>0</v>
      </c>
      <c r="AK268" s="294">
        <f>IF(NFI_Expiration=1,IF($A268&lt;VLOOKUP(T$5,NFI,5,0),1,0)*Table_NFI[[#This Row],[Winter Items Other]],Table_NFI[Winter Items Other])</f>
        <v>0</v>
      </c>
      <c r="AL268" s="294">
        <f>IF(NFI_Expiration=1,IF($A268&lt;VLOOKUP(M$5,NFI,5,0),1,0)*Table_NFI[[#This Row],[Winter Blanket]],Table_NFI[[#This Row],[Winter Blanket]])</f>
        <v>0</v>
      </c>
      <c r="AM268" s="294">
        <f>IF(Table_NFI[[#This Row],[Winter Clothes Adult]]+Table_NFI[[#This Row],[Winter Clothes Children]]+Table_NFI[[#This Row],[Winter Items Other]]+Table_NFI[[#This Row],[Winter Blanket]]&gt;0,1,0)</f>
        <v>1</v>
      </c>
      <c r="AN268" s="331">
        <f>IF(NFI_Expiration=1,IF($A268&lt;VLOOKUP(V$5,NFI,5,0),1,0)*Table_NFI[[#This Row],[Jerry Can]],Table_NFI[Jerry Can])</f>
        <v>0</v>
      </c>
      <c r="AO268" s="331">
        <f>IF(NFI_Expiration=1,IF($A268&lt;VLOOKUP(V$5,NFI,5,0),1,0)*Table_NFI[[#This Row],[Shelter Tool kit]],Table_NFI[Shelter Tool kit])</f>
        <v>0</v>
      </c>
      <c r="AP268" s="331">
        <f>IF(NFI_Expiration=1,IF($A268&lt;VLOOKUP(V$5,NFI,5,0),1,0)*Table_NFI[[#This Row],[Tent]],Table_NFI[Tent])</f>
        <v>0</v>
      </c>
      <c r="AQ268" s="467" t="str">
        <f>IFERROR(VLOOKUP(Table_NFI[[#This Row],[Camp Name]],CL,2,0),"")</f>
        <v>MMR001CMP169</v>
      </c>
      <c r="AR268" s="835">
        <f ca="1">IF(Table_NFI[[#This Row],[Pcode]]="","",IF(OFFSET(CampList[Opening Date],MATCH(Table_NFI[[#This Row],[Pcode]],CampList[CP_Pcode],0)-1,0,1,1)&gt;=NFI_Monitor_Date,1,0))</f>
        <v>0</v>
      </c>
      <c r="AS268" s="467" t="str">
        <f>IFERROR(VLOOKUP(Table_NFI[[#This Row],[Camp Name]],CL,3,0),"")</f>
        <v>Open</v>
      </c>
      <c r="AT268" s="294" t="str">
        <f ca="1">IF(Table_NFI[[#This Row],[Pcode]]="","",OFFSET(CampList[Priority],MATCH(Table_NFI[[#This Row],[Pcode]],CampList[CP_Pcode],0)-1,0,1,1))</f>
        <v>P4</v>
      </c>
      <c r="AU268" s="293">
        <f>IFERROR(Table_NFI[[#This Row],[Kitchen Set]]/VLOOKUP(Table_NFI[[#This Row],[Camp Name]],CL,4,0),"")</f>
        <v>0</v>
      </c>
      <c r="AV268" s="461"/>
      <c r="AW268" s="463"/>
    </row>
    <row r="269" spans="1:49" s="464" customFormat="1" x14ac:dyDescent="0.25">
      <c r="A269" s="297">
        <f t="shared" si="4"/>
        <v>26.633333333333333</v>
      </c>
      <c r="B269" s="460">
        <v>41937</v>
      </c>
      <c r="C269" s="461" t="s">
        <v>1094</v>
      </c>
      <c r="D269" s="461" t="s">
        <v>900</v>
      </c>
      <c r="E269" s="461" t="s">
        <v>380</v>
      </c>
      <c r="F269" s="461" t="s">
        <v>527</v>
      </c>
      <c r="G269" s="461" t="s">
        <v>72</v>
      </c>
      <c r="H269" s="291"/>
      <c r="I269" s="291"/>
      <c r="J269" s="291"/>
      <c r="K269" s="291"/>
      <c r="L269" s="292"/>
      <c r="M269" s="292"/>
      <c r="N269" s="292"/>
      <c r="O269" s="292"/>
      <c r="P269" s="294"/>
      <c r="Q269" s="294"/>
      <c r="R269" s="294">
        <v>15</v>
      </c>
      <c r="S269" s="294">
        <v>10</v>
      </c>
      <c r="T269" s="294"/>
      <c r="U269" s="294"/>
      <c r="V269" s="431"/>
      <c r="W269" s="294"/>
      <c r="X269" s="294"/>
      <c r="Y269" s="294">
        <f>IF(NFI_Expiration=1,IF($A269&lt;VLOOKUP(H$5,NFI,5,0),1,0)*Table_NFI[[#This Row],[Hygiene Kit]],Table_NFI[Hygiene Kit])</f>
        <v>0</v>
      </c>
      <c r="Z269" s="294">
        <f>IF(NFI_Expiration=1,IF($A269&lt;VLOOKUP(I$5,NFI,5,0),1,0)*Table_NFI[[#This Row],[NFI Core Kit]],Table_NFI[NFI Core Kit])</f>
        <v>0</v>
      </c>
      <c r="AA269" s="294">
        <f>IF(NFI_Expiration=1,IF($A269&lt;VLOOKUP(J$5,NFI,5,0),1,0)*Table_NFI[[#This Row],[Sanitary Kit]],Table_NFI[Sanitary Kit])</f>
        <v>0</v>
      </c>
      <c r="AB269" s="294">
        <f>IF(NFI_Expiration=1,IF($A269&lt;VLOOKUP(K$5,NFI,5,0),1,0)*Table_NFI[[#This Row],[Mosquito net]],Table_NFI[Mosquito net])</f>
        <v>0</v>
      </c>
      <c r="AC269" s="294">
        <f>IF(NFI_Expiration=1,IF($A269&lt;VLOOKUP(L$5,NFI,5,0),1,0)*Table_NFI[[#This Row],[Tarpaulin]],Table_NFI[[#This Row],[Tarpaulin]])</f>
        <v>0</v>
      </c>
      <c r="AD269" s="294">
        <f>IF(NFI_Expiration=1,IF($A269&lt;VLOOKUP(M$5,NFI,5,0),1,0)*Table_NFI[[#This Row],[Blanket]],Table_NFI[[#This Row],[Blanket]])</f>
        <v>0</v>
      </c>
      <c r="AE269" s="294">
        <f>IF(NFI_Expiration=1,IF($A269&lt;VLOOKUP(N$5,NFI,5,0),1,0)*Table_NFI[[#This Row],[Kitchen Set]],Table_NFI[Kitchen Set])</f>
        <v>0</v>
      </c>
      <c r="AF269" s="294">
        <f>IF(NFI_Expiration=1,IF($A269&lt;VLOOKUP(O$5,NFI,5,0),1,0)*Table_NFI[[#This Row],[Clothes Kit]],Table_NFI[Clothes Kit])</f>
        <v>0</v>
      </c>
      <c r="AG269" s="294">
        <f>IF(NFI_Expiration=1,IF($A269&lt;VLOOKUP(P$5,NFI,5,0),1,0)*Table_NFI[[#This Row],[Plastic Bucket]],Table_NFI[Plastic Bucket])</f>
        <v>0</v>
      </c>
      <c r="AH269" s="294">
        <f>IF(NFI_Expiration=1,IF($A269&lt;VLOOKUP(Q$5,NFI,5,0),1,0)*Table_NFI[[#This Row],[Plastic Mat]],Table_NFI[Plastic Mat])*IF(Table_NFI[[#This Row],[Distribution Date]]&gt;"2014-04-01",1,2.5)</f>
        <v>0</v>
      </c>
      <c r="AI269" s="294">
        <f>IF(NFI_Expiration=1,IF($A269&lt;VLOOKUP(R$5,NFI,5,0),1,0)*Table_NFI[[#This Row],[Winter Clothes Adult]],Table_NFI[Winter Clothes Adult])</f>
        <v>0</v>
      </c>
      <c r="AJ269" s="294">
        <f>IF(NFI_Expiration=1,IF($A269&lt;VLOOKUP(S$5,NFI,5,0),1,0)*Table_NFI[[#This Row],[Winter Clothes Children]],Table_NFI[Winter Clothes Children])</f>
        <v>0</v>
      </c>
      <c r="AK269" s="294">
        <f>IF(NFI_Expiration=1,IF($A269&lt;VLOOKUP(T$5,NFI,5,0),1,0)*Table_NFI[[#This Row],[Winter Items Other]],Table_NFI[Winter Items Other])</f>
        <v>0</v>
      </c>
      <c r="AL269" s="294">
        <f>IF(NFI_Expiration=1,IF($A269&lt;VLOOKUP(M$5,NFI,5,0),1,0)*Table_NFI[[#This Row],[Winter Blanket]],Table_NFI[[#This Row],[Winter Blanket]])</f>
        <v>0</v>
      </c>
      <c r="AM269" s="294">
        <f>IF(Table_NFI[[#This Row],[Winter Clothes Adult]]+Table_NFI[[#This Row],[Winter Clothes Children]]+Table_NFI[[#This Row],[Winter Items Other]]+Table_NFI[[#This Row],[Winter Blanket]]&gt;0,1,0)</f>
        <v>1</v>
      </c>
      <c r="AN269" s="331">
        <f>IF(NFI_Expiration=1,IF($A269&lt;VLOOKUP(V$5,NFI,5,0),1,0)*Table_NFI[[#This Row],[Jerry Can]],Table_NFI[Jerry Can])</f>
        <v>0</v>
      </c>
      <c r="AO269" s="331">
        <f>IF(NFI_Expiration=1,IF($A269&lt;VLOOKUP(V$5,NFI,5,0),1,0)*Table_NFI[[#This Row],[Shelter Tool kit]],Table_NFI[Shelter Tool kit])</f>
        <v>0</v>
      </c>
      <c r="AP269" s="331">
        <f>IF(NFI_Expiration=1,IF($A269&lt;VLOOKUP(V$5,NFI,5,0),1,0)*Table_NFI[[#This Row],[Tent]],Table_NFI[Tent])</f>
        <v>0</v>
      </c>
      <c r="AQ269" s="467" t="str">
        <f>IFERROR(VLOOKUP(Table_NFI[[#This Row],[Camp Name]],CL,2,0),"")</f>
        <v>MMR001CMP109</v>
      </c>
      <c r="AR269" s="835">
        <f ca="1">IF(Table_NFI[[#This Row],[Pcode]]="","",IF(OFFSET(CampList[Opening Date],MATCH(Table_NFI[[#This Row],[Pcode]],CampList[CP_Pcode],0)-1,0,1,1)&gt;=NFI_Monitor_Date,1,0))</f>
        <v>0</v>
      </c>
      <c r="AS269" s="467" t="str">
        <f>IFERROR(VLOOKUP(Table_NFI[[#This Row],[Camp Name]],CL,3,0),"")</f>
        <v>Open</v>
      </c>
      <c r="AT269" s="294" t="str">
        <f ca="1">IF(Table_NFI[[#This Row],[Pcode]]="","",OFFSET(CampList[Priority],MATCH(Table_NFI[[#This Row],[Pcode]],CampList[CP_Pcode],0)-1,0,1,1))</f>
        <v>P4</v>
      </c>
      <c r="AU269" s="293">
        <f>IFERROR(Table_NFI[[#This Row],[Kitchen Set]]/VLOOKUP(Table_NFI[[#This Row],[Camp Name]],CL,4,0),"")</f>
        <v>0</v>
      </c>
      <c r="AV269" s="461"/>
      <c r="AW269" s="463"/>
    </row>
    <row r="270" spans="1:49" s="464" customFormat="1" ht="14.45" customHeight="1" x14ac:dyDescent="0.25">
      <c r="A270" s="297">
        <f t="shared" si="4"/>
        <v>26.633333333333333</v>
      </c>
      <c r="B270" s="460">
        <v>41937</v>
      </c>
      <c r="C270" s="461" t="s">
        <v>1094</v>
      </c>
      <c r="D270" s="461" t="s">
        <v>900</v>
      </c>
      <c r="E270" s="461" t="s">
        <v>380</v>
      </c>
      <c r="F270" s="461" t="s">
        <v>527</v>
      </c>
      <c r="G270" s="461" t="s">
        <v>76</v>
      </c>
      <c r="H270" s="291"/>
      <c r="I270" s="291"/>
      <c r="J270" s="291"/>
      <c r="K270" s="291"/>
      <c r="L270" s="292"/>
      <c r="M270" s="292"/>
      <c r="N270" s="292"/>
      <c r="O270" s="292"/>
      <c r="P270" s="294"/>
      <c r="Q270" s="294"/>
      <c r="R270" s="294">
        <v>214</v>
      </c>
      <c r="S270" s="294">
        <v>112</v>
      </c>
      <c r="T270" s="294"/>
      <c r="U270" s="294"/>
      <c r="V270" s="431"/>
      <c r="W270" s="294"/>
      <c r="X270" s="294"/>
      <c r="Y270" s="294">
        <f>IF(NFI_Expiration=1,IF($A270&lt;VLOOKUP(H$5,NFI,5,0),1,0)*Table_NFI[[#This Row],[Hygiene Kit]],Table_NFI[Hygiene Kit])</f>
        <v>0</v>
      </c>
      <c r="Z270" s="294">
        <f>IF(NFI_Expiration=1,IF($A270&lt;VLOOKUP(I$5,NFI,5,0),1,0)*Table_NFI[[#This Row],[NFI Core Kit]],Table_NFI[NFI Core Kit])</f>
        <v>0</v>
      </c>
      <c r="AA270" s="294">
        <f>IF(NFI_Expiration=1,IF($A270&lt;VLOOKUP(J$5,NFI,5,0),1,0)*Table_NFI[[#This Row],[Sanitary Kit]],Table_NFI[Sanitary Kit])</f>
        <v>0</v>
      </c>
      <c r="AB270" s="294">
        <f>IF(NFI_Expiration=1,IF($A270&lt;VLOOKUP(K$5,NFI,5,0),1,0)*Table_NFI[[#This Row],[Mosquito net]],Table_NFI[Mosquito net])</f>
        <v>0</v>
      </c>
      <c r="AC270" s="294">
        <f>IF(NFI_Expiration=1,IF($A270&lt;VLOOKUP(L$5,NFI,5,0),1,0)*Table_NFI[[#This Row],[Tarpaulin]],Table_NFI[[#This Row],[Tarpaulin]])</f>
        <v>0</v>
      </c>
      <c r="AD270" s="294">
        <f>IF(NFI_Expiration=1,IF($A270&lt;VLOOKUP(M$5,NFI,5,0),1,0)*Table_NFI[[#This Row],[Blanket]],Table_NFI[[#This Row],[Blanket]])</f>
        <v>0</v>
      </c>
      <c r="AE270" s="294">
        <f>IF(NFI_Expiration=1,IF($A270&lt;VLOOKUP(N$5,NFI,5,0),1,0)*Table_NFI[[#This Row],[Kitchen Set]],Table_NFI[Kitchen Set])</f>
        <v>0</v>
      </c>
      <c r="AF270" s="294">
        <f>IF(NFI_Expiration=1,IF($A270&lt;VLOOKUP(O$5,NFI,5,0),1,0)*Table_NFI[[#This Row],[Clothes Kit]],Table_NFI[Clothes Kit])</f>
        <v>0</v>
      </c>
      <c r="AG270" s="294">
        <f>IF(NFI_Expiration=1,IF($A270&lt;VLOOKUP(P$5,NFI,5,0),1,0)*Table_NFI[[#This Row],[Plastic Bucket]],Table_NFI[Plastic Bucket])</f>
        <v>0</v>
      </c>
      <c r="AH270" s="294">
        <f>IF(NFI_Expiration=1,IF($A270&lt;VLOOKUP(Q$5,NFI,5,0),1,0)*Table_NFI[[#This Row],[Plastic Mat]],Table_NFI[Plastic Mat])*IF(Table_NFI[[#This Row],[Distribution Date]]&gt;"2014-04-01",1,2.5)</f>
        <v>0</v>
      </c>
      <c r="AI270" s="294">
        <f>IF(NFI_Expiration=1,IF($A270&lt;VLOOKUP(R$5,NFI,5,0),1,0)*Table_NFI[[#This Row],[Winter Clothes Adult]],Table_NFI[Winter Clothes Adult])</f>
        <v>0</v>
      </c>
      <c r="AJ270" s="294">
        <f>IF(NFI_Expiration=1,IF($A270&lt;VLOOKUP(S$5,NFI,5,0),1,0)*Table_NFI[[#This Row],[Winter Clothes Children]],Table_NFI[Winter Clothes Children])</f>
        <v>0</v>
      </c>
      <c r="AK270" s="294">
        <f>IF(NFI_Expiration=1,IF($A270&lt;VLOOKUP(T$5,NFI,5,0),1,0)*Table_NFI[[#This Row],[Winter Items Other]],Table_NFI[Winter Items Other])</f>
        <v>0</v>
      </c>
      <c r="AL270" s="294">
        <f>IF(NFI_Expiration=1,IF($A270&lt;VLOOKUP(M$5,NFI,5,0),1,0)*Table_NFI[[#This Row],[Winter Blanket]],Table_NFI[[#This Row],[Winter Blanket]])</f>
        <v>0</v>
      </c>
      <c r="AM270" s="294">
        <f>IF(Table_NFI[[#This Row],[Winter Clothes Adult]]+Table_NFI[[#This Row],[Winter Clothes Children]]+Table_NFI[[#This Row],[Winter Items Other]]+Table_NFI[[#This Row],[Winter Blanket]]&gt;0,1,0)</f>
        <v>1</v>
      </c>
      <c r="AN270" s="331">
        <f>IF(NFI_Expiration=1,IF($A270&lt;VLOOKUP(V$5,NFI,5,0),1,0)*Table_NFI[[#This Row],[Jerry Can]],Table_NFI[Jerry Can])</f>
        <v>0</v>
      </c>
      <c r="AO270" s="331">
        <f>IF(NFI_Expiration=1,IF($A270&lt;VLOOKUP(V$5,NFI,5,0),1,0)*Table_NFI[[#This Row],[Shelter Tool kit]],Table_NFI[Shelter Tool kit])</f>
        <v>0</v>
      </c>
      <c r="AP270" s="331">
        <f>IF(NFI_Expiration=1,IF($A270&lt;VLOOKUP(V$5,NFI,5,0),1,0)*Table_NFI[[#This Row],[Tent]],Table_NFI[Tent])</f>
        <v>0</v>
      </c>
      <c r="AQ270" s="467" t="str">
        <f>IFERROR(VLOOKUP(Table_NFI[[#This Row],[Camp Name]],CL,2,0),"")</f>
        <v>MMR001CMP174</v>
      </c>
      <c r="AR270" s="835">
        <f ca="1">IF(Table_NFI[[#This Row],[Pcode]]="","",IF(OFFSET(CampList[Opening Date],MATCH(Table_NFI[[#This Row],[Pcode]],CampList[CP_Pcode],0)-1,0,1,1)&gt;=NFI_Monitor_Date,1,0))</f>
        <v>0</v>
      </c>
      <c r="AS270" s="467" t="str">
        <f>IFERROR(VLOOKUP(Table_NFI[[#This Row],[Camp Name]],CL,3,0),"")</f>
        <v>Open</v>
      </c>
      <c r="AT270" s="294" t="str">
        <f ca="1">IF(Table_NFI[[#This Row],[Pcode]]="","",OFFSET(CampList[Priority],MATCH(Table_NFI[[#This Row],[Pcode]],CampList[CP_Pcode],0)-1,0,1,1))</f>
        <v>P4</v>
      </c>
      <c r="AU270" s="293">
        <f>IFERROR(Table_NFI[[#This Row],[Kitchen Set]]/VLOOKUP(Table_NFI[[#This Row],[Camp Name]],CL,4,0),"")</f>
        <v>0</v>
      </c>
      <c r="AV270" s="461"/>
      <c r="AW270" s="463"/>
    </row>
    <row r="271" spans="1:49" s="464" customFormat="1" x14ac:dyDescent="0.25">
      <c r="A271" s="297">
        <f t="shared" si="4"/>
        <v>26.633333333333333</v>
      </c>
      <c r="B271" s="460">
        <v>41937</v>
      </c>
      <c r="C271" s="461" t="s">
        <v>1094</v>
      </c>
      <c r="D271" s="461" t="s">
        <v>900</v>
      </c>
      <c r="E271" s="461" t="s">
        <v>380</v>
      </c>
      <c r="F271" s="461" t="s">
        <v>527</v>
      </c>
      <c r="G271" s="461" t="s">
        <v>88</v>
      </c>
      <c r="H271" s="291"/>
      <c r="I271" s="291"/>
      <c r="J271" s="291"/>
      <c r="K271" s="291"/>
      <c r="L271" s="292"/>
      <c r="M271" s="292"/>
      <c r="N271" s="292"/>
      <c r="O271" s="292"/>
      <c r="P271" s="294"/>
      <c r="Q271" s="294"/>
      <c r="R271" s="294">
        <v>37</v>
      </c>
      <c r="S271" s="294">
        <v>24</v>
      </c>
      <c r="T271" s="294"/>
      <c r="U271" s="294"/>
      <c r="V271" s="431"/>
      <c r="W271" s="294"/>
      <c r="X271" s="294"/>
      <c r="Y271" s="294">
        <f>IF(NFI_Expiration=1,IF($A271&lt;VLOOKUP(H$5,NFI,5,0),1,0)*Table_NFI[[#This Row],[Hygiene Kit]],Table_NFI[Hygiene Kit])</f>
        <v>0</v>
      </c>
      <c r="Z271" s="294">
        <f>IF(NFI_Expiration=1,IF($A271&lt;VLOOKUP(I$5,NFI,5,0),1,0)*Table_NFI[[#This Row],[NFI Core Kit]],Table_NFI[NFI Core Kit])</f>
        <v>0</v>
      </c>
      <c r="AA271" s="294">
        <f>IF(NFI_Expiration=1,IF($A271&lt;VLOOKUP(J$5,NFI,5,0),1,0)*Table_NFI[[#This Row],[Sanitary Kit]],Table_NFI[Sanitary Kit])</f>
        <v>0</v>
      </c>
      <c r="AB271" s="294">
        <f>IF(NFI_Expiration=1,IF($A271&lt;VLOOKUP(K$5,NFI,5,0),1,0)*Table_NFI[[#This Row],[Mosquito net]],Table_NFI[Mosquito net])</f>
        <v>0</v>
      </c>
      <c r="AC271" s="294">
        <f>IF(NFI_Expiration=1,IF($A271&lt;VLOOKUP(L$5,NFI,5,0),1,0)*Table_NFI[[#This Row],[Tarpaulin]],Table_NFI[[#This Row],[Tarpaulin]])</f>
        <v>0</v>
      </c>
      <c r="AD271" s="294">
        <f>IF(NFI_Expiration=1,IF($A271&lt;VLOOKUP(M$5,NFI,5,0),1,0)*Table_NFI[[#This Row],[Blanket]],Table_NFI[[#This Row],[Blanket]])</f>
        <v>0</v>
      </c>
      <c r="AE271" s="294">
        <f>IF(NFI_Expiration=1,IF($A271&lt;VLOOKUP(N$5,NFI,5,0),1,0)*Table_NFI[[#This Row],[Kitchen Set]],Table_NFI[Kitchen Set])</f>
        <v>0</v>
      </c>
      <c r="AF271" s="294">
        <f>IF(NFI_Expiration=1,IF($A271&lt;VLOOKUP(O$5,NFI,5,0),1,0)*Table_NFI[[#This Row],[Clothes Kit]],Table_NFI[Clothes Kit])</f>
        <v>0</v>
      </c>
      <c r="AG271" s="294">
        <f>IF(NFI_Expiration=1,IF($A271&lt;VLOOKUP(P$5,NFI,5,0),1,0)*Table_NFI[[#This Row],[Plastic Bucket]],Table_NFI[Plastic Bucket])</f>
        <v>0</v>
      </c>
      <c r="AH271" s="294">
        <f>IF(NFI_Expiration=1,IF($A271&lt;VLOOKUP(Q$5,NFI,5,0),1,0)*Table_NFI[[#This Row],[Plastic Mat]],Table_NFI[Plastic Mat])*IF(Table_NFI[[#This Row],[Distribution Date]]&gt;"2014-04-01",1,2.5)</f>
        <v>0</v>
      </c>
      <c r="AI271" s="294">
        <f>IF(NFI_Expiration=1,IF($A271&lt;VLOOKUP(R$5,NFI,5,0),1,0)*Table_NFI[[#This Row],[Winter Clothes Adult]],Table_NFI[Winter Clothes Adult])</f>
        <v>0</v>
      </c>
      <c r="AJ271" s="294">
        <f>IF(NFI_Expiration=1,IF($A271&lt;VLOOKUP(S$5,NFI,5,0),1,0)*Table_NFI[[#This Row],[Winter Clothes Children]],Table_NFI[Winter Clothes Children])</f>
        <v>0</v>
      </c>
      <c r="AK271" s="294">
        <f>IF(NFI_Expiration=1,IF($A271&lt;VLOOKUP(T$5,NFI,5,0),1,0)*Table_NFI[[#This Row],[Winter Items Other]],Table_NFI[Winter Items Other])</f>
        <v>0</v>
      </c>
      <c r="AL271" s="294">
        <f>IF(NFI_Expiration=1,IF($A271&lt;VLOOKUP(M$5,NFI,5,0),1,0)*Table_NFI[[#This Row],[Winter Blanket]],Table_NFI[[#This Row],[Winter Blanket]])</f>
        <v>0</v>
      </c>
      <c r="AM271" s="294">
        <f>IF(Table_NFI[[#This Row],[Winter Clothes Adult]]+Table_NFI[[#This Row],[Winter Clothes Children]]+Table_NFI[[#This Row],[Winter Items Other]]+Table_NFI[[#This Row],[Winter Blanket]]&gt;0,1,0)</f>
        <v>1</v>
      </c>
      <c r="AN271" s="331">
        <f>IF(NFI_Expiration=1,IF($A271&lt;VLOOKUP(V$5,NFI,5,0),1,0)*Table_NFI[[#This Row],[Jerry Can]],Table_NFI[Jerry Can])</f>
        <v>0</v>
      </c>
      <c r="AO271" s="331">
        <f>IF(NFI_Expiration=1,IF($A271&lt;VLOOKUP(V$5,NFI,5,0),1,0)*Table_NFI[[#This Row],[Shelter Tool kit]],Table_NFI[Shelter Tool kit])</f>
        <v>0</v>
      </c>
      <c r="AP271" s="331">
        <f>IF(NFI_Expiration=1,IF($A271&lt;VLOOKUP(V$5,NFI,5,0),1,0)*Table_NFI[[#This Row],[Tent]],Table_NFI[Tent])</f>
        <v>0</v>
      </c>
      <c r="AQ271" s="467" t="str">
        <f>IFERROR(VLOOKUP(Table_NFI[[#This Row],[Camp Name]],CL,2,0),"")</f>
        <v>MMR001CMP148</v>
      </c>
      <c r="AR271" s="835">
        <f ca="1">IF(Table_NFI[[#This Row],[Pcode]]="","",IF(OFFSET(CampList[Opening Date],MATCH(Table_NFI[[#This Row],[Pcode]],CampList[CP_Pcode],0)-1,0,1,1)&gt;=NFI_Monitor_Date,1,0))</f>
        <v>0</v>
      </c>
      <c r="AS271" s="467" t="str">
        <f>IFERROR(VLOOKUP(Table_NFI[[#This Row],[Camp Name]],CL,3,0),"")</f>
        <v>Open</v>
      </c>
      <c r="AT271" s="294" t="str">
        <f ca="1">IF(Table_NFI[[#This Row],[Pcode]]="","",OFFSET(CampList[Priority],MATCH(Table_NFI[[#This Row],[Pcode]],CampList[CP_Pcode],0)-1,0,1,1))</f>
        <v>P4</v>
      </c>
      <c r="AU271" s="293">
        <f>IFERROR(Table_NFI[[#This Row],[Kitchen Set]]/VLOOKUP(Table_NFI[[#This Row],[Camp Name]],CL,4,0),"")</f>
        <v>0</v>
      </c>
      <c r="AV271" s="461"/>
      <c r="AW271" s="463"/>
    </row>
    <row r="272" spans="1:49" s="464" customFormat="1" ht="14.45" customHeight="1" x14ac:dyDescent="0.25">
      <c r="A272" s="297">
        <f t="shared" si="4"/>
        <v>26.633333333333333</v>
      </c>
      <c r="B272" s="460">
        <v>41937</v>
      </c>
      <c r="C272" s="461" t="s">
        <v>1094</v>
      </c>
      <c r="D272" s="461" t="s">
        <v>900</v>
      </c>
      <c r="E272" s="461" t="s">
        <v>380</v>
      </c>
      <c r="F272" s="461" t="s">
        <v>527</v>
      </c>
      <c r="G272" s="461" t="s">
        <v>44</v>
      </c>
      <c r="H272" s="291"/>
      <c r="I272" s="291"/>
      <c r="J272" s="291"/>
      <c r="K272" s="291"/>
      <c r="L272" s="292"/>
      <c r="M272" s="292"/>
      <c r="N272" s="292"/>
      <c r="O272" s="292"/>
      <c r="P272" s="294"/>
      <c r="Q272" s="294"/>
      <c r="R272" s="294">
        <v>33</v>
      </c>
      <c r="S272" s="294">
        <v>24</v>
      </c>
      <c r="T272" s="294"/>
      <c r="U272" s="294"/>
      <c r="V272" s="431"/>
      <c r="W272" s="294"/>
      <c r="X272" s="294"/>
      <c r="Y272" s="294">
        <f>IF(NFI_Expiration=1,IF($A272&lt;VLOOKUP(H$5,NFI,5,0),1,0)*Table_NFI[[#This Row],[Hygiene Kit]],Table_NFI[Hygiene Kit])</f>
        <v>0</v>
      </c>
      <c r="Z272" s="294">
        <f>IF(NFI_Expiration=1,IF($A272&lt;VLOOKUP(I$5,NFI,5,0),1,0)*Table_NFI[[#This Row],[NFI Core Kit]],Table_NFI[NFI Core Kit])</f>
        <v>0</v>
      </c>
      <c r="AA272" s="294">
        <f>IF(NFI_Expiration=1,IF($A272&lt;VLOOKUP(J$5,NFI,5,0),1,0)*Table_NFI[[#This Row],[Sanitary Kit]],Table_NFI[Sanitary Kit])</f>
        <v>0</v>
      </c>
      <c r="AB272" s="294">
        <f>IF(NFI_Expiration=1,IF($A272&lt;VLOOKUP(K$5,NFI,5,0),1,0)*Table_NFI[[#This Row],[Mosquito net]],Table_NFI[Mosquito net])</f>
        <v>0</v>
      </c>
      <c r="AC272" s="294">
        <f>IF(NFI_Expiration=1,IF($A272&lt;VLOOKUP(L$5,NFI,5,0),1,0)*Table_NFI[[#This Row],[Tarpaulin]],Table_NFI[[#This Row],[Tarpaulin]])</f>
        <v>0</v>
      </c>
      <c r="AD272" s="294">
        <f>IF(NFI_Expiration=1,IF($A272&lt;VLOOKUP(M$5,NFI,5,0),1,0)*Table_NFI[[#This Row],[Blanket]],Table_NFI[[#This Row],[Blanket]])</f>
        <v>0</v>
      </c>
      <c r="AE272" s="294">
        <f>IF(NFI_Expiration=1,IF($A272&lt;VLOOKUP(N$5,NFI,5,0),1,0)*Table_NFI[[#This Row],[Kitchen Set]],Table_NFI[Kitchen Set])</f>
        <v>0</v>
      </c>
      <c r="AF272" s="294">
        <f>IF(NFI_Expiration=1,IF($A272&lt;VLOOKUP(O$5,NFI,5,0),1,0)*Table_NFI[[#This Row],[Clothes Kit]],Table_NFI[Clothes Kit])</f>
        <v>0</v>
      </c>
      <c r="AG272" s="294">
        <f>IF(NFI_Expiration=1,IF($A272&lt;VLOOKUP(P$5,NFI,5,0),1,0)*Table_NFI[[#This Row],[Plastic Bucket]],Table_NFI[Plastic Bucket])</f>
        <v>0</v>
      </c>
      <c r="AH272" s="294">
        <f>IF(NFI_Expiration=1,IF($A272&lt;VLOOKUP(Q$5,NFI,5,0),1,0)*Table_NFI[[#This Row],[Plastic Mat]],Table_NFI[Plastic Mat])*IF(Table_NFI[[#This Row],[Distribution Date]]&gt;"2014-04-01",1,2.5)</f>
        <v>0</v>
      </c>
      <c r="AI272" s="294">
        <f>IF(NFI_Expiration=1,IF($A272&lt;VLOOKUP(R$5,NFI,5,0),1,0)*Table_NFI[[#This Row],[Winter Clothes Adult]],Table_NFI[Winter Clothes Adult])</f>
        <v>0</v>
      </c>
      <c r="AJ272" s="294">
        <f>IF(NFI_Expiration=1,IF($A272&lt;VLOOKUP(S$5,NFI,5,0),1,0)*Table_NFI[[#This Row],[Winter Clothes Children]],Table_NFI[Winter Clothes Children])</f>
        <v>0</v>
      </c>
      <c r="AK272" s="294">
        <f>IF(NFI_Expiration=1,IF($A272&lt;VLOOKUP(T$5,NFI,5,0),1,0)*Table_NFI[[#This Row],[Winter Items Other]],Table_NFI[Winter Items Other])</f>
        <v>0</v>
      </c>
      <c r="AL272" s="294">
        <f>IF(NFI_Expiration=1,IF($A272&lt;VLOOKUP(M$5,NFI,5,0),1,0)*Table_NFI[[#This Row],[Winter Blanket]],Table_NFI[[#This Row],[Winter Blanket]])</f>
        <v>0</v>
      </c>
      <c r="AM272" s="294">
        <f>IF(Table_NFI[[#This Row],[Winter Clothes Adult]]+Table_NFI[[#This Row],[Winter Clothes Children]]+Table_NFI[[#This Row],[Winter Items Other]]+Table_NFI[[#This Row],[Winter Blanket]]&gt;0,1,0)</f>
        <v>1</v>
      </c>
      <c r="AN272" s="331">
        <f>IF(NFI_Expiration=1,IF($A272&lt;VLOOKUP(V$5,NFI,5,0),1,0)*Table_NFI[[#This Row],[Jerry Can]],Table_NFI[Jerry Can])</f>
        <v>0</v>
      </c>
      <c r="AO272" s="331">
        <f>IF(NFI_Expiration=1,IF($A272&lt;VLOOKUP(V$5,NFI,5,0),1,0)*Table_NFI[[#This Row],[Shelter Tool kit]],Table_NFI[Shelter Tool kit])</f>
        <v>0</v>
      </c>
      <c r="AP272" s="331">
        <f>IF(NFI_Expiration=1,IF($A272&lt;VLOOKUP(V$5,NFI,5,0),1,0)*Table_NFI[[#This Row],[Tent]],Table_NFI[Tent])</f>
        <v>0</v>
      </c>
      <c r="AQ272" s="467" t="str">
        <f>IFERROR(VLOOKUP(Table_NFI[[#This Row],[Camp Name]],CL,2,0),"")</f>
        <v>MMR001CMP191</v>
      </c>
      <c r="AR272" s="835">
        <f ca="1">IF(Table_NFI[[#This Row],[Pcode]]="","",IF(OFFSET(CampList[Opening Date],MATCH(Table_NFI[[#This Row],[Pcode]],CampList[CP_Pcode],0)-1,0,1,1)&gt;=NFI_Monitor_Date,1,0))</f>
        <v>0</v>
      </c>
      <c r="AS272" s="467" t="str">
        <f>IFERROR(VLOOKUP(Table_NFI[[#This Row],[Camp Name]],CL,3,0),"")</f>
        <v>Open</v>
      </c>
      <c r="AT272" s="294" t="str">
        <f ca="1">IF(Table_NFI[[#This Row],[Pcode]]="","",OFFSET(CampList[Priority],MATCH(Table_NFI[[#This Row],[Pcode]],CampList[CP_Pcode],0)-1,0,1,1))</f>
        <v>P4</v>
      </c>
      <c r="AU272" s="293">
        <f>IFERROR(Table_NFI[[#This Row],[Kitchen Set]]/VLOOKUP(Table_NFI[[#This Row],[Camp Name]],CL,4,0),"")</f>
        <v>0</v>
      </c>
      <c r="AV272" s="461"/>
      <c r="AW272" s="463"/>
    </row>
    <row r="273" spans="1:49" s="464" customFormat="1" ht="14.45" customHeight="1" x14ac:dyDescent="0.25">
      <c r="A273" s="297">
        <f t="shared" si="4"/>
        <v>26.633333333333333</v>
      </c>
      <c r="B273" s="460">
        <v>41937</v>
      </c>
      <c r="C273" s="461" t="s">
        <v>1094</v>
      </c>
      <c r="D273" s="461" t="s">
        <v>900</v>
      </c>
      <c r="E273" s="461" t="s">
        <v>380</v>
      </c>
      <c r="F273" s="461" t="s">
        <v>527</v>
      </c>
      <c r="G273" s="461" t="s">
        <v>1065</v>
      </c>
      <c r="H273" s="291"/>
      <c r="I273" s="291"/>
      <c r="J273" s="291"/>
      <c r="K273" s="291"/>
      <c r="L273" s="292"/>
      <c r="M273" s="292"/>
      <c r="N273" s="292"/>
      <c r="O273" s="292"/>
      <c r="P273" s="294"/>
      <c r="Q273" s="294"/>
      <c r="R273" s="294">
        <v>186</v>
      </c>
      <c r="S273" s="294">
        <v>125</v>
      </c>
      <c r="T273" s="294"/>
      <c r="U273" s="294"/>
      <c r="V273" s="431"/>
      <c r="W273" s="294"/>
      <c r="X273" s="294"/>
      <c r="Y273" s="294">
        <f>IF(NFI_Expiration=1,IF($A273&lt;VLOOKUP(H$5,NFI,5,0),1,0)*Table_NFI[[#This Row],[Hygiene Kit]],Table_NFI[Hygiene Kit])</f>
        <v>0</v>
      </c>
      <c r="Z273" s="294">
        <f>IF(NFI_Expiration=1,IF($A273&lt;VLOOKUP(I$5,NFI,5,0),1,0)*Table_NFI[[#This Row],[NFI Core Kit]],Table_NFI[NFI Core Kit])</f>
        <v>0</v>
      </c>
      <c r="AA273" s="294">
        <f>IF(NFI_Expiration=1,IF($A273&lt;VLOOKUP(J$5,NFI,5,0),1,0)*Table_NFI[[#This Row],[Sanitary Kit]],Table_NFI[Sanitary Kit])</f>
        <v>0</v>
      </c>
      <c r="AB273" s="294">
        <f>IF(NFI_Expiration=1,IF($A273&lt;VLOOKUP(K$5,NFI,5,0),1,0)*Table_NFI[[#This Row],[Mosquito net]],Table_NFI[Mosquito net])</f>
        <v>0</v>
      </c>
      <c r="AC273" s="294">
        <f>IF(NFI_Expiration=1,IF($A273&lt;VLOOKUP(L$5,NFI,5,0),1,0)*Table_NFI[[#This Row],[Tarpaulin]],Table_NFI[[#This Row],[Tarpaulin]])</f>
        <v>0</v>
      </c>
      <c r="AD273" s="294">
        <f>IF(NFI_Expiration=1,IF($A273&lt;VLOOKUP(M$5,NFI,5,0),1,0)*Table_NFI[[#This Row],[Blanket]],Table_NFI[[#This Row],[Blanket]])</f>
        <v>0</v>
      </c>
      <c r="AE273" s="294">
        <f>IF(NFI_Expiration=1,IF($A273&lt;VLOOKUP(N$5,NFI,5,0),1,0)*Table_NFI[[#This Row],[Kitchen Set]],Table_NFI[Kitchen Set])</f>
        <v>0</v>
      </c>
      <c r="AF273" s="294">
        <f>IF(NFI_Expiration=1,IF($A273&lt;VLOOKUP(O$5,NFI,5,0),1,0)*Table_NFI[[#This Row],[Clothes Kit]],Table_NFI[Clothes Kit])</f>
        <v>0</v>
      </c>
      <c r="AG273" s="294">
        <f>IF(NFI_Expiration=1,IF($A273&lt;VLOOKUP(P$5,NFI,5,0),1,0)*Table_NFI[[#This Row],[Plastic Bucket]],Table_NFI[Plastic Bucket])</f>
        <v>0</v>
      </c>
      <c r="AH273" s="294">
        <f>IF(NFI_Expiration=1,IF($A273&lt;VLOOKUP(Q$5,NFI,5,0),1,0)*Table_NFI[[#This Row],[Plastic Mat]],Table_NFI[Plastic Mat])*IF(Table_NFI[[#This Row],[Distribution Date]]&gt;"2014-04-01",1,2.5)</f>
        <v>0</v>
      </c>
      <c r="AI273" s="294">
        <f>IF(NFI_Expiration=1,IF($A273&lt;VLOOKUP(R$5,NFI,5,0),1,0)*Table_NFI[[#This Row],[Winter Clothes Adult]],Table_NFI[Winter Clothes Adult])</f>
        <v>0</v>
      </c>
      <c r="AJ273" s="294">
        <f>IF(NFI_Expiration=1,IF($A273&lt;VLOOKUP(S$5,NFI,5,0),1,0)*Table_NFI[[#This Row],[Winter Clothes Children]],Table_NFI[Winter Clothes Children])</f>
        <v>0</v>
      </c>
      <c r="AK273" s="294">
        <f>IF(NFI_Expiration=1,IF($A273&lt;VLOOKUP(T$5,NFI,5,0),1,0)*Table_NFI[[#This Row],[Winter Items Other]],Table_NFI[Winter Items Other])</f>
        <v>0</v>
      </c>
      <c r="AL273" s="294">
        <f>IF(NFI_Expiration=1,IF($A273&lt;VLOOKUP(M$5,NFI,5,0),1,0)*Table_NFI[[#This Row],[Winter Blanket]],Table_NFI[[#This Row],[Winter Blanket]])</f>
        <v>0</v>
      </c>
      <c r="AM273" s="294">
        <f>IF(Table_NFI[[#This Row],[Winter Clothes Adult]]+Table_NFI[[#This Row],[Winter Clothes Children]]+Table_NFI[[#This Row],[Winter Items Other]]+Table_NFI[[#This Row],[Winter Blanket]]&gt;0,1,0)</f>
        <v>1</v>
      </c>
      <c r="AN273" s="331">
        <f>IF(NFI_Expiration=1,IF($A273&lt;VLOOKUP(V$5,NFI,5,0),1,0)*Table_NFI[[#This Row],[Jerry Can]],Table_NFI[Jerry Can])</f>
        <v>0</v>
      </c>
      <c r="AO273" s="331">
        <f>IF(NFI_Expiration=1,IF($A273&lt;VLOOKUP(V$5,NFI,5,0),1,0)*Table_NFI[[#This Row],[Shelter Tool kit]],Table_NFI[Shelter Tool kit])</f>
        <v>0</v>
      </c>
      <c r="AP273" s="331">
        <f>IF(NFI_Expiration=1,IF($A273&lt;VLOOKUP(V$5,NFI,5,0),1,0)*Table_NFI[[#This Row],[Tent]],Table_NFI[Tent])</f>
        <v>0</v>
      </c>
      <c r="AQ273" s="467" t="str">
        <f>IFERROR(VLOOKUP(Table_NFI[[#This Row],[Camp Name]],CL,2,0),"")</f>
        <v>MMR001CMP229</v>
      </c>
      <c r="AR273" s="835">
        <f ca="1">IF(Table_NFI[[#This Row],[Pcode]]="","",IF(OFFSET(CampList[Opening Date],MATCH(Table_NFI[[#This Row],[Pcode]],CampList[CP_Pcode],0)-1,0,1,1)&gt;=NFI_Monitor_Date,1,0))</f>
        <v>0</v>
      </c>
      <c r="AS273" s="467" t="str">
        <f>IFERROR(VLOOKUP(Table_NFI[[#This Row],[Camp Name]],CL,3,0),"")</f>
        <v>Open</v>
      </c>
      <c r="AT273" s="294" t="str">
        <f ca="1">IF(Table_NFI[[#This Row],[Pcode]]="","",OFFSET(CampList[Priority],MATCH(Table_NFI[[#This Row],[Pcode]],CampList[CP_Pcode],0)-1,0,1,1))</f>
        <v>P4</v>
      </c>
      <c r="AU273" s="293">
        <f>IFERROR(Table_NFI[[#This Row],[Kitchen Set]]/VLOOKUP(Table_NFI[[#This Row],[Camp Name]],CL,4,0),"")</f>
        <v>0</v>
      </c>
      <c r="AV273" s="461"/>
      <c r="AW273" s="463"/>
    </row>
    <row r="274" spans="1:49" s="464" customFormat="1" ht="14.45" customHeight="1" x14ac:dyDescent="0.25">
      <c r="A274" s="297">
        <f t="shared" si="4"/>
        <v>26.633333333333333</v>
      </c>
      <c r="B274" s="460">
        <v>41937</v>
      </c>
      <c r="C274" s="461" t="s">
        <v>1094</v>
      </c>
      <c r="D274" s="461" t="s">
        <v>900</v>
      </c>
      <c r="E274" s="461" t="s">
        <v>380</v>
      </c>
      <c r="F274" s="461" t="s">
        <v>527</v>
      </c>
      <c r="G274" s="461" t="s">
        <v>58</v>
      </c>
      <c r="H274" s="291"/>
      <c r="I274" s="291"/>
      <c r="J274" s="291"/>
      <c r="K274" s="291"/>
      <c r="L274" s="292"/>
      <c r="M274" s="292"/>
      <c r="N274" s="292"/>
      <c r="O274" s="292"/>
      <c r="P274" s="294"/>
      <c r="Q274" s="294"/>
      <c r="R274" s="294">
        <v>48</v>
      </c>
      <c r="S274" s="294">
        <v>30</v>
      </c>
      <c r="T274" s="294"/>
      <c r="U274" s="294"/>
      <c r="V274" s="431"/>
      <c r="W274" s="294"/>
      <c r="X274" s="294"/>
      <c r="Y274" s="294">
        <f>IF(NFI_Expiration=1,IF($A274&lt;VLOOKUP(H$5,NFI,5,0),1,0)*Table_NFI[[#This Row],[Hygiene Kit]],Table_NFI[Hygiene Kit])</f>
        <v>0</v>
      </c>
      <c r="Z274" s="294">
        <f>IF(NFI_Expiration=1,IF($A274&lt;VLOOKUP(I$5,NFI,5,0),1,0)*Table_NFI[[#This Row],[NFI Core Kit]],Table_NFI[NFI Core Kit])</f>
        <v>0</v>
      </c>
      <c r="AA274" s="294">
        <f>IF(NFI_Expiration=1,IF($A274&lt;VLOOKUP(J$5,NFI,5,0),1,0)*Table_NFI[[#This Row],[Sanitary Kit]],Table_NFI[Sanitary Kit])</f>
        <v>0</v>
      </c>
      <c r="AB274" s="294">
        <f>IF(NFI_Expiration=1,IF($A274&lt;VLOOKUP(K$5,NFI,5,0),1,0)*Table_NFI[[#This Row],[Mosquito net]],Table_NFI[Mosquito net])</f>
        <v>0</v>
      </c>
      <c r="AC274" s="294">
        <f>IF(NFI_Expiration=1,IF($A274&lt;VLOOKUP(L$5,NFI,5,0),1,0)*Table_NFI[[#This Row],[Tarpaulin]],Table_NFI[[#This Row],[Tarpaulin]])</f>
        <v>0</v>
      </c>
      <c r="AD274" s="294">
        <f>IF(NFI_Expiration=1,IF($A274&lt;VLOOKUP(M$5,NFI,5,0),1,0)*Table_NFI[[#This Row],[Blanket]],Table_NFI[[#This Row],[Blanket]])</f>
        <v>0</v>
      </c>
      <c r="AE274" s="294">
        <f>IF(NFI_Expiration=1,IF($A274&lt;VLOOKUP(N$5,NFI,5,0),1,0)*Table_NFI[[#This Row],[Kitchen Set]],Table_NFI[Kitchen Set])</f>
        <v>0</v>
      </c>
      <c r="AF274" s="294">
        <f>IF(NFI_Expiration=1,IF($A274&lt;VLOOKUP(O$5,NFI,5,0),1,0)*Table_NFI[[#This Row],[Clothes Kit]],Table_NFI[Clothes Kit])</f>
        <v>0</v>
      </c>
      <c r="AG274" s="294">
        <f>IF(NFI_Expiration=1,IF($A274&lt;VLOOKUP(P$5,NFI,5,0),1,0)*Table_NFI[[#This Row],[Plastic Bucket]],Table_NFI[Plastic Bucket])</f>
        <v>0</v>
      </c>
      <c r="AH274" s="294">
        <f>IF(NFI_Expiration=1,IF($A274&lt;VLOOKUP(Q$5,NFI,5,0),1,0)*Table_NFI[[#This Row],[Plastic Mat]],Table_NFI[Plastic Mat])*IF(Table_NFI[[#This Row],[Distribution Date]]&gt;"2014-04-01",1,2.5)</f>
        <v>0</v>
      </c>
      <c r="AI274" s="294">
        <f>IF(NFI_Expiration=1,IF($A274&lt;VLOOKUP(R$5,NFI,5,0),1,0)*Table_NFI[[#This Row],[Winter Clothes Adult]],Table_NFI[Winter Clothes Adult])</f>
        <v>0</v>
      </c>
      <c r="AJ274" s="294">
        <f>IF(NFI_Expiration=1,IF($A274&lt;VLOOKUP(S$5,NFI,5,0),1,0)*Table_NFI[[#This Row],[Winter Clothes Children]],Table_NFI[Winter Clothes Children])</f>
        <v>0</v>
      </c>
      <c r="AK274" s="294">
        <f>IF(NFI_Expiration=1,IF($A274&lt;VLOOKUP(T$5,NFI,5,0),1,0)*Table_NFI[[#This Row],[Winter Items Other]],Table_NFI[Winter Items Other])</f>
        <v>0</v>
      </c>
      <c r="AL274" s="294">
        <f>IF(NFI_Expiration=1,IF($A274&lt;VLOOKUP(M$5,NFI,5,0),1,0)*Table_NFI[[#This Row],[Winter Blanket]],Table_NFI[[#This Row],[Winter Blanket]])</f>
        <v>0</v>
      </c>
      <c r="AM274" s="294">
        <f>IF(Table_NFI[[#This Row],[Winter Clothes Adult]]+Table_NFI[[#This Row],[Winter Clothes Children]]+Table_NFI[[#This Row],[Winter Items Other]]+Table_NFI[[#This Row],[Winter Blanket]]&gt;0,1,0)</f>
        <v>1</v>
      </c>
      <c r="AN274" s="331">
        <f>IF(NFI_Expiration=1,IF($A274&lt;VLOOKUP(V$5,NFI,5,0),1,0)*Table_NFI[[#This Row],[Jerry Can]],Table_NFI[Jerry Can])</f>
        <v>0</v>
      </c>
      <c r="AO274" s="331">
        <f>IF(NFI_Expiration=1,IF($A274&lt;VLOOKUP(V$5,NFI,5,0),1,0)*Table_NFI[[#This Row],[Shelter Tool kit]],Table_NFI[Shelter Tool kit])</f>
        <v>0</v>
      </c>
      <c r="AP274" s="331">
        <f>IF(NFI_Expiration=1,IF($A274&lt;VLOOKUP(V$5,NFI,5,0),1,0)*Table_NFI[[#This Row],[Tent]],Table_NFI[Tent])</f>
        <v>0</v>
      </c>
      <c r="AQ274" s="467" t="str">
        <f>IFERROR(VLOOKUP(Table_NFI[[#This Row],[Camp Name]],CL,2,0),"")</f>
        <v>MMR001CMP188</v>
      </c>
      <c r="AR274" s="835">
        <f ca="1">IF(Table_NFI[[#This Row],[Pcode]]="","",IF(OFFSET(CampList[Opening Date],MATCH(Table_NFI[[#This Row],[Pcode]],CampList[CP_Pcode],0)-1,0,1,1)&gt;=NFI_Monitor_Date,1,0))</f>
        <v>0</v>
      </c>
      <c r="AS274" s="467" t="str">
        <f>IFERROR(VLOOKUP(Table_NFI[[#This Row],[Camp Name]],CL,3,0),"")</f>
        <v>Closed</v>
      </c>
      <c r="AT274" s="294" t="str">
        <f ca="1">IF(Table_NFI[[#This Row],[Pcode]]="","",OFFSET(CampList[Priority],MATCH(Table_NFI[[#This Row],[Pcode]],CampList[CP_Pcode],0)-1,0,1,1))</f>
        <v>P4</v>
      </c>
      <c r="AU274" s="293" t="str">
        <f>IFERROR(Table_NFI[[#This Row],[Kitchen Set]]/VLOOKUP(Table_NFI[[#This Row],[Camp Name]],CL,4,0),"")</f>
        <v/>
      </c>
      <c r="AV274" s="461"/>
      <c r="AW274" s="463"/>
    </row>
    <row r="275" spans="1:49" s="464" customFormat="1" ht="14.45" customHeight="1" x14ac:dyDescent="0.25">
      <c r="A275" s="297">
        <f t="shared" si="4"/>
        <v>26.633333333333333</v>
      </c>
      <c r="B275" s="460">
        <v>41937</v>
      </c>
      <c r="C275" s="461" t="s">
        <v>1094</v>
      </c>
      <c r="D275" s="461" t="s">
        <v>900</v>
      </c>
      <c r="E275" s="461" t="s">
        <v>380</v>
      </c>
      <c r="F275" s="461" t="s">
        <v>527</v>
      </c>
      <c r="G275" s="461" t="s">
        <v>90</v>
      </c>
      <c r="H275" s="291"/>
      <c r="I275" s="291"/>
      <c r="J275" s="291"/>
      <c r="K275" s="291"/>
      <c r="L275" s="292"/>
      <c r="M275" s="292"/>
      <c r="N275" s="292"/>
      <c r="O275" s="292"/>
      <c r="P275" s="294"/>
      <c r="Q275" s="294"/>
      <c r="R275" s="294">
        <v>90</v>
      </c>
      <c r="S275" s="294">
        <v>39</v>
      </c>
      <c r="T275" s="294"/>
      <c r="U275" s="294"/>
      <c r="V275" s="431"/>
      <c r="W275" s="294"/>
      <c r="X275" s="294"/>
      <c r="Y275" s="294">
        <f>IF(NFI_Expiration=1,IF($A275&lt;VLOOKUP(H$5,NFI,5,0),1,0)*Table_NFI[[#This Row],[Hygiene Kit]],Table_NFI[Hygiene Kit])</f>
        <v>0</v>
      </c>
      <c r="Z275" s="294">
        <f>IF(NFI_Expiration=1,IF($A275&lt;VLOOKUP(I$5,NFI,5,0),1,0)*Table_NFI[[#This Row],[NFI Core Kit]],Table_NFI[NFI Core Kit])</f>
        <v>0</v>
      </c>
      <c r="AA275" s="294">
        <f>IF(NFI_Expiration=1,IF($A275&lt;VLOOKUP(J$5,NFI,5,0),1,0)*Table_NFI[[#This Row],[Sanitary Kit]],Table_NFI[Sanitary Kit])</f>
        <v>0</v>
      </c>
      <c r="AB275" s="294">
        <f>IF(NFI_Expiration=1,IF($A275&lt;VLOOKUP(K$5,NFI,5,0),1,0)*Table_NFI[[#This Row],[Mosquito net]],Table_NFI[Mosquito net])</f>
        <v>0</v>
      </c>
      <c r="AC275" s="294">
        <f>IF(NFI_Expiration=1,IF($A275&lt;VLOOKUP(L$5,NFI,5,0),1,0)*Table_NFI[[#This Row],[Tarpaulin]],Table_NFI[[#This Row],[Tarpaulin]])</f>
        <v>0</v>
      </c>
      <c r="AD275" s="294">
        <f>IF(NFI_Expiration=1,IF($A275&lt;VLOOKUP(M$5,NFI,5,0),1,0)*Table_NFI[[#This Row],[Blanket]],Table_NFI[[#This Row],[Blanket]])</f>
        <v>0</v>
      </c>
      <c r="AE275" s="294">
        <f>IF(NFI_Expiration=1,IF($A275&lt;VLOOKUP(N$5,NFI,5,0),1,0)*Table_NFI[[#This Row],[Kitchen Set]],Table_NFI[Kitchen Set])</f>
        <v>0</v>
      </c>
      <c r="AF275" s="294">
        <f>IF(NFI_Expiration=1,IF($A275&lt;VLOOKUP(O$5,NFI,5,0),1,0)*Table_NFI[[#This Row],[Clothes Kit]],Table_NFI[Clothes Kit])</f>
        <v>0</v>
      </c>
      <c r="AG275" s="294">
        <f>IF(NFI_Expiration=1,IF($A275&lt;VLOOKUP(P$5,NFI,5,0),1,0)*Table_NFI[[#This Row],[Plastic Bucket]],Table_NFI[Plastic Bucket])</f>
        <v>0</v>
      </c>
      <c r="AH275" s="294">
        <f>IF(NFI_Expiration=1,IF($A275&lt;VLOOKUP(Q$5,NFI,5,0),1,0)*Table_NFI[[#This Row],[Plastic Mat]],Table_NFI[Plastic Mat])*IF(Table_NFI[[#This Row],[Distribution Date]]&gt;"2014-04-01",1,2.5)</f>
        <v>0</v>
      </c>
      <c r="AI275" s="294">
        <f>IF(NFI_Expiration=1,IF($A275&lt;VLOOKUP(R$5,NFI,5,0),1,0)*Table_NFI[[#This Row],[Winter Clothes Adult]],Table_NFI[Winter Clothes Adult])</f>
        <v>0</v>
      </c>
      <c r="AJ275" s="294">
        <f>IF(NFI_Expiration=1,IF($A275&lt;VLOOKUP(S$5,NFI,5,0),1,0)*Table_NFI[[#This Row],[Winter Clothes Children]],Table_NFI[Winter Clothes Children])</f>
        <v>0</v>
      </c>
      <c r="AK275" s="294">
        <f>IF(NFI_Expiration=1,IF($A275&lt;VLOOKUP(T$5,NFI,5,0),1,0)*Table_NFI[[#This Row],[Winter Items Other]],Table_NFI[Winter Items Other])</f>
        <v>0</v>
      </c>
      <c r="AL275" s="294">
        <f>IF(NFI_Expiration=1,IF($A275&lt;VLOOKUP(M$5,NFI,5,0),1,0)*Table_NFI[[#This Row],[Winter Blanket]],Table_NFI[[#This Row],[Winter Blanket]])</f>
        <v>0</v>
      </c>
      <c r="AM275" s="294">
        <f>IF(Table_NFI[[#This Row],[Winter Clothes Adult]]+Table_NFI[[#This Row],[Winter Clothes Children]]+Table_NFI[[#This Row],[Winter Items Other]]+Table_NFI[[#This Row],[Winter Blanket]]&gt;0,1,0)</f>
        <v>1</v>
      </c>
      <c r="AN275" s="331">
        <f>IF(NFI_Expiration=1,IF($A275&lt;VLOOKUP(V$5,NFI,5,0),1,0)*Table_NFI[[#This Row],[Jerry Can]],Table_NFI[Jerry Can])</f>
        <v>0</v>
      </c>
      <c r="AO275" s="331">
        <f>IF(NFI_Expiration=1,IF($A275&lt;VLOOKUP(V$5,NFI,5,0),1,0)*Table_NFI[[#This Row],[Shelter Tool kit]],Table_NFI[Shelter Tool kit])</f>
        <v>0</v>
      </c>
      <c r="AP275" s="331">
        <f>IF(NFI_Expiration=1,IF($A275&lt;VLOOKUP(V$5,NFI,5,0),1,0)*Table_NFI[[#This Row],[Tent]],Table_NFI[Tent])</f>
        <v>0</v>
      </c>
      <c r="AQ275" s="467" t="str">
        <f>IFERROR(VLOOKUP(Table_NFI[[#This Row],[Camp Name]],CL,2,0),"")</f>
        <v>MMR001CMP181</v>
      </c>
      <c r="AR275" s="835">
        <f ca="1">IF(Table_NFI[[#This Row],[Pcode]]="","",IF(OFFSET(CampList[Opening Date],MATCH(Table_NFI[[#This Row],[Pcode]],CampList[CP_Pcode],0)-1,0,1,1)&gt;=NFI_Monitor_Date,1,0))</f>
        <v>0</v>
      </c>
      <c r="AS275" s="467" t="str">
        <f>IFERROR(VLOOKUP(Table_NFI[[#This Row],[Camp Name]],CL,3,0),"")</f>
        <v>Open</v>
      </c>
      <c r="AT275" s="294" t="str">
        <f ca="1">IF(Table_NFI[[#This Row],[Pcode]]="","",OFFSET(CampList[Priority],MATCH(Table_NFI[[#This Row],[Pcode]],CampList[CP_Pcode],0)-1,0,1,1))</f>
        <v>P4</v>
      </c>
      <c r="AU275" s="293">
        <f>IFERROR(Table_NFI[[#This Row],[Kitchen Set]]/VLOOKUP(Table_NFI[[#This Row],[Camp Name]],CL,4,0),"")</f>
        <v>0</v>
      </c>
      <c r="AV275" s="461"/>
      <c r="AW275" s="463"/>
    </row>
    <row r="276" spans="1:49" s="464" customFormat="1" ht="14.45" customHeight="1" x14ac:dyDescent="0.25">
      <c r="A276" s="297">
        <f t="shared" si="4"/>
        <v>26.633333333333333</v>
      </c>
      <c r="B276" s="460">
        <v>41937</v>
      </c>
      <c r="C276" s="461" t="s">
        <v>1094</v>
      </c>
      <c r="D276" s="461" t="s">
        <v>900</v>
      </c>
      <c r="E276" s="461" t="s">
        <v>380</v>
      </c>
      <c r="F276" s="461" t="s">
        <v>527</v>
      </c>
      <c r="G276" s="461" t="s">
        <v>92</v>
      </c>
      <c r="H276" s="291"/>
      <c r="I276" s="291"/>
      <c r="J276" s="291"/>
      <c r="K276" s="291"/>
      <c r="L276" s="292"/>
      <c r="M276" s="292"/>
      <c r="N276" s="292"/>
      <c r="O276" s="292"/>
      <c r="P276" s="294"/>
      <c r="Q276" s="294"/>
      <c r="R276" s="294">
        <v>48</v>
      </c>
      <c r="S276" s="294">
        <v>23</v>
      </c>
      <c r="T276" s="294"/>
      <c r="U276" s="294"/>
      <c r="V276" s="431"/>
      <c r="W276" s="294"/>
      <c r="X276" s="294"/>
      <c r="Y276" s="294">
        <f>IF(NFI_Expiration=1,IF($A276&lt;VLOOKUP(H$5,NFI,5,0),1,0)*Table_NFI[[#This Row],[Hygiene Kit]],Table_NFI[Hygiene Kit])</f>
        <v>0</v>
      </c>
      <c r="Z276" s="294">
        <f>IF(NFI_Expiration=1,IF($A276&lt;VLOOKUP(I$5,NFI,5,0),1,0)*Table_NFI[[#This Row],[NFI Core Kit]],Table_NFI[NFI Core Kit])</f>
        <v>0</v>
      </c>
      <c r="AA276" s="294">
        <f>IF(NFI_Expiration=1,IF($A276&lt;VLOOKUP(J$5,NFI,5,0),1,0)*Table_NFI[[#This Row],[Sanitary Kit]],Table_NFI[Sanitary Kit])</f>
        <v>0</v>
      </c>
      <c r="AB276" s="294">
        <f>IF(NFI_Expiration=1,IF($A276&lt;VLOOKUP(K$5,NFI,5,0),1,0)*Table_NFI[[#This Row],[Mosquito net]],Table_NFI[Mosquito net])</f>
        <v>0</v>
      </c>
      <c r="AC276" s="294">
        <f>IF(NFI_Expiration=1,IF($A276&lt;VLOOKUP(L$5,NFI,5,0),1,0)*Table_NFI[[#This Row],[Tarpaulin]],Table_NFI[[#This Row],[Tarpaulin]])</f>
        <v>0</v>
      </c>
      <c r="AD276" s="294">
        <f>IF(NFI_Expiration=1,IF($A276&lt;VLOOKUP(M$5,NFI,5,0),1,0)*Table_NFI[[#This Row],[Blanket]],Table_NFI[[#This Row],[Blanket]])</f>
        <v>0</v>
      </c>
      <c r="AE276" s="294">
        <f>IF(NFI_Expiration=1,IF($A276&lt;VLOOKUP(N$5,NFI,5,0),1,0)*Table_NFI[[#This Row],[Kitchen Set]],Table_NFI[Kitchen Set])</f>
        <v>0</v>
      </c>
      <c r="AF276" s="294">
        <f>IF(NFI_Expiration=1,IF($A276&lt;VLOOKUP(O$5,NFI,5,0),1,0)*Table_NFI[[#This Row],[Clothes Kit]],Table_NFI[Clothes Kit])</f>
        <v>0</v>
      </c>
      <c r="AG276" s="294">
        <f>IF(NFI_Expiration=1,IF($A276&lt;VLOOKUP(P$5,NFI,5,0),1,0)*Table_NFI[[#This Row],[Plastic Bucket]],Table_NFI[Plastic Bucket])</f>
        <v>0</v>
      </c>
      <c r="AH276" s="294">
        <f>IF(NFI_Expiration=1,IF($A276&lt;VLOOKUP(Q$5,NFI,5,0),1,0)*Table_NFI[[#This Row],[Plastic Mat]],Table_NFI[Plastic Mat])*IF(Table_NFI[[#This Row],[Distribution Date]]&gt;"2014-04-01",1,2.5)</f>
        <v>0</v>
      </c>
      <c r="AI276" s="294">
        <f>IF(NFI_Expiration=1,IF($A276&lt;VLOOKUP(R$5,NFI,5,0),1,0)*Table_NFI[[#This Row],[Winter Clothes Adult]],Table_NFI[Winter Clothes Adult])</f>
        <v>0</v>
      </c>
      <c r="AJ276" s="294">
        <f>IF(NFI_Expiration=1,IF($A276&lt;VLOOKUP(S$5,NFI,5,0),1,0)*Table_NFI[[#This Row],[Winter Clothes Children]],Table_NFI[Winter Clothes Children])</f>
        <v>0</v>
      </c>
      <c r="AK276" s="294">
        <f>IF(NFI_Expiration=1,IF($A276&lt;VLOOKUP(T$5,NFI,5,0),1,0)*Table_NFI[[#This Row],[Winter Items Other]],Table_NFI[Winter Items Other])</f>
        <v>0</v>
      </c>
      <c r="AL276" s="294">
        <f>IF(NFI_Expiration=1,IF($A276&lt;VLOOKUP(M$5,NFI,5,0),1,0)*Table_NFI[[#This Row],[Winter Blanket]],Table_NFI[[#This Row],[Winter Blanket]])</f>
        <v>0</v>
      </c>
      <c r="AM276" s="294">
        <f>IF(Table_NFI[[#This Row],[Winter Clothes Adult]]+Table_NFI[[#This Row],[Winter Clothes Children]]+Table_NFI[[#This Row],[Winter Items Other]]+Table_NFI[[#This Row],[Winter Blanket]]&gt;0,1,0)</f>
        <v>1</v>
      </c>
      <c r="AN276" s="331">
        <f>IF(NFI_Expiration=1,IF($A276&lt;VLOOKUP(V$5,NFI,5,0),1,0)*Table_NFI[[#This Row],[Jerry Can]],Table_NFI[Jerry Can])</f>
        <v>0</v>
      </c>
      <c r="AO276" s="331">
        <f>IF(NFI_Expiration=1,IF($A276&lt;VLOOKUP(V$5,NFI,5,0),1,0)*Table_NFI[[#This Row],[Shelter Tool kit]],Table_NFI[Shelter Tool kit])</f>
        <v>0</v>
      </c>
      <c r="AP276" s="331">
        <f>IF(NFI_Expiration=1,IF($A276&lt;VLOOKUP(V$5,NFI,5,0),1,0)*Table_NFI[[#This Row],[Tent]],Table_NFI[Tent])</f>
        <v>0</v>
      </c>
      <c r="AQ276" s="467" t="str">
        <f>IFERROR(VLOOKUP(Table_NFI[[#This Row],[Camp Name]],CL,2,0),"")</f>
        <v>MMR001CMP167</v>
      </c>
      <c r="AR276" s="835">
        <f ca="1">IF(Table_NFI[[#This Row],[Pcode]]="","",IF(OFFSET(CampList[Opening Date],MATCH(Table_NFI[[#This Row],[Pcode]],CampList[CP_Pcode],0)-1,0,1,1)&gt;=NFI_Monitor_Date,1,0))</f>
        <v>0</v>
      </c>
      <c r="AS276" s="467" t="str">
        <f>IFERROR(VLOOKUP(Table_NFI[[#This Row],[Camp Name]],CL,3,0),"")</f>
        <v>Open</v>
      </c>
      <c r="AT276" s="294" t="str">
        <f ca="1">IF(Table_NFI[[#This Row],[Pcode]]="","",OFFSET(CampList[Priority],MATCH(Table_NFI[[#This Row],[Pcode]],CampList[CP_Pcode],0)-1,0,1,1))</f>
        <v>P4</v>
      </c>
      <c r="AU276" s="293">
        <f>IFERROR(Table_NFI[[#This Row],[Kitchen Set]]/VLOOKUP(Table_NFI[[#This Row],[Camp Name]],CL,4,0),"")</f>
        <v>0</v>
      </c>
      <c r="AV276" s="461"/>
      <c r="AW276" s="463"/>
    </row>
    <row r="277" spans="1:49" s="464" customFormat="1" x14ac:dyDescent="0.25">
      <c r="A277" s="297">
        <f t="shared" si="4"/>
        <v>26.633333333333333</v>
      </c>
      <c r="B277" s="460">
        <v>41937</v>
      </c>
      <c r="C277" s="461" t="s">
        <v>1094</v>
      </c>
      <c r="D277" s="461" t="s">
        <v>900</v>
      </c>
      <c r="E277" s="461" t="s">
        <v>380</v>
      </c>
      <c r="F277" s="461" t="s">
        <v>185</v>
      </c>
      <c r="G277" s="461" t="s">
        <v>186</v>
      </c>
      <c r="H277" s="291"/>
      <c r="I277" s="291"/>
      <c r="J277" s="291"/>
      <c r="K277" s="291"/>
      <c r="L277" s="292"/>
      <c r="M277" s="292"/>
      <c r="N277" s="292"/>
      <c r="O277" s="292"/>
      <c r="P277" s="294"/>
      <c r="Q277" s="294"/>
      <c r="R277" s="294">
        <v>112</v>
      </c>
      <c r="S277" s="294">
        <v>59</v>
      </c>
      <c r="T277" s="294"/>
      <c r="U277" s="294">
        <v>74</v>
      </c>
      <c r="V277" s="431"/>
      <c r="W277" s="294"/>
      <c r="X277" s="294"/>
      <c r="Y277" s="294">
        <f>IF(NFI_Expiration=1,IF($A277&lt;VLOOKUP(H$5,NFI,5,0),1,0)*Table_NFI[[#This Row],[Hygiene Kit]],Table_NFI[Hygiene Kit])</f>
        <v>0</v>
      </c>
      <c r="Z277" s="294">
        <f>IF(NFI_Expiration=1,IF($A277&lt;VLOOKUP(I$5,NFI,5,0),1,0)*Table_NFI[[#This Row],[NFI Core Kit]],Table_NFI[NFI Core Kit])</f>
        <v>0</v>
      </c>
      <c r="AA277" s="294">
        <f>IF(NFI_Expiration=1,IF($A277&lt;VLOOKUP(J$5,NFI,5,0),1,0)*Table_NFI[[#This Row],[Sanitary Kit]],Table_NFI[Sanitary Kit])</f>
        <v>0</v>
      </c>
      <c r="AB277" s="294">
        <f>IF(NFI_Expiration=1,IF($A277&lt;VLOOKUP(K$5,NFI,5,0),1,0)*Table_NFI[[#This Row],[Mosquito net]],Table_NFI[Mosquito net])</f>
        <v>0</v>
      </c>
      <c r="AC277" s="294">
        <f>IF(NFI_Expiration=1,IF($A277&lt;VLOOKUP(L$5,NFI,5,0),1,0)*Table_NFI[[#This Row],[Tarpaulin]],Table_NFI[[#This Row],[Tarpaulin]])</f>
        <v>0</v>
      </c>
      <c r="AD277" s="294">
        <f>IF(NFI_Expiration=1,IF($A277&lt;VLOOKUP(M$5,NFI,5,0),1,0)*Table_NFI[[#This Row],[Blanket]],Table_NFI[[#This Row],[Blanket]])</f>
        <v>0</v>
      </c>
      <c r="AE277" s="294">
        <f>IF(NFI_Expiration=1,IF($A277&lt;VLOOKUP(N$5,NFI,5,0),1,0)*Table_NFI[[#This Row],[Kitchen Set]],Table_NFI[Kitchen Set])</f>
        <v>0</v>
      </c>
      <c r="AF277" s="294">
        <f>IF(NFI_Expiration=1,IF($A277&lt;VLOOKUP(O$5,NFI,5,0),1,0)*Table_NFI[[#This Row],[Clothes Kit]],Table_NFI[Clothes Kit])</f>
        <v>0</v>
      </c>
      <c r="AG277" s="294">
        <f>IF(NFI_Expiration=1,IF($A277&lt;VLOOKUP(P$5,NFI,5,0),1,0)*Table_NFI[[#This Row],[Plastic Bucket]],Table_NFI[Plastic Bucket])</f>
        <v>0</v>
      </c>
      <c r="AH277" s="294">
        <f>IF(NFI_Expiration=1,IF($A277&lt;VLOOKUP(Q$5,NFI,5,0),1,0)*Table_NFI[[#This Row],[Plastic Mat]],Table_NFI[Plastic Mat])*IF(Table_NFI[[#This Row],[Distribution Date]]&gt;"2014-04-01",1,2.5)</f>
        <v>0</v>
      </c>
      <c r="AI277" s="294">
        <f>IF(NFI_Expiration=1,IF($A277&lt;VLOOKUP(R$5,NFI,5,0),1,0)*Table_NFI[[#This Row],[Winter Clothes Adult]],Table_NFI[Winter Clothes Adult])</f>
        <v>0</v>
      </c>
      <c r="AJ277" s="294">
        <f>IF(NFI_Expiration=1,IF($A277&lt;VLOOKUP(S$5,NFI,5,0),1,0)*Table_NFI[[#This Row],[Winter Clothes Children]],Table_NFI[Winter Clothes Children])</f>
        <v>0</v>
      </c>
      <c r="AK277" s="294">
        <f>IF(NFI_Expiration=1,IF($A277&lt;VLOOKUP(T$5,NFI,5,0),1,0)*Table_NFI[[#This Row],[Winter Items Other]],Table_NFI[Winter Items Other])</f>
        <v>0</v>
      </c>
      <c r="AL277" s="294">
        <f>IF(NFI_Expiration=1,IF($A277&lt;VLOOKUP(M$5,NFI,5,0),1,0)*Table_NFI[[#This Row],[Winter Blanket]],Table_NFI[[#This Row],[Winter Blanket]])</f>
        <v>0</v>
      </c>
      <c r="AM277" s="294">
        <f>IF(Table_NFI[[#This Row],[Winter Clothes Adult]]+Table_NFI[[#This Row],[Winter Clothes Children]]+Table_NFI[[#This Row],[Winter Items Other]]+Table_NFI[[#This Row],[Winter Blanket]]&gt;0,1,0)</f>
        <v>1</v>
      </c>
      <c r="AN277" s="331">
        <f>IF(NFI_Expiration=1,IF($A277&lt;VLOOKUP(V$5,NFI,5,0),1,0)*Table_NFI[[#This Row],[Jerry Can]],Table_NFI[Jerry Can])</f>
        <v>0</v>
      </c>
      <c r="AO277" s="331">
        <f>IF(NFI_Expiration=1,IF($A277&lt;VLOOKUP(V$5,NFI,5,0),1,0)*Table_NFI[[#This Row],[Shelter Tool kit]],Table_NFI[Shelter Tool kit])</f>
        <v>0</v>
      </c>
      <c r="AP277" s="331">
        <f>IF(NFI_Expiration=1,IF($A277&lt;VLOOKUP(V$5,NFI,5,0),1,0)*Table_NFI[[#This Row],[Tent]],Table_NFI[Tent])</f>
        <v>0</v>
      </c>
      <c r="AQ277" s="467" t="str">
        <f>IFERROR(VLOOKUP(Table_NFI[[#This Row],[Camp Name]],CL,2,0),"")</f>
        <v>MMR001CMP071</v>
      </c>
      <c r="AR277" s="835">
        <f ca="1">IF(Table_NFI[[#This Row],[Pcode]]="","",IF(OFFSET(CampList[Opening Date],MATCH(Table_NFI[[#This Row],[Pcode]],CampList[CP_Pcode],0)-1,0,1,1)&gt;=NFI_Monitor_Date,1,0))</f>
        <v>0</v>
      </c>
      <c r="AS277" s="467" t="str">
        <f>IFERROR(VLOOKUP(Table_NFI[[#This Row],[Camp Name]],CL,3,0),"")</f>
        <v>Open</v>
      </c>
      <c r="AT277" s="294" t="str">
        <f ca="1">IF(Table_NFI[[#This Row],[Pcode]]="","",OFFSET(CampList[Priority],MATCH(Table_NFI[[#This Row],[Pcode]],CampList[CP_Pcode],0)-1,0,1,1))</f>
        <v>P3</v>
      </c>
      <c r="AU277" s="293">
        <f>IFERROR(Table_NFI[[#This Row],[Kitchen Set]]/VLOOKUP(Table_NFI[[#This Row],[Camp Name]],CL,4,0),"")</f>
        <v>0</v>
      </c>
      <c r="AV277" s="461"/>
      <c r="AW277" s="463"/>
    </row>
    <row r="278" spans="1:49" s="464" customFormat="1" ht="14.45" customHeight="1" x14ac:dyDescent="0.25">
      <c r="A278" s="297">
        <f t="shared" si="4"/>
        <v>26.633333333333333</v>
      </c>
      <c r="B278" s="460">
        <v>41937</v>
      </c>
      <c r="C278" s="461" t="s">
        <v>1094</v>
      </c>
      <c r="D278" s="461" t="s">
        <v>900</v>
      </c>
      <c r="E278" s="461" t="s">
        <v>380</v>
      </c>
      <c r="F278" s="461" t="s">
        <v>185</v>
      </c>
      <c r="G278" s="461" t="s">
        <v>223</v>
      </c>
      <c r="H278" s="291"/>
      <c r="I278" s="291"/>
      <c r="J278" s="291"/>
      <c r="K278" s="291"/>
      <c r="L278" s="292"/>
      <c r="M278" s="292"/>
      <c r="N278" s="292"/>
      <c r="O278" s="292"/>
      <c r="P278" s="294"/>
      <c r="Q278" s="294"/>
      <c r="R278" s="294">
        <v>203</v>
      </c>
      <c r="S278" s="294">
        <v>102</v>
      </c>
      <c r="T278" s="294"/>
      <c r="U278" s="294">
        <v>138</v>
      </c>
      <c r="V278" s="431"/>
      <c r="W278" s="294"/>
      <c r="X278" s="294"/>
      <c r="Y278" s="294">
        <f>IF(NFI_Expiration=1,IF($A278&lt;VLOOKUP(H$5,NFI,5,0),1,0)*Table_NFI[[#This Row],[Hygiene Kit]],Table_NFI[Hygiene Kit])</f>
        <v>0</v>
      </c>
      <c r="Z278" s="294">
        <f>IF(NFI_Expiration=1,IF($A278&lt;VLOOKUP(I$5,NFI,5,0),1,0)*Table_NFI[[#This Row],[NFI Core Kit]],Table_NFI[NFI Core Kit])</f>
        <v>0</v>
      </c>
      <c r="AA278" s="294">
        <f>IF(NFI_Expiration=1,IF($A278&lt;VLOOKUP(J$5,NFI,5,0),1,0)*Table_NFI[[#This Row],[Sanitary Kit]],Table_NFI[Sanitary Kit])</f>
        <v>0</v>
      </c>
      <c r="AB278" s="294">
        <f>IF(NFI_Expiration=1,IF($A278&lt;VLOOKUP(K$5,NFI,5,0),1,0)*Table_NFI[[#This Row],[Mosquito net]],Table_NFI[Mosquito net])</f>
        <v>0</v>
      </c>
      <c r="AC278" s="294">
        <f>IF(NFI_Expiration=1,IF($A278&lt;VLOOKUP(L$5,NFI,5,0),1,0)*Table_NFI[[#This Row],[Tarpaulin]],Table_NFI[[#This Row],[Tarpaulin]])</f>
        <v>0</v>
      </c>
      <c r="AD278" s="294">
        <f>IF(NFI_Expiration=1,IF($A278&lt;VLOOKUP(M$5,NFI,5,0),1,0)*Table_NFI[[#This Row],[Blanket]],Table_NFI[[#This Row],[Blanket]])</f>
        <v>0</v>
      </c>
      <c r="AE278" s="294">
        <f>IF(NFI_Expiration=1,IF($A278&lt;VLOOKUP(N$5,NFI,5,0),1,0)*Table_NFI[[#This Row],[Kitchen Set]],Table_NFI[Kitchen Set])</f>
        <v>0</v>
      </c>
      <c r="AF278" s="294">
        <f>IF(NFI_Expiration=1,IF($A278&lt;VLOOKUP(O$5,NFI,5,0),1,0)*Table_NFI[[#This Row],[Clothes Kit]],Table_NFI[Clothes Kit])</f>
        <v>0</v>
      </c>
      <c r="AG278" s="294">
        <f>IF(NFI_Expiration=1,IF($A278&lt;VLOOKUP(P$5,NFI,5,0),1,0)*Table_NFI[[#This Row],[Plastic Bucket]],Table_NFI[Plastic Bucket])</f>
        <v>0</v>
      </c>
      <c r="AH278" s="294">
        <f>IF(NFI_Expiration=1,IF($A278&lt;VLOOKUP(Q$5,NFI,5,0),1,0)*Table_NFI[[#This Row],[Plastic Mat]],Table_NFI[Plastic Mat])*IF(Table_NFI[[#This Row],[Distribution Date]]&gt;"2014-04-01",1,2.5)</f>
        <v>0</v>
      </c>
      <c r="AI278" s="294">
        <f>IF(NFI_Expiration=1,IF($A278&lt;VLOOKUP(R$5,NFI,5,0),1,0)*Table_NFI[[#This Row],[Winter Clothes Adult]],Table_NFI[Winter Clothes Adult])</f>
        <v>0</v>
      </c>
      <c r="AJ278" s="294">
        <f>IF(NFI_Expiration=1,IF($A278&lt;VLOOKUP(S$5,NFI,5,0),1,0)*Table_NFI[[#This Row],[Winter Clothes Children]],Table_NFI[Winter Clothes Children])</f>
        <v>0</v>
      </c>
      <c r="AK278" s="294">
        <f>IF(NFI_Expiration=1,IF($A278&lt;VLOOKUP(T$5,NFI,5,0),1,0)*Table_NFI[[#This Row],[Winter Items Other]],Table_NFI[Winter Items Other])</f>
        <v>0</v>
      </c>
      <c r="AL278" s="294">
        <f>IF(NFI_Expiration=1,IF($A278&lt;VLOOKUP(M$5,NFI,5,0),1,0)*Table_NFI[[#This Row],[Winter Blanket]],Table_NFI[[#This Row],[Winter Blanket]])</f>
        <v>0</v>
      </c>
      <c r="AM278" s="294">
        <f>IF(Table_NFI[[#This Row],[Winter Clothes Adult]]+Table_NFI[[#This Row],[Winter Clothes Children]]+Table_NFI[[#This Row],[Winter Items Other]]+Table_NFI[[#This Row],[Winter Blanket]]&gt;0,1,0)</f>
        <v>1</v>
      </c>
      <c r="AN278" s="331">
        <f>IF(NFI_Expiration=1,IF($A278&lt;VLOOKUP(V$5,NFI,5,0),1,0)*Table_NFI[[#This Row],[Jerry Can]],Table_NFI[Jerry Can])</f>
        <v>0</v>
      </c>
      <c r="AO278" s="331">
        <f>IF(NFI_Expiration=1,IF($A278&lt;VLOOKUP(V$5,NFI,5,0),1,0)*Table_NFI[[#This Row],[Shelter Tool kit]],Table_NFI[Shelter Tool kit])</f>
        <v>0</v>
      </c>
      <c r="AP278" s="331">
        <f>IF(NFI_Expiration=1,IF($A278&lt;VLOOKUP(V$5,NFI,5,0),1,0)*Table_NFI[[#This Row],[Tent]],Table_NFI[Tent])</f>
        <v>0</v>
      </c>
      <c r="AQ278" s="467" t="str">
        <f>IFERROR(VLOOKUP(Table_NFI[[#This Row],[Camp Name]],CL,2,0),"")</f>
        <v>MMR001CMP069</v>
      </c>
      <c r="AR278" s="835">
        <f ca="1">IF(Table_NFI[[#This Row],[Pcode]]="","",IF(OFFSET(CampList[Opening Date],MATCH(Table_NFI[[#This Row],[Pcode]],CampList[CP_Pcode],0)-1,0,1,1)&gt;=NFI_Monitor_Date,1,0))</f>
        <v>0</v>
      </c>
      <c r="AS278" s="467" t="str">
        <f>IFERROR(VLOOKUP(Table_NFI[[#This Row],[Camp Name]],CL,3,0),"")</f>
        <v>Open</v>
      </c>
      <c r="AT278" s="294" t="str">
        <f ca="1">IF(Table_NFI[[#This Row],[Pcode]]="","",OFFSET(CampList[Priority],MATCH(Table_NFI[[#This Row],[Pcode]],CampList[CP_Pcode],0)-1,0,1,1))</f>
        <v>P3</v>
      </c>
      <c r="AU278" s="293">
        <f>IFERROR(Table_NFI[[#This Row],[Kitchen Set]]/VLOOKUP(Table_NFI[[#This Row],[Camp Name]],CL,4,0),"")</f>
        <v>0</v>
      </c>
      <c r="AV278" s="461"/>
      <c r="AW278" s="463"/>
    </row>
    <row r="279" spans="1:49" s="464" customFormat="1" x14ac:dyDescent="0.25">
      <c r="A279" s="297">
        <f t="shared" si="4"/>
        <v>26.633333333333333</v>
      </c>
      <c r="B279" s="460">
        <v>41937</v>
      </c>
      <c r="C279" s="461" t="s">
        <v>1094</v>
      </c>
      <c r="D279" s="461" t="s">
        <v>900</v>
      </c>
      <c r="E279" s="461" t="s">
        <v>380</v>
      </c>
      <c r="F279" s="461" t="s">
        <v>185</v>
      </c>
      <c r="G279" s="461" t="s">
        <v>190</v>
      </c>
      <c r="H279" s="291"/>
      <c r="I279" s="291"/>
      <c r="J279" s="291"/>
      <c r="K279" s="291"/>
      <c r="L279" s="292"/>
      <c r="M279" s="292"/>
      <c r="N279" s="292"/>
      <c r="O279" s="292"/>
      <c r="P279" s="294"/>
      <c r="Q279" s="294"/>
      <c r="R279" s="294">
        <v>591</v>
      </c>
      <c r="S279" s="294">
        <v>347</v>
      </c>
      <c r="T279" s="294"/>
      <c r="U279" s="294">
        <v>311</v>
      </c>
      <c r="V279" s="431"/>
      <c r="W279" s="294"/>
      <c r="X279" s="294"/>
      <c r="Y279" s="294">
        <f>IF(NFI_Expiration=1,IF($A279&lt;VLOOKUP(H$5,NFI,5,0),1,0)*Table_NFI[[#This Row],[Hygiene Kit]],Table_NFI[Hygiene Kit])</f>
        <v>0</v>
      </c>
      <c r="Z279" s="294">
        <f>IF(NFI_Expiration=1,IF($A279&lt;VLOOKUP(I$5,NFI,5,0),1,0)*Table_NFI[[#This Row],[NFI Core Kit]],Table_NFI[NFI Core Kit])</f>
        <v>0</v>
      </c>
      <c r="AA279" s="294">
        <f>IF(NFI_Expiration=1,IF($A279&lt;VLOOKUP(J$5,NFI,5,0),1,0)*Table_NFI[[#This Row],[Sanitary Kit]],Table_NFI[Sanitary Kit])</f>
        <v>0</v>
      </c>
      <c r="AB279" s="294">
        <f>IF(NFI_Expiration=1,IF($A279&lt;VLOOKUP(K$5,NFI,5,0),1,0)*Table_NFI[[#This Row],[Mosquito net]],Table_NFI[Mosquito net])</f>
        <v>0</v>
      </c>
      <c r="AC279" s="294">
        <f>IF(NFI_Expiration=1,IF($A279&lt;VLOOKUP(L$5,NFI,5,0),1,0)*Table_NFI[[#This Row],[Tarpaulin]],Table_NFI[[#This Row],[Tarpaulin]])</f>
        <v>0</v>
      </c>
      <c r="AD279" s="294">
        <f>IF(NFI_Expiration=1,IF($A279&lt;VLOOKUP(M$5,NFI,5,0),1,0)*Table_NFI[[#This Row],[Blanket]],Table_NFI[[#This Row],[Blanket]])</f>
        <v>0</v>
      </c>
      <c r="AE279" s="294">
        <f>IF(NFI_Expiration=1,IF($A279&lt;VLOOKUP(N$5,NFI,5,0),1,0)*Table_NFI[[#This Row],[Kitchen Set]],Table_NFI[Kitchen Set])</f>
        <v>0</v>
      </c>
      <c r="AF279" s="294">
        <f>IF(NFI_Expiration=1,IF($A279&lt;VLOOKUP(O$5,NFI,5,0),1,0)*Table_NFI[[#This Row],[Clothes Kit]],Table_NFI[Clothes Kit])</f>
        <v>0</v>
      </c>
      <c r="AG279" s="294">
        <f>IF(NFI_Expiration=1,IF($A279&lt;VLOOKUP(P$5,NFI,5,0),1,0)*Table_NFI[[#This Row],[Plastic Bucket]],Table_NFI[Plastic Bucket])</f>
        <v>0</v>
      </c>
      <c r="AH279" s="294">
        <f>IF(NFI_Expiration=1,IF($A279&lt;VLOOKUP(Q$5,NFI,5,0),1,0)*Table_NFI[[#This Row],[Plastic Mat]],Table_NFI[Plastic Mat])*IF(Table_NFI[[#This Row],[Distribution Date]]&gt;"2014-04-01",1,2.5)</f>
        <v>0</v>
      </c>
      <c r="AI279" s="294">
        <f>IF(NFI_Expiration=1,IF($A279&lt;VLOOKUP(R$5,NFI,5,0),1,0)*Table_NFI[[#This Row],[Winter Clothes Adult]],Table_NFI[Winter Clothes Adult])</f>
        <v>0</v>
      </c>
      <c r="AJ279" s="294">
        <f>IF(NFI_Expiration=1,IF($A279&lt;VLOOKUP(S$5,NFI,5,0),1,0)*Table_NFI[[#This Row],[Winter Clothes Children]],Table_NFI[Winter Clothes Children])</f>
        <v>0</v>
      </c>
      <c r="AK279" s="294">
        <f>IF(NFI_Expiration=1,IF($A279&lt;VLOOKUP(T$5,NFI,5,0),1,0)*Table_NFI[[#This Row],[Winter Items Other]],Table_NFI[Winter Items Other])</f>
        <v>0</v>
      </c>
      <c r="AL279" s="294">
        <f>IF(NFI_Expiration=1,IF($A279&lt;VLOOKUP(M$5,NFI,5,0),1,0)*Table_NFI[[#This Row],[Winter Blanket]],Table_NFI[[#This Row],[Winter Blanket]])</f>
        <v>0</v>
      </c>
      <c r="AM279" s="294">
        <f>IF(Table_NFI[[#This Row],[Winter Clothes Adult]]+Table_NFI[[#This Row],[Winter Clothes Children]]+Table_NFI[[#This Row],[Winter Items Other]]+Table_NFI[[#This Row],[Winter Blanket]]&gt;0,1,0)</f>
        <v>1</v>
      </c>
      <c r="AN279" s="331">
        <f>IF(NFI_Expiration=1,IF($A279&lt;VLOOKUP(V$5,NFI,5,0),1,0)*Table_NFI[[#This Row],[Jerry Can]],Table_NFI[Jerry Can])</f>
        <v>0</v>
      </c>
      <c r="AO279" s="331">
        <f>IF(NFI_Expiration=1,IF($A279&lt;VLOOKUP(V$5,NFI,5,0),1,0)*Table_NFI[[#This Row],[Shelter Tool kit]],Table_NFI[Shelter Tool kit])</f>
        <v>0</v>
      </c>
      <c r="AP279" s="331">
        <f>IF(NFI_Expiration=1,IF($A279&lt;VLOOKUP(V$5,NFI,5,0),1,0)*Table_NFI[[#This Row],[Tent]],Table_NFI[Tent])</f>
        <v>0</v>
      </c>
      <c r="AQ279" s="467" t="str">
        <f>IFERROR(VLOOKUP(Table_NFI[[#This Row],[Camp Name]],CL,2,0),"")</f>
        <v>MMR001CMP070</v>
      </c>
      <c r="AR279" s="835">
        <f ca="1">IF(Table_NFI[[#This Row],[Pcode]]="","",IF(OFFSET(CampList[Opening Date],MATCH(Table_NFI[[#This Row],[Pcode]],CampList[CP_Pcode],0)-1,0,1,1)&gt;=NFI_Monitor_Date,1,0))</f>
        <v>0</v>
      </c>
      <c r="AS279" s="467" t="str">
        <f>IFERROR(VLOOKUP(Table_NFI[[#This Row],[Camp Name]],CL,3,0),"")</f>
        <v>Open</v>
      </c>
      <c r="AT279" s="294" t="str">
        <f ca="1">IF(Table_NFI[[#This Row],[Pcode]]="","",OFFSET(CampList[Priority],MATCH(Table_NFI[[#This Row],[Pcode]],CampList[CP_Pcode],0)-1,0,1,1))</f>
        <v>P3</v>
      </c>
      <c r="AU279" s="293">
        <f>IFERROR(Table_NFI[[#This Row],[Kitchen Set]]/VLOOKUP(Table_NFI[[#This Row],[Camp Name]],CL,4,0),"")</f>
        <v>0</v>
      </c>
      <c r="AV279" s="461"/>
      <c r="AW279" s="463"/>
    </row>
    <row r="280" spans="1:49" s="464" customFormat="1" ht="14.45" customHeight="1" x14ac:dyDescent="0.25">
      <c r="A280" s="297">
        <f t="shared" si="4"/>
        <v>27.066666666666666</v>
      </c>
      <c r="B280" s="460">
        <v>41924</v>
      </c>
      <c r="C280" s="461" t="s">
        <v>452</v>
      </c>
      <c r="D280" s="461"/>
      <c r="E280" s="461" t="s">
        <v>380</v>
      </c>
      <c r="F280" s="461" t="s">
        <v>185</v>
      </c>
      <c r="G280" s="461" t="s">
        <v>202</v>
      </c>
      <c r="H280" s="291"/>
      <c r="I280" s="291"/>
      <c r="J280" s="291"/>
      <c r="K280" s="291"/>
      <c r="L280" s="292">
        <v>25</v>
      </c>
      <c r="M280" s="292"/>
      <c r="N280" s="292"/>
      <c r="O280" s="292"/>
      <c r="P280" s="294"/>
      <c r="Q280" s="294"/>
      <c r="R280" s="294"/>
      <c r="S280" s="294"/>
      <c r="T280" s="294"/>
      <c r="U280" s="294"/>
      <c r="V280" s="431"/>
      <c r="W280" s="294"/>
      <c r="X280" s="294"/>
      <c r="Y280" s="294">
        <f>IF(NFI_Expiration=1,IF($A280&lt;VLOOKUP(H$5,NFI,5,0),1,0)*Table_NFI[[#This Row],[Hygiene Kit]],Table_NFI[Hygiene Kit])</f>
        <v>0</v>
      </c>
      <c r="Z280" s="294">
        <f>IF(NFI_Expiration=1,IF($A280&lt;VLOOKUP(I$5,NFI,5,0),1,0)*Table_NFI[[#This Row],[NFI Core Kit]],Table_NFI[NFI Core Kit])</f>
        <v>0</v>
      </c>
      <c r="AA280" s="294">
        <f>IF(NFI_Expiration=1,IF($A280&lt;VLOOKUP(J$5,NFI,5,0),1,0)*Table_NFI[[#This Row],[Sanitary Kit]],Table_NFI[Sanitary Kit])</f>
        <v>0</v>
      </c>
      <c r="AB280" s="294">
        <f>IF(NFI_Expiration=1,IF($A280&lt;VLOOKUP(K$5,NFI,5,0),1,0)*Table_NFI[[#This Row],[Mosquito net]],Table_NFI[Mosquito net])</f>
        <v>0</v>
      </c>
      <c r="AC280" s="294">
        <f>IF(NFI_Expiration=1,IF($A280&lt;VLOOKUP(L$5,NFI,5,0),1,0)*Table_NFI[[#This Row],[Tarpaulin]],Table_NFI[[#This Row],[Tarpaulin]])</f>
        <v>0</v>
      </c>
      <c r="AD280" s="294">
        <f>IF(NFI_Expiration=1,IF($A280&lt;VLOOKUP(M$5,NFI,5,0),1,0)*Table_NFI[[#This Row],[Blanket]],Table_NFI[[#This Row],[Blanket]])</f>
        <v>0</v>
      </c>
      <c r="AE280" s="294">
        <f>IF(NFI_Expiration=1,IF($A280&lt;VLOOKUP(N$5,NFI,5,0),1,0)*Table_NFI[[#This Row],[Kitchen Set]],Table_NFI[Kitchen Set])</f>
        <v>0</v>
      </c>
      <c r="AF280" s="294">
        <f>IF(NFI_Expiration=1,IF($A280&lt;VLOOKUP(O$5,NFI,5,0),1,0)*Table_NFI[[#This Row],[Clothes Kit]],Table_NFI[Clothes Kit])</f>
        <v>0</v>
      </c>
      <c r="AG280" s="294">
        <f>IF(NFI_Expiration=1,IF($A280&lt;VLOOKUP(P$5,NFI,5,0),1,0)*Table_NFI[[#This Row],[Plastic Bucket]],Table_NFI[Plastic Bucket])</f>
        <v>0</v>
      </c>
      <c r="AH280" s="294">
        <f>IF(NFI_Expiration=1,IF($A280&lt;VLOOKUP(Q$5,NFI,5,0),1,0)*Table_NFI[[#This Row],[Plastic Mat]],Table_NFI[Plastic Mat])*IF(Table_NFI[[#This Row],[Distribution Date]]&gt;"2014-04-01",1,2.5)</f>
        <v>0</v>
      </c>
      <c r="AI280" s="294">
        <f>IF(NFI_Expiration=1,IF($A280&lt;VLOOKUP(R$5,NFI,5,0),1,0)*Table_NFI[[#This Row],[Winter Clothes Adult]],Table_NFI[Winter Clothes Adult])</f>
        <v>0</v>
      </c>
      <c r="AJ280" s="294">
        <f>IF(NFI_Expiration=1,IF($A280&lt;VLOOKUP(S$5,NFI,5,0),1,0)*Table_NFI[[#This Row],[Winter Clothes Children]],Table_NFI[Winter Clothes Children])</f>
        <v>0</v>
      </c>
      <c r="AK280" s="294">
        <f>IF(NFI_Expiration=1,IF($A280&lt;VLOOKUP(T$5,NFI,5,0),1,0)*Table_NFI[[#This Row],[Winter Items Other]],Table_NFI[Winter Items Other])</f>
        <v>0</v>
      </c>
      <c r="AL280" s="294">
        <f>IF(NFI_Expiration=1,IF($A280&lt;VLOOKUP(M$5,NFI,5,0),1,0)*Table_NFI[[#This Row],[Winter Blanket]],Table_NFI[[#This Row],[Winter Blanket]])</f>
        <v>0</v>
      </c>
      <c r="AM280" s="294">
        <f>IF(Table_NFI[[#This Row],[Winter Clothes Adult]]+Table_NFI[[#This Row],[Winter Clothes Children]]+Table_NFI[[#This Row],[Winter Items Other]]+Table_NFI[[#This Row],[Winter Blanket]]&gt;0,1,0)</f>
        <v>0</v>
      </c>
      <c r="AN280" s="331">
        <f>IF(NFI_Expiration=1,IF($A280&lt;VLOOKUP(V$5,NFI,5,0),1,0)*Table_NFI[[#This Row],[Jerry Can]],Table_NFI[Jerry Can])</f>
        <v>0</v>
      </c>
      <c r="AO280" s="331">
        <f>IF(NFI_Expiration=1,IF($A280&lt;VLOOKUP(V$5,NFI,5,0),1,0)*Table_NFI[[#This Row],[Shelter Tool kit]],Table_NFI[Shelter Tool kit])</f>
        <v>0</v>
      </c>
      <c r="AP280" s="331">
        <f>IF(NFI_Expiration=1,IF($A280&lt;VLOOKUP(V$5,NFI,5,0),1,0)*Table_NFI[[#This Row],[Tent]],Table_NFI[Tent])</f>
        <v>0</v>
      </c>
      <c r="AQ280" s="467" t="str">
        <f>IFERROR(VLOOKUP(Table_NFI[[#This Row],[Camp Name]],CL,2,0),"")</f>
        <v>MMR001CMP062</v>
      </c>
      <c r="AR280" s="835">
        <f ca="1">IF(Table_NFI[[#This Row],[Pcode]]="","",IF(OFFSET(CampList[Opening Date],MATCH(Table_NFI[[#This Row],[Pcode]],CampList[CP_Pcode],0)-1,0,1,1)&gt;=NFI_Monitor_Date,1,0))</f>
        <v>0</v>
      </c>
      <c r="AS280" s="467" t="str">
        <f>IFERROR(VLOOKUP(Table_NFI[[#This Row],[Camp Name]],CL,3,0),"")</f>
        <v>Open</v>
      </c>
      <c r="AT280" s="294" t="str">
        <f ca="1">IF(Table_NFI[[#This Row],[Pcode]]="","",OFFSET(CampList[Priority],MATCH(Table_NFI[[#This Row],[Pcode]],CampList[CP_Pcode],0)-1,0,1,1))</f>
        <v>P4</v>
      </c>
      <c r="AU280" s="293">
        <f>IFERROR(Table_NFI[[#This Row],[Kitchen Set]]/VLOOKUP(Table_NFI[[#This Row],[Camp Name]],CL,4,0),"")</f>
        <v>0</v>
      </c>
      <c r="AV280" s="461"/>
      <c r="AW280" s="463"/>
    </row>
    <row r="281" spans="1:49" s="464" customFormat="1" ht="14.45" customHeight="1" x14ac:dyDescent="0.25">
      <c r="A281" s="297">
        <f t="shared" si="4"/>
        <v>27.133333333333333</v>
      </c>
      <c r="B281" s="460">
        <v>41922</v>
      </c>
      <c r="C281" s="461" t="s">
        <v>452</v>
      </c>
      <c r="D281" s="461"/>
      <c r="E281" s="461" t="s">
        <v>380</v>
      </c>
      <c r="F281" s="461" t="s">
        <v>185</v>
      </c>
      <c r="G281" s="461" t="s">
        <v>186</v>
      </c>
      <c r="H281" s="291"/>
      <c r="I281" s="291"/>
      <c r="J281" s="291"/>
      <c r="K281" s="291"/>
      <c r="L281" s="292">
        <v>60</v>
      </c>
      <c r="M281" s="292"/>
      <c r="N281" s="292"/>
      <c r="O281" s="292"/>
      <c r="P281" s="294"/>
      <c r="Q281" s="294"/>
      <c r="R281" s="294"/>
      <c r="S281" s="294"/>
      <c r="T281" s="294"/>
      <c r="U281" s="294"/>
      <c r="V281" s="431"/>
      <c r="W281" s="294"/>
      <c r="X281" s="294"/>
      <c r="Y281" s="294">
        <f>IF(NFI_Expiration=1,IF($A281&lt;VLOOKUP(H$5,NFI,5,0),1,0)*Table_NFI[[#This Row],[Hygiene Kit]],Table_NFI[Hygiene Kit])</f>
        <v>0</v>
      </c>
      <c r="Z281" s="294">
        <f>IF(NFI_Expiration=1,IF($A281&lt;VLOOKUP(I$5,NFI,5,0),1,0)*Table_NFI[[#This Row],[NFI Core Kit]],Table_NFI[NFI Core Kit])</f>
        <v>0</v>
      </c>
      <c r="AA281" s="294">
        <f>IF(NFI_Expiration=1,IF($A281&lt;VLOOKUP(J$5,NFI,5,0),1,0)*Table_NFI[[#This Row],[Sanitary Kit]],Table_NFI[Sanitary Kit])</f>
        <v>0</v>
      </c>
      <c r="AB281" s="294">
        <f>IF(NFI_Expiration=1,IF($A281&lt;VLOOKUP(K$5,NFI,5,0),1,0)*Table_NFI[[#This Row],[Mosquito net]],Table_NFI[Mosquito net])</f>
        <v>0</v>
      </c>
      <c r="AC281" s="294">
        <f>IF(NFI_Expiration=1,IF($A281&lt;VLOOKUP(L$5,NFI,5,0),1,0)*Table_NFI[[#This Row],[Tarpaulin]],Table_NFI[[#This Row],[Tarpaulin]])</f>
        <v>0</v>
      </c>
      <c r="AD281" s="294">
        <f>IF(NFI_Expiration=1,IF($A281&lt;VLOOKUP(M$5,NFI,5,0),1,0)*Table_NFI[[#This Row],[Blanket]],Table_NFI[[#This Row],[Blanket]])</f>
        <v>0</v>
      </c>
      <c r="AE281" s="294">
        <f>IF(NFI_Expiration=1,IF($A281&lt;VLOOKUP(N$5,NFI,5,0),1,0)*Table_NFI[[#This Row],[Kitchen Set]],Table_NFI[Kitchen Set])</f>
        <v>0</v>
      </c>
      <c r="AF281" s="294">
        <f>IF(NFI_Expiration=1,IF($A281&lt;VLOOKUP(O$5,NFI,5,0),1,0)*Table_NFI[[#This Row],[Clothes Kit]],Table_NFI[Clothes Kit])</f>
        <v>0</v>
      </c>
      <c r="AG281" s="294">
        <f>IF(NFI_Expiration=1,IF($A281&lt;VLOOKUP(P$5,NFI,5,0),1,0)*Table_NFI[[#This Row],[Plastic Bucket]],Table_NFI[Plastic Bucket])</f>
        <v>0</v>
      </c>
      <c r="AH281" s="294">
        <f>IF(NFI_Expiration=1,IF($A281&lt;VLOOKUP(Q$5,NFI,5,0),1,0)*Table_NFI[[#This Row],[Plastic Mat]],Table_NFI[Plastic Mat])*IF(Table_NFI[[#This Row],[Distribution Date]]&gt;"2014-04-01",1,2.5)</f>
        <v>0</v>
      </c>
      <c r="AI281" s="294">
        <f>IF(NFI_Expiration=1,IF($A281&lt;VLOOKUP(R$5,NFI,5,0),1,0)*Table_NFI[[#This Row],[Winter Clothes Adult]],Table_NFI[Winter Clothes Adult])</f>
        <v>0</v>
      </c>
      <c r="AJ281" s="294">
        <f>IF(NFI_Expiration=1,IF($A281&lt;VLOOKUP(S$5,NFI,5,0),1,0)*Table_NFI[[#This Row],[Winter Clothes Children]],Table_NFI[Winter Clothes Children])</f>
        <v>0</v>
      </c>
      <c r="AK281" s="294">
        <f>IF(NFI_Expiration=1,IF($A281&lt;VLOOKUP(T$5,NFI,5,0),1,0)*Table_NFI[[#This Row],[Winter Items Other]],Table_NFI[Winter Items Other])</f>
        <v>0</v>
      </c>
      <c r="AL281" s="294">
        <f>IF(NFI_Expiration=1,IF($A281&lt;VLOOKUP(M$5,NFI,5,0),1,0)*Table_NFI[[#This Row],[Winter Blanket]],Table_NFI[[#This Row],[Winter Blanket]])</f>
        <v>0</v>
      </c>
      <c r="AM281" s="294">
        <f>IF(Table_NFI[[#This Row],[Winter Clothes Adult]]+Table_NFI[[#This Row],[Winter Clothes Children]]+Table_NFI[[#This Row],[Winter Items Other]]+Table_NFI[[#This Row],[Winter Blanket]]&gt;0,1,0)</f>
        <v>0</v>
      </c>
      <c r="AN281" s="331">
        <f>IF(NFI_Expiration=1,IF($A281&lt;VLOOKUP(V$5,NFI,5,0),1,0)*Table_NFI[[#This Row],[Jerry Can]],Table_NFI[Jerry Can])</f>
        <v>0</v>
      </c>
      <c r="AO281" s="331">
        <f>IF(NFI_Expiration=1,IF($A281&lt;VLOOKUP(V$5,NFI,5,0),1,0)*Table_NFI[[#This Row],[Shelter Tool kit]],Table_NFI[Shelter Tool kit])</f>
        <v>0</v>
      </c>
      <c r="AP281" s="331">
        <f>IF(NFI_Expiration=1,IF($A281&lt;VLOOKUP(V$5,NFI,5,0),1,0)*Table_NFI[[#This Row],[Tent]],Table_NFI[Tent])</f>
        <v>0</v>
      </c>
      <c r="AQ281" s="467" t="str">
        <f>IFERROR(VLOOKUP(Table_NFI[[#This Row],[Camp Name]],CL,2,0),"")</f>
        <v>MMR001CMP071</v>
      </c>
      <c r="AR281" s="835">
        <f ca="1">IF(Table_NFI[[#This Row],[Pcode]]="","",IF(OFFSET(CampList[Opening Date],MATCH(Table_NFI[[#This Row],[Pcode]],CampList[CP_Pcode],0)-1,0,1,1)&gt;=NFI_Monitor_Date,1,0))</f>
        <v>0</v>
      </c>
      <c r="AS281" s="467" t="str">
        <f>IFERROR(VLOOKUP(Table_NFI[[#This Row],[Camp Name]],CL,3,0),"")</f>
        <v>Open</v>
      </c>
      <c r="AT281" s="294" t="str">
        <f ca="1">IF(Table_NFI[[#This Row],[Pcode]]="","",OFFSET(CampList[Priority],MATCH(Table_NFI[[#This Row],[Pcode]],CampList[CP_Pcode],0)-1,0,1,1))</f>
        <v>P3</v>
      </c>
      <c r="AU281" s="293">
        <f>IFERROR(Table_NFI[[#This Row],[Kitchen Set]]/VLOOKUP(Table_NFI[[#This Row],[Camp Name]],CL,4,0),"")</f>
        <v>0</v>
      </c>
      <c r="AV281" s="461"/>
      <c r="AW281" s="463"/>
    </row>
    <row r="282" spans="1:49" s="464" customFormat="1" ht="14.45" customHeight="1" x14ac:dyDescent="0.25">
      <c r="A282" s="297">
        <f t="shared" si="4"/>
        <v>27.133333333333333</v>
      </c>
      <c r="B282" s="460">
        <v>41922</v>
      </c>
      <c r="C282" s="461" t="s">
        <v>452</v>
      </c>
      <c r="D282" s="461"/>
      <c r="E282" s="461" t="s">
        <v>380</v>
      </c>
      <c r="F282" s="461" t="s">
        <v>185</v>
      </c>
      <c r="G282" s="461" t="s">
        <v>190</v>
      </c>
      <c r="H282" s="291"/>
      <c r="I282" s="291"/>
      <c r="J282" s="291"/>
      <c r="K282" s="291"/>
      <c r="L282" s="292">
        <v>30</v>
      </c>
      <c r="M282" s="292"/>
      <c r="N282" s="292"/>
      <c r="O282" s="292"/>
      <c r="P282" s="294"/>
      <c r="Q282" s="294"/>
      <c r="R282" s="294"/>
      <c r="S282" s="294"/>
      <c r="T282" s="294"/>
      <c r="U282" s="294"/>
      <c r="V282" s="431"/>
      <c r="W282" s="294"/>
      <c r="X282" s="294"/>
      <c r="Y282" s="294">
        <f>IF(NFI_Expiration=1,IF($A282&lt;VLOOKUP(H$5,NFI,5,0),1,0)*Table_NFI[[#This Row],[Hygiene Kit]],Table_NFI[Hygiene Kit])</f>
        <v>0</v>
      </c>
      <c r="Z282" s="294">
        <f>IF(NFI_Expiration=1,IF($A282&lt;VLOOKUP(I$5,NFI,5,0),1,0)*Table_NFI[[#This Row],[NFI Core Kit]],Table_NFI[NFI Core Kit])</f>
        <v>0</v>
      </c>
      <c r="AA282" s="294">
        <f>IF(NFI_Expiration=1,IF($A282&lt;VLOOKUP(J$5,NFI,5,0),1,0)*Table_NFI[[#This Row],[Sanitary Kit]],Table_NFI[Sanitary Kit])</f>
        <v>0</v>
      </c>
      <c r="AB282" s="294">
        <f>IF(NFI_Expiration=1,IF($A282&lt;VLOOKUP(K$5,NFI,5,0),1,0)*Table_NFI[[#This Row],[Mosquito net]],Table_NFI[Mosquito net])</f>
        <v>0</v>
      </c>
      <c r="AC282" s="294">
        <f>IF(NFI_Expiration=1,IF($A282&lt;VLOOKUP(L$5,NFI,5,0),1,0)*Table_NFI[[#This Row],[Tarpaulin]],Table_NFI[[#This Row],[Tarpaulin]])</f>
        <v>0</v>
      </c>
      <c r="AD282" s="294">
        <f>IF(NFI_Expiration=1,IF($A282&lt;VLOOKUP(M$5,NFI,5,0),1,0)*Table_NFI[[#This Row],[Blanket]],Table_NFI[[#This Row],[Blanket]])</f>
        <v>0</v>
      </c>
      <c r="AE282" s="294">
        <f>IF(NFI_Expiration=1,IF($A282&lt;VLOOKUP(N$5,NFI,5,0),1,0)*Table_NFI[[#This Row],[Kitchen Set]],Table_NFI[Kitchen Set])</f>
        <v>0</v>
      </c>
      <c r="AF282" s="294">
        <f>IF(NFI_Expiration=1,IF($A282&lt;VLOOKUP(O$5,NFI,5,0),1,0)*Table_NFI[[#This Row],[Clothes Kit]],Table_NFI[Clothes Kit])</f>
        <v>0</v>
      </c>
      <c r="AG282" s="294">
        <f>IF(NFI_Expiration=1,IF($A282&lt;VLOOKUP(P$5,NFI,5,0),1,0)*Table_NFI[[#This Row],[Plastic Bucket]],Table_NFI[Plastic Bucket])</f>
        <v>0</v>
      </c>
      <c r="AH282" s="294">
        <f>IF(NFI_Expiration=1,IF($A282&lt;VLOOKUP(Q$5,NFI,5,0),1,0)*Table_NFI[[#This Row],[Plastic Mat]],Table_NFI[Plastic Mat])*IF(Table_NFI[[#This Row],[Distribution Date]]&gt;"2014-04-01",1,2.5)</f>
        <v>0</v>
      </c>
      <c r="AI282" s="294">
        <f>IF(NFI_Expiration=1,IF($A282&lt;VLOOKUP(R$5,NFI,5,0),1,0)*Table_NFI[[#This Row],[Winter Clothes Adult]],Table_NFI[Winter Clothes Adult])</f>
        <v>0</v>
      </c>
      <c r="AJ282" s="294">
        <f>IF(NFI_Expiration=1,IF($A282&lt;VLOOKUP(S$5,NFI,5,0),1,0)*Table_NFI[[#This Row],[Winter Clothes Children]],Table_NFI[Winter Clothes Children])</f>
        <v>0</v>
      </c>
      <c r="AK282" s="294">
        <f>IF(NFI_Expiration=1,IF($A282&lt;VLOOKUP(T$5,NFI,5,0),1,0)*Table_NFI[[#This Row],[Winter Items Other]],Table_NFI[Winter Items Other])</f>
        <v>0</v>
      </c>
      <c r="AL282" s="294">
        <f>IF(NFI_Expiration=1,IF($A282&lt;VLOOKUP(M$5,NFI,5,0),1,0)*Table_NFI[[#This Row],[Winter Blanket]],Table_NFI[[#This Row],[Winter Blanket]])</f>
        <v>0</v>
      </c>
      <c r="AM282" s="294">
        <f>IF(Table_NFI[[#This Row],[Winter Clothes Adult]]+Table_NFI[[#This Row],[Winter Clothes Children]]+Table_NFI[[#This Row],[Winter Items Other]]+Table_NFI[[#This Row],[Winter Blanket]]&gt;0,1,0)</f>
        <v>0</v>
      </c>
      <c r="AN282" s="331">
        <f>IF(NFI_Expiration=1,IF($A282&lt;VLOOKUP(V$5,NFI,5,0),1,0)*Table_NFI[[#This Row],[Jerry Can]],Table_NFI[Jerry Can])</f>
        <v>0</v>
      </c>
      <c r="AO282" s="331">
        <f>IF(NFI_Expiration=1,IF($A282&lt;VLOOKUP(V$5,NFI,5,0),1,0)*Table_NFI[[#This Row],[Shelter Tool kit]],Table_NFI[Shelter Tool kit])</f>
        <v>0</v>
      </c>
      <c r="AP282" s="331">
        <f>IF(NFI_Expiration=1,IF($A282&lt;VLOOKUP(V$5,NFI,5,0),1,0)*Table_NFI[[#This Row],[Tent]],Table_NFI[Tent])</f>
        <v>0</v>
      </c>
      <c r="AQ282" s="467" t="str">
        <f>IFERROR(VLOOKUP(Table_NFI[[#This Row],[Camp Name]],CL,2,0),"")</f>
        <v>MMR001CMP070</v>
      </c>
      <c r="AR282" s="835">
        <f ca="1">IF(Table_NFI[[#This Row],[Pcode]]="","",IF(OFFSET(CampList[Opening Date],MATCH(Table_NFI[[#This Row],[Pcode]],CampList[CP_Pcode],0)-1,0,1,1)&gt;=NFI_Monitor_Date,1,0))</f>
        <v>0</v>
      </c>
      <c r="AS282" s="467" t="str">
        <f>IFERROR(VLOOKUP(Table_NFI[[#This Row],[Camp Name]],CL,3,0),"")</f>
        <v>Open</v>
      </c>
      <c r="AT282" s="294" t="str">
        <f ca="1">IF(Table_NFI[[#This Row],[Pcode]]="","",OFFSET(CampList[Priority],MATCH(Table_NFI[[#This Row],[Pcode]],CampList[CP_Pcode],0)-1,0,1,1))</f>
        <v>P3</v>
      </c>
      <c r="AU282" s="293">
        <f>IFERROR(Table_NFI[[#This Row],[Kitchen Set]]/VLOOKUP(Table_NFI[[#This Row],[Camp Name]],CL,4,0),"")</f>
        <v>0</v>
      </c>
      <c r="AV282" s="461"/>
      <c r="AW282" s="463"/>
    </row>
    <row r="283" spans="1:49" s="464" customFormat="1" x14ac:dyDescent="0.25">
      <c r="A283" s="297">
        <f t="shared" si="4"/>
        <v>27.133333333333333</v>
      </c>
      <c r="B283" s="460">
        <v>41922</v>
      </c>
      <c r="C283" s="461" t="s">
        <v>452</v>
      </c>
      <c r="D283" s="461"/>
      <c r="E283" s="461" t="s">
        <v>380</v>
      </c>
      <c r="F283" s="461" t="s">
        <v>185</v>
      </c>
      <c r="G283" s="461" t="s">
        <v>229</v>
      </c>
      <c r="H283" s="291"/>
      <c r="I283" s="291"/>
      <c r="J283" s="291"/>
      <c r="K283" s="291"/>
      <c r="L283" s="292">
        <v>60</v>
      </c>
      <c r="M283" s="292"/>
      <c r="N283" s="292"/>
      <c r="O283" s="292"/>
      <c r="P283" s="294"/>
      <c r="Q283" s="294"/>
      <c r="R283" s="294"/>
      <c r="S283" s="294"/>
      <c r="T283" s="294"/>
      <c r="U283" s="294"/>
      <c r="V283" s="431"/>
      <c r="W283" s="294"/>
      <c r="X283" s="294"/>
      <c r="Y283" s="294">
        <f>IF(NFI_Expiration=1,IF($A283&lt;VLOOKUP(H$5,NFI,5,0),1,0)*Table_NFI[[#This Row],[Hygiene Kit]],Table_NFI[Hygiene Kit])</f>
        <v>0</v>
      </c>
      <c r="Z283" s="294">
        <f>IF(NFI_Expiration=1,IF($A283&lt;VLOOKUP(I$5,NFI,5,0),1,0)*Table_NFI[[#This Row],[NFI Core Kit]],Table_NFI[NFI Core Kit])</f>
        <v>0</v>
      </c>
      <c r="AA283" s="294">
        <f>IF(NFI_Expiration=1,IF($A283&lt;VLOOKUP(J$5,NFI,5,0),1,0)*Table_NFI[[#This Row],[Sanitary Kit]],Table_NFI[Sanitary Kit])</f>
        <v>0</v>
      </c>
      <c r="AB283" s="294">
        <f>IF(NFI_Expiration=1,IF($A283&lt;VLOOKUP(K$5,NFI,5,0),1,0)*Table_NFI[[#This Row],[Mosquito net]],Table_NFI[Mosquito net])</f>
        <v>0</v>
      </c>
      <c r="AC283" s="294">
        <f>IF(NFI_Expiration=1,IF($A283&lt;VLOOKUP(L$5,NFI,5,0),1,0)*Table_NFI[[#This Row],[Tarpaulin]],Table_NFI[[#This Row],[Tarpaulin]])</f>
        <v>0</v>
      </c>
      <c r="AD283" s="294">
        <f>IF(NFI_Expiration=1,IF($A283&lt;VLOOKUP(M$5,NFI,5,0),1,0)*Table_NFI[[#This Row],[Blanket]],Table_NFI[[#This Row],[Blanket]])</f>
        <v>0</v>
      </c>
      <c r="AE283" s="294">
        <f>IF(NFI_Expiration=1,IF($A283&lt;VLOOKUP(N$5,NFI,5,0),1,0)*Table_NFI[[#This Row],[Kitchen Set]],Table_NFI[Kitchen Set])</f>
        <v>0</v>
      </c>
      <c r="AF283" s="294">
        <f>IF(NFI_Expiration=1,IF($A283&lt;VLOOKUP(O$5,NFI,5,0),1,0)*Table_NFI[[#This Row],[Clothes Kit]],Table_NFI[Clothes Kit])</f>
        <v>0</v>
      </c>
      <c r="AG283" s="294">
        <f>IF(NFI_Expiration=1,IF($A283&lt;VLOOKUP(P$5,NFI,5,0),1,0)*Table_NFI[[#This Row],[Plastic Bucket]],Table_NFI[Plastic Bucket])</f>
        <v>0</v>
      </c>
      <c r="AH283" s="294">
        <f>IF(NFI_Expiration=1,IF($A283&lt;VLOOKUP(Q$5,NFI,5,0),1,0)*Table_NFI[[#This Row],[Plastic Mat]],Table_NFI[Plastic Mat])*IF(Table_NFI[[#This Row],[Distribution Date]]&gt;"2014-04-01",1,2.5)</f>
        <v>0</v>
      </c>
      <c r="AI283" s="294">
        <f>IF(NFI_Expiration=1,IF($A283&lt;VLOOKUP(R$5,NFI,5,0),1,0)*Table_NFI[[#This Row],[Winter Clothes Adult]],Table_NFI[Winter Clothes Adult])</f>
        <v>0</v>
      </c>
      <c r="AJ283" s="294">
        <f>IF(NFI_Expiration=1,IF($A283&lt;VLOOKUP(S$5,NFI,5,0),1,0)*Table_NFI[[#This Row],[Winter Clothes Children]],Table_NFI[Winter Clothes Children])</f>
        <v>0</v>
      </c>
      <c r="AK283" s="294">
        <f>IF(NFI_Expiration=1,IF($A283&lt;VLOOKUP(T$5,NFI,5,0),1,0)*Table_NFI[[#This Row],[Winter Items Other]],Table_NFI[Winter Items Other])</f>
        <v>0</v>
      </c>
      <c r="AL283" s="294">
        <f>IF(NFI_Expiration=1,IF($A283&lt;VLOOKUP(M$5,NFI,5,0),1,0)*Table_NFI[[#This Row],[Winter Blanket]],Table_NFI[[#This Row],[Winter Blanket]])</f>
        <v>0</v>
      </c>
      <c r="AM283" s="294">
        <f>IF(Table_NFI[[#This Row],[Winter Clothes Adult]]+Table_NFI[[#This Row],[Winter Clothes Children]]+Table_NFI[[#This Row],[Winter Items Other]]+Table_NFI[[#This Row],[Winter Blanket]]&gt;0,1,0)</f>
        <v>0</v>
      </c>
      <c r="AN283" s="331">
        <f>IF(NFI_Expiration=1,IF($A283&lt;VLOOKUP(V$5,NFI,5,0),1,0)*Table_NFI[[#This Row],[Jerry Can]],Table_NFI[Jerry Can])</f>
        <v>0</v>
      </c>
      <c r="AO283" s="331">
        <f>IF(NFI_Expiration=1,IF($A283&lt;VLOOKUP(V$5,NFI,5,0),1,0)*Table_NFI[[#This Row],[Shelter Tool kit]],Table_NFI[Shelter Tool kit])</f>
        <v>0</v>
      </c>
      <c r="AP283" s="331">
        <f>IF(NFI_Expiration=1,IF($A283&lt;VLOOKUP(V$5,NFI,5,0),1,0)*Table_NFI[[#This Row],[Tent]],Table_NFI[Tent])</f>
        <v>0</v>
      </c>
      <c r="AQ283" s="467" t="str">
        <f>IFERROR(VLOOKUP(Table_NFI[[#This Row],[Camp Name]],CL,2,0),"")</f>
        <v>MMR001CMP072</v>
      </c>
      <c r="AR283" s="835">
        <f ca="1">IF(Table_NFI[[#This Row],[Pcode]]="","",IF(OFFSET(CampList[Opening Date],MATCH(Table_NFI[[#This Row],[Pcode]],CampList[CP_Pcode],0)-1,0,1,1)&gt;=NFI_Monitor_Date,1,0))</f>
        <v>0</v>
      </c>
      <c r="AS283" s="467" t="str">
        <f>IFERROR(VLOOKUP(Table_NFI[[#This Row],[Camp Name]],CL,3,0),"")</f>
        <v>Open</v>
      </c>
      <c r="AT283" s="294" t="str">
        <f ca="1">IF(Table_NFI[[#This Row],[Pcode]]="","",OFFSET(CampList[Priority],MATCH(Table_NFI[[#This Row],[Pcode]],CampList[CP_Pcode],0)-1,0,1,1))</f>
        <v>P3</v>
      </c>
      <c r="AU283" s="293">
        <f>IFERROR(Table_NFI[[#This Row],[Kitchen Set]]/VLOOKUP(Table_NFI[[#This Row],[Camp Name]],CL,4,0),"")</f>
        <v>0</v>
      </c>
      <c r="AV283" s="461"/>
      <c r="AW283" s="463"/>
    </row>
    <row r="284" spans="1:49" s="464" customFormat="1" ht="14.45" customHeight="1" x14ac:dyDescent="0.25">
      <c r="A284" s="297">
        <f t="shared" si="4"/>
        <v>27.433333333333334</v>
      </c>
      <c r="B284" s="460">
        <v>41913</v>
      </c>
      <c r="C284" s="461" t="s">
        <v>452</v>
      </c>
      <c r="D284" s="465" t="s">
        <v>506</v>
      </c>
      <c r="E284" s="465" t="s">
        <v>380</v>
      </c>
      <c r="F284" s="465" t="s">
        <v>527</v>
      </c>
      <c r="G284" s="465" t="s">
        <v>120</v>
      </c>
      <c r="H284" s="292"/>
      <c r="I284" s="292"/>
      <c r="J284" s="292"/>
      <c r="K284" s="292">
        <v>156</v>
      </c>
      <c r="L284" s="292"/>
      <c r="M284" s="292"/>
      <c r="N284" s="292"/>
      <c r="O284" s="292"/>
      <c r="P284" s="294"/>
      <c r="Q284" s="294"/>
      <c r="R284" s="294"/>
      <c r="S284" s="294"/>
      <c r="T284" s="294"/>
      <c r="U284" s="294"/>
      <c r="V284" s="431"/>
      <c r="W284" s="294"/>
      <c r="X284" s="294"/>
      <c r="Y284" s="294">
        <f>IF(NFI_Expiration=1,IF($A284&lt;VLOOKUP(H$5,NFI,5,0),1,0)*Table_NFI[[#This Row],[Hygiene Kit]],Table_NFI[Hygiene Kit])</f>
        <v>0</v>
      </c>
      <c r="Z284" s="294">
        <f>IF(NFI_Expiration=1,IF($A284&lt;VLOOKUP(I$5,NFI,5,0),1,0)*Table_NFI[[#This Row],[NFI Core Kit]],Table_NFI[NFI Core Kit])</f>
        <v>0</v>
      </c>
      <c r="AA284" s="294">
        <f>IF(NFI_Expiration=1,IF($A284&lt;VLOOKUP(J$5,NFI,5,0),1,0)*Table_NFI[[#This Row],[Sanitary Kit]],Table_NFI[Sanitary Kit])</f>
        <v>0</v>
      </c>
      <c r="AB284" s="294">
        <f>IF(NFI_Expiration=1,IF($A284&lt;VLOOKUP(K$5,NFI,5,0),1,0)*Table_NFI[[#This Row],[Mosquito net]],Table_NFI[Mosquito net])</f>
        <v>0</v>
      </c>
      <c r="AC284" s="294">
        <f>IF(NFI_Expiration=1,IF($A284&lt;VLOOKUP(L$5,NFI,5,0),1,0)*Table_NFI[[#This Row],[Tarpaulin]],Table_NFI[[#This Row],[Tarpaulin]])</f>
        <v>0</v>
      </c>
      <c r="AD284" s="294">
        <f>IF(NFI_Expiration=1,IF($A284&lt;VLOOKUP(M$5,NFI,5,0),1,0)*Table_NFI[[#This Row],[Blanket]],Table_NFI[[#This Row],[Blanket]])</f>
        <v>0</v>
      </c>
      <c r="AE284" s="294">
        <f>IF(NFI_Expiration=1,IF($A284&lt;VLOOKUP(N$5,NFI,5,0),1,0)*Table_NFI[[#This Row],[Kitchen Set]],Table_NFI[Kitchen Set])</f>
        <v>0</v>
      </c>
      <c r="AF284" s="294">
        <f>IF(NFI_Expiration=1,IF($A284&lt;VLOOKUP(O$5,NFI,5,0),1,0)*Table_NFI[[#This Row],[Clothes Kit]],Table_NFI[Clothes Kit])</f>
        <v>0</v>
      </c>
      <c r="AG284" s="294">
        <f>IF(NFI_Expiration=1,IF($A284&lt;VLOOKUP(P$5,NFI,5,0),1,0)*Table_NFI[[#This Row],[Plastic Bucket]],Table_NFI[Plastic Bucket])</f>
        <v>0</v>
      </c>
      <c r="AH284" s="294">
        <f>IF(NFI_Expiration=1,IF($A284&lt;VLOOKUP(Q$5,NFI,5,0),1,0)*Table_NFI[[#This Row],[Plastic Mat]],Table_NFI[Plastic Mat])*IF(Table_NFI[[#This Row],[Distribution Date]]&gt;"2014-04-01",1,2.5)</f>
        <v>0</v>
      </c>
      <c r="AI284" s="294">
        <f>IF(NFI_Expiration=1,IF($A284&lt;VLOOKUP(R$5,NFI,5,0),1,0)*Table_NFI[[#This Row],[Winter Clothes Adult]],Table_NFI[Winter Clothes Adult])</f>
        <v>0</v>
      </c>
      <c r="AJ284" s="294">
        <f>IF(NFI_Expiration=1,IF($A284&lt;VLOOKUP(S$5,NFI,5,0),1,0)*Table_NFI[[#This Row],[Winter Clothes Children]],Table_NFI[Winter Clothes Children])</f>
        <v>0</v>
      </c>
      <c r="AK284" s="294">
        <f>IF(NFI_Expiration=1,IF($A284&lt;VLOOKUP(T$5,NFI,5,0),1,0)*Table_NFI[[#This Row],[Winter Items Other]],Table_NFI[Winter Items Other])</f>
        <v>0</v>
      </c>
      <c r="AL284" s="294">
        <f>IF(NFI_Expiration=1,IF($A284&lt;VLOOKUP(M$5,NFI,5,0),1,0)*Table_NFI[[#This Row],[Winter Blanket]],Table_NFI[[#This Row],[Winter Blanket]])</f>
        <v>0</v>
      </c>
      <c r="AM284" s="294">
        <f>IF(Table_NFI[[#This Row],[Winter Clothes Adult]]+Table_NFI[[#This Row],[Winter Clothes Children]]+Table_NFI[[#This Row],[Winter Items Other]]+Table_NFI[[#This Row],[Winter Blanket]]&gt;0,1,0)</f>
        <v>0</v>
      </c>
      <c r="AN284" s="331">
        <f>IF(NFI_Expiration=1,IF($A284&lt;VLOOKUP(V$5,NFI,5,0),1,0)*Table_NFI[[#This Row],[Jerry Can]],Table_NFI[Jerry Can])</f>
        <v>0</v>
      </c>
      <c r="AO284" s="331">
        <f>IF(NFI_Expiration=1,IF($A284&lt;VLOOKUP(V$5,NFI,5,0),1,0)*Table_NFI[[#This Row],[Shelter Tool kit]],Table_NFI[Shelter Tool kit])</f>
        <v>0</v>
      </c>
      <c r="AP284" s="331">
        <f>IF(NFI_Expiration=1,IF($A284&lt;VLOOKUP(V$5,NFI,5,0),1,0)*Table_NFI[[#This Row],[Tent]],Table_NFI[Tent])</f>
        <v>0</v>
      </c>
      <c r="AQ284" s="467" t="str">
        <f>IFERROR(VLOOKUP(Table_NFI[[#This Row],[Camp Name]],CL,2,0),"")</f>
        <v>MMR001CMP168</v>
      </c>
      <c r="AR284" s="835">
        <f ca="1">IF(Table_NFI[[#This Row],[Pcode]]="","",IF(OFFSET(CampList[Opening Date],MATCH(Table_NFI[[#This Row],[Pcode]],CampList[CP_Pcode],0)-1,0,1,1)&gt;=NFI_Monitor_Date,1,0))</f>
        <v>0</v>
      </c>
      <c r="AS284" s="467" t="str">
        <f>IFERROR(VLOOKUP(Table_NFI[[#This Row],[Camp Name]],CL,3,0),"")</f>
        <v>Open</v>
      </c>
      <c r="AT284" s="294" t="str">
        <f ca="1">IF(Table_NFI[[#This Row],[Pcode]]="","",OFFSET(CampList[Priority],MATCH(Table_NFI[[#This Row],[Pcode]],CampList[CP_Pcode],0)-1,0,1,1))</f>
        <v>P4</v>
      </c>
      <c r="AU284" s="293">
        <f>IFERROR(Table_NFI[[#This Row],[Kitchen Set]]/VLOOKUP(Table_NFI[[#This Row],[Camp Name]],CL,4,0),"")</f>
        <v>0</v>
      </c>
      <c r="AV284" s="465"/>
      <c r="AW284" s="468"/>
    </row>
    <row r="285" spans="1:49" s="464" customFormat="1" ht="14.45" customHeight="1" x14ac:dyDescent="0.25">
      <c r="A285" s="297">
        <f t="shared" si="4"/>
        <v>27.433333333333334</v>
      </c>
      <c r="B285" s="460">
        <v>41913</v>
      </c>
      <c r="C285" s="461" t="s">
        <v>452</v>
      </c>
      <c r="D285" s="465" t="s">
        <v>505</v>
      </c>
      <c r="E285" s="465" t="s">
        <v>380</v>
      </c>
      <c r="F285" s="465" t="s">
        <v>527</v>
      </c>
      <c r="G285" s="465" t="s">
        <v>41</v>
      </c>
      <c r="H285" s="292"/>
      <c r="I285" s="292"/>
      <c r="J285" s="292"/>
      <c r="K285" s="292">
        <v>130</v>
      </c>
      <c r="L285" s="292"/>
      <c r="M285" s="292"/>
      <c r="N285" s="292"/>
      <c r="O285" s="292"/>
      <c r="P285" s="294"/>
      <c r="Q285" s="294"/>
      <c r="R285" s="294"/>
      <c r="S285" s="294"/>
      <c r="T285" s="294"/>
      <c r="U285" s="294"/>
      <c r="V285" s="431"/>
      <c r="W285" s="294"/>
      <c r="X285" s="294"/>
      <c r="Y285" s="294">
        <f>IF(NFI_Expiration=1,IF($A285&lt;VLOOKUP(H$5,NFI,5,0),1,0)*Table_NFI[[#This Row],[Hygiene Kit]],Table_NFI[Hygiene Kit])</f>
        <v>0</v>
      </c>
      <c r="Z285" s="294">
        <f>IF(NFI_Expiration=1,IF($A285&lt;VLOOKUP(I$5,NFI,5,0),1,0)*Table_NFI[[#This Row],[NFI Core Kit]],Table_NFI[NFI Core Kit])</f>
        <v>0</v>
      </c>
      <c r="AA285" s="294">
        <f>IF(NFI_Expiration=1,IF($A285&lt;VLOOKUP(J$5,NFI,5,0),1,0)*Table_NFI[[#This Row],[Sanitary Kit]],Table_NFI[Sanitary Kit])</f>
        <v>0</v>
      </c>
      <c r="AB285" s="294">
        <f>IF(NFI_Expiration=1,IF($A285&lt;VLOOKUP(K$5,NFI,5,0),1,0)*Table_NFI[[#This Row],[Mosquito net]],Table_NFI[Mosquito net])</f>
        <v>0</v>
      </c>
      <c r="AC285" s="294">
        <f>IF(NFI_Expiration=1,IF($A285&lt;VLOOKUP(L$5,NFI,5,0),1,0)*Table_NFI[[#This Row],[Tarpaulin]],Table_NFI[[#This Row],[Tarpaulin]])</f>
        <v>0</v>
      </c>
      <c r="AD285" s="294">
        <f>IF(NFI_Expiration=1,IF($A285&lt;VLOOKUP(M$5,NFI,5,0),1,0)*Table_NFI[[#This Row],[Blanket]],Table_NFI[[#This Row],[Blanket]])</f>
        <v>0</v>
      </c>
      <c r="AE285" s="294">
        <f>IF(NFI_Expiration=1,IF($A285&lt;VLOOKUP(N$5,NFI,5,0),1,0)*Table_NFI[[#This Row],[Kitchen Set]],Table_NFI[Kitchen Set])</f>
        <v>0</v>
      </c>
      <c r="AF285" s="294">
        <f>IF(NFI_Expiration=1,IF($A285&lt;VLOOKUP(O$5,NFI,5,0),1,0)*Table_NFI[[#This Row],[Clothes Kit]],Table_NFI[Clothes Kit])</f>
        <v>0</v>
      </c>
      <c r="AG285" s="294">
        <f>IF(NFI_Expiration=1,IF($A285&lt;VLOOKUP(P$5,NFI,5,0),1,0)*Table_NFI[[#This Row],[Plastic Bucket]],Table_NFI[Plastic Bucket])</f>
        <v>0</v>
      </c>
      <c r="AH285" s="294">
        <f>IF(NFI_Expiration=1,IF($A285&lt;VLOOKUP(Q$5,NFI,5,0),1,0)*Table_NFI[[#This Row],[Plastic Mat]],Table_NFI[Plastic Mat])*IF(Table_NFI[[#This Row],[Distribution Date]]&gt;"2014-04-01",1,2.5)</f>
        <v>0</v>
      </c>
      <c r="AI285" s="294">
        <f>IF(NFI_Expiration=1,IF($A285&lt;VLOOKUP(R$5,NFI,5,0),1,0)*Table_NFI[[#This Row],[Winter Clothes Adult]],Table_NFI[Winter Clothes Adult])</f>
        <v>0</v>
      </c>
      <c r="AJ285" s="294">
        <f>IF(NFI_Expiration=1,IF($A285&lt;VLOOKUP(S$5,NFI,5,0),1,0)*Table_NFI[[#This Row],[Winter Clothes Children]],Table_NFI[Winter Clothes Children])</f>
        <v>0</v>
      </c>
      <c r="AK285" s="294">
        <f>IF(NFI_Expiration=1,IF($A285&lt;VLOOKUP(T$5,NFI,5,0),1,0)*Table_NFI[[#This Row],[Winter Items Other]],Table_NFI[Winter Items Other])</f>
        <v>0</v>
      </c>
      <c r="AL285" s="294">
        <f>IF(NFI_Expiration=1,IF($A285&lt;VLOOKUP(M$5,NFI,5,0),1,0)*Table_NFI[[#This Row],[Winter Blanket]],Table_NFI[[#This Row],[Winter Blanket]])</f>
        <v>0</v>
      </c>
      <c r="AM285" s="294">
        <f>IF(Table_NFI[[#This Row],[Winter Clothes Adult]]+Table_NFI[[#This Row],[Winter Clothes Children]]+Table_NFI[[#This Row],[Winter Items Other]]+Table_NFI[[#This Row],[Winter Blanket]]&gt;0,1,0)</f>
        <v>0</v>
      </c>
      <c r="AN285" s="331">
        <f>IF(NFI_Expiration=1,IF($A285&lt;VLOOKUP(V$5,NFI,5,0),1,0)*Table_NFI[[#This Row],[Jerry Can]],Table_NFI[Jerry Can])</f>
        <v>0</v>
      </c>
      <c r="AO285" s="331">
        <f>IF(NFI_Expiration=1,IF($A285&lt;VLOOKUP(V$5,NFI,5,0),1,0)*Table_NFI[[#This Row],[Shelter Tool kit]],Table_NFI[Shelter Tool kit])</f>
        <v>0</v>
      </c>
      <c r="AP285" s="331">
        <f>IF(NFI_Expiration=1,IF($A285&lt;VLOOKUP(V$5,NFI,5,0),1,0)*Table_NFI[[#This Row],[Tent]],Table_NFI[Tent])</f>
        <v>0</v>
      </c>
      <c r="AQ285" s="467" t="str">
        <f>IFERROR(VLOOKUP(Table_NFI[[#This Row],[Camp Name]],CL,2,0),"")</f>
        <v>MMR001CMP176</v>
      </c>
      <c r="AR285" s="835">
        <f ca="1">IF(Table_NFI[[#This Row],[Pcode]]="","",IF(OFFSET(CampList[Opening Date],MATCH(Table_NFI[[#This Row],[Pcode]],CampList[CP_Pcode],0)-1,0,1,1)&gt;=NFI_Monitor_Date,1,0))</f>
        <v>0</v>
      </c>
      <c r="AS285" s="467" t="str">
        <f>IFERROR(VLOOKUP(Table_NFI[[#This Row],[Camp Name]],CL,3,0),"")</f>
        <v>Open</v>
      </c>
      <c r="AT285" s="294" t="str">
        <f ca="1">IF(Table_NFI[[#This Row],[Pcode]]="","",OFFSET(CampList[Priority],MATCH(Table_NFI[[#This Row],[Pcode]],CampList[CP_Pcode],0)-1,0,1,1))</f>
        <v>P4</v>
      </c>
      <c r="AU285" s="293">
        <f>IFERROR(Table_NFI[[#This Row],[Kitchen Set]]/VLOOKUP(Table_NFI[[#This Row],[Camp Name]],CL,4,0),"")</f>
        <v>0</v>
      </c>
      <c r="AV285" s="465"/>
      <c r="AW285" s="468"/>
    </row>
    <row r="286" spans="1:49" s="464" customFormat="1" ht="14.45" customHeight="1" x14ac:dyDescent="0.25">
      <c r="A286" s="297">
        <f t="shared" si="4"/>
        <v>27.433333333333334</v>
      </c>
      <c r="B286" s="460">
        <v>41913</v>
      </c>
      <c r="C286" s="461" t="s">
        <v>452</v>
      </c>
      <c r="D286" s="465" t="s">
        <v>505</v>
      </c>
      <c r="E286" s="465" t="s">
        <v>380</v>
      </c>
      <c r="F286" s="465" t="s">
        <v>527</v>
      </c>
      <c r="G286" s="465" t="s">
        <v>43</v>
      </c>
      <c r="H286" s="292"/>
      <c r="I286" s="292"/>
      <c r="J286" s="292"/>
      <c r="K286" s="292">
        <v>30</v>
      </c>
      <c r="L286" s="292"/>
      <c r="M286" s="292"/>
      <c r="N286" s="292"/>
      <c r="O286" s="292"/>
      <c r="P286" s="294"/>
      <c r="Q286" s="294"/>
      <c r="R286" s="294"/>
      <c r="S286" s="294"/>
      <c r="T286" s="294"/>
      <c r="U286" s="294"/>
      <c r="V286" s="431"/>
      <c r="W286" s="294"/>
      <c r="X286" s="294"/>
      <c r="Y286" s="294">
        <f>IF(NFI_Expiration=1,IF($A286&lt;VLOOKUP(H$5,NFI,5,0),1,0)*Table_NFI[[#This Row],[Hygiene Kit]],Table_NFI[Hygiene Kit])</f>
        <v>0</v>
      </c>
      <c r="Z286" s="294">
        <f>IF(NFI_Expiration=1,IF($A286&lt;VLOOKUP(I$5,NFI,5,0),1,0)*Table_NFI[[#This Row],[NFI Core Kit]],Table_NFI[NFI Core Kit])</f>
        <v>0</v>
      </c>
      <c r="AA286" s="294">
        <f>IF(NFI_Expiration=1,IF($A286&lt;VLOOKUP(J$5,NFI,5,0),1,0)*Table_NFI[[#This Row],[Sanitary Kit]],Table_NFI[Sanitary Kit])</f>
        <v>0</v>
      </c>
      <c r="AB286" s="294">
        <f>IF(NFI_Expiration=1,IF($A286&lt;VLOOKUP(K$5,NFI,5,0),1,0)*Table_NFI[[#This Row],[Mosquito net]],Table_NFI[Mosquito net])</f>
        <v>0</v>
      </c>
      <c r="AC286" s="294">
        <f>IF(NFI_Expiration=1,IF($A286&lt;VLOOKUP(L$5,NFI,5,0),1,0)*Table_NFI[[#This Row],[Tarpaulin]],Table_NFI[[#This Row],[Tarpaulin]])</f>
        <v>0</v>
      </c>
      <c r="AD286" s="294">
        <f>IF(NFI_Expiration=1,IF($A286&lt;VLOOKUP(M$5,NFI,5,0),1,0)*Table_NFI[[#This Row],[Blanket]],Table_NFI[[#This Row],[Blanket]])</f>
        <v>0</v>
      </c>
      <c r="AE286" s="294">
        <f>IF(NFI_Expiration=1,IF($A286&lt;VLOOKUP(N$5,NFI,5,0),1,0)*Table_NFI[[#This Row],[Kitchen Set]],Table_NFI[Kitchen Set])</f>
        <v>0</v>
      </c>
      <c r="AF286" s="294">
        <f>IF(NFI_Expiration=1,IF($A286&lt;VLOOKUP(O$5,NFI,5,0),1,0)*Table_NFI[[#This Row],[Clothes Kit]],Table_NFI[Clothes Kit])</f>
        <v>0</v>
      </c>
      <c r="AG286" s="294">
        <f>IF(NFI_Expiration=1,IF($A286&lt;VLOOKUP(P$5,NFI,5,0),1,0)*Table_NFI[[#This Row],[Plastic Bucket]],Table_NFI[Plastic Bucket])</f>
        <v>0</v>
      </c>
      <c r="AH286" s="294">
        <f>IF(NFI_Expiration=1,IF($A286&lt;VLOOKUP(Q$5,NFI,5,0),1,0)*Table_NFI[[#This Row],[Plastic Mat]],Table_NFI[Plastic Mat])*IF(Table_NFI[[#This Row],[Distribution Date]]&gt;"2014-04-01",1,2.5)</f>
        <v>0</v>
      </c>
      <c r="AI286" s="294">
        <f>IF(NFI_Expiration=1,IF($A286&lt;VLOOKUP(R$5,NFI,5,0),1,0)*Table_NFI[[#This Row],[Winter Clothes Adult]],Table_NFI[Winter Clothes Adult])</f>
        <v>0</v>
      </c>
      <c r="AJ286" s="294">
        <f>IF(NFI_Expiration=1,IF($A286&lt;VLOOKUP(S$5,NFI,5,0),1,0)*Table_NFI[[#This Row],[Winter Clothes Children]],Table_NFI[Winter Clothes Children])</f>
        <v>0</v>
      </c>
      <c r="AK286" s="294">
        <f>IF(NFI_Expiration=1,IF($A286&lt;VLOOKUP(T$5,NFI,5,0),1,0)*Table_NFI[[#This Row],[Winter Items Other]],Table_NFI[Winter Items Other])</f>
        <v>0</v>
      </c>
      <c r="AL286" s="294">
        <f>IF(NFI_Expiration=1,IF($A286&lt;VLOOKUP(M$5,NFI,5,0),1,0)*Table_NFI[[#This Row],[Winter Blanket]],Table_NFI[[#This Row],[Winter Blanket]])</f>
        <v>0</v>
      </c>
      <c r="AM286" s="294">
        <f>IF(Table_NFI[[#This Row],[Winter Clothes Adult]]+Table_NFI[[#This Row],[Winter Clothes Children]]+Table_NFI[[#This Row],[Winter Items Other]]+Table_NFI[[#This Row],[Winter Blanket]]&gt;0,1,0)</f>
        <v>0</v>
      </c>
      <c r="AN286" s="331">
        <f>IF(NFI_Expiration=1,IF($A286&lt;VLOOKUP(V$5,NFI,5,0),1,0)*Table_NFI[[#This Row],[Jerry Can]],Table_NFI[Jerry Can])</f>
        <v>0</v>
      </c>
      <c r="AO286" s="331">
        <f>IF(NFI_Expiration=1,IF($A286&lt;VLOOKUP(V$5,NFI,5,0),1,0)*Table_NFI[[#This Row],[Shelter Tool kit]],Table_NFI[Shelter Tool kit])</f>
        <v>0</v>
      </c>
      <c r="AP286" s="331">
        <f>IF(NFI_Expiration=1,IF($A286&lt;VLOOKUP(V$5,NFI,5,0),1,0)*Table_NFI[[#This Row],[Tent]],Table_NFI[Tent])</f>
        <v>0</v>
      </c>
      <c r="AQ286" s="467" t="str">
        <f>IFERROR(VLOOKUP(Table_NFI[[#This Row],[Camp Name]],CL,2,0),"")</f>
        <v>MMR001CMP190</v>
      </c>
      <c r="AR286" s="835">
        <f ca="1">IF(Table_NFI[[#This Row],[Pcode]]="","",IF(OFFSET(CampList[Opening Date],MATCH(Table_NFI[[#This Row],[Pcode]],CampList[CP_Pcode],0)-1,0,1,1)&gt;=NFI_Monitor_Date,1,0))</f>
        <v>0</v>
      </c>
      <c r="AS286" s="467" t="str">
        <f>IFERROR(VLOOKUP(Table_NFI[[#This Row],[Camp Name]],CL,3,0),"")</f>
        <v>Open</v>
      </c>
      <c r="AT286" s="294" t="str">
        <f ca="1">IF(Table_NFI[[#This Row],[Pcode]]="","",OFFSET(CampList[Priority],MATCH(Table_NFI[[#This Row],[Pcode]],CampList[CP_Pcode],0)-1,0,1,1))</f>
        <v>P4</v>
      </c>
      <c r="AU286" s="293">
        <f>IFERROR(Table_NFI[[#This Row],[Kitchen Set]]/VLOOKUP(Table_NFI[[#This Row],[Camp Name]],CL,4,0),"")</f>
        <v>0</v>
      </c>
      <c r="AV286" s="465"/>
      <c r="AW286" s="468"/>
    </row>
    <row r="287" spans="1:49" s="464" customFormat="1" ht="14.45" customHeight="1" x14ac:dyDescent="0.25">
      <c r="A287" s="297">
        <f t="shared" si="4"/>
        <v>27.433333333333334</v>
      </c>
      <c r="B287" s="460">
        <v>41913</v>
      </c>
      <c r="C287" s="461" t="s">
        <v>452</v>
      </c>
      <c r="D287" s="465" t="s">
        <v>505</v>
      </c>
      <c r="E287" s="465" t="s">
        <v>380</v>
      </c>
      <c r="F287" s="465" t="s">
        <v>527</v>
      </c>
      <c r="G287" s="465" t="s">
        <v>72</v>
      </c>
      <c r="H287" s="292"/>
      <c r="I287" s="292"/>
      <c r="J287" s="292"/>
      <c r="K287" s="292">
        <v>8</v>
      </c>
      <c r="L287" s="292"/>
      <c r="M287" s="292"/>
      <c r="N287" s="292"/>
      <c r="O287" s="292"/>
      <c r="P287" s="294"/>
      <c r="Q287" s="294"/>
      <c r="R287" s="294"/>
      <c r="S287" s="294"/>
      <c r="T287" s="294"/>
      <c r="U287" s="294"/>
      <c r="V287" s="431"/>
      <c r="W287" s="294"/>
      <c r="X287" s="294"/>
      <c r="Y287" s="294">
        <f>IF(NFI_Expiration=1,IF($A287&lt;VLOOKUP(H$5,NFI,5,0),1,0)*Table_NFI[[#This Row],[Hygiene Kit]],Table_NFI[Hygiene Kit])</f>
        <v>0</v>
      </c>
      <c r="Z287" s="294">
        <f>IF(NFI_Expiration=1,IF($A287&lt;VLOOKUP(I$5,NFI,5,0),1,0)*Table_NFI[[#This Row],[NFI Core Kit]],Table_NFI[NFI Core Kit])</f>
        <v>0</v>
      </c>
      <c r="AA287" s="294">
        <f>IF(NFI_Expiration=1,IF($A287&lt;VLOOKUP(J$5,NFI,5,0),1,0)*Table_NFI[[#This Row],[Sanitary Kit]],Table_NFI[Sanitary Kit])</f>
        <v>0</v>
      </c>
      <c r="AB287" s="294">
        <f>IF(NFI_Expiration=1,IF($A287&lt;VLOOKUP(K$5,NFI,5,0),1,0)*Table_NFI[[#This Row],[Mosquito net]],Table_NFI[Mosquito net])</f>
        <v>0</v>
      </c>
      <c r="AC287" s="294">
        <f>IF(NFI_Expiration=1,IF($A287&lt;VLOOKUP(L$5,NFI,5,0),1,0)*Table_NFI[[#This Row],[Tarpaulin]],Table_NFI[[#This Row],[Tarpaulin]])</f>
        <v>0</v>
      </c>
      <c r="AD287" s="294">
        <f>IF(NFI_Expiration=1,IF($A287&lt;VLOOKUP(M$5,NFI,5,0),1,0)*Table_NFI[[#This Row],[Blanket]],Table_NFI[[#This Row],[Blanket]])</f>
        <v>0</v>
      </c>
      <c r="AE287" s="294">
        <f>IF(NFI_Expiration=1,IF($A287&lt;VLOOKUP(N$5,NFI,5,0),1,0)*Table_NFI[[#This Row],[Kitchen Set]],Table_NFI[Kitchen Set])</f>
        <v>0</v>
      </c>
      <c r="AF287" s="294">
        <f>IF(NFI_Expiration=1,IF($A287&lt;VLOOKUP(O$5,NFI,5,0),1,0)*Table_NFI[[#This Row],[Clothes Kit]],Table_NFI[Clothes Kit])</f>
        <v>0</v>
      </c>
      <c r="AG287" s="294">
        <f>IF(NFI_Expiration=1,IF($A287&lt;VLOOKUP(P$5,NFI,5,0),1,0)*Table_NFI[[#This Row],[Plastic Bucket]],Table_NFI[Plastic Bucket])</f>
        <v>0</v>
      </c>
      <c r="AH287" s="294">
        <f>IF(NFI_Expiration=1,IF($A287&lt;VLOOKUP(Q$5,NFI,5,0),1,0)*Table_NFI[[#This Row],[Plastic Mat]],Table_NFI[Plastic Mat])*IF(Table_NFI[[#This Row],[Distribution Date]]&gt;"2014-04-01",1,2.5)</f>
        <v>0</v>
      </c>
      <c r="AI287" s="294">
        <f>IF(NFI_Expiration=1,IF($A287&lt;VLOOKUP(R$5,NFI,5,0),1,0)*Table_NFI[[#This Row],[Winter Clothes Adult]],Table_NFI[Winter Clothes Adult])</f>
        <v>0</v>
      </c>
      <c r="AJ287" s="294">
        <f>IF(NFI_Expiration=1,IF($A287&lt;VLOOKUP(S$5,NFI,5,0),1,0)*Table_NFI[[#This Row],[Winter Clothes Children]],Table_NFI[Winter Clothes Children])</f>
        <v>0</v>
      </c>
      <c r="AK287" s="294">
        <f>IF(NFI_Expiration=1,IF($A287&lt;VLOOKUP(T$5,NFI,5,0),1,0)*Table_NFI[[#This Row],[Winter Items Other]],Table_NFI[Winter Items Other])</f>
        <v>0</v>
      </c>
      <c r="AL287" s="294">
        <f>IF(NFI_Expiration=1,IF($A287&lt;VLOOKUP(M$5,NFI,5,0),1,0)*Table_NFI[[#This Row],[Winter Blanket]],Table_NFI[[#This Row],[Winter Blanket]])</f>
        <v>0</v>
      </c>
      <c r="AM287" s="294">
        <f>IF(Table_NFI[[#This Row],[Winter Clothes Adult]]+Table_NFI[[#This Row],[Winter Clothes Children]]+Table_NFI[[#This Row],[Winter Items Other]]+Table_NFI[[#This Row],[Winter Blanket]]&gt;0,1,0)</f>
        <v>0</v>
      </c>
      <c r="AN287" s="331">
        <f>IF(NFI_Expiration=1,IF($A287&lt;VLOOKUP(V$5,NFI,5,0),1,0)*Table_NFI[[#This Row],[Jerry Can]],Table_NFI[Jerry Can])</f>
        <v>0</v>
      </c>
      <c r="AO287" s="331">
        <f>IF(NFI_Expiration=1,IF($A287&lt;VLOOKUP(V$5,NFI,5,0),1,0)*Table_NFI[[#This Row],[Shelter Tool kit]],Table_NFI[Shelter Tool kit])</f>
        <v>0</v>
      </c>
      <c r="AP287" s="331">
        <f>IF(NFI_Expiration=1,IF($A287&lt;VLOOKUP(V$5,NFI,5,0),1,0)*Table_NFI[[#This Row],[Tent]],Table_NFI[Tent])</f>
        <v>0</v>
      </c>
      <c r="AQ287" s="467" t="str">
        <f>IFERROR(VLOOKUP(Table_NFI[[#This Row],[Camp Name]],CL,2,0),"")</f>
        <v>MMR001CMP109</v>
      </c>
      <c r="AR287" s="835">
        <f ca="1">IF(Table_NFI[[#This Row],[Pcode]]="","",IF(OFFSET(CampList[Opening Date],MATCH(Table_NFI[[#This Row],[Pcode]],CampList[CP_Pcode],0)-1,0,1,1)&gt;=NFI_Monitor_Date,1,0))</f>
        <v>0</v>
      </c>
      <c r="AS287" s="467" t="str">
        <f>IFERROR(VLOOKUP(Table_NFI[[#This Row],[Camp Name]],CL,3,0),"")</f>
        <v>Open</v>
      </c>
      <c r="AT287" s="294" t="str">
        <f ca="1">IF(Table_NFI[[#This Row],[Pcode]]="","",OFFSET(CampList[Priority],MATCH(Table_NFI[[#This Row],[Pcode]],CampList[CP_Pcode],0)-1,0,1,1))</f>
        <v>P4</v>
      </c>
      <c r="AU287" s="293">
        <f>IFERROR(Table_NFI[[#This Row],[Kitchen Set]]/VLOOKUP(Table_NFI[[#This Row],[Camp Name]],CL,4,0),"")</f>
        <v>0</v>
      </c>
      <c r="AV287" s="465"/>
      <c r="AW287" s="468"/>
    </row>
    <row r="288" spans="1:49" s="464" customFormat="1" ht="14.45" customHeight="1" x14ac:dyDescent="0.25">
      <c r="A288" s="297">
        <f t="shared" si="4"/>
        <v>27.433333333333334</v>
      </c>
      <c r="B288" s="460">
        <v>41913</v>
      </c>
      <c r="C288" s="461" t="s">
        <v>452</v>
      </c>
      <c r="D288" s="465" t="s">
        <v>505</v>
      </c>
      <c r="E288" s="465" t="s">
        <v>380</v>
      </c>
      <c r="F288" s="465" t="s">
        <v>27</v>
      </c>
      <c r="G288" s="465" t="s">
        <v>28</v>
      </c>
      <c r="H288" s="292"/>
      <c r="I288" s="292"/>
      <c r="J288" s="292"/>
      <c r="K288" s="292">
        <v>214</v>
      </c>
      <c r="L288" s="292"/>
      <c r="M288" s="292"/>
      <c r="N288" s="292"/>
      <c r="O288" s="292"/>
      <c r="P288" s="294"/>
      <c r="Q288" s="294"/>
      <c r="R288" s="294"/>
      <c r="S288" s="294"/>
      <c r="T288" s="294"/>
      <c r="U288" s="294">
        <v>214</v>
      </c>
      <c r="V288" s="431"/>
      <c r="W288" s="294"/>
      <c r="X288" s="294"/>
      <c r="Y288" s="294">
        <f>IF(NFI_Expiration=1,IF($A288&lt;VLOOKUP(H$5,NFI,5,0),1,0)*Table_NFI[[#This Row],[Hygiene Kit]],Table_NFI[Hygiene Kit])</f>
        <v>0</v>
      </c>
      <c r="Z288" s="294">
        <f>IF(NFI_Expiration=1,IF($A288&lt;VLOOKUP(I$5,NFI,5,0),1,0)*Table_NFI[[#This Row],[NFI Core Kit]],Table_NFI[NFI Core Kit])</f>
        <v>0</v>
      </c>
      <c r="AA288" s="294">
        <f>IF(NFI_Expiration=1,IF($A288&lt;VLOOKUP(J$5,NFI,5,0),1,0)*Table_NFI[[#This Row],[Sanitary Kit]],Table_NFI[Sanitary Kit])</f>
        <v>0</v>
      </c>
      <c r="AB288" s="294">
        <f>IF(NFI_Expiration=1,IF($A288&lt;VLOOKUP(K$5,NFI,5,0),1,0)*Table_NFI[[#This Row],[Mosquito net]],Table_NFI[Mosquito net])</f>
        <v>0</v>
      </c>
      <c r="AC288" s="294">
        <f>IF(NFI_Expiration=1,IF($A288&lt;VLOOKUP(L$5,NFI,5,0),1,0)*Table_NFI[[#This Row],[Tarpaulin]],Table_NFI[[#This Row],[Tarpaulin]])</f>
        <v>0</v>
      </c>
      <c r="AD288" s="294">
        <f>IF(NFI_Expiration=1,IF($A288&lt;VLOOKUP(M$5,NFI,5,0),1,0)*Table_NFI[[#This Row],[Blanket]],Table_NFI[[#This Row],[Blanket]])</f>
        <v>0</v>
      </c>
      <c r="AE288" s="294">
        <f>IF(NFI_Expiration=1,IF($A288&lt;VLOOKUP(N$5,NFI,5,0),1,0)*Table_NFI[[#This Row],[Kitchen Set]],Table_NFI[Kitchen Set])</f>
        <v>0</v>
      </c>
      <c r="AF288" s="294">
        <f>IF(NFI_Expiration=1,IF($A288&lt;VLOOKUP(O$5,NFI,5,0),1,0)*Table_NFI[[#This Row],[Clothes Kit]],Table_NFI[Clothes Kit])</f>
        <v>0</v>
      </c>
      <c r="AG288" s="294">
        <f>IF(NFI_Expiration=1,IF($A288&lt;VLOOKUP(P$5,NFI,5,0),1,0)*Table_NFI[[#This Row],[Plastic Bucket]],Table_NFI[Plastic Bucket])</f>
        <v>0</v>
      </c>
      <c r="AH288" s="294">
        <f>IF(NFI_Expiration=1,IF($A288&lt;VLOOKUP(Q$5,NFI,5,0),1,0)*Table_NFI[[#This Row],[Plastic Mat]],Table_NFI[Plastic Mat])*IF(Table_NFI[[#This Row],[Distribution Date]]&gt;"2014-04-01",1,2.5)</f>
        <v>0</v>
      </c>
      <c r="AI288" s="294">
        <f>IF(NFI_Expiration=1,IF($A288&lt;VLOOKUP(R$5,NFI,5,0),1,0)*Table_NFI[[#This Row],[Winter Clothes Adult]],Table_NFI[Winter Clothes Adult])</f>
        <v>0</v>
      </c>
      <c r="AJ288" s="294">
        <f>IF(NFI_Expiration=1,IF($A288&lt;VLOOKUP(S$5,NFI,5,0),1,0)*Table_NFI[[#This Row],[Winter Clothes Children]],Table_NFI[Winter Clothes Children])</f>
        <v>0</v>
      </c>
      <c r="AK288" s="294">
        <f>IF(NFI_Expiration=1,IF($A288&lt;VLOOKUP(T$5,NFI,5,0),1,0)*Table_NFI[[#This Row],[Winter Items Other]],Table_NFI[Winter Items Other])</f>
        <v>0</v>
      </c>
      <c r="AL288" s="294">
        <f>IF(NFI_Expiration=1,IF($A288&lt;VLOOKUP(M$5,NFI,5,0),1,0)*Table_NFI[[#This Row],[Winter Blanket]],Table_NFI[[#This Row],[Winter Blanket]])</f>
        <v>0</v>
      </c>
      <c r="AM288" s="294">
        <f>IF(Table_NFI[[#This Row],[Winter Clothes Adult]]+Table_NFI[[#This Row],[Winter Clothes Children]]+Table_NFI[[#This Row],[Winter Items Other]]+Table_NFI[[#This Row],[Winter Blanket]]&gt;0,1,0)</f>
        <v>1</v>
      </c>
      <c r="AN288" s="331">
        <f>IF(NFI_Expiration=1,IF($A288&lt;VLOOKUP(V$5,NFI,5,0),1,0)*Table_NFI[[#This Row],[Jerry Can]],Table_NFI[Jerry Can])</f>
        <v>0</v>
      </c>
      <c r="AO288" s="331">
        <f>IF(NFI_Expiration=1,IF($A288&lt;VLOOKUP(V$5,NFI,5,0),1,0)*Table_NFI[[#This Row],[Shelter Tool kit]],Table_NFI[Shelter Tool kit])</f>
        <v>0</v>
      </c>
      <c r="AP288" s="331">
        <f>IF(NFI_Expiration=1,IF($A288&lt;VLOOKUP(V$5,NFI,5,0),1,0)*Table_NFI[[#This Row],[Tent]],Table_NFI[Tent])</f>
        <v>0</v>
      </c>
      <c r="AQ288" s="467" t="str">
        <f>IFERROR(VLOOKUP(Table_NFI[[#This Row],[Camp Name]],CL,2,0),"")</f>
        <v>MMR001CMP042</v>
      </c>
      <c r="AR288" s="835">
        <f ca="1">IF(Table_NFI[[#This Row],[Pcode]]="","",IF(OFFSET(CampList[Opening Date],MATCH(Table_NFI[[#This Row],[Pcode]],CampList[CP_Pcode],0)-1,0,1,1)&gt;=NFI_Monitor_Date,1,0))</f>
        <v>0</v>
      </c>
      <c r="AS288" s="467" t="str">
        <f>IFERROR(VLOOKUP(Table_NFI[[#This Row],[Camp Name]],CL,3,0),"")</f>
        <v>Open</v>
      </c>
      <c r="AT288" s="294" t="str">
        <f ca="1">IF(Table_NFI[[#This Row],[Pcode]]="","",OFFSET(CampList[Priority],MATCH(Table_NFI[[#This Row],[Pcode]],CampList[CP_Pcode],0)-1,0,1,1))</f>
        <v>P1</v>
      </c>
      <c r="AU288" s="293">
        <f>IFERROR(Table_NFI[[#This Row],[Kitchen Set]]/VLOOKUP(Table_NFI[[#This Row],[Camp Name]],CL,4,0),"")</f>
        <v>0</v>
      </c>
      <c r="AV288" s="465"/>
      <c r="AW288" s="468"/>
    </row>
    <row r="289" spans="1:49" s="464" customFormat="1" ht="14.45" customHeight="1" x14ac:dyDescent="0.25">
      <c r="A289" s="297">
        <f t="shared" si="4"/>
        <v>27.433333333333334</v>
      </c>
      <c r="B289" s="460">
        <v>41913</v>
      </c>
      <c r="C289" s="461" t="s">
        <v>452</v>
      </c>
      <c r="D289" s="465" t="s">
        <v>505</v>
      </c>
      <c r="E289" s="465" t="s">
        <v>380</v>
      </c>
      <c r="F289" s="465" t="s">
        <v>527</v>
      </c>
      <c r="G289" s="465" t="s">
        <v>76</v>
      </c>
      <c r="H289" s="292"/>
      <c r="I289" s="292"/>
      <c r="J289" s="292"/>
      <c r="K289" s="292">
        <v>130</v>
      </c>
      <c r="L289" s="292"/>
      <c r="M289" s="292"/>
      <c r="N289" s="292"/>
      <c r="O289" s="292"/>
      <c r="P289" s="294"/>
      <c r="Q289" s="294"/>
      <c r="R289" s="294"/>
      <c r="S289" s="294"/>
      <c r="T289" s="294"/>
      <c r="U289" s="294"/>
      <c r="V289" s="431"/>
      <c r="W289" s="294"/>
      <c r="X289" s="294"/>
      <c r="Y289" s="294">
        <f>IF(NFI_Expiration=1,IF($A289&lt;VLOOKUP(H$5,NFI,5,0),1,0)*Table_NFI[[#This Row],[Hygiene Kit]],Table_NFI[Hygiene Kit])</f>
        <v>0</v>
      </c>
      <c r="Z289" s="294">
        <f>IF(NFI_Expiration=1,IF($A289&lt;VLOOKUP(I$5,NFI,5,0),1,0)*Table_NFI[[#This Row],[NFI Core Kit]],Table_NFI[NFI Core Kit])</f>
        <v>0</v>
      </c>
      <c r="AA289" s="294">
        <f>IF(NFI_Expiration=1,IF($A289&lt;VLOOKUP(J$5,NFI,5,0),1,0)*Table_NFI[[#This Row],[Sanitary Kit]],Table_NFI[Sanitary Kit])</f>
        <v>0</v>
      </c>
      <c r="AB289" s="294">
        <f>IF(NFI_Expiration=1,IF($A289&lt;VLOOKUP(K$5,NFI,5,0),1,0)*Table_NFI[[#This Row],[Mosquito net]],Table_NFI[Mosquito net])</f>
        <v>0</v>
      </c>
      <c r="AC289" s="294">
        <f>IF(NFI_Expiration=1,IF($A289&lt;VLOOKUP(L$5,NFI,5,0),1,0)*Table_NFI[[#This Row],[Tarpaulin]],Table_NFI[[#This Row],[Tarpaulin]])</f>
        <v>0</v>
      </c>
      <c r="AD289" s="294">
        <f>IF(NFI_Expiration=1,IF($A289&lt;VLOOKUP(M$5,NFI,5,0),1,0)*Table_NFI[[#This Row],[Blanket]],Table_NFI[[#This Row],[Blanket]])</f>
        <v>0</v>
      </c>
      <c r="AE289" s="294">
        <f>IF(NFI_Expiration=1,IF($A289&lt;VLOOKUP(N$5,NFI,5,0),1,0)*Table_NFI[[#This Row],[Kitchen Set]],Table_NFI[Kitchen Set])</f>
        <v>0</v>
      </c>
      <c r="AF289" s="294">
        <f>IF(NFI_Expiration=1,IF($A289&lt;VLOOKUP(O$5,NFI,5,0),1,0)*Table_NFI[[#This Row],[Clothes Kit]],Table_NFI[Clothes Kit])</f>
        <v>0</v>
      </c>
      <c r="AG289" s="294">
        <f>IF(NFI_Expiration=1,IF($A289&lt;VLOOKUP(P$5,NFI,5,0),1,0)*Table_NFI[[#This Row],[Plastic Bucket]],Table_NFI[Plastic Bucket])</f>
        <v>0</v>
      </c>
      <c r="AH289" s="294">
        <f>IF(NFI_Expiration=1,IF($A289&lt;VLOOKUP(Q$5,NFI,5,0),1,0)*Table_NFI[[#This Row],[Plastic Mat]],Table_NFI[Plastic Mat])*IF(Table_NFI[[#This Row],[Distribution Date]]&gt;"2014-04-01",1,2.5)</f>
        <v>0</v>
      </c>
      <c r="AI289" s="294">
        <f>IF(NFI_Expiration=1,IF($A289&lt;VLOOKUP(R$5,NFI,5,0),1,0)*Table_NFI[[#This Row],[Winter Clothes Adult]],Table_NFI[Winter Clothes Adult])</f>
        <v>0</v>
      </c>
      <c r="AJ289" s="294">
        <f>IF(NFI_Expiration=1,IF($A289&lt;VLOOKUP(S$5,NFI,5,0),1,0)*Table_NFI[[#This Row],[Winter Clothes Children]],Table_NFI[Winter Clothes Children])</f>
        <v>0</v>
      </c>
      <c r="AK289" s="294">
        <f>IF(NFI_Expiration=1,IF($A289&lt;VLOOKUP(T$5,NFI,5,0),1,0)*Table_NFI[[#This Row],[Winter Items Other]],Table_NFI[Winter Items Other])</f>
        <v>0</v>
      </c>
      <c r="AL289" s="294">
        <f>IF(NFI_Expiration=1,IF($A289&lt;VLOOKUP(M$5,NFI,5,0),1,0)*Table_NFI[[#This Row],[Winter Blanket]],Table_NFI[[#This Row],[Winter Blanket]])</f>
        <v>0</v>
      </c>
      <c r="AM289" s="294">
        <f>IF(Table_NFI[[#This Row],[Winter Clothes Adult]]+Table_NFI[[#This Row],[Winter Clothes Children]]+Table_NFI[[#This Row],[Winter Items Other]]+Table_NFI[[#This Row],[Winter Blanket]]&gt;0,1,0)</f>
        <v>0</v>
      </c>
      <c r="AN289" s="331">
        <f>IF(NFI_Expiration=1,IF($A289&lt;VLOOKUP(V$5,NFI,5,0),1,0)*Table_NFI[[#This Row],[Jerry Can]],Table_NFI[Jerry Can])</f>
        <v>0</v>
      </c>
      <c r="AO289" s="331">
        <f>IF(NFI_Expiration=1,IF($A289&lt;VLOOKUP(V$5,NFI,5,0),1,0)*Table_NFI[[#This Row],[Shelter Tool kit]],Table_NFI[Shelter Tool kit])</f>
        <v>0</v>
      </c>
      <c r="AP289" s="331">
        <f>IF(NFI_Expiration=1,IF($A289&lt;VLOOKUP(V$5,NFI,5,0),1,0)*Table_NFI[[#This Row],[Tent]],Table_NFI[Tent])</f>
        <v>0</v>
      </c>
      <c r="AQ289" s="467" t="str">
        <f>IFERROR(VLOOKUP(Table_NFI[[#This Row],[Camp Name]],CL,2,0),"")</f>
        <v>MMR001CMP174</v>
      </c>
      <c r="AR289" s="835">
        <f ca="1">IF(Table_NFI[[#This Row],[Pcode]]="","",IF(OFFSET(CampList[Opening Date],MATCH(Table_NFI[[#This Row],[Pcode]],CampList[CP_Pcode],0)-1,0,1,1)&gt;=NFI_Monitor_Date,1,0))</f>
        <v>0</v>
      </c>
      <c r="AS289" s="467" t="str">
        <f>IFERROR(VLOOKUP(Table_NFI[[#This Row],[Camp Name]],CL,3,0),"")</f>
        <v>Open</v>
      </c>
      <c r="AT289" s="294" t="str">
        <f ca="1">IF(Table_NFI[[#This Row],[Pcode]]="","",OFFSET(CampList[Priority],MATCH(Table_NFI[[#This Row],[Pcode]],CampList[CP_Pcode],0)-1,0,1,1))</f>
        <v>P4</v>
      </c>
      <c r="AU289" s="293">
        <f>IFERROR(Table_NFI[[#This Row],[Kitchen Set]]/VLOOKUP(Table_NFI[[#This Row],[Camp Name]],CL,4,0),"")</f>
        <v>0</v>
      </c>
      <c r="AV289" s="465"/>
      <c r="AW289" s="468"/>
    </row>
    <row r="290" spans="1:49" s="464" customFormat="1" ht="14.45" customHeight="1" x14ac:dyDescent="0.25">
      <c r="A290" s="297">
        <f t="shared" si="4"/>
        <v>27.433333333333334</v>
      </c>
      <c r="B290" s="460">
        <v>41913</v>
      </c>
      <c r="C290" s="461" t="s">
        <v>452</v>
      </c>
      <c r="D290" s="465" t="s">
        <v>506</v>
      </c>
      <c r="E290" s="465" t="s">
        <v>380</v>
      </c>
      <c r="F290" s="465" t="s">
        <v>185</v>
      </c>
      <c r="G290" s="465" t="s">
        <v>192</v>
      </c>
      <c r="H290" s="292"/>
      <c r="I290" s="292"/>
      <c r="J290" s="292"/>
      <c r="K290" s="292">
        <v>238</v>
      </c>
      <c r="L290" s="292"/>
      <c r="M290" s="292"/>
      <c r="N290" s="292"/>
      <c r="O290" s="292"/>
      <c r="P290" s="294"/>
      <c r="Q290" s="294"/>
      <c r="R290" s="294"/>
      <c r="S290" s="294"/>
      <c r="T290" s="294"/>
      <c r="U290" s="294">
        <v>238</v>
      </c>
      <c r="V290" s="431"/>
      <c r="W290" s="294"/>
      <c r="X290" s="294"/>
      <c r="Y290" s="294">
        <f>IF(NFI_Expiration=1,IF($A290&lt;VLOOKUP(H$5,NFI,5,0),1,0)*Table_NFI[[#This Row],[Hygiene Kit]],Table_NFI[Hygiene Kit])</f>
        <v>0</v>
      </c>
      <c r="Z290" s="294">
        <f>IF(NFI_Expiration=1,IF($A290&lt;VLOOKUP(I$5,NFI,5,0),1,0)*Table_NFI[[#This Row],[NFI Core Kit]],Table_NFI[NFI Core Kit])</f>
        <v>0</v>
      </c>
      <c r="AA290" s="294">
        <f>IF(NFI_Expiration=1,IF($A290&lt;VLOOKUP(J$5,NFI,5,0),1,0)*Table_NFI[[#This Row],[Sanitary Kit]],Table_NFI[Sanitary Kit])</f>
        <v>0</v>
      </c>
      <c r="AB290" s="294">
        <f>IF(NFI_Expiration=1,IF($A290&lt;VLOOKUP(K$5,NFI,5,0),1,0)*Table_NFI[[#This Row],[Mosquito net]],Table_NFI[Mosquito net])</f>
        <v>0</v>
      </c>
      <c r="AC290" s="294">
        <f>IF(NFI_Expiration=1,IF($A290&lt;VLOOKUP(L$5,NFI,5,0),1,0)*Table_NFI[[#This Row],[Tarpaulin]],Table_NFI[[#This Row],[Tarpaulin]])</f>
        <v>0</v>
      </c>
      <c r="AD290" s="294">
        <f>IF(NFI_Expiration=1,IF($A290&lt;VLOOKUP(M$5,NFI,5,0),1,0)*Table_NFI[[#This Row],[Blanket]],Table_NFI[[#This Row],[Blanket]])</f>
        <v>0</v>
      </c>
      <c r="AE290" s="294">
        <f>IF(NFI_Expiration=1,IF($A290&lt;VLOOKUP(N$5,NFI,5,0),1,0)*Table_NFI[[#This Row],[Kitchen Set]],Table_NFI[Kitchen Set])</f>
        <v>0</v>
      </c>
      <c r="AF290" s="294">
        <f>IF(NFI_Expiration=1,IF($A290&lt;VLOOKUP(O$5,NFI,5,0),1,0)*Table_NFI[[#This Row],[Clothes Kit]],Table_NFI[Clothes Kit])</f>
        <v>0</v>
      </c>
      <c r="AG290" s="294">
        <f>IF(NFI_Expiration=1,IF($A290&lt;VLOOKUP(P$5,NFI,5,0),1,0)*Table_NFI[[#This Row],[Plastic Bucket]],Table_NFI[Plastic Bucket])</f>
        <v>0</v>
      </c>
      <c r="AH290" s="294">
        <f>IF(NFI_Expiration=1,IF($A290&lt;VLOOKUP(Q$5,NFI,5,0),1,0)*Table_NFI[[#This Row],[Plastic Mat]],Table_NFI[Plastic Mat])*IF(Table_NFI[[#This Row],[Distribution Date]]&gt;"2014-04-01",1,2.5)</f>
        <v>0</v>
      </c>
      <c r="AI290" s="294">
        <f>IF(NFI_Expiration=1,IF($A290&lt;VLOOKUP(R$5,NFI,5,0),1,0)*Table_NFI[[#This Row],[Winter Clothes Adult]],Table_NFI[Winter Clothes Adult])</f>
        <v>0</v>
      </c>
      <c r="AJ290" s="294">
        <f>IF(NFI_Expiration=1,IF($A290&lt;VLOOKUP(S$5,NFI,5,0),1,0)*Table_NFI[[#This Row],[Winter Clothes Children]],Table_NFI[Winter Clothes Children])</f>
        <v>0</v>
      </c>
      <c r="AK290" s="294">
        <f>IF(NFI_Expiration=1,IF($A290&lt;VLOOKUP(T$5,NFI,5,0),1,0)*Table_NFI[[#This Row],[Winter Items Other]],Table_NFI[Winter Items Other])</f>
        <v>0</v>
      </c>
      <c r="AL290" s="294">
        <f>IF(NFI_Expiration=1,IF($A290&lt;VLOOKUP(M$5,NFI,5,0),1,0)*Table_NFI[[#This Row],[Winter Blanket]],Table_NFI[[#This Row],[Winter Blanket]])</f>
        <v>0</v>
      </c>
      <c r="AM290" s="294">
        <f>IF(Table_NFI[[#This Row],[Winter Clothes Adult]]+Table_NFI[[#This Row],[Winter Clothes Children]]+Table_NFI[[#This Row],[Winter Items Other]]+Table_NFI[[#This Row],[Winter Blanket]]&gt;0,1,0)</f>
        <v>1</v>
      </c>
      <c r="AN290" s="331">
        <f>IF(NFI_Expiration=1,IF($A290&lt;VLOOKUP(V$5,NFI,5,0),1,0)*Table_NFI[[#This Row],[Jerry Can]],Table_NFI[Jerry Can])</f>
        <v>0</v>
      </c>
      <c r="AO290" s="331">
        <f>IF(NFI_Expiration=1,IF($A290&lt;VLOOKUP(V$5,NFI,5,0),1,0)*Table_NFI[[#This Row],[Shelter Tool kit]],Table_NFI[Shelter Tool kit])</f>
        <v>0</v>
      </c>
      <c r="AP290" s="331">
        <f>IF(NFI_Expiration=1,IF($A290&lt;VLOOKUP(V$5,NFI,5,0),1,0)*Table_NFI[[#This Row],[Tent]],Table_NFI[Tent])</f>
        <v>0</v>
      </c>
      <c r="AQ290" s="467" t="str">
        <f>IFERROR(VLOOKUP(Table_NFI[[#This Row],[Camp Name]],CL,2,0),"")</f>
        <v>MMR001CMP123</v>
      </c>
      <c r="AR290" s="835">
        <f ca="1">IF(Table_NFI[[#This Row],[Pcode]]="","",IF(OFFSET(CampList[Opening Date],MATCH(Table_NFI[[#This Row],[Pcode]],CampList[CP_Pcode],0)-1,0,1,1)&gt;=NFI_Monitor_Date,1,0))</f>
        <v>0</v>
      </c>
      <c r="AS290" s="467" t="str">
        <f>IFERROR(VLOOKUP(Table_NFI[[#This Row],[Camp Name]],CL,3,0),"")</f>
        <v>Open</v>
      </c>
      <c r="AT290" s="294" t="str">
        <f ca="1">IF(Table_NFI[[#This Row],[Pcode]]="","",OFFSET(CampList[Priority],MATCH(Table_NFI[[#This Row],[Pcode]],CampList[CP_Pcode],0)-1,0,1,1))</f>
        <v>P2</v>
      </c>
      <c r="AU290" s="293">
        <f>IFERROR(Table_NFI[[#This Row],[Kitchen Set]]/VLOOKUP(Table_NFI[[#This Row],[Camp Name]],CL,4,0),"")</f>
        <v>0</v>
      </c>
      <c r="AV290" s="465"/>
      <c r="AW290" s="468"/>
    </row>
    <row r="291" spans="1:49" s="464" customFormat="1" ht="14.45" customHeight="1" x14ac:dyDescent="0.25">
      <c r="A291" s="297">
        <f t="shared" si="4"/>
        <v>27.433333333333334</v>
      </c>
      <c r="B291" s="460">
        <v>41913</v>
      </c>
      <c r="C291" s="461" t="s">
        <v>452</v>
      </c>
      <c r="D291" s="465" t="s">
        <v>505</v>
      </c>
      <c r="E291" s="465" t="s">
        <v>380</v>
      </c>
      <c r="F291" s="465" t="s">
        <v>310</v>
      </c>
      <c r="G291" s="465" t="s">
        <v>313</v>
      </c>
      <c r="H291" s="292"/>
      <c r="I291" s="292"/>
      <c r="J291" s="292"/>
      <c r="K291" s="292">
        <v>268</v>
      </c>
      <c r="L291" s="292"/>
      <c r="M291" s="292"/>
      <c r="N291" s="292"/>
      <c r="O291" s="292"/>
      <c r="P291" s="294"/>
      <c r="Q291" s="294"/>
      <c r="R291" s="294"/>
      <c r="S291" s="294"/>
      <c r="T291" s="294"/>
      <c r="U291" s="294"/>
      <c r="V291" s="431"/>
      <c r="W291" s="294"/>
      <c r="X291" s="294"/>
      <c r="Y291" s="294">
        <f>IF(NFI_Expiration=1,IF($A291&lt;VLOOKUP(H$5,NFI,5,0),1,0)*Table_NFI[[#This Row],[Hygiene Kit]],Table_NFI[Hygiene Kit])</f>
        <v>0</v>
      </c>
      <c r="Z291" s="294">
        <f>IF(NFI_Expiration=1,IF($A291&lt;VLOOKUP(I$5,NFI,5,0),1,0)*Table_NFI[[#This Row],[NFI Core Kit]],Table_NFI[NFI Core Kit])</f>
        <v>0</v>
      </c>
      <c r="AA291" s="294">
        <f>IF(NFI_Expiration=1,IF($A291&lt;VLOOKUP(J$5,NFI,5,0),1,0)*Table_NFI[[#This Row],[Sanitary Kit]],Table_NFI[Sanitary Kit])</f>
        <v>0</v>
      </c>
      <c r="AB291" s="294">
        <f>IF(NFI_Expiration=1,IF($A291&lt;VLOOKUP(K$5,NFI,5,0),1,0)*Table_NFI[[#This Row],[Mosquito net]],Table_NFI[Mosquito net])</f>
        <v>0</v>
      </c>
      <c r="AC291" s="294">
        <f>IF(NFI_Expiration=1,IF($A291&lt;VLOOKUP(L$5,NFI,5,0),1,0)*Table_NFI[[#This Row],[Tarpaulin]],Table_NFI[[#This Row],[Tarpaulin]])</f>
        <v>0</v>
      </c>
      <c r="AD291" s="294">
        <f>IF(NFI_Expiration=1,IF($A291&lt;VLOOKUP(M$5,NFI,5,0),1,0)*Table_NFI[[#This Row],[Blanket]],Table_NFI[[#This Row],[Blanket]])</f>
        <v>0</v>
      </c>
      <c r="AE291" s="294">
        <f>IF(NFI_Expiration=1,IF($A291&lt;VLOOKUP(N$5,NFI,5,0),1,0)*Table_NFI[[#This Row],[Kitchen Set]],Table_NFI[Kitchen Set])</f>
        <v>0</v>
      </c>
      <c r="AF291" s="294">
        <f>IF(NFI_Expiration=1,IF($A291&lt;VLOOKUP(O$5,NFI,5,0),1,0)*Table_NFI[[#This Row],[Clothes Kit]],Table_NFI[Clothes Kit])</f>
        <v>0</v>
      </c>
      <c r="AG291" s="294">
        <f>IF(NFI_Expiration=1,IF($A291&lt;VLOOKUP(P$5,NFI,5,0),1,0)*Table_NFI[[#This Row],[Plastic Bucket]],Table_NFI[Plastic Bucket])</f>
        <v>0</v>
      </c>
      <c r="AH291" s="294">
        <f>IF(NFI_Expiration=1,IF($A291&lt;VLOOKUP(Q$5,NFI,5,0),1,0)*Table_NFI[[#This Row],[Plastic Mat]],Table_NFI[Plastic Mat])*IF(Table_NFI[[#This Row],[Distribution Date]]&gt;"2014-04-01",1,2.5)</f>
        <v>0</v>
      </c>
      <c r="AI291" s="294">
        <f>IF(NFI_Expiration=1,IF($A291&lt;VLOOKUP(R$5,NFI,5,0),1,0)*Table_NFI[[#This Row],[Winter Clothes Adult]],Table_NFI[Winter Clothes Adult])</f>
        <v>0</v>
      </c>
      <c r="AJ291" s="294">
        <f>IF(NFI_Expiration=1,IF($A291&lt;VLOOKUP(S$5,NFI,5,0),1,0)*Table_NFI[[#This Row],[Winter Clothes Children]],Table_NFI[Winter Clothes Children])</f>
        <v>0</v>
      </c>
      <c r="AK291" s="294">
        <f>IF(NFI_Expiration=1,IF($A291&lt;VLOOKUP(T$5,NFI,5,0),1,0)*Table_NFI[[#This Row],[Winter Items Other]],Table_NFI[Winter Items Other])</f>
        <v>0</v>
      </c>
      <c r="AL291" s="294">
        <f>IF(NFI_Expiration=1,IF($A291&lt;VLOOKUP(M$5,NFI,5,0),1,0)*Table_NFI[[#This Row],[Winter Blanket]],Table_NFI[[#This Row],[Winter Blanket]])</f>
        <v>0</v>
      </c>
      <c r="AM291" s="294">
        <f>IF(Table_NFI[[#This Row],[Winter Clothes Adult]]+Table_NFI[[#This Row],[Winter Clothes Children]]+Table_NFI[[#This Row],[Winter Items Other]]+Table_NFI[[#This Row],[Winter Blanket]]&gt;0,1,0)</f>
        <v>0</v>
      </c>
      <c r="AN291" s="331">
        <f>IF(NFI_Expiration=1,IF($A291&lt;VLOOKUP(V$5,NFI,5,0),1,0)*Table_NFI[[#This Row],[Jerry Can]],Table_NFI[Jerry Can])</f>
        <v>0</v>
      </c>
      <c r="AO291" s="331">
        <f>IF(NFI_Expiration=1,IF($A291&lt;VLOOKUP(V$5,NFI,5,0),1,0)*Table_NFI[[#This Row],[Shelter Tool kit]],Table_NFI[Shelter Tool kit])</f>
        <v>0</v>
      </c>
      <c r="AP291" s="331">
        <f>IF(NFI_Expiration=1,IF($A291&lt;VLOOKUP(V$5,NFI,5,0),1,0)*Table_NFI[[#This Row],[Tent]],Table_NFI[Tent])</f>
        <v>0</v>
      </c>
      <c r="AQ291" s="467" t="str">
        <f>IFERROR(VLOOKUP(Table_NFI[[#This Row],[Camp Name]],CL,2,0),"")</f>
        <v>MMR001CMP028</v>
      </c>
      <c r="AR291" s="835">
        <f ca="1">IF(Table_NFI[[#This Row],[Pcode]]="","",IF(OFFSET(CampList[Opening Date],MATCH(Table_NFI[[#This Row],[Pcode]],CampList[CP_Pcode],0)-1,0,1,1)&gt;=NFI_Monitor_Date,1,0))</f>
        <v>0</v>
      </c>
      <c r="AS291" s="467" t="str">
        <f>IFERROR(VLOOKUP(Table_NFI[[#This Row],[Camp Name]],CL,3,0),"")</f>
        <v>Open</v>
      </c>
      <c r="AT291" s="294" t="str">
        <f ca="1">IF(Table_NFI[[#This Row],[Pcode]]="","",OFFSET(CampList[Priority],MATCH(Table_NFI[[#This Row],[Pcode]],CampList[CP_Pcode],0)-1,0,1,1))</f>
        <v>P4</v>
      </c>
      <c r="AU291" s="293">
        <f>IFERROR(Table_NFI[[#This Row],[Kitchen Set]]/VLOOKUP(Table_NFI[[#This Row],[Camp Name]],CL,4,0),"")</f>
        <v>0</v>
      </c>
      <c r="AV291" s="465"/>
      <c r="AW291" s="468"/>
    </row>
    <row r="292" spans="1:49" s="464" customFormat="1" ht="14.45" customHeight="1" x14ac:dyDescent="0.25">
      <c r="A292" s="297">
        <f t="shared" si="4"/>
        <v>27.433333333333334</v>
      </c>
      <c r="B292" s="460">
        <v>41913</v>
      </c>
      <c r="C292" s="461" t="s">
        <v>452</v>
      </c>
      <c r="D292" s="465" t="s">
        <v>505</v>
      </c>
      <c r="E292" s="465" t="s">
        <v>380</v>
      </c>
      <c r="F292" s="465" t="s">
        <v>527</v>
      </c>
      <c r="G292" s="465" t="s">
        <v>44</v>
      </c>
      <c r="H292" s="292"/>
      <c r="I292" s="292"/>
      <c r="J292" s="292"/>
      <c r="K292" s="292">
        <v>20</v>
      </c>
      <c r="L292" s="292"/>
      <c r="M292" s="292"/>
      <c r="N292" s="292"/>
      <c r="O292" s="292"/>
      <c r="P292" s="294"/>
      <c r="Q292" s="294"/>
      <c r="R292" s="294"/>
      <c r="S292" s="294"/>
      <c r="T292" s="294"/>
      <c r="U292" s="294"/>
      <c r="V292" s="431"/>
      <c r="W292" s="294"/>
      <c r="X292" s="294"/>
      <c r="Y292" s="294">
        <f>IF(NFI_Expiration=1,IF($A292&lt;VLOOKUP(H$5,NFI,5,0),1,0)*Table_NFI[[#This Row],[Hygiene Kit]],Table_NFI[Hygiene Kit])</f>
        <v>0</v>
      </c>
      <c r="Z292" s="294">
        <f>IF(NFI_Expiration=1,IF($A292&lt;VLOOKUP(I$5,NFI,5,0),1,0)*Table_NFI[[#This Row],[NFI Core Kit]],Table_NFI[NFI Core Kit])</f>
        <v>0</v>
      </c>
      <c r="AA292" s="294">
        <f>IF(NFI_Expiration=1,IF($A292&lt;VLOOKUP(J$5,NFI,5,0),1,0)*Table_NFI[[#This Row],[Sanitary Kit]],Table_NFI[Sanitary Kit])</f>
        <v>0</v>
      </c>
      <c r="AB292" s="294">
        <f>IF(NFI_Expiration=1,IF($A292&lt;VLOOKUP(K$5,NFI,5,0),1,0)*Table_NFI[[#This Row],[Mosquito net]],Table_NFI[Mosquito net])</f>
        <v>0</v>
      </c>
      <c r="AC292" s="294">
        <f>IF(NFI_Expiration=1,IF($A292&lt;VLOOKUP(L$5,NFI,5,0),1,0)*Table_NFI[[#This Row],[Tarpaulin]],Table_NFI[[#This Row],[Tarpaulin]])</f>
        <v>0</v>
      </c>
      <c r="AD292" s="294">
        <f>IF(NFI_Expiration=1,IF($A292&lt;VLOOKUP(M$5,NFI,5,0),1,0)*Table_NFI[[#This Row],[Blanket]],Table_NFI[[#This Row],[Blanket]])</f>
        <v>0</v>
      </c>
      <c r="AE292" s="294">
        <f>IF(NFI_Expiration=1,IF($A292&lt;VLOOKUP(N$5,NFI,5,0),1,0)*Table_NFI[[#This Row],[Kitchen Set]],Table_NFI[Kitchen Set])</f>
        <v>0</v>
      </c>
      <c r="AF292" s="294">
        <f>IF(NFI_Expiration=1,IF($A292&lt;VLOOKUP(O$5,NFI,5,0),1,0)*Table_NFI[[#This Row],[Clothes Kit]],Table_NFI[Clothes Kit])</f>
        <v>0</v>
      </c>
      <c r="AG292" s="294">
        <f>IF(NFI_Expiration=1,IF($A292&lt;VLOOKUP(P$5,NFI,5,0),1,0)*Table_NFI[[#This Row],[Plastic Bucket]],Table_NFI[Plastic Bucket])</f>
        <v>0</v>
      </c>
      <c r="AH292" s="294">
        <f>IF(NFI_Expiration=1,IF($A292&lt;VLOOKUP(Q$5,NFI,5,0),1,0)*Table_NFI[[#This Row],[Plastic Mat]],Table_NFI[Plastic Mat])*IF(Table_NFI[[#This Row],[Distribution Date]]&gt;"2014-04-01",1,2.5)</f>
        <v>0</v>
      </c>
      <c r="AI292" s="294">
        <f>IF(NFI_Expiration=1,IF($A292&lt;VLOOKUP(R$5,NFI,5,0),1,0)*Table_NFI[[#This Row],[Winter Clothes Adult]],Table_NFI[Winter Clothes Adult])</f>
        <v>0</v>
      </c>
      <c r="AJ292" s="294">
        <f>IF(NFI_Expiration=1,IF($A292&lt;VLOOKUP(S$5,NFI,5,0),1,0)*Table_NFI[[#This Row],[Winter Clothes Children]],Table_NFI[Winter Clothes Children])</f>
        <v>0</v>
      </c>
      <c r="AK292" s="294">
        <f>IF(NFI_Expiration=1,IF($A292&lt;VLOOKUP(T$5,NFI,5,0),1,0)*Table_NFI[[#This Row],[Winter Items Other]],Table_NFI[Winter Items Other])</f>
        <v>0</v>
      </c>
      <c r="AL292" s="294">
        <f>IF(NFI_Expiration=1,IF($A292&lt;VLOOKUP(M$5,NFI,5,0),1,0)*Table_NFI[[#This Row],[Winter Blanket]],Table_NFI[[#This Row],[Winter Blanket]])</f>
        <v>0</v>
      </c>
      <c r="AM292" s="294">
        <f>IF(Table_NFI[[#This Row],[Winter Clothes Adult]]+Table_NFI[[#This Row],[Winter Clothes Children]]+Table_NFI[[#This Row],[Winter Items Other]]+Table_NFI[[#This Row],[Winter Blanket]]&gt;0,1,0)</f>
        <v>0</v>
      </c>
      <c r="AN292" s="331">
        <f>IF(NFI_Expiration=1,IF($A292&lt;VLOOKUP(V$5,NFI,5,0),1,0)*Table_NFI[[#This Row],[Jerry Can]],Table_NFI[Jerry Can])</f>
        <v>0</v>
      </c>
      <c r="AO292" s="331">
        <f>IF(NFI_Expiration=1,IF($A292&lt;VLOOKUP(V$5,NFI,5,0),1,0)*Table_NFI[[#This Row],[Shelter Tool kit]],Table_NFI[Shelter Tool kit])</f>
        <v>0</v>
      </c>
      <c r="AP292" s="331">
        <f>IF(NFI_Expiration=1,IF($A292&lt;VLOOKUP(V$5,NFI,5,0),1,0)*Table_NFI[[#This Row],[Tent]],Table_NFI[Tent])</f>
        <v>0</v>
      </c>
      <c r="AQ292" s="467" t="str">
        <f>IFERROR(VLOOKUP(Table_NFI[[#This Row],[Camp Name]],CL,2,0),"")</f>
        <v>MMR001CMP191</v>
      </c>
      <c r="AR292" s="835">
        <f ca="1">IF(Table_NFI[[#This Row],[Pcode]]="","",IF(OFFSET(CampList[Opening Date],MATCH(Table_NFI[[#This Row],[Pcode]],CampList[CP_Pcode],0)-1,0,1,1)&gt;=NFI_Monitor_Date,1,0))</f>
        <v>0</v>
      </c>
      <c r="AS292" s="467" t="str">
        <f>IFERROR(VLOOKUP(Table_NFI[[#This Row],[Camp Name]],CL,3,0),"")</f>
        <v>Open</v>
      </c>
      <c r="AT292" s="294" t="str">
        <f ca="1">IF(Table_NFI[[#This Row],[Pcode]]="","",OFFSET(CampList[Priority],MATCH(Table_NFI[[#This Row],[Pcode]],CampList[CP_Pcode],0)-1,0,1,1))</f>
        <v>P4</v>
      </c>
      <c r="AU292" s="293">
        <f>IFERROR(Table_NFI[[#This Row],[Kitchen Set]]/VLOOKUP(Table_NFI[[#This Row],[Camp Name]],CL,4,0),"")</f>
        <v>0</v>
      </c>
      <c r="AV292" s="465"/>
      <c r="AW292" s="468"/>
    </row>
    <row r="293" spans="1:49" s="464" customFormat="1" ht="14.45" customHeight="1" x14ac:dyDescent="0.25">
      <c r="A293" s="297">
        <f t="shared" si="4"/>
        <v>27.433333333333334</v>
      </c>
      <c r="B293" s="460">
        <v>41913</v>
      </c>
      <c r="C293" s="461" t="s">
        <v>452</v>
      </c>
      <c r="D293" s="465" t="s">
        <v>506</v>
      </c>
      <c r="E293" s="465" t="s">
        <v>380</v>
      </c>
      <c r="F293" s="465" t="s">
        <v>237</v>
      </c>
      <c r="G293" s="465" t="s">
        <v>255</v>
      </c>
      <c r="H293" s="292"/>
      <c r="I293" s="292"/>
      <c r="J293" s="292"/>
      <c r="K293" s="292">
        <v>218</v>
      </c>
      <c r="L293" s="292"/>
      <c r="M293" s="292"/>
      <c r="N293" s="292"/>
      <c r="O293" s="292"/>
      <c r="P293" s="294"/>
      <c r="Q293" s="294"/>
      <c r="R293" s="294"/>
      <c r="S293" s="294"/>
      <c r="T293" s="294"/>
      <c r="U293" s="294"/>
      <c r="V293" s="431"/>
      <c r="W293" s="294"/>
      <c r="X293" s="294"/>
      <c r="Y293" s="294">
        <f>IF(NFI_Expiration=1,IF($A293&lt;VLOOKUP(H$5,NFI,5,0),1,0)*Table_NFI[[#This Row],[Hygiene Kit]],Table_NFI[Hygiene Kit])</f>
        <v>0</v>
      </c>
      <c r="Z293" s="294">
        <f>IF(NFI_Expiration=1,IF($A293&lt;VLOOKUP(I$5,NFI,5,0),1,0)*Table_NFI[[#This Row],[NFI Core Kit]],Table_NFI[NFI Core Kit])</f>
        <v>0</v>
      </c>
      <c r="AA293" s="294">
        <f>IF(NFI_Expiration=1,IF($A293&lt;VLOOKUP(J$5,NFI,5,0),1,0)*Table_NFI[[#This Row],[Sanitary Kit]],Table_NFI[Sanitary Kit])</f>
        <v>0</v>
      </c>
      <c r="AB293" s="294">
        <f>IF(NFI_Expiration=1,IF($A293&lt;VLOOKUP(K$5,NFI,5,0),1,0)*Table_NFI[[#This Row],[Mosquito net]],Table_NFI[Mosquito net])</f>
        <v>0</v>
      </c>
      <c r="AC293" s="294">
        <f>IF(NFI_Expiration=1,IF($A293&lt;VLOOKUP(L$5,NFI,5,0),1,0)*Table_NFI[[#This Row],[Tarpaulin]],Table_NFI[[#This Row],[Tarpaulin]])</f>
        <v>0</v>
      </c>
      <c r="AD293" s="294">
        <f>IF(NFI_Expiration=1,IF($A293&lt;VLOOKUP(M$5,NFI,5,0),1,0)*Table_NFI[[#This Row],[Blanket]],Table_NFI[[#This Row],[Blanket]])</f>
        <v>0</v>
      </c>
      <c r="AE293" s="294">
        <f>IF(NFI_Expiration=1,IF($A293&lt;VLOOKUP(N$5,NFI,5,0),1,0)*Table_NFI[[#This Row],[Kitchen Set]],Table_NFI[Kitchen Set])</f>
        <v>0</v>
      </c>
      <c r="AF293" s="294">
        <f>IF(NFI_Expiration=1,IF($A293&lt;VLOOKUP(O$5,NFI,5,0),1,0)*Table_NFI[[#This Row],[Clothes Kit]],Table_NFI[Clothes Kit])</f>
        <v>0</v>
      </c>
      <c r="AG293" s="294">
        <f>IF(NFI_Expiration=1,IF($A293&lt;VLOOKUP(P$5,NFI,5,0),1,0)*Table_NFI[[#This Row],[Plastic Bucket]],Table_NFI[Plastic Bucket])</f>
        <v>0</v>
      </c>
      <c r="AH293" s="294">
        <f>IF(NFI_Expiration=1,IF($A293&lt;VLOOKUP(Q$5,NFI,5,0),1,0)*Table_NFI[[#This Row],[Plastic Mat]],Table_NFI[Plastic Mat])*IF(Table_NFI[[#This Row],[Distribution Date]]&gt;"2014-04-01",1,2.5)</f>
        <v>0</v>
      </c>
      <c r="AI293" s="294">
        <f>IF(NFI_Expiration=1,IF($A293&lt;VLOOKUP(R$5,NFI,5,0),1,0)*Table_NFI[[#This Row],[Winter Clothes Adult]],Table_NFI[Winter Clothes Adult])</f>
        <v>0</v>
      </c>
      <c r="AJ293" s="294">
        <f>IF(NFI_Expiration=1,IF($A293&lt;VLOOKUP(S$5,NFI,5,0),1,0)*Table_NFI[[#This Row],[Winter Clothes Children]],Table_NFI[Winter Clothes Children])</f>
        <v>0</v>
      </c>
      <c r="AK293" s="294">
        <f>IF(NFI_Expiration=1,IF($A293&lt;VLOOKUP(T$5,NFI,5,0),1,0)*Table_NFI[[#This Row],[Winter Items Other]],Table_NFI[Winter Items Other])</f>
        <v>0</v>
      </c>
      <c r="AL293" s="294">
        <f>IF(NFI_Expiration=1,IF($A293&lt;VLOOKUP(M$5,NFI,5,0),1,0)*Table_NFI[[#This Row],[Winter Blanket]],Table_NFI[[#This Row],[Winter Blanket]])</f>
        <v>0</v>
      </c>
      <c r="AM293" s="294">
        <f>IF(Table_NFI[[#This Row],[Winter Clothes Adult]]+Table_NFI[[#This Row],[Winter Clothes Children]]+Table_NFI[[#This Row],[Winter Items Other]]+Table_NFI[[#This Row],[Winter Blanket]]&gt;0,1,0)</f>
        <v>0</v>
      </c>
      <c r="AN293" s="331">
        <f>IF(NFI_Expiration=1,IF($A293&lt;VLOOKUP(V$5,NFI,5,0),1,0)*Table_NFI[[#This Row],[Jerry Can]],Table_NFI[Jerry Can])</f>
        <v>0</v>
      </c>
      <c r="AO293" s="331">
        <f>IF(NFI_Expiration=1,IF($A293&lt;VLOOKUP(V$5,NFI,5,0),1,0)*Table_NFI[[#This Row],[Shelter Tool kit]],Table_NFI[Shelter Tool kit])</f>
        <v>0</v>
      </c>
      <c r="AP293" s="331">
        <f>IF(NFI_Expiration=1,IF($A293&lt;VLOOKUP(V$5,NFI,5,0),1,0)*Table_NFI[[#This Row],[Tent]],Table_NFI[Tent])</f>
        <v>0</v>
      </c>
      <c r="AQ293" s="467" t="str">
        <f>IFERROR(VLOOKUP(Table_NFI[[#This Row],[Camp Name]],CL,2,0),"")</f>
        <v>MMR001CMP019</v>
      </c>
      <c r="AR293" s="835">
        <f ca="1">IF(Table_NFI[[#This Row],[Pcode]]="","",IF(OFFSET(CampList[Opening Date],MATCH(Table_NFI[[#This Row],[Pcode]],CampList[CP_Pcode],0)-1,0,1,1)&gt;=NFI_Monitor_Date,1,0))</f>
        <v>0</v>
      </c>
      <c r="AS293" s="467" t="str">
        <f>IFERROR(VLOOKUP(Table_NFI[[#This Row],[Camp Name]],CL,3,0),"")</f>
        <v>Open</v>
      </c>
      <c r="AT293" s="294" t="str">
        <f ca="1">IF(Table_NFI[[#This Row],[Pcode]]="","",OFFSET(CampList[Priority],MATCH(Table_NFI[[#This Row],[Pcode]],CampList[CP_Pcode],0)-1,0,1,1))</f>
        <v>P4</v>
      </c>
      <c r="AU293" s="293">
        <f>IFERROR(Table_NFI[[#This Row],[Kitchen Set]]/VLOOKUP(Table_NFI[[#This Row],[Camp Name]],CL,4,0),"")</f>
        <v>0</v>
      </c>
      <c r="AV293" s="465"/>
      <c r="AW293" s="468"/>
    </row>
    <row r="294" spans="1:49" s="464" customFormat="1" ht="14.45" customHeight="1" x14ac:dyDescent="0.25">
      <c r="A294" s="297">
        <f t="shared" si="4"/>
        <v>27.433333333333334</v>
      </c>
      <c r="B294" s="460">
        <v>41913</v>
      </c>
      <c r="C294" s="461" t="s">
        <v>452</v>
      </c>
      <c r="D294" s="465" t="s">
        <v>505</v>
      </c>
      <c r="E294" s="465" t="s">
        <v>380</v>
      </c>
      <c r="F294" s="465" t="s">
        <v>527</v>
      </c>
      <c r="G294" s="465" t="s">
        <v>58</v>
      </c>
      <c r="H294" s="292"/>
      <c r="I294" s="292"/>
      <c r="J294" s="292"/>
      <c r="K294" s="292">
        <v>30</v>
      </c>
      <c r="L294" s="292"/>
      <c r="M294" s="292"/>
      <c r="N294" s="292"/>
      <c r="O294" s="292"/>
      <c r="P294" s="294"/>
      <c r="Q294" s="294"/>
      <c r="R294" s="294"/>
      <c r="S294" s="294"/>
      <c r="T294" s="294"/>
      <c r="U294" s="294"/>
      <c r="V294" s="431"/>
      <c r="W294" s="294"/>
      <c r="X294" s="294"/>
      <c r="Y294" s="294">
        <f>IF(NFI_Expiration=1,IF($A294&lt;VLOOKUP(H$5,NFI,5,0),1,0)*Table_NFI[[#This Row],[Hygiene Kit]],Table_NFI[Hygiene Kit])</f>
        <v>0</v>
      </c>
      <c r="Z294" s="294">
        <f>IF(NFI_Expiration=1,IF($A294&lt;VLOOKUP(I$5,NFI,5,0),1,0)*Table_NFI[[#This Row],[NFI Core Kit]],Table_NFI[NFI Core Kit])</f>
        <v>0</v>
      </c>
      <c r="AA294" s="294">
        <f>IF(NFI_Expiration=1,IF($A294&lt;VLOOKUP(J$5,NFI,5,0),1,0)*Table_NFI[[#This Row],[Sanitary Kit]],Table_NFI[Sanitary Kit])</f>
        <v>0</v>
      </c>
      <c r="AB294" s="294">
        <f>IF(NFI_Expiration=1,IF($A294&lt;VLOOKUP(K$5,NFI,5,0),1,0)*Table_NFI[[#This Row],[Mosquito net]],Table_NFI[Mosquito net])</f>
        <v>0</v>
      </c>
      <c r="AC294" s="294">
        <f>IF(NFI_Expiration=1,IF($A294&lt;VLOOKUP(L$5,NFI,5,0),1,0)*Table_NFI[[#This Row],[Tarpaulin]],Table_NFI[[#This Row],[Tarpaulin]])</f>
        <v>0</v>
      </c>
      <c r="AD294" s="294">
        <f>IF(NFI_Expiration=1,IF($A294&lt;VLOOKUP(M$5,NFI,5,0),1,0)*Table_NFI[[#This Row],[Blanket]],Table_NFI[[#This Row],[Blanket]])</f>
        <v>0</v>
      </c>
      <c r="AE294" s="294">
        <f>IF(NFI_Expiration=1,IF($A294&lt;VLOOKUP(N$5,NFI,5,0),1,0)*Table_NFI[[#This Row],[Kitchen Set]],Table_NFI[Kitchen Set])</f>
        <v>0</v>
      </c>
      <c r="AF294" s="294">
        <f>IF(NFI_Expiration=1,IF($A294&lt;VLOOKUP(O$5,NFI,5,0),1,0)*Table_NFI[[#This Row],[Clothes Kit]],Table_NFI[Clothes Kit])</f>
        <v>0</v>
      </c>
      <c r="AG294" s="294">
        <f>IF(NFI_Expiration=1,IF($A294&lt;VLOOKUP(P$5,NFI,5,0),1,0)*Table_NFI[[#This Row],[Plastic Bucket]],Table_NFI[Plastic Bucket])</f>
        <v>0</v>
      </c>
      <c r="AH294" s="294">
        <f>IF(NFI_Expiration=1,IF($A294&lt;VLOOKUP(Q$5,NFI,5,0),1,0)*Table_NFI[[#This Row],[Plastic Mat]],Table_NFI[Plastic Mat])*IF(Table_NFI[[#This Row],[Distribution Date]]&gt;"2014-04-01",1,2.5)</f>
        <v>0</v>
      </c>
      <c r="AI294" s="294">
        <f>IF(NFI_Expiration=1,IF($A294&lt;VLOOKUP(R$5,NFI,5,0),1,0)*Table_NFI[[#This Row],[Winter Clothes Adult]],Table_NFI[Winter Clothes Adult])</f>
        <v>0</v>
      </c>
      <c r="AJ294" s="294">
        <f>IF(NFI_Expiration=1,IF($A294&lt;VLOOKUP(S$5,NFI,5,0),1,0)*Table_NFI[[#This Row],[Winter Clothes Children]],Table_NFI[Winter Clothes Children])</f>
        <v>0</v>
      </c>
      <c r="AK294" s="294">
        <f>IF(NFI_Expiration=1,IF($A294&lt;VLOOKUP(T$5,NFI,5,0),1,0)*Table_NFI[[#This Row],[Winter Items Other]],Table_NFI[Winter Items Other])</f>
        <v>0</v>
      </c>
      <c r="AL294" s="294">
        <f>IF(NFI_Expiration=1,IF($A294&lt;VLOOKUP(M$5,NFI,5,0),1,0)*Table_NFI[[#This Row],[Winter Blanket]],Table_NFI[[#This Row],[Winter Blanket]])</f>
        <v>0</v>
      </c>
      <c r="AM294" s="294">
        <f>IF(Table_NFI[[#This Row],[Winter Clothes Adult]]+Table_NFI[[#This Row],[Winter Clothes Children]]+Table_NFI[[#This Row],[Winter Items Other]]+Table_NFI[[#This Row],[Winter Blanket]]&gt;0,1,0)</f>
        <v>0</v>
      </c>
      <c r="AN294" s="331">
        <f>IF(NFI_Expiration=1,IF($A294&lt;VLOOKUP(V$5,NFI,5,0),1,0)*Table_NFI[[#This Row],[Jerry Can]],Table_NFI[Jerry Can])</f>
        <v>0</v>
      </c>
      <c r="AO294" s="331">
        <f>IF(NFI_Expiration=1,IF($A294&lt;VLOOKUP(V$5,NFI,5,0),1,0)*Table_NFI[[#This Row],[Shelter Tool kit]],Table_NFI[Shelter Tool kit])</f>
        <v>0</v>
      </c>
      <c r="AP294" s="331">
        <f>IF(NFI_Expiration=1,IF($A294&lt;VLOOKUP(V$5,NFI,5,0),1,0)*Table_NFI[[#This Row],[Tent]],Table_NFI[Tent])</f>
        <v>0</v>
      </c>
      <c r="AQ294" s="467" t="str">
        <f>IFERROR(VLOOKUP(Table_NFI[[#This Row],[Camp Name]],CL,2,0),"")</f>
        <v>MMR001CMP188</v>
      </c>
      <c r="AR294" s="835">
        <f ca="1">IF(Table_NFI[[#This Row],[Pcode]]="","",IF(OFFSET(CampList[Opening Date],MATCH(Table_NFI[[#This Row],[Pcode]],CampList[CP_Pcode],0)-1,0,1,1)&gt;=NFI_Monitor_Date,1,0))</f>
        <v>0</v>
      </c>
      <c r="AS294" s="467" t="str">
        <f>IFERROR(VLOOKUP(Table_NFI[[#This Row],[Camp Name]],CL,3,0),"")</f>
        <v>Closed</v>
      </c>
      <c r="AT294" s="294" t="str">
        <f ca="1">IF(Table_NFI[[#This Row],[Pcode]]="","",OFFSET(CampList[Priority],MATCH(Table_NFI[[#This Row],[Pcode]],CampList[CP_Pcode],0)-1,0,1,1))</f>
        <v>P4</v>
      </c>
      <c r="AU294" s="293" t="str">
        <f>IFERROR(Table_NFI[[#This Row],[Kitchen Set]]/VLOOKUP(Table_NFI[[#This Row],[Camp Name]],CL,4,0),"")</f>
        <v/>
      </c>
      <c r="AV294" s="465"/>
      <c r="AW294" s="468"/>
    </row>
    <row r="295" spans="1:49" s="464" customFormat="1" ht="14.45" customHeight="1" x14ac:dyDescent="0.25">
      <c r="A295" s="297">
        <f t="shared" si="4"/>
        <v>27.433333333333334</v>
      </c>
      <c r="B295" s="460">
        <v>41913</v>
      </c>
      <c r="C295" s="461" t="s">
        <v>452</v>
      </c>
      <c r="D295" s="465" t="s">
        <v>505</v>
      </c>
      <c r="E295" s="465" t="s">
        <v>380</v>
      </c>
      <c r="F295" s="465" t="s">
        <v>237</v>
      </c>
      <c r="G295" s="465" t="s">
        <v>267</v>
      </c>
      <c r="H295" s="292"/>
      <c r="I295" s="292"/>
      <c r="J295" s="292"/>
      <c r="K295" s="292">
        <v>24</v>
      </c>
      <c r="L295" s="292"/>
      <c r="M295" s="292"/>
      <c r="N295" s="292"/>
      <c r="O295" s="292"/>
      <c r="P295" s="294"/>
      <c r="Q295" s="294"/>
      <c r="R295" s="294"/>
      <c r="S295" s="294"/>
      <c r="T295" s="294"/>
      <c r="U295" s="294"/>
      <c r="V295" s="431"/>
      <c r="W295" s="294"/>
      <c r="X295" s="294"/>
      <c r="Y295" s="294">
        <f>IF(NFI_Expiration=1,IF($A295&lt;VLOOKUP(H$5,NFI,5,0),1,0)*Table_NFI[[#This Row],[Hygiene Kit]],Table_NFI[Hygiene Kit])</f>
        <v>0</v>
      </c>
      <c r="Z295" s="294">
        <f>IF(NFI_Expiration=1,IF($A295&lt;VLOOKUP(I$5,NFI,5,0),1,0)*Table_NFI[[#This Row],[NFI Core Kit]],Table_NFI[NFI Core Kit])</f>
        <v>0</v>
      </c>
      <c r="AA295" s="294">
        <f>IF(NFI_Expiration=1,IF($A295&lt;VLOOKUP(J$5,NFI,5,0),1,0)*Table_NFI[[#This Row],[Sanitary Kit]],Table_NFI[Sanitary Kit])</f>
        <v>0</v>
      </c>
      <c r="AB295" s="294">
        <f>IF(NFI_Expiration=1,IF($A295&lt;VLOOKUP(K$5,NFI,5,0),1,0)*Table_NFI[[#This Row],[Mosquito net]],Table_NFI[Mosquito net])</f>
        <v>0</v>
      </c>
      <c r="AC295" s="294">
        <f>IF(NFI_Expiration=1,IF($A295&lt;VLOOKUP(L$5,NFI,5,0),1,0)*Table_NFI[[#This Row],[Tarpaulin]],Table_NFI[[#This Row],[Tarpaulin]])</f>
        <v>0</v>
      </c>
      <c r="AD295" s="294">
        <f>IF(NFI_Expiration=1,IF($A295&lt;VLOOKUP(M$5,NFI,5,0),1,0)*Table_NFI[[#This Row],[Blanket]],Table_NFI[[#This Row],[Blanket]])</f>
        <v>0</v>
      </c>
      <c r="AE295" s="294">
        <f>IF(NFI_Expiration=1,IF($A295&lt;VLOOKUP(N$5,NFI,5,0),1,0)*Table_NFI[[#This Row],[Kitchen Set]],Table_NFI[Kitchen Set])</f>
        <v>0</v>
      </c>
      <c r="AF295" s="294">
        <f>IF(NFI_Expiration=1,IF($A295&lt;VLOOKUP(O$5,NFI,5,0),1,0)*Table_NFI[[#This Row],[Clothes Kit]],Table_NFI[Clothes Kit])</f>
        <v>0</v>
      </c>
      <c r="AG295" s="294">
        <f>IF(NFI_Expiration=1,IF($A295&lt;VLOOKUP(P$5,NFI,5,0),1,0)*Table_NFI[[#This Row],[Plastic Bucket]],Table_NFI[Plastic Bucket])</f>
        <v>0</v>
      </c>
      <c r="AH295" s="294">
        <f>IF(NFI_Expiration=1,IF($A295&lt;VLOOKUP(Q$5,NFI,5,0),1,0)*Table_NFI[[#This Row],[Plastic Mat]],Table_NFI[Plastic Mat])*IF(Table_NFI[[#This Row],[Distribution Date]]&gt;"2014-04-01",1,2.5)</f>
        <v>0</v>
      </c>
      <c r="AI295" s="294">
        <f>IF(NFI_Expiration=1,IF($A295&lt;VLOOKUP(R$5,NFI,5,0),1,0)*Table_NFI[[#This Row],[Winter Clothes Adult]],Table_NFI[Winter Clothes Adult])</f>
        <v>0</v>
      </c>
      <c r="AJ295" s="294">
        <f>IF(NFI_Expiration=1,IF($A295&lt;VLOOKUP(S$5,NFI,5,0),1,0)*Table_NFI[[#This Row],[Winter Clothes Children]],Table_NFI[Winter Clothes Children])</f>
        <v>0</v>
      </c>
      <c r="AK295" s="294">
        <f>IF(NFI_Expiration=1,IF($A295&lt;VLOOKUP(T$5,NFI,5,0),1,0)*Table_NFI[[#This Row],[Winter Items Other]],Table_NFI[Winter Items Other])</f>
        <v>0</v>
      </c>
      <c r="AL295" s="294">
        <f>IF(NFI_Expiration=1,IF($A295&lt;VLOOKUP(M$5,NFI,5,0),1,0)*Table_NFI[[#This Row],[Winter Blanket]],Table_NFI[[#This Row],[Winter Blanket]])</f>
        <v>0</v>
      </c>
      <c r="AM295" s="294">
        <f>IF(Table_NFI[[#This Row],[Winter Clothes Adult]]+Table_NFI[[#This Row],[Winter Clothes Children]]+Table_NFI[[#This Row],[Winter Items Other]]+Table_NFI[[#This Row],[Winter Blanket]]&gt;0,1,0)</f>
        <v>0</v>
      </c>
      <c r="AN295" s="331">
        <f>IF(NFI_Expiration=1,IF($A295&lt;VLOOKUP(V$5,NFI,5,0),1,0)*Table_NFI[[#This Row],[Jerry Can]],Table_NFI[Jerry Can])</f>
        <v>0</v>
      </c>
      <c r="AO295" s="331">
        <f>IF(NFI_Expiration=1,IF($A295&lt;VLOOKUP(V$5,NFI,5,0),1,0)*Table_NFI[[#This Row],[Shelter Tool kit]],Table_NFI[Shelter Tool kit])</f>
        <v>0</v>
      </c>
      <c r="AP295" s="331">
        <f>IF(NFI_Expiration=1,IF($A295&lt;VLOOKUP(V$5,NFI,5,0),1,0)*Table_NFI[[#This Row],[Tent]],Table_NFI[Tent])</f>
        <v>0</v>
      </c>
      <c r="AQ295" s="467" t="str">
        <f>IFERROR(VLOOKUP(Table_NFI[[#This Row],[Camp Name]],CL,2,0),"")</f>
        <v>MMR001CMP017</v>
      </c>
      <c r="AR295" s="835">
        <f ca="1">IF(Table_NFI[[#This Row],[Pcode]]="","",IF(OFFSET(CampList[Opening Date],MATCH(Table_NFI[[#This Row],[Pcode]],CampList[CP_Pcode],0)-1,0,1,1)&gt;=NFI_Monitor_Date,1,0))</f>
        <v>0</v>
      </c>
      <c r="AS295" s="467" t="str">
        <f>IFERROR(VLOOKUP(Table_NFI[[#This Row],[Camp Name]],CL,3,0),"")</f>
        <v>Closed</v>
      </c>
      <c r="AT295" s="294" t="str">
        <f ca="1">IF(Table_NFI[[#This Row],[Pcode]]="","",OFFSET(CampList[Priority],MATCH(Table_NFI[[#This Row],[Pcode]],CampList[CP_Pcode],0)-1,0,1,1))</f>
        <v>P4</v>
      </c>
      <c r="AU295" s="293">
        <f>IFERROR(Table_NFI[[#This Row],[Kitchen Set]]/VLOOKUP(Table_NFI[[#This Row],[Camp Name]],CL,4,0),"")</f>
        <v>0</v>
      </c>
      <c r="AV295" s="465"/>
      <c r="AW295" s="468"/>
    </row>
    <row r="296" spans="1:49" s="464" customFormat="1" ht="14.45" customHeight="1" x14ac:dyDescent="0.25">
      <c r="A296" s="297">
        <f t="shared" si="4"/>
        <v>27.433333333333334</v>
      </c>
      <c r="B296" s="460">
        <v>41913</v>
      </c>
      <c r="C296" s="461" t="s">
        <v>452</v>
      </c>
      <c r="D296" s="465" t="s">
        <v>505</v>
      </c>
      <c r="E296" s="465" t="s">
        <v>380</v>
      </c>
      <c r="F296" s="465" t="s">
        <v>27</v>
      </c>
      <c r="G296" s="465" t="s">
        <v>365</v>
      </c>
      <c r="H296" s="292"/>
      <c r="I296" s="292"/>
      <c r="J296" s="292"/>
      <c r="K296" s="292">
        <v>278</v>
      </c>
      <c r="L296" s="292"/>
      <c r="M296" s="292"/>
      <c r="N296" s="292"/>
      <c r="O296" s="292"/>
      <c r="P296" s="294"/>
      <c r="Q296" s="294"/>
      <c r="R296" s="294"/>
      <c r="S296" s="294"/>
      <c r="T296" s="294"/>
      <c r="U296" s="294">
        <v>278</v>
      </c>
      <c r="V296" s="431"/>
      <c r="W296" s="294"/>
      <c r="X296" s="294"/>
      <c r="Y296" s="294">
        <f>IF(NFI_Expiration=1,IF($A296&lt;VLOOKUP(H$5,NFI,5,0),1,0)*Table_NFI[[#This Row],[Hygiene Kit]],Table_NFI[Hygiene Kit])</f>
        <v>0</v>
      </c>
      <c r="Z296" s="294">
        <f>IF(NFI_Expiration=1,IF($A296&lt;VLOOKUP(I$5,NFI,5,0),1,0)*Table_NFI[[#This Row],[NFI Core Kit]],Table_NFI[NFI Core Kit])</f>
        <v>0</v>
      </c>
      <c r="AA296" s="294">
        <f>IF(NFI_Expiration=1,IF($A296&lt;VLOOKUP(J$5,NFI,5,0),1,0)*Table_NFI[[#This Row],[Sanitary Kit]],Table_NFI[Sanitary Kit])</f>
        <v>0</v>
      </c>
      <c r="AB296" s="294">
        <f>IF(NFI_Expiration=1,IF($A296&lt;VLOOKUP(K$5,NFI,5,0),1,0)*Table_NFI[[#This Row],[Mosquito net]],Table_NFI[Mosquito net])</f>
        <v>0</v>
      </c>
      <c r="AC296" s="294">
        <f>IF(NFI_Expiration=1,IF($A296&lt;VLOOKUP(L$5,NFI,5,0),1,0)*Table_NFI[[#This Row],[Tarpaulin]],Table_NFI[[#This Row],[Tarpaulin]])</f>
        <v>0</v>
      </c>
      <c r="AD296" s="294">
        <f>IF(NFI_Expiration=1,IF($A296&lt;VLOOKUP(M$5,NFI,5,0),1,0)*Table_NFI[[#This Row],[Blanket]],Table_NFI[[#This Row],[Blanket]])</f>
        <v>0</v>
      </c>
      <c r="AE296" s="294">
        <f>IF(NFI_Expiration=1,IF($A296&lt;VLOOKUP(N$5,NFI,5,0),1,0)*Table_NFI[[#This Row],[Kitchen Set]],Table_NFI[Kitchen Set])</f>
        <v>0</v>
      </c>
      <c r="AF296" s="294">
        <f>IF(NFI_Expiration=1,IF($A296&lt;VLOOKUP(O$5,NFI,5,0),1,0)*Table_NFI[[#This Row],[Clothes Kit]],Table_NFI[Clothes Kit])</f>
        <v>0</v>
      </c>
      <c r="AG296" s="294">
        <f>IF(NFI_Expiration=1,IF($A296&lt;VLOOKUP(P$5,NFI,5,0),1,0)*Table_NFI[[#This Row],[Plastic Bucket]],Table_NFI[Plastic Bucket])</f>
        <v>0</v>
      </c>
      <c r="AH296" s="294">
        <f>IF(NFI_Expiration=1,IF($A296&lt;VLOOKUP(Q$5,NFI,5,0),1,0)*Table_NFI[[#This Row],[Plastic Mat]],Table_NFI[Plastic Mat])*IF(Table_NFI[[#This Row],[Distribution Date]]&gt;"2014-04-01",1,2.5)</f>
        <v>0</v>
      </c>
      <c r="AI296" s="294">
        <f>IF(NFI_Expiration=1,IF($A296&lt;VLOOKUP(R$5,NFI,5,0),1,0)*Table_NFI[[#This Row],[Winter Clothes Adult]],Table_NFI[Winter Clothes Adult])</f>
        <v>0</v>
      </c>
      <c r="AJ296" s="294">
        <f>IF(NFI_Expiration=1,IF($A296&lt;VLOOKUP(S$5,NFI,5,0),1,0)*Table_NFI[[#This Row],[Winter Clothes Children]],Table_NFI[Winter Clothes Children])</f>
        <v>0</v>
      </c>
      <c r="AK296" s="294">
        <f>IF(NFI_Expiration=1,IF($A296&lt;VLOOKUP(T$5,NFI,5,0),1,0)*Table_NFI[[#This Row],[Winter Items Other]],Table_NFI[Winter Items Other])</f>
        <v>0</v>
      </c>
      <c r="AL296" s="294">
        <f>IF(NFI_Expiration=1,IF($A296&lt;VLOOKUP(M$5,NFI,5,0),1,0)*Table_NFI[[#This Row],[Winter Blanket]],Table_NFI[[#This Row],[Winter Blanket]])</f>
        <v>0</v>
      </c>
      <c r="AM296" s="294">
        <f>IF(Table_NFI[[#This Row],[Winter Clothes Adult]]+Table_NFI[[#This Row],[Winter Clothes Children]]+Table_NFI[[#This Row],[Winter Items Other]]+Table_NFI[[#This Row],[Winter Blanket]]&gt;0,1,0)</f>
        <v>1</v>
      </c>
      <c r="AN296" s="331">
        <f>IF(NFI_Expiration=1,IF($A296&lt;VLOOKUP(V$5,NFI,5,0),1,0)*Table_NFI[[#This Row],[Jerry Can]],Table_NFI[Jerry Can])</f>
        <v>0</v>
      </c>
      <c r="AO296" s="331">
        <f>IF(NFI_Expiration=1,IF($A296&lt;VLOOKUP(V$5,NFI,5,0),1,0)*Table_NFI[[#This Row],[Shelter Tool kit]],Table_NFI[Shelter Tool kit])</f>
        <v>0</v>
      </c>
      <c r="AP296" s="331">
        <f>IF(NFI_Expiration=1,IF($A296&lt;VLOOKUP(V$5,NFI,5,0),1,0)*Table_NFI[[#This Row],[Tent]],Table_NFI[Tent])</f>
        <v>0</v>
      </c>
      <c r="AQ296" s="467" t="str">
        <f>IFERROR(VLOOKUP(Table_NFI[[#This Row],[Camp Name]],CL,2,0),"")</f>
        <v>MMR001CMP195</v>
      </c>
      <c r="AR296" s="835">
        <f ca="1">IF(Table_NFI[[#This Row],[Pcode]]="","",IF(OFFSET(CampList[Opening Date],MATCH(Table_NFI[[#This Row],[Pcode]],CampList[CP_Pcode],0)-1,0,1,1)&gt;=NFI_Monitor_Date,1,0))</f>
        <v>0</v>
      </c>
      <c r="AS296" s="467" t="str">
        <f>IFERROR(VLOOKUP(Table_NFI[[#This Row],[Camp Name]],CL,3,0),"")</f>
        <v>Open</v>
      </c>
      <c r="AT296" s="294" t="str">
        <f ca="1">IF(Table_NFI[[#This Row],[Pcode]]="","",OFFSET(CampList[Priority],MATCH(Table_NFI[[#This Row],[Pcode]],CampList[CP_Pcode],0)-1,0,1,1))</f>
        <v>P1</v>
      </c>
      <c r="AU296" s="293">
        <f>IFERROR(Table_NFI[[#This Row],[Kitchen Set]]/VLOOKUP(Table_NFI[[#This Row],[Camp Name]],CL,4,0),"")</f>
        <v>0</v>
      </c>
      <c r="AV296" s="465"/>
      <c r="AW296" s="468"/>
    </row>
    <row r="297" spans="1:49" s="464" customFormat="1" ht="14.45" customHeight="1" x14ac:dyDescent="0.25">
      <c r="A297" s="297">
        <f t="shared" si="4"/>
        <v>27.433333333333334</v>
      </c>
      <c r="B297" s="460">
        <v>41913</v>
      </c>
      <c r="C297" s="461" t="s">
        <v>452</v>
      </c>
      <c r="D297" s="465" t="s">
        <v>505</v>
      </c>
      <c r="E297" s="465" t="s">
        <v>380</v>
      </c>
      <c r="F297" s="465" t="s">
        <v>527</v>
      </c>
      <c r="G297" s="465" t="s">
        <v>90</v>
      </c>
      <c r="H297" s="292"/>
      <c r="I297" s="292"/>
      <c r="J297" s="292"/>
      <c r="K297" s="292">
        <v>40</v>
      </c>
      <c r="L297" s="292"/>
      <c r="M297" s="292"/>
      <c r="N297" s="292"/>
      <c r="O297" s="292"/>
      <c r="P297" s="294"/>
      <c r="Q297" s="294"/>
      <c r="R297" s="294"/>
      <c r="S297" s="294"/>
      <c r="T297" s="294"/>
      <c r="U297" s="294"/>
      <c r="V297" s="431"/>
      <c r="W297" s="294"/>
      <c r="X297" s="294"/>
      <c r="Y297" s="294">
        <f>IF(NFI_Expiration=1,IF($A297&lt;VLOOKUP(H$5,NFI,5,0),1,0)*Table_NFI[[#This Row],[Hygiene Kit]],Table_NFI[Hygiene Kit])</f>
        <v>0</v>
      </c>
      <c r="Z297" s="294">
        <f>IF(NFI_Expiration=1,IF($A297&lt;VLOOKUP(I$5,NFI,5,0),1,0)*Table_NFI[[#This Row],[NFI Core Kit]],Table_NFI[NFI Core Kit])</f>
        <v>0</v>
      </c>
      <c r="AA297" s="294">
        <f>IF(NFI_Expiration=1,IF($A297&lt;VLOOKUP(J$5,NFI,5,0),1,0)*Table_NFI[[#This Row],[Sanitary Kit]],Table_NFI[Sanitary Kit])</f>
        <v>0</v>
      </c>
      <c r="AB297" s="294">
        <f>IF(NFI_Expiration=1,IF($A297&lt;VLOOKUP(K$5,NFI,5,0),1,0)*Table_NFI[[#This Row],[Mosquito net]],Table_NFI[Mosquito net])</f>
        <v>0</v>
      </c>
      <c r="AC297" s="294">
        <f>IF(NFI_Expiration=1,IF($A297&lt;VLOOKUP(L$5,NFI,5,0),1,0)*Table_NFI[[#This Row],[Tarpaulin]],Table_NFI[[#This Row],[Tarpaulin]])</f>
        <v>0</v>
      </c>
      <c r="AD297" s="294">
        <f>IF(NFI_Expiration=1,IF($A297&lt;VLOOKUP(M$5,NFI,5,0),1,0)*Table_NFI[[#This Row],[Blanket]],Table_NFI[[#This Row],[Blanket]])</f>
        <v>0</v>
      </c>
      <c r="AE297" s="294">
        <f>IF(NFI_Expiration=1,IF($A297&lt;VLOOKUP(N$5,NFI,5,0),1,0)*Table_NFI[[#This Row],[Kitchen Set]],Table_NFI[Kitchen Set])</f>
        <v>0</v>
      </c>
      <c r="AF297" s="294">
        <f>IF(NFI_Expiration=1,IF($A297&lt;VLOOKUP(O$5,NFI,5,0),1,0)*Table_NFI[[#This Row],[Clothes Kit]],Table_NFI[Clothes Kit])</f>
        <v>0</v>
      </c>
      <c r="AG297" s="294">
        <f>IF(NFI_Expiration=1,IF($A297&lt;VLOOKUP(P$5,NFI,5,0),1,0)*Table_NFI[[#This Row],[Plastic Bucket]],Table_NFI[Plastic Bucket])</f>
        <v>0</v>
      </c>
      <c r="AH297" s="294">
        <f>IF(NFI_Expiration=1,IF($A297&lt;VLOOKUP(Q$5,NFI,5,0),1,0)*Table_NFI[[#This Row],[Plastic Mat]],Table_NFI[Plastic Mat])*IF(Table_NFI[[#This Row],[Distribution Date]]&gt;"2014-04-01",1,2.5)</f>
        <v>0</v>
      </c>
      <c r="AI297" s="294">
        <f>IF(NFI_Expiration=1,IF($A297&lt;VLOOKUP(R$5,NFI,5,0),1,0)*Table_NFI[[#This Row],[Winter Clothes Adult]],Table_NFI[Winter Clothes Adult])</f>
        <v>0</v>
      </c>
      <c r="AJ297" s="294">
        <f>IF(NFI_Expiration=1,IF($A297&lt;VLOOKUP(S$5,NFI,5,0),1,0)*Table_NFI[[#This Row],[Winter Clothes Children]],Table_NFI[Winter Clothes Children])</f>
        <v>0</v>
      </c>
      <c r="AK297" s="294">
        <f>IF(NFI_Expiration=1,IF($A297&lt;VLOOKUP(T$5,NFI,5,0),1,0)*Table_NFI[[#This Row],[Winter Items Other]],Table_NFI[Winter Items Other])</f>
        <v>0</v>
      </c>
      <c r="AL297" s="294">
        <f>IF(NFI_Expiration=1,IF($A297&lt;VLOOKUP(M$5,NFI,5,0),1,0)*Table_NFI[[#This Row],[Winter Blanket]],Table_NFI[[#This Row],[Winter Blanket]])</f>
        <v>0</v>
      </c>
      <c r="AM297" s="294">
        <f>IF(Table_NFI[[#This Row],[Winter Clothes Adult]]+Table_NFI[[#This Row],[Winter Clothes Children]]+Table_NFI[[#This Row],[Winter Items Other]]+Table_NFI[[#This Row],[Winter Blanket]]&gt;0,1,0)</f>
        <v>0</v>
      </c>
      <c r="AN297" s="331">
        <f>IF(NFI_Expiration=1,IF($A297&lt;VLOOKUP(V$5,NFI,5,0),1,0)*Table_NFI[[#This Row],[Jerry Can]],Table_NFI[Jerry Can])</f>
        <v>0</v>
      </c>
      <c r="AO297" s="331">
        <f>IF(NFI_Expiration=1,IF($A297&lt;VLOOKUP(V$5,NFI,5,0),1,0)*Table_NFI[[#This Row],[Shelter Tool kit]],Table_NFI[Shelter Tool kit])</f>
        <v>0</v>
      </c>
      <c r="AP297" s="331">
        <f>IF(NFI_Expiration=1,IF($A297&lt;VLOOKUP(V$5,NFI,5,0),1,0)*Table_NFI[[#This Row],[Tent]],Table_NFI[Tent])</f>
        <v>0</v>
      </c>
      <c r="AQ297" s="467" t="str">
        <f>IFERROR(VLOOKUP(Table_NFI[[#This Row],[Camp Name]],CL,2,0),"")</f>
        <v>MMR001CMP181</v>
      </c>
      <c r="AR297" s="835">
        <f ca="1">IF(Table_NFI[[#This Row],[Pcode]]="","",IF(OFFSET(CampList[Opening Date],MATCH(Table_NFI[[#This Row],[Pcode]],CampList[CP_Pcode],0)-1,0,1,1)&gt;=NFI_Monitor_Date,1,0))</f>
        <v>0</v>
      </c>
      <c r="AS297" s="467" t="str">
        <f>IFERROR(VLOOKUP(Table_NFI[[#This Row],[Camp Name]],CL,3,0),"")</f>
        <v>Open</v>
      </c>
      <c r="AT297" s="294" t="str">
        <f ca="1">IF(Table_NFI[[#This Row],[Pcode]]="","",OFFSET(CampList[Priority],MATCH(Table_NFI[[#This Row],[Pcode]],CampList[CP_Pcode],0)-1,0,1,1))</f>
        <v>P4</v>
      </c>
      <c r="AU297" s="293">
        <f>IFERROR(Table_NFI[[#This Row],[Kitchen Set]]/VLOOKUP(Table_NFI[[#This Row],[Camp Name]],CL,4,0),"")</f>
        <v>0</v>
      </c>
      <c r="AV297" s="465"/>
      <c r="AW297" s="468"/>
    </row>
    <row r="298" spans="1:49" s="464" customFormat="1" ht="14.45" customHeight="1" x14ac:dyDescent="0.25">
      <c r="A298" s="297">
        <f t="shared" si="4"/>
        <v>27.433333333333334</v>
      </c>
      <c r="B298" s="460">
        <v>41913</v>
      </c>
      <c r="C298" s="461" t="s">
        <v>452</v>
      </c>
      <c r="D298" s="465" t="s">
        <v>505</v>
      </c>
      <c r="E298" s="465" t="s">
        <v>380</v>
      </c>
      <c r="F298" s="465" t="s">
        <v>527</v>
      </c>
      <c r="G298" s="465" t="s">
        <v>92</v>
      </c>
      <c r="H298" s="292"/>
      <c r="I298" s="292"/>
      <c r="J298" s="292"/>
      <c r="K298" s="292">
        <v>16</v>
      </c>
      <c r="L298" s="292"/>
      <c r="M298" s="292"/>
      <c r="N298" s="292"/>
      <c r="O298" s="292"/>
      <c r="P298" s="294"/>
      <c r="Q298" s="294"/>
      <c r="R298" s="294"/>
      <c r="S298" s="294"/>
      <c r="T298" s="294"/>
      <c r="U298" s="294"/>
      <c r="V298" s="431"/>
      <c r="W298" s="294"/>
      <c r="X298" s="294"/>
      <c r="Y298" s="294">
        <f>IF(NFI_Expiration=1,IF($A298&lt;VLOOKUP(H$5,NFI,5,0),1,0)*Table_NFI[[#This Row],[Hygiene Kit]],Table_NFI[Hygiene Kit])</f>
        <v>0</v>
      </c>
      <c r="Z298" s="294">
        <f>IF(NFI_Expiration=1,IF($A298&lt;VLOOKUP(I$5,NFI,5,0),1,0)*Table_NFI[[#This Row],[NFI Core Kit]],Table_NFI[NFI Core Kit])</f>
        <v>0</v>
      </c>
      <c r="AA298" s="294">
        <f>IF(NFI_Expiration=1,IF($A298&lt;VLOOKUP(J$5,NFI,5,0),1,0)*Table_NFI[[#This Row],[Sanitary Kit]],Table_NFI[Sanitary Kit])</f>
        <v>0</v>
      </c>
      <c r="AB298" s="294">
        <f>IF(NFI_Expiration=1,IF($A298&lt;VLOOKUP(K$5,NFI,5,0),1,0)*Table_NFI[[#This Row],[Mosquito net]],Table_NFI[Mosquito net])</f>
        <v>0</v>
      </c>
      <c r="AC298" s="294">
        <f>IF(NFI_Expiration=1,IF($A298&lt;VLOOKUP(L$5,NFI,5,0),1,0)*Table_NFI[[#This Row],[Tarpaulin]],Table_NFI[[#This Row],[Tarpaulin]])</f>
        <v>0</v>
      </c>
      <c r="AD298" s="294">
        <f>IF(NFI_Expiration=1,IF($A298&lt;VLOOKUP(M$5,NFI,5,0),1,0)*Table_NFI[[#This Row],[Blanket]],Table_NFI[[#This Row],[Blanket]])</f>
        <v>0</v>
      </c>
      <c r="AE298" s="294">
        <f>IF(NFI_Expiration=1,IF($A298&lt;VLOOKUP(N$5,NFI,5,0),1,0)*Table_NFI[[#This Row],[Kitchen Set]],Table_NFI[Kitchen Set])</f>
        <v>0</v>
      </c>
      <c r="AF298" s="294">
        <f>IF(NFI_Expiration=1,IF($A298&lt;VLOOKUP(O$5,NFI,5,0),1,0)*Table_NFI[[#This Row],[Clothes Kit]],Table_NFI[Clothes Kit])</f>
        <v>0</v>
      </c>
      <c r="AG298" s="294">
        <f>IF(NFI_Expiration=1,IF($A298&lt;VLOOKUP(P$5,NFI,5,0),1,0)*Table_NFI[[#This Row],[Plastic Bucket]],Table_NFI[Plastic Bucket])</f>
        <v>0</v>
      </c>
      <c r="AH298" s="294">
        <f>IF(NFI_Expiration=1,IF($A298&lt;VLOOKUP(Q$5,NFI,5,0),1,0)*Table_NFI[[#This Row],[Plastic Mat]],Table_NFI[Plastic Mat])*IF(Table_NFI[[#This Row],[Distribution Date]]&gt;"2014-04-01",1,2.5)</f>
        <v>0</v>
      </c>
      <c r="AI298" s="294">
        <f>IF(NFI_Expiration=1,IF($A298&lt;VLOOKUP(R$5,NFI,5,0),1,0)*Table_NFI[[#This Row],[Winter Clothes Adult]],Table_NFI[Winter Clothes Adult])</f>
        <v>0</v>
      </c>
      <c r="AJ298" s="294">
        <f>IF(NFI_Expiration=1,IF($A298&lt;VLOOKUP(S$5,NFI,5,0),1,0)*Table_NFI[[#This Row],[Winter Clothes Children]],Table_NFI[Winter Clothes Children])</f>
        <v>0</v>
      </c>
      <c r="AK298" s="294">
        <f>IF(NFI_Expiration=1,IF($A298&lt;VLOOKUP(T$5,NFI,5,0),1,0)*Table_NFI[[#This Row],[Winter Items Other]],Table_NFI[Winter Items Other])</f>
        <v>0</v>
      </c>
      <c r="AL298" s="294">
        <f>IF(NFI_Expiration=1,IF($A298&lt;VLOOKUP(M$5,NFI,5,0),1,0)*Table_NFI[[#This Row],[Winter Blanket]],Table_NFI[[#This Row],[Winter Blanket]])</f>
        <v>0</v>
      </c>
      <c r="AM298" s="294">
        <f>IF(Table_NFI[[#This Row],[Winter Clothes Adult]]+Table_NFI[[#This Row],[Winter Clothes Children]]+Table_NFI[[#This Row],[Winter Items Other]]+Table_NFI[[#This Row],[Winter Blanket]]&gt;0,1,0)</f>
        <v>0</v>
      </c>
      <c r="AN298" s="331">
        <f>IF(NFI_Expiration=1,IF($A298&lt;VLOOKUP(V$5,NFI,5,0),1,0)*Table_NFI[[#This Row],[Jerry Can]],Table_NFI[Jerry Can])</f>
        <v>0</v>
      </c>
      <c r="AO298" s="331">
        <f>IF(NFI_Expiration=1,IF($A298&lt;VLOOKUP(V$5,NFI,5,0),1,0)*Table_NFI[[#This Row],[Shelter Tool kit]],Table_NFI[Shelter Tool kit])</f>
        <v>0</v>
      </c>
      <c r="AP298" s="331">
        <f>IF(NFI_Expiration=1,IF($A298&lt;VLOOKUP(V$5,NFI,5,0),1,0)*Table_NFI[[#This Row],[Tent]],Table_NFI[Tent])</f>
        <v>0</v>
      </c>
      <c r="AQ298" s="467" t="str">
        <f>IFERROR(VLOOKUP(Table_NFI[[#This Row],[Camp Name]],CL,2,0),"")</f>
        <v>MMR001CMP167</v>
      </c>
      <c r="AR298" s="835">
        <f ca="1">IF(Table_NFI[[#This Row],[Pcode]]="","",IF(OFFSET(CampList[Opening Date],MATCH(Table_NFI[[#This Row],[Pcode]],CampList[CP_Pcode],0)-1,0,1,1)&gt;=NFI_Monitor_Date,1,0))</f>
        <v>0</v>
      </c>
      <c r="AS298" s="467" t="str">
        <f>IFERROR(VLOOKUP(Table_NFI[[#This Row],[Camp Name]],CL,3,0),"")</f>
        <v>Open</v>
      </c>
      <c r="AT298" s="294" t="str">
        <f ca="1">IF(Table_NFI[[#This Row],[Pcode]]="","",OFFSET(CampList[Priority],MATCH(Table_NFI[[#This Row],[Pcode]],CampList[CP_Pcode],0)-1,0,1,1))</f>
        <v>P4</v>
      </c>
      <c r="AU298" s="293">
        <f>IFERROR(Table_NFI[[#This Row],[Kitchen Set]]/VLOOKUP(Table_NFI[[#This Row],[Camp Name]],CL,4,0),"")</f>
        <v>0</v>
      </c>
      <c r="AV298" s="465"/>
      <c r="AW298" s="468"/>
    </row>
    <row r="299" spans="1:49" s="464" customFormat="1" ht="14.45" customHeight="1" x14ac:dyDescent="0.25">
      <c r="A299" s="297">
        <f t="shared" si="4"/>
        <v>27.433333333333334</v>
      </c>
      <c r="B299" s="460">
        <v>41913</v>
      </c>
      <c r="C299" s="461" t="s">
        <v>452</v>
      </c>
      <c r="D299" s="465" t="s">
        <v>506</v>
      </c>
      <c r="E299" s="465" t="s">
        <v>380</v>
      </c>
      <c r="F299" s="465" t="s">
        <v>310</v>
      </c>
      <c r="G299" s="465" t="s">
        <v>322</v>
      </c>
      <c r="H299" s="292"/>
      <c r="I299" s="292"/>
      <c r="J299" s="292"/>
      <c r="K299" s="292">
        <v>1248</v>
      </c>
      <c r="L299" s="292"/>
      <c r="M299" s="292"/>
      <c r="N299" s="292"/>
      <c r="O299" s="292"/>
      <c r="P299" s="294"/>
      <c r="Q299" s="294"/>
      <c r="R299" s="294"/>
      <c r="S299" s="294"/>
      <c r="T299" s="294"/>
      <c r="U299" s="294">
        <v>1248</v>
      </c>
      <c r="V299" s="431"/>
      <c r="W299" s="294"/>
      <c r="X299" s="294"/>
      <c r="Y299" s="294">
        <f>IF(NFI_Expiration=1,IF($A299&lt;VLOOKUP(H$5,NFI,5,0),1,0)*Table_NFI[[#This Row],[Hygiene Kit]],Table_NFI[Hygiene Kit])</f>
        <v>0</v>
      </c>
      <c r="Z299" s="294">
        <f>IF(NFI_Expiration=1,IF($A299&lt;VLOOKUP(I$5,NFI,5,0),1,0)*Table_NFI[[#This Row],[NFI Core Kit]],Table_NFI[NFI Core Kit])</f>
        <v>0</v>
      </c>
      <c r="AA299" s="294">
        <f>IF(NFI_Expiration=1,IF($A299&lt;VLOOKUP(J$5,NFI,5,0),1,0)*Table_NFI[[#This Row],[Sanitary Kit]],Table_NFI[Sanitary Kit])</f>
        <v>0</v>
      </c>
      <c r="AB299" s="294">
        <f>IF(NFI_Expiration=1,IF($A299&lt;VLOOKUP(K$5,NFI,5,0),1,0)*Table_NFI[[#This Row],[Mosquito net]],Table_NFI[Mosquito net])</f>
        <v>0</v>
      </c>
      <c r="AC299" s="294">
        <f>IF(NFI_Expiration=1,IF($A299&lt;VLOOKUP(L$5,NFI,5,0),1,0)*Table_NFI[[#This Row],[Tarpaulin]],Table_NFI[[#This Row],[Tarpaulin]])</f>
        <v>0</v>
      </c>
      <c r="AD299" s="294">
        <f>IF(NFI_Expiration=1,IF($A299&lt;VLOOKUP(M$5,NFI,5,0),1,0)*Table_NFI[[#This Row],[Blanket]],Table_NFI[[#This Row],[Blanket]])</f>
        <v>0</v>
      </c>
      <c r="AE299" s="294">
        <f>IF(NFI_Expiration=1,IF($A299&lt;VLOOKUP(N$5,NFI,5,0),1,0)*Table_NFI[[#This Row],[Kitchen Set]],Table_NFI[Kitchen Set])</f>
        <v>0</v>
      </c>
      <c r="AF299" s="294">
        <f>IF(NFI_Expiration=1,IF($A299&lt;VLOOKUP(O$5,NFI,5,0),1,0)*Table_NFI[[#This Row],[Clothes Kit]],Table_NFI[Clothes Kit])</f>
        <v>0</v>
      </c>
      <c r="AG299" s="294">
        <f>IF(NFI_Expiration=1,IF($A299&lt;VLOOKUP(P$5,NFI,5,0),1,0)*Table_NFI[[#This Row],[Plastic Bucket]],Table_NFI[Plastic Bucket])</f>
        <v>0</v>
      </c>
      <c r="AH299" s="294">
        <f>IF(NFI_Expiration=1,IF($A299&lt;VLOOKUP(Q$5,NFI,5,0),1,0)*Table_NFI[[#This Row],[Plastic Mat]],Table_NFI[Plastic Mat])*IF(Table_NFI[[#This Row],[Distribution Date]]&gt;"2014-04-01",1,2.5)</f>
        <v>0</v>
      </c>
      <c r="AI299" s="294">
        <f>IF(NFI_Expiration=1,IF($A299&lt;VLOOKUP(R$5,NFI,5,0),1,0)*Table_NFI[[#This Row],[Winter Clothes Adult]],Table_NFI[Winter Clothes Adult])</f>
        <v>0</v>
      </c>
      <c r="AJ299" s="294">
        <f>IF(NFI_Expiration=1,IF($A299&lt;VLOOKUP(S$5,NFI,5,0),1,0)*Table_NFI[[#This Row],[Winter Clothes Children]],Table_NFI[Winter Clothes Children])</f>
        <v>0</v>
      </c>
      <c r="AK299" s="294">
        <f>IF(NFI_Expiration=1,IF($A299&lt;VLOOKUP(T$5,NFI,5,0),1,0)*Table_NFI[[#This Row],[Winter Items Other]],Table_NFI[Winter Items Other])</f>
        <v>0</v>
      </c>
      <c r="AL299" s="294">
        <f>IF(NFI_Expiration=1,IF($A299&lt;VLOOKUP(M$5,NFI,5,0),1,0)*Table_NFI[[#This Row],[Winter Blanket]],Table_NFI[[#This Row],[Winter Blanket]])</f>
        <v>0</v>
      </c>
      <c r="AM299" s="294">
        <f>IF(Table_NFI[[#This Row],[Winter Clothes Adult]]+Table_NFI[[#This Row],[Winter Clothes Children]]+Table_NFI[[#This Row],[Winter Items Other]]+Table_NFI[[#This Row],[Winter Blanket]]&gt;0,1,0)</f>
        <v>1</v>
      </c>
      <c r="AN299" s="331">
        <f>IF(NFI_Expiration=1,IF($A299&lt;VLOOKUP(V$5,NFI,5,0),1,0)*Table_NFI[[#This Row],[Jerry Can]],Table_NFI[Jerry Can])</f>
        <v>0</v>
      </c>
      <c r="AO299" s="331">
        <f>IF(NFI_Expiration=1,IF($A299&lt;VLOOKUP(V$5,NFI,5,0),1,0)*Table_NFI[[#This Row],[Shelter Tool kit]],Table_NFI[Shelter Tool kit])</f>
        <v>0</v>
      </c>
      <c r="AP299" s="331">
        <f>IF(NFI_Expiration=1,IF($A299&lt;VLOOKUP(V$5,NFI,5,0),1,0)*Table_NFI[[#This Row],[Tent]],Table_NFI[Tent])</f>
        <v>0</v>
      </c>
      <c r="AQ299" s="467" t="str">
        <f>IFERROR(VLOOKUP(Table_NFI[[#This Row],[Camp Name]],CL,2,0),"")</f>
        <v>MMR001CMP119</v>
      </c>
      <c r="AR299" s="835">
        <f ca="1">IF(Table_NFI[[#This Row],[Pcode]]="","",IF(OFFSET(CampList[Opening Date],MATCH(Table_NFI[[#This Row],[Pcode]],CampList[CP_Pcode],0)-1,0,1,1)&gt;=NFI_Monitor_Date,1,0))</f>
        <v>0</v>
      </c>
      <c r="AS299" s="467" t="str">
        <f>IFERROR(VLOOKUP(Table_NFI[[#This Row],[Camp Name]],CL,3,0),"")</f>
        <v>Open</v>
      </c>
      <c r="AT299" s="294" t="str">
        <f ca="1">IF(Table_NFI[[#This Row],[Pcode]]="","",OFFSET(CampList[Priority],MATCH(Table_NFI[[#This Row],[Pcode]],CampList[CP_Pcode],0)-1,0,1,1))</f>
        <v>P2</v>
      </c>
      <c r="AU299" s="293">
        <f>IFERROR(Table_NFI[[#This Row],[Kitchen Set]]/VLOOKUP(Table_NFI[[#This Row],[Camp Name]],CL,4,0),"")</f>
        <v>0</v>
      </c>
      <c r="AV299" s="465"/>
      <c r="AW299" s="468"/>
    </row>
    <row r="300" spans="1:49" s="464" customFormat="1" ht="14.45" customHeight="1" x14ac:dyDescent="0.25">
      <c r="A300" s="297">
        <f t="shared" si="4"/>
        <v>27.433333333333334</v>
      </c>
      <c r="B300" s="460">
        <v>41913</v>
      </c>
      <c r="C300" s="461" t="s">
        <v>452</v>
      </c>
      <c r="D300" s="465" t="s">
        <v>505</v>
      </c>
      <c r="E300" s="465" t="s">
        <v>380</v>
      </c>
      <c r="F300" s="465" t="s">
        <v>310</v>
      </c>
      <c r="G300" s="465" t="s">
        <v>328</v>
      </c>
      <c r="H300" s="292"/>
      <c r="I300" s="292"/>
      <c r="J300" s="292"/>
      <c r="K300" s="292">
        <v>286</v>
      </c>
      <c r="L300" s="292"/>
      <c r="M300" s="292"/>
      <c r="N300" s="292"/>
      <c r="O300" s="292"/>
      <c r="P300" s="294"/>
      <c r="Q300" s="294"/>
      <c r="R300" s="294"/>
      <c r="S300" s="294"/>
      <c r="T300" s="294"/>
      <c r="U300" s="294"/>
      <c r="V300" s="431"/>
      <c r="W300" s="294"/>
      <c r="X300" s="294"/>
      <c r="Y300" s="294">
        <f>IF(NFI_Expiration=1,IF($A300&lt;VLOOKUP(H$5,NFI,5,0),1,0)*Table_NFI[[#This Row],[Hygiene Kit]],Table_NFI[Hygiene Kit])</f>
        <v>0</v>
      </c>
      <c r="Z300" s="294">
        <f>IF(NFI_Expiration=1,IF($A300&lt;VLOOKUP(I$5,NFI,5,0),1,0)*Table_NFI[[#This Row],[NFI Core Kit]],Table_NFI[NFI Core Kit])</f>
        <v>0</v>
      </c>
      <c r="AA300" s="294">
        <f>IF(NFI_Expiration=1,IF($A300&lt;VLOOKUP(J$5,NFI,5,0),1,0)*Table_NFI[[#This Row],[Sanitary Kit]],Table_NFI[Sanitary Kit])</f>
        <v>0</v>
      </c>
      <c r="AB300" s="294">
        <f>IF(NFI_Expiration=1,IF($A300&lt;VLOOKUP(K$5,NFI,5,0),1,0)*Table_NFI[[#This Row],[Mosquito net]],Table_NFI[Mosquito net])</f>
        <v>0</v>
      </c>
      <c r="AC300" s="294">
        <f>IF(NFI_Expiration=1,IF($A300&lt;VLOOKUP(L$5,NFI,5,0),1,0)*Table_NFI[[#This Row],[Tarpaulin]],Table_NFI[[#This Row],[Tarpaulin]])</f>
        <v>0</v>
      </c>
      <c r="AD300" s="294">
        <f>IF(NFI_Expiration=1,IF($A300&lt;VLOOKUP(M$5,NFI,5,0),1,0)*Table_NFI[[#This Row],[Blanket]],Table_NFI[[#This Row],[Blanket]])</f>
        <v>0</v>
      </c>
      <c r="AE300" s="294">
        <f>IF(NFI_Expiration=1,IF($A300&lt;VLOOKUP(N$5,NFI,5,0),1,0)*Table_NFI[[#This Row],[Kitchen Set]],Table_NFI[Kitchen Set])</f>
        <v>0</v>
      </c>
      <c r="AF300" s="294">
        <f>IF(NFI_Expiration=1,IF($A300&lt;VLOOKUP(O$5,NFI,5,0),1,0)*Table_NFI[[#This Row],[Clothes Kit]],Table_NFI[Clothes Kit])</f>
        <v>0</v>
      </c>
      <c r="AG300" s="294">
        <f>IF(NFI_Expiration=1,IF($A300&lt;VLOOKUP(P$5,NFI,5,0),1,0)*Table_NFI[[#This Row],[Plastic Bucket]],Table_NFI[Plastic Bucket])</f>
        <v>0</v>
      </c>
      <c r="AH300" s="294">
        <f>IF(NFI_Expiration=1,IF($A300&lt;VLOOKUP(Q$5,NFI,5,0),1,0)*Table_NFI[[#This Row],[Plastic Mat]],Table_NFI[Plastic Mat])*IF(Table_NFI[[#This Row],[Distribution Date]]&gt;"2014-04-01",1,2.5)</f>
        <v>0</v>
      </c>
      <c r="AI300" s="294">
        <f>IF(NFI_Expiration=1,IF($A300&lt;VLOOKUP(R$5,NFI,5,0),1,0)*Table_NFI[[#This Row],[Winter Clothes Adult]],Table_NFI[Winter Clothes Adult])</f>
        <v>0</v>
      </c>
      <c r="AJ300" s="294">
        <f>IF(NFI_Expiration=1,IF($A300&lt;VLOOKUP(S$5,NFI,5,0),1,0)*Table_NFI[[#This Row],[Winter Clothes Children]],Table_NFI[Winter Clothes Children])</f>
        <v>0</v>
      </c>
      <c r="AK300" s="294">
        <f>IF(NFI_Expiration=1,IF($A300&lt;VLOOKUP(T$5,NFI,5,0),1,0)*Table_NFI[[#This Row],[Winter Items Other]],Table_NFI[Winter Items Other])</f>
        <v>0</v>
      </c>
      <c r="AL300" s="294">
        <f>IF(NFI_Expiration=1,IF($A300&lt;VLOOKUP(M$5,NFI,5,0),1,0)*Table_NFI[[#This Row],[Winter Blanket]],Table_NFI[[#This Row],[Winter Blanket]])</f>
        <v>0</v>
      </c>
      <c r="AM300" s="294">
        <f>IF(Table_NFI[[#This Row],[Winter Clothes Adult]]+Table_NFI[[#This Row],[Winter Clothes Children]]+Table_NFI[[#This Row],[Winter Items Other]]+Table_NFI[[#This Row],[Winter Blanket]]&gt;0,1,0)</f>
        <v>0</v>
      </c>
      <c r="AN300" s="331">
        <f>IF(NFI_Expiration=1,IF($A300&lt;VLOOKUP(V$5,NFI,5,0),1,0)*Table_NFI[[#This Row],[Jerry Can]],Table_NFI[Jerry Can])</f>
        <v>0</v>
      </c>
      <c r="AO300" s="331">
        <f>IF(NFI_Expiration=1,IF($A300&lt;VLOOKUP(V$5,NFI,5,0),1,0)*Table_NFI[[#This Row],[Shelter Tool kit]],Table_NFI[Shelter Tool kit])</f>
        <v>0</v>
      </c>
      <c r="AP300" s="331">
        <f>IF(NFI_Expiration=1,IF($A300&lt;VLOOKUP(V$5,NFI,5,0),1,0)*Table_NFI[[#This Row],[Tent]],Table_NFI[Tent])</f>
        <v>0</v>
      </c>
      <c r="AQ300" s="467" t="str">
        <f>IFERROR(VLOOKUP(Table_NFI[[#This Row],[Camp Name]],CL,2,0),"")</f>
        <v>MMR001CMP031</v>
      </c>
      <c r="AR300" s="835">
        <f ca="1">IF(Table_NFI[[#This Row],[Pcode]]="","",IF(OFFSET(CampList[Opening Date],MATCH(Table_NFI[[#This Row],[Pcode]],CampList[CP_Pcode],0)-1,0,1,1)&gt;=NFI_Monitor_Date,1,0))</f>
        <v>0</v>
      </c>
      <c r="AS300" s="467" t="str">
        <f>IFERROR(VLOOKUP(Table_NFI[[#This Row],[Camp Name]],CL,3,0),"")</f>
        <v>Open</v>
      </c>
      <c r="AT300" s="294" t="str">
        <f ca="1">IF(Table_NFI[[#This Row],[Pcode]]="","",OFFSET(CampList[Priority],MATCH(Table_NFI[[#This Row],[Pcode]],CampList[CP_Pcode],0)-1,0,1,1))</f>
        <v>P4</v>
      </c>
      <c r="AU300" s="293">
        <f>IFERROR(Table_NFI[[#This Row],[Kitchen Set]]/VLOOKUP(Table_NFI[[#This Row],[Camp Name]],CL,4,0),"")</f>
        <v>0</v>
      </c>
      <c r="AV300" s="465"/>
      <c r="AW300" s="468"/>
    </row>
    <row r="301" spans="1:49" s="464" customFormat="1" ht="14.45" customHeight="1" x14ac:dyDescent="0.25">
      <c r="A301" s="297">
        <f t="shared" si="4"/>
        <v>27.433333333333334</v>
      </c>
      <c r="B301" s="460">
        <v>41913</v>
      </c>
      <c r="C301" s="461" t="s">
        <v>452</v>
      </c>
      <c r="D301" s="465" t="s">
        <v>506</v>
      </c>
      <c r="E301" s="465" t="s">
        <v>380</v>
      </c>
      <c r="F301" s="465" t="s">
        <v>310</v>
      </c>
      <c r="G301" s="465" t="s">
        <v>330</v>
      </c>
      <c r="H301" s="292"/>
      <c r="I301" s="292"/>
      <c r="J301" s="292"/>
      <c r="K301" s="292">
        <v>462</v>
      </c>
      <c r="L301" s="292"/>
      <c r="M301" s="292"/>
      <c r="N301" s="292"/>
      <c r="O301" s="292"/>
      <c r="P301" s="294"/>
      <c r="Q301" s="294"/>
      <c r="R301" s="294"/>
      <c r="S301" s="294"/>
      <c r="T301" s="294"/>
      <c r="U301" s="294"/>
      <c r="V301" s="431"/>
      <c r="W301" s="294"/>
      <c r="X301" s="294"/>
      <c r="Y301" s="294">
        <f>IF(NFI_Expiration=1,IF($A301&lt;VLOOKUP(H$5,NFI,5,0),1,0)*Table_NFI[[#This Row],[Hygiene Kit]],Table_NFI[Hygiene Kit])</f>
        <v>0</v>
      </c>
      <c r="Z301" s="294">
        <f>IF(NFI_Expiration=1,IF($A301&lt;VLOOKUP(I$5,NFI,5,0),1,0)*Table_NFI[[#This Row],[NFI Core Kit]],Table_NFI[NFI Core Kit])</f>
        <v>0</v>
      </c>
      <c r="AA301" s="294">
        <f>IF(NFI_Expiration=1,IF($A301&lt;VLOOKUP(J$5,NFI,5,0),1,0)*Table_NFI[[#This Row],[Sanitary Kit]],Table_NFI[Sanitary Kit])</f>
        <v>0</v>
      </c>
      <c r="AB301" s="294">
        <f>IF(NFI_Expiration=1,IF($A301&lt;VLOOKUP(K$5,NFI,5,0),1,0)*Table_NFI[[#This Row],[Mosquito net]],Table_NFI[Mosquito net])</f>
        <v>0</v>
      </c>
      <c r="AC301" s="294">
        <f>IF(NFI_Expiration=1,IF($A301&lt;VLOOKUP(L$5,NFI,5,0),1,0)*Table_NFI[[#This Row],[Tarpaulin]],Table_NFI[[#This Row],[Tarpaulin]])</f>
        <v>0</v>
      </c>
      <c r="AD301" s="294">
        <f>IF(NFI_Expiration=1,IF($A301&lt;VLOOKUP(M$5,NFI,5,0),1,0)*Table_NFI[[#This Row],[Blanket]],Table_NFI[[#This Row],[Blanket]])</f>
        <v>0</v>
      </c>
      <c r="AE301" s="294">
        <f>IF(NFI_Expiration=1,IF($A301&lt;VLOOKUP(N$5,NFI,5,0),1,0)*Table_NFI[[#This Row],[Kitchen Set]],Table_NFI[Kitchen Set])</f>
        <v>0</v>
      </c>
      <c r="AF301" s="294">
        <f>IF(NFI_Expiration=1,IF($A301&lt;VLOOKUP(O$5,NFI,5,0),1,0)*Table_NFI[[#This Row],[Clothes Kit]],Table_NFI[Clothes Kit])</f>
        <v>0</v>
      </c>
      <c r="AG301" s="294">
        <f>IF(NFI_Expiration=1,IF($A301&lt;VLOOKUP(P$5,NFI,5,0),1,0)*Table_NFI[[#This Row],[Plastic Bucket]],Table_NFI[Plastic Bucket])</f>
        <v>0</v>
      </c>
      <c r="AH301" s="294">
        <f>IF(NFI_Expiration=1,IF($A301&lt;VLOOKUP(Q$5,NFI,5,0),1,0)*Table_NFI[[#This Row],[Plastic Mat]],Table_NFI[Plastic Mat])*IF(Table_NFI[[#This Row],[Distribution Date]]&gt;"2014-04-01",1,2.5)</f>
        <v>0</v>
      </c>
      <c r="AI301" s="294">
        <f>IF(NFI_Expiration=1,IF($A301&lt;VLOOKUP(R$5,NFI,5,0),1,0)*Table_NFI[[#This Row],[Winter Clothes Adult]],Table_NFI[Winter Clothes Adult])</f>
        <v>0</v>
      </c>
      <c r="AJ301" s="294">
        <f>IF(NFI_Expiration=1,IF($A301&lt;VLOOKUP(S$5,NFI,5,0),1,0)*Table_NFI[[#This Row],[Winter Clothes Children]],Table_NFI[Winter Clothes Children])</f>
        <v>0</v>
      </c>
      <c r="AK301" s="294">
        <f>IF(NFI_Expiration=1,IF($A301&lt;VLOOKUP(T$5,NFI,5,0),1,0)*Table_NFI[[#This Row],[Winter Items Other]],Table_NFI[Winter Items Other])</f>
        <v>0</v>
      </c>
      <c r="AL301" s="294">
        <f>IF(NFI_Expiration=1,IF($A301&lt;VLOOKUP(M$5,NFI,5,0),1,0)*Table_NFI[[#This Row],[Winter Blanket]],Table_NFI[[#This Row],[Winter Blanket]])</f>
        <v>0</v>
      </c>
      <c r="AM301" s="294">
        <f>IF(Table_NFI[[#This Row],[Winter Clothes Adult]]+Table_NFI[[#This Row],[Winter Clothes Children]]+Table_NFI[[#This Row],[Winter Items Other]]+Table_NFI[[#This Row],[Winter Blanket]]&gt;0,1,0)</f>
        <v>0</v>
      </c>
      <c r="AN301" s="331">
        <f>IF(NFI_Expiration=1,IF($A301&lt;VLOOKUP(V$5,NFI,5,0),1,0)*Table_NFI[[#This Row],[Jerry Can]],Table_NFI[Jerry Can])</f>
        <v>0</v>
      </c>
      <c r="AO301" s="331">
        <f>IF(NFI_Expiration=1,IF($A301&lt;VLOOKUP(V$5,NFI,5,0),1,0)*Table_NFI[[#This Row],[Shelter Tool kit]],Table_NFI[Shelter Tool kit])</f>
        <v>0</v>
      </c>
      <c r="AP301" s="331">
        <f>IF(NFI_Expiration=1,IF($A301&lt;VLOOKUP(V$5,NFI,5,0),1,0)*Table_NFI[[#This Row],[Tent]],Table_NFI[Tent])</f>
        <v>0</v>
      </c>
      <c r="AQ301" s="467" t="str">
        <f>IFERROR(VLOOKUP(Table_NFI[[#This Row],[Camp Name]],CL,2,0),"")</f>
        <v>MMR001CMP029</v>
      </c>
      <c r="AR301" s="835">
        <f ca="1">IF(Table_NFI[[#This Row],[Pcode]]="","",IF(OFFSET(CampList[Opening Date],MATCH(Table_NFI[[#This Row],[Pcode]],CampList[CP_Pcode],0)-1,0,1,1)&gt;=NFI_Monitor_Date,1,0))</f>
        <v>0</v>
      </c>
      <c r="AS301" s="467" t="str">
        <f>IFERROR(VLOOKUP(Table_NFI[[#This Row],[Camp Name]],CL,3,0),"")</f>
        <v>Open</v>
      </c>
      <c r="AT301" s="294" t="str">
        <f ca="1">IF(Table_NFI[[#This Row],[Pcode]]="","",OFFSET(CampList[Priority],MATCH(Table_NFI[[#This Row],[Pcode]],CampList[CP_Pcode],0)-1,0,1,1))</f>
        <v>P4</v>
      </c>
      <c r="AU301" s="293">
        <f>IFERROR(Table_NFI[[#This Row],[Kitchen Set]]/VLOOKUP(Table_NFI[[#This Row],[Camp Name]],CL,4,0),"")</f>
        <v>0</v>
      </c>
      <c r="AV301" s="465"/>
      <c r="AW301" s="468"/>
    </row>
    <row r="302" spans="1:49" s="464" customFormat="1" x14ac:dyDescent="0.25">
      <c r="A302" s="297">
        <f t="shared" si="4"/>
        <v>27.433333333333334</v>
      </c>
      <c r="B302" s="460">
        <v>41913</v>
      </c>
      <c r="C302" s="461" t="s">
        <v>452</v>
      </c>
      <c r="D302" s="465" t="s">
        <v>505</v>
      </c>
      <c r="E302" s="465" t="s">
        <v>380</v>
      </c>
      <c r="F302" s="465" t="s">
        <v>237</v>
      </c>
      <c r="G302" s="465" t="s">
        <v>263</v>
      </c>
      <c r="H302" s="292"/>
      <c r="I302" s="292"/>
      <c r="J302" s="292"/>
      <c r="K302" s="292">
        <v>52</v>
      </c>
      <c r="L302" s="292"/>
      <c r="M302" s="292"/>
      <c r="N302" s="292"/>
      <c r="O302" s="292"/>
      <c r="P302" s="294"/>
      <c r="Q302" s="294"/>
      <c r="R302" s="294"/>
      <c r="S302" s="294"/>
      <c r="T302" s="294"/>
      <c r="U302" s="294"/>
      <c r="V302" s="431"/>
      <c r="W302" s="294"/>
      <c r="X302" s="294"/>
      <c r="Y302" s="294">
        <f>IF(NFI_Expiration=1,IF($A302&lt;VLOOKUP(H$5,NFI,5,0),1,0)*Table_NFI[[#This Row],[Hygiene Kit]],Table_NFI[Hygiene Kit])</f>
        <v>0</v>
      </c>
      <c r="Z302" s="294">
        <f>IF(NFI_Expiration=1,IF($A302&lt;VLOOKUP(I$5,NFI,5,0),1,0)*Table_NFI[[#This Row],[NFI Core Kit]],Table_NFI[NFI Core Kit])</f>
        <v>0</v>
      </c>
      <c r="AA302" s="294">
        <f>IF(NFI_Expiration=1,IF($A302&lt;VLOOKUP(J$5,NFI,5,0),1,0)*Table_NFI[[#This Row],[Sanitary Kit]],Table_NFI[Sanitary Kit])</f>
        <v>0</v>
      </c>
      <c r="AB302" s="294">
        <f>IF(NFI_Expiration=1,IF($A302&lt;VLOOKUP(K$5,NFI,5,0),1,0)*Table_NFI[[#This Row],[Mosquito net]],Table_NFI[Mosquito net])</f>
        <v>0</v>
      </c>
      <c r="AC302" s="294">
        <f>IF(NFI_Expiration=1,IF($A302&lt;VLOOKUP(L$5,NFI,5,0),1,0)*Table_NFI[[#This Row],[Tarpaulin]],Table_NFI[[#This Row],[Tarpaulin]])</f>
        <v>0</v>
      </c>
      <c r="AD302" s="294">
        <f>IF(NFI_Expiration=1,IF($A302&lt;VLOOKUP(M$5,NFI,5,0),1,0)*Table_NFI[[#This Row],[Blanket]],Table_NFI[[#This Row],[Blanket]])</f>
        <v>0</v>
      </c>
      <c r="AE302" s="294">
        <f>IF(NFI_Expiration=1,IF($A302&lt;VLOOKUP(N$5,NFI,5,0),1,0)*Table_NFI[[#This Row],[Kitchen Set]],Table_NFI[Kitchen Set])</f>
        <v>0</v>
      </c>
      <c r="AF302" s="294">
        <f>IF(NFI_Expiration=1,IF($A302&lt;VLOOKUP(O$5,NFI,5,0),1,0)*Table_NFI[[#This Row],[Clothes Kit]],Table_NFI[Clothes Kit])</f>
        <v>0</v>
      </c>
      <c r="AG302" s="294">
        <f>IF(NFI_Expiration=1,IF($A302&lt;VLOOKUP(P$5,NFI,5,0),1,0)*Table_NFI[[#This Row],[Plastic Bucket]],Table_NFI[Plastic Bucket])</f>
        <v>0</v>
      </c>
      <c r="AH302" s="294">
        <f>IF(NFI_Expiration=1,IF($A302&lt;VLOOKUP(Q$5,NFI,5,0),1,0)*Table_NFI[[#This Row],[Plastic Mat]],Table_NFI[Plastic Mat])*IF(Table_NFI[[#This Row],[Distribution Date]]&gt;"2014-04-01",1,2.5)</f>
        <v>0</v>
      </c>
      <c r="AI302" s="294">
        <f>IF(NFI_Expiration=1,IF($A302&lt;VLOOKUP(R$5,NFI,5,0),1,0)*Table_NFI[[#This Row],[Winter Clothes Adult]],Table_NFI[Winter Clothes Adult])</f>
        <v>0</v>
      </c>
      <c r="AJ302" s="294">
        <f>IF(NFI_Expiration=1,IF($A302&lt;VLOOKUP(S$5,NFI,5,0),1,0)*Table_NFI[[#This Row],[Winter Clothes Children]],Table_NFI[Winter Clothes Children])</f>
        <v>0</v>
      </c>
      <c r="AK302" s="294">
        <f>IF(NFI_Expiration=1,IF($A302&lt;VLOOKUP(T$5,NFI,5,0),1,0)*Table_NFI[[#This Row],[Winter Items Other]],Table_NFI[Winter Items Other])</f>
        <v>0</v>
      </c>
      <c r="AL302" s="294">
        <f>IF(NFI_Expiration=1,IF($A302&lt;VLOOKUP(M$5,NFI,5,0),1,0)*Table_NFI[[#This Row],[Winter Blanket]],Table_NFI[[#This Row],[Winter Blanket]])</f>
        <v>0</v>
      </c>
      <c r="AM302" s="294">
        <f>IF(Table_NFI[[#This Row],[Winter Clothes Adult]]+Table_NFI[[#This Row],[Winter Clothes Children]]+Table_NFI[[#This Row],[Winter Items Other]]+Table_NFI[[#This Row],[Winter Blanket]]&gt;0,1,0)</f>
        <v>0</v>
      </c>
      <c r="AN302" s="331">
        <f>IF(NFI_Expiration=1,IF($A302&lt;VLOOKUP(V$5,NFI,5,0),1,0)*Table_NFI[[#This Row],[Jerry Can]],Table_NFI[Jerry Can])</f>
        <v>0</v>
      </c>
      <c r="AO302" s="331">
        <f>IF(NFI_Expiration=1,IF($A302&lt;VLOOKUP(V$5,NFI,5,0),1,0)*Table_NFI[[#This Row],[Shelter Tool kit]],Table_NFI[Shelter Tool kit])</f>
        <v>0</v>
      </c>
      <c r="AP302" s="331">
        <f>IF(NFI_Expiration=1,IF($A302&lt;VLOOKUP(V$5,NFI,5,0),1,0)*Table_NFI[[#This Row],[Tent]],Table_NFI[Tent])</f>
        <v>0</v>
      </c>
      <c r="AQ302" s="467" t="str">
        <f>IFERROR(VLOOKUP(Table_NFI[[#This Row],[Camp Name]],CL,2,0),"")</f>
        <v>MMR001CMP020</v>
      </c>
      <c r="AR302" s="835">
        <f ca="1">IF(Table_NFI[[#This Row],[Pcode]]="","",IF(OFFSET(CampList[Opening Date],MATCH(Table_NFI[[#This Row],[Pcode]],CampList[CP_Pcode],0)-1,0,1,1)&gt;=NFI_Monitor_Date,1,0))</f>
        <v>0</v>
      </c>
      <c r="AS302" s="467" t="str">
        <f>IFERROR(VLOOKUP(Table_NFI[[#This Row],[Camp Name]],CL,3,0),"")</f>
        <v>Open</v>
      </c>
      <c r="AT302" s="294" t="str">
        <f ca="1">IF(Table_NFI[[#This Row],[Pcode]]="","",OFFSET(CampList[Priority],MATCH(Table_NFI[[#This Row],[Pcode]],CampList[CP_Pcode],0)-1,0,1,1))</f>
        <v>P4</v>
      </c>
      <c r="AU302" s="293">
        <f>IFERROR(Table_NFI[[#This Row],[Kitchen Set]]/VLOOKUP(Table_NFI[[#This Row],[Camp Name]],CL,4,0),"")</f>
        <v>0</v>
      </c>
      <c r="AV302" s="465"/>
      <c r="AW302" s="468"/>
    </row>
    <row r="303" spans="1:49" s="464" customFormat="1" ht="14.45" customHeight="1" x14ac:dyDescent="0.25">
      <c r="A303" s="297">
        <f t="shared" si="4"/>
        <v>27.433333333333334</v>
      </c>
      <c r="B303" s="460">
        <v>41913</v>
      </c>
      <c r="C303" s="461" t="s">
        <v>452</v>
      </c>
      <c r="D303" s="465" t="s">
        <v>505</v>
      </c>
      <c r="E303" s="465" t="s">
        <v>380</v>
      </c>
      <c r="F303" s="465" t="s">
        <v>237</v>
      </c>
      <c r="G303" s="465" t="s">
        <v>265</v>
      </c>
      <c r="H303" s="292"/>
      <c r="I303" s="292"/>
      <c r="J303" s="292"/>
      <c r="K303" s="292">
        <v>42</v>
      </c>
      <c r="L303" s="292"/>
      <c r="M303" s="292"/>
      <c r="N303" s="292"/>
      <c r="O303" s="292"/>
      <c r="P303" s="294"/>
      <c r="Q303" s="294"/>
      <c r="R303" s="294"/>
      <c r="S303" s="294"/>
      <c r="T303" s="294"/>
      <c r="U303" s="294"/>
      <c r="V303" s="431"/>
      <c r="W303" s="294"/>
      <c r="X303" s="294"/>
      <c r="Y303" s="294">
        <f>IF(NFI_Expiration=1,IF($A303&lt;VLOOKUP(H$5,NFI,5,0),1,0)*Table_NFI[[#This Row],[Hygiene Kit]],Table_NFI[Hygiene Kit])</f>
        <v>0</v>
      </c>
      <c r="Z303" s="294">
        <f>IF(NFI_Expiration=1,IF($A303&lt;VLOOKUP(I$5,NFI,5,0),1,0)*Table_NFI[[#This Row],[NFI Core Kit]],Table_NFI[NFI Core Kit])</f>
        <v>0</v>
      </c>
      <c r="AA303" s="294">
        <f>IF(NFI_Expiration=1,IF($A303&lt;VLOOKUP(J$5,NFI,5,0),1,0)*Table_NFI[[#This Row],[Sanitary Kit]],Table_NFI[Sanitary Kit])</f>
        <v>0</v>
      </c>
      <c r="AB303" s="294">
        <f>IF(NFI_Expiration=1,IF($A303&lt;VLOOKUP(K$5,NFI,5,0),1,0)*Table_NFI[[#This Row],[Mosquito net]],Table_NFI[Mosquito net])</f>
        <v>0</v>
      </c>
      <c r="AC303" s="294">
        <f>IF(NFI_Expiration=1,IF($A303&lt;VLOOKUP(L$5,NFI,5,0),1,0)*Table_NFI[[#This Row],[Tarpaulin]],Table_NFI[[#This Row],[Tarpaulin]])</f>
        <v>0</v>
      </c>
      <c r="AD303" s="294">
        <f>IF(NFI_Expiration=1,IF($A303&lt;VLOOKUP(M$5,NFI,5,0),1,0)*Table_NFI[[#This Row],[Blanket]],Table_NFI[[#This Row],[Blanket]])</f>
        <v>0</v>
      </c>
      <c r="AE303" s="294">
        <f>IF(NFI_Expiration=1,IF($A303&lt;VLOOKUP(N$5,NFI,5,0),1,0)*Table_NFI[[#This Row],[Kitchen Set]],Table_NFI[Kitchen Set])</f>
        <v>0</v>
      </c>
      <c r="AF303" s="294">
        <f>IF(NFI_Expiration=1,IF($A303&lt;VLOOKUP(O$5,NFI,5,0),1,0)*Table_NFI[[#This Row],[Clothes Kit]],Table_NFI[Clothes Kit])</f>
        <v>0</v>
      </c>
      <c r="AG303" s="294">
        <f>IF(NFI_Expiration=1,IF($A303&lt;VLOOKUP(P$5,NFI,5,0),1,0)*Table_NFI[[#This Row],[Plastic Bucket]],Table_NFI[Plastic Bucket])</f>
        <v>0</v>
      </c>
      <c r="AH303" s="294">
        <f>IF(NFI_Expiration=1,IF($A303&lt;VLOOKUP(Q$5,NFI,5,0),1,0)*Table_NFI[[#This Row],[Plastic Mat]],Table_NFI[Plastic Mat])*IF(Table_NFI[[#This Row],[Distribution Date]]&gt;"2014-04-01",1,2.5)</f>
        <v>0</v>
      </c>
      <c r="AI303" s="294">
        <f>IF(NFI_Expiration=1,IF($A303&lt;VLOOKUP(R$5,NFI,5,0),1,0)*Table_NFI[[#This Row],[Winter Clothes Adult]],Table_NFI[Winter Clothes Adult])</f>
        <v>0</v>
      </c>
      <c r="AJ303" s="294">
        <f>IF(NFI_Expiration=1,IF($A303&lt;VLOOKUP(S$5,NFI,5,0),1,0)*Table_NFI[[#This Row],[Winter Clothes Children]],Table_NFI[Winter Clothes Children])</f>
        <v>0</v>
      </c>
      <c r="AK303" s="294">
        <f>IF(NFI_Expiration=1,IF($A303&lt;VLOOKUP(T$5,NFI,5,0),1,0)*Table_NFI[[#This Row],[Winter Items Other]],Table_NFI[Winter Items Other])</f>
        <v>0</v>
      </c>
      <c r="AL303" s="294">
        <f>IF(NFI_Expiration=1,IF($A303&lt;VLOOKUP(M$5,NFI,5,0),1,0)*Table_NFI[[#This Row],[Winter Blanket]],Table_NFI[[#This Row],[Winter Blanket]])</f>
        <v>0</v>
      </c>
      <c r="AM303" s="294">
        <f>IF(Table_NFI[[#This Row],[Winter Clothes Adult]]+Table_NFI[[#This Row],[Winter Clothes Children]]+Table_NFI[[#This Row],[Winter Items Other]]+Table_NFI[[#This Row],[Winter Blanket]]&gt;0,1,0)</f>
        <v>0</v>
      </c>
      <c r="AN303" s="331">
        <f>IF(NFI_Expiration=1,IF($A303&lt;VLOOKUP(V$5,NFI,5,0),1,0)*Table_NFI[[#This Row],[Jerry Can]],Table_NFI[Jerry Can])</f>
        <v>0</v>
      </c>
      <c r="AO303" s="331">
        <f>IF(NFI_Expiration=1,IF($A303&lt;VLOOKUP(V$5,NFI,5,0),1,0)*Table_NFI[[#This Row],[Shelter Tool kit]],Table_NFI[Shelter Tool kit])</f>
        <v>0</v>
      </c>
      <c r="AP303" s="331">
        <f>IF(NFI_Expiration=1,IF($A303&lt;VLOOKUP(V$5,NFI,5,0),1,0)*Table_NFI[[#This Row],[Tent]],Table_NFI[Tent])</f>
        <v>0</v>
      </c>
      <c r="AQ303" s="467" t="str">
        <f>IFERROR(VLOOKUP(Table_NFI[[#This Row],[Camp Name]],CL,2,0),"")</f>
        <v>MMR001CMP021</v>
      </c>
      <c r="AR303" s="835">
        <f ca="1">IF(Table_NFI[[#This Row],[Pcode]]="","",IF(OFFSET(CampList[Opening Date],MATCH(Table_NFI[[#This Row],[Pcode]],CampList[CP_Pcode],0)-1,0,1,1)&gt;=NFI_Monitor_Date,1,0))</f>
        <v>0</v>
      </c>
      <c r="AS303" s="467" t="str">
        <f>IFERROR(VLOOKUP(Table_NFI[[#This Row],[Camp Name]],CL,3,0),"")</f>
        <v>Open</v>
      </c>
      <c r="AT303" s="294" t="str">
        <f ca="1">IF(Table_NFI[[#This Row],[Pcode]]="","",OFFSET(CampList[Priority],MATCH(Table_NFI[[#This Row],[Pcode]],CampList[CP_Pcode],0)-1,0,1,1))</f>
        <v>P4</v>
      </c>
      <c r="AU303" s="293">
        <f>IFERROR(Table_NFI[[#This Row],[Kitchen Set]]/VLOOKUP(Table_NFI[[#This Row],[Camp Name]],CL,4,0),"")</f>
        <v>0</v>
      </c>
      <c r="AV303" s="465"/>
      <c r="AW303" s="468"/>
    </row>
    <row r="304" spans="1:49" s="464" customFormat="1" ht="14.45" customHeight="1" x14ac:dyDescent="0.25">
      <c r="A304" s="297">
        <f t="shared" si="4"/>
        <v>27.433333333333334</v>
      </c>
      <c r="B304" s="460">
        <v>41913</v>
      </c>
      <c r="C304" s="461" t="s">
        <v>452</v>
      </c>
      <c r="D304" s="465" t="s">
        <v>505</v>
      </c>
      <c r="E304" s="465" t="s">
        <v>380</v>
      </c>
      <c r="F304" s="465" t="s">
        <v>527</v>
      </c>
      <c r="G304" s="465" t="s">
        <v>100</v>
      </c>
      <c r="H304" s="292"/>
      <c r="I304" s="292"/>
      <c r="J304" s="292"/>
      <c r="K304" s="292">
        <v>10</v>
      </c>
      <c r="L304" s="292"/>
      <c r="M304" s="292"/>
      <c r="N304" s="292"/>
      <c r="O304" s="292"/>
      <c r="P304" s="294"/>
      <c r="Q304" s="294"/>
      <c r="R304" s="294"/>
      <c r="S304" s="294"/>
      <c r="T304" s="294"/>
      <c r="U304" s="294"/>
      <c r="V304" s="431"/>
      <c r="W304" s="294"/>
      <c r="X304" s="294"/>
      <c r="Y304" s="294">
        <f>IF(NFI_Expiration=1,IF($A304&lt;VLOOKUP(H$5,NFI,5,0),1,0)*Table_NFI[[#This Row],[Hygiene Kit]],Table_NFI[Hygiene Kit])</f>
        <v>0</v>
      </c>
      <c r="Z304" s="294">
        <f>IF(NFI_Expiration=1,IF($A304&lt;VLOOKUP(I$5,NFI,5,0),1,0)*Table_NFI[[#This Row],[NFI Core Kit]],Table_NFI[NFI Core Kit])</f>
        <v>0</v>
      </c>
      <c r="AA304" s="294">
        <f>IF(NFI_Expiration=1,IF($A304&lt;VLOOKUP(J$5,NFI,5,0),1,0)*Table_NFI[[#This Row],[Sanitary Kit]],Table_NFI[Sanitary Kit])</f>
        <v>0</v>
      </c>
      <c r="AB304" s="294">
        <f>IF(NFI_Expiration=1,IF($A304&lt;VLOOKUP(K$5,NFI,5,0),1,0)*Table_NFI[[#This Row],[Mosquito net]],Table_NFI[Mosquito net])</f>
        <v>0</v>
      </c>
      <c r="AC304" s="294">
        <f>IF(NFI_Expiration=1,IF($A304&lt;VLOOKUP(L$5,NFI,5,0),1,0)*Table_NFI[[#This Row],[Tarpaulin]],Table_NFI[[#This Row],[Tarpaulin]])</f>
        <v>0</v>
      </c>
      <c r="AD304" s="294">
        <f>IF(NFI_Expiration=1,IF($A304&lt;VLOOKUP(M$5,NFI,5,0),1,0)*Table_NFI[[#This Row],[Blanket]],Table_NFI[[#This Row],[Blanket]])</f>
        <v>0</v>
      </c>
      <c r="AE304" s="294">
        <f>IF(NFI_Expiration=1,IF($A304&lt;VLOOKUP(N$5,NFI,5,0),1,0)*Table_NFI[[#This Row],[Kitchen Set]],Table_NFI[Kitchen Set])</f>
        <v>0</v>
      </c>
      <c r="AF304" s="294">
        <f>IF(NFI_Expiration=1,IF($A304&lt;VLOOKUP(O$5,NFI,5,0),1,0)*Table_NFI[[#This Row],[Clothes Kit]],Table_NFI[Clothes Kit])</f>
        <v>0</v>
      </c>
      <c r="AG304" s="294">
        <f>IF(NFI_Expiration=1,IF($A304&lt;VLOOKUP(P$5,NFI,5,0),1,0)*Table_NFI[[#This Row],[Plastic Bucket]],Table_NFI[Plastic Bucket])</f>
        <v>0</v>
      </c>
      <c r="AH304" s="294">
        <f>IF(NFI_Expiration=1,IF($A304&lt;VLOOKUP(Q$5,NFI,5,0),1,0)*Table_NFI[[#This Row],[Plastic Mat]],Table_NFI[Plastic Mat])*IF(Table_NFI[[#This Row],[Distribution Date]]&gt;"2014-04-01",1,2.5)</f>
        <v>0</v>
      </c>
      <c r="AI304" s="294">
        <f>IF(NFI_Expiration=1,IF($A304&lt;VLOOKUP(R$5,NFI,5,0),1,0)*Table_NFI[[#This Row],[Winter Clothes Adult]],Table_NFI[Winter Clothes Adult])</f>
        <v>0</v>
      </c>
      <c r="AJ304" s="294">
        <f>IF(NFI_Expiration=1,IF($A304&lt;VLOOKUP(S$5,NFI,5,0),1,0)*Table_NFI[[#This Row],[Winter Clothes Children]],Table_NFI[Winter Clothes Children])</f>
        <v>0</v>
      </c>
      <c r="AK304" s="294">
        <f>IF(NFI_Expiration=1,IF($A304&lt;VLOOKUP(T$5,NFI,5,0),1,0)*Table_NFI[[#This Row],[Winter Items Other]],Table_NFI[Winter Items Other])</f>
        <v>0</v>
      </c>
      <c r="AL304" s="294">
        <f>IF(NFI_Expiration=1,IF($A304&lt;VLOOKUP(M$5,NFI,5,0),1,0)*Table_NFI[[#This Row],[Winter Blanket]],Table_NFI[[#This Row],[Winter Blanket]])</f>
        <v>0</v>
      </c>
      <c r="AM304" s="294">
        <f>IF(Table_NFI[[#This Row],[Winter Clothes Adult]]+Table_NFI[[#This Row],[Winter Clothes Children]]+Table_NFI[[#This Row],[Winter Items Other]]+Table_NFI[[#This Row],[Winter Blanket]]&gt;0,1,0)</f>
        <v>0</v>
      </c>
      <c r="AN304" s="331">
        <f>IF(NFI_Expiration=1,IF($A304&lt;VLOOKUP(V$5,NFI,5,0),1,0)*Table_NFI[[#This Row],[Jerry Can]],Table_NFI[Jerry Can])</f>
        <v>0</v>
      </c>
      <c r="AO304" s="331">
        <f>IF(NFI_Expiration=1,IF($A304&lt;VLOOKUP(V$5,NFI,5,0),1,0)*Table_NFI[[#This Row],[Shelter Tool kit]],Table_NFI[Shelter Tool kit])</f>
        <v>0</v>
      </c>
      <c r="AP304" s="331">
        <f>IF(NFI_Expiration=1,IF($A304&lt;VLOOKUP(V$5,NFI,5,0),1,0)*Table_NFI[[#This Row],[Tent]],Table_NFI[Tent])</f>
        <v>0</v>
      </c>
      <c r="AQ304" s="467" t="str">
        <f>IFERROR(VLOOKUP(Table_NFI[[#This Row],[Camp Name]],CL,2,0),"")</f>
        <v>MMR001CMP091</v>
      </c>
      <c r="AR304" s="835">
        <f ca="1">IF(Table_NFI[[#This Row],[Pcode]]="","",IF(OFFSET(CampList[Opening Date],MATCH(Table_NFI[[#This Row],[Pcode]],CampList[CP_Pcode],0)-1,0,1,1)&gt;=NFI_Monitor_Date,1,0))</f>
        <v>0</v>
      </c>
      <c r="AS304" s="467" t="str">
        <f>IFERROR(VLOOKUP(Table_NFI[[#This Row],[Camp Name]],CL,3,0),"")</f>
        <v>Open</v>
      </c>
      <c r="AT304" s="294" t="str">
        <f ca="1">IF(Table_NFI[[#This Row],[Pcode]]="","",OFFSET(CampList[Priority],MATCH(Table_NFI[[#This Row],[Pcode]],CampList[CP_Pcode],0)-1,0,1,1))</f>
        <v>P4</v>
      </c>
      <c r="AU304" s="293">
        <f>IFERROR(Table_NFI[[#This Row],[Kitchen Set]]/VLOOKUP(Table_NFI[[#This Row],[Camp Name]],CL,4,0),"")</f>
        <v>0</v>
      </c>
      <c r="AV304" s="465"/>
      <c r="AW304" s="468"/>
    </row>
    <row r="305" spans="1:49" s="464" customFormat="1" ht="14.45" customHeight="1" x14ac:dyDescent="0.25">
      <c r="A305" s="297">
        <f t="shared" si="4"/>
        <v>27.433333333333334</v>
      </c>
      <c r="B305" s="460">
        <v>41913</v>
      </c>
      <c r="C305" s="461" t="s">
        <v>452</v>
      </c>
      <c r="D305" s="465" t="s">
        <v>505</v>
      </c>
      <c r="E305" s="465" t="s">
        <v>380</v>
      </c>
      <c r="F305" s="465" t="s">
        <v>527</v>
      </c>
      <c r="G305" s="465" t="s">
        <v>611</v>
      </c>
      <c r="H305" s="292"/>
      <c r="I305" s="292"/>
      <c r="J305" s="292"/>
      <c r="K305" s="292">
        <v>36</v>
      </c>
      <c r="L305" s="292"/>
      <c r="M305" s="292"/>
      <c r="N305" s="292"/>
      <c r="O305" s="292"/>
      <c r="P305" s="294"/>
      <c r="Q305" s="294"/>
      <c r="R305" s="294"/>
      <c r="S305" s="294"/>
      <c r="T305" s="294"/>
      <c r="U305" s="294"/>
      <c r="V305" s="431"/>
      <c r="W305" s="294"/>
      <c r="X305" s="294"/>
      <c r="Y305" s="294">
        <f>IF(NFI_Expiration=1,IF($A305&lt;VLOOKUP(H$5,NFI,5,0),1,0)*Table_NFI[[#This Row],[Hygiene Kit]],Table_NFI[Hygiene Kit])</f>
        <v>0</v>
      </c>
      <c r="Z305" s="294">
        <f>IF(NFI_Expiration=1,IF($A305&lt;VLOOKUP(I$5,NFI,5,0),1,0)*Table_NFI[[#This Row],[NFI Core Kit]],Table_NFI[NFI Core Kit])</f>
        <v>0</v>
      </c>
      <c r="AA305" s="294">
        <f>IF(NFI_Expiration=1,IF($A305&lt;VLOOKUP(J$5,NFI,5,0),1,0)*Table_NFI[[#This Row],[Sanitary Kit]],Table_NFI[Sanitary Kit])</f>
        <v>0</v>
      </c>
      <c r="AB305" s="294">
        <f>IF(NFI_Expiration=1,IF($A305&lt;VLOOKUP(K$5,NFI,5,0),1,0)*Table_NFI[[#This Row],[Mosquito net]],Table_NFI[Mosquito net])</f>
        <v>0</v>
      </c>
      <c r="AC305" s="294">
        <f>IF(NFI_Expiration=1,IF($A305&lt;VLOOKUP(L$5,NFI,5,0),1,0)*Table_NFI[[#This Row],[Tarpaulin]],Table_NFI[[#This Row],[Tarpaulin]])</f>
        <v>0</v>
      </c>
      <c r="AD305" s="294">
        <f>IF(NFI_Expiration=1,IF($A305&lt;VLOOKUP(M$5,NFI,5,0),1,0)*Table_NFI[[#This Row],[Blanket]],Table_NFI[[#This Row],[Blanket]])</f>
        <v>0</v>
      </c>
      <c r="AE305" s="294">
        <f>IF(NFI_Expiration=1,IF($A305&lt;VLOOKUP(N$5,NFI,5,0),1,0)*Table_NFI[[#This Row],[Kitchen Set]],Table_NFI[Kitchen Set])</f>
        <v>0</v>
      </c>
      <c r="AF305" s="294">
        <f>IF(NFI_Expiration=1,IF($A305&lt;VLOOKUP(O$5,NFI,5,0),1,0)*Table_NFI[[#This Row],[Clothes Kit]],Table_NFI[Clothes Kit])</f>
        <v>0</v>
      </c>
      <c r="AG305" s="294">
        <f>IF(NFI_Expiration=1,IF($A305&lt;VLOOKUP(P$5,NFI,5,0),1,0)*Table_NFI[[#This Row],[Plastic Bucket]],Table_NFI[Plastic Bucket])</f>
        <v>0</v>
      </c>
      <c r="AH305" s="294">
        <f>IF(NFI_Expiration=1,IF($A305&lt;VLOOKUP(Q$5,NFI,5,0),1,0)*Table_NFI[[#This Row],[Plastic Mat]],Table_NFI[Plastic Mat])*IF(Table_NFI[[#This Row],[Distribution Date]]&gt;"2014-04-01",1,2.5)</f>
        <v>0</v>
      </c>
      <c r="AI305" s="294">
        <f>IF(NFI_Expiration=1,IF($A305&lt;VLOOKUP(R$5,NFI,5,0),1,0)*Table_NFI[[#This Row],[Winter Clothes Adult]],Table_NFI[Winter Clothes Adult])</f>
        <v>0</v>
      </c>
      <c r="AJ305" s="294">
        <f>IF(NFI_Expiration=1,IF($A305&lt;VLOOKUP(S$5,NFI,5,0),1,0)*Table_NFI[[#This Row],[Winter Clothes Children]],Table_NFI[Winter Clothes Children])</f>
        <v>0</v>
      </c>
      <c r="AK305" s="294">
        <f>IF(NFI_Expiration=1,IF($A305&lt;VLOOKUP(T$5,NFI,5,0),1,0)*Table_NFI[[#This Row],[Winter Items Other]],Table_NFI[Winter Items Other])</f>
        <v>0</v>
      </c>
      <c r="AL305" s="294">
        <f>IF(NFI_Expiration=1,IF($A305&lt;VLOOKUP(M$5,NFI,5,0),1,0)*Table_NFI[[#This Row],[Winter Blanket]],Table_NFI[[#This Row],[Winter Blanket]])</f>
        <v>0</v>
      </c>
      <c r="AM305" s="294">
        <f>IF(Table_NFI[[#This Row],[Winter Clothes Adult]]+Table_NFI[[#This Row],[Winter Clothes Children]]+Table_NFI[[#This Row],[Winter Items Other]]+Table_NFI[[#This Row],[Winter Blanket]]&gt;0,1,0)</f>
        <v>0</v>
      </c>
      <c r="AN305" s="331">
        <f>IF(NFI_Expiration=1,IF($A305&lt;VLOOKUP(V$5,NFI,5,0),1,0)*Table_NFI[[#This Row],[Jerry Can]],Table_NFI[Jerry Can])</f>
        <v>0</v>
      </c>
      <c r="AO305" s="331">
        <f>IF(NFI_Expiration=1,IF($A305&lt;VLOOKUP(V$5,NFI,5,0),1,0)*Table_NFI[[#This Row],[Shelter Tool kit]],Table_NFI[Shelter Tool kit])</f>
        <v>0</v>
      </c>
      <c r="AP305" s="331">
        <f>IF(NFI_Expiration=1,IF($A305&lt;VLOOKUP(V$5,NFI,5,0),1,0)*Table_NFI[[#This Row],[Tent]],Table_NFI[Tent])</f>
        <v>0</v>
      </c>
      <c r="AQ305" s="467" t="str">
        <f>IFERROR(VLOOKUP(Table_NFI[[#This Row],[Camp Name]],CL,2,0),"")</f>
        <v>MMR001CMP192</v>
      </c>
      <c r="AR305" s="835">
        <f ca="1">IF(Table_NFI[[#This Row],[Pcode]]="","",IF(OFFSET(CampList[Opening Date],MATCH(Table_NFI[[#This Row],[Pcode]],CampList[CP_Pcode],0)-1,0,1,1)&gt;=NFI_Monitor_Date,1,0))</f>
        <v>0</v>
      </c>
      <c r="AS305" s="467" t="str">
        <f>IFERROR(VLOOKUP(Table_NFI[[#This Row],[Camp Name]],CL,3,0),"")</f>
        <v>Open</v>
      </c>
      <c r="AT305" s="294" t="str">
        <f ca="1">IF(Table_NFI[[#This Row],[Pcode]]="","",OFFSET(CampList[Priority],MATCH(Table_NFI[[#This Row],[Pcode]],CampList[CP_Pcode],0)-1,0,1,1))</f>
        <v>P4</v>
      </c>
      <c r="AU305" s="293">
        <f>IFERROR(Table_NFI[[#This Row],[Kitchen Set]]/VLOOKUP(Table_NFI[[#This Row],[Camp Name]],CL,4,0),"")</f>
        <v>0</v>
      </c>
      <c r="AV305" s="465"/>
      <c r="AW305" s="468"/>
    </row>
    <row r="306" spans="1:49" s="464" customFormat="1" ht="14.45" customHeight="1" x14ac:dyDescent="0.25">
      <c r="A306" s="297">
        <f t="shared" si="4"/>
        <v>27.433333333333334</v>
      </c>
      <c r="B306" s="460">
        <v>41913</v>
      </c>
      <c r="C306" s="461" t="s">
        <v>452</v>
      </c>
      <c r="D306" s="465" t="s">
        <v>506</v>
      </c>
      <c r="E306" s="465" t="s">
        <v>380</v>
      </c>
      <c r="F306" s="465" t="s">
        <v>237</v>
      </c>
      <c r="G306" s="465" t="s">
        <v>271</v>
      </c>
      <c r="H306" s="292"/>
      <c r="I306" s="292"/>
      <c r="J306" s="292"/>
      <c r="K306" s="292">
        <v>144</v>
      </c>
      <c r="L306" s="292"/>
      <c r="M306" s="292"/>
      <c r="N306" s="292"/>
      <c r="O306" s="292"/>
      <c r="P306" s="294"/>
      <c r="Q306" s="294"/>
      <c r="R306" s="294"/>
      <c r="S306" s="294"/>
      <c r="T306" s="294"/>
      <c r="U306" s="294"/>
      <c r="V306" s="431"/>
      <c r="W306" s="294"/>
      <c r="X306" s="294"/>
      <c r="Y306" s="294">
        <f>IF(NFI_Expiration=1,IF($A306&lt;VLOOKUP(H$5,NFI,5,0),1,0)*Table_NFI[[#This Row],[Hygiene Kit]],Table_NFI[Hygiene Kit])</f>
        <v>0</v>
      </c>
      <c r="Z306" s="294">
        <f>IF(NFI_Expiration=1,IF($A306&lt;VLOOKUP(I$5,NFI,5,0),1,0)*Table_NFI[[#This Row],[NFI Core Kit]],Table_NFI[NFI Core Kit])</f>
        <v>0</v>
      </c>
      <c r="AA306" s="294">
        <f>IF(NFI_Expiration=1,IF($A306&lt;VLOOKUP(J$5,NFI,5,0),1,0)*Table_NFI[[#This Row],[Sanitary Kit]],Table_NFI[Sanitary Kit])</f>
        <v>0</v>
      </c>
      <c r="AB306" s="294">
        <f>IF(NFI_Expiration=1,IF($A306&lt;VLOOKUP(K$5,NFI,5,0),1,0)*Table_NFI[[#This Row],[Mosquito net]],Table_NFI[Mosquito net])</f>
        <v>0</v>
      </c>
      <c r="AC306" s="294">
        <f>IF(NFI_Expiration=1,IF($A306&lt;VLOOKUP(L$5,NFI,5,0),1,0)*Table_NFI[[#This Row],[Tarpaulin]],Table_NFI[[#This Row],[Tarpaulin]])</f>
        <v>0</v>
      </c>
      <c r="AD306" s="294">
        <f>IF(NFI_Expiration=1,IF($A306&lt;VLOOKUP(M$5,NFI,5,0),1,0)*Table_NFI[[#This Row],[Blanket]],Table_NFI[[#This Row],[Blanket]])</f>
        <v>0</v>
      </c>
      <c r="AE306" s="294">
        <f>IF(NFI_Expiration=1,IF($A306&lt;VLOOKUP(N$5,NFI,5,0),1,0)*Table_NFI[[#This Row],[Kitchen Set]],Table_NFI[Kitchen Set])</f>
        <v>0</v>
      </c>
      <c r="AF306" s="294">
        <f>IF(NFI_Expiration=1,IF($A306&lt;VLOOKUP(O$5,NFI,5,0),1,0)*Table_NFI[[#This Row],[Clothes Kit]],Table_NFI[Clothes Kit])</f>
        <v>0</v>
      </c>
      <c r="AG306" s="294">
        <f>IF(NFI_Expiration=1,IF($A306&lt;VLOOKUP(P$5,NFI,5,0),1,0)*Table_NFI[[#This Row],[Plastic Bucket]],Table_NFI[Plastic Bucket])</f>
        <v>0</v>
      </c>
      <c r="AH306" s="294">
        <f>IF(NFI_Expiration=1,IF($A306&lt;VLOOKUP(Q$5,NFI,5,0),1,0)*Table_NFI[[#This Row],[Plastic Mat]],Table_NFI[Plastic Mat])*IF(Table_NFI[[#This Row],[Distribution Date]]&gt;"2014-04-01",1,2.5)</f>
        <v>0</v>
      </c>
      <c r="AI306" s="294">
        <f>IF(NFI_Expiration=1,IF($A306&lt;VLOOKUP(R$5,NFI,5,0),1,0)*Table_NFI[[#This Row],[Winter Clothes Adult]],Table_NFI[Winter Clothes Adult])</f>
        <v>0</v>
      </c>
      <c r="AJ306" s="294">
        <f>IF(NFI_Expiration=1,IF($A306&lt;VLOOKUP(S$5,NFI,5,0),1,0)*Table_NFI[[#This Row],[Winter Clothes Children]],Table_NFI[Winter Clothes Children])</f>
        <v>0</v>
      </c>
      <c r="AK306" s="294">
        <f>IF(NFI_Expiration=1,IF($A306&lt;VLOOKUP(T$5,NFI,5,0),1,0)*Table_NFI[[#This Row],[Winter Items Other]],Table_NFI[Winter Items Other])</f>
        <v>0</v>
      </c>
      <c r="AL306" s="294">
        <f>IF(NFI_Expiration=1,IF($A306&lt;VLOOKUP(M$5,NFI,5,0),1,0)*Table_NFI[[#This Row],[Winter Blanket]],Table_NFI[[#This Row],[Winter Blanket]])</f>
        <v>0</v>
      </c>
      <c r="AM306" s="294">
        <f>IF(Table_NFI[[#This Row],[Winter Clothes Adult]]+Table_NFI[[#This Row],[Winter Clothes Children]]+Table_NFI[[#This Row],[Winter Items Other]]+Table_NFI[[#This Row],[Winter Blanket]]&gt;0,1,0)</f>
        <v>0</v>
      </c>
      <c r="AN306" s="331">
        <f>IF(NFI_Expiration=1,IF($A306&lt;VLOOKUP(V$5,NFI,5,0),1,0)*Table_NFI[[#This Row],[Jerry Can]],Table_NFI[Jerry Can])</f>
        <v>0</v>
      </c>
      <c r="AO306" s="331">
        <f>IF(NFI_Expiration=1,IF($A306&lt;VLOOKUP(V$5,NFI,5,0),1,0)*Table_NFI[[#This Row],[Shelter Tool kit]],Table_NFI[Shelter Tool kit])</f>
        <v>0</v>
      </c>
      <c r="AP306" s="331">
        <f>IF(NFI_Expiration=1,IF($A306&lt;VLOOKUP(V$5,NFI,5,0),1,0)*Table_NFI[[#This Row],[Tent]],Table_NFI[Tent])</f>
        <v>0</v>
      </c>
      <c r="AQ306" s="467" t="str">
        <f>IFERROR(VLOOKUP(Table_NFI[[#This Row],[Camp Name]],CL,2,0),"")</f>
        <v>MMR001CMP024</v>
      </c>
      <c r="AR306" s="835">
        <f ca="1">IF(Table_NFI[[#This Row],[Pcode]]="","",IF(OFFSET(CampList[Opening Date],MATCH(Table_NFI[[#This Row],[Pcode]],CampList[CP_Pcode],0)-1,0,1,1)&gt;=NFI_Monitor_Date,1,0))</f>
        <v>0</v>
      </c>
      <c r="AS306" s="467" t="str">
        <f>IFERROR(VLOOKUP(Table_NFI[[#This Row],[Camp Name]],CL,3,0),"")</f>
        <v>Open</v>
      </c>
      <c r="AT306" s="294" t="str">
        <f ca="1">IF(Table_NFI[[#This Row],[Pcode]]="","",OFFSET(CampList[Priority],MATCH(Table_NFI[[#This Row],[Pcode]],CampList[CP_Pcode],0)-1,0,1,1))</f>
        <v>P4</v>
      </c>
      <c r="AU306" s="293">
        <f>IFERROR(Table_NFI[[#This Row],[Kitchen Set]]/VLOOKUP(Table_NFI[[#This Row],[Camp Name]],CL,4,0),"")</f>
        <v>0</v>
      </c>
      <c r="AV306" s="465"/>
      <c r="AW306" s="468"/>
    </row>
    <row r="307" spans="1:49" s="464" customFormat="1" ht="14.45" customHeight="1" x14ac:dyDescent="0.25">
      <c r="A307" s="297">
        <f t="shared" si="4"/>
        <v>27.433333333333334</v>
      </c>
      <c r="B307" s="460">
        <v>41913</v>
      </c>
      <c r="C307" s="461" t="s">
        <v>452</v>
      </c>
      <c r="D307" s="465" t="s">
        <v>506</v>
      </c>
      <c r="E307" s="465" t="s">
        <v>380</v>
      </c>
      <c r="F307" s="465" t="s">
        <v>527</v>
      </c>
      <c r="G307" s="465" t="s">
        <v>108</v>
      </c>
      <c r="H307" s="292"/>
      <c r="I307" s="292"/>
      <c r="J307" s="292"/>
      <c r="K307" s="292">
        <v>80</v>
      </c>
      <c r="L307" s="292"/>
      <c r="M307" s="292"/>
      <c r="N307" s="292"/>
      <c r="O307" s="292"/>
      <c r="P307" s="294"/>
      <c r="Q307" s="294"/>
      <c r="R307" s="294"/>
      <c r="S307" s="294"/>
      <c r="T307" s="294"/>
      <c r="U307" s="294"/>
      <c r="V307" s="431"/>
      <c r="W307" s="294"/>
      <c r="X307" s="294"/>
      <c r="Y307" s="294">
        <f>IF(NFI_Expiration=1,IF($A307&lt;VLOOKUP(H$5,NFI,5,0),1,0)*Table_NFI[[#This Row],[Hygiene Kit]],Table_NFI[Hygiene Kit])</f>
        <v>0</v>
      </c>
      <c r="Z307" s="294">
        <f>IF(NFI_Expiration=1,IF($A307&lt;VLOOKUP(I$5,NFI,5,0),1,0)*Table_NFI[[#This Row],[NFI Core Kit]],Table_NFI[NFI Core Kit])</f>
        <v>0</v>
      </c>
      <c r="AA307" s="294">
        <f>IF(NFI_Expiration=1,IF($A307&lt;VLOOKUP(J$5,NFI,5,0),1,0)*Table_NFI[[#This Row],[Sanitary Kit]],Table_NFI[Sanitary Kit])</f>
        <v>0</v>
      </c>
      <c r="AB307" s="294">
        <f>IF(NFI_Expiration=1,IF($A307&lt;VLOOKUP(K$5,NFI,5,0),1,0)*Table_NFI[[#This Row],[Mosquito net]],Table_NFI[Mosquito net])</f>
        <v>0</v>
      </c>
      <c r="AC307" s="294">
        <f>IF(NFI_Expiration=1,IF($A307&lt;VLOOKUP(L$5,NFI,5,0),1,0)*Table_NFI[[#This Row],[Tarpaulin]],Table_NFI[[#This Row],[Tarpaulin]])</f>
        <v>0</v>
      </c>
      <c r="AD307" s="294">
        <f>IF(NFI_Expiration=1,IF($A307&lt;VLOOKUP(M$5,NFI,5,0),1,0)*Table_NFI[[#This Row],[Blanket]],Table_NFI[[#This Row],[Blanket]])</f>
        <v>0</v>
      </c>
      <c r="AE307" s="294">
        <f>IF(NFI_Expiration=1,IF($A307&lt;VLOOKUP(N$5,NFI,5,0),1,0)*Table_NFI[[#This Row],[Kitchen Set]],Table_NFI[Kitchen Set])</f>
        <v>0</v>
      </c>
      <c r="AF307" s="294">
        <f>IF(NFI_Expiration=1,IF($A307&lt;VLOOKUP(O$5,NFI,5,0),1,0)*Table_NFI[[#This Row],[Clothes Kit]],Table_NFI[Clothes Kit])</f>
        <v>0</v>
      </c>
      <c r="AG307" s="294">
        <f>IF(NFI_Expiration=1,IF($A307&lt;VLOOKUP(P$5,NFI,5,0),1,0)*Table_NFI[[#This Row],[Plastic Bucket]],Table_NFI[Plastic Bucket])</f>
        <v>0</v>
      </c>
      <c r="AH307" s="294">
        <f>IF(NFI_Expiration=1,IF($A307&lt;VLOOKUP(Q$5,NFI,5,0),1,0)*Table_NFI[[#This Row],[Plastic Mat]],Table_NFI[Plastic Mat])*IF(Table_NFI[[#This Row],[Distribution Date]]&gt;"2014-04-01",1,2.5)</f>
        <v>0</v>
      </c>
      <c r="AI307" s="294">
        <f>IF(NFI_Expiration=1,IF($A307&lt;VLOOKUP(R$5,NFI,5,0),1,0)*Table_NFI[[#This Row],[Winter Clothes Adult]],Table_NFI[Winter Clothes Adult])</f>
        <v>0</v>
      </c>
      <c r="AJ307" s="294">
        <f>IF(NFI_Expiration=1,IF($A307&lt;VLOOKUP(S$5,NFI,5,0),1,0)*Table_NFI[[#This Row],[Winter Clothes Children]],Table_NFI[Winter Clothes Children])</f>
        <v>0</v>
      </c>
      <c r="AK307" s="294">
        <f>IF(NFI_Expiration=1,IF($A307&lt;VLOOKUP(T$5,NFI,5,0),1,0)*Table_NFI[[#This Row],[Winter Items Other]],Table_NFI[Winter Items Other])</f>
        <v>0</v>
      </c>
      <c r="AL307" s="294">
        <f>IF(NFI_Expiration=1,IF($A307&lt;VLOOKUP(M$5,NFI,5,0),1,0)*Table_NFI[[#This Row],[Winter Blanket]],Table_NFI[[#This Row],[Winter Blanket]])</f>
        <v>0</v>
      </c>
      <c r="AM307" s="294">
        <f>IF(Table_NFI[[#This Row],[Winter Clothes Adult]]+Table_NFI[[#This Row],[Winter Clothes Children]]+Table_NFI[[#This Row],[Winter Items Other]]+Table_NFI[[#This Row],[Winter Blanket]]&gt;0,1,0)</f>
        <v>0</v>
      </c>
      <c r="AN307" s="331">
        <f>IF(NFI_Expiration=1,IF($A307&lt;VLOOKUP(V$5,NFI,5,0),1,0)*Table_NFI[[#This Row],[Jerry Can]],Table_NFI[Jerry Can])</f>
        <v>0</v>
      </c>
      <c r="AO307" s="331">
        <f>IF(NFI_Expiration=1,IF($A307&lt;VLOOKUP(V$5,NFI,5,0),1,0)*Table_NFI[[#This Row],[Shelter Tool kit]],Table_NFI[Shelter Tool kit])</f>
        <v>0</v>
      </c>
      <c r="AP307" s="331">
        <f>IF(NFI_Expiration=1,IF($A307&lt;VLOOKUP(V$5,NFI,5,0),1,0)*Table_NFI[[#This Row],[Tent]],Table_NFI[Tent])</f>
        <v>0</v>
      </c>
      <c r="AQ307" s="467" t="str">
        <f>IFERROR(VLOOKUP(Table_NFI[[#This Row],[Camp Name]],CL,2,0),"")</f>
        <v>MMR001CMP103</v>
      </c>
      <c r="AR307" s="835">
        <f ca="1">IF(Table_NFI[[#This Row],[Pcode]]="","",IF(OFFSET(CampList[Opening Date],MATCH(Table_NFI[[#This Row],[Pcode]],CampList[CP_Pcode],0)-1,0,1,1)&gt;=NFI_Monitor_Date,1,0))</f>
        <v>0</v>
      </c>
      <c r="AS307" s="467" t="str">
        <f>IFERROR(VLOOKUP(Table_NFI[[#This Row],[Camp Name]],CL,3,0),"")</f>
        <v>Open</v>
      </c>
      <c r="AT307" s="294" t="str">
        <f ca="1">IF(Table_NFI[[#This Row],[Pcode]]="","",OFFSET(CampList[Priority],MATCH(Table_NFI[[#This Row],[Pcode]],CampList[CP_Pcode],0)-1,0,1,1))</f>
        <v>P4</v>
      </c>
      <c r="AU307" s="293">
        <f>IFERROR(Table_NFI[[#This Row],[Kitchen Set]]/VLOOKUP(Table_NFI[[#This Row],[Camp Name]],CL,4,0),"")</f>
        <v>0</v>
      </c>
      <c r="AV307" s="465"/>
      <c r="AW307" s="468"/>
    </row>
    <row r="308" spans="1:49" s="475" customFormat="1" ht="14.45" customHeight="1" x14ac:dyDescent="0.25">
      <c r="A308" s="297">
        <f t="shared" si="4"/>
        <v>27.433333333333334</v>
      </c>
      <c r="B308" s="460">
        <v>41913</v>
      </c>
      <c r="C308" s="461" t="s">
        <v>452</v>
      </c>
      <c r="D308" s="465" t="s">
        <v>505</v>
      </c>
      <c r="E308" s="465" t="s">
        <v>380</v>
      </c>
      <c r="F308" s="465" t="s">
        <v>310</v>
      </c>
      <c r="G308" s="465" t="s">
        <v>344</v>
      </c>
      <c r="H308" s="292"/>
      <c r="I308" s="292"/>
      <c r="J308" s="292"/>
      <c r="K308" s="292">
        <v>36</v>
      </c>
      <c r="L308" s="292"/>
      <c r="M308" s="292"/>
      <c r="N308" s="292"/>
      <c r="O308" s="292"/>
      <c r="P308" s="294"/>
      <c r="Q308" s="294"/>
      <c r="R308" s="294"/>
      <c r="S308" s="294"/>
      <c r="T308" s="294"/>
      <c r="U308" s="294"/>
      <c r="V308" s="431"/>
      <c r="W308" s="331"/>
      <c r="X308" s="331"/>
      <c r="Y308" s="294">
        <f>IF(NFI_Expiration=1,IF($A308&lt;VLOOKUP(H$5,NFI,5,0),1,0)*Table_NFI[[#This Row],[Hygiene Kit]],Table_NFI[Hygiene Kit])</f>
        <v>0</v>
      </c>
      <c r="Z308" s="294">
        <f>IF(NFI_Expiration=1,IF($A308&lt;VLOOKUP(I$5,NFI,5,0),1,0)*Table_NFI[[#This Row],[NFI Core Kit]],Table_NFI[NFI Core Kit])</f>
        <v>0</v>
      </c>
      <c r="AA308" s="294">
        <f>IF(NFI_Expiration=1,IF($A308&lt;VLOOKUP(J$5,NFI,5,0),1,0)*Table_NFI[[#This Row],[Sanitary Kit]],Table_NFI[Sanitary Kit])</f>
        <v>0</v>
      </c>
      <c r="AB308" s="294">
        <f>IF(NFI_Expiration=1,IF($A308&lt;VLOOKUP(K$5,NFI,5,0),1,0)*Table_NFI[[#This Row],[Mosquito net]],Table_NFI[Mosquito net])</f>
        <v>0</v>
      </c>
      <c r="AC308" s="294">
        <f>IF(NFI_Expiration=1,IF($A308&lt;VLOOKUP(L$5,NFI,5,0),1,0)*Table_NFI[[#This Row],[Tarpaulin]],Table_NFI[[#This Row],[Tarpaulin]])</f>
        <v>0</v>
      </c>
      <c r="AD308" s="294">
        <f>IF(NFI_Expiration=1,IF($A308&lt;VLOOKUP(M$5,NFI,5,0),1,0)*Table_NFI[[#This Row],[Blanket]],Table_NFI[[#This Row],[Blanket]])</f>
        <v>0</v>
      </c>
      <c r="AE308" s="294">
        <f>IF(NFI_Expiration=1,IF($A308&lt;VLOOKUP(N$5,NFI,5,0),1,0)*Table_NFI[[#This Row],[Kitchen Set]],Table_NFI[Kitchen Set])</f>
        <v>0</v>
      </c>
      <c r="AF308" s="294">
        <f>IF(NFI_Expiration=1,IF($A308&lt;VLOOKUP(O$5,NFI,5,0),1,0)*Table_NFI[[#This Row],[Clothes Kit]],Table_NFI[Clothes Kit])</f>
        <v>0</v>
      </c>
      <c r="AG308" s="294">
        <f>IF(NFI_Expiration=1,IF($A308&lt;VLOOKUP(P$5,NFI,5,0),1,0)*Table_NFI[[#This Row],[Plastic Bucket]],Table_NFI[Plastic Bucket])</f>
        <v>0</v>
      </c>
      <c r="AH308" s="294">
        <f>IF(NFI_Expiration=1,IF($A308&lt;VLOOKUP(Q$5,NFI,5,0),1,0)*Table_NFI[[#This Row],[Plastic Mat]],Table_NFI[Plastic Mat])*IF(Table_NFI[[#This Row],[Distribution Date]]&gt;"2014-04-01",1,2.5)</f>
        <v>0</v>
      </c>
      <c r="AI308" s="294">
        <f>IF(NFI_Expiration=1,IF($A308&lt;VLOOKUP(R$5,NFI,5,0),1,0)*Table_NFI[[#This Row],[Winter Clothes Adult]],Table_NFI[Winter Clothes Adult])</f>
        <v>0</v>
      </c>
      <c r="AJ308" s="294">
        <f>IF(NFI_Expiration=1,IF($A308&lt;VLOOKUP(S$5,NFI,5,0),1,0)*Table_NFI[[#This Row],[Winter Clothes Children]],Table_NFI[Winter Clothes Children])</f>
        <v>0</v>
      </c>
      <c r="AK308" s="294">
        <f>IF(NFI_Expiration=1,IF($A308&lt;VLOOKUP(T$5,NFI,5,0),1,0)*Table_NFI[[#This Row],[Winter Items Other]],Table_NFI[Winter Items Other])</f>
        <v>0</v>
      </c>
      <c r="AL308" s="294">
        <f>IF(NFI_Expiration=1,IF($A308&lt;VLOOKUP(M$5,NFI,5,0),1,0)*Table_NFI[[#This Row],[Winter Blanket]],Table_NFI[[#This Row],[Winter Blanket]])</f>
        <v>0</v>
      </c>
      <c r="AM308" s="294">
        <f>IF(Table_NFI[[#This Row],[Winter Clothes Adult]]+Table_NFI[[#This Row],[Winter Clothes Children]]+Table_NFI[[#This Row],[Winter Items Other]]+Table_NFI[[#This Row],[Winter Blanket]]&gt;0,1,0)</f>
        <v>0</v>
      </c>
      <c r="AN308" s="331">
        <f>IF(NFI_Expiration=1,IF($A308&lt;VLOOKUP(V$5,NFI,5,0),1,0)*Table_NFI[[#This Row],[Jerry Can]],Table_NFI[Jerry Can])</f>
        <v>0</v>
      </c>
      <c r="AO308" s="331">
        <f>IF(NFI_Expiration=1,IF($A308&lt;VLOOKUP(V$5,NFI,5,0),1,0)*Table_NFI[[#This Row],[Shelter Tool kit]],Table_NFI[Shelter Tool kit])</f>
        <v>0</v>
      </c>
      <c r="AP308" s="331">
        <f>IF(NFI_Expiration=1,IF($A308&lt;VLOOKUP(V$5,NFI,5,0),1,0)*Table_NFI[[#This Row],[Tent]],Table_NFI[Tent])</f>
        <v>0</v>
      </c>
      <c r="AQ308" s="467" t="str">
        <f>IFERROR(VLOOKUP(Table_NFI[[#This Row],[Camp Name]],CL,2,0),"")</f>
        <v>MMR001CMP033</v>
      </c>
      <c r="AR308" s="835">
        <f ca="1">IF(Table_NFI[[#This Row],[Pcode]]="","",IF(OFFSET(CampList[Opening Date],MATCH(Table_NFI[[#This Row],[Pcode]],CampList[CP_Pcode],0)-1,0,1,1)&gt;=NFI_Monitor_Date,1,0))</f>
        <v>0</v>
      </c>
      <c r="AS308" s="467" t="str">
        <f>IFERROR(VLOOKUP(Table_NFI[[#This Row],[Camp Name]],CL,3,0),"")</f>
        <v>Open</v>
      </c>
      <c r="AT308" s="294" t="str">
        <f ca="1">IF(Table_NFI[[#This Row],[Pcode]]="","",OFFSET(CampList[Priority],MATCH(Table_NFI[[#This Row],[Pcode]],CampList[CP_Pcode],0)-1,0,1,1))</f>
        <v>P4</v>
      </c>
      <c r="AU308" s="293">
        <f>IFERROR(Table_NFI[[#This Row],[Kitchen Set]]/VLOOKUP(Table_NFI[[#This Row],[Camp Name]],CL,4,0),"")</f>
        <v>0</v>
      </c>
      <c r="AV308" s="465"/>
      <c r="AW308" s="468"/>
    </row>
    <row r="309" spans="1:49" s="464" customFormat="1" ht="14.45" customHeight="1" x14ac:dyDescent="0.25">
      <c r="A309" s="297">
        <f t="shared" si="4"/>
        <v>27.433333333333334</v>
      </c>
      <c r="B309" s="460">
        <v>41913</v>
      </c>
      <c r="C309" s="461" t="s">
        <v>452</v>
      </c>
      <c r="D309" s="465" t="s">
        <v>506</v>
      </c>
      <c r="E309" s="465" t="s">
        <v>380</v>
      </c>
      <c r="F309" s="465" t="s">
        <v>237</v>
      </c>
      <c r="G309" s="465" t="s">
        <v>273</v>
      </c>
      <c r="H309" s="292"/>
      <c r="I309" s="292"/>
      <c r="J309" s="292"/>
      <c r="K309" s="292">
        <v>62</v>
      </c>
      <c r="L309" s="292"/>
      <c r="M309" s="292"/>
      <c r="N309" s="292"/>
      <c r="O309" s="292"/>
      <c r="P309" s="294"/>
      <c r="Q309" s="294"/>
      <c r="R309" s="294"/>
      <c r="S309" s="294"/>
      <c r="T309" s="294"/>
      <c r="U309" s="294"/>
      <c r="V309" s="431"/>
      <c r="W309" s="294"/>
      <c r="X309" s="294"/>
      <c r="Y309" s="294">
        <f>IF(NFI_Expiration=1,IF($A309&lt;VLOOKUP(H$5,NFI,5,0),1,0)*Table_NFI[[#This Row],[Hygiene Kit]],Table_NFI[Hygiene Kit])</f>
        <v>0</v>
      </c>
      <c r="Z309" s="294">
        <f>IF(NFI_Expiration=1,IF($A309&lt;VLOOKUP(I$5,NFI,5,0),1,0)*Table_NFI[[#This Row],[NFI Core Kit]],Table_NFI[NFI Core Kit])</f>
        <v>0</v>
      </c>
      <c r="AA309" s="294">
        <f>IF(NFI_Expiration=1,IF($A309&lt;VLOOKUP(J$5,NFI,5,0),1,0)*Table_NFI[[#This Row],[Sanitary Kit]],Table_NFI[Sanitary Kit])</f>
        <v>0</v>
      </c>
      <c r="AB309" s="294">
        <f>IF(NFI_Expiration=1,IF($A309&lt;VLOOKUP(K$5,NFI,5,0),1,0)*Table_NFI[[#This Row],[Mosquito net]],Table_NFI[Mosquito net])</f>
        <v>0</v>
      </c>
      <c r="AC309" s="294">
        <f>IF(NFI_Expiration=1,IF($A309&lt;VLOOKUP(L$5,NFI,5,0),1,0)*Table_NFI[[#This Row],[Tarpaulin]],Table_NFI[[#This Row],[Tarpaulin]])</f>
        <v>0</v>
      </c>
      <c r="AD309" s="294">
        <f>IF(NFI_Expiration=1,IF($A309&lt;VLOOKUP(M$5,NFI,5,0),1,0)*Table_NFI[[#This Row],[Blanket]],Table_NFI[[#This Row],[Blanket]])</f>
        <v>0</v>
      </c>
      <c r="AE309" s="294">
        <f>IF(NFI_Expiration=1,IF($A309&lt;VLOOKUP(N$5,NFI,5,0),1,0)*Table_NFI[[#This Row],[Kitchen Set]],Table_NFI[Kitchen Set])</f>
        <v>0</v>
      </c>
      <c r="AF309" s="294">
        <f>IF(NFI_Expiration=1,IF($A309&lt;VLOOKUP(O$5,NFI,5,0),1,0)*Table_NFI[[#This Row],[Clothes Kit]],Table_NFI[Clothes Kit])</f>
        <v>0</v>
      </c>
      <c r="AG309" s="294">
        <f>IF(NFI_Expiration=1,IF($A309&lt;VLOOKUP(P$5,NFI,5,0),1,0)*Table_NFI[[#This Row],[Plastic Bucket]],Table_NFI[Plastic Bucket])</f>
        <v>0</v>
      </c>
      <c r="AH309" s="294">
        <f>IF(NFI_Expiration=1,IF($A309&lt;VLOOKUP(Q$5,NFI,5,0),1,0)*Table_NFI[[#This Row],[Plastic Mat]],Table_NFI[Plastic Mat])*IF(Table_NFI[[#This Row],[Distribution Date]]&gt;"2014-04-01",1,2.5)</f>
        <v>0</v>
      </c>
      <c r="AI309" s="294">
        <f>IF(NFI_Expiration=1,IF($A309&lt;VLOOKUP(R$5,NFI,5,0),1,0)*Table_NFI[[#This Row],[Winter Clothes Adult]],Table_NFI[Winter Clothes Adult])</f>
        <v>0</v>
      </c>
      <c r="AJ309" s="294">
        <f>IF(NFI_Expiration=1,IF($A309&lt;VLOOKUP(S$5,NFI,5,0),1,0)*Table_NFI[[#This Row],[Winter Clothes Children]],Table_NFI[Winter Clothes Children])</f>
        <v>0</v>
      </c>
      <c r="AK309" s="294">
        <f>IF(NFI_Expiration=1,IF($A309&lt;VLOOKUP(T$5,NFI,5,0),1,0)*Table_NFI[[#This Row],[Winter Items Other]],Table_NFI[Winter Items Other])</f>
        <v>0</v>
      </c>
      <c r="AL309" s="294">
        <f>IF(NFI_Expiration=1,IF($A309&lt;VLOOKUP(M$5,NFI,5,0),1,0)*Table_NFI[[#This Row],[Winter Blanket]],Table_NFI[[#This Row],[Winter Blanket]])</f>
        <v>0</v>
      </c>
      <c r="AM309" s="294">
        <f>IF(Table_NFI[[#This Row],[Winter Clothes Adult]]+Table_NFI[[#This Row],[Winter Clothes Children]]+Table_NFI[[#This Row],[Winter Items Other]]+Table_NFI[[#This Row],[Winter Blanket]]&gt;0,1,0)</f>
        <v>0</v>
      </c>
      <c r="AN309" s="331">
        <f>IF(NFI_Expiration=1,IF($A309&lt;VLOOKUP(V$5,NFI,5,0),1,0)*Table_NFI[[#This Row],[Jerry Can]],Table_NFI[Jerry Can])</f>
        <v>0</v>
      </c>
      <c r="AO309" s="331">
        <f>IF(NFI_Expiration=1,IF($A309&lt;VLOOKUP(V$5,NFI,5,0),1,0)*Table_NFI[[#This Row],[Shelter Tool kit]],Table_NFI[Shelter Tool kit])</f>
        <v>0</v>
      </c>
      <c r="AP309" s="331">
        <f>IF(NFI_Expiration=1,IF($A309&lt;VLOOKUP(V$5,NFI,5,0),1,0)*Table_NFI[[#This Row],[Tent]],Table_NFI[Tent])</f>
        <v>0</v>
      </c>
      <c r="AQ309" s="467" t="str">
        <f>IFERROR(VLOOKUP(Table_NFI[[#This Row],[Camp Name]],CL,2,0),"")</f>
        <v>MMR001CMP162</v>
      </c>
      <c r="AR309" s="835">
        <f ca="1">IF(Table_NFI[[#This Row],[Pcode]]="","",IF(OFFSET(CampList[Opening Date],MATCH(Table_NFI[[#This Row],[Pcode]],CampList[CP_Pcode],0)-1,0,1,1)&gt;=NFI_Monitor_Date,1,0))</f>
        <v>0</v>
      </c>
      <c r="AS309" s="467" t="str">
        <f>IFERROR(VLOOKUP(Table_NFI[[#This Row],[Camp Name]],CL,3,0),"")</f>
        <v>Open</v>
      </c>
      <c r="AT309" s="294" t="str">
        <f ca="1">IF(Table_NFI[[#This Row],[Pcode]]="","",OFFSET(CampList[Priority],MATCH(Table_NFI[[#This Row],[Pcode]],CampList[CP_Pcode],0)-1,0,1,1))</f>
        <v>P4</v>
      </c>
      <c r="AU309" s="293">
        <f>IFERROR(Table_NFI[[#This Row],[Kitchen Set]]/VLOOKUP(Table_NFI[[#This Row],[Camp Name]],CL,4,0),"")</f>
        <v>0</v>
      </c>
      <c r="AV309" s="465"/>
      <c r="AW309" s="468"/>
    </row>
    <row r="310" spans="1:49" s="464" customFormat="1" ht="14.45" customHeight="1" x14ac:dyDescent="0.25">
      <c r="A310" s="297">
        <f t="shared" si="4"/>
        <v>27.433333333333334</v>
      </c>
      <c r="B310" s="460">
        <v>41913</v>
      </c>
      <c r="C310" s="461" t="s">
        <v>452</v>
      </c>
      <c r="D310" s="465" t="s">
        <v>506</v>
      </c>
      <c r="E310" s="465" t="s">
        <v>380</v>
      </c>
      <c r="F310" s="465" t="s">
        <v>27</v>
      </c>
      <c r="G310" s="465" t="s">
        <v>864</v>
      </c>
      <c r="H310" s="292"/>
      <c r="I310" s="292"/>
      <c r="J310" s="292"/>
      <c r="K310" s="292">
        <v>130</v>
      </c>
      <c r="L310" s="292"/>
      <c r="M310" s="292"/>
      <c r="N310" s="292"/>
      <c r="O310" s="292"/>
      <c r="P310" s="294"/>
      <c r="Q310" s="294"/>
      <c r="R310" s="294"/>
      <c r="S310" s="294"/>
      <c r="T310" s="294"/>
      <c r="U310" s="294">
        <v>130</v>
      </c>
      <c r="V310" s="431"/>
      <c r="W310" s="294"/>
      <c r="X310" s="294"/>
      <c r="Y310" s="294">
        <f>IF(NFI_Expiration=1,IF($A310&lt;VLOOKUP(H$5,NFI,5,0),1,0)*Table_NFI[[#This Row],[Hygiene Kit]],Table_NFI[Hygiene Kit])</f>
        <v>0</v>
      </c>
      <c r="Z310" s="294">
        <f>IF(NFI_Expiration=1,IF($A310&lt;VLOOKUP(I$5,NFI,5,0),1,0)*Table_NFI[[#This Row],[NFI Core Kit]],Table_NFI[NFI Core Kit])</f>
        <v>0</v>
      </c>
      <c r="AA310" s="294">
        <f>IF(NFI_Expiration=1,IF($A310&lt;VLOOKUP(J$5,NFI,5,0),1,0)*Table_NFI[[#This Row],[Sanitary Kit]],Table_NFI[Sanitary Kit])</f>
        <v>0</v>
      </c>
      <c r="AB310" s="294">
        <f>IF(NFI_Expiration=1,IF($A310&lt;VLOOKUP(K$5,NFI,5,0),1,0)*Table_NFI[[#This Row],[Mosquito net]],Table_NFI[Mosquito net])</f>
        <v>0</v>
      </c>
      <c r="AC310" s="294">
        <f>IF(NFI_Expiration=1,IF($A310&lt;VLOOKUP(L$5,NFI,5,0),1,0)*Table_NFI[[#This Row],[Tarpaulin]],Table_NFI[[#This Row],[Tarpaulin]])</f>
        <v>0</v>
      </c>
      <c r="AD310" s="294">
        <f>IF(NFI_Expiration=1,IF($A310&lt;VLOOKUP(M$5,NFI,5,0),1,0)*Table_NFI[[#This Row],[Blanket]],Table_NFI[[#This Row],[Blanket]])</f>
        <v>0</v>
      </c>
      <c r="AE310" s="294">
        <f>IF(NFI_Expiration=1,IF($A310&lt;VLOOKUP(N$5,NFI,5,0),1,0)*Table_NFI[[#This Row],[Kitchen Set]],Table_NFI[Kitchen Set])</f>
        <v>0</v>
      </c>
      <c r="AF310" s="294">
        <f>IF(NFI_Expiration=1,IF($A310&lt;VLOOKUP(O$5,NFI,5,0),1,0)*Table_NFI[[#This Row],[Clothes Kit]],Table_NFI[Clothes Kit])</f>
        <v>0</v>
      </c>
      <c r="AG310" s="294">
        <f>IF(NFI_Expiration=1,IF($A310&lt;VLOOKUP(P$5,NFI,5,0),1,0)*Table_NFI[[#This Row],[Plastic Bucket]],Table_NFI[Plastic Bucket])</f>
        <v>0</v>
      </c>
      <c r="AH310" s="294">
        <f>IF(NFI_Expiration=1,IF($A310&lt;VLOOKUP(Q$5,NFI,5,0),1,0)*Table_NFI[[#This Row],[Plastic Mat]],Table_NFI[Plastic Mat])*IF(Table_NFI[[#This Row],[Distribution Date]]&gt;"2014-04-01",1,2.5)</f>
        <v>0</v>
      </c>
      <c r="AI310" s="294">
        <f>IF(NFI_Expiration=1,IF($A310&lt;VLOOKUP(R$5,NFI,5,0),1,0)*Table_NFI[[#This Row],[Winter Clothes Adult]],Table_NFI[Winter Clothes Adult])</f>
        <v>0</v>
      </c>
      <c r="AJ310" s="294">
        <f>IF(NFI_Expiration=1,IF($A310&lt;VLOOKUP(S$5,NFI,5,0),1,0)*Table_NFI[[#This Row],[Winter Clothes Children]],Table_NFI[Winter Clothes Children])</f>
        <v>0</v>
      </c>
      <c r="AK310" s="294">
        <f>IF(NFI_Expiration=1,IF($A310&lt;VLOOKUP(T$5,NFI,5,0),1,0)*Table_NFI[[#This Row],[Winter Items Other]],Table_NFI[Winter Items Other])</f>
        <v>0</v>
      </c>
      <c r="AL310" s="294">
        <f>IF(NFI_Expiration=1,IF($A310&lt;VLOOKUP(M$5,NFI,5,0),1,0)*Table_NFI[[#This Row],[Winter Blanket]],Table_NFI[[#This Row],[Winter Blanket]])</f>
        <v>0</v>
      </c>
      <c r="AM310" s="294">
        <f>IF(Table_NFI[[#This Row],[Winter Clothes Adult]]+Table_NFI[[#This Row],[Winter Clothes Children]]+Table_NFI[[#This Row],[Winter Items Other]]+Table_NFI[[#This Row],[Winter Blanket]]&gt;0,1,0)</f>
        <v>1</v>
      </c>
      <c r="AN310" s="331">
        <f>IF(NFI_Expiration=1,IF($A310&lt;VLOOKUP(V$5,NFI,5,0),1,0)*Table_NFI[[#This Row],[Jerry Can]],Table_NFI[Jerry Can])</f>
        <v>0</v>
      </c>
      <c r="AO310" s="331">
        <f>IF(NFI_Expiration=1,IF($A310&lt;VLOOKUP(V$5,NFI,5,0),1,0)*Table_NFI[[#This Row],[Shelter Tool kit]],Table_NFI[Shelter Tool kit])</f>
        <v>0</v>
      </c>
      <c r="AP310" s="331">
        <f>IF(NFI_Expiration=1,IF($A310&lt;VLOOKUP(V$5,NFI,5,0),1,0)*Table_NFI[[#This Row],[Tent]],Table_NFI[Tent])</f>
        <v>0</v>
      </c>
      <c r="AQ310" s="467" t="str">
        <f>IFERROR(VLOOKUP(Table_NFI[[#This Row],[Camp Name]],CL,2,0),"")</f>
        <v>MMR001CMP210</v>
      </c>
      <c r="AR310" s="835">
        <f ca="1">IF(Table_NFI[[#This Row],[Pcode]]="","",IF(OFFSET(CampList[Opening Date],MATCH(Table_NFI[[#This Row],[Pcode]],CampList[CP_Pcode],0)-1,0,1,1)&gt;=NFI_Monitor_Date,1,0))</f>
        <v>0</v>
      </c>
      <c r="AS310" s="467" t="str">
        <f>IFERROR(VLOOKUP(Table_NFI[[#This Row],[Camp Name]],CL,3,0),"")</f>
        <v>Open</v>
      </c>
      <c r="AT310" s="294" t="str">
        <f ca="1">IF(Table_NFI[[#This Row],[Pcode]]="","",OFFSET(CampList[Priority],MATCH(Table_NFI[[#This Row],[Pcode]],CampList[CP_Pcode],0)-1,0,1,1))</f>
        <v>P1</v>
      </c>
      <c r="AU310" s="293">
        <f>IFERROR(Table_NFI[[#This Row],[Kitchen Set]]/VLOOKUP(Table_NFI[[#This Row],[Camp Name]],CL,4,0),"")</f>
        <v>0</v>
      </c>
      <c r="AV310" s="465"/>
      <c r="AW310" s="468"/>
    </row>
    <row r="311" spans="1:49" s="464" customFormat="1" ht="14.45" customHeight="1" x14ac:dyDescent="0.25">
      <c r="A311" s="297">
        <f t="shared" si="4"/>
        <v>27.433333333333334</v>
      </c>
      <c r="B311" s="460">
        <v>41913</v>
      </c>
      <c r="C311" s="461" t="s">
        <v>452</v>
      </c>
      <c r="D311" s="465" t="s">
        <v>505</v>
      </c>
      <c r="E311" s="465" t="s">
        <v>380</v>
      </c>
      <c r="F311" s="465" t="s">
        <v>310</v>
      </c>
      <c r="G311" s="465" t="s">
        <v>318</v>
      </c>
      <c r="H311" s="292"/>
      <c r="I311" s="292"/>
      <c r="J311" s="292"/>
      <c r="K311" s="292">
        <v>240</v>
      </c>
      <c r="L311" s="292"/>
      <c r="M311" s="292"/>
      <c r="N311" s="292"/>
      <c r="O311" s="292"/>
      <c r="P311" s="294"/>
      <c r="Q311" s="294"/>
      <c r="R311" s="294"/>
      <c r="S311" s="294"/>
      <c r="T311" s="294"/>
      <c r="U311" s="294"/>
      <c r="V311" s="431"/>
      <c r="W311" s="294"/>
      <c r="X311" s="294"/>
      <c r="Y311" s="294">
        <f>IF(NFI_Expiration=1,IF($A311&lt;VLOOKUP(H$5,NFI,5,0),1,0)*Table_NFI[[#This Row],[Hygiene Kit]],Table_NFI[Hygiene Kit])</f>
        <v>0</v>
      </c>
      <c r="Z311" s="294">
        <f>IF(NFI_Expiration=1,IF($A311&lt;VLOOKUP(I$5,NFI,5,0),1,0)*Table_NFI[[#This Row],[NFI Core Kit]],Table_NFI[NFI Core Kit])</f>
        <v>0</v>
      </c>
      <c r="AA311" s="294">
        <f>IF(NFI_Expiration=1,IF($A311&lt;VLOOKUP(J$5,NFI,5,0),1,0)*Table_NFI[[#This Row],[Sanitary Kit]],Table_NFI[Sanitary Kit])</f>
        <v>0</v>
      </c>
      <c r="AB311" s="294">
        <f>IF(NFI_Expiration=1,IF($A311&lt;VLOOKUP(K$5,NFI,5,0),1,0)*Table_NFI[[#This Row],[Mosquito net]],Table_NFI[Mosquito net])</f>
        <v>0</v>
      </c>
      <c r="AC311" s="294">
        <f>IF(NFI_Expiration=1,IF($A311&lt;VLOOKUP(L$5,NFI,5,0),1,0)*Table_NFI[[#This Row],[Tarpaulin]],Table_NFI[[#This Row],[Tarpaulin]])</f>
        <v>0</v>
      </c>
      <c r="AD311" s="294">
        <f>IF(NFI_Expiration=1,IF($A311&lt;VLOOKUP(M$5,NFI,5,0),1,0)*Table_NFI[[#This Row],[Blanket]],Table_NFI[[#This Row],[Blanket]])</f>
        <v>0</v>
      </c>
      <c r="AE311" s="294">
        <f>IF(NFI_Expiration=1,IF($A311&lt;VLOOKUP(N$5,NFI,5,0),1,0)*Table_NFI[[#This Row],[Kitchen Set]],Table_NFI[Kitchen Set])</f>
        <v>0</v>
      </c>
      <c r="AF311" s="294">
        <f>IF(NFI_Expiration=1,IF($A311&lt;VLOOKUP(O$5,NFI,5,0),1,0)*Table_NFI[[#This Row],[Clothes Kit]],Table_NFI[Clothes Kit])</f>
        <v>0</v>
      </c>
      <c r="AG311" s="294">
        <f>IF(NFI_Expiration=1,IF($A311&lt;VLOOKUP(P$5,NFI,5,0),1,0)*Table_NFI[[#This Row],[Plastic Bucket]],Table_NFI[Plastic Bucket])</f>
        <v>0</v>
      </c>
      <c r="AH311" s="294">
        <f>IF(NFI_Expiration=1,IF($A311&lt;VLOOKUP(Q$5,NFI,5,0),1,0)*Table_NFI[[#This Row],[Plastic Mat]],Table_NFI[Plastic Mat])*IF(Table_NFI[[#This Row],[Distribution Date]]&gt;"2014-04-01",1,2.5)</f>
        <v>0</v>
      </c>
      <c r="AI311" s="294">
        <f>IF(NFI_Expiration=1,IF($A311&lt;VLOOKUP(R$5,NFI,5,0),1,0)*Table_NFI[[#This Row],[Winter Clothes Adult]],Table_NFI[Winter Clothes Adult])</f>
        <v>0</v>
      </c>
      <c r="AJ311" s="294">
        <f>IF(NFI_Expiration=1,IF($A311&lt;VLOOKUP(S$5,NFI,5,0),1,0)*Table_NFI[[#This Row],[Winter Clothes Children]],Table_NFI[Winter Clothes Children])</f>
        <v>0</v>
      </c>
      <c r="AK311" s="294">
        <f>IF(NFI_Expiration=1,IF($A311&lt;VLOOKUP(T$5,NFI,5,0),1,0)*Table_NFI[[#This Row],[Winter Items Other]],Table_NFI[Winter Items Other])</f>
        <v>0</v>
      </c>
      <c r="AL311" s="294">
        <f>IF(NFI_Expiration=1,IF($A311&lt;VLOOKUP(M$5,NFI,5,0),1,0)*Table_NFI[[#This Row],[Winter Blanket]],Table_NFI[[#This Row],[Winter Blanket]])</f>
        <v>0</v>
      </c>
      <c r="AM311" s="294">
        <f>IF(Table_NFI[[#This Row],[Winter Clothes Adult]]+Table_NFI[[#This Row],[Winter Clothes Children]]+Table_NFI[[#This Row],[Winter Items Other]]+Table_NFI[[#This Row],[Winter Blanket]]&gt;0,1,0)</f>
        <v>0</v>
      </c>
      <c r="AN311" s="331">
        <f>IF(NFI_Expiration=1,IF($A311&lt;VLOOKUP(V$5,NFI,5,0),1,0)*Table_NFI[[#This Row],[Jerry Can]],Table_NFI[Jerry Can])</f>
        <v>0</v>
      </c>
      <c r="AO311" s="331">
        <f>IF(NFI_Expiration=1,IF($A311&lt;VLOOKUP(V$5,NFI,5,0),1,0)*Table_NFI[[#This Row],[Shelter Tool kit]],Table_NFI[Shelter Tool kit])</f>
        <v>0</v>
      </c>
      <c r="AP311" s="331">
        <f>IF(NFI_Expiration=1,IF($A311&lt;VLOOKUP(V$5,NFI,5,0),1,0)*Table_NFI[[#This Row],[Tent]],Table_NFI[Tent])</f>
        <v>0</v>
      </c>
      <c r="AQ311" s="467" t="str">
        <f>IFERROR(VLOOKUP(Table_NFI[[#This Row],[Camp Name]],CL,2,0),"")</f>
        <v>MMR001CMP032</v>
      </c>
      <c r="AR311" s="835">
        <f ca="1">IF(Table_NFI[[#This Row],[Pcode]]="","",IF(OFFSET(CampList[Opening Date],MATCH(Table_NFI[[#This Row],[Pcode]],CampList[CP_Pcode],0)-1,0,1,1)&gt;=NFI_Monitor_Date,1,0))</f>
        <v>0</v>
      </c>
      <c r="AS311" s="467" t="str">
        <f>IFERROR(VLOOKUP(Table_NFI[[#This Row],[Camp Name]],CL,3,0),"")</f>
        <v>Open</v>
      </c>
      <c r="AT311" s="294" t="str">
        <f ca="1">IF(Table_NFI[[#This Row],[Pcode]]="","",OFFSET(CampList[Priority],MATCH(Table_NFI[[#This Row],[Pcode]],CampList[CP_Pcode],0)-1,0,1,1))</f>
        <v>P4</v>
      </c>
      <c r="AU311" s="293">
        <f>IFERROR(Table_NFI[[#This Row],[Kitchen Set]]/VLOOKUP(Table_NFI[[#This Row],[Camp Name]],CL,4,0),"")</f>
        <v>0</v>
      </c>
      <c r="AV311" s="465"/>
      <c r="AW311" s="468"/>
    </row>
    <row r="312" spans="1:49" s="464" customFormat="1" ht="14.45" customHeight="1" x14ac:dyDescent="0.25">
      <c r="A312" s="297">
        <f t="shared" si="4"/>
        <v>27.433333333333334</v>
      </c>
      <c r="B312" s="460">
        <v>41913</v>
      </c>
      <c r="C312" s="461" t="s">
        <v>452</v>
      </c>
      <c r="D312" s="465" t="s">
        <v>505</v>
      </c>
      <c r="E312" s="465" t="s">
        <v>380</v>
      </c>
      <c r="F312" s="465" t="s">
        <v>310</v>
      </c>
      <c r="G312" s="465" t="s">
        <v>338</v>
      </c>
      <c r="H312" s="292"/>
      <c r="I312" s="292"/>
      <c r="J312" s="292"/>
      <c r="K312" s="292">
        <v>46</v>
      </c>
      <c r="L312" s="292"/>
      <c r="M312" s="292"/>
      <c r="N312" s="292"/>
      <c r="O312" s="292"/>
      <c r="P312" s="294"/>
      <c r="Q312" s="294"/>
      <c r="R312" s="294"/>
      <c r="S312" s="294"/>
      <c r="T312" s="294"/>
      <c r="U312" s="294"/>
      <c r="V312" s="431"/>
      <c r="W312" s="294"/>
      <c r="X312" s="294"/>
      <c r="Y312" s="294">
        <f>IF(NFI_Expiration=1,IF($A312&lt;VLOOKUP(H$5,NFI,5,0),1,0)*Table_NFI[[#This Row],[Hygiene Kit]],Table_NFI[Hygiene Kit])</f>
        <v>0</v>
      </c>
      <c r="Z312" s="294">
        <f>IF(NFI_Expiration=1,IF($A312&lt;VLOOKUP(I$5,NFI,5,0),1,0)*Table_NFI[[#This Row],[NFI Core Kit]],Table_NFI[NFI Core Kit])</f>
        <v>0</v>
      </c>
      <c r="AA312" s="294">
        <f>IF(NFI_Expiration=1,IF($A312&lt;VLOOKUP(J$5,NFI,5,0),1,0)*Table_NFI[[#This Row],[Sanitary Kit]],Table_NFI[Sanitary Kit])</f>
        <v>0</v>
      </c>
      <c r="AB312" s="294">
        <f>IF(NFI_Expiration=1,IF($A312&lt;VLOOKUP(K$5,NFI,5,0),1,0)*Table_NFI[[#This Row],[Mosquito net]],Table_NFI[Mosquito net])</f>
        <v>0</v>
      </c>
      <c r="AC312" s="294">
        <f>IF(NFI_Expiration=1,IF($A312&lt;VLOOKUP(L$5,NFI,5,0),1,0)*Table_NFI[[#This Row],[Tarpaulin]],Table_NFI[[#This Row],[Tarpaulin]])</f>
        <v>0</v>
      </c>
      <c r="AD312" s="294">
        <f>IF(NFI_Expiration=1,IF($A312&lt;VLOOKUP(M$5,NFI,5,0),1,0)*Table_NFI[[#This Row],[Blanket]],Table_NFI[[#This Row],[Blanket]])</f>
        <v>0</v>
      </c>
      <c r="AE312" s="294">
        <f>IF(NFI_Expiration=1,IF($A312&lt;VLOOKUP(N$5,NFI,5,0),1,0)*Table_NFI[[#This Row],[Kitchen Set]],Table_NFI[Kitchen Set])</f>
        <v>0</v>
      </c>
      <c r="AF312" s="294">
        <f>IF(NFI_Expiration=1,IF($A312&lt;VLOOKUP(O$5,NFI,5,0),1,0)*Table_NFI[[#This Row],[Clothes Kit]],Table_NFI[Clothes Kit])</f>
        <v>0</v>
      </c>
      <c r="AG312" s="294">
        <f>IF(NFI_Expiration=1,IF($A312&lt;VLOOKUP(P$5,NFI,5,0),1,0)*Table_NFI[[#This Row],[Plastic Bucket]],Table_NFI[Plastic Bucket])</f>
        <v>0</v>
      </c>
      <c r="AH312" s="294">
        <f>IF(NFI_Expiration=1,IF($A312&lt;VLOOKUP(Q$5,NFI,5,0),1,0)*Table_NFI[[#This Row],[Plastic Mat]],Table_NFI[Plastic Mat])*IF(Table_NFI[[#This Row],[Distribution Date]]&gt;"2014-04-01",1,2.5)</f>
        <v>0</v>
      </c>
      <c r="AI312" s="294">
        <f>IF(NFI_Expiration=1,IF($A312&lt;VLOOKUP(R$5,NFI,5,0),1,0)*Table_NFI[[#This Row],[Winter Clothes Adult]],Table_NFI[Winter Clothes Adult])</f>
        <v>0</v>
      </c>
      <c r="AJ312" s="294">
        <f>IF(NFI_Expiration=1,IF($A312&lt;VLOOKUP(S$5,NFI,5,0),1,0)*Table_NFI[[#This Row],[Winter Clothes Children]],Table_NFI[Winter Clothes Children])</f>
        <v>0</v>
      </c>
      <c r="AK312" s="294">
        <f>IF(NFI_Expiration=1,IF($A312&lt;VLOOKUP(T$5,NFI,5,0),1,0)*Table_NFI[[#This Row],[Winter Items Other]],Table_NFI[Winter Items Other])</f>
        <v>0</v>
      </c>
      <c r="AL312" s="294">
        <f>IF(NFI_Expiration=1,IF($A312&lt;VLOOKUP(M$5,NFI,5,0),1,0)*Table_NFI[[#This Row],[Winter Blanket]],Table_NFI[[#This Row],[Winter Blanket]])</f>
        <v>0</v>
      </c>
      <c r="AM312" s="294">
        <f>IF(Table_NFI[[#This Row],[Winter Clothes Adult]]+Table_NFI[[#This Row],[Winter Clothes Children]]+Table_NFI[[#This Row],[Winter Items Other]]+Table_NFI[[#This Row],[Winter Blanket]]&gt;0,1,0)</f>
        <v>0</v>
      </c>
      <c r="AN312" s="331">
        <f>IF(NFI_Expiration=1,IF($A312&lt;VLOOKUP(V$5,NFI,5,0),1,0)*Table_NFI[[#This Row],[Jerry Can]],Table_NFI[Jerry Can])</f>
        <v>0</v>
      </c>
      <c r="AO312" s="331">
        <f>IF(NFI_Expiration=1,IF($A312&lt;VLOOKUP(V$5,NFI,5,0),1,0)*Table_NFI[[#This Row],[Shelter Tool kit]],Table_NFI[Shelter Tool kit])</f>
        <v>0</v>
      </c>
      <c r="AP312" s="331">
        <f>IF(NFI_Expiration=1,IF($A312&lt;VLOOKUP(V$5,NFI,5,0),1,0)*Table_NFI[[#This Row],[Tent]],Table_NFI[Tent])</f>
        <v>0</v>
      </c>
      <c r="AQ312" s="467" t="str">
        <f>IFERROR(VLOOKUP(Table_NFI[[#This Row],[Camp Name]],CL,2,0),"")</f>
        <v>MMR001CMP030</v>
      </c>
      <c r="AR312" s="835">
        <f ca="1">IF(Table_NFI[[#This Row],[Pcode]]="","",IF(OFFSET(CampList[Opening Date],MATCH(Table_NFI[[#This Row],[Pcode]],CampList[CP_Pcode],0)-1,0,1,1)&gt;=NFI_Monitor_Date,1,0))</f>
        <v>0</v>
      </c>
      <c r="AS312" s="467" t="str">
        <f>IFERROR(VLOOKUP(Table_NFI[[#This Row],[Camp Name]],CL,3,0),"")</f>
        <v>Open</v>
      </c>
      <c r="AT312" s="294" t="str">
        <f ca="1">IF(Table_NFI[[#This Row],[Pcode]]="","",OFFSET(CampList[Priority],MATCH(Table_NFI[[#This Row],[Pcode]],CampList[CP_Pcode],0)-1,0,1,1))</f>
        <v>P4</v>
      </c>
      <c r="AU312" s="293">
        <f>IFERROR(Table_NFI[[#This Row],[Kitchen Set]]/VLOOKUP(Table_NFI[[#This Row],[Camp Name]],CL,4,0),"")</f>
        <v>0</v>
      </c>
      <c r="AV312" s="465"/>
      <c r="AW312" s="468"/>
    </row>
    <row r="313" spans="1:49" s="464" customFormat="1" ht="14.45" customHeight="1" x14ac:dyDescent="0.25">
      <c r="A313" s="297">
        <f t="shared" si="4"/>
        <v>27.433333333333334</v>
      </c>
      <c r="B313" s="460">
        <v>41913</v>
      </c>
      <c r="C313" s="461" t="s">
        <v>452</v>
      </c>
      <c r="D313" s="465" t="s">
        <v>505</v>
      </c>
      <c r="E313" s="465" t="s">
        <v>380</v>
      </c>
      <c r="F313" s="465" t="s">
        <v>310</v>
      </c>
      <c r="G313" s="465" t="s">
        <v>351</v>
      </c>
      <c r="H313" s="292"/>
      <c r="I313" s="292"/>
      <c r="J313" s="292"/>
      <c r="K313" s="292">
        <v>204</v>
      </c>
      <c r="L313" s="292"/>
      <c r="M313" s="292"/>
      <c r="N313" s="292"/>
      <c r="O313" s="292"/>
      <c r="P313" s="294"/>
      <c r="Q313" s="294"/>
      <c r="R313" s="294"/>
      <c r="S313" s="294"/>
      <c r="T313" s="294"/>
      <c r="U313" s="294"/>
      <c r="V313" s="431"/>
      <c r="W313" s="294"/>
      <c r="X313" s="294"/>
      <c r="Y313" s="294">
        <f>IF(NFI_Expiration=1,IF($A313&lt;VLOOKUP(H$5,NFI,5,0),1,0)*Table_NFI[[#This Row],[Hygiene Kit]],Table_NFI[Hygiene Kit])</f>
        <v>0</v>
      </c>
      <c r="Z313" s="294">
        <f>IF(NFI_Expiration=1,IF($A313&lt;VLOOKUP(I$5,NFI,5,0),1,0)*Table_NFI[[#This Row],[NFI Core Kit]],Table_NFI[NFI Core Kit])</f>
        <v>0</v>
      </c>
      <c r="AA313" s="294">
        <f>IF(NFI_Expiration=1,IF($A313&lt;VLOOKUP(J$5,NFI,5,0),1,0)*Table_NFI[[#This Row],[Sanitary Kit]],Table_NFI[Sanitary Kit])</f>
        <v>0</v>
      </c>
      <c r="AB313" s="294">
        <f>IF(NFI_Expiration=1,IF($A313&lt;VLOOKUP(K$5,NFI,5,0),1,0)*Table_NFI[[#This Row],[Mosquito net]],Table_NFI[Mosquito net])</f>
        <v>0</v>
      </c>
      <c r="AC313" s="294">
        <f>IF(NFI_Expiration=1,IF($A313&lt;VLOOKUP(L$5,NFI,5,0),1,0)*Table_NFI[[#This Row],[Tarpaulin]],Table_NFI[[#This Row],[Tarpaulin]])</f>
        <v>0</v>
      </c>
      <c r="AD313" s="294">
        <f>IF(NFI_Expiration=1,IF($A313&lt;VLOOKUP(M$5,NFI,5,0),1,0)*Table_NFI[[#This Row],[Blanket]],Table_NFI[[#This Row],[Blanket]])</f>
        <v>0</v>
      </c>
      <c r="AE313" s="294">
        <f>IF(NFI_Expiration=1,IF($A313&lt;VLOOKUP(N$5,NFI,5,0),1,0)*Table_NFI[[#This Row],[Kitchen Set]],Table_NFI[Kitchen Set])</f>
        <v>0</v>
      </c>
      <c r="AF313" s="294">
        <f>IF(NFI_Expiration=1,IF($A313&lt;VLOOKUP(O$5,NFI,5,0),1,0)*Table_NFI[[#This Row],[Clothes Kit]],Table_NFI[Clothes Kit])</f>
        <v>0</v>
      </c>
      <c r="AG313" s="294">
        <f>IF(NFI_Expiration=1,IF($A313&lt;VLOOKUP(P$5,NFI,5,0),1,0)*Table_NFI[[#This Row],[Plastic Bucket]],Table_NFI[Plastic Bucket])</f>
        <v>0</v>
      </c>
      <c r="AH313" s="294">
        <f>IF(NFI_Expiration=1,IF($A313&lt;VLOOKUP(Q$5,NFI,5,0),1,0)*Table_NFI[[#This Row],[Plastic Mat]],Table_NFI[Plastic Mat])*IF(Table_NFI[[#This Row],[Distribution Date]]&gt;"2014-04-01",1,2.5)</f>
        <v>0</v>
      </c>
      <c r="AI313" s="294">
        <f>IF(NFI_Expiration=1,IF($A313&lt;VLOOKUP(R$5,NFI,5,0),1,0)*Table_NFI[[#This Row],[Winter Clothes Adult]],Table_NFI[Winter Clothes Adult])</f>
        <v>0</v>
      </c>
      <c r="AJ313" s="294">
        <f>IF(NFI_Expiration=1,IF($A313&lt;VLOOKUP(S$5,NFI,5,0),1,0)*Table_NFI[[#This Row],[Winter Clothes Children]],Table_NFI[Winter Clothes Children])</f>
        <v>0</v>
      </c>
      <c r="AK313" s="294">
        <f>IF(NFI_Expiration=1,IF($A313&lt;VLOOKUP(T$5,NFI,5,0),1,0)*Table_NFI[[#This Row],[Winter Items Other]],Table_NFI[Winter Items Other])</f>
        <v>0</v>
      </c>
      <c r="AL313" s="294">
        <f>IF(NFI_Expiration=1,IF($A313&lt;VLOOKUP(M$5,NFI,5,0),1,0)*Table_NFI[[#This Row],[Winter Blanket]],Table_NFI[[#This Row],[Winter Blanket]])</f>
        <v>0</v>
      </c>
      <c r="AM313" s="294">
        <f>IF(Table_NFI[[#This Row],[Winter Clothes Adult]]+Table_NFI[[#This Row],[Winter Clothes Children]]+Table_NFI[[#This Row],[Winter Items Other]]+Table_NFI[[#This Row],[Winter Blanket]]&gt;0,1,0)</f>
        <v>0</v>
      </c>
      <c r="AN313" s="331">
        <f>IF(NFI_Expiration=1,IF($A313&lt;VLOOKUP(V$5,NFI,5,0),1,0)*Table_NFI[[#This Row],[Jerry Can]],Table_NFI[Jerry Can])</f>
        <v>0</v>
      </c>
      <c r="AO313" s="331">
        <f>IF(NFI_Expiration=1,IF($A313&lt;VLOOKUP(V$5,NFI,5,0),1,0)*Table_NFI[[#This Row],[Shelter Tool kit]],Table_NFI[Shelter Tool kit])</f>
        <v>0</v>
      </c>
      <c r="AP313" s="331">
        <f>IF(NFI_Expiration=1,IF($A313&lt;VLOOKUP(V$5,NFI,5,0),1,0)*Table_NFI[[#This Row],[Tent]],Table_NFI[Tent])</f>
        <v>0</v>
      </c>
      <c r="AQ313" s="467" t="str">
        <f>IFERROR(VLOOKUP(Table_NFI[[#This Row],[Camp Name]],CL,2,0),"")</f>
        <v>MMR001CMP026</v>
      </c>
      <c r="AR313" s="835">
        <f ca="1">IF(Table_NFI[[#This Row],[Pcode]]="","",IF(OFFSET(CampList[Opening Date],MATCH(Table_NFI[[#This Row],[Pcode]],CampList[CP_Pcode],0)-1,0,1,1)&gt;=NFI_Monitor_Date,1,0))</f>
        <v>0</v>
      </c>
      <c r="AS313" s="467" t="str">
        <f>IFERROR(VLOOKUP(Table_NFI[[#This Row],[Camp Name]],CL,3,0),"")</f>
        <v>Open</v>
      </c>
      <c r="AT313" s="294" t="str">
        <f ca="1">IF(Table_NFI[[#This Row],[Pcode]]="","",OFFSET(CampList[Priority],MATCH(Table_NFI[[#This Row],[Pcode]],CampList[CP_Pcode],0)-1,0,1,1))</f>
        <v>P4</v>
      </c>
      <c r="AU313" s="293">
        <f>IFERROR(Table_NFI[[#This Row],[Kitchen Set]]/VLOOKUP(Table_NFI[[#This Row],[Camp Name]],CL,4,0),"")</f>
        <v>0</v>
      </c>
      <c r="AV313" s="465"/>
      <c r="AW313" s="468"/>
    </row>
    <row r="314" spans="1:49" s="464" customFormat="1" ht="14.45" customHeight="1" x14ac:dyDescent="0.25">
      <c r="A314" s="297">
        <f t="shared" si="4"/>
        <v>27.433333333333334</v>
      </c>
      <c r="B314" s="460">
        <v>41913</v>
      </c>
      <c r="C314" s="461" t="s">
        <v>452</v>
      </c>
      <c r="D314" s="465" t="s">
        <v>505</v>
      </c>
      <c r="E314" s="465" t="s">
        <v>380</v>
      </c>
      <c r="F314" s="465" t="s">
        <v>527</v>
      </c>
      <c r="G314" s="465" t="s">
        <v>118</v>
      </c>
      <c r="H314" s="292"/>
      <c r="I314" s="292"/>
      <c r="J314" s="292"/>
      <c r="K314" s="292">
        <v>24</v>
      </c>
      <c r="L314" s="292"/>
      <c r="M314" s="292"/>
      <c r="N314" s="292"/>
      <c r="O314" s="292"/>
      <c r="P314" s="294"/>
      <c r="Q314" s="294"/>
      <c r="R314" s="294"/>
      <c r="S314" s="294"/>
      <c r="T314" s="294"/>
      <c r="U314" s="294"/>
      <c r="V314" s="431"/>
      <c r="W314" s="294"/>
      <c r="X314" s="294"/>
      <c r="Y314" s="294">
        <f>IF(NFI_Expiration=1,IF($A314&lt;VLOOKUP(H$5,NFI,5,0),1,0)*Table_NFI[[#This Row],[Hygiene Kit]],Table_NFI[Hygiene Kit])</f>
        <v>0</v>
      </c>
      <c r="Z314" s="294">
        <f>IF(NFI_Expiration=1,IF($A314&lt;VLOOKUP(I$5,NFI,5,0),1,0)*Table_NFI[[#This Row],[NFI Core Kit]],Table_NFI[NFI Core Kit])</f>
        <v>0</v>
      </c>
      <c r="AA314" s="294">
        <f>IF(NFI_Expiration=1,IF($A314&lt;VLOOKUP(J$5,NFI,5,0),1,0)*Table_NFI[[#This Row],[Sanitary Kit]],Table_NFI[Sanitary Kit])</f>
        <v>0</v>
      </c>
      <c r="AB314" s="294">
        <f>IF(NFI_Expiration=1,IF($A314&lt;VLOOKUP(K$5,NFI,5,0),1,0)*Table_NFI[[#This Row],[Mosquito net]],Table_NFI[Mosquito net])</f>
        <v>0</v>
      </c>
      <c r="AC314" s="294">
        <f>IF(NFI_Expiration=1,IF($A314&lt;VLOOKUP(L$5,NFI,5,0),1,0)*Table_NFI[[#This Row],[Tarpaulin]],Table_NFI[[#This Row],[Tarpaulin]])</f>
        <v>0</v>
      </c>
      <c r="AD314" s="294">
        <f>IF(NFI_Expiration=1,IF($A314&lt;VLOOKUP(M$5,NFI,5,0),1,0)*Table_NFI[[#This Row],[Blanket]],Table_NFI[[#This Row],[Blanket]])</f>
        <v>0</v>
      </c>
      <c r="AE314" s="294">
        <f>IF(NFI_Expiration=1,IF($A314&lt;VLOOKUP(N$5,NFI,5,0),1,0)*Table_NFI[[#This Row],[Kitchen Set]],Table_NFI[Kitchen Set])</f>
        <v>0</v>
      </c>
      <c r="AF314" s="294">
        <f>IF(NFI_Expiration=1,IF($A314&lt;VLOOKUP(O$5,NFI,5,0),1,0)*Table_NFI[[#This Row],[Clothes Kit]],Table_NFI[Clothes Kit])</f>
        <v>0</v>
      </c>
      <c r="AG314" s="294">
        <f>IF(NFI_Expiration=1,IF($A314&lt;VLOOKUP(P$5,NFI,5,0),1,0)*Table_NFI[[#This Row],[Plastic Bucket]],Table_NFI[Plastic Bucket])</f>
        <v>0</v>
      </c>
      <c r="AH314" s="294">
        <f>IF(NFI_Expiration=1,IF($A314&lt;VLOOKUP(Q$5,NFI,5,0),1,0)*Table_NFI[[#This Row],[Plastic Mat]],Table_NFI[Plastic Mat])*IF(Table_NFI[[#This Row],[Distribution Date]]&gt;"2014-04-01",1,2.5)</f>
        <v>0</v>
      </c>
      <c r="AI314" s="294">
        <f>IF(NFI_Expiration=1,IF($A314&lt;VLOOKUP(R$5,NFI,5,0),1,0)*Table_NFI[[#This Row],[Winter Clothes Adult]],Table_NFI[Winter Clothes Adult])</f>
        <v>0</v>
      </c>
      <c r="AJ314" s="294">
        <f>IF(NFI_Expiration=1,IF($A314&lt;VLOOKUP(S$5,NFI,5,0),1,0)*Table_NFI[[#This Row],[Winter Clothes Children]],Table_NFI[Winter Clothes Children])</f>
        <v>0</v>
      </c>
      <c r="AK314" s="294">
        <f>IF(NFI_Expiration=1,IF($A314&lt;VLOOKUP(T$5,NFI,5,0),1,0)*Table_NFI[[#This Row],[Winter Items Other]],Table_NFI[Winter Items Other])</f>
        <v>0</v>
      </c>
      <c r="AL314" s="294">
        <f>IF(NFI_Expiration=1,IF($A314&lt;VLOOKUP(M$5,NFI,5,0),1,0)*Table_NFI[[#This Row],[Winter Blanket]],Table_NFI[[#This Row],[Winter Blanket]])</f>
        <v>0</v>
      </c>
      <c r="AM314" s="294">
        <f>IF(Table_NFI[[#This Row],[Winter Clothes Adult]]+Table_NFI[[#This Row],[Winter Clothes Children]]+Table_NFI[[#This Row],[Winter Items Other]]+Table_NFI[[#This Row],[Winter Blanket]]&gt;0,1,0)</f>
        <v>0</v>
      </c>
      <c r="AN314" s="331">
        <f>IF(NFI_Expiration=1,IF($A314&lt;VLOOKUP(V$5,NFI,5,0),1,0)*Table_NFI[[#This Row],[Jerry Can]],Table_NFI[Jerry Can])</f>
        <v>0</v>
      </c>
      <c r="AO314" s="331">
        <f>IF(NFI_Expiration=1,IF($A314&lt;VLOOKUP(V$5,NFI,5,0),1,0)*Table_NFI[[#This Row],[Shelter Tool kit]],Table_NFI[Shelter Tool kit])</f>
        <v>0</v>
      </c>
      <c r="AP314" s="331">
        <f>IF(NFI_Expiration=1,IF($A314&lt;VLOOKUP(V$5,NFI,5,0),1,0)*Table_NFI[[#This Row],[Tent]],Table_NFI[Tent])</f>
        <v>0</v>
      </c>
      <c r="AQ314" s="467" t="str">
        <f>IFERROR(VLOOKUP(Table_NFI[[#This Row],[Camp Name]],CL,2,0),"")</f>
        <v>MMR001CMP182</v>
      </c>
      <c r="AR314" s="835">
        <f ca="1">IF(Table_NFI[[#This Row],[Pcode]]="","",IF(OFFSET(CampList[Opening Date],MATCH(Table_NFI[[#This Row],[Pcode]],CampList[CP_Pcode],0)-1,0,1,1)&gt;=NFI_Monitor_Date,1,0))</f>
        <v>0</v>
      </c>
      <c r="AS314" s="467" t="str">
        <f>IFERROR(VLOOKUP(Table_NFI[[#This Row],[Camp Name]],CL,3,0),"")</f>
        <v>Open</v>
      </c>
      <c r="AT314" s="294" t="str">
        <f ca="1">IF(Table_NFI[[#This Row],[Pcode]]="","",OFFSET(CampList[Priority],MATCH(Table_NFI[[#This Row],[Pcode]],CampList[CP_Pcode],0)-1,0,1,1))</f>
        <v>P4</v>
      </c>
      <c r="AU314" s="293">
        <f>IFERROR(Table_NFI[[#This Row],[Kitchen Set]]/VLOOKUP(Table_NFI[[#This Row],[Camp Name]],CL,4,0),"")</f>
        <v>0</v>
      </c>
      <c r="AV314" s="465"/>
      <c r="AW314" s="468"/>
    </row>
    <row r="315" spans="1:49" s="464" customFormat="1" ht="14.45" customHeight="1" x14ac:dyDescent="0.25">
      <c r="A315" s="297">
        <f t="shared" si="4"/>
        <v>27.433333333333334</v>
      </c>
      <c r="B315" s="460">
        <v>41913</v>
      </c>
      <c r="C315" s="461" t="s">
        <v>452</v>
      </c>
      <c r="D315" s="465" t="s">
        <v>506</v>
      </c>
      <c r="E315" s="465" t="s">
        <v>380</v>
      </c>
      <c r="F315" s="465" t="s">
        <v>27</v>
      </c>
      <c r="G315" s="465" t="s">
        <v>1019</v>
      </c>
      <c r="H315" s="292"/>
      <c r="I315" s="292"/>
      <c r="J315" s="292"/>
      <c r="K315" s="292">
        <v>56</v>
      </c>
      <c r="L315" s="292"/>
      <c r="M315" s="292"/>
      <c r="N315" s="292"/>
      <c r="O315" s="292"/>
      <c r="P315" s="294"/>
      <c r="Q315" s="294"/>
      <c r="R315" s="294"/>
      <c r="S315" s="294"/>
      <c r="T315" s="294"/>
      <c r="U315" s="294">
        <v>56</v>
      </c>
      <c r="V315" s="431"/>
      <c r="W315" s="294"/>
      <c r="X315" s="294"/>
      <c r="Y315" s="294">
        <f>IF(NFI_Expiration=1,IF($A315&lt;VLOOKUP(H$5,NFI,5,0),1,0)*Table_NFI[[#This Row],[Hygiene Kit]],Table_NFI[Hygiene Kit])</f>
        <v>0</v>
      </c>
      <c r="Z315" s="294">
        <f>IF(NFI_Expiration=1,IF($A315&lt;VLOOKUP(I$5,NFI,5,0),1,0)*Table_NFI[[#This Row],[NFI Core Kit]],Table_NFI[NFI Core Kit])</f>
        <v>0</v>
      </c>
      <c r="AA315" s="294">
        <f>IF(NFI_Expiration=1,IF($A315&lt;VLOOKUP(J$5,NFI,5,0),1,0)*Table_NFI[[#This Row],[Sanitary Kit]],Table_NFI[Sanitary Kit])</f>
        <v>0</v>
      </c>
      <c r="AB315" s="294">
        <f>IF(NFI_Expiration=1,IF($A315&lt;VLOOKUP(K$5,NFI,5,0),1,0)*Table_NFI[[#This Row],[Mosquito net]],Table_NFI[Mosquito net])</f>
        <v>0</v>
      </c>
      <c r="AC315" s="294">
        <f>IF(NFI_Expiration=1,IF($A315&lt;VLOOKUP(L$5,NFI,5,0),1,0)*Table_NFI[[#This Row],[Tarpaulin]],Table_NFI[[#This Row],[Tarpaulin]])</f>
        <v>0</v>
      </c>
      <c r="AD315" s="294">
        <f>IF(NFI_Expiration=1,IF($A315&lt;VLOOKUP(M$5,NFI,5,0),1,0)*Table_NFI[[#This Row],[Blanket]],Table_NFI[[#This Row],[Blanket]])</f>
        <v>0</v>
      </c>
      <c r="AE315" s="294">
        <f>IF(NFI_Expiration=1,IF($A315&lt;VLOOKUP(N$5,NFI,5,0),1,0)*Table_NFI[[#This Row],[Kitchen Set]],Table_NFI[Kitchen Set])</f>
        <v>0</v>
      </c>
      <c r="AF315" s="294">
        <f>IF(NFI_Expiration=1,IF($A315&lt;VLOOKUP(O$5,NFI,5,0),1,0)*Table_NFI[[#This Row],[Clothes Kit]],Table_NFI[Clothes Kit])</f>
        <v>0</v>
      </c>
      <c r="AG315" s="294">
        <f>IF(NFI_Expiration=1,IF($A315&lt;VLOOKUP(P$5,NFI,5,0),1,0)*Table_NFI[[#This Row],[Plastic Bucket]],Table_NFI[Plastic Bucket])</f>
        <v>0</v>
      </c>
      <c r="AH315" s="294">
        <f>IF(NFI_Expiration=1,IF($A315&lt;VLOOKUP(Q$5,NFI,5,0),1,0)*Table_NFI[[#This Row],[Plastic Mat]],Table_NFI[Plastic Mat])*IF(Table_NFI[[#This Row],[Distribution Date]]&gt;"2014-04-01",1,2.5)</f>
        <v>0</v>
      </c>
      <c r="AI315" s="294">
        <f>IF(NFI_Expiration=1,IF($A315&lt;VLOOKUP(R$5,NFI,5,0),1,0)*Table_NFI[[#This Row],[Winter Clothes Adult]],Table_NFI[Winter Clothes Adult])</f>
        <v>0</v>
      </c>
      <c r="AJ315" s="294">
        <f>IF(NFI_Expiration=1,IF($A315&lt;VLOOKUP(S$5,NFI,5,0),1,0)*Table_NFI[[#This Row],[Winter Clothes Children]],Table_NFI[Winter Clothes Children])</f>
        <v>0</v>
      </c>
      <c r="AK315" s="294">
        <f>IF(NFI_Expiration=1,IF($A315&lt;VLOOKUP(T$5,NFI,5,0),1,0)*Table_NFI[[#This Row],[Winter Items Other]],Table_NFI[Winter Items Other])</f>
        <v>0</v>
      </c>
      <c r="AL315" s="294">
        <f>IF(NFI_Expiration=1,IF($A315&lt;VLOOKUP(M$5,NFI,5,0),1,0)*Table_NFI[[#This Row],[Winter Blanket]],Table_NFI[[#This Row],[Winter Blanket]])</f>
        <v>0</v>
      </c>
      <c r="AM315" s="294">
        <f>IF(Table_NFI[[#This Row],[Winter Clothes Adult]]+Table_NFI[[#This Row],[Winter Clothes Children]]+Table_NFI[[#This Row],[Winter Items Other]]+Table_NFI[[#This Row],[Winter Blanket]]&gt;0,1,0)</f>
        <v>1</v>
      </c>
      <c r="AN315" s="331">
        <f>IF(NFI_Expiration=1,IF($A315&lt;VLOOKUP(V$5,NFI,5,0),1,0)*Table_NFI[[#This Row],[Jerry Can]],Table_NFI[Jerry Can])</f>
        <v>0</v>
      </c>
      <c r="AO315" s="331">
        <f>IF(NFI_Expiration=1,IF($A315&lt;VLOOKUP(V$5,NFI,5,0),1,0)*Table_NFI[[#This Row],[Shelter Tool kit]],Table_NFI[Shelter Tool kit])</f>
        <v>0</v>
      </c>
      <c r="AP315" s="331">
        <f>IF(NFI_Expiration=1,IF($A315&lt;VLOOKUP(V$5,NFI,5,0),1,0)*Table_NFI[[#This Row],[Tent]],Table_NFI[Tent])</f>
        <v>0</v>
      </c>
      <c r="AQ315" s="467" t="str">
        <f>IFERROR(VLOOKUP(Table_NFI[[#This Row],[Camp Name]],CL,2,0),"")</f>
        <v>MMR001CMP225</v>
      </c>
      <c r="AR315" s="835">
        <f ca="1">IF(Table_NFI[[#This Row],[Pcode]]="","",IF(OFFSET(CampList[Opening Date],MATCH(Table_NFI[[#This Row],[Pcode]],CampList[CP_Pcode],0)-1,0,1,1)&gt;=NFI_Monitor_Date,1,0))</f>
        <v>0</v>
      </c>
      <c r="AS315" s="467" t="str">
        <f>IFERROR(VLOOKUP(Table_NFI[[#This Row],[Camp Name]],CL,3,0),"")</f>
        <v>Open</v>
      </c>
      <c r="AT315" s="294" t="str">
        <f ca="1">IF(Table_NFI[[#This Row],[Pcode]]="","",OFFSET(CampList[Priority],MATCH(Table_NFI[[#This Row],[Pcode]],CampList[CP_Pcode],0)-1,0,1,1))</f>
        <v>P1</v>
      </c>
      <c r="AU315" s="293">
        <f>IFERROR(Table_NFI[[#This Row],[Kitchen Set]]/VLOOKUP(Table_NFI[[#This Row],[Camp Name]],CL,4,0),"")</f>
        <v>0</v>
      </c>
      <c r="AV315" s="465"/>
      <c r="AW315" s="468"/>
    </row>
    <row r="316" spans="1:49" s="464" customFormat="1" ht="14.45" customHeight="1" x14ac:dyDescent="0.25">
      <c r="A316" s="297">
        <f t="shared" si="4"/>
        <v>27.433333333333334</v>
      </c>
      <c r="B316" s="460">
        <v>41913</v>
      </c>
      <c r="C316" s="461" t="s">
        <v>452</v>
      </c>
      <c r="D316" s="465" t="s">
        <v>505</v>
      </c>
      <c r="E316" s="465" t="s">
        <v>380</v>
      </c>
      <c r="F316" s="465" t="s">
        <v>237</v>
      </c>
      <c r="G316" s="465" t="s">
        <v>279</v>
      </c>
      <c r="H316" s="292"/>
      <c r="I316" s="292"/>
      <c r="J316" s="292"/>
      <c r="K316" s="292">
        <v>30</v>
      </c>
      <c r="L316" s="292"/>
      <c r="M316" s="292"/>
      <c r="N316" s="292"/>
      <c r="O316" s="292"/>
      <c r="P316" s="294"/>
      <c r="Q316" s="294"/>
      <c r="R316" s="294"/>
      <c r="S316" s="294"/>
      <c r="T316" s="294"/>
      <c r="U316" s="294"/>
      <c r="V316" s="431"/>
      <c r="W316" s="294"/>
      <c r="X316" s="294"/>
      <c r="Y316" s="294">
        <f>IF(NFI_Expiration=1,IF($A316&lt;VLOOKUP(H$5,NFI,5,0),1,0)*Table_NFI[[#This Row],[Hygiene Kit]],Table_NFI[Hygiene Kit])</f>
        <v>0</v>
      </c>
      <c r="Z316" s="294">
        <f>IF(NFI_Expiration=1,IF($A316&lt;VLOOKUP(I$5,NFI,5,0),1,0)*Table_NFI[[#This Row],[NFI Core Kit]],Table_NFI[NFI Core Kit])</f>
        <v>0</v>
      </c>
      <c r="AA316" s="294">
        <f>IF(NFI_Expiration=1,IF($A316&lt;VLOOKUP(J$5,NFI,5,0),1,0)*Table_NFI[[#This Row],[Sanitary Kit]],Table_NFI[Sanitary Kit])</f>
        <v>0</v>
      </c>
      <c r="AB316" s="294">
        <f>IF(NFI_Expiration=1,IF($A316&lt;VLOOKUP(K$5,NFI,5,0),1,0)*Table_NFI[[#This Row],[Mosquito net]],Table_NFI[Mosquito net])</f>
        <v>0</v>
      </c>
      <c r="AC316" s="294">
        <f>IF(NFI_Expiration=1,IF($A316&lt;VLOOKUP(L$5,NFI,5,0),1,0)*Table_NFI[[#This Row],[Tarpaulin]],Table_NFI[[#This Row],[Tarpaulin]])</f>
        <v>0</v>
      </c>
      <c r="AD316" s="294">
        <f>IF(NFI_Expiration=1,IF($A316&lt;VLOOKUP(M$5,NFI,5,0),1,0)*Table_NFI[[#This Row],[Blanket]],Table_NFI[[#This Row],[Blanket]])</f>
        <v>0</v>
      </c>
      <c r="AE316" s="294">
        <f>IF(NFI_Expiration=1,IF($A316&lt;VLOOKUP(N$5,NFI,5,0),1,0)*Table_NFI[[#This Row],[Kitchen Set]],Table_NFI[Kitchen Set])</f>
        <v>0</v>
      </c>
      <c r="AF316" s="294">
        <f>IF(NFI_Expiration=1,IF($A316&lt;VLOOKUP(O$5,NFI,5,0),1,0)*Table_NFI[[#This Row],[Clothes Kit]],Table_NFI[Clothes Kit])</f>
        <v>0</v>
      </c>
      <c r="AG316" s="294">
        <f>IF(NFI_Expiration=1,IF($A316&lt;VLOOKUP(P$5,NFI,5,0),1,0)*Table_NFI[[#This Row],[Plastic Bucket]],Table_NFI[Plastic Bucket])</f>
        <v>0</v>
      </c>
      <c r="AH316" s="294">
        <f>IF(NFI_Expiration=1,IF($A316&lt;VLOOKUP(Q$5,NFI,5,0),1,0)*Table_NFI[[#This Row],[Plastic Mat]],Table_NFI[Plastic Mat])*IF(Table_NFI[[#This Row],[Distribution Date]]&gt;"2014-04-01",1,2.5)</f>
        <v>0</v>
      </c>
      <c r="AI316" s="294">
        <f>IF(NFI_Expiration=1,IF($A316&lt;VLOOKUP(R$5,NFI,5,0),1,0)*Table_NFI[[#This Row],[Winter Clothes Adult]],Table_NFI[Winter Clothes Adult])</f>
        <v>0</v>
      </c>
      <c r="AJ316" s="294">
        <f>IF(NFI_Expiration=1,IF($A316&lt;VLOOKUP(S$5,NFI,5,0),1,0)*Table_NFI[[#This Row],[Winter Clothes Children]],Table_NFI[Winter Clothes Children])</f>
        <v>0</v>
      </c>
      <c r="AK316" s="294">
        <f>IF(NFI_Expiration=1,IF($A316&lt;VLOOKUP(T$5,NFI,5,0),1,0)*Table_NFI[[#This Row],[Winter Items Other]],Table_NFI[Winter Items Other])</f>
        <v>0</v>
      </c>
      <c r="AL316" s="294">
        <f>IF(NFI_Expiration=1,IF($A316&lt;VLOOKUP(M$5,NFI,5,0),1,0)*Table_NFI[[#This Row],[Winter Blanket]],Table_NFI[[#This Row],[Winter Blanket]])</f>
        <v>0</v>
      </c>
      <c r="AM316" s="294">
        <f>IF(Table_NFI[[#This Row],[Winter Clothes Adult]]+Table_NFI[[#This Row],[Winter Clothes Children]]+Table_NFI[[#This Row],[Winter Items Other]]+Table_NFI[[#This Row],[Winter Blanket]]&gt;0,1,0)</f>
        <v>0</v>
      </c>
      <c r="AN316" s="331">
        <f>IF(NFI_Expiration=1,IF($A316&lt;VLOOKUP(V$5,NFI,5,0),1,0)*Table_NFI[[#This Row],[Jerry Can]],Table_NFI[Jerry Can])</f>
        <v>0</v>
      </c>
      <c r="AO316" s="331">
        <f>IF(NFI_Expiration=1,IF($A316&lt;VLOOKUP(V$5,NFI,5,0),1,0)*Table_NFI[[#This Row],[Shelter Tool kit]],Table_NFI[Shelter Tool kit])</f>
        <v>0</v>
      </c>
      <c r="AP316" s="331">
        <f>IF(NFI_Expiration=1,IF($A316&lt;VLOOKUP(V$5,NFI,5,0),1,0)*Table_NFI[[#This Row],[Tent]],Table_NFI[Tent])</f>
        <v>0</v>
      </c>
      <c r="AQ316" s="467" t="str">
        <f>IFERROR(VLOOKUP(Table_NFI[[#This Row],[Camp Name]],CL,2,0),"")</f>
        <v>MMR001CMP007</v>
      </c>
      <c r="AR316" s="835">
        <f ca="1">IF(Table_NFI[[#This Row],[Pcode]]="","",IF(OFFSET(CampList[Opening Date],MATCH(Table_NFI[[#This Row],[Pcode]],CampList[CP_Pcode],0)-1,0,1,1)&gt;=NFI_Monitor_Date,1,0))</f>
        <v>0</v>
      </c>
      <c r="AS316" s="467" t="str">
        <f>IFERROR(VLOOKUP(Table_NFI[[#This Row],[Camp Name]],CL,3,0),"")</f>
        <v>Open</v>
      </c>
      <c r="AT316" s="294" t="str">
        <f ca="1">IF(Table_NFI[[#This Row],[Pcode]]="","",OFFSET(CampList[Priority],MATCH(Table_NFI[[#This Row],[Pcode]],CampList[CP_Pcode],0)-1,0,1,1))</f>
        <v>P4</v>
      </c>
      <c r="AU316" s="293">
        <f>IFERROR(Table_NFI[[#This Row],[Kitchen Set]]/VLOOKUP(Table_NFI[[#This Row],[Camp Name]],CL,4,0),"")</f>
        <v>0</v>
      </c>
      <c r="AV316" s="465"/>
      <c r="AW316" s="468"/>
    </row>
    <row r="317" spans="1:49" s="464" customFormat="1" ht="14.45" customHeight="1" x14ac:dyDescent="0.25">
      <c r="A317" s="297">
        <f t="shared" si="4"/>
        <v>27.433333333333334</v>
      </c>
      <c r="B317" s="460">
        <v>41913</v>
      </c>
      <c r="C317" s="461" t="s">
        <v>452</v>
      </c>
      <c r="D317" s="465" t="s">
        <v>506</v>
      </c>
      <c r="E317" s="465" t="s">
        <v>380</v>
      </c>
      <c r="F317" s="465" t="s">
        <v>180</v>
      </c>
      <c r="G317" s="465" t="s">
        <v>181</v>
      </c>
      <c r="H317" s="292"/>
      <c r="I317" s="292"/>
      <c r="J317" s="292"/>
      <c r="K317" s="292">
        <v>24</v>
      </c>
      <c r="L317" s="292"/>
      <c r="M317" s="292"/>
      <c r="N317" s="292"/>
      <c r="O317" s="292"/>
      <c r="P317" s="294"/>
      <c r="Q317" s="294"/>
      <c r="R317" s="294"/>
      <c r="S317" s="294"/>
      <c r="T317" s="294"/>
      <c r="U317" s="294"/>
      <c r="V317" s="431"/>
      <c r="W317" s="294"/>
      <c r="X317" s="294"/>
      <c r="Y317" s="294">
        <f>IF(NFI_Expiration=1,IF($A317&lt;VLOOKUP(H$5,NFI,5,0),1,0)*Table_NFI[[#This Row],[Hygiene Kit]],Table_NFI[Hygiene Kit])</f>
        <v>0</v>
      </c>
      <c r="Z317" s="294">
        <f>IF(NFI_Expiration=1,IF($A317&lt;VLOOKUP(I$5,NFI,5,0),1,0)*Table_NFI[[#This Row],[NFI Core Kit]],Table_NFI[NFI Core Kit])</f>
        <v>0</v>
      </c>
      <c r="AA317" s="294">
        <f>IF(NFI_Expiration=1,IF($A317&lt;VLOOKUP(J$5,NFI,5,0),1,0)*Table_NFI[[#This Row],[Sanitary Kit]],Table_NFI[Sanitary Kit])</f>
        <v>0</v>
      </c>
      <c r="AB317" s="294">
        <f>IF(NFI_Expiration=1,IF($A317&lt;VLOOKUP(K$5,NFI,5,0),1,0)*Table_NFI[[#This Row],[Mosquito net]],Table_NFI[Mosquito net])</f>
        <v>0</v>
      </c>
      <c r="AC317" s="294">
        <f>IF(NFI_Expiration=1,IF($A317&lt;VLOOKUP(L$5,NFI,5,0),1,0)*Table_NFI[[#This Row],[Tarpaulin]],Table_NFI[[#This Row],[Tarpaulin]])</f>
        <v>0</v>
      </c>
      <c r="AD317" s="294">
        <f>IF(NFI_Expiration=1,IF($A317&lt;VLOOKUP(M$5,NFI,5,0),1,0)*Table_NFI[[#This Row],[Blanket]],Table_NFI[[#This Row],[Blanket]])</f>
        <v>0</v>
      </c>
      <c r="AE317" s="294">
        <f>IF(NFI_Expiration=1,IF($A317&lt;VLOOKUP(N$5,NFI,5,0),1,0)*Table_NFI[[#This Row],[Kitchen Set]],Table_NFI[Kitchen Set])</f>
        <v>0</v>
      </c>
      <c r="AF317" s="294">
        <f>IF(NFI_Expiration=1,IF($A317&lt;VLOOKUP(O$5,NFI,5,0),1,0)*Table_NFI[[#This Row],[Clothes Kit]],Table_NFI[Clothes Kit])</f>
        <v>0</v>
      </c>
      <c r="AG317" s="294">
        <f>IF(NFI_Expiration=1,IF($A317&lt;VLOOKUP(P$5,NFI,5,0),1,0)*Table_NFI[[#This Row],[Plastic Bucket]],Table_NFI[Plastic Bucket])</f>
        <v>0</v>
      </c>
      <c r="AH317" s="294">
        <f>IF(NFI_Expiration=1,IF($A317&lt;VLOOKUP(Q$5,NFI,5,0),1,0)*Table_NFI[[#This Row],[Plastic Mat]],Table_NFI[Plastic Mat])*IF(Table_NFI[[#This Row],[Distribution Date]]&gt;"2014-04-01",1,2.5)</f>
        <v>0</v>
      </c>
      <c r="AI317" s="294">
        <f>IF(NFI_Expiration=1,IF($A317&lt;VLOOKUP(R$5,NFI,5,0),1,0)*Table_NFI[[#This Row],[Winter Clothes Adult]],Table_NFI[Winter Clothes Adult])</f>
        <v>0</v>
      </c>
      <c r="AJ317" s="294">
        <f>IF(NFI_Expiration=1,IF($A317&lt;VLOOKUP(S$5,NFI,5,0),1,0)*Table_NFI[[#This Row],[Winter Clothes Children]],Table_NFI[Winter Clothes Children])</f>
        <v>0</v>
      </c>
      <c r="AK317" s="294">
        <f>IF(NFI_Expiration=1,IF($A317&lt;VLOOKUP(T$5,NFI,5,0),1,0)*Table_NFI[[#This Row],[Winter Items Other]],Table_NFI[Winter Items Other])</f>
        <v>0</v>
      </c>
      <c r="AL317" s="294">
        <f>IF(NFI_Expiration=1,IF($A317&lt;VLOOKUP(M$5,NFI,5,0),1,0)*Table_NFI[[#This Row],[Winter Blanket]],Table_NFI[[#This Row],[Winter Blanket]])</f>
        <v>0</v>
      </c>
      <c r="AM317" s="294">
        <f>IF(Table_NFI[[#This Row],[Winter Clothes Adult]]+Table_NFI[[#This Row],[Winter Clothes Children]]+Table_NFI[[#This Row],[Winter Items Other]]+Table_NFI[[#This Row],[Winter Blanket]]&gt;0,1,0)</f>
        <v>0</v>
      </c>
      <c r="AN317" s="331">
        <f>IF(NFI_Expiration=1,IF($A317&lt;VLOOKUP(V$5,NFI,5,0),1,0)*Table_NFI[[#This Row],[Jerry Can]],Table_NFI[Jerry Can])</f>
        <v>0</v>
      </c>
      <c r="AO317" s="331">
        <f>IF(NFI_Expiration=1,IF($A317&lt;VLOOKUP(V$5,NFI,5,0),1,0)*Table_NFI[[#This Row],[Shelter Tool kit]],Table_NFI[Shelter Tool kit])</f>
        <v>0</v>
      </c>
      <c r="AP317" s="331">
        <f>IF(NFI_Expiration=1,IF($A317&lt;VLOOKUP(V$5,NFI,5,0),1,0)*Table_NFI[[#This Row],[Tent]],Table_NFI[Tent])</f>
        <v>0</v>
      </c>
      <c r="AQ317" s="467" t="str">
        <f>IFERROR(VLOOKUP(Table_NFI[[#This Row],[Camp Name]],CL,2,0),"")</f>
        <v>MMR001CMP080</v>
      </c>
      <c r="AR317" s="835">
        <f ca="1">IF(Table_NFI[[#This Row],[Pcode]]="","",IF(OFFSET(CampList[Opening Date],MATCH(Table_NFI[[#This Row],[Pcode]],CampList[CP_Pcode],0)-1,0,1,1)&gt;=NFI_Monitor_Date,1,0))</f>
        <v>0</v>
      </c>
      <c r="AS317" s="467" t="str">
        <f>IFERROR(VLOOKUP(Table_NFI[[#This Row],[Camp Name]],CL,3,0),"")</f>
        <v>Open</v>
      </c>
      <c r="AT317" s="294" t="str">
        <f ca="1">IF(Table_NFI[[#This Row],[Pcode]]="","",OFFSET(CampList[Priority],MATCH(Table_NFI[[#This Row],[Pcode]],CampList[CP_Pcode],0)-1,0,1,1))</f>
        <v>P4</v>
      </c>
      <c r="AU317" s="293">
        <f>IFERROR(Table_NFI[[#This Row],[Kitchen Set]]/VLOOKUP(Table_NFI[[#This Row],[Camp Name]],CL,4,0),"")</f>
        <v>0</v>
      </c>
      <c r="AV317" s="465"/>
      <c r="AW317" s="468"/>
    </row>
    <row r="318" spans="1:49" s="464" customFormat="1" ht="14.45" customHeight="1" x14ac:dyDescent="0.25">
      <c r="A318" s="297">
        <f t="shared" si="4"/>
        <v>27.433333333333334</v>
      </c>
      <c r="B318" s="460">
        <v>41913</v>
      </c>
      <c r="C318" s="461" t="s">
        <v>452</v>
      </c>
      <c r="D318" s="465" t="s">
        <v>505</v>
      </c>
      <c r="E318" s="465" t="s">
        <v>380</v>
      </c>
      <c r="F318" s="465" t="s">
        <v>237</v>
      </c>
      <c r="G318" s="465" t="s">
        <v>249</v>
      </c>
      <c r="H318" s="292"/>
      <c r="I318" s="292"/>
      <c r="J318" s="292"/>
      <c r="K318" s="292">
        <v>26</v>
      </c>
      <c r="L318" s="292"/>
      <c r="M318" s="292"/>
      <c r="N318" s="292"/>
      <c r="O318" s="292"/>
      <c r="P318" s="294"/>
      <c r="Q318" s="294"/>
      <c r="R318" s="294"/>
      <c r="S318" s="294"/>
      <c r="T318" s="294"/>
      <c r="U318" s="294"/>
      <c r="V318" s="431"/>
      <c r="W318" s="294"/>
      <c r="X318" s="294"/>
      <c r="Y318" s="294">
        <f>IF(NFI_Expiration=1,IF($A318&lt;VLOOKUP(H$5,NFI,5,0),1,0)*Table_NFI[[#This Row],[Hygiene Kit]],Table_NFI[Hygiene Kit])</f>
        <v>0</v>
      </c>
      <c r="Z318" s="294">
        <f>IF(NFI_Expiration=1,IF($A318&lt;VLOOKUP(I$5,NFI,5,0),1,0)*Table_NFI[[#This Row],[NFI Core Kit]],Table_NFI[NFI Core Kit])</f>
        <v>0</v>
      </c>
      <c r="AA318" s="294">
        <f>IF(NFI_Expiration=1,IF($A318&lt;VLOOKUP(J$5,NFI,5,0),1,0)*Table_NFI[[#This Row],[Sanitary Kit]],Table_NFI[Sanitary Kit])</f>
        <v>0</v>
      </c>
      <c r="AB318" s="294">
        <f>IF(NFI_Expiration=1,IF($A318&lt;VLOOKUP(K$5,NFI,5,0),1,0)*Table_NFI[[#This Row],[Mosquito net]],Table_NFI[Mosquito net])</f>
        <v>0</v>
      </c>
      <c r="AC318" s="294">
        <f>IF(NFI_Expiration=1,IF($A318&lt;VLOOKUP(L$5,NFI,5,0),1,0)*Table_NFI[[#This Row],[Tarpaulin]],Table_NFI[[#This Row],[Tarpaulin]])</f>
        <v>0</v>
      </c>
      <c r="AD318" s="294">
        <f>IF(NFI_Expiration=1,IF($A318&lt;VLOOKUP(M$5,NFI,5,0),1,0)*Table_NFI[[#This Row],[Blanket]],Table_NFI[[#This Row],[Blanket]])</f>
        <v>0</v>
      </c>
      <c r="AE318" s="294">
        <f>IF(NFI_Expiration=1,IF($A318&lt;VLOOKUP(N$5,NFI,5,0),1,0)*Table_NFI[[#This Row],[Kitchen Set]],Table_NFI[Kitchen Set])</f>
        <v>0</v>
      </c>
      <c r="AF318" s="294">
        <f>IF(NFI_Expiration=1,IF($A318&lt;VLOOKUP(O$5,NFI,5,0),1,0)*Table_NFI[[#This Row],[Clothes Kit]],Table_NFI[Clothes Kit])</f>
        <v>0</v>
      </c>
      <c r="AG318" s="294">
        <f>IF(NFI_Expiration=1,IF($A318&lt;VLOOKUP(P$5,NFI,5,0),1,0)*Table_NFI[[#This Row],[Plastic Bucket]],Table_NFI[Plastic Bucket])</f>
        <v>0</v>
      </c>
      <c r="AH318" s="294">
        <f>IF(NFI_Expiration=1,IF($A318&lt;VLOOKUP(Q$5,NFI,5,0),1,0)*Table_NFI[[#This Row],[Plastic Mat]],Table_NFI[Plastic Mat])*IF(Table_NFI[[#This Row],[Distribution Date]]&gt;"2014-04-01",1,2.5)</f>
        <v>0</v>
      </c>
      <c r="AI318" s="294">
        <f>IF(NFI_Expiration=1,IF($A318&lt;VLOOKUP(R$5,NFI,5,0),1,0)*Table_NFI[[#This Row],[Winter Clothes Adult]],Table_NFI[Winter Clothes Adult])</f>
        <v>0</v>
      </c>
      <c r="AJ318" s="294">
        <f>IF(NFI_Expiration=1,IF($A318&lt;VLOOKUP(S$5,NFI,5,0),1,0)*Table_NFI[[#This Row],[Winter Clothes Children]],Table_NFI[Winter Clothes Children])</f>
        <v>0</v>
      </c>
      <c r="AK318" s="294">
        <f>IF(NFI_Expiration=1,IF($A318&lt;VLOOKUP(T$5,NFI,5,0),1,0)*Table_NFI[[#This Row],[Winter Items Other]],Table_NFI[Winter Items Other])</f>
        <v>0</v>
      </c>
      <c r="AL318" s="294">
        <f>IF(NFI_Expiration=1,IF($A318&lt;VLOOKUP(M$5,NFI,5,0),1,0)*Table_NFI[[#This Row],[Winter Blanket]],Table_NFI[[#This Row],[Winter Blanket]])</f>
        <v>0</v>
      </c>
      <c r="AM318" s="294">
        <f>IF(Table_NFI[[#This Row],[Winter Clothes Adult]]+Table_NFI[[#This Row],[Winter Clothes Children]]+Table_NFI[[#This Row],[Winter Items Other]]+Table_NFI[[#This Row],[Winter Blanket]]&gt;0,1,0)</f>
        <v>0</v>
      </c>
      <c r="AN318" s="331">
        <f>IF(NFI_Expiration=1,IF($A318&lt;VLOOKUP(V$5,NFI,5,0),1,0)*Table_NFI[[#This Row],[Jerry Can]],Table_NFI[Jerry Can])</f>
        <v>0</v>
      </c>
      <c r="AO318" s="331">
        <f>IF(NFI_Expiration=1,IF($A318&lt;VLOOKUP(V$5,NFI,5,0),1,0)*Table_NFI[[#This Row],[Shelter Tool kit]],Table_NFI[Shelter Tool kit])</f>
        <v>0</v>
      </c>
      <c r="AP318" s="331">
        <f>IF(NFI_Expiration=1,IF($A318&lt;VLOOKUP(V$5,NFI,5,0),1,0)*Table_NFI[[#This Row],[Tent]],Table_NFI[Tent])</f>
        <v>0</v>
      </c>
      <c r="AQ318" s="467" t="str">
        <f>IFERROR(VLOOKUP(Table_NFI[[#This Row],[Camp Name]],CL,2,0),"")</f>
        <v>MMR001CMP004</v>
      </c>
      <c r="AR318" s="835">
        <f ca="1">IF(Table_NFI[[#This Row],[Pcode]]="","",IF(OFFSET(CampList[Opening Date],MATCH(Table_NFI[[#This Row],[Pcode]],CampList[CP_Pcode],0)-1,0,1,1)&gt;=NFI_Monitor_Date,1,0))</f>
        <v>0</v>
      </c>
      <c r="AS318" s="467" t="str">
        <f>IFERROR(VLOOKUP(Table_NFI[[#This Row],[Camp Name]],CL,3,0),"")</f>
        <v>Open</v>
      </c>
      <c r="AT318" s="294" t="str">
        <f ca="1">IF(Table_NFI[[#This Row],[Pcode]]="","",OFFSET(CampList[Priority],MATCH(Table_NFI[[#This Row],[Pcode]],CampList[CP_Pcode],0)-1,0,1,1))</f>
        <v>P4</v>
      </c>
      <c r="AU318" s="293">
        <f>IFERROR(Table_NFI[[#This Row],[Kitchen Set]]/VLOOKUP(Table_NFI[[#This Row],[Camp Name]],CL,4,0),"")</f>
        <v>0</v>
      </c>
      <c r="AV318" s="465"/>
      <c r="AW318" s="468"/>
    </row>
    <row r="319" spans="1:49" s="464" customFormat="1" ht="14.45" customHeight="1" x14ac:dyDescent="0.25">
      <c r="A319" s="297">
        <f t="shared" si="4"/>
        <v>27.433333333333334</v>
      </c>
      <c r="B319" s="460">
        <v>41913</v>
      </c>
      <c r="C319" s="461" t="s">
        <v>452</v>
      </c>
      <c r="D319" s="465" t="s">
        <v>505</v>
      </c>
      <c r="E319" s="465" t="s">
        <v>380</v>
      </c>
      <c r="F319" s="465" t="s">
        <v>310</v>
      </c>
      <c r="G319" s="465" t="s">
        <v>349</v>
      </c>
      <c r="H319" s="292"/>
      <c r="I319" s="292"/>
      <c r="J319" s="292"/>
      <c r="K319" s="292">
        <v>144</v>
      </c>
      <c r="L319" s="292"/>
      <c r="M319" s="292"/>
      <c r="N319" s="292"/>
      <c r="O319" s="292"/>
      <c r="P319" s="294"/>
      <c r="Q319" s="294"/>
      <c r="R319" s="294"/>
      <c r="S319" s="294"/>
      <c r="T319" s="294"/>
      <c r="U319" s="294"/>
      <c r="V319" s="431"/>
      <c r="W319" s="294"/>
      <c r="X319" s="294"/>
      <c r="Y319" s="294">
        <f>IF(NFI_Expiration=1,IF($A319&lt;VLOOKUP(H$5,NFI,5,0),1,0)*Table_NFI[[#This Row],[Hygiene Kit]],Table_NFI[Hygiene Kit])</f>
        <v>0</v>
      </c>
      <c r="Z319" s="294">
        <f>IF(NFI_Expiration=1,IF($A319&lt;VLOOKUP(I$5,NFI,5,0),1,0)*Table_NFI[[#This Row],[NFI Core Kit]],Table_NFI[NFI Core Kit])</f>
        <v>0</v>
      </c>
      <c r="AA319" s="294">
        <f>IF(NFI_Expiration=1,IF($A319&lt;VLOOKUP(J$5,NFI,5,0),1,0)*Table_NFI[[#This Row],[Sanitary Kit]],Table_NFI[Sanitary Kit])</f>
        <v>0</v>
      </c>
      <c r="AB319" s="294">
        <f>IF(NFI_Expiration=1,IF($A319&lt;VLOOKUP(K$5,NFI,5,0),1,0)*Table_NFI[[#This Row],[Mosquito net]],Table_NFI[Mosquito net])</f>
        <v>0</v>
      </c>
      <c r="AC319" s="294">
        <f>IF(NFI_Expiration=1,IF($A319&lt;VLOOKUP(L$5,NFI,5,0),1,0)*Table_NFI[[#This Row],[Tarpaulin]],Table_NFI[[#This Row],[Tarpaulin]])</f>
        <v>0</v>
      </c>
      <c r="AD319" s="294">
        <f>IF(NFI_Expiration=1,IF($A319&lt;VLOOKUP(M$5,NFI,5,0),1,0)*Table_NFI[[#This Row],[Blanket]],Table_NFI[[#This Row],[Blanket]])</f>
        <v>0</v>
      </c>
      <c r="AE319" s="294">
        <f>IF(NFI_Expiration=1,IF($A319&lt;VLOOKUP(N$5,NFI,5,0),1,0)*Table_NFI[[#This Row],[Kitchen Set]],Table_NFI[Kitchen Set])</f>
        <v>0</v>
      </c>
      <c r="AF319" s="294">
        <f>IF(NFI_Expiration=1,IF($A319&lt;VLOOKUP(O$5,NFI,5,0),1,0)*Table_NFI[[#This Row],[Clothes Kit]],Table_NFI[Clothes Kit])</f>
        <v>0</v>
      </c>
      <c r="AG319" s="294">
        <f>IF(NFI_Expiration=1,IF($A319&lt;VLOOKUP(P$5,NFI,5,0),1,0)*Table_NFI[[#This Row],[Plastic Bucket]],Table_NFI[Plastic Bucket])</f>
        <v>0</v>
      </c>
      <c r="AH319" s="294">
        <f>IF(NFI_Expiration=1,IF($A319&lt;VLOOKUP(Q$5,NFI,5,0),1,0)*Table_NFI[[#This Row],[Plastic Mat]],Table_NFI[Plastic Mat])*IF(Table_NFI[[#This Row],[Distribution Date]]&gt;"2014-04-01",1,2.5)</f>
        <v>0</v>
      </c>
      <c r="AI319" s="294">
        <f>IF(NFI_Expiration=1,IF($A319&lt;VLOOKUP(R$5,NFI,5,0),1,0)*Table_NFI[[#This Row],[Winter Clothes Adult]],Table_NFI[Winter Clothes Adult])</f>
        <v>0</v>
      </c>
      <c r="AJ319" s="294">
        <f>IF(NFI_Expiration=1,IF($A319&lt;VLOOKUP(S$5,NFI,5,0),1,0)*Table_NFI[[#This Row],[Winter Clothes Children]],Table_NFI[Winter Clothes Children])</f>
        <v>0</v>
      </c>
      <c r="AK319" s="294">
        <f>IF(NFI_Expiration=1,IF($A319&lt;VLOOKUP(T$5,NFI,5,0),1,0)*Table_NFI[[#This Row],[Winter Items Other]],Table_NFI[Winter Items Other])</f>
        <v>0</v>
      </c>
      <c r="AL319" s="294">
        <f>IF(NFI_Expiration=1,IF($A319&lt;VLOOKUP(M$5,NFI,5,0),1,0)*Table_NFI[[#This Row],[Winter Blanket]],Table_NFI[[#This Row],[Winter Blanket]])</f>
        <v>0</v>
      </c>
      <c r="AM319" s="294">
        <f>IF(Table_NFI[[#This Row],[Winter Clothes Adult]]+Table_NFI[[#This Row],[Winter Clothes Children]]+Table_NFI[[#This Row],[Winter Items Other]]+Table_NFI[[#This Row],[Winter Blanket]]&gt;0,1,0)</f>
        <v>0</v>
      </c>
      <c r="AN319" s="331">
        <f>IF(NFI_Expiration=1,IF($A319&lt;VLOOKUP(V$5,NFI,5,0),1,0)*Table_NFI[[#This Row],[Jerry Can]],Table_NFI[Jerry Can])</f>
        <v>0</v>
      </c>
      <c r="AO319" s="331">
        <f>IF(NFI_Expiration=1,IF($A319&lt;VLOOKUP(V$5,NFI,5,0),1,0)*Table_NFI[[#This Row],[Shelter Tool kit]],Table_NFI[Shelter Tool kit])</f>
        <v>0</v>
      </c>
      <c r="AP319" s="331">
        <f>IF(NFI_Expiration=1,IF($A319&lt;VLOOKUP(V$5,NFI,5,0),1,0)*Table_NFI[[#This Row],[Tent]],Table_NFI[Tent])</f>
        <v>0</v>
      </c>
      <c r="AQ319" s="467" t="str">
        <f>IFERROR(VLOOKUP(Table_NFI[[#This Row],[Camp Name]],CL,2,0),"")</f>
        <v>MMR001CMP037</v>
      </c>
      <c r="AR319" s="835">
        <f ca="1">IF(Table_NFI[[#This Row],[Pcode]]="","",IF(OFFSET(CampList[Opening Date],MATCH(Table_NFI[[#This Row],[Pcode]],CampList[CP_Pcode],0)-1,0,1,1)&gt;=NFI_Monitor_Date,1,0))</f>
        <v>0</v>
      </c>
      <c r="AS319" s="467" t="str">
        <f>IFERROR(VLOOKUP(Table_NFI[[#This Row],[Camp Name]],CL,3,0),"")</f>
        <v>Open</v>
      </c>
      <c r="AT319" s="294" t="str">
        <f ca="1">IF(Table_NFI[[#This Row],[Pcode]]="","",OFFSET(CampList[Priority],MATCH(Table_NFI[[#This Row],[Pcode]],CampList[CP_Pcode],0)-1,0,1,1))</f>
        <v>P4</v>
      </c>
      <c r="AU319" s="293">
        <f>IFERROR(Table_NFI[[#This Row],[Kitchen Set]]/VLOOKUP(Table_NFI[[#This Row],[Camp Name]],CL,4,0),"")</f>
        <v>0</v>
      </c>
      <c r="AV319" s="465"/>
      <c r="AW319" s="468"/>
    </row>
    <row r="320" spans="1:49" s="464" customFormat="1" ht="14.45" customHeight="1" x14ac:dyDescent="0.25">
      <c r="A320" s="297">
        <f t="shared" si="4"/>
        <v>27.433333333333334</v>
      </c>
      <c r="B320" s="460">
        <v>41913</v>
      </c>
      <c r="C320" s="461" t="s">
        <v>452</v>
      </c>
      <c r="D320" s="465" t="s">
        <v>505</v>
      </c>
      <c r="E320" s="465" t="s">
        <v>380</v>
      </c>
      <c r="F320" s="465" t="s">
        <v>310</v>
      </c>
      <c r="G320" s="465" t="s">
        <v>316</v>
      </c>
      <c r="H320" s="292"/>
      <c r="I320" s="292"/>
      <c r="J320" s="292"/>
      <c r="K320" s="292">
        <v>150</v>
      </c>
      <c r="L320" s="292"/>
      <c r="M320" s="292"/>
      <c r="N320" s="292"/>
      <c r="O320" s="292"/>
      <c r="P320" s="294"/>
      <c r="Q320" s="294"/>
      <c r="R320" s="294"/>
      <c r="S320" s="294"/>
      <c r="T320" s="294"/>
      <c r="U320" s="294"/>
      <c r="V320" s="431"/>
      <c r="W320" s="294"/>
      <c r="X320" s="294"/>
      <c r="Y320" s="294">
        <f>IF(NFI_Expiration=1,IF($A320&lt;VLOOKUP(H$5,NFI,5,0),1,0)*Table_NFI[[#This Row],[Hygiene Kit]],Table_NFI[Hygiene Kit])</f>
        <v>0</v>
      </c>
      <c r="Z320" s="294">
        <f>IF(NFI_Expiration=1,IF($A320&lt;VLOOKUP(I$5,NFI,5,0),1,0)*Table_NFI[[#This Row],[NFI Core Kit]],Table_NFI[NFI Core Kit])</f>
        <v>0</v>
      </c>
      <c r="AA320" s="294">
        <f>IF(NFI_Expiration=1,IF($A320&lt;VLOOKUP(J$5,NFI,5,0),1,0)*Table_NFI[[#This Row],[Sanitary Kit]],Table_NFI[Sanitary Kit])</f>
        <v>0</v>
      </c>
      <c r="AB320" s="294">
        <f>IF(NFI_Expiration=1,IF($A320&lt;VLOOKUP(K$5,NFI,5,0),1,0)*Table_NFI[[#This Row],[Mosquito net]],Table_NFI[Mosquito net])</f>
        <v>0</v>
      </c>
      <c r="AC320" s="294">
        <f>IF(NFI_Expiration=1,IF($A320&lt;VLOOKUP(L$5,NFI,5,0),1,0)*Table_NFI[[#This Row],[Tarpaulin]],Table_NFI[[#This Row],[Tarpaulin]])</f>
        <v>0</v>
      </c>
      <c r="AD320" s="294">
        <f>IF(NFI_Expiration=1,IF($A320&lt;VLOOKUP(M$5,NFI,5,0),1,0)*Table_NFI[[#This Row],[Blanket]],Table_NFI[[#This Row],[Blanket]])</f>
        <v>0</v>
      </c>
      <c r="AE320" s="294">
        <f>IF(NFI_Expiration=1,IF($A320&lt;VLOOKUP(N$5,NFI,5,0),1,0)*Table_NFI[[#This Row],[Kitchen Set]],Table_NFI[Kitchen Set])</f>
        <v>0</v>
      </c>
      <c r="AF320" s="294">
        <f>IF(NFI_Expiration=1,IF($A320&lt;VLOOKUP(O$5,NFI,5,0),1,0)*Table_NFI[[#This Row],[Clothes Kit]],Table_NFI[Clothes Kit])</f>
        <v>0</v>
      </c>
      <c r="AG320" s="294">
        <f>IF(NFI_Expiration=1,IF($A320&lt;VLOOKUP(P$5,NFI,5,0),1,0)*Table_NFI[[#This Row],[Plastic Bucket]],Table_NFI[Plastic Bucket])</f>
        <v>0</v>
      </c>
      <c r="AH320" s="294">
        <f>IF(NFI_Expiration=1,IF($A320&lt;VLOOKUP(Q$5,NFI,5,0),1,0)*Table_NFI[[#This Row],[Plastic Mat]],Table_NFI[Plastic Mat])*IF(Table_NFI[[#This Row],[Distribution Date]]&gt;"2014-04-01",1,2.5)</f>
        <v>0</v>
      </c>
      <c r="AI320" s="294">
        <f>IF(NFI_Expiration=1,IF($A320&lt;VLOOKUP(R$5,NFI,5,0),1,0)*Table_NFI[[#This Row],[Winter Clothes Adult]],Table_NFI[Winter Clothes Adult])</f>
        <v>0</v>
      </c>
      <c r="AJ320" s="294">
        <f>IF(NFI_Expiration=1,IF($A320&lt;VLOOKUP(S$5,NFI,5,0),1,0)*Table_NFI[[#This Row],[Winter Clothes Children]],Table_NFI[Winter Clothes Children])</f>
        <v>0</v>
      </c>
      <c r="AK320" s="294">
        <f>IF(NFI_Expiration=1,IF($A320&lt;VLOOKUP(T$5,NFI,5,0),1,0)*Table_NFI[[#This Row],[Winter Items Other]],Table_NFI[Winter Items Other])</f>
        <v>0</v>
      </c>
      <c r="AL320" s="294">
        <f>IF(NFI_Expiration=1,IF($A320&lt;VLOOKUP(M$5,NFI,5,0),1,0)*Table_NFI[[#This Row],[Winter Blanket]],Table_NFI[[#This Row],[Winter Blanket]])</f>
        <v>0</v>
      </c>
      <c r="AM320" s="294">
        <f>IF(Table_NFI[[#This Row],[Winter Clothes Adult]]+Table_NFI[[#This Row],[Winter Clothes Children]]+Table_NFI[[#This Row],[Winter Items Other]]+Table_NFI[[#This Row],[Winter Blanket]]&gt;0,1,0)</f>
        <v>0</v>
      </c>
      <c r="AN320" s="331">
        <f>IF(NFI_Expiration=1,IF($A320&lt;VLOOKUP(V$5,NFI,5,0),1,0)*Table_NFI[[#This Row],[Jerry Can]],Table_NFI[Jerry Can])</f>
        <v>0</v>
      </c>
      <c r="AO320" s="331">
        <f>IF(NFI_Expiration=1,IF($A320&lt;VLOOKUP(V$5,NFI,5,0),1,0)*Table_NFI[[#This Row],[Shelter Tool kit]],Table_NFI[Shelter Tool kit])</f>
        <v>0</v>
      </c>
      <c r="AP320" s="331">
        <f>IF(NFI_Expiration=1,IF($A320&lt;VLOOKUP(V$5,NFI,5,0),1,0)*Table_NFI[[#This Row],[Tent]],Table_NFI[Tent])</f>
        <v>0</v>
      </c>
      <c r="AQ320" s="467" t="str">
        <f>IFERROR(VLOOKUP(Table_NFI[[#This Row],[Camp Name]],CL,2,0),"")</f>
        <v>MMR001CMP038</v>
      </c>
      <c r="AR320" s="835">
        <f ca="1">IF(Table_NFI[[#This Row],[Pcode]]="","",IF(OFFSET(CampList[Opening Date],MATCH(Table_NFI[[#This Row],[Pcode]],CampList[CP_Pcode],0)-1,0,1,1)&gt;=NFI_Monitor_Date,1,0))</f>
        <v>0</v>
      </c>
      <c r="AS320" s="467" t="str">
        <f>IFERROR(VLOOKUP(Table_NFI[[#This Row],[Camp Name]],CL,3,0),"")</f>
        <v>Open</v>
      </c>
      <c r="AT320" s="294" t="str">
        <f ca="1">IF(Table_NFI[[#This Row],[Pcode]]="","",OFFSET(CampList[Priority],MATCH(Table_NFI[[#This Row],[Pcode]],CampList[CP_Pcode],0)-1,0,1,1))</f>
        <v>P4</v>
      </c>
      <c r="AU320" s="293">
        <f>IFERROR(Table_NFI[[#This Row],[Kitchen Set]]/VLOOKUP(Table_NFI[[#This Row],[Camp Name]],CL,4,0),"")</f>
        <v>0</v>
      </c>
      <c r="AV320" s="465"/>
      <c r="AW320" s="468"/>
    </row>
    <row r="321" spans="1:49" s="464" customFormat="1" ht="14.45" customHeight="1" x14ac:dyDescent="0.25">
      <c r="A321" s="297">
        <f t="shared" si="4"/>
        <v>27.433333333333334</v>
      </c>
      <c r="B321" s="460">
        <v>41913</v>
      </c>
      <c r="C321" s="461" t="s">
        <v>452</v>
      </c>
      <c r="D321" s="465" t="s">
        <v>505</v>
      </c>
      <c r="E321" s="465" t="s">
        <v>380</v>
      </c>
      <c r="F321" s="465" t="s">
        <v>237</v>
      </c>
      <c r="G321" s="465" t="s">
        <v>283</v>
      </c>
      <c r="H321" s="292"/>
      <c r="I321" s="292"/>
      <c r="J321" s="292"/>
      <c r="K321" s="292">
        <v>12</v>
      </c>
      <c r="L321" s="292"/>
      <c r="M321" s="292"/>
      <c r="N321" s="292"/>
      <c r="O321" s="292"/>
      <c r="P321" s="294"/>
      <c r="Q321" s="294"/>
      <c r="R321" s="294"/>
      <c r="S321" s="294"/>
      <c r="T321" s="294"/>
      <c r="U321" s="294"/>
      <c r="V321" s="431"/>
      <c r="W321" s="294"/>
      <c r="X321" s="294"/>
      <c r="Y321" s="294">
        <f>IF(NFI_Expiration=1,IF($A321&lt;VLOOKUP(H$5,NFI,5,0),1,0)*Table_NFI[[#This Row],[Hygiene Kit]],Table_NFI[Hygiene Kit])</f>
        <v>0</v>
      </c>
      <c r="Z321" s="294">
        <f>IF(NFI_Expiration=1,IF($A321&lt;VLOOKUP(I$5,NFI,5,0),1,0)*Table_NFI[[#This Row],[NFI Core Kit]],Table_NFI[NFI Core Kit])</f>
        <v>0</v>
      </c>
      <c r="AA321" s="294">
        <f>IF(NFI_Expiration=1,IF($A321&lt;VLOOKUP(J$5,NFI,5,0),1,0)*Table_NFI[[#This Row],[Sanitary Kit]],Table_NFI[Sanitary Kit])</f>
        <v>0</v>
      </c>
      <c r="AB321" s="294">
        <f>IF(NFI_Expiration=1,IF($A321&lt;VLOOKUP(K$5,NFI,5,0),1,0)*Table_NFI[[#This Row],[Mosquito net]],Table_NFI[Mosquito net])</f>
        <v>0</v>
      </c>
      <c r="AC321" s="294">
        <f>IF(NFI_Expiration=1,IF($A321&lt;VLOOKUP(L$5,NFI,5,0),1,0)*Table_NFI[[#This Row],[Tarpaulin]],Table_NFI[[#This Row],[Tarpaulin]])</f>
        <v>0</v>
      </c>
      <c r="AD321" s="294">
        <f>IF(NFI_Expiration=1,IF($A321&lt;VLOOKUP(M$5,NFI,5,0),1,0)*Table_NFI[[#This Row],[Blanket]],Table_NFI[[#This Row],[Blanket]])</f>
        <v>0</v>
      </c>
      <c r="AE321" s="294">
        <f>IF(NFI_Expiration=1,IF($A321&lt;VLOOKUP(N$5,NFI,5,0),1,0)*Table_NFI[[#This Row],[Kitchen Set]],Table_NFI[Kitchen Set])</f>
        <v>0</v>
      </c>
      <c r="AF321" s="294">
        <f>IF(NFI_Expiration=1,IF($A321&lt;VLOOKUP(O$5,NFI,5,0),1,0)*Table_NFI[[#This Row],[Clothes Kit]],Table_NFI[Clothes Kit])</f>
        <v>0</v>
      </c>
      <c r="AG321" s="294">
        <f>IF(NFI_Expiration=1,IF($A321&lt;VLOOKUP(P$5,NFI,5,0),1,0)*Table_NFI[[#This Row],[Plastic Bucket]],Table_NFI[Plastic Bucket])</f>
        <v>0</v>
      </c>
      <c r="AH321" s="294">
        <f>IF(NFI_Expiration=1,IF($A321&lt;VLOOKUP(Q$5,NFI,5,0),1,0)*Table_NFI[[#This Row],[Plastic Mat]],Table_NFI[Plastic Mat])*IF(Table_NFI[[#This Row],[Distribution Date]]&gt;"2014-04-01",1,2.5)</f>
        <v>0</v>
      </c>
      <c r="AI321" s="294">
        <f>IF(NFI_Expiration=1,IF($A321&lt;VLOOKUP(R$5,NFI,5,0),1,0)*Table_NFI[[#This Row],[Winter Clothes Adult]],Table_NFI[Winter Clothes Adult])</f>
        <v>0</v>
      </c>
      <c r="AJ321" s="294">
        <f>IF(NFI_Expiration=1,IF($A321&lt;VLOOKUP(S$5,NFI,5,0),1,0)*Table_NFI[[#This Row],[Winter Clothes Children]],Table_NFI[Winter Clothes Children])</f>
        <v>0</v>
      </c>
      <c r="AK321" s="294">
        <f>IF(NFI_Expiration=1,IF($A321&lt;VLOOKUP(T$5,NFI,5,0),1,0)*Table_NFI[[#This Row],[Winter Items Other]],Table_NFI[Winter Items Other])</f>
        <v>0</v>
      </c>
      <c r="AL321" s="294">
        <f>IF(NFI_Expiration=1,IF($A321&lt;VLOOKUP(M$5,NFI,5,0),1,0)*Table_NFI[[#This Row],[Winter Blanket]],Table_NFI[[#This Row],[Winter Blanket]])</f>
        <v>0</v>
      </c>
      <c r="AM321" s="294">
        <f>IF(Table_NFI[[#This Row],[Winter Clothes Adult]]+Table_NFI[[#This Row],[Winter Clothes Children]]+Table_NFI[[#This Row],[Winter Items Other]]+Table_NFI[[#This Row],[Winter Blanket]]&gt;0,1,0)</f>
        <v>0</v>
      </c>
      <c r="AN321" s="331">
        <f>IF(NFI_Expiration=1,IF($A321&lt;VLOOKUP(V$5,NFI,5,0),1,0)*Table_NFI[[#This Row],[Jerry Can]],Table_NFI[Jerry Can])</f>
        <v>0</v>
      </c>
      <c r="AO321" s="331">
        <f>IF(NFI_Expiration=1,IF($A321&lt;VLOOKUP(V$5,NFI,5,0),1,0)*Table_NFI[[#This Row],[Shelter Tool kit]],Table_NFI[Shelter Tool kit])</f>
        <v>0</v>
      </c>
      <c r="AP321" s="331">
        <f>IF(NFI_Expiration=1,IF($A321&lt;VLOOKUP(V$5,NFI,5,0),1,0)*Table_NFI[[#This Row],[Tent]],Table_NFI[Tent])</f>
        <v>0</v>
      </c>
      <c r="AQ321" s="467" t="str">
        <f>IFERROR(VLOOKUP(Table_NFI[[#This Row],[Camp Name]],CL,2,0),"")</f>
        <v>MMR001CMP022</v>
      </c>
      <c r="AR321" s="835">
        <f ca="1">IF(Table_NFI[[#This Row],[Pcode]]="","",IF(OFFSET(CampList[Opening Date],MATCH(Table_NFI[[#This Row],[Pcode]],CampList[CP_Pcode],0)-1,0,1,1)&gt;=NFI_Monitor_Date,1,0))</f>
        <v>0</v>
      </c>
      <c r="AS321" s="467" t="str">
        <f>IFERROR(VLOOKUP(Table_NFI[[#This Row],[Camp Name]],CL,3,0),"")</f>
        <v>Open</v>
      </c>
      <c r="AT321" s="294" t="str">
        <f ca="1">IF(Table_NFI[[#This Row],[Pcode]]="","",OFFSET(CampList[Priority],MATCH(Table_NFI[[#This Row],[Pcode]],CampList[CP_Pcode],0)-1,0,1,1))</f>
        <v>P4</v>
      </c>
      <c r="AU321" s="293">
        <f>IFERROR(Table_NFI[[#This Row],[Kitchen Set]]/VLOOKUP(Table_NFI[[#This Row],[Camp Name]],CL,4,0),"")</f>
        <v>0</v>
      </c>
      <c r="AV321" s="465"/>
      <c r="AW321" s="468"/>
    </row>
    <row r="322" spans="1:49" s="464" customFormat="1" x14ac:dyDescent="0.25">
      <c r="A322" s="297">
        <f t="shared" si="4"/>
        <v>27.766666666666666</v>
      </c>
      <c r="B322" s="460">
        <v>41903</v>
      </c>
      <c r="C322" s="461" t="s">
        <v>452</v>
      </c>
      <c r="D322" s="461"/>
      <c r="E322" s="461" t="s">
        <v>380</v>
      </c>
      <c r="F322" s="461" t="s">
        <v>185</v>
      </c>
      <c r="G322" s="461" t="s">
        <v>215</v>
      </c>
      <c r="H322" s="291"/>
      <c r="I322" s="291"/>
      <c r="J322" s="291"/>
      <c r="K322" s="291">
        <v>604</v>
      </c>
      <c r="L322" s="292"/>
      <c r="M322" s="292"/>
      <c r="N322" s="292"/>
      <c r="O322" s="292"/>
      <c r="P322" s="294"/>
      <c r="Q322" s="294"/>
      <c r="R322" s="294"/>
      <c r="S322" s="294"/>
      <c r="T322" s="294"/>
      <c r="U322" s="294">
        <v>784</v>
      </c>
      <c r="V322" s="431"/>
      <c r="W322" s="294"/>
      <c r="X322" s="294"/>
      <c r="Y322" s="294">
        <f>IF(NFI_Expiration=1,IF($A322&lt;VLOOKUP(H$5,NFI,5,0),1,0)*Table_NFI[[#This Row],[Hygiene Kit]],Table_NFI[Hygiene Kit])</f>
        <v>0</v>
      </c>
      <c r="Z322" s="294">
        <f>IF(NFI_Expiration=1,IF($A322&lt;VLOOKUP(I$5,NFI,5,0),1,0)*Table_NFI[[#This Row],[NFI Core Kit]],Table_NFI[NFI Core Kit])</f>
        <v>0</v>
      </c>
      <c r="AA322" s="294">
        <f>IF(NFI_Expiration=1,IF($A322&lt;VLOOKUP(J$5,NFI,5,0),1,0)*Table_NFI[[#This Row],[Sanitary Kit]],Table_NFI[Sanitary Kit])</f>
        <v>0</v>
      </c>
      <c r="AB322" s="294">
        <f>IF(NFI_Expiration=1,IF($A322&lt;VLOOKUP(K$5,NFI,5,0),1,0)*Table_NFI[[#This Row],[Mosquito net]],Table_NFI[Mosquito net])</f>
        <v>0</v>
      </c>
      <c r="AC322" s="294">
        <f>IF(NFI_Expiration=1,IF($A322&lt;VLOOKUP(L$5,NFI,5,0),1,0)*Table_NFI[[#This Row],[Tarpaulin]],Table_NFI[[#This Row],[Tarpaulin]])</f>
        <v>0</v>
      </c>
      <c r="AD322" s="294">
        <f>IF(NFI_Expiration=1,IF($A322&lt;VLOOKUP(M$5,NFI,5,0),1,0)*Table_NFI[[#This Row],[Blanket]],Table_NFI[[#This Row],[Blanket]])</f>
        <v>0</v>
      </c>
      <c r="AE322" s="294">
        <f>IF(NFI_Expiration=1,IF($A322&lt;VLOOKUP(N$5,NFI,5,0),1,0)*Table_NFI[[#This Row],[Kitchen Set]],Table_NFI[Kitchen Set])</f>
        <v>0</v>
      </c>
      <c r="AF322" s="294">
        <f>IF(NFI_Expiration=1,IF($A322&lt;VLOOKUP(O$5,NFI,5,0),1,0)*Table_NFI[[#This Row],[Clothes Kit]],Table_NFI[Clothes Kit])</f>
        <v>0</v>
      </c>
      <c r="AG322" s="294">
        <f>IF(NFI_Expiration=1,IF($A322&lt;VLOOKUP(P$5,NFI,5,0),1,0)*Table_NFI[[#This Row],[Plastic Bucket]],Table_NFI[Plastic Bucket])</f>
        <v>0</v>
      </c>
      <c r="AH322" s="294">
        <f>IF(NFI_Expiration=1,IF($A322&lt;VLOOKUP(Q$5,NFI,5,0),1,0)*Table_NFI[[#This Row],[Plastic Mat]],Table_NFI[Plastic Mat])*IF(Table_NFI[[#This Row],[Distribution Date]]&gt;"2014-04-01",1,2.5)</f>
        <v>0</v>
      </c>
      <c r="AI322" s="294">
        <f>IF(NFI_Expiration=1,IF($A322&lt;VLOOKUP(R$5,NFI,5,0),1,0)*Table_NFI[[#This Row],[Winter Clothes Adult]],Table_NFI[Winter Clothes Adult])</f>
        <v>0</v>
      </c>
      <c r="AJ322" s="294">
        <f>IF(NFI_Expiration=1,IF($A322&lt;VLOOKUP(S$5,NFI,5,0),1,0)*Table_NFI[[#This Row],[Winter Clothes Children]],Table_NFI[Winter Clothes Children])</f>
        <v>0</v>
      </c>
      <c r="AK322" s="294">
        <f>IF(NFI_Expiration=1,IF($A322&lt;VLOOKUP(T$5,NFI,5,0),1,0)*Table_NFI[[#This Row],[Winter Items Other]],Table_NFI[Winter Items Other])</f>
        <v>0</v>
      </c>
      <c r="AL322" s="294">
        <f>IF(NFI_Expiration=1,IF($A322&lt;VLOOKUP(M$5,NFI,5,0),1,0)*Table_NFI[[#This Row],[Winter Blanket]],Table_NFI[[#This Row],[Winter Blanket]])</f>
        <v>0</v>
      </c>
      <c r="AM322" s="294">
        <f>IF(Table_NFI[[#This Row],[Winter Clothes Adult]]+Table_NFI[[#This Row],[Winter Clothes Children]]+Table_NFI[[#This Row],[Winter Items Other]]+Table_NFI[[#This Row],[Winter Blanket]]&gt;0,1,0)</f>
        <v>1</v>
      </c>
      <c r="AN322" s="331">
        <f>IF(NFI_Expiration=1,IF($A322&lt;VLOOKUP(V$5,NFI,5,0),1,0)*Table_NFI[[#This Row],[Jerry Can]],Table_NFI[Jerry Can])</f>
        <v>0</v>
      </c>
      <c r="AO322" s="331">
        <f>IF(NFI_Expiration=1,IF($A322&lt;VLOOKUP(V$5,NFI,5,0),1,0)*Table_NFI[[#This Row],[Shelter Tool kit]],Table_NFI[Shelter Tool kit])</f>
        <v>0</v>
      </c>
      <c r="AP322" s="331">
        <f>IF(NFI_Expiration=1,IF($A322&lt;VLOOKUP(V$5,NFI,5,0),1,0)*Table_NFI[[#This Row],[Tent]],Table_NFI[Tent])</f>
        <v>0</v>
      </c>
      <c r="AQ322" s="467" t="str">
        <f>IFERROR(VLOOKUP(Table_NFI[[#This Row],[Camp Name]],CL,2,0),"")</f>
        <v>MMR001CMP131</v>
      </c>
      <c r="AR322" s="835">
        <f ca="1">IF(Table_NFI[[#This Row],[Pcode]]="","",IF(OFFSET(CampList[Opening Date],MATCH(Table_NFI[[#This Row],[Pcode]],CampList[CP_Pcode],0)-1,0,1,1)&gt;=NFI_Monitor_Date,1,0))</f>
        <v>0</v>
      </c>
      <c r="AS322" s="467" t="str">
        <f>IFERROR(VLOOKUP(Table_NFI[[#This Row],[Camp Name]],CL,3,0),"")</f>
        <v>Open</v>
      </c>
      <c r="AT322" s="294" t="str">
        <f ca="1">IF(Table_NFI[[#This Row],[Pcode]]="","",OFFSET(CampList[Priority],MATCH(Table_NFI[[#This Row],[Pcode]],CampList[CP_Pcode],0)-1,0,1,1))</f>
        <v>P1</v>
      </c>
      <c r="AU322" s="293">
        <f>IFERROR(Table_NFI[[#This Row],[Kitchen Set]]/VLOOKUP(Table_NFI[[#This Row],[Camp Name]],CL,4,0),"")</f>
        <v>0</v>
      </c>
      <c r="AV322" s="461"/>
      <c r="AW322" s="463"/>
    </row>
    <row r="323" spans="1:49" s="464" customFormat="1" x14ac:dyDescent="0.25">
      <c r="A323" s="297">
        <f t="shared" si="4"/>
        <v>27.8</v>
      </c>
      <c r="B323" s="460">
        <v>41902</v>
      </c>
      <c r="C323" s="461" t="s">
        <v>452</v>
      </c>
      <c r="D323" s="461"/>
      <c r="E323" s="461" t="s">
        <v>380</v>
      </c>
      <c r="F323" s="461" t="s">
        <v>185</v>
      </c>
      <c r="G323" s="461" t="s">
        <v>219</v>
      </c>
      <c r="H323" s="291"/>
      <c r="I323" s="291"/>
      <c r="J323" s="291"/>
      <c r="K323" s="291">
        <v>1238</v>
      </c>
      <c r="L323" s="292"/>
      <c r="M323" s="292"/>
      <c r="N323" s="292"/>
      <c r="O323" s="292"/>
      <c r="P323" s="294"/>
      <c r="Q323" s="294"/>
      <c r="R323" s="294"/>
      <c r="S323" s="294"/>
      <c r="T323" s="294"/>
      <c r="U323" s="294">
        <v>1761</v>
      </c>
      <c r="V323" s="431"/>
      <c r="W323" s="331"/>
      <c r="X323" s="331"/>
      <c r="Y323" s="294">
        <f>IF(NFI_Expiration=1,IF($A323&lt;VLOOKUP(H$5,NFI,5,0),1,0)*Table_NFI[[#This Row],[Hygiene Kit]],Table_NFI[Hygiene Kit])</f>
        <v>0</v>
      </c>
      <c r="Z323" s="294">
        <f>IF(NFI_Expiration=1,IF($A323&lt;VLOOKUP(I$5,NFI,5,0),1,0)*Table_NFI[[#This Row],[NFI Core Kit]],Table_NFI[NFI Core Kit])</f>
        <v>0</v>
      </c>
      <c r="AA323" s="294">
        <f>IF(NFI_Expiration=1,IF($A323&lt;VLOOKUP(J$5,NFI,5,0),1,0)*Table_NFI[[#This Row],[Sanitary Kit]],Table_NFI[Sanitary Kit])</f>
        <v>0</v>
      </c>
      <c r="AB323" s="294">
        <f>IF(NFI_Expiration=1,IF($A323&lt;VLOOKUP(K$5,NFI,5,0),1,0)*Table_NFI[[#This Row],[Mosquito net]],Table_NFI[Mosquito net])</f>
        <v>0</v>
      </c>
      <c r="AC323" s="294">
        <f>IF(NFI_Expiration=1,IF($A323&lt;VLOOKUP(L$5,NFI,5,0),1,0)*Table_NFI[[#This Row],[Tarpaulin]],Table_NFI[[#This Row],[Tarpaulin]])</f>
        <v>0</v>
      </c>
      <c r="AD323" s="294">
        <f>IF(NFI_Expiration=1,IF($A323&lt;VLOOKUP(M$5,NFI,5,0),1,0)*Table_NFI[[#This Row],[Blanket]],Table_NFI[[#This Row],[Blanket]])</f>
        <v>0</v>
      </c>
      <c r="AE323" s="294">
        <f>IF(NFI_Expiration=1,IF($A323&lt;VLOOKUP(N$5,NFI,5,0),1,0)*Table_NFI[[#This Row],[Kitchen Set]],Table_NFI[Kitchen Set])</f>
        <v>0</v>
      </c>
      <c r="AF323" s="294">
        <f>IF(NFI_Expiration=1,IF($A323&lt;VLOOKUP(O$5,NFI,5,0),1,0)*Table_NFI[[#This Row],[Clothes Kit]],Table_NFI[Clothes Kit])</f>
        <v>0</v>
      </c>
      <c r="AG323" s="294">
        <f>IF(NFI_Expiration=1,IF($A323&lt;VLOOKUP(P$5,NFI,5,0),1,0)*Table_NFI[[#This Row],[Plastic Bucket]],Table_NFI[Plastic Bucket])</f>
        <v>0</v>
      </c>
      <c r="AH323" s="294">
        <f>IF(NFI_Expiration=1,IF($A323&lt;VLOOKUP(Q$5,NFI,5,0),1,0)*Table_NFI[[#This Row],[Plastic Mat]],Table_NFI[Plastic Mat])*IF(Table_NFI[[#This Row],[Distribution Date]]&gt;"2014-04-01",1,2.5)</f>
        <v>0</v>
      </c>
      <c r="AI323" s="294">
        <f>IF(NFI_Expiration=1,IF($A323&lt;VLOOKUP(R$5,NFI,5,0),1,0)*Table_NFI[[#This Row],[Winter Clothes Adult]],Table_NFI[Winter Clothes Adult])</f>
        <v>0</v>
      </c>
      <c r="AJ323" s="294">
        <f>IF(NFI_Expiration=1,IF($A323&lt;VLOOKUP(S$5,NFI,5,0),1,0)*Table_NFI[[#This Row],[Winter Clothes Children]],Table_NFI[Winter Clothes Children])</f>
        <v>0</v>
      </c>
      <c r="AK323" s="294">
        <f>IF(NFI_Expiration=1,IF($A323&lt;VLOOKUP(T$5,NFI,5,0),1,0)*Table_NFI[[#This Row],[Winter Items Other]],Table_NFI[Winter Items Other])</f>
        <v>0</v>
      </c>
      <c r="AL323" s="294">
        <f>IF(NFI_Expiration=1,IF($A323&lt;VLOOKUP(M$5,NFI,5,0),1,0)*Table_NFI[[#This Row],[Winter Blanket]],Table_NFI[[#This Row],[Winter Blanket]])</f>
        <v>0</v>
      </c>
      <c r="AM323" s="294">
        <f>IF(Table_NFI[[#This Row],[Winter Clothes Adult]]+Table_NFI[[#This Row],[Winter Clothes Children]]+Table_NFI[[#This Row],[Winter Items Other]]+Table_NFI[[#This Row],[Winter Blanket]]&gt;0,1,0)</f>
        <v>1</v>
      </c>
      <c r="AN323" s="331">
        <f>IF(NFI_Expiration=1,IF($A323&lt;VLOOKUP(V$5,NFI,5,0),1,0)*Table_NFI[[#This Row],[Jerry Can]],Table_NFI[Jerry Can])</f>
        <v>0</v>
      </c>
      <c r="AO323" s="331">
        <f>IF(NFI_Expiration=1,IF($A323&lt;VLOOKUP(V$5,NFI,5,0),1,0)*Table_NFI[[#This Row],[Shelter Tool kit]],Table_NFI[Shelter Tool kit])</f>
        <v>0</v>
      </c>
      <c r="AP323" s="331">
        <f>IF(NFI_Expiration=1,IF($A323&lt;VLOOKUP(V$5,NFI,5,0),1,0)*Table_NFI[[#This Row],[Tent]],Table_NFI[Tent])</f>
        <v>0</v>
      </c>
      <c r="AQ323" s="467" t="str">
        <f>IFERROR(VLOOKUP(Table_NFI[[#This Row],[Camp Name]],CL,2,0),"")</f>
        <v>MMR001CMP126</v>
      </c>
      <c r="AR323" s="835">
        <f ca="1">IF(Table_NFI[[#This Row],[Pcode]]="","",IF(OFFSET(CampList[Opening Date],MATCH(Table_NFI[[#This Row],[Pcode]],CampList[CP_Pcode],0)-1,0,1,1)&gt;=NFI_Monitor_Date,1,0))</f>
        <v>0</v>
      </c>
      <c r="AS323" s="467" t="str">
        <f>IFERROR(VLOOKUP(Table_NFI[[#This Row],[Camp Name]],CL,3,0),"")</f>
        <v>Open</v>
      </c>
      <c r="AT323" s="294" t="str">
        <f ca="1">IF(Table_NFI[[#This Row],[Pcode]]="","",OFFSET(CampList[Priority],MATCH(Table_NFI[[#This Row],[Pcode]],CampList[CP_Pcode],0)-1,0,1,1))</f>
        <v>P2</v>
      </c>
      <c r="AU323" s="293">
        <f>IFERROR(Table_NFI[[#This Row],[Kitchen Set]]/VLOOKUP(Table_NFI[[#This Row],[Camp Name]],CL,4,0),"")</f>
        <v>0</v>
      </c>
      <c r="AV323" s="461"/>
      <c r="AW323" s="463"/>
    </row>
    <row r="324" spans="1:49" s="464" customFormat="1" ht="14.45" customHeight="1" x14ac:dyDescent="0.25">
      <c r="A324" s="297">
        <f t="shared" si="4"/>
        <v>28.433333333333334</v>
      </c>
      <c r="B324" s="460">
        <v>41883</v>
      </c>
      <c r="C324" s="465" t="s">
        <v>1036</v>
      </c>
      <c r="D324" s="465"/>
      <c r="E324" s="465" t="s">
        <v>380</v>
      </c>
      <c r="F324" s="465" t="s">
        <v>310</v>
      </c>
      <c r="G324" s="465" t="s">
        <v>336</v>
      </c>
      <c r="H324" s="292"/>
      <c r="I324" s="292"/>
      <c r="J324" s="292"/>
      <c r="K324" s="292"/>
      <c r="L324" s="292"/>
      <c r="M324" s="292"/>
      <c r="N324" s="292"/>
      <c r="O324" s="292"/>
      <c r="P324" s="294"/>
      <c r="Q324" s="294"/>
      <c r="R324" s="294"/>
      <c r="S324" s="294">
        <v>407</v>
      </c>
      <c r="T324" s="294"/>
      <c r="U324" s="294"/>
      <c r="V324" s="431"/>
      <c r="W324" s="294"/>
      <c r="X324" s="294"/>
      <c r="Y324" s="294">
        <f>IF(NFI_Expiration=1,IF($A324&lt;VLOOKUP(H$5,NFI,5,0),1,0)*Table_NFI[[#This Row],[Hygiene Kit]],Table_NFI[Hygiene Kit])</f>
        <v>0</v>
      </c>
      <c r="Z324" s="294">
        <f>IF(NFI_Expiration=1,IF($A324&lt;VLOOKUP(I$5,NFI,5,0),1,0)*Table_NFI[[#This Row],[NFI Core Kit]],Table_NFI[NFI Core Kit])</f>
        <v>0</v>
      </c>
      <c r="AA324" s="294">
        <f>IF(NFI_Expiration=1,IF($A324&lt;VLOOKUP(J$5,NFI,5,0),1,0)*Table_NFI[[#This Row],[Sanitary Kit]],Table_NFI[Sanitary Kit])</f>
        <v>0</v>
      </c>
      <c r="AB324" s="294">
        <f>IF(NFI_Expiration=1,IF($A324&lt;VLOOKUP(K$5,NFI,5,0),1,0)*Table_NFI[[#This Row],[Mosquito net]],Table_NFI[Mosquito net])</f>
        <v>0</v>
      </c>
      <c r="AC324" s="294">
        <f>IF(NFI_Expiration=1,IF($A324&lt;VLOOKUP(L$5,NFI,5,0),1,0)*Table_NFI[[#This Row],[Tarpaulin]],Table_NFI[[#This Row],[Tarpaulin]])</f>
        <v>0</v>
      </c>
      <c r="AD324" s="294">
        <f>IF(NFI_Expiration=1,IF($A324&lt;VLOOKUP(M$5,NFI,5,0),1,0)*Table_NFI[[#This Row],[Blanket]],Table_NFI[[#This Row],[Blanket]])</f>
        <v>0</v>
      </c>
      <c r="AE324" s="294">
        <f>IF(NFI_Expiration=1,IF($A324&lt;VLOOKUP(N$5,NFI,5,0),1,0)*Table_NFI[[#This Row],[Kitchen Set]],Table_NFI[Kitchen Set])</f>
        <v>0</v>
      </c>
      <c r="AF324" s="294">
        <f>IF(NFI_Expiration=1,IF($A324&lt;VLOOKUP(O$5,NFI,5,0),1,0)*Table_NFI[[#This Row],[Clothes Kit]],Table_NFI[Clothes Kit])</f>
        <v>0</v>
      </c>
      <c r="AG324" s="294">
        <f>IF(NFI_Expiration=1,IF($A324&lt;VLOOKUP(P$5,NFI,5,0),1,0)*Table_NFI[[#This Row],[Plastic Bucket]],Table_NFI[Plastic Bucket])</f>
        <v>0</v>
      </c>
      <c r="AH324" s="294">
        <f>IF(NFI_Expiration=1,IF($A324&lt;VLOOKUP(Q$5,NFI,5,0),1,0)*Table_NFI[[#This Row],[Plastic Mat]],Table_NFI[Plastic Mat])*IF(Table_NFI[[#This Row],[Distribution Date]]&gt;"2014-04-01",1,2.5)</f>
        <v>0</v>
      </c>
      <c r="AI324" s="294">
        <f>IF(NFI_Expiration=1,IF($A324&lt;VLOOKUP(R$5,NFI,5,0),1,0)*Table_NFI[[#This Row],[Winter Clothes Adult]],Table_NFI[Winter Clothes Adult])</f>
        <v>0</v>
      </c>
      <c r="AJ324" s="294">
        <f>IF(NFI_Expiration=1,IF($A324&lt;VLOOKUP(S$5,NFI,5,0),1,0)*Table_NFI[[#This Row],[Winter Clothes Children]],Table_NFI[Winter Clothes Children])</f>
        <v>0</v>
      </c>
      <c r="AK324" s="294">
        <f>IF(NFI_Expiration=1,IF($A324&lt;VLOOKUP(T$5,NFI,5,0),1,0)*Table_NFI[[#This Row],[Winter Items Other]],Table_NFI[Winter Items Other])</f>
        <v>0</v>
      </c>
      <c r="AL324" s="294">
        <f>IF(NFI_Expiration=1,IF($A324&lt;VLOOKUP(M$5,NFI,5,0),1,0)*Table_NFI[[#This Row],[Winter Blanket]],Table_NFI[[#This Row],[Winter Blanket]])</f>
        <v>0</v>
      </c>
      <c r="AM324" s="294">
        <f>IF(Table_NFI[[#This Row],[Winter Clothes Adult]]+Table_NFI[[#This Row],[Winter Clothes Children]]+Table_NFI[[#This Row],[Winter Items Other]]+Table_NFI[[#This Row],[Winter Blanket]]&gt;0,1,0)</f>
        <v>1</v>
      </c>
      <c r="AN324" s="331">
        <f>IF(NFI_Expiration=1,IF($A324&lt;VLOOKUP(V$5,NFI,5,0),1,0)*Table_NFI[[#This Row],[Jerry Can]],Table_NFI[Jerry Can])</f>
        <v>0</v>
      </c>
      <c r="AO324" s="331">
        <f>IF(NFI_Expiration=1,IF($A324&lt;VLOOKUP(V$5,NFI,5,0),1,0)*Table_NFI[[#This Row],[Shelter Tool kit]],Table_NFI[Shelter Tool kit])</f>
        <v>0</v>
      </c>
      <c r="AP324" s="331">
        <f>IF(NFI_Expiration=1,IF($A324&lt;VLOOKUP(V$5,NFI,5,0),1,0)*Table_NFI[[#This Row],[Tent]],Table_NFI[Tent])</f>
        <v>0</v>
      </c>
      <c r="AQ324" s="467" t="str">
        <f>IFERROR(VLOOKUP(Table_NFI[[#This Row],[Camp Name]],CL,2,0),"")</f>
        <v>MMR001CMP115</v>
      </c>
      <c r="AR324" s="835">
        <f ca="1">IF(Table_NFI[[#This Row],[Pcode]]="","",IF(OFFSET(CampList[Opening Date],MATCH(Table_NFI[[#This Row],[Pcode]],CampList[CP_Pcode],0)-1,0,1,1)&gt;=NFI_Monitor_Date,1,0))</f>
        <v>0</v>
      </c>
      <c r="AS324" s="467" t="str">
        <f>IFERROR(VLOOKUP(Table_NFI[[#This Row],[Camp Name]],CL,3,0),"")</f>
        <v>Open</v>
      </c>
      <c r="AT324" s="294" t="str">
        <f ca="1">IF(Table_NFI[[#This Row],[Pcode]]="","",OFFSET(CampList[Priority],MATCH(Table_NFI[[#This Row],[Pcode]],CampList[CP_Pcode],0)-1,0,1,1))</f>
        <v>P1</v>
      </c>
      <c r="AU324" s="293">
        <f>IFERROR(Table_NFI[[#This Row],[Kitchen Set]]/VLOOKUP(Table_NFI[[#This Row],[Camp Name]],CL,4,0),"")</f>
        <v>0</v>
      </c>
      <c r="AV324" s="465"/>
      <c r="AW324" s="468"/>
    </row>
    <row r="325" spans="1:49" s="464" customFormat="1" x14ac:dyDescent="0.25">
      <c r="A325" s="297">
        <f t="shared" si="4"/>
        <v>28.433333333333334</v>
      </c>
      <c r="B325" s="460">
        <v>41883</v>
      </c>
      <c r="C325" s="465" t="s">
        <v>1036</v>
      </c>
      <c r="D325" s="465"/>
      <c r="E325" s="465" t="s">
        <v>380</v>
      </c>
      <c r="F325" s="465" t="s">
        <v>27</v>
      </c>
      <c r="G325" s="465" t="s">
        <v>364</v>
      </c>
      <c r="H325" s="292"/>
      <c r="I325" s="292"/>
      <c r="J325" s="292"/>
      <c r="K325" s="292"/>
      <c r="L325" s="292"/>
      <c r="M325" s="292"/>
      <c r="N325" s="292"/>
      <c r="O325" s="292"/>
      <c r="P325" s="294"/>
      <c r="Q325" s="294"/>
      <c r="R325" s="294"/>
      <c r="S325" s="294">
        <v>347</v>
      </c>
      <c r="T325" s="294"/>
      <c r="U325" s="294"/>
      <c r="V325" s="431"/>
      <c r="W325" s="294"/>
      <c r="X325" s="294"/>
      <c r="Y325" s="294">
        <f>IF(NFI_Expiration=1,IF($A325&lt;VLOOKUP(H$5,NFI,5,0),1,0)*Table_NFI[[#This Row],[Hygiene Kit]],Table_NFI[Hygiene Kit])</f>
        <v>0</v>
      </c>
      <c r="Z325" s="294">
        <f>IF(NFI_Expiration=1,IF($A325&lt;VLOOKUP(I$5,NFI,5,0),1,0)*Table_NFI[[#This Row],[NFI Core Kit]],Table_NFI[NFI Core Kit])</f>
        <v>0</v>
      </c>
      <c r="AA325" s="294">
        <f>IF(NFI_Expiration=1,IF($A325&lt;VLOOKUP(J$5,NFI,5,0),1,0)*Table_NFI[[#This Row],[Sanitary Kit]],Table_NFI[Sanitary Kit])</f>
        <v>0</v>
      </c>
      <c r="AB325" s="294">
        <f>IF(NFI_Expiration=1,IF($A325&lt;VLOOKUP(K$5,NFI,5,0),1,0)*Table_NFI[[#This Row],[Mosquito net]],Table_NFI[Mosquito net])</f>
        <v>0</v>
      </c>
      <c r="AC325" s="294">
        <f>IF(NFI_Expiration=1,IF($A325&lt;VLOOKUP(L$5,NFI,5,0),1,0)*Table_NFI[[#This Row],[Tarpaulin]],Table_NFI[[#This Row],[Tarpaulin]])</f>
        <v>0</v>
      </c>
      <c r="AD325" s="294">
        <f>IF(NFI_Expiration=1,IF($A325&lt;VLOOKUP(M$5,NFI,5,0),1,0)*Table_NFI[[#This Row],[Blanket]],Table_NFI[[#This Row],[Blanket]])</f>
        <v>0</v>
      </c>
      <c r="AE325" s="294">
        <f>IF(NFI_Expiration=1,IF($A325&lt;VLOOKUP(N$5,NFI,5,0),1,0)*Table_NFI[[#This Row],[Kitchen Set]],Table_NFI[Kitchen Set])</f>
        <v>0</v>
      </c>
      <c r="AF325" s="294">
        <f>IF(NFI_Expiration=1,IF($A325&lt;VLOOKUP(O$5,NFI,5,0),1,0)*Table_NFI[[#This Row],[Clothes Kit]],Table_NFI[Clothes Kit])</f>
        <v>0</v>
      </c>
      <c r="AG325" s="294">
        <f>IF(NFI_Expiration=1,IF($A325&lt;VLOOKUP(P$5,NFI,5,0),1,0)*Table_NFI[[#This Row],[Plastic Bucket]],Table_NFI[Plastic Bucket])</f>
        <v>0</v>
      </c>
      <c r="AH325" s="294">
        <f>IF(NFI_Expiration=1,IF($A325&lt;VLOOKUP(Q$5,NFI,5,0),1,0)*Table_NFI[[#This Row],[Plastic Mat]],Table_NFI[Plastic Mat])*IF(Table_NFI[[#This Row],[Distribution Date]]&gt;"2014-04-01",1,2.5)</f>
        <v>0</v>
      </c>
      <c r="AI325" s="294">
        <f>IF(NFI_Expiration=1,IF($A325&lt;VLOOKUP(R$5,NFI,5,0),1,0)*Table_NFI[[#This Row],[Winter Clothes Adult]],Table_NFI[Winter Clothes Adult])</f>
        <v>0</v>
      </c>
      <c r="AJ325" s="294">
        <f>IF(NFI_Expiration=1,IF($A325&lt;VLOOKUP(S$5,NFI,5,0),1,0)*Table_NFI[[#This Row],[Winter Clothes Children]],Table_NFI[Winter Clothes Children])</f>
        <v>0</v>
      </c>
      <c r="AK325" s="294">
        <f>IF(NFI_Expiration=1,IF($A325&lt;VLOOKUP(T$5,NFI,5,0),1,0)*Table_NFI[[#This Row],[Winter Items Other]],Table_NFI[Winter Items Other])</f>
        <v>0</v>
      </c>
      <c r="AL325" s="294">
        <f>IF(NFI_Expiration=1,IF($A325&lt;VLOOKUP(M$5,NFI,5,0),1,0)*Table_NFI[[#This Row],[Winter Blanket]],Table_NFI[[#This Row],[Winter Blanket]])</f>
        <v>0</v>
      </c>
      <c r="AM325" s="294">
        <f>IF(Table_NFI[[#This Row],[Winter Clothes Adult]]+Table_NFI[[#This Row],[Winter Clothes Children]]+Table_NFI[[#This Row],[Winter Items Other]]+Table_NFI[[#This Row],[Winter Blanket]]&gt;0,1,0)</f>
        <v>1</v>
      </c>
      <c r="AN325" s="331">
        <f>IF(NFI_Expiration=1,IF($A325&lt;VLOOKUP(V$5,NFI,5,0),1,0)*Table_NFI[[#This Row],[Jerry Can]],Table_NFI[Jerry Can])</f>
        <v>0</v>
      </c>
      <c r="AO325" s="331">
        <f>IF(NFI_Expiration=1,IF($A325&lt;VLOOKUP(V$5,NFI,5,0),1,0)*Table_NFI[[#This Row],[Shelter Tool kit]],Table_NFI[Shelter Tool kit])</f>
        <v>0</v>
      </c>
      <c r="AP325" s="331">
        <f>IF(NFI_Expiration=1,IF($A325&lt;VLOOKUP(V$5,NFI,5,0),1,0)*Table_NFI[[#This Row],[Tent]],Table_NFI[Tent])</f>
        <v>0</v>
      </c>
      <c r="AQ325" s="467" t="str">
        <f>IFERROR(VLOOKUP(Table_NFI[[#This Row],[Camp Name]],CL,2,0),"")</f>
        <v>MMR001CMP043</v>
      </c>
      <c r="AR325" s="835">
        <f ca="1">IF(Table_NFI[[#This Row],[Pcode]]="","",IF(OFFSET(CampList[Opening Date],MATCH(Table_NFI[[#This Row],[Pcode]],CampList[CP_Pcode],0)-1,0,1,1)&gt;=NFI_Monitor_Date,1,0))</f>
        <v>0</v>
      </c>
      <c r="AS325" s="467" t="str">
        <f>IFERROR(VLOOKUP(Table_NFI[[#This Row],[Camp Name]],CL,3,0),"")</f>
        <v>Open</v>
      </c>
      <c r="AT325" s="294" t="str">
        <f ca="1">IF(Table_NFI[[#This Row],[Pcode]]="","",OFFSET(CampList[Priority],MATCH(Table_NFI[[#This Row],[Pcode]],CampList[CP_Pcode],0)-1,0,1,1))</f>
        <v>P1</v>
      </c>
      <c r="AU325" s="293">
        <f>IFERROR(Table_NFI[[#This Row],[Kitchen Set]]/VLOOKUP(Table_NFI[[#This Row],[Camp Name]],CL,4,0),"")</f>
        <v>0</v>
      </c>
      <c r="AV325" s="465"/>
      <c r="AW325" s="468"/>
    </row>
    <row r="326" spans="1:49" s="464" customFormat="1" ht="14.45" customHeight="1" x14ac:dyDescent="0.25">
      <c r="A326" s="297">
        <f t="shared" ref="A326:A389" si="5">IF(ISBLANK(B326),"",(Report_Date-B326)/30)</f>
        <v>28.433333333333334</v>
      </c>
      <c r="B326" s="460">
        <v>41883</v>
      </c>
      <c r="C326" s="465" t="s">
        <v>1036</v>
      </c>
      <c r="D326" s="465"/>
      <c r="E326" s="465" t="s">
        <v>380</v>
      </c>
      <c r="F326" s="465" t="s">
        <v>310</v>
      </c>
      <c r="G326" s="465" t="s">
        <v>322</v>
      </c>
      <c r="H326" s="292"/>
      <c r="I326" s="292"/>
      <c r="J326" s="292"/>
      <c r="K326" s="292"/>
      <c r="L326" s="292"/>
      <c r="M326" s="292"/>
      <c r="N326" s="292"/>
      <c r="O326" s="292"/>
      <c r="P326" s="294"/>
      <c r="Q326" s="294"/>
      <c r="R326" s="294"/>
      <c r="S326" s="294">
        <v>917</v>
      </c>
      <c r="T326" s="294"/>
      <c r="U326" s="294"/>
      <c r="V326" s="431"/>
      <c r="W326" s="294"/>
      <c r="X326" s="294"/>
      <c r="Y326" s="294">
        <f>IF(NFI_Expiration=1,IF($A326&lt;VLOOKUP(H$5,NFI,5,0),1,0)*Table_NFI[[#This Row],[Hygiene Kit]],Table_NFI[Hygiene Kit])</f>
        <v>0</v>
      </c>
      <c r="Z326" s="294">
        <f>IF(NFI_Expiration=1,IF($A326&lt;VLOOKUP(I$5,NFI,5,0),1,0)*Table_NFI[[#This Row],[NFI Core Kit]],Table_NFI[NFI Core Kit])</f>
        <v>0</v>
      </c>
      <c r="AA326" s="294">
        <f>IF(NFI_Expiration=1,IF($A326&lt;VLOOKUP(J$5,NFI,5,0),1,0)*Table_NFI[[#This Row],[Sanitary Kit]],Table_NFI[Sanitary Kit])</f>
        <v>0</v>
      </c>
      <c r="AB326" s="294">
        <f>IF(NFI_Expiration=1,IF($A326&lt;VLOOKUP(K$5,NFI,5,0),1,0)*Table_NFI[[#This Row],[Mosquito net]],Table_NFI[Mosquito net])</f>
        <v>0</v>
      </c>
      <c r="AC326" s="294">
        <f>IF(NFI_Expiration=1,IF($A326&lt;VLOOKUP(L$5,NFI,5,0),1,0)*Table_NFI[[#This Row],[Tarpaulin]],Table_NFI[[#This Row],[Tarpaulin]])</f>
        <v>0</v>
      </c>
      <c r="AD326" s="294">
        <f>IF(NFI_Expiration=1,IF($A326&lt;VLOOKUP(M$5,NFI,5,0),1,0)*Table_NFI[[#This Row],[Blanket]],Table_NFI[[#This Row],[Blanket]])</f>
        <v>0</v>
      </c>
      <c r="AE326" s="294">
        <f>IF(NFI_Expiration=1,IF($A326&lt;VLOOKUP(N$5,NFI,5,0),1,0)*Table_NFI[[#This Row],[Kitchen Set]],Table_NFI[Kitchen Set])</f>
        <v>0</v>
      </c>
      <c r="AF326" s="294">
        <f>IF(NFI_Expiration=1,IF($A326&lt;VLOOKUP(O$5,NFI,5,0),1,0)*Table_NFI[[#This Row],[Clothes Kit]],Table_NFI[Clothes Kit])</f>
        <v>0</v>
      </c>
      <c r="AG326" s="294">
        <f>IF(NFI_Expiration=1,IF($A326&lt;VLOOKUP(P$5,NFI,5,0),1,0)*Table_NFI[[#This Row],[Plastic Bucket]],Table_NFI[Plastic Bucket])</f>
        <v>0</v>
      </c>
      <c r="AH326" s="294">
        <f>IF(NFI_Expiration=1,IF($A326&lt;VLOOKUP(Q$5,NFI,5,0),1,0)*Table_NFI[[#This Row],[Plastic Mat]],Table_NFI[Plastic Mat])*IF(Table_NFI[[#This Row],[Distribution Date]]&gt;"2014-04-01",1,2.5)</f>
        <v>0</v>
      </c>
      <c r="AI326" s="294">
        <f>IF(NFI_Expiration=1,IF($A326&lt;VLOOKUP(R$5,NFI,5,0),1,0)*Table_NFI[[#This Row],[Winter Clothes Adult]],Table_NFI[Winter Clothes Adult])</f>
        <v>0</v>
      </c>
      <c r="AJ326" s="294">
        <f>IF(NFI_Expiration=1,IF($A326&lt;VLOOKUP(S$5,NFI,5,0),1,0)*Table_NFI[[#This Row],[Winter Clothes Children]],Table_NFI[Winter Clothes Children])</f>
        <v>0</v>
      </c>
      <c r="AK326" s="294">
        <f>IF(NFI_Expiration=1,IF($A326&lt;VLOOKUP(T$5,NFI,5,0),1,0)*Table_NFI[[#This Row],[Winter Items Other]],Table_NFI[Winter Items Other])</f>
        <v>0</v>
      </c>
      <c r="AL326" s="294">
        <f>IF(NFI_Expiration=1,IF($A326&lt;VLOOKUP(M$5,NFI,5,0),1,0)*Table_NFI[[#This Row],[Winter Blanket]],Table_NFI[[#This Row],[Winter Blanket]])</f>
        <v>0</v>
      </c>
      <c r="AM326" s="294">
        <f>IF(Table_NFI[[#This Row],[Winter Clothes Adult]]+Table_NFI[[#This Row],[Winter Clothes Children]]+Table_NFI[[#This Row],[Winter Items Other]]+Table_NFI[[#This Row],[Winter Blanket]]&gt;0,1,0)</f>
        <v>1</v>
      </c>
      <c r="AN326" s="331">
        <f>IF(NFI_Expiration=1,IF($A326&lt;VLOOKUP(V$5,NFI,5,0),1,0)*Table_NFI[[#This Row],[Jerry Can]],Table_NFI[Jerry Can])</f>
        <v>0</v>
      </c>
      <c r="AO326" s="331">
        <f>IF(NFI_Expiration=1,IF($A326&lt;VLOOKUP(V$5,NFI,5,0),1,0)*Table_NFI[[#This Row],[Shelter Tool kit]],Table_NFI[Shelter Tool kit])</f>
        <v>0</v>
      </c>
      <c r="AP326" s="331">
        <f>IF(NFI_Expiration=1,IF($A326&lt;VLOOKUP(V$5,NFI,5,0),1,0)*Table_NFI[[#This Row],[Tent]],Table_NFI[Tent])</f>
        <v>0</v>
      </c>
      <c r="AQ326" s="467" t="str">
        <f>IFERROR(VLOOKUP(Table_NFI[[#This Row],[Camp Name]],CL,2,0),"")</f>
        <v>MMR001CMP119</v>
      </c>
      <c r="AR326" s="835">
        <f ca="1">IF(Table_NFI[[#This Row],[Pcode]]="","",IF(OFFSET(CampList[Opening Date],MATCH(Table_NFI[[#This Row],[Pcode]],CampList[CP_Pcode],0)-1,0,1,1)&gt;=NFI_Monitor_Date,1,0))</f>
        <v>0</v>
      </c>
      <c r="AS326" s="467" t="str">
        <f>IFERROR(VLOOKUP(Table_NFI[[#This Row],[Camp Name]],CL,3,0),"")</f>
        <v>Open</v>
      </c>
      <c r="AT326" s="294" t="str">
        <f ca="1">IF(Table_NFI[[#This Row],[Pcode]]="","",OFFSET(CampList[Priority],MATCH(Table_NFI[[#This Row],[Pcode]],CampList[CP_Pcode],0)-1,0,1,1))</f>
        <v>P2</v>
      </c>
      <c r="AU326" s="293">
        <f>IFERROR(Table_NFI[[#This Row],[Kitchen Set]]/VLOOKUP(Table_NFI[[#This Row],[Camp Name]],CL,4,0),"")</f>
        <v>0</v>
      </c>
      <c r="AV326" s="465"/>
      <c r="AW326" s="468"/>
    </row>
    <row r="327" spans="1:49" s="464" customFormat="1" ht="14.45" customHeight="1" x14ac:dyDescent="0.25">
      <c r="A327" s="297">
        <f t="shared" si="5"/>
        <v>28.433333333333334</v>
      </c>
      <c r="B327" s="460">
        <v>41883</v>
      </c>
      <c r="C327" s="465" t="s">
        <v>1036</v>
      </c>
      <c r="D327" s="465"/>
      <c r="E327" s="465" t="s">
        <v>380</v>
      </c>
      <c r="F327" s="465" t="s">
        <v>310</v>
      </c>
      <c r="G327" s="465" t="s">
        <v>1243</v>
      </c>
      <c r="H327" s="292"/>
      <c r="I327" s="292"/>
      <c r="J327" s="292"/>
      <c r="K327" s="292"/>
      <c r="L327" s="292"/>
      <c r="M327" s="292"/>
      <c r="N327" s="292"/>
      <c r="O327" s="292"/>
      <c r="P327" s="294"/>
      <c r="Q327" s="294"/>
      <c r="R327" s="294"/>
      <c r="S327" s="294">
        <v>291</v>
      </c>
      <c r="T327" s="294"/>
      <c r="U327" s="294"/>
      <c r="V327" s="431"/>
      <c r="W327" s="294"/>
      <c r="X327" s="294"/>
      <c r="Y327" s="294">
        <f>IF(NFI_Expiration=1,IF($A327&lt;VLOOKUP(H$5,NFI,5,0),1,0)*Table_NFI[[#This Row],[Hygiene Kit]],Table_NFI[Hygiene Kit])</f>
        <v>0</v>
      </c>
      <c r="Z327" s="294">
        <f>IF(NFI_Expiration=1,IF($A327&lt;VLOOKUP(I$5,NFI,5,0),1,0)*Table_NFI[[#This Row],[NFI Core Kit]],Table_NFI[NFI Core Kit])</f>
        <v>0</v>
      </c>
      <c r="AA327" s="294">
        <f>IF(NFI_Expiration=1,IF($A327&lt;VLOOKUP(J$5,NFI,5,0),1,0)*Table_NFI[[#This Row],[Sanitary Kit]],Table_NFI[Sanitary Kit])</f>
        <v>0</v>
      </c>
      <c r="AB327" s="294">
        <f>IF(NFI_Expiration=1,IF($A327&lt;VLOOKUP(K$5,NFI,5,0),1,0)*Table_NFI[[#This Row],[Mosquito net]],Table_NFI[Mosquito net])</f>
        <v>0</v>
      </c>
      <c r="AC327" s="294">
        <f>IF(NFI_Expiration=1,IF($A327&lt;VLOOKUP(L$5,NFI,5,0),1,0)*Table_NFI[[#This Row],[Tarpaulin]],Table_NFI[[#This Row],[Tarpaulin]])</f>
        <v>0</v>
      </c>
      <c r="AD327" s="294">
        <f>IF(NFI_Expiration=1,IF($A327&lt;VLOOKUP(M$5,NFI,5,0),1,0)*Table_NFI[[#This Row],[Blanket]],Table_NFI[[#This Row],[Blanket]])</f>
        <v>0</v>
      </c>
      <c r="AE327" s="294">
        <f>IF(NFI_Expiration=1,IF($A327&lt;VLOOKUP(N$5,NFI,5,0),1,0)*Table_NFI[[#This Row],[Kitchen Set]],Table_NFI[Kitchen Set])</f>
        <v>0</v>
      </c>
      <c r="AF327" s="294">
        <f>IF(NFI_Expiration=1,IF($A327&lt;VLOOKUP(O$5,NFI,5,0),1,0)*Table_NFI[[#This Row],[Clothes Kit]],Table_NFI[Clothes Kit])</f>
        <v>0</v>
      </c>
      <c r="AG327" s="294">
        <f>IF(NFI_Expiration=1,IF($A327&lt;VLOOKUP(P$5,NFI,5,0),1,0)*Table_NFI[[#This Row],[Plastic Bucket]],Table_NFI[Plastic Bucket])</f>
        <v>0</v>
      </c>
      <c r="AH327" s="294">
        <f>IF(NFI_Expiration=1,IF($A327&lt;VLOOKUP(Q$5,NFI,5,0),1,0)*Table_NFI[[#This Row],[Plastic Mat]],Table_NFI[Plastic Mat])*IF(Table_NFI[[#This Row],[Distribution Date]]&gt;"2014-04-01",1,2.5)</f>
        <v>0</v>
      </c>
      <c r="AI327" s="294">
        <f>IF(NFI_Expiration=1,IF($A327&lt;VLOOKUP(R$5,NFI,5,0),1,0)*Table_NFI[[#This Row],[Winter Clothes Adult]],Table_NFI[Winter Clothes Adult])</f>
        <v>0</v>
      </c>
      <c r="AJ327" s="294">
        <f>IF(NFI_Expiration=1,IF($A327&lt;VLOOKUP(S$5,NFI,5,0),1,0)*Table_NFI[[#This Row],[Winter Clothes Children]],Table_NFI[Winter Clothes Children])</f>
        <v>0</v>
      </c>
      <c r="AK327" s="294">
        <f>IF(NFI_Expiration=1,IF($A327&lt;VLOOKUP(T$5,NFI,5,0),1,0)*Table_NFI[[#This Row],[Winter Items Other]],Table_NFI[Winter Items Other])</f>
        <v>0</v>
      </c>
      <c r="AL327" s="294">
        <f>IF(NFI_Expiration=1,IF($A327&lt;VLOOKUP(M$5,NFI,5,0),1,0)*Table_NFI[[#This Row],[Winter Blanket]],Table_NFI[[#This Row],[Winter Blanket]])</f>
        <v>0</v>
      </c>
      <c r="AM327" s="294">
        <f>IF(Table_NFI[[#This Row],[Winter Clothes Adult]]+Table_NFI[[#This Row],[Winter Clothes Children]]+Table_NFI[[#This Row],[Winter Items Other]]+Table_NFI[[#This Row],[Winter Blanket]]&gt;0,1,0)</f>
        <v>1</v>
      </c>
      <c r="AN327" s="331">
        <f>IF(NFI_Expiration=1,IF($A327&lt;VLOOKUP(V$5,NFI,5,0),1,0)*Table_NFI[[#This Row],[Jerry Can]],Table_NFI[Jerry Can])</f>
        <v>0</v>
      </c>
      <c r="AO327" s="331">
        <f>IF(NFI_Expiration=1,IF($A327&lt;VLOOKUP(V$5,NFI,5,0),1,0)*Table_NFI[[#This Row],[Shelter Tool kit]],Table_NFI[Shelter Tool kit])</f>
        <v>0</v>
      </c>
      <c r="AP327" s="331">
        <f>IF(NFI_Expiration=1,IF($A327&lt;VLOOKUP(V$5,NFI,5,0),1,0)*Table_NFI[[#This Row],[Tent]],Table_NFI[Tent])</f>
        <v>0</v>
      </c>
      <c r="AQ327" s="467" t="str">
        <f>IFERROR(VLOOKUP(Table_NFI[[#This Row],[Camp Name]],CL,2,0),"")</f>
        <v>MMR001CMP120</v>
      </c>
      <c r="AR327" s="835">
        <f ca="1">IF(Table_NFI[[#This Row],[Pcode]]="","",IF(OFFSET(CampList[Opening Date],MATCH(Table_NFI[[#This Row],[Pcode]],CampList[CP_Pcode],0)-1,0,1,1)&gt;=NFI_Monitor_Date,1,0))</f>
        <v>0</v>
      </c>
      <c r="AS327" s="467" t="str">
        <f>IFERROR(VLOOKUP(Table_NFI[[#This Row],[Camp Name]],CL,3,0),"")</f>
        <v>Open</v>
      </c>
      <c r="AT327" s="294" t="str">
        <f ca="1">IF(Table_NFI[[#This Row],[Pcode]]="","",OFFSET(CampList[Priority],MATCH(Table_NFI[[#This Row],[Pcode]],CampList[CP_Pcode],0)-1,0,1,1))</f>
        <v>P1</v>
      </c>
      <c r="AU327" s="293">
        <f>IFERROR(Table_NFI[[#This Row],[Kitchen Set]]/VLOOKUP(Table_NFI[[#This Row],[Camp Name]],CL,4,0),"")</f>
        <v>0</v>
      </c>
      <c r="AV327" s="465"/>
      <c r="AW327" s="468"/>
    </row>
    <row r="328" spans="1:49" s="464" customFormat="1" ht="14.45" customHeight="1" x14ac:dyDescent="0.25">
      <c r="A328" s="297">
        <f t="shared" si="5"/>
        <v>28.433333333333334</v>
      </c>
      <c r="B328" s="460">
        <v>41883</v>
      </c>
      <c r="C328" s="465" t="s">
        <v>1036</v>
      </c>
      <c r="D328" s="465"/>
      <c r="E328" s="465" t="s">
        <v>380</v>
      </c>
      <c r="F328" s="465" t="s">
        <v>310</v>
      </c>
      <c r="G328" s="465" t="s">
        <v>347</v>
      </c>
      <c r="H328" s="292"/>
      <c r="I328" s="292"/>
      <c r="J328" s="292"/>
      <c r="K328" s="292"/>
      <c r="L328" s="292"/>
      <c r="M328" s="292"/>
      <c r="N328" s="292"/>
      <c r="O328" s="292"/>
      <c r="P328" s="294"/>
      <c r="Q328" s="294"/>
      <c r="R328" s="294"/>
      <c r="S328" s="294">
        <v>288</v>
      </c>
      <c r="T328" s="294"/>
      <c r="U328" s="294"/>
      <c r="V328" s="431"/>
      <c r="W328" s="294"/>
      <c r="X328" s="294"/>
      <c r="Y328" s="294">
        <f>IF(NFI_Expiration=1,IF($A328&lt;VLOOKUP(H$5,NFI,5,0),1,0)*Table_NFI[[#This Row],[Hygiene Kit]],Table_NFI[Hygiene Kit])</f>
        <v>0</v>
      </c>
      <c r="Z328" s="294">
        <f>IF(NFI_Expiration=1,IF($A328&lt;VLOOKUP(I$5,NFI,5,0),1,0)*Table_NFI[[#This Row],[NFI Core Kit]],Table_NFI[NFI Core Kit])</f>
        <v>0</v>
      </c>
      <c r="AA328" s="294">
        <f>IF(NFI_Expiration=1,IF($A328&lt;VLOOKUP(J$5,NFI,5,0),1,0)*Table_NFI[[#This Row],[Sanitary Kit]],Table_NFI[Sanitary Kit])</f>
        <v>0</v>
      </c>
      <c r="AB328" s="294">
        <f>IF(NFI_Expiration=1,IF($A328&lt;VLOOKUP(K$5,NFI,5,0),1,0)*Table_NFI[[#This Row],[Mosquito net]],Table_NFI[Mosquito net])</f>
        <v>0</v>
      </c>
      <c r="AC328" s="294">
        <f>IF(NFI_Expiration=1,IF($A328&lt;VLOOKUP(L$5,NFI,5,0),1,0)*Table_NFI[[#This Row],[Tarpaulin]],Table_NFI[[#This Row],[Tarpaulin]])</f>
        <v>0</v>
      </c>
      <c r="AD328" s="294">
        <f>IF(NFI_Expiration=1,IF($A328&lt;VLOOKUP(M$5,NFI,5,0),1,0)*Table_NFI[[#This Row],[Blanket]],Table_NFI[[#This Row],[Blanket]])</f>
        <v>0</v>
      </c>
      <c r="AE328" s="294">
        <f>IF(NFI_Expiration=1,IF($A328&lt;VLOOKUP(N$5,NFI,5,0),1,0)*Table_NFI[[#This Row],[Kitchen Set]],Table_NFI[Kitchen Set])</f>
        <v>0</v>
      </c>
      <c r="AF328" s="294">
        <f>IF(NFI_Expiration=1,IF($A328&lt;VLOOKUP(O$5,NFI,5,0),1,0)*Table_NFI[[#This Row],[Clothes Kit]],Table_NFI[Clothes Kit])</f>
        <v>0</v>
      </c>
      <c r="AG328" s="294">
        <f>IF(NFI_Expiration=1,IF($A328&lt;VLOOKUP(P$5,NFI,5,0),1,0)*Table_NFI[[#This Row],[Plastic Bucket]],Table_NFI[Plastic Bucket])</f>
        <v>0</v>
      </c>
      <c r="AH328" s="294">
        <f>IF(NFI_Expiration=1,IF($A328&lt;VLOOKUP(Q$5,NFI,5,0),1,0)*Table_NFI[[#This Row],[Plastic Mat]],Table_NFI[Plastic Mat])*IF(Table_NFI[[#This Row],[Distribution Date]]&gt;"2014-04-01",1,2.5)</f>
        <v>0</v>
      </c>
      <c r="AI328" s="294">
        <f>IF(NFI_Expiration=1,IF($A328&lt;VLOOKUP(R$5,NFI,5,0),1,0)*Table_NFI[[#This Row],[Winter Clothes Adult]],Table_NFI[Winter Clothes Adult])</f>
        <v>0</v>
      </c>
      <c r="AJ328" s="294">
        <f>IF(NFI_Expiration=1,IF($A328&lt;VLOOKUP(S$5,NFI,5,0),1,0)*Table_NFI[[#This Row],[Winter Clothes Children]],Table_NFI[Winter Clothes Children])</f>
        <v>0</v>
      </c>
      <c r="AK328" s="294">
        <f>IF(NFI_Expiration=1,IF($A328&lt;VLOOKUP(T$5,NFI,5,0),1,0)*Table_NFI[[#This Row],[Winter Items Other]],Table_NFI[Winter Items Other])</f>
        <v>0</v>
      </c>
      <c r="AL328" s="294">
        <f>IF(NFI_Expiration=1,IF($A328&lt;VLOOKUP(M$5,NFI,5,0),1,0)*Table_NFI[[#This Row],[Winter Blanket]],Table_NFI[[#This Row],[Winter Blanket]])</f>
        <v>0</v>
      </c>
      <c r="AM328" s="294">
        <f>IF(Table_NFI[[#This Row],[Winter Clothes Adult]]+Table_NFI[[#This Row],[Winter Clothes Children]]+Table_NFI[[#This Row],[Winter Items Other]]+Table_NFI[[#This Row],[Winter Blanket]]&gt;0,1,0)</f>
        <v>1</v>
      </c>
      <c r="AN328" s="331">
        <f>IF(NFI_Expiration=1,IF($A328&lt;VLOOKUP(V$5,NFI,5,0),1,0)*Table_NFI[[#This Row],[Jerry Can]],Table_NFI[Jerry Can])</f>
        <v>0</v>
      </c>
      <c r="AO328" s="331">
        <f>IF(NFI_Expiration=1,IF($A328&lt;VLOOKUP(V$5,NFI,5,0),1,0)*Table_NFI[[#This Row],[Shelter Tool kit]],Table_NFI[Shelter Tool kit])</f>
        <v>0</v>
      </c>
      <c r="AP328" s="331">
        <f>IF(NFI_Expiration=1,IF($A328&lt;VLOOKUP(V$5,NFI,5,0),1,0)*Table_NFI[[#This Row],[Tent]],Table_NFI[Tent])</f>
        <v>0</v>
      </c>
      <c r="AQ328" s="467" t="str">
        <f>IFERROR(VLOOKUP(Table_NFI[[#This Row],[Camp Name]],CL,2,0),"")</f>
        <v>MMR001CMP041</v>
      </c>
      <c r="AR328" s="835">
        <f ca="1">IF(Table_NFI[[#This Row],[Pcode]]="","",IF(OFFSET(CampList[Opening Date],MATCH(Table_NFI[[#This Row],[Pcode]],CampList[CP_Pcode],0)-1,0,1,1)&gt;=NFI_Monitor_Date,1,0))</f>
        <v>0</v>
      </c>
      <c r="AS328" s="467" t="str">
        <f>IFERROR(VLOOKUP(Table_NFI[[#This Row],[Camp Name]],CL,3,0),"")</f>
        <v>Open</v>
      </c>
      <c r="AT328" s="294" t="str">
        <f ca="1">IF(Table_NFI[[#This Row],[Pcode]]="","",OFFSET(CampList[Priority],MATCH(Table_NFI[[#This Row],[Pcode]],CampList[CP_Pcode],0)-1,0,1,1))</f>
        <v>P1</v>
      </c>
      <c r="AU328" s="293">
        <f>IFERROR(Table_NFI[[#This Row],[Kitchen Set]]/VLOOKUP(Table_NFI[[#This Row],[Camp Name]],CL,4,0),"")</f>
        <v>0</v>
      </c>
      <c r="AV328" s="465"/>
      <c r="AW328" s="468"/>
    </row>
    <row r="329" spans="1:49" s="464" customFormat="1" x14ac:dyDescent="0.25">
      <c r="A329" s="297">
        <f t="shared" si="5"/>
        <v>28.433333333333334</v>
      </c>
      <c r="B329" s="460">
        <v>41883</v>
      </c>
      <c r="C329" s="465" t="s">
        <v>1036</v>
      </c>
      <c r="D329" s="465"/>
      <c r="E329" s="465" t="s">
        <v>380</v>
      </c>
      <c r="F329" s="465" t="s">
        <v>310</v>
      </c>
      <c r="G329" s="465" t="s">
        <v>1245</v>
      </c>
      <c r="H329" s="292"/>
      <c r="I329" s="292"/>
      <c r="J329" s="292"/>
      <c r="K329" s="292"/>
      <c r="L329" s="292"/>
      <c r="M329" s="292"/>
      <c r="N329" s="292"/>
      <c r="O329" s="292"/>
      <c r="P329" s="294"/>
      <c r="Q329" s="294"/>
      <c r="R329" s="294"/>
      <c r="S329" s="294">
        <v>905</v>
      </c>
      <c r="T329" s="294"/>
      <c r="U329" s="294"/>
      <c r="V329" s="431"/>
      <c r="W329" s="294"/>
      <c r="X329" s="294"/>
      <c r="Y329" s="294">
        <f>IF(NFI_Expiration=1,IF($A329&lt;VLOOKUP(H$5,NFI,5,0),1,0)*Table_NFI[[#This Row],[Hygiene Kit]],Table_NFI[Hygiene Kit])</f>
        <v>0</v>
      </c>
      <c r="Z329" s="294">
        <f>IF(NFI_Expiration=1,IF($A329&lt;VLOOKUP(I$5,NFI,5,0),1,0)*Table_NFI[[#This Row],[NFI Core Kit]],Table_NFI[NFI Core Kit])</f>
        <v>0</v>
      </c>
      <c r="AA329" s="294">
        <f>IF(NFI_Expiration=1,IF($A329&lt;VLOOKUP(J$5,NFI,5,0),1,0)*Table_NFI[[#This Row],[Sanitary Kit]],Table_NFI[Sanitary Kit])</f>
        <v>0</v>
      </c>
      <c r="AB329" s="294">
        <f>IF(NFI_Expiration=1,IF($A329&lt;VLOOKUP(K$5,NFI,5,0),1,0)*Table_NFI[[#This Row],[Mosquito net]],Table_NFI[Mosquito net])</f>
        <v>0</v>
      </c>
      <c r="AC329" s="294">
        <f>IF(NFI_Expiration=1,IF($A329&lt;VLOOKUP(L$5,NFI,5,0),1,0)*Table_NFI[[#This Row],[Tarpaulin]],Table_NFI[[#This Row],[Tarpaulin]])</f>
        <v>0</v>
      </c>
      <c r="AD329" s="294">
        <f>IF(NFI_Expiration=1,IF($A329&lt;VLOOKUP(M$5,NFI,5,0),1,0)*Table_NFI[[#This Row],[Blanket]],Table_NFI[[#This Row],[Blanket]])</f>
        <v>0</v>
      </c>
      <c r="AE329" s="294">
        <f>IF(NFI_Expiration=1,IF($A329&lt;VLOOKUP(N$5,NFI,5,0),1,0)*Table_NFI[[#This Row],[Kitchen Set]],Table_NFI[Kitchen Set])</f>
        <v>0</v>
      </c>
      <c r="AF329" s="294">
        <f>IF(NFI_Expiration=1,IF($A329&lt;VLOOKUP(O$5,NFI,5,0),1,0)*Table_NFI[[#This Row],[Clothes Kit]],Table_NFI[Clothes Kit])</f>
        <v>0</v>
      </c>
      <c r="AG329" s="294">
        <f>IF(NFI_Expiration=1,IF($A329&lt;VLOOKUP(P$5,NFI,5,0),1,0)*Table_NFI[[#This Row],[Plastic Bucket]],Table_NFI[Plastic Bucket])</f>
        <v>0</v>
      </c>
      <c r="AH329" s="294">
        <f>IF(NFI_Expiration=1,IF($A329&lt;VLOOKUP(Q$5,NFI,5,0),1,0)*Table_NFI[[#This Row],[Plastic Mat]],Table_NFI[Plastic Mat])*IF(Table_NFI[[#This Row],[Distribution Date]]&gt;"2014-04-01",1,2.5)</f>
        <v>0</v>
      </c>
      <c r="AI329" s="294">
        <f>IF(NFI_Expiration=1,IF($A329&lt;VLOOKUP(R$5,NFI,5,0),1,0)*Table_NFI[[#This Row],[Winter Clothes Adult]],Table_NFI[Winter Clothes Adult])</f>
        <v>0</v>
      </c>
      <c r="AJ329" s="294">
        <f>IF(NFI_Expiration=1,IF($A329&lt;VLOOKUP(S$5,NFI,5,0),1,0)*Table_NFI[[#This Row],[Winter Clothes Children]],Table_NFI[Winter Clothes Children])</f>
        <v>0</v>
      </c>
      <c r="AK329" s="294">
        <f>IF(NFI_Expiration=1,IF($A329&lt;VLOOKUP(T$5,NFI,5,0),1,0)*Table_NFI[[#This Row],[Winter Items Other]],Table_NFI[Winter Items Other])</f>
        <v>0</v>
      </c>
      <c r="AL329" s="294">
        <f>IF(NFI_Expiration=1,IF($A329&lt;VLOOKUP(M$5,NFI,5,0),1,0)*Table_NFI[[#This Row],[Winter Blanket]],Table_NFI[[#This Row],[Winter Blanket]])</f>
        <v>0</v>
      </c>
      <c r="AM329" s="294">
        <f>IF(Table_NFI[[#This Row],[Winter Clothes Adult]]+Table_NFI[[#This Row],[Winter Clothes Children]]+Table_NFI[[#This Row],[Winter Items Other]]+Table_NFI[[#This Row],[Winter Blanket]]&gt;0,1,0)</f>
        <v>1</v>
      </c>
      <c r="AN329" s="331">
        <f>IF(NFI_Expiration=1,IF($A329&lt;VLOOKUP(V$5,NFI,5,0),1,0)*Table_NFI[[#This Row],[Jerry Can]],Table_NFI[Jerry Can])</f>
        <v>0</v>
      </c>
      <c r="AO329" s="331">
        <f>IF(NFI_Expiration=1,IF($A329&lt;VLOOKUP(V$5,NFI,5,0),1,0)*Table_NFI[[#This Row],[Shelter Tool kit]],Table_NFI[Shelter Tool kit])</f>
        <v>0</v>
      </c>
      <c r="AP329" s="331">
        <f>IF(NFI_Expiration=1,IF($A329&lt;VLOOKUP(V$5,NFI,5,0),1,0)*Table_NFI[[#This Row],[Tent]],Table_NFI[Tent])</f>
        <v>0</v>
      </c>
      <c r="AQ329" s="467" t="str">
        <f>IFERROR(VLOOKUP(Table_NFI[[#This Row],[Camp Name]],CL,2,0),"")</f>
        <v>MMR001CMP111</v>
      </c>
      <c r="AR329" s="835">
        <f ca="1">IF(Table_NFI[[#This Row],[Pcode]]="","",IF(OFFSET(CampList[Opening Date],MATCH(Table_NFI[[#This Row],[Pcode]],CampList[CP_Pcode],0)-1,0,1,1)&gt;=NFI_Monitor_Date,1,0))</f>
        <v>0</v>
      </c>
      <c r="AS329" s="467" t="str">
        <f>IFERROR(VLOOKUP(Table_NFI[[#This Row],[Camp Name]],CL,3,0),"")</f>
        <v>Open</v>
      </c>
      <c r="AT329" s="294" t="str">
        <f ca="1">IF(Table_NFI[[#This Row],[Pcode]]="","",OFFSET(CampList[Priority],MATCH(Table_NFI[[#This Row],[Pcode]],CampList[CP_Pcode],0)-1,0,1,1))</f>
        <v>P2</v>
      </c>
      <c r="AU329" s="293">
        <f>IFERROR(Table_NFI[[#This Row],[Kitchen Set]]/VLOOKUP(Table_NFI[[#This Row],[Camp Name]],CL,4,0),"")</f>
        <v>0</v>
      </c>
      <c r="AV329" s="465"/>
      <c r="AW329" s="468"/>
    </row>
    <row r="330" spans="1:49" s="464" customFormat="1" ht="14.45" customHeight="1" x14ac:dyDescent="0.25">
      <c r="A330" s="297">
        <f t="shared" si="5"/>
        <v>28.9</v>
      </c>
      <c r="B330" s="460">
        <v>41869</v>
      </c>
      <c r="C330" s="461" t="s">
        <v>452</v>
      </c>
      <c r="D330" s="461"/>
      <c r="E330" s="461" t="s">
        <v>380</v>
      </c>
      <c r="F330" s="290" t="s">
        <v>151</v>
      </c>
      <c r="G330" s="461" t="s">
        <v>1034</v>
      </c>
      <c r="H330" s="291"/>
      <c r="I330" s="291"/>
      <c r="J330" s="291"/>
      <c r="K330" s="291"/>
      <c r="L330" s="292">
        <v>70</v>
      </c>
      <c r="M330" s="292"/>
      <c r="N330" s="292"/>
      <c r="O330" s="292"/>
      <c r="P330" s="294"/>
      <c r="Q330" s="294"/>
      <c r="R330" s="294"/>
      <c r="S330" s="294"/>
      <c r="T330" s="294"/>
      <c r="U330" s="294"/>
      <c r="V330" s="431"/>
      <c r="W330" s="294"/>
      <c r="X330" s="294"/>
      <c r="Y330" s="294">
        <f>IF(NFI_Expiration=1,IF($A330&lt;VLOOKUP(H$5,NFI,5,0),1,0)*Table_NFI[[#This Row],[Hygiene Kit]],Table_NFI[Hygiene Kit])</f>
        <v>0</v>
      </c>
      <c r="Z330" s="294">
        <f>IF(NFI_Expiration=1,IF($A330&lt;VLOOKUP(I$5,NFI,5,0),1,0)*Table_NFI[[#This Row],[NFI Core Kit]],Table_NFI[NFI Core Kit])</f>
        <v>0</v>
      </c>
      <c r="AA330" s="294">
        <f>IF(NFI_Expiration=1,IF($A330&lt;VLOOKUP(J$5,NFI,5,0),1,0)*Table_NFI[[#This Row],[Sanitary Kit]],Table_NFI[Sanitary Kit])</f>
        <v>0</v>
      </c>
      <c r="AB330" s="294">
        <f>IF(NFI_Expiration=1,IF($A330&lt;VLOOKUP(K$5,NFI,5,0),1,0)*Table_NFI[[#This Row],[Mosquito net]],Table_NFI[Mosquito net])</f>
        <v>0</v>
      </c>
      <c r="AC330" s="294">
        <f>IF(NFI_Expiration=1,IF($A330&lt;VLOOKUP(L$5,NFI,5,0),1,0)*Table_NFI[[#This Row],[Tarpaulin]],Table_NFI[[#This Row],[Tarpaulin]])</f>
        <v>0</v>
      </c>
      <c r="AD330" s="294">
        <f>IF(NFI_Expiration=1,IF($A330&lt;VLOOKUP(M$5,NFI,5,0),1,0)*Table_NFI[[#This Row],[Blanket]],Table_NFI[[#This Row],[Blanket]])</f>
        <v>0</v>
      </c>
      <c r="AE330" s="294">
        <f>IF(NFI_Expiration=1,IF($A330&lt;VLOOKUP(N$5,NFI,5,0),1,0)*Table_NFI[[#This Row],[Kitchen Set]],Table_NFI[Kitchen Set])</f>
        <v>0</v>
      </c>
      <c r="AF330" s="294">
        <f>IF(NFI_Expiration=1,IF($A330&lt;VLOOKUP(O$5,NFI,5,0),1,0)*Table_NFI[[#This Row],[Clothes Kit]],Table_NFI[Clothes Kit])</f>
        <v>0</v>
      </c>
      <c r="AG330" s="294">
        <f>IF(NFI_Expiration=1,IF($A330&lt;VLOOKUP(P$5,NFI,5,0),1,0)*Table_NFI[[#This Row],[Plastic Bucket]],Table_NFI[Plastic Bucket])</f>
        <v>0</v>
      </c>
      <c r="AH330" s="294">
        <f>IF(NFI_Expiration=1,IF($A330&lt;VLOOKUP(Q$5,NFI,5,0),1,0)*Table_NFI[[#This Row],[Plastic Mat]],Table_NFI[Plastic Mat])*IF(Table_NFI[[#This Row],[Distribution Date]]&gt;"2014-04-01",1,2.5)</f>
        <v>0</v>
      </c>
      <c r="AI330" s="294">
        <f>IF(NFI_Expiration=1,IF($A330&lt;VLOOKUP(R$5,NFI,5,0),1,0)*Table_NFI[[#This Row],[Winter Clothes Adult]],Table_NFI[Winter Clothes Adult])</f>
        <v>0</v>
      </c>
      <c r="AJ330" s="294">
        <f>IF(NFI_Expiration=1,IF($A330&lt;VLOOKUP(S$5,NFI,5,0),1,0)*Table_NFI[[#This Row],[Winter Clothes Children]],Table_NFI[Winter Clothes Children])</f>
        <v>0</v>
      </c>
      <c r="AK330" s="294">
        <f>IF(NFI_Expiration=1,IF($A330&lt;VLOOKUP(T$5,NFI,5,0),1,0)*Table_NFI[[#This Row],[Winter Items Other]],Table_NFI[Winter Items Other])</f>
        <v>0</v>
      </c>
      <c r="AL330" s="294">
        <f>IF(NFI_Expiration=1,IF($A330&lt;VLOOKUP(M$5,NFI,5,0),1,0)*Table_NFI[[#This Row],[Winter Blanket]],Table_NFI[[#This Row],[Winter Blanket]])</f>
        <v>0</v>
      </c>
      <c r="AM330" s="294">
        <f>IF(Table_NFI[[#This Row],[Winter Clothes Adult]]+Table_NFI[[#This Row],[Winter Clothes Children]]+Table_NFI[[#This Row],[Winter Items Other]]+Table_NFI[[#This Row],[Winter Blanket]]&gt;0,1,0)</f>
        <v>0</v>
      </c>
      <c r="AN330" s="331">
        <f>IF(NFI_Expiration=1,IF($A330&lt;VLOOKUP(V$5,NFI,5,0),1,0)*Table_NFI[[#This Row],[Jerry Can]],Table_NFI[Jerry Can])</f>
        <v>0</v>
      </c>
      <c r="AO330" s="331">
        <f>IF(NFI_Expiration=1,IF($A330&lt;VLOOKUP(V$5,NFI,5,0),1,0)*Table_NFI[[#This Row],[Shelter Tool kit]],Table_NFI[Shelter Tool kit])</f>
        <v>0</v>
      </c>
      <c r="AP330" s="331">
        <f>IF(NFI_Expiration=1,IF($A330&lt;VLOOKUP(V$5,NFI,5,0),1,0)*Table_NFI[[#This Row],[Tent]],Table_NFI[Tent])</f>
        <v>0</v>
      </c>
      <c r="AQ330" s="467" t="str">
        <f>IFERROR(VLOOKUP(Table_NFI[[#This Row],[Camp Name]],CL,2,0),"")</f>
        <v>MMR001CMP226</v>
      </c>
      <c r="AR330" s="835">
        <f ca="1">IF(Table_NFI[[#This Row],[Pcode]]="","",IF(OFFSET(CampList[Opening Date],MATCH(Table_NFI[[#This Row],[Pcode]],CampList[CP_Pcode],0)-1,0,1,1)&gt;=NFI_Monitor_Date,1,0))</f>
        <v>0</v>
      </c>
      <c r="AS330" s="467" t="str">
        <f>IFERROR(VLOOKUP(Table_NFI[[#This Row],[Camp Name]],CL,3,0),"")</f>
        <v>Closed</v>
      </c>
      <c r="AT330" s="294" t="str">
        <f ca="1">IF(Table_NFI[[#This Row],[Pcode]]="","",OFFSET(CampList[Priority],MATCH(Table_NFI[[#This Row],[Pcode]],CampList[CP_Pcode],0)-1,0,1,1))</f>
        <v>P2</v>
      </c>
      <c r="AU330" s="293">
        <f>IFERROR(Table_NFI[[#This Row],[Kitchen Set]]/VLOOKUP(Table_NFI[[#This Row],[Camp Name]],CL,4,0),"")</f>
        <v>0</v>
      </c>
      <c r="AV330" s="461"/>
      <c r="AW330" s="463"/>
    </row>
    <row r="331" spans="1:49" s="464" customFormat="1" ht="14.45" customHeight="1" x14ac:dyDescent="0.25">
      <c r="A331" s="297">
        <f t="shared" si="5"/>
        <v>29.166666666666668</v>
      </c>
      <c r="B331" s="460">
        <v>41861</v>
      </c>
      <c r="C331" s="461" t="s">
        <v>452</v>
      </c>
      <c r="D331" s="461"/>
      <c r="E331" s="461" t="s">
        <v>380</v>
      </c>
      <c r="F331" s="461" t="s">
        <v>185</v>
      </c>
      <c r="G331" s="461" t="s">
        <v>219</v>
      </c>
      <c r="H331" s="291"/>
      <c r="I331" s="291"/>
      <c r="J331" s="291"/>
      <c r="K331" s="291">
        <v>100</v>
      </c>
      <c r="L331" s="292">
        <v>52</v>
      </c>
      <c r="M331" s="292">
        <v>156</v>
      </c>
      <c r="N331" s="292">
        <v>40</v>
      </c>
      <c r="O331" s="292"/>
      <c r="P331" s="294">
        <v>52</v>
      </c>
      <c r="Q331" s="294">
        <v>210</v>
      </c>
      <c r="R331" s="294"/>
      <c r="S331" s="294"/>
      <c r="T331" s="294"/>
      <c r="U331" s="294"/>
      <c r="V331" s="431"/>
      <c r="W331" s="294"/>
      <c r="X331" s="294"/>
      <c r="Y331" s="294">
        <f>IF(NFI_Expiration=1,IF($A331&lt;VLOOKUP(H$5,NFI,5,0),1,0)*Table_NFI[[#This Row],[Hygiene Kit]],Table_NFI[Hygiene Kit])</f>
        <v>0</v>
      </c>
      <c r="Z331" s="294">
        <f>IF(NFI_Expiration=1,IF($A331&lt;VLOOKUP(I$5,NFI,5,0),1,0)*Table_NFI[[#This Row],[NFI Core Kit]],Table_NFI[NFI Core Kit])</f>
        <v>0</v>
      </c>
      <c r="AA331" s="294">
        <f>IF(NFI_Expiration=1,IF($A331&lt;VLOOKUP(J$5,NFI,5,0),1,0)*Table_NFI[[#This Row],[Sanitary Kit]],Table_NFI[Sanitary Kit])</f>
        <v>0</v>
      </c>
      <c r="AB331" s="294">
        <f>IF(NFI_Expiration=1,IF($A331&lt;VLOOKUP(K$5,NFI,5,0),1,0)*Table_NFI[[#This Row],[Mosquito net]],Table_NFI[Mosquito net])</f>
        <v>0</v>
      </c>
      <c r="AC331" s="294">
        <f>IF(NFI_Expiration=1,IF($A331&lt;VLOOKUP(L$5,NFI,5,0),1,0)*Table_NFI[[#This Row],[Tarpaulin]],Table_NFI[[#This Row],[Tarpaulin]])</f>
        <v>0</v>
      </c>
      <c r="AD331" s="294">
        <f>IF(NFI_Expiration=1,IF($A331&lt;VLOOKUP(M$5,NFI,5,0),1,0)*Table_NFI[[#This Row],[Blanket]],Table_NFI[[#This Row],[Blanket]])</f>
        <v>0</v>
      </c>
      <c r="AE331" s="294">
        <f>IF(NFI_Expiration=1,IF($A331&lt;VLOOKUP(N$5,NFI,5,0),1,0)*Table_NFI[[#This Row],[Kitchen Set]],Table_NFI[Kitchen Set])</f>
        <v>0</v>
      </c>
      <c r="AF331" s="294">
        <f>IF(NFI_Expiration=1,IF($A331&lt;VLOOKUP(O$5,NFI,5,0),1,0)*Table_NFI[[#This Row],[Clothes Kit]],Table_NFI[Clothes Kit])</f>
        <v>0</v>
      </c>
      <c r="AG331" s="294">
        <f>IF(NFI_Expiration=1,IF($A331&lt;VLOOKUP(P$5,NFI,5,0),1,0)*Table_NFI[[#This Row],[Plastic Bucket]],Table_NFI[Plastic Bucket])</f>
        <v>0</v>
      </c>
      <c r="AH331" s="294">
        <f>IF(NFI_Expiration=1,IF($A331&lt;VLOOKUP(Q$5,NFI,5,0),1,0)*Table_NFI[[#This Row],[Plastic Mat]],Table_NFI[Plastic Mat])*IF(Table_NFI[[#This Row],[Distribution Date]]&gt;"2014-04-01",1,2.5)</f>
        <v>0</v>
      </c>
      <c r="AI331" s="294">
        <f>IF(NFI_Expiration=1,IF($A331&lt;VLOOKUP(R$5,NFI,5,0),1,0)*Table_NFI[[#This Row],[Winter Clothes Adult]],Table_NFI[Winter Clothes Adult])</f>
        <v>0</v>
      </c>
      <c r="AJ331" s="294">
        <f>IF(NFI_Expiration=1,IF($A331&lt;VLOOKUP(S$5,NFI,5,0),1,0)*Table_NFI[[#This Row],[Winter Clothes Children]],Table_NFI[Winter Clothes Children])</f>
        <v>0</v>
      </c>
      <c r="AK331" s="294">
        <f>IF(NFI_Expiration=1,IF($A331&lt;VLOOKUP(T$5,NFI,5,0),1,0)*Table_NFI[[#This Row],[Winter Items Other]],Table_NFI[Winter Items Other])</f>
        <v>0</v>
      </c>
      <c r="AL331" s="294">
        <f>IF(NFI_Expiration=1,IF($A331&lt;VLOOKUP(M$5,NFI,5,0),1,0)*Table_NFI[[#This Row],[Winter Blanket]],Table_NFI[[#This Row],[Winter Blanket]])</f>
        <v>0</v>
      </c>
      <c r="AM331" s="294">
        <f>IF(Table_NFI[[#This Row],[Winter Clothes Adult]]+Table_NFI[[#This Row],[Winter Clothes Children]]+Table_NFI[[#This Row],[Winter Items Other]]+Table_NFI[[#This Row],[Winter Blanket]]&gt;0,1,0)</f>
        <v>0</v>
      </c>
      <c r="AN331" s="331">
        <f>IF(NFI_Expiration=1,IF($A331&lt;VLOOKUP(V$5,NFI,5,0),1,0)*Table_NFI[[#This Row],[Jerry Can]],Table_NFI[Jerry Can])</f>
        <v>0</v>
      </c>
      <c r="AO331" s="331">
        <f>IF(NFI_Expiration=1,IF($A331&lt;VLOOKUP(V$5,NFI,5,0),1,0)*Table_NFI[[#This Row],[Shelter Tool kit]],Table_NFI[Shelter Tool kit])</f>
        <v>0</v>
      </c>
      <c r="AP331" s="331">
        <f>IF(NFI_Expiration=1,IF($A331&lt;VLOOKUP(V$5,NFI,5,0),1,0)*Table_NFI[[#This Row],[Tent]],Table_NFI[Tent])</f>
        <v>0</v>
      </c>
      <c r="AQ331" s="467" t="str">
        <f>IFERROR(VLOOKUP(Table_NFI[[#This Row],[Camp Name]],CL,2,0),"")</f>
        <v>MMR001CMP126</v>
      </c>
      <c r="AR331" s="835">
        <f ca="1">IF(Table_NFI[[#This Row],[Pcode]]="","",IF(OFFSET(CampList[Opening Date],MATCH(Table_NFI[[#This Row],[Pcode]],CampList[CP_Pcode],0)-1,0,1,1)&gt;=NFI_Monitor_Date,1,0))</f>
        <v>0</v>
      </c>
      <c r="AS331" s="467" t="str">
        <f>IFERROR(VLOOKUP(Table_NFI[[#This Row],[Camp Name]],CL,3,0),"")</f>
        <v>Open</v>
      </c>
      <c r="AT331" s="294" t="str">
        <f ca="1">IF(Table_NFI[[#This Row],[Pcode]]="","",OFFSET(CampList[Priority],MATCH(Table_NFI[[#This Row],[Pcode]],CampList[CP_Pcode],0)-1,0,1,1))</f>
        <v>P2</v>
      </c>
      <c r="AU331" s="293">
        <f>IFERROR(Table_NFI[[#This Row],[Kitchen Set]]/VLOOKUP(Table_NFI[[#This Row],[Camp Name]],CL,4,0),"")</f>
        <v>9.7560975609756097E-4</v>
      </c>
      <c r="AV331" s="461"/>
      <c r="AW331" s="463"/>
    </row>
    <row r="332" spans="1:49" s="464" customFormat="1" x14ac:dyDescent="0.25">
      <c r="A332" s="297">
        <f t="shared" si="5"/>
        <v>29.266666666666666</v>
      </c>
      <c r="B332" s="460">
        <v>41858</v>
      </c>
      <c r="C332" s="461" t="s">
        <v>452</v>
      </c>
      <c r="D332" s="461" t="s">
        <v>505</v>
      </c>
      <c r="E332" s="461" t="s">
        <v>380</v>
      </c>
      <c r="F332" s="461" t="s">
        <v>27</v>
      </c>
      <c r="G332" s="461" t="s">
        <v>365</v>
      </c>
      <c r="H332" s="291"/>
      <c r="I332" s="291"/>
      <c r="J332" s="291">
        <v>50</v>
      </c>
      <c r="K332" s="291">
        <v>25</v>
      </c>
      <c r="L332" s="292">
        <v>50</v>
      </c>
      <c r="M332" s="292">
        <v>25</v>
      </c>
      <c r="N332" s="292"/>
      <c r="O332" s="292">
        <v>25</v>
      </c>
      <c r="P332" s="294">
        <v>125</v>
      </c>
      <c r="Q332" s="294"/>
      <c r="R332" s="294"/>
      <c r="S332" s="294"/>
      <c r="T332" s="294"/>
      <c r="U332" s="294"/>
      <c r="V332" s="431"/>
      <c r="W332" s="331"/>
      <c r="X332" s="331"/>
      <c r="Y332" s="294">
        <f>IF(NFI_Expiration=1,IF($A332&lt;VLOOKUP(H$5,NFI,5,0),1,0)*Table_NFI[[#This Row],[Hygiene Kit]],Table_NFI[Hygiene Kit])</f>
        <v>0</v>
      </c>
      <c r="Z332" s="294">
        <f>IF(NFI_Expiration=1,IF($A332&lt;VLOOKUP(I$5,NFI,5,0),1,0)*Table_NFI[[#This Row],[NFI Core Kit]],Table_NFI[NFI Core Kit])</f>
        <v>0</v>
      </c>
      <c r="AA332" s="294">
        <f>IF(NFI_Expiration=1,IF($A332&lt;VLOOKUP(J$5,NFI,5,0),1,0)*Table_NFI[[#This Row],[Sanitary Kit]],Table_NFI[Sanitary Kit])</f>
        <v>0</v>
      </c>
      <c r="AB332" s="294">
        <f>IF(NFI_Expiration=1,IF($A332&lt;VLOOKUP(K$5,NFI,5,0),1,0)*Table_NFI[[#This Row],[Mosquito net]],Table_NFI[Mosquito net])</f>
        <v>0</v>
      </c>
      <c r="AC332" s="294">
        <f>IF(NFI_Expiration=1,IF($A332&lt;VLOOKUP(L$5,NFI,5,0),1,0)*Table_NFI[[#This Row],[Tarpaulin]],Table_NFI[[#This Row],[Tarpaulin]])</f>
        <v>0</v>
      </c>
      <c r="AD332" s="294">
        <f>IF(NFI_Expiration=1,IF($A332&lt;VLOOKUP(M$5,NFI,5,0),1,0)*Table_NFI[[#This Row],[Blanket]],Table_NFI[[#This Row],[Blanket]])</f>
        <v>0</v>
      </c>
      <c r="AE332" s="294">
        <f>IF(NFI_Expiration=1,IF($A332&lt;VLOOKUP(N$5,NFI,5,0),1,0)*Table_NFI[[#This Row],[Kitchen Set]],Table_NFI[Kitchen Set])</f>
        <v>0</v>
      </c>
      <c r="AF332" s="294">
        <f>IF(NFI_Expiration=1,IF($A332&lt;VLOOKUP(O$5,NFI,5,0),1,0)*Table_NFI[[#This Row],[Clothes Kit]],Table_NFI[Clothes Kit])</f>
        <v>0</v>
      </c>
      <c r="AG332" s="294">
        <f>IF(NFI_Expiration=1,IF($A332&lt;VLOOKUP(P$5,NFI,5,0),1,0)*Table_NFI[[#This Row],[Plastic Bucket]],Table_NFI[Plastic Bucket])</f>
        <v>0</v>
      </c>
      <c r="AH332" s="294">
        <f>IF(NFI_Expiration=1,IF($A332&lt;VLOOKUP(Q$5,NFI,5,0),1,0)*Table_NFI[[#This Row],[Plastic Mat]],Table_NFI[Plastic Mat])*IF(Table_NFI[[#This Row],[Distribution Date]]&gt;"2014-04-01",1,2.5)</f>
        <v>0</v>
      </c>
      <c r="AI332" s="294">
        <f>IF(NFI_Expiration=1,IF($A332&lt;VLOOKUP(R$5,NFI,5,0),1,0)*Table_NFI[[#This Row],[Winter Clothes Adult]],Table_NFI[Winter Clothes Adult])</f>
        <v>0</v>
      </c>
      <c r="AJ332" s="294">
        <f>IF(NFI_Expiration=1,IF($A332&lt;VLOOKUP(S$5,NFI,5,0),1,0)*Table_NFI[[#This Row],[Winter Clothes Children]],Table_NFI[Winter Clothes Children])</f>
        <v>0</v>
      </c>
      <c r="AK332" s="294">
        <f>IF(NFI_Expiration=1,IF($A332&lt;VLOOKUP(T$5,NFI,5,0),1,0)*Table_NFI[[#This Row],[Winter Items Other]],Table_NFI[Winter Items Other])</f>
        <v>0</v>
      </c>
      <c r="AL332" s="294">
        <f>IF(NFI_Expiration=1,IF($A332&lt;VLOOKUP(M$5,NFI,5,0),1,0)*Table_NFI[[#This Row],[Winter Blanket]],Table_NFI[[#This Row],[Winter Blanket]])</f>
        <v>0</v>
      </c>
      <c r="AM332" s="294">
        <f>IF(Table_NFI[[#This Row],[Winter Clothes Adult]]+Table_NFI[[#This Row],[Winter Clothes Children]]+Table_NFI[[#This Row],[Winter Items Other]]+Table_NFI[[#This Row],[Winter Blanket]]&gt;0,1,0)</f>
        <v>0</v>
      </c>
      <c r="AN332" s="331">
        <f>IF(NFI_Expiration=1,IF($A332&lt;VLOOKUP(V$5,NFI,5,0),1,0)*Table_NFI[[#This Row],[Jerry Can]],Table_NFI[Jerry Can])</f>
        <v>0</v>
      </c>
      <c r="AO332" s="331">
        <f>IF(NFI_Expiration=1,IF($A332&lt;VLOOKUP(V$5,NFI,5,0),1,0)*Table_NFI[[#This Row],[Shelter Tool kit]],Table_NFI[Shelter Tool kit])</f>
        <v>0</v>
      </c>
      <c r="AP332" s="331">
        <f>IF(NFI_Expiration=1,IF($A332&lt;VLOOKUP(V$5,NFI,5,0),1,0)*Table_NFI[[#This Row],[Tent]],Table_NFI[Tent])</f>
        <v>0</v>
      </c>
      <c r="AQ332" s="467" t="str">
        <f>IFERROR(VLOOKUP(Table_NFI[[#This Row],[Camp Name]],CL,2,0),"")</f>
        <v>MMR001CMP195</v>
      </c>
      <c r="AR332" s="835">
        <f ca="1">IF(Table_NFI[[#This Row],[Pcode]]="","",IF(OFFSET(CampList[Opening Date],MATCH(Table_NFI[[#This Row],[Pcode]],CampList[CP_Pcode],0)-1,0,1,1)&gt;=NFI_Monitor_Date,1,0))</f>
        <v>0</v>
      </c>
      <c r="AS332" s="467" t="str">
        <f>IFERROR(VLOOKUP(Table_NFI[[#This Row],[Camp Name]],CL,3,0),"")</f>
        <v>Open</v>
      </c>
      <c r="AT332" s="294" t="str">
        <f ca="1">IF(Table_NFI[[#This Row],[Pcode]]="","",OFFSET(CampList[Priority],MATCH(Table_NFI[[#This Row],[Pcode]],CampList[CP_Pcode],0)-1,0,1,1))</f>
        <v>P1</v>
      </c>
      <c r="AU332" s="293">
        <f>IFERROR(Table_NFI[[#This Row],[Kitchen Set]]/VLOOKUP(Table_NFI[[#This Row],[Camp Name]],CL,4,0),"")</f>
        <v>0</v>
      </c>
      <c r="AV332" s="461"/>
      <c r="AW332" s="463"/>
    </row>
    <row r="333" spans="1:49" s="464" customFormat="1" x14ac:dyDescent="0.25">
      <c r="A333" s="297">
        <f t="shared" si="5"/>
        <v>29.266666666666666</v>
      </c>
      <c r="B333" s="460">
        <v>41858</v>
      </c>
      <c r="C333" s="461" t="s">
        <v>452</v>
      </c>
      <c r="D333" s="461" t="s">
        <v>505</v>
      </c>
      <c r="E333" s="461" t="s">
        <v>380</v>
      </c>
      <c r="F333" s="461" t="s">
        <v>310</v>
      </c>
      <c r="G333" s="461" t="s">
        <v>318</v>
      </c>
      <c r="H333" s="291"/>
      <c r="I333" s="291"/>
      <c r="J333" s="291">
        <v>24</v>
      </c>
      <c r="K333" s="291">
        <v>12</v>
      </c>
      <c r="L333" s="292">
        <v>24</v>
      </c>
      <c r="M333" s="292">
        <v>12</v>
      </c>
      <c r="N333" s="292"/>
      <c r="O333" s="292">
        <v>12</v>
      </c>
      <c r="P333" s="294">
        <v>60</v>
      </c>
      <c r="Q333" s="294"/>
      <c r="R333" s="294"/>
      <c r="S333" s="294"/>
      <c r="T333" s="294"/>
      <c r="U333" s="294"/>
      <c r="V333" s="431"/>
      <c r="W333" s="331"/>
      <c r="X333" s="331"/>
      <c r="Y333" s="294">
        <f>IF(NFI_Expiration=1,IF($A333&lt;VLOOKUP(H$5,NFI,5,0),1,0)*Table_NFI[[#This Row],[Hygiene Kit]],Table_NFI[Hygiene Kit])</f>
        <v>0</v>
      </c>
      <c r="Z333" s="294">
        <f>IF(NFI_Expiration=1,IF($A333&lt;VLOOKUP(I$5,NFI,5,0),1,0)*Table_NFI[[#This Row],[NFI Core Kit]],Table_NFI[NFI Core Kit])</f>
        <v>0</v>
      </c>
      <c r="AA333" s="294">
        <f>IF(NFI_Expiration=1,IF($A333&lt;VLOOKUP(J$5,NFI,5,0),1,0)*Table_NFI[[#This Row],[Sanitary Kit]],Table_NFI[Sanitary Kit])</f>
        <v>0</v>
      </c>
      <c r="AB333" s="294">
        <f>IF(NFI_Expiration=1,IF($A333&lt;VLOOKUP(K$5,NFI,5,0),1,0)*Table_NFI[[#This Row],[Mosquito net]],Table_NFI[Mosquito net])</f>
        <v>0</v>
      </c>
      <c r="AC333" s="294">
        <f>IF(NFI_Expiration=1,IF($A333&lt;VLOOKUP(L$5,NFI,5,0),1,0)*Table_NFI[[#This Row],[Tarpaulin]],Table_NFI[[#This Row],[Tarpaulin]])</f>
        <v>0</v>
      </c>
      <c r="AD333" s="294">
        <f>IF(NFI_Expiration=1,IF($A333&lt;VLOOKUP(M$5,NFI,5,0),1,0)*Table_NFI[[#This Row],[Blanket]],Table_NFI[[#This Row],[Blanket]])</f>
        <v>0</v>
      </c>
      <c r="AE333" s="294">
        <f>IF(NFI_Expiration=1,IF($A333&lt;VLOOKUP(N$5,NFI,5,0),1,0)*Table_NFI[[#This Row],[Kitchen Set]],Table_NFI[Kitchen Set])</f>
        <v>0</v>
      </c>
      <c r="AF333" s="294">
        <f>IF(NFI_Expiration=1,IF($A333&lt;VLOOKUP(O$5,NFI,5,0),1,0)*Table_NFI[[#This Row],[Clothes Kit]],Table_NFI[Clothes Kit])</f>
        <v>0</v>
      </c>
      <c r="AG333" s="294">
        <f>IF(NFI_Expiration=1,IF($A333&lt;VLOOKUP(P$5,NFI,5,0),1,0)*Table_NFI[[#This Row],[Plastic Bucket]],Table_NFI[Plastic Bucket])</f>
        <v>0</v>
      </c>
      <c r="AH333" s="294">
        <f>IF(NFI_Expiration=1,IF($A333&lt;VLOOKUP(Q$5,NFI,5,0),1,0)*Table_NFI[[#This Row],[Plastic Mat]],Table_NFI[Plastic Mat])*IF(Table_NFI[[#This Row],[Distribution Date]]&gt;"2014-04-01",1,2.5)</f>
        <v>0</v>
      </c>
      <c r="AI333" s="294">
        <f>IF(NFI_Expiration=1,IF($A333&lt;VLOOKUP(R$5,NFI,5,0),1,0)*Table_NFI[[#This Row],[Winter Clothes Adult]],Table_NFI[Winter Clothes Adult])</f>
        <v>0</v>
      </c>
      <c r="AJ333" s="294">
        <f>IF(NFI_Expiration=1,IF($A333&lt;VLOOKUP(S$5,NFI,5,0),1,0)*Table_NFI[[#This Row],[Winter Clothes Children]],Table_NFI[Winter Clothes Children])</f>
        <v>0</v>
      </c>
      <c r="AK333" s="294">
        <f>IF(NFI_Expiration=1,IF($A333&lt;VLOOKUP(T$5,NFI,5,0),1,0)*Table_NFI[[#This Row],[Winter Items Other]],Table_NFI[Winter Items Other])</f>
        <v>0</v>
      </c>
      <c r="AL333" s="294">
        <f>IF(NFI_Expiration=1,IF($A333&lt;VLOOKUP(M$5,NFI,5,0),1,0)*Table_NFI[[#This Row],[Winter Blanket]],Table_NFI[[#This Row],[Winter Blanket]])</f>
        <v>0</v>
      </c>
      <c r="AM333" s="294">
        <f>IF(Table_NFI[[#This Row],[Winter Clothes Adult]]+Table_NFI[[#This Row],[Winter Clothes Children]]+Table_NFI[[#This Row],[Winter Items Other]]+Table_NFI[[#This Row],[Winter Blanket]]&gt;0,1,0)</f>
        <v>0</v>
      </c>
      <c r="AN333" s="331">
        <f>IF(NFI_Expiration=1,IF($A333&lt;VLOOKUP(V$5,NFI,5,0),1,0)*Table_NFI[[#This Row],[Jerry Can]],Table_NFI[Jerry Can])</f>
        <v>0</v>
      </c>
      <c r="AO333" s="331">
        <f>IF(NFI_Expiration=1,IF($A333&lt;VLOOKUP(V$5,NFI,5,0),1,0)*Table_NFI[[#This Row],[Shelter Tool kit]],Table_NFI[Shelter Tool kit])</f>
        <v>0</v>
      </c>
      <c r="AP333" s="331">
        <f>IF(NFI_Expiration=1,IF($A333&lt;VLOOKUP(V$5,NFI,5,0),1,0)*Table_NFI[[#This Row],[Tent]],Table_NFI[Tent])</f>
        <v>0</v>
      </c>
      <c r="AQ333" s="467" t="str">
        <f>IFERROR(VLOOKUP(Table_NFI[[#This Row],[Camp Name]],CL,2,0),"")</f>
        <v>MMR001CMP032</v>
      </c>
      <c r="AR333" s="835">
        <f ca="1">IF(Table_NFI[[#This Row],[Pcode]]="","",IF(OFFSET(CampList[Opening Date],MATCH(Table_NFI[[#This Row],[Pcode]],CampList[CP_Pcode],0)-1,0,1,1)&gt;=NFI_Monitor_Date,1,0))</f>
        <v>0</v>
      </c>
      <c r="AS333" s="467" t="str">
        <f>IFERROR(VLOOKUP(Table_NFI[[#This Row],[Camp Name]],CL,3,0),"")</f>
        <v>Open</v>
      </c>
      <c r="AT333" s="294" t="str">
        <f ca="1">IF(Table_NFI[[#This Row],[Pcode]]="","",OFFSET(CampList[Priority],MATCH(Table_NFI[[#This Row],[Pcode]],CampList[CP_Pcode],0)-1,0,1,1))</f>
        <v>P4</v>
      </c>
      <c r="AU333" s="293">
        <f>IFERROR(Table_NFI[[#This Row],[Kitchen Set]]/VLOOKUP(Table_NFI[[#This Row],[Camp Name]],CL,4,0),"")</f>
        <v>0</v>
      </c>
      <c r="AV333" s="461"/>
      <c r="AW333" s="463"/>
    </row>
    <row r="334" spans="1:49" s="464" customFormat="1" x14ac:dyDescent="0.25">
      <c r="A334" s="297">
        <f t="shared" si="5"/>
        <v>29.366666666666667</v>
      </c>
      <c r="B334" s="460">
        <v>41855</v>
      </c>
      <c r="C334" s="461" t="s">
        <v>452</v>
      </c>
      <c r="D334" s="461"/>
      <c r="E334" s="461" t="s">
        <v>380</v>
      </c>
      <c r="F334" s="461" t="s">
        <v>5</v>
      </c>
      <c r="G334" s="461"/>
      <c r="H334" s="291"/>
      <c r="I334" s="291"/>
      <c r="J334" s="291"/>
      <c r="K334" s="291"/>
      <c r="L334" s="292">
        <v>5</v>
      </c>
      <c r="M334" s="292"/>
      <c r="N334" s="292"/>
      <c r="O334" s="292"/>
      <c r="P334" s="294"/>
      <c r="Q334" s="294"/>
      <c r="R334" s="294"/>
      <c r="S334" s="294"/>
      <c r="T334" s="294"/>
      <c r="U334" s="294"/>
      <c r="V334" s="431"/>
      <c r="W334" s="331"/>
      <c r="X334" s="331"/>
      <c r="Y334" s="294">
        <f>IF(NFI_Expiration=1,IF($A334&lt;VLOOKUP(H$5,NFI,5,0),1,0)*Table_NFI[[#This Row],[Hygiene Kit]],Table_NFI[Hygiene Kit])</f>
        <v>0</v>
      </c>
      <c r="Z334" s="294">
        <f>IF(NFI_Expiration=1,IF($A334&lt;VLOOKUP(I$5,NFI,5,0),1,0)*Table_NFI[[#This Row],[NFI Core Kit]],Table_NFI[NFI Core Kit])</f>
        <v>0</v>
      </c>
      <c r="AA334" s="294">
        <f>IF(NFI_Expiration=1,IF($A334&lt;VLOOKUP(J$5,NFI,5,0),1,0)*Table_NFI[[#This Row],[Sanitary Kit]],Table_NFI[Sanitary Kit])</f>
        <v>0</v>
      </c>
      <c r="AB334" s="294">
        <f>IF(NFI_Expiration=1,IF($A334&lt;VLOOKUP(K$5,NFI,5,0),1,0)*Table_NFI[[#This Row],[Mosquito net]],Table_NFI[Mosquito net])</f>
        <v>0</v>
      </c>
      <c r="AC334" s="294">
        <f>IF(NFI_Expiration=1,IF($A334&lt;VLOOKUP(L$5,NFI,5,0),1,0)*Table_NFI[[#This Row],[Tarpaulin]],Table_NFI[[#This Row],[Tarpaulin]])</f>
        <v>0</v>
      </c>
      <c r="AD334" s="294">
        <f>IF(NFI_Expiration=1,IF($A334&lt;VLOOKUP(M$5,NFI,5,0),1,0)*Table_NFI[[#This Row],[Blanket]],Table_NFI[[#This Row],[Blanket]])</f>
        <v>0</v>
      </c>
      <c r="AE334" s="294">
        <f>IF(NFI_Expiration=1,IF($A334&lt;VLOOKUP(N$5,NFI,5,0),1,0)*Table_NFI[[#This Row],[Kitchen Set]],Table_NFI[Kitchen Set])</f>
        <v>0</v>
      </c>
      <c r="AF334" s="294">
        <f>IF(NFI_Expiration=1,IF($A334&lt;VLOOKUP(O$5,NFI,5,0),1,0)*Table_NFI[[#This Row],[Clothes Kit]],Table_NFI[Clothes Kit])</f>
        <v>0</v>
      </c>
      <c r="AG334" s="294">
        <f>IF(NFI_Expiration=1,IF($A334&lt;VLOOKUP(P$5,NFI,5,0),1,0)*Table_NFI[[#This Row],[Plastic Bucket]],Table_NFI[Plastic Bucket])</f>
        <v>0</v>
      </c>
      <c r="AH334" s="294">
        <f>IF(NFI_Expiration=1,IF($A334&lt;VLOOKUP(Q$5,NFI,5,0),1,0)*Table_NFI[[#This Row],[Plastic Mat]],Table_NFI[Plastic Mat])*IF(Table_NFI[[#This Row],[Distribution Date]]&gt;"2014-04-01",1,2.5)</f>
        <v>0</v>
      </c>
      <c r="AI334" s="294">
        <f>IF(NFI_Expiration=1,IF($A334&lt;VLOOKUP(R$5,NFI,5,0),1,0)*Table_NFI[[#This Row],[Winter Clothes Adult]],Table_NFI[Winter Clothes Adult])</f>
        <v>0</v>
      </c>
      <c r="AJ334" s="294">
        <f>IF(NFI_Expiration=1,IF($A334&lt;VLOOKUP(S$5,NFI,5,0),1,0)*Table_NFI[[#This Row],[Winter Clothes Children]],Table_NFI[Winter Clothes Children])</f>
        <v>0</v>
      </c>
      <c r="AK334" s="294">
        <f>IF(NFI_Expiration=1,IF($A334&lt;VLOOKUP(T$5,NFI,5,0),1,0)*Table_NFI[[#This Row],[Winter Items Other]],Table_NFI[Winter Items Other])</f>
        <v>0</v>
      </c>
      <c r="AL334" s="294">
        <f>IF(NFI_Expiration=1,IF($A334&lt;VLOOKUP(M$5,NFI,5,0),1,0)*Table_NFI[[#This Row],[Winter Blanket]],Table_NFI[[#This Row],[Winter Blanket]])</f>
        <v>0</v>
      </c>
      <c r="AM334" s="294">
        <f>IF(Table_NFI[[#This Row],[Winter Clothes Adult]]+Table_NFI[[#This Row],[Winter Clothes Children]]+Table_NFI[[#This Row],[Winter Items Other]]+Table_NFI[[#This Row],[Winter Blanket]]&gt;0,1,0)</f>
        <v>0</v>
      </c>
      <c r="AN334" s="331">
        <f>IF(NFI_Expiration=1,IF($A334&lt;VLOOKUP(V$5,NFI,5,0),1,0)*Table_NFI[[#This Row],[Jerry Can]],Table_NFI[Jerry Can])</f>
        <v>0</v>
      </c>
      <c r="AO334" s="331">
        <f>IF(NFI_Expiration=1,IF($A334&lt;VLOOKUP(V$5,NFI,5,0),1,0)*Table_NFI[[#This Row],[Shelter Tool kit]],Table_NFI[Shelter Tool kit])</f>
        <v>0</v>
      </c>
      <c r="AP334" s="331">
        <f>IF(NFI_Expiration=1,IF($A334&lt;VLOOKUP(V$5,NFI,5,0),1,0)*Table_NFI[[#This Row],[Tent]],Table_NFI[Tent])</f>
        <v>0</v>
      </c>
      <c r="AQ334" s="467" t="str">
        <f>IFERROR(VLOOKUP(Table_NFI[[#This Row],[Camp Name]],CL,2,0),"")</f>
        <v/>
      </c>
      <c r="AR334" s="835" t="str">
        <f ca="1">IF(Table_NFI[[#This Row],[Pcode]]="","",IF(OFFSET(CampList[Opening Date],MATCH(Table_NFI[[#This Row],[Pcode]],CampList[CP_Pcode],0)-1,0,1,1)&gt;=NFI_Monitor_Date,1,0))</f>
        <v/>
      </c>
      <c r="AS334" s="467" t="str">
        <f>IFERROR(VLOOKUP(Table_NFI[[#This Row],[Camp Name]],CL,3,0),"")</f>
        <v/>
      </c>
      <c r="AT334" s="294" t="str">
        <f ca="1">IF(Table_NFI[[#This Row],[Pcode]]="","",OFFSET(CampList[Priority],MATCH(Table_NFI[[#This Row],[Pcode]],CampList[CP_Pcode],0)-1,0,1,1))</f>
        <v/>
      </c>
      <c r="AU334" s="293" t="str">
        <f>IFERROR(Table_NFI[[#This Row],[Kitchen Set]]/VLOOKUP(Table_NFI[[#This Row],[Camp Name]],CL,4,0),"")</f>
        <v/>
      </c>
      <c r="AV334" s="461"/>
      <c r="AW334" s="463"/>
    </row>
    <row r="335" spans="1:49" s="464" customFormat="1" x14ac:dyDescent="0.25">
      <c r="A335" s="297">
        <f t="shared" si="5"/>
        <v>29.366666666666667</v>
      </c>
      <c r="B335" s="460">
        <v>41855</v>
      </c>
      <c r="C335" s="461" t="s">
        <v>452</v>
      </c>
      <c r="D335" s="461"/>
      <c r="E335" s="461" t="s">
        <v>380</v>
      </c>
      <c r="F335" s="461" t="s">
        <v>185</v>
      </c>
      <c r="G335" s="461" t="s">
        <v>223</v>
      </c>
      <c r="H335" s="291"/>
      <c r="I335" s="291"/>
      <c r="J335" s="291"/>
      <c r="K335" s="291"/>
      <c r="L335" s="292">
        <v>116</v>
      </c>
      <c r="M335" s="292"/>
      <c r="N335" s="292"/>
      <c r="O335" s="292"/>
      <c r="P335" s="294"/>
      <c r="Q335" s="294"/>
      <c r="R335" s="294"/>
      <c r="S335" s="294"/>
      <c r="T335" s="294"/>
      <c r="U335" s="294"/>
      <c r="V335" s="431"/>
      <c r="W335" s="331"/>
      <c r="X335" s="331"/>
      <c r="Y335" s="294">
        <f>IF(NFI_Expiration=1,IF($A335&lt;VLOOKUP(H$5,NFI,5,0),1,0)*Table_NFI[[#This Row],[Hygiene Kit]],Table_NFI[Hygiene Kit])</f>
        <v>0</v>
      </c>
      <c r="Z335" s="294">
        <f>IF(NFI_Expiration=1,IF($A335&lt;VLOOKUP(I$5,NFI,5,0),1,0)*Table_NFI[[#This Row],[NFI Core Kit]],Table_NFI[NFI Core Kit])</f>
        <v>0</v>
      </c>
      <c r="AA335" s="294">
        <f>IF(NFI_Expiration=1,IF($A335&lt;VLOOKUP(J$5,NFI,5,0),1,0)*Table_NFI[[#This Row],[Sanitary Kit]],Table_NFI[Sanitary Kit])</f>
        <v>0</v>
      </c>
      <c r="AB335" s="294">
        <f>IF(NFI_Expiration=1,IF($A335&lt;VLOOKUP(K$5,NFI,5,0),1,0)*Table_NFI[[#This Row],[Mosquito net]],Table_NFI[Mosquito net])</f>
        <v>0</v>
      </c>
      <c r="AC335" s="294">
        <f>IF(NFI_Expiration=1,IF($A335&lt;VLOOKUP(L$5,NFI,5,0),1,0)*Table_NFI[[#This Row],[Tarpaulin]],Table_NFI[[#This Row],[Tarpaulin]])</f>
        <v>0</v>
      </c>
      <c r="AD335" s="294">
        <f>IF(NFI_Expiration=1,IF($A335&lt;VLOOKUP(M$5,NFI,5,0),1,0)*Table_NFI[[#This Row],[Blanket]],Table_NFI[[#This Row],[Blanket]])</f>
        <v>0</v>
      </c>
      <c r="AE335" s="294">
        <f>IF(NFI_Expiration=1,IF($A335&lt;VLOOKUP(N$5,NFI,5,0),1,0)*Table_NFI[[#This Row],[Kitchen Set]],Table_NFI[Kitchen Set])</f>
        <v>0</v>
      </c>
      <c r="AF335" s="294">
        <f>IF(NFI_Expiration=1,IF($A335&lt;VLOOKUP(O$5,NFI,5,0),1,0)*Table_NFI[[#This Row],[Clothes Kit]],Table_NFI[Clothes Kit])</f>
        <v>0</v>
      </c>
      <c r="AG335" s="294">
        <f>IF(NFI_Expiration=1,IF($A335&lt;VLOOKUP(P$5,NFI,5,0),1,0)*Table_NFI[[#This Row],[Plastic Bucket]],Table_NFI[Plastic Bucket])</f>
        <v>0</v>
      </c>
      <c r="AH335" s="294">
        <f>IF(NFI_Expiration=1,IF($A335&lt;VLOOKUP(Q$5,NFI,5,0),1,0)*Table_NFI[[#This Row],[Plastic Mat]],Table_NFI[Plastic Mat])*IF(Table_NFI[[#This Row],[Distribution Date]]&gt;"2014-04-01",1,2.5)</f>
        <v>0</v>
      </c>
      <c r="AI335" s="294">
        <f>IF(NFI_Expiration=1,IF($A335&lt;VLOOKUP(R$5,NFI,5,0),1,0)*Table_NFI[[#This Row],[Winter Clothes Adult]],Table_NFI[Winter Clothes Adult])</f>
        <v>0</v>
      </c>
      <c r="AJ335" s="294">
        <f>IF(NFI_Expiration=1,IF($A335&lt;VLOOKUP(S$5,NFI,5,0),1,0)*Table_NFI[[#This Row],[Winter Clothes Children]],Table_NFI[Winter Clothes Children])</f>
        <v>0</v>
      </c>
      <c r="AK335" s="294">
        <f>IF(NFI_Expiration=1,IF($A335&lt;VLOOKUP(T$5,NFI,5,0),1,0)*Table_NFI[[#This Row],[Winter Items Other]],Table_NFI[Winter Items Other])</f>
        <v>0</v>
      </c>
      <c r="AL335" s="294">
        <f>IF(NFI_Expiration=1,IF($A335&lt;VLOOKUP(M$5,NFI,5,0),1,0)*Table_NFI[[#This Row],[Winter Blanket]],Table_NFI[[#This Row],[Winter Blanket]])</f>
        <v>0</v>
      </c>
      <c r="AM335" s="294">
        <f>IF(Table_NFI[[#This Row],[Winter Clothes Adult]]+Table_NFI[[#This Row],[Winter Clothes Children]]+Table_NFI[[#This Row],[Winter Items Other]]+Table_NFI[[#This Row],[Winter Blanket]]&gt;0,1,0)</f>
        <v>0</v>
      </c>
      <c r="AN335" s="331">
        <f>IF(NFI_Expiration=1,IF($A335&lt;VLOOKUP(V$5,NFI,5,0),1,0)*Table_NFI[[#This Row],[Jerry Can]],Table_NFI[Jerry Can])</f>
        <v>0</v>
      </c>
      <c r="AO335" s="331">
        <f>IF(NFI_Expiration=1,IF($A335&lt;VLOOKUP(V$5,NFI,5,0),1,0)*Table_NFI[[#This Row],[Shelter Tool kit]],Table_NFI[Shelter Tool kit])</f>
        <v>0</v>
      </c>
      <c r="AP335" s="331">
        <f>IF(NFI_Expiration=1,IF($A335&lt;VLOOKUP(V$5,NFI,5,0),1,0)*Table_NFI[[#This Row],[Tent]],Table_NFI[Tent])</f>
        <v>0</v>
      </c>
      <c r="AQ335" s="467" t="str">
        <f>IFERROR(VLOOKUP(Table_NFI[[#This Row],[Camp Name]],CL,2,0),"")</f>
        <v>MMR001CMP069</v>
      </c>
      <c r="AR335" s="835">
        <f ca="1">IF(Table_NFI[[#This Row],[Pcode]]="","",IF(OFFSET(CampList[Opening Date],MATCH(Table_NFI[[#This Row],[Pcode]],CampList[CP_Pcode],0)-1,0,1,1)&gt;=NFI_Monitor_Date,1,0))</f>
        <v>0</v>
      </c>
      <c r="AS335" s="467" t="str">
        <f>IFERROR(VLOOKUP(Table_NFI[[#This Row],[Camp Name]],CL,3,0),"")</f>
        <v>Open</v>
      </c>
      <c r="AT335" s="294" t="str">
        <f ca="1">IF(Table_NFI[[#This Row],[Pcode]]="","",OFFSET(CampList[Priority],MATCH(Table_NFI[[#This Row],[Pcode]],CampList[CP_Pcode],0)-1,0,1,1))</f>
        <v>P3</v>
      </c>
      <c r="AU335" s="293">
        <f>IFERROR(Table_NFI[[#This Row],[Kitchen Set]]/VLOOKUP(Table_NFI[[#This Row],[Camp Name]],CL,4,0),"")</f>
        <v>0</v>
      </c>
      <c r="AV335" s="461"/>
      <c r="AW335" s="463"/>
    </row>
    <row r="336" spans="1:49" s="464" customFormat="1" x14ac:dyDescent="0.25">
      <c r="A336" s="297">
        <f t="shared" si="5"/>
        <v>29.366666666666667</v>
      </c>
      <c r="B336" s="460">
        <v>41855</v>
      </c>
      <c r="C336" s="461" t="s">
        <v>452</v>
      </c>
      <c r="D336" s="461"/>
      <c r="E336" s="461" t="s">
        <v>380</v>
      </c>
      <c r="F336" s="461" t="s">
        <v>185</v>
      </c>
      <c r="G336" s="461" t="s">
        <v>190</v>
      </c>
      <c r="H336" s="291"/>
      <c r="I336" s="291"/>
      <c r="J336" s="291"/>
      <c r="K336" s="291">
        <v>84</v>
      </c>
      <c r="L336" s="292">
        <v>36</v>
      </c>
      <c r="M336" s="292">
        <v>84</v>
      </c>
      <c r="N336" s="292">
        <v>36</v>
      </c>
      <c r="O336" s="292"/>
      <c r="P336" s="294">
        <v>36</v>
      </c>
      <c r="Q336" s="294">
        <v>180</v>
      </c>
      <c r="R336" s="294"/>
      <c r="S336" s="294"/>
      <c r="T336" s="294"/>
      <c r="U336" s="294"/>
      <c r="V336" s="431"/>
      <c r="W336" s="331"/>
      <c r="X336" s="331"/>
      <c r="Y336" s="294">
        <f>IF(NFI_Expiration=1,IF($A336&lt;VLOOKUP(H$5,NFI,5,0),1,0)*Table_NFI[[#This Row],[Hygiene Kit]],Table_NFI[Hygiene Kit])</f>
        <v>0</v>
      </c>
      <c r="Z336" s="294">
        <f>IF(NFI_Expiration=1,IF($A336&lt;VLOOKUP(I$5,NFI,5,0),1,0)*Table_NFI[[#This Row],[NFI Core Kit]],Table_NFI[NFI Core Kit])</f>
        <v>0</v>
      </c>
      <c r="AA336" s="294">
        <f>IF(NFI_Expiration=1,IF($A336&lt;VLOOKUP(J$5,NFI,5,0),1,0)*Table_NFI[[#This Row],[Sanitary Kit]],Table_NFI[Sanitary Kit])</f>
        <v>0</v>
      </c>
      <c r="AB336" s="294">
        <f>IF(NFI_Expiration=1,IF($A336&lt;VLOOKUP(K$5,NFI,5,0),1,0)*Table_NFI[[#This Row],[Mosquito net]],Table_NFI[Mosquito net])</f>
        <v>0</v>
      </c>
      <c r="AC336" s="294">
        <f>IF(NFI_Expiration=1,IF($A336&lt;VLOOKUP(L$5,NFI,5,0),1,0)*Table_NFI[[#This Row],[Tarpaulin]],Table_NFI[[#This Row],[Tarpaulin]])</f>
        <v>0</v>
      </c>
      <c r="AD336" s="294">
        <f>IF(NFI_Expiration=1,IF($A336&lt;VLOOKUP(M$5,NFI,5,0),1,0)*Table_NFI[[#This Row],[Blanket]],Table_NFI[[#This Row],[Blanket]])</f>
        <v>0</v>
      </c>
      <c r="AE336" s="294">
        <f>IF(NFI_Expiration=1,IF($A336&lt;VLOOKUP(N$5,NFI,5,0),1,0)*Table_NFI[[#This Row],[Kitchen Set]],Table_NFI[Kitchen Set])</f>
        <v>0</v>
      </c>
      <c r="AF336" s="294">
        <f>IF(NFI_Expiration=1,IF($A336&lt;VLOOKUP(O$5,NFI,5,0),1,0)*Table_NFI[[#This Row],[Clothes Kit]],Table_NFI[Clothes Kit])</f>
        <v>0</v>
      </c>
      <c r="AG336" s="294">
        <f>IF(NFI_Expiration=1,IF($A336&lt;VLOOKUP(P$5,NFI,5,0),1,0)*Table_NFI[[#This Row],[Plastic Bucket]],Table_NFI[Plastic Bucket])</f>
        <v>0</v>
      </c>
      <c r="AH336" s="294">
        <f>IF(NFI_Expiration=1,IF($A336&lt;VLOOKUP(Q$5,NFI,5,0),1,0)*Table_NFI[[#This Row],[Plastic Mat]],Table_NFI[Plastic Mat])*IF(Table_NFI[[#This Row],[Distribution Date]]&gt;"2014-04-01",1,2.5)</f>
        <v>0</v>
      </c>
      <c r="AI336" s="294">
        <f>IF(NFI_Expiration=1,IF($A336&lt;VLOOKUP(R$5,NFI,5,0),1,0)*Table_NFI[[#This Row],[Winter Clothes Adult]],Table_NFI[Winter Clothes Adult])</f>
        <v>0</v>
      </c>
      <c r="AJ336" s="294">
        <f>IF(NFI_Expiration=1,IF($A336&lt;VLOOKUP(S$5,NFI,5,0),1,0)*Table_NFI[[#This Row],[Winter Clothes Children]],Table_NFI[Winter Clothes Children])</f>
        <v>0</v>
      </c>
      <c r="AK336" s="294">
        <f>IF(NFI_Expiration=1,IF($A336&lt;VLOOKUP(T$5,NFI,5,0),1,0)*Table_NFI[[#This Row],[Winter Items Other]],Table_NFI[Winter Items Other])</f>
        <v>0</v>
      </c>
      <c r="AL336" s="294">
        <f>IF(NFI_Expiration=1,IF($A336&lt;VLOOKUP(M$5,NFI,5,0),1,0)*Table_NFI[[#This Row],[Winter Blanket]],Table_NFI[[#This Row],[Winter Blanket]])</f>
        <v>0</v>
      </c>
      <c r="AM336" s="294">
        <f>IF(Table_NFI[[#This Row],[Winter Clothes Adult]]+Table_NFI[[#This Row],[Winter Clothes Children]]+Table_NFI[[#This Row],[Winter Items Other]]+Table_NFI[[#This Row],[Winter Blanket]]&gt;0,1,0)</f>
        <v>0</v>
      </c>
      <c r="AN336" s="331">
        <f>IF(NFI_Expiration=1,IF($A336&lt;VLOOKUP(V$5,NFI,5,0),1,0)*Table_NFI[[#This Row],[Jerry Can]],Table_NFI[Jerry Can])</f>
        <v>0</v>
      </c>
      <c r="AO336" s="331">
        <f>IF(NFI_Expiration=1,IF($A336&lt;VLOOKUP(V$5,NFI,5,0),1,0)*Table_NFI[[#This Row],[Shelter Tool kit]],Table_NFI[Shelter Tool kit])</f>
        <v>0</v>
      </c>
      <c r="AP336" s="331">
        <f>IF(NFI_Expiration=1,IF($A336&lt;VLOOKUP(V$5,NFI,5,0),1,0)*Table_NFI[[#This Row],[Tent]],Table_NFI[Tent])</f>
        <v>0</v>
      </c>
      <c r="AQ336" s="467" t="str">
        <f>IFERROR(VLOOKUP(Table_NFI[[#This Row],[Camp Name]],CL,2,0),"")</f>
        <v>MMR001CMP070</v>
      </c>
      <c r="AR336" s="835">
        <f ca="1">IF(Table_NFI[[#This Row],[Pcode]]="","",IF(OFFSET(CampList[Opening Date],MATCH(Table_NFI[[#This Row],[Pcode]],CampList[CP_Pcode],0)-1,0,1,1)&gt;=NFI_Monitor_Date,1,0))</f>
        <v>0</v>
      </c>
      <c r="AS336" s="467" t="str">
        <f>IFERROR(VLOOKUP(Table_NFI[[#This Row],[Camp Name]],CL,3,0),"")</f>
        <v>Open</v>
      </c>
      <c r="AT336" s="294" t="str">
        <f ca="1">IF(Table_NFI[[#This Row],[Pcode]]="","",OFFSET(CampList[Priority],MATCH(Table_NFI[[#This Row],[Pcode]],CampList[CP_Pcode],0)-1,0,1,1))</f>
        <v>P3</v>
      </c>
      <c r="AU336" s="293">
        <f>IFERROR(Table_NFI[[#This Row],[Kitchen Set]]/VLOOKUP(Table_NFI[[#This Row],[Camp Name]],CL,4,0),"")</f>
        <v>8.780487804878049E-4</v>
      </c>
      <c r="AV336" s="461"/>
      <c r="AW336" s="463"/>
    </row>
    <row r="337" spans="1:49" s="464" customFormat="1" x14ac:dyDescent="0.25">
      <c r="A337" s="297">
        <f t="shared" si="5"/>
        <v>29.366666666666667</v>
      </c>
      <c r="B337" s="460">
        <v>41855</v>
      </c>
      <c r="C337" s="461" t="s">
        <v>452</v>
      </c>
      <c r="D337" s="461"/>
      <c r="E337" s="461" t="s">
        <v>380</v>
      </c>
      <c r="F337" s="461" t="s">
        <v>151</v>
      </c>
      <c r="G337" s="461" t="s">
        <v>942</v>
      </c>
      <c r="H337" s="291"/>
      <c r="I337" s="291"/>
      <c r="J337" s="291"/>
      <c r="K337" s="291"/>
      <c r="L337" s="292"/>
      <c r="M337" s="292"/>
      <c r="N337" s="292"/>
      <c r="O337" s="292"/>
      <c r="P337" s="294">
        <v>2</v>
      </c>
      <c r="Q337" s="294"/>
      <c r="R337" s="294"/>
      <c r="S337" s="294"/>
      <c r="T337" s="294"/>
      <c r="U337" s="294"/>
      <c r="V337" s="431"/>
      <c r="W337" s="331"/>
      <c r="X337" s="331"/>
      <c r="Y337" s="294">
        <f>IF(NFI_Expiration=1,IF($A337&lt;VLOOKUP(H$5,NFI,5,0),1,0)*Table_NFI[[#This Row],[Hygiene Kit]],Table_NFI[Hygiene Kit])</f>
        <v>0</v>
      </c>
      <c r="Z337" s="294">
        <f>IF(NFI_Expiration=1,IF($A337&lt;VLOOKUP(I$5,NFI,5,0),1,0)*Table_NFI[[#This Row],[NFI Core Kit]],Table_NFI[NFI Core Kit])</f>
        <v>0</v>
      </c>
      <c r="AA337" s="294">
        <f>IF(NFI_Expiration=1,IF($A337&lt;VLOOKUP(J$5,NFI,5,0),1,0)*Table_NFI[[#This Row],[Sanitary Kit]],Table_NFI[Sanitary Kit])</f>
        <v>0</v>
      </c>
      <c r="AB337" s="294">
        <f>IF(NFI_Expiration=1,IF($A337&lt;VLOOKUP(K$5,NFI,5,0),1,0)*Table_NFI[[#This Row],[Mosquito net]],Table_NFI[Mosquito net])</f>
        <v>0</v>
      </c>
      <c r="AC337" s="294">
        <f>IF(NFI_Expiration=1,IF($A337&lt;VLOOKUP(L$5,NFI,5,0),1,0)*Table_NFI[[#This Row],[Tarpaulin]],Table_NFI[[#This Row],[Tarpaulin]])</f>
        <v>0</v>
      </c>
      <c r="AD337" s="294">
        <f>IF(NFI_Expiration=1,IF($A337&lt;VLOOKUP(M$5,NFI,5,0),1,0)*Table_NFI[[#This Row],[Blanket]],Table_NFI[[#This Row],[Blanket]])</f>
        <v>0</v>
      </c>
      <c r="AE337" s="294">
        <f>IF(NFI_Expiration=1,IF($A337&lt;VLOOKUP(N$5,NFI,5,0),1,0)*Table_NFI[[#This Row],[Kitchen Set]],Table_NFI[Kitchen Set])</f>
        <v>0</v>
      </c>
      <c r="AF337" s="294">
        <f>IF(NFI_Expiration=1,IF($A337&lt;VLOOKUP(O$5,NFI,5,0),1,0)*Table_NFI[[#This Row],[Clothes Kit]],Table_NFI[Clothes Kit])</f>
        <v>0</v>
      </c>
      <c r="AG337" s="294">
        <f>IF(NFI_Expiration=1,IF($A337&lt;VLOOKUP(P$5,NFI,5,0),1,0)*Table_NFI[[#This Row],[Plastic Bucket]],Table_NFI[Plastic Bucket])</f>
        <v>0</v>
      </c>
      <c r="AH337" s="294">
        <f>IF(NFI_Expiration=1,IF($A337&lt;VLOOKUP(Q$5,NFI,5,0),1,0)*Table_NFI[[#This Row],[Plastic Mat]],Table_NFI[Plastic Mat])*IF(Table_NFI[[#This Row],[Distribution Date]]&gt;"2014-04-01",1,2.5)</f>
        <v>0</v>
      </c>
      <c r="AI337" s="294">
        <f>IF(NFI_Expiration=1,IF($A337&lt;VLOOKUP(R$5,NFI,5,0),1,0)*Table_NFI[[#This Row],[Winter Clothes Adult]],Table_NFI[Winter Clothes Adult])</f>
        <v>0</v>
      </c>
      <c r="AJ337" s="294">
        <f>IF(NFI_Expiration=1,IF($A337&lt;VLOOKUP(S$5,NFI,5,0),1,0)*Table_NFI[[#This Row],[Winter Clothes Children]],Table_NFI[Winter Clothes Children])</f>
        <v>0</v>
      </c>
      <c r="AK337" s="294">
        <f>IF(NFI_Expiration=1,IF($A337&lt;VLOOKUP(T$5,NFI,5,0),1,0)*Table_NFI[[#This Row],[Winter Items Other]],Table_NFI[Winter Items Other])</f>
        <v>0</v>
      </c>
      <c r="AL337" s="294">
        <f>IF(NFI_Expiration=1,IF($A337&lt;VLOOKUP(M$5,NFI,5,0),1,0)*Table_NFI[[#This Row],[Winter Blanket]],Table_NFI[[#This Row],[Winter Blanket]])</f>
        <v>0</v>
      </c>
      <c r="AM337" s="294">
        <f>IF(Table_NFI[[#This Row],[Winter Clothes Adult]]+Table_NFI[[#This Row],[Winter Clothes Children]]+Table_NFI[[#This Row],[Winter Items Other]]+Table_NFI[[#This Row],[Winter Blanket]]&gt;0,1,0)</f>
        <v>0</v>
      </c>
      <c r="AN337" s="331">
        <f>IF(NFI_Expiration=1,IF($A337&lt;VLOOKUP(V$5,NFI,5,0),1,0)*Table_NFI[[#This Row],[Jerry Can]],Table_NFI[Jerry Can])</f>
        <v>0</v>
      </c>
      <c r="AO337" s="331">
        <f>IF(NFI_Expiration=1,IF($A337&lt;VLOOKUP(V$5,NFI,5,0),1,0)*Table_NFI[[#This Row],[Shelter Tool kit]],Table_NFI[Shelter Tool kit])</f>
        <v>0</v>
      </c>
      <c r="AP337" s="331">
        <f>IF(NFI_Expiration=1,IF($A337&lt;VLOOKUP(V$5,NFI,5,0),1,0)*Table_NFI[[#This Row],[Tent]],Table_NFI[Tent])</f>
        <v>0</v>
      </c>
      <c r="AQ337" s="467" t="str">
        <f>IFERROR(VLOOKUP(Table_NFI[[#This Row],[Camp Name]],CL,2,0),"")</f>
        <v>MMR001CMP223</v>
      </c>
      <c r="AR337" s="835">
        <f ca="1">IF(Table_NFI[[#This Row],[Pcode]]="","",IF(OFFSET(CampList[Opening Date],MATCH(Table_NFI[[#This Row],[Pcode]],CampList[CP_Pcode],0)-1,0,1,1)&gt;=NFI_Monitor_Date,1,0))</f>
        <v>0</v>
      </c>
      <c r="AS337" s="467" t="str">
        <f>IFERROR(VLOOKUP(Table_NFI[[#This Row],[Camp Name]],CL,3,0),"")</f>
        <v>Open</v>
      </c>
      <c r="AT337" s="294" t="str">
        <f ca="1">IF(Table_NFI[[#This Row],[Pcode]]="","",OFFSET(CampList[Priority],MATCH(Table_NFI[[#This Row],[Pcode]],CampList[CP_Pcode],0)-1,0,1,1))</f>
        <v>P4</v>
      </c>
      <c r="AU337" s="293">
        <f>IFERROR(Table_NFI[[#This Row],[Kitchen Set]]/VLOOKUP(Table_NFI[[#This Row],[Camp Name]],CL,4,0),"")</f>
        <v>0</v>
      </c>
      <c r="AV337" s="461"/>
      <c r="AW337" s="463"/>
    </row>
    <row r="338" spans="1:49" s="464" customFormat="1" x14ac:dyDescent="0.25">
      <c r="A338" s="297">
        <f t="shared" si="5"/>
        <v>29.566666666666666</v>
      </c>
      <c r="B338" s="460">
        <v>41849</v>
      </c>
      <c r="C338" s="461" t="s">
        <v>452</v>
      </c>
      <c r="D338" s="461"/>
      <c r="E338" s="461" t="s">
        <v>380</v>
      </c>
      <c r="F338" s="461" t="s">
        <v>185</v>
      </c>
      <c r="G338" s="461" t="s">
        <v>196</v>
      </c>
      <c r="H338" s="291"/>
      <c r="I338" s="291"/>
      <c r="J338" s="291"/>
      <c r="K338" s="291">
        <v>254</v>
      </c>
      <c r="L338" s="292">
        <v>204</v>
      </c>
      <c r="M338" s="292">
        <v>254</v>
      </c>
      <c r="N338" s="292">
        <v>134</v>
      </c>
      <c r="O338" s="292"/>
      <c r="P338" s="294">
        <v>134</v>
      </c>
      <c r="Q338" s="294">
        <v>608</v>
      </c>
      <c r="R338" s="294"/>
      <c r="S338" s="294"/>
      <c r="T338" s="294"/>
      <c r="U338" s="294"/>
      <c r="V338" s="431"/>
      <c r="W338" s="331"/>
      <c r="X338" s="331"/>
      <c r="Y338" s="294">
        <f>IF(NFI_Expiration=1,IF($A338&lt;VLOOKUP(H$5,NFI,5,0),1,0)*Table_NFI[[#This Row],[Hygiene Kit]],Table_NFI[Hygiene Kit])</f>
        <v>0</v>
      </c>
      <c r="Z338" s="294">
        <f>IF(NFI_Expiration=1,IF($A338&lt;VLOOKUP(I$5,NFI,5,0),1,0)*Table_NFI[[#This Row],[NFI Core Kit]],Table_NFI[NFI Core Kit])</f>
        <v>0</v>
      </c>
      <c r="AA338" s="294">
        <f>IF(NFI_Expiration=1,IF($A338&lt;VLOOKUP(J$5,NFI,5,0),1,0)*Table_NFI[[#This Row],[Sanitary Kit]],Table_NFI[Sanitary Kit])</f>
        <v>0</v>
      </c>
      <c r="AB338" s="294">
        <f>IF(NFI_Expiration=1,IF($A338&lt;VLOOKUP(K$5,NFI,5,0),1,0)*Table_NFI[[#This Row],[Mosquito net]],Table_NFI[Mosquito net])</f>
        <v>0</v>
      </c>
      <c r="AC338" s="294">
        <f>IF(NFI_Expiration=1,IF($A338&lt;VLOOKUP(L$5,NFI,5,0),1,0)*Table_NFI[[#This Row],[Tarpaulin]],Table_NFI[[#This Row],[Tarpaulin]])</f>
        <v>0</v>
      </c>
      <c r="AD338" s="294">
        <f>IF(NFI_Expiration=1,IF($A338&lt;VLOOKUP(M$5,NFI,5,0),1,0)*Table_NFI[[#This Row],[Blanket]],Table_NFI[[#This Row],[Blanket]])</f>
        <v>0</v>
      </c>
      <c r="AE338" s="294">
        <f>IF(NFI_Expiration=1,IF($A338&lt;VLOOKUP(N$5,NFI,5,0),1,0)*Table_NFI[[#This Row],[Kitchen Set]],Table_NFI[Kitchen Set])</f>
        <v>0</v>
      </c>
      <c r="AF338" s="294">
        <f>IF(NFI_Expiration=1,IF($A338&lt;VLOOKUP(O$5,NFI,5,0),1,0)*Table_NFI[[#This Row],[Clothes Kit]],Table_NFI[Clothes Kit])</f>
        <v>0</v>
      </c>
      <c r="AG338" s="294">
        <f>IF(NFI_Expiration=1,IF($A338&lt;VLOOKUP(P$5,NFI,5,0),1,0)*Table_NFI[[#This Row],[Plastic Bucket]],Table_NFI[Plastic Bucket])</f>
        <v>0</v>
      </c>
      <c r="AH338" s="294">
        <f>IF(NFI_Expiration=1,IF($A338&lt;VLOOKUP(Q$5,NFI,5,0),1,0)*Table_NFI[[#This Row],[Plastic Mat]],Table_NFI[Plastic Mat])*IF(Table_NFI[[#This Row],[Distribution Date]]&gt;"2014-04-01",1,2.5)</f>
        <v>0</v>
      </c>
      <c r="AI338" s="294">
        <f>IF(NFI_Expiration=1,IF($A338&lt;VLOOKUP(R$5,NFI,5,0),1,0)*Table_NFI[[#This Row],[Winter Clothes Adult]],Table_NFI[Winter Clothes Adult])</f>
        <v>0</v>
      </c>
      <c r="AJ338" s="294">
        <f>IF(NFI_Expiration=1,IF($A338&lt;VLOOKUP(S$5,NFI,5,0),1,0)*Table_NFI[[#This Row],[Winter Clothes Children]],Table_NFI[Winter Clothes Children])</f>
        <v>0</v>
      </c>
      <c r="AK338" s="294">
        <f>IF(NFI_Expiration=1,IF($A338&lt;VLOOKUP(T$5,NFI,5,0),1,0)*Table_NFI[[#This Row],[Winter Items Other]],Table_NFI[Winter Items Other])</f>
        <v>0</v>
      </c>
      <c r="AL338" s="294">
        <f>IF(NFI_Expiration=1,IF($A338&lt;VLOOKUP(M$5,NFI,5,0),1,0)*Table_NFI[[#This Row],[Winter Blanket]],Table_NFI[[#This Row],[Winter Blanket]])</f>
        <v>0</v>
      </c>
      <c r="AM338" s="294">
        <f>IF(Table_NFI[[#This Row],[Winter Clothes Adult]]+Table_NFI[[#This Row],[Winter Clothes Children]]+Table_NFI[[#This Row],[Winter Items Other]]+Table_NFI[[#This Row],[Winter Blanket]]&gt;0,1,0)</f>
        <v>0</v>
      </c>
      <c r="AN338" s="331">
        <f>IF(NFI_Expiration=1,IF($A338&lt;VLOOKUP(V$5,NFI,5,0),1,0)*Table_NFI[[#This Row],[Jerry Can]],Table_NFI[Jerry Can])</f>
        <v>0</v>
      </c>
      <c r="AO338" s="331">
        <f>IF(NFI_Expiration=1,IF($A338&lt;VLOOKUP(V$5,NFI,5,0),1,0)*Table_NFI[[#This Row],[Shelter Tool kit]],Table_NFI[Shelter Tool kit])</f>
        <v>0</v>
      </c>
      <c r="AP338" s="331">
        <f>IF(NFI_Expiration=1,IF($A338&lt;VLOOKUP(V$5,NFI,5,0),1,0)*Table_NFI[[#This Row],[Tent]],Table_NFI[Tent])</f>
        <v>0</v>
      </c>
      <c r="AQ338" s="467" t="str">
        <f>IFERROR(VLOOKUP(Table_NFI[[#This Row],[Camp Name]],CL,2,0),"")</f>
        <v>MMR001CMP121</v>
      </c>
      <c r="AR338" s="835">
        <f ca="1">IF(Table_NFI[[#This Row],[Pcode]]="","",IF(OFFSET(CampList[Opening Date],MATCH(Table_NFI[[#This Row],[Pcode]],CampList[CP_Pcode],0)-1,0,1,1)&gt;=NFI_Monitor_Date,1,0))</f>
        <v>0</v>
      </c>
      <c r="AS338" s="467" t="str">
        <f>IFERROR(VLOOKUP(Table_NFI[[#This Row],[Camp Name]],CL,3,0),"")</f>
        <v>Open</v>
      </c>
      <c r="AT338" s="294" t="str">
        <f ca="1">IF(Table_NFI[[#This Row],[Pcode]]="","",OFFSET(CampList[Priority],MATCH(Table_NFI[[#This Row],[Pcode]],CampList[CP_Pcode],0)-1,0,1,1))</f>
        <v>P2</v>
      </c>
      <c r="AU338" s="293">
        <f>IFERROR(Table_NFI[[#This Row],[Kitchen Set]]/VLOOKUP(Table_NFI[[#This Row],[Camp Name]],CL,4,0),"")</f>
        <v>3.2634373249555539E-3</v>
      </c>
      <c r="AV338" s="461"/>
      <c r="AW338" s="463"/>
    </row>
    <row r="339" spans="1:49" s="464" customFormat="1" x14ac:dyDescent="0.25">
      <c r="A339" s="297">
        <f t="shared" si="5"/>
        <v>29.566666666666666</v>
      </c>
      <c r="B339" s="460">
        <v>41849</v>
      </c>
      <c r="C339" s="461" t="s">
        <v>452</v>
      </c>
      <c r="D339" s="461"/>
      <c r="E339" s="461" t="s">
        <v>380</v>
      </c>
      <c r="F339" s="461" t="s">
        <v>310</v>
      </c>
      <c r="G339" s="461" t="s">
        <v>353</v>
      </c>
      <c r="H339" s="291"/>
      <c r="I339" s="291"/>
      <c r="J339" s="291"/>
      <c r="K339" s="291">
        <v>46</v>
      </c>
      <c r="L339" s="292">
        <v>46</v>
      </c>
      <c r="M339" s="292">
        <v>46</v>
      </c>
      <c r="N339" s="292">
        <v>16</v>
      </c>
      <c r="O339" s="292"/>
      <c r="P339" s="294">
        <v>16</v>
      </c>
      <c r="Q339" s="294">
        <v>142</v>
      </c>
      <c r="R339" s="294"/>
      <c r="S339" s="294"/>
      <c r="T339" s="294"/>
      <c r="U339" s="294"/>
      <c r="V339" s="431"/>
      <c r="W339" s="331"/>
      <c r="X339" s="331"/>
      <c r="Y339" s="294">
        <f>IF(NFI_Expiration=1,IF($A339&lt;VLOOKUP(H$5,NFI,5,0),1,0)*Table_NFI[[#This Row],[Hygiene Kit]],Table_NFI[Hygiene Kit])</f>
        <v>0</v>
      </c>
      <c r="Z339" s="294">
        <f>IF(NFI_Expiration=1,IF($A339&lt;VLOOKUP(I$5,NFI,5,0),1,0)*Table_NFI[[#This Row],[NFI Core Kit]],Table_NFI[NFI Core Kit])</f>
        <v>0</v>
      </c>
      <c r="AA339" s="294">
        <f>IF(NFI_Expiration=1,IF($A339&lt;VLOOKUP(J$5,NFI,5,0),1,0)*Table_NFI[[#This Row],[Sanitary Kit]],Table_NFI[Sanitary Kit])</f>
        <v>0</v>
      </c>
      <c r="AB339" s="294">
        <f>IF(NFI_Expiration=1,IF($A339&lt;VLOOKUP(K$5,NFI,5,0),1,0)*Table_NFI[[#This Row],[Mosquito net]],Table_NFI[Mosquito net])</f>
        <v>0</v>
      </c>
      <c r="AC339" s="294">
        <f>IF(NFI_Expiration=1,IF($A339&lt;VLOOKUP(L$5,NFI,5,0),1,0)*Table_NFI[[#This Row],[Tarpaulin]],Table_NFI[[#This Row],[Tarpaulin]])</f>
        <v>0</v>
      </c>
      <c r="AD339" s="294">
        <f>IF(NFI_Expiration=1,IF($A339&lt;VLOOKUP(M$5,NFI,5,0),1,0)*Table_NFI[[#This Row],[Blanket]],Table_NFI[[#This Row],[Blanket]])</f>
        <v>0</v>
      </c>
      <c r="AE339" s="294">
        <f>IF(NFI_Expiration=1,IF($A339&lt;VLOOKUP(N$5,NFI,5,0),1,0)*Table_NFI[[#This Row],[Kitchen Set]],Table_NFI[Kitchen Set])</f>
        <v>0</v>
      </c>
      <c r="AF339" s="294">
        <f>IF(NFI_Expiration=1,IF($A339&lt;VLOOKUP(O$5,NFI,5,0),1,0)*Table_NFI[[#This Row],[Clothes Kit]],Table_NFI[Clothes Kit])</f>
        <v>0</v>
      </c>
      <c r="AG339" s="294">
        <f>IF(NFI_Expiration=1,IF($A339&lt;VLOOKUP(P$5,NFI,5,0),1,0)*Table_NFI[[#This Row],[Plastic Bucket]],Table_NFI[Plastic Bucket])</f>
        <v>0</v>
      </c>
      <c r="AH339" s="294">
        <f>IF(NFI_Expiration=1,IF($A339&lt;VLOOKUP(Q$5,NFI,5,0),1,0)*Table_NFI[[#This Row],[Plastic Mat]],Table_NFI[Plastic Mat])*IF(Table_NFI[[#This Row],[Distribution Date]]&gt;"2014-04-01",1,2.5)</f>
        <v>0</v>
      </c>
      <c r="AI339" s="294">
        <f>IF(NFI_Expiration=1,IF($A339&lt;VLOOKUP(R$5,NFI,5,0),1,0)*Table_NFI[[#This Row],[Winter Clothes Adult]],Table_NFI[Winter Clothes Adult])</f>
        <v>0</v>
      </c>
      <c r="AJ339" s="294">
        <f>IF(NFI_Expiration=1,IF($A339&lt;VLOOKUP(S$5,NFI,5,0),1,0)*Table_NFI[[#This Row],[Winter Clothes Children]],Table_NFI[Winter Clothes Children])</f>
        <v>0</v>
      </c>
      <c r="AK339" s="294">
        <f>IF(NFI_Expiration=1,IF($A339&lt;VLOOKUP(T$5,NFI,5,0),1,0)*Table_NFI[[#This Row],[Winter Items Other]],Table_NFI[Winter Items Other])</f>
        <v>0</v>
      </c>
      <c r="AL339" s="294">
        <f>IF(NFI_Expiration=1,IF($A339&lt;VLOOKUP(M$5,NFI,5,0),1,0)*Table_NFI[[#This Row],[Winter Blanket]],Table_NFI[[#This Row],[Winter Blanket]])</f>
        <v>0</v>
      </c>
      <c r="AM339" s="294">
        <f>IF(Table_NFI[[#This Row],[Winter Clothes Adult]]+Table_NFI[[#This Row],[Winter Clothes Children]]+Table_NFI[[#This Row],[Winter Items Other]]+Table_NFI[[#This Row],[Winter Blanket]]&gt;0,1,0)</f>
        <v>0</v>
      </c>
      <c r="AN339" s="331">
        <f>IF(NFI_Expiration=1,IF($A339&lt;VLOOKUP(V$5,NFI,5,0),1,0)*Table_NFI[[#This Row],[Jerry Can]],Table_NFI[Jerry Can])</f>
        <v>0</v>
      </c>
      <c r="AO339" s="331">
        <f>IF(NFI_Expiration=1,IF($A339&lt;VLOOKUP(V$5,NFI,5,0),1,0)*Table_NFI[[#This Row],[Shelter Tool kit]],Table_NFI[Shelter Tool kit])</f>
        <v>0</v>
      </c>
      <c r="AP339" s="331">
        <f>IF(NFI_Expiration=1,IF($A339&lt;VLOOKUP(V$5,NFI,5,0),1,0)*Table_NFI[[#This Row],[Tent]],Table_NFI[Tent])</f>
        <v>0</v>
      </c>
      <c r="AQ339" s="467" t="str">
        <f>IFERROR(VLOOKUP(Table_NFI[[#This Row],[Camp Name]],CL,2,0),"")</f>
        <v>MMR001CMP116</v>
      </c>
      <c r="AR339" s="835">
        <f ca="1">IF(Table_NFI[[#This Row],[Pcode]]="","",IF(OFFSET(CampList[Opening Date],MATCH(Table_NFI[[#This Row],[Pcode]],CampList[CP_Pcode],0)-1,0,1,1)&gt;=NFI_Monitor_Date,1,0))</f>
        <v>0</v>
      </c>
      <c r="AS339" s="467" t="str">
        <f>IFERROR(VLOOKUP(Table_NFI[[#This Row],[Camp Name]],CL,3,0),"")</f>
        <v>Open</v>
      </c>
      <c r="AT339" s="294" t="str">
        <f ca="1">IF(Table_NFI[[#This Row],[Pcode]]="","",OFFSET(CampList[Priority],MATCH(Table_NFI[[#This Row],[Pcode]],CampList[CP_Pcode],0)-1,0,1,1))</f>
        <v>P4</v>
      </c>
      <c r="AU339" s="293">
        <f>IFERROR(Table_NFI[[#This Row],[Kitchen Set]]/VLOOKUP(Table_NFI[[#This Row],[Camp Name]],CL,4,0),"")</f>
        <v>3.9316869394274479E-4</v>
      </c>
      <c r="AV339" s="461"/>
      <c r="AW339" s="463"/>
    </row>
    <row r="340" spans="1:49" s="464" customFormat="1" x14ac:dyDescent="0.25">
      <c r="A340" s="297">
        <f t="shared" si="5"/>
        <v>29.7</v>
      </c>
      <c r="B340" s="460">
        <v>41845</v>
      </c>
      <c r="C340" s="461" t="s">
        <v>452</v>
      </c>
      <c r="D340" s="461"/>
      <c r="E340" s="461" t="s">
        <v>380</v>
      </c>
      <c r="F340" s="461" t="s">
        <v>5</v>
      </c>
      <c r="G340" s="461" t="s">
        <v>18</v>
      </c>
      <c r="H340" s="291"/>
      <c r="I340" s="291"/>
      <c r="J340" s="291"/>
      <c r="K340" s="291"/>
      <c r="L340" s="292">
        <v>7</v>
      </c>
      <c r="M340" s="292">
        <v>3</v>
      </c>
      <c r="N340" s="292"/>
      <c r="O340" s="292"/>
      <c r="P340" s="294">
        <v>4</v>
      </c>
      <c r="Q340" s="294">
        <v>9</v>
      </c>
      <c r="R340" s="294"/>
      <c r="S340" s="294"/>
      <c r="T340" s="294"/>
      <c r="U340" s="294"/>
      <c r="V340" s="431"/>
      <c r="W340" s="331"/>
      <c r="X340" s="331"/>
      <c r="Y340" s="294">
        <f>IF(NFI_Expiration=1,IF($A340&lt;VLOOKUP(H$5,NFI,5,0),1,0)*Table_NFI[[#This Row],[Hygiene Kit]],Table_NFI[Hygiene Kit])</f>
        <v>0</v>
      </c>
      <c r="Z340" s="294">
        <f>IF(NFI_Expiration=1,IF($A340&lt;VLOOKUP(I$5,NFI,5,0),1,0)*Table_NFI[[#This Row],[NFI Core Kit]],Table_NFI[NFI Core Kit])</f>
        <v>0</v>
      </c>
      <c r="AA340" s="294">
        <f>IF(NFI_Expiration=1,IF($A340&lt;VLOOKUP(J$5,NFI,5,0),1,0)*Table_NFI[[#This Row],[Sanitary Kit]],Table_NFI[Sanitary Kit])</f>
        <v>0</v>
      </c>
      <c r="AB340" s="294">
        <f>IF(NFI_Expiration=1,IF($A340&lt;VLOOKUP(K$5,NFI,5,0),1,0)*Table_NFI[[#This Row],[Mosquito net]],Table_NFI[Mosquito net])</f>
        <v>0</v>
      </c>
      <c r="AC340" s="294">
        <f>IF(NFI_Expiration=1,IF($A340&lt;VLOOKUP(L$5,NFI,5,0),1,0)*Table_NFI[[#This Row],[Tarpaulin]],Table_NFI[[#This Row],[Tarpaulin]])</f>
        <v>0</v>
      </c>
      <c r="AD340" s="294">
        <f>IF(NFI_Expiration=1,IF($A340&lt;VLOOKUP(M$5,NFI,5,0),1,0)*Table_NFI[[#This Row],[Blanket]],Table_NFI[[#This Row],[Blanket]])</f>
        <v>0</v>
      </c>
      <c r="AE340" s="294">
        <f>IF(NFI_Expiration=1,IF($A340&lt;VLOOKUP(N$5,NFI,5,0),1,0)*Table_NFI[[#This Row],[Kitchen Set]],Table_NFI[Kitchen Set])</f>
        <v>0</v>
      </c>
      <c r="AF340" s="294">
        <f>IF(NFI_Expiration=1,IF($A340&lt;VLOOKUP(O$5,NFI,5,0),1,0)*Table_NFI[[#This Row],[Clothes Kit]],Table_NFI[Clothes Kit])</f>
        <v>0</v>
      </c>
      <c r="AG340" s="294">
        <f>IF(NFI_Expiration=1,IF($A340&lt;VLOOKUP(P$5,NFI,5,0),1,0)*Table_NFI[[#This Row],[Plastic Bucket]],Table_NFI[Plastic Bucket])</f>
        <v>0</v>
      </c>
      <c r="AH340" s="294">
        <f>IF(NFI_Expiration=1,IF($A340&lt;VLOOKUP(Q$5,NFI,5,0),1,0)*Table_NFI[[#This Row],[Plastic Mat]],Table_NFI[Plastic Mat])*IF(Table_NFI[[#This Row],[Distribution Date]]&gt;"2014-04-01",1,2.5)</f>
        <v>0</v>
      </c>
      <c r="AI340" s="294">
        <f>IF(NFI_Expiration=1,IF($A340&lt;VLOOKUP(R$5,NFI,5,0),1,0)*Table_NFI[[#This Row],[Winter Clothes Adult]],Table_NFI[Winter Clothes Adult])</f>
        <v>0</v>
      </c>
      <c r="AJ340" s="294">
        <f>IF(NFI_Expiration=1,IF($A340&lt;VLOOKUP(S$5,NFI,5,0),1,0)*Table_NFI[[#This Row],[Winter Clothes Children]],Table_NFI[Winter Clothes Children])</f>
        <v>0</v>
      </c>
      <c r="AK340" s="294">
        <f>IF(NFI_Expiration=1,IF($A340&lt;VLOOKUP(T$5,NFI,5,0),1,0)*Table_NFI[[#This Row],[Winter Items Other]],Table_NFI[Winter Items Other])</f>
        <v>0</v>
      </c>
      <c r="AL340" s="294">
        <f>IF(NFI_Expiration=1,IF($A340&lt;VLOOKUP(M$5,NFI,5,0),1,0)*Table_NFI[[#This Row],[Winter Blanket]],Table_NFI[[#This Row],[Winter Blanket]])</f>
        <v>0</v>
      </c>
      <c r="AM340" s="294">
        <f>IF(Table_NFI[[#This Row],[Winter Clothes Adult]]+Table_NFI[[#This Row],[Winter Clothes Children]]+Table_NFI[[#This Row],[Winter Items Other]]+Table_NFI[[#This Row],[Winter Blanket]]&gt;0,1,0)</f>
        <v>0</v>
      </c>
      <c r="AN340" s="331">
        <f>IF(NFI_Expiration=1,IF($A340&lt;VLOOKUP(V$5,NFI,5,0),1,0)*Table_NFI[[#This Row],[Jerry Can]],Table_NFI[Jerry Can])</f>
        <v>0</v>
      </c>
      <c r="AO340" s="331">
        <f>IF(NFI_Expiration=1,IF($A340&lt;VLOOKUP(V$5,NFI,5,0),1,0)*Table_NFI[[#This Row],[Shelter Tool kit]],Table_NFI[Shelter Tool kit])</f>
        <v>0</v>
      </c>
      <c r="AP340" s="331">
        <f>IF(NFI_Expiration=1,IF($A340&lt;VLOOKUP(V$5,NFI,5,0),1,0)*Table_NFI[[#This Row],[Tent]],Table_NFI[Tent])</f>
        <v>0</v>
      </c>
      <c r="AQ340" s="467" t="str">
        <f>IFERROR(VLOOKUP(Table_NFI[[#This Row],[Camp Name]],CL,2,0),"")</f>
        <v>MMR001CMP049</v>
      </c>
      <c r="AR340" s="835">
        <f ca="1">IF(Table_NFI[[#This Row],[Pcode]]="","",IF(OFFSET(CampList[Opening Date],MATCH(Table_NFI[[#This Row],[Pcode]],CampList[CP_Pcode],0)-1,0,1,1)&gt;=NFI_Monitor_Date,1,0))</f>
        <v>0</v>
      </c>
      <c r="AS340" s="467" t="str">
        <f>IFERROR(VLOOKUP(Table_NFI[[#This Row],[Camp Name]],CL,3,0),"")</f>
        <v>Open</v>
      </c>
      <c r="AT340" s="294" t="str">
        <f ca="1">IF(Table_NFI[[#This Row],[Pcode]]="","",OFFSET(CampList[Priority],MATCH(Table_NFI[[#This Row],[Pcode]],CampList[CP_Pcode],0)-1,0,1,1))</f>
        <v>P4</v>
      </c>
      <c r="AU340" s="293">
        <f>IFERROR(Table_NFI[[#This Row],[Kitchen Set]]/VLOOKUP(Table_NFI[[#This Row],[Camp Name]],CL,4,0),"")</f>
        <v>0</v>
      </c>
      <c r="AV340" s="461"/>
      <c r="AW340" s="463"/>
    </row>
    <row r="341" spans="1:49" s="464" customFormat="1" x14ac:dyDescent="0.25">
      <c r="A341" s="297">
        <f t="shared" si="5"/>
        <v>29.833333333333332</v>
      </c>
      <c r="B341" s="460">
        <v>41841</v>
      </c>
      <c r="C341" s="461" t="s">
        <v>452</v>
      </c>
      <c r="D341" s="461"/>
      <c r="E341" s="461" t="s">
        <v>380</v>
      </c>
      <c r="F341" s="461" t="s">
        <v>5</v>
      </c>
      <c r="G341" s="461" t="s">
        <v>18</v>
      </c>
      <c r="H341" s="291"/>
      <c r="I341" s="291"/>
      <c r="J341" s="291"/>
      <c r="K341" s="291">
        <v>10</v>
      </c>
      <c r="L341" s="292">
        <v>36</v>
      </c>
      <c r="M341" s="292">
        <v>10</v>
      </c>
      <c r="N341" s="292">
        <v>5</v>
      </c>
      <c r="O341" s="292"/>
      <c r="P341" s="294">
        <v>33</v>
      </c>
      <c r="Q341" s="294">
        <v>117</v>
      </c>
      <c r="R341" s="294"/>
      <c r="S341" s="294"/>
      <c r="T341" s="294"/>
      <c r="U341" s="294"/>
      <c r="V341" s="431"/>
      <c r="W341" s="331"/>
      <c r="X341" s="331"/>
      <c r="Y341" s="294">
        <f>IF(NFI_Expiration=1,IF($A341&lt;VLOOKUP(H$5,NFI,5,0),1,0)*Table_NFI[[#This Row],[Hygiene Kit]],Table_NFI[Hygiene Kit])</f>
        <v>0</v>
      </c>
      <c r="Z341" s="294">
        <f>IF(NFI_Expiration=1,IF($A341&lt;VLOOKUP(I$5,NFI,5,0),1,0)*Table_NFI[[#This Row],[NFI Core Kit]],Table_NFI[NFI Core Kit])</f>
        <v>0</v>
      </c>
      <c r="AA341" s="294">
        <f>IF(NFI_Expiration=1,IF($A341&lt;VLOOKUP(J$5,NFI,5,0),1,0)*Table_NFI[[#This Row],[Sanitary Kit]],Table_NFI[Sanitary Kit])</f>
        <v>0</v>
      </c>
      <c r="AB341" s="294">
        <f>IF(NFI_Expiration=1,IF($A341&lt;VLOOKUP(K$5,NFI,5,0),1,0)*Table_NFI[[#This Row],[Mosquito net]],Table_NFI[Mosquito net])</f>
        <v>0</v>
      </c>
      <c r="AC341" s="294">
        <f>IF(NFI_Expiration=1,IF($A341&lt;VLOOKUP(L$5,NFI,5,0),1,0)*Table_NFI[[#This Row],[Tarpaulin]],Table_NFI[[#This Row],[Tarpaulin]])</f>
        <v>0</v>
      </c>
      <c r="AD341" s="294">
        <f>IF(NFI_Expiration=1,IF($A341&lt;VLOOKUP(M$5,NFI,5,0),1,0)*Table_NFI[[#This Row],[Blanket]],Table_NFI[[#This Row],[Blanket]])</f>
        <v>0</v>
      </c>
      <c r="AE341" s="294">
        <f>IF(NFI_Expiration=1,IF($A341&lt;VLOOKUP(N$5,NFI,5,0),1,0)*Table_NFI[[#This Row],[Kitchen Set]],Table_NFI[Kitchen Set])</f>
        <v>0</v>
      </c>
      <c r="AF341" s="294">
        <f>IF(NFI_Expiration=1,IF($A341&lt;VLOOKUP(O$5,NFI,5,0),1,0)*Table_NFI[[#This Row],[Clothes Kit]],Table_NFI[Clothes Kit])</f>
        <v>0</v>
      </c>
      <c r="AG341" s="294">
        <f>IF(NFI_Expiration=1,IF($A341&lt;VLOOKUP(P$5,NFI,5,0),1,0)*Table_NFI[[#This Row],[Plastic Bucket]],Table_NFI[Plastic Bucket])</f>
        <v>0</v>
      </c>
      <c r="AH341" s="294">
        <f>IF(NFI_Expiration=1,IF($A341&lt;VLOOKUP(Q$5,NFI,5,0),1,0)*Table_NFI[[#This Row],[Plastic Mat]],Table_NFI[Plastic Mat])*IF(Table_NFI[[#This Row],[Distribution Date]]&gt;"2014-04-01",1,2.5)</f>
        <v>0</v>
      </c>
      <c r="AI341" s="294">
        <f>IF(NFI_Expiration=1,IF($A341&lt;VLOOKUP(R$5,NFI,5,0),1,0)*Table_NFI[[#This Row],[Winter Clothes Adult]],Table_NFI[Winter Clothes Adult])</f>
        <v>0</v>
      </c>
      <c r="AJ341" s="294">
        <f>IF(NFI_Expiration=1,IF($A341&lt;VLOOKUP(S$5,NFI,5,0),1,0)*Table_NFI[[#This Row],[Winter Clothes Children]],Table_NFI[Winter Clothes Children])</f>
        <v>0</v>
      </c>
      <c r="AK341" s="294">
        <f>IF(NFI_Expiration=1,IF($A341&lt;VLOOKUP(T$5,NFI,5,0),1,0)*Table_NFI[[#This Row],[Winter Items Other]],Table_NFI[Winter Items Other])</f>
        <v>0</v>
      </c>
      <c r="AL341" s="294">
        <f>IF(NFI_Expiration=1,IF($A341&lt;VLOOKUP(M$5,NFI,5,0),1,0)*Table_NFI[[#This Row],[Winter Blanket]],Table_NFI[[#This Row],[Winter Blanket]])</f>
        <v>0</v>
      </c>
      <c r="AM341" s="294">
        <f>IF(Table_NFI[[#This Row],[Winter Clothes Adult]]+Table_NFI[[#This Row],[Winter Clothes Children]]+Table_NFI[[#This Row],[Winter Items Other]]+Table_NFI[[#This Row],[Winter Blanket]]&gt;0,1,0)</f>
        <v>0</v>
      </c>
      <c r="AN341" s="331">
        <f>IF(NFI_Expiration=1,IF($A341&lt;VLOOKUP(V$5,NFI,5,0),1,0)*Table_NFI[[#This Row],[Jerry Can]],Table_NFI[Jerry Can])</f>
        <v>0</v>
      </c>
      <c r="AO341" s="331">
        <f>IF(NFI_Expiration=1,IF($A341&lt;VLOOKUP(V$5,NFI,5,0),1,0)*Table_NFI[[#This Row],[Shelter Tool kit]],Table_NFI[Shelter Tool kit])</f>
        <v>0</v>
      </c>
      <c r="AP341" s="331">
        <f>IF(NFI_Expiration=1,IF($A341&lt;VLOOKUP(V$5,NFI,5,0),1,0)*Table_NFI[[#This Row],[Tent]],Table_NFI[Tent])</f>
        <v>0</v>
      </c>
      <c r="AQ341" s="467" t="str">
        <f>IFERROR(VLOOKUP(Table_NFI[[#This Row],[Camp Name]],CL,2,0),"")</f>
        <v>MMR001CMP049</v>
      </c>
      <c r="AR341" s="835">
        <f ca="1">IF(Table_NFI[[#This Row],[Pcode]]="","",IF(OFFSET(CampList[Opening Date],MATCH(Table_NFI[[#This Row],[Pcode]],CampList[CP_Pcode],0)-1,0,1,1)&gt;=NFI_Monitor_Date,1,0))</f>
        <v>0</v>
      </c>
      <c r="AS341" s="467" t="str">
        <f>IFERROR(VLOOKUP(Table_NFI[[#This Row],[Camp Name]],CL,3,0),"")</f>
        <v>Open</v>
      </c>
      <c r="AT341" s="294" t="str">
        <f ca="1">IF(Table_NFI[[#This Row],[Pcode]]="","",OFFSET(CampList[Priority],MATCH(Table_NFI[[#This Row],[Pcode]],CampList[CP_Pcode],0)-1,0,1,1))</f>
        <v>P4</v>
      </c>
      <c r="AU341" s="293">
        <f>IFERROR(Table_NFI[[#This Row],[Kitchen Set]]/VLOOKUP(Table_NFI[[#This Row],[Camp Name]],CL,4,0),"")</f>
        <v>1.2286521685710776E-4</v>
      </c>
      <c r="AV341" s="461"/>
      <c r="AW341" s="463"/>
    </row>
    <row r="342" spans="1:49" s="464" customFormat="1" x14ac:dyDescent="0.25">
      <c r="A342" s="297">
        <f t="shared" si="5"/>
        <v>29.833333333333332</v>
      </c>
      <c r="B342" s="460">
        <v>41841</v>
      </c>
      <c r="C342" s="461" t="s">
        <v>452</v>
      </c>
      <c r="D342" s="461"/>
      <c r="E342" s="461" t="s">
        <v>380</v>
      </c>
      <c r="F342" s="461" t="s">
        <v>185</v>
      </c>
      <c r="G342" s="461" t="s">
        <v>209</v>
      </c>
      <c r="H342" s="291"/>
      <c r="I342" s="291"/>
      <c r="J342" s="291"/>
      <c r="K342" s="291"/>
      <c r="L342" s="292">
        <v>75</v>
      </c>
      <c r="M342" s="292"/>
      <c r="N342" s="292"/>
      <c r="O342" s="292"/>
      <c r="P342" s="294"/>
      <c r="Q342" s="294"/>
      <c r="R342" s="294"/>
      <c r="S342" s="294"/>
      <c r="T342" s="294"/>
      <c r="U342" s="294"/>
      <c r="V342" s="431"/>
      <c r="W342" s="331"/>
      <c r="X342" s="331"/>
      <c r="Y342" s="294">
        <f>IF(NFI_Expiration=1,IF($A342&lt;VLOOKUP(H$5,NFI,5,0),1,0)*Table_NFI[[#This Row],[Hygiene Kit]],Table_NFI[Hygiene Kit])</f>
        <v>0</v>
      </c>
      <c r="Z342" s="294">
        <f>IF(NFI_Expiration=1,IF($A342&lt;VLOOKUP(I$5,NFI,5,0),1,0)*Table_NFI[[#This Row],[NFI Core Kit]],Table_NFI[NFI Core Kit])</f>
        <v>0</v>
      </c>
      <c r="AA342" s="294">
        <f>IF(NFI_Expiration=1,IF($A342&lt;VLOOKUP(J$5,NFI,5,0),1,0)*Table_NFI[[#This Row],[Sanitary Kit]],Table_NFI[Sanitary Kit])</f>
        <v>0</v>
      </c>
      <c r="AB342" s="294">
        <f>IF(NFI_Expiration=1,IF($A342&lt;VLOOKUP(K$5,NFI,5,0),1,0)*Table_NFI[[#This Row],[Mosquito net]],Table_NFI[Mosquito net])</f>
        <v>0</v>
      </c>
      <c r="AC342" s="294">
        <f>IF(NFI_Expiration=1,IF($A342&lt;VLOOKUP(L$5,NFI,5,0),1,0)*Table_NFI[[#This Row],[Tarpaulin]],Table_NFI[[#This Row],[Tarpaulin]])</f>
        <v>0</v>
      </c>
      <c r="AD342" s="294">
        <f>IF(NFI_Expiration=1,IF($A342&lt;VLOOKUP(M$5,NFI,5,0),1,0)*Table_NFI[[#This Row],[Blanket]],Table_NFI[[#This Row],[Blanket]])</f>
        <v>0</v>
      </c>
      <c r="AE342" s="294">
        <f>IF(NFI_Expiration=1,IF($A342&lt;VLOOKUP(N$5,NFI,5,0),1,0)*Table_NFI[[#This Row],[Kitchen Set]],Table_NFI[Kitchen Set])</f>
        <v>0</v>
      </c>
      <c r="AF342" s="294">
        <f>IF(NFI_Expiration=1,IF($A342&lt;VLOOKUP(O$5,NFI,5,0),1,0)*Table_NFI[[#This Row],[Clothes Kit]],Table_NFI[Clothes Kit])</f>
        <v>0</v>
      </c>
      <c r="AG342" s="294">
        <f>IF(NFI_Expiration=1,IF($A342&lt;VLOOKUP(P$5,NFI,5,0),1,0)*Table_NFI[[#This Row],[Plastic Bucket]],Table_NFI[Plastic Bucket])</f>
        <v>0</v>
      </c>
      <c r="AH342" s="294">
        <f>IF(NFI_Expiration=1,IF($A342&lt;VLOOKUP(Q$5,NFI,5,0),1,0)*Table_NFI[[#This Row],[Plastic Mat]],Table_NFI[Plastic Mat])*IF(Table_NFI[[#This Row],[Distribution Date]]&gt;"2014-04-01",1,2.5)</f>
        <v>0</v>
      </c>
      <c r="AI342" s="294">
        <f>IF(NFI_Expiration=1,IF($A342&lt;VLOOKUP(R$5,NFI,5,0),1,0)*Table_NFI[[#This Row],[Winter Clothes Adult]],Table_NFI[Winter Clothes Adult])</f>
        <v>0</v>
      </c>
      <c r="AJ342" s="294">
        <f>IF(NFI_Expiration=1,IF($A342&lt;VLOOKUP(S$5,NFI,5,0),1,0)*Table_NFI[[#This Row],[Winter Clothes Children]],Table_NFI[Winter Clothes Children])</f>
        <v>0</v>
      </c>
      <c r="AK342" s="294">
        <f>IF(NFI_Expiration=1,IF($A342&lt;VLOOKUP(T$5,NFI,5,0),1,0)*Table_NFI[[#This Row],[Winter Items Other]],Table_NFI[Winter Items Other])</f>
        <v>0</v>
      </c>
      <c r="AL342" s="294">
        <f>IF(NFI_Expiration=1,IF($A342&lt;VLOOKUP(M$5,NFI,5,0),1,0)*Table_NFI[[#This Row],[Winter Blanket]],Table_NFI[[#This Row],[Winter Blanket]])</f>
        <v>0</v>
      </c>
      <c r="AM342" s="294">
        <f>IF(Table_NFI[[#This Row],[Winter Clothes Adult]]+Table_NFI[[#This Row],[Winter Clothes Children]]+Table_NFI[[#This Row],[Winter Items Other]]+Table_NFI[[#This Row],[Winter Blanket]]&gt;0,1,0)</f>
        <v>0</v>
      </c>
      <c r="AN342" s="331">
        <f>IF(NFI_Expiration=1,IF($A342&lt;VLOOKUP(V$5,NFI,5,0),1,0)*Table_NFI[[#This Row],[Jerry Can]],Table_NFI[Jerry Can])</f>
        <v>0</v>
      </c>
      <c r="AO342" s="331">
        <f>IF(NFI_Expiration=1,IF($A342&lt;VLOOKUP(V$5,NFI,5,0),1,0)*Table_NFI[[#This Row],[Shelter Tool kit]],Table_NFI[Shelter Tool kit])</f>
        <v>0</v>
      </c>
      <c r="AP342" s="331">
        <f>IF(NFI_Expiration=1,IF($A342&lt;VLOOKUP(V$5,NFI,5,0),1,0)*Table_NFI[[#This Row],[Tent]],Table_NFI[Tent])</f>
        <v>0</v>
      </c>
      <c r="AQ342" s="467" t="str">
        <f>IFERROR(VLOOKUP(Table_NFI[[#This Row],[Camp Name]],CL,2,0),"")</f>
        <v>MMR001CMP056</v>
      </c>
      <c r="AR342" s="835">
        <f ca="1">IF(Table_NFI[[#This Row],[Pcode]]="","",IF(OFFSET(CampList[Opening Date],MATCH(Table_NFI[[#This Row],[Pcode]],CampList[CP_Pcode],0)-1,0,1,1)&gt;=NFI_Monitor_Date,1,0))</f>
        <v>0</v>
      </c>
      <c r="AS342" s="467" t="str">
        <f>IFERROR(VLOOKUP(Table_NFI[[#This Row],[Camp Name]],CL,3,0),"")</f>
        <v>Open</v>
      </c>
      <c r="AT342" s="294" t="str">
        <f ca="1">IF(Table_NFI[[#This Row],[Pcode]]="","",OFFSET(CampList[Priority],MATCH(Table_NFI[[#This Row],[Pcode]],CampList[CP_Pcode],0)-1,0,1,1))</f>
        <v>P4</v>
      </c>
      <c r="AU342" s="293">
        <f>IFERROR(Table_NFI[[#This Row],[Kitchen Set]]/VLOOKUP(Table_NFI[[#This Row],[Camp Name]],CL,4,0),"")</f>
        <v>0</v>
      </c>
      <c r="AV342" s="461"/>
      <c r="AW342" s="463"/>
    </row>
    <row r="343" spans="1:49" s="464" customFormat="1" x14ac:dyDescent="0.25">
      <c r="A343" s="297">
        <f t="shared" si="5"/>
        <v>30.233333333333334</v>
      </c>
      <c r="B343" s="460">
        <v>41829</v>
      </c>
      <c r="C343" s="461" t="s">
        <v>452</v>
      </c>
      <c r="D343" s="461"/>
      <c r="E343" s="461" t="s">
        <v>380</v>
      </c>
      <c r="F343" s="461" t="s">
        <v>151</v>
      </c>
      <c r="G343" s="461" t="s">
        <v>885</v>
      </c>
      <c r="H343" s="291"/>
      <c r="I343" s="291"/>
      <c r="J343" s="291"/>
      <c r="K343" s="291"/>
      <c r="L343" s="292"/>
      <c r="M343" s="292">
        <v>10</v>
      </c>
      <c r="N343" s="292"/>
      <c r="O343" s="292"/>
      <c r="P343" s="294"/>
      <c r="Q343" s="294"/>
      <c r="R343" s="294"/>
      <c r="S343" s="294"/>
      <c r="T343" s="294"/>
      <c r="U343" s="294"/>
      <c r="V343" s="431"/>
      <c r="W343" s="294"/>
      <c r="X343" s="294"/>
      <c r="Y343" s="294">
        <f>IF(NFI_Expiration=1,IF($A343&lt;VLOOKUP(H$5,NFI,5,0),1,0)*Table_NFI[[#This Row],[Hygiene Kit]],Table_NFI[Hygiene Kit])</f>
        <v>0</v>
      </c>
      <c r="Z343" s="294">
        <f>IF(NFI_Expiration=1,IF($A343&lt;VLOOKUP(I$5,NFI,5,0),1,0)*Table_NFI[[#This Row],[NFI Core Kit]],Table_NFI[NFI Core Kit])</f>
        <v>0</v>
      </c>
      <c r="AA343" s="294">
        <f>IF(NFI_Expiration=1,IF($A343&lt;VLOOKUP(J$5,NFI,5,0),1,0)*Table_NFI[[#This Row],[Sanitary Kit]],Table_NFI[Sanitary Kit])</f>
        <v>0</v>
      </c>
      <c r="AB343" s="294">
        <f>IF(NFI_Expiration=1,IF($A343&lt;VLOOKUP(K$5,NFI,5,0),1,0)*Table_NFI[[#This Row],[Mosquito net]],Table_NFI[Mosquito net])</f>
        <v>0</v>
      </c>
      <c r="AC343" s="294">
        <f>IF(NFI_Expiration=1,IF($A343&lt;VLOOKUP(L$5,NFI,5,0),1,0)*Table_NFI[[#This Row],[Tarpaulin]],Table_NFI[[#This Row],[Tarpaulin]])</f>
        <v>0</v>
      </c>
      <c r="AD343" s="294">
        <f>IF(NFI_Expiration=1,IF($A343&lt;VLOOKUP(M$5,NFI,5,0),1,0)*Table_NFI[[#This Row],[Blanket]],Table_NFI[[#This Row],[Blanket]])</f>
        <v>0</v>
      </c>
      <c r="AE343" s="294">
        <f>IF(NFI_Expiration=1,IF($A343&lt;VLOOKUP(N$5,NFI,5,0),1,0)*Table_NFI[[#This Row],[Kitchen Set]],Table_NFI[Kitchen Set])</f>
        <v>0</v>
      </c>
      <c r="AF343" s="294">
        <f>IF(NFI_Expiration=1,IF($A343&lt;VLOOKUP(O$5,NFI,5,0),1,0)*Table_NFI[[#This Row],[Clothes Kit]],Table_NFI[Clothes Kit])</f>
        <v>0</v>
      </c>
      <c r="AG343" s="294">
        <f>IF(NFI_Expiration=1,IF($A343&lt;VLOOKUP(P$5,NFI,5,0),1,0)*Table_NFI[[#This Row],[Plastic Bucket]],Table_NFI[Plastic Bucket])</f>
        <v>0</v>
      </c>
      <c r="AH343" s="294">
        <f>IF(NFI_Expiration=1,IF($A343&lt;VLOOKUP(Q$5,NFI,5,0),1,0)*Table_NFI[[#This Row],[Plastic Mat]],Table_NFI[Plastic Mat])*IF(Table_NFI[[#This Row],[Distribution Date]]&gt;"2014-04-01",1,2.5)</f>
        <v>0</v>
      </c>
      <c r="AI343" s="294">
        <f>IF(NFI_Expiration=1,IF($A343&lt;VLOOKUP(R$5,NFI,5,0),1,0)*Table_NFI[[#This Row],[Winter Clothes Adult]],Table_NFI[Winter Clothes Adult])</f>
        <v>0</v>
      </c>
      <c r="AJ343" s="294">
        <f>IF(NFI_Expiration=1,IF($A343&lt;VLOOKUP(S$5,NFI,5,0),1,0)*Table_NFI[[#This Row],[Winter Clothes Children]],Table_NFI[Winter Clothes Children])</f>
        <v>0</v>
      </c>
      <c r="AK343" s="294">
        <f>IF(NFI_Expiration=1,IF($A343&lt;VLOOKUP(T$5,NFI,5,0),1,0)*Table_NFI[[#This Row],[Winter Items Other]],Table_NFI[Winter Items Other])</f>
        <v>0</v>
      </c>
      <c r="AL343" s="294">
        <f>IF(NFI_Expiration=1,IF($A343&lt;VLOOKUP(M$5,NFI,5,0),1,0)*Table_NFI[[#This Row],[Winter Blanket]],Table_NFI[[#This Row],[Winter Blanket]])</f>
        <v>0</v>
      </c>
      <c r="AM343" s="294">
        <f>IF(Table_NFI[[#This Row],[Winter Clothes Adult]]+Table_NFI[[#This Row],[Winter Clothes Children]]+Table_NFI[[#This Row],[Winter Items Other]]+Table_NFI[[#This Row],[Winter Blanket]]&gt;0,1,0)</f>
        <v>0</v>
      </c>
      <c r="AN343" s="331">
        <f>IF(NFI_Expiration=1,IF($A343&lt;VLOOKUP(V$5,NFI,5,0),1,0)*Table_NFI[[#This Row],[Jerry Can]],Table_NFI[Jerry Can])</f>
        <v>0</v>
      </c>
      <c r="AO343" s="331">
        <f>IF(NFI_Expiration=1,IF($A343&lt;VLOOKUP(V$5,NFI,5,0),1,0)*Table_NFI[[#This Row],[Shelter Tool kit]],Table_NFI[Shelter Tool kit])</f>
        <v>0</v>
      </c>
      <c r="AP343" s="331">
        <f>IF(NFI_Expiration=1,IF($A343&lt;VLOOKUP(V$5,NFI,5,0),1,0)*Table_NFI[[#This Row],[Tent]],Table_NFI[Tent])</f>
        <v>0</v>
      </c>
      <c r="AQ343" s="467" t="str">
        <f>IFERROR(VLOOKUP(Table_NFI[[#This Row],[Camp Name]],CL,2,0),"")</f>
        <v>MMR001CMP218</v>
      </c>
      <c r="AR343" s="835">
        <f ca="1">IF(Table_NFI[[#This Row],[Pcode]]="","",IF(OFFSET(CampList[Opening Date],MATCH(Table_NFI[[#This Row],[Pcode]],CampList[CP_Pcode],0)-1,0,1,1)&gt;=NFI_Monitor_Date,1,0))</f>
        <v>0</v>
      </c>
      <c r="AS343" s="467" t="str">
        <f>IFERROR(VLOOKUP(Table_NFI[[#This Row],[Camp Name]],CL,3,0),"")</f>
        <v>Open</v>
      </c>
      <c r="AT343" s="294" t="str">
        <f ca="1">IF(Table_NFI[[#This Row],[Pcode]]="","",OFFSET(CampList[Priority],MATCH(Table_NFI[[#This Row],[Pcode]],CampList[CP_Pcode],0)-1,0,1,1))</f>
        <v>P4</v>
      </c>
      <c r="AU343" s="293">
        <f>IFERROR(Table_NFI[[#This Row],[Kitchen Set]]/VLOOKUP(Table_NFI[[#This Row],[Camp Name]],CL,4,0),"")</f>
        <v>0</v>
      </c>
      <c r="AV343" s="461"/>
      <c r="AW343" s="463"/>
    </row>
    <row r="344" spans="1:49" s="464" customFormat="1" ht="14.45" customHeight="1" x14ac:dyDescent="0.25">
      <c r="A344" s="297">
        <f t="shared" si="5"/>
        <v>30.233333333333334</v>
      </c>
      <c r="B344" s="460">
        <v>41829</v>
      </c>
      <c r="C344" s="461" t="s">
        <v>452</v>
      </c>
      <c r="D344" s="461"/>
      <c r="E344" s="461" t="s">
        <v>380</v>
      </c>
      <c r="F344" s="461" t="s">
        <v>151</v>
      </c>
      <c r="G344" s="461" t="s">
        <v>942</v>
      </c>
      <c r="H344" s="291"/>
      <c r="I344" s="291"/>
      <c r="J344" s="291"/>
      <c r="K344" s="291">
        <v>35</v>
      </c>
      <c r="L344" s="292">
        <v>13</v>
      </c>
      <c r="M344" s="292">
        <v>70</v>
      </c>
      <c r="N344" s="292">
        <v>13</v>
      </c>
      <c r="O344" s="292"/>
      <c r="P344" s="294">
        <v>13</v>
      </c>
      <c r="Q344" s="294">
        <v>25</v>
      </c>
      <c r="R344" s="294"/>
      <c r="S344" s="294"/>
      <c r="T344" s="294"/>
      <c r="U344" s="294"/>
      <c r="V344" s="431"/>
      <c r="W344" s="294"/>
      <c r="X344" s="294"/>
      <c r="Y344" s="294">
        <f>IF(NFI_Expiration=1,IF($A344&lt;VLOOKUP(H$5,NFI,5,0),1,0)*Table_NFI[[#This Row],[Hygiene Kit]],Table_NFI[Hygiene Kit])</f>
        <v>0</v>
      </c>
      <c r="Z344" s="294">
        <f>IF(NFI_Expiration=1,IF($A344&lt;VLOOKUP(I$5,NFI,5,0),1,0)*Table_NFI[[#This Row],[NFI Core Kit]],Table_NFI[NFI Core Kit])</f>
        <v>0</v>
      </c>
      <c r="AA344" s="294">
        <f>IF(NFI_Expiration=1,IF($A344&lt;VLOOKUP(J$5,NFI,5,0),1,0)*Table_NFI[[#This Row],[Sanitary Kit]],Table_NFI[Sanitary Kit])</f>
        <v>0</v>
      </c>
      <c r="AB344" s="294">
        <f>IF(NFI_Expiration=1,IF($A344&lt;VLOOKUP(K$5,NFI,5,0),1,0)*Table_NFI[[#This Row],[Mosquito net]],Table_NFI[Mosquito net])</f>
        <v>0</v>
      </c>
      <c r="AC344" s="294">
        <f>IF(NFI_Expiration=1,IF($A344&lt;VLOOKUP(L$5,NFI,5,0),1,0)*Table_NFI[[#This Row],[Tarpaulin]],Table_NFI[[#This Row],[Tarpaulin]])</f>
        <v>0</v>
      </c>
      <c r="AD344" s="294">
        <f>IF(NFI_Expiration=1,IF($A344&lt;VLOOKUP(M$5,NFI,5,0),1,0)*Table_NFI[[#This Row],[Blanket]],Table_NFI[[#This Row],[Blanket]])</f>
        <v>0</v>
      </c>
      <c r="AE344" s="294">
        <f>IF(NFI_Expiration=1,IF($A344&lt;VLOOKUP(N$5,NFI,5,0),1,0)*Table_NFI[[#This Row],[Kitchen Set]],Table_NFI[Kitchen Set])</f>
        <v>0</v>
      </c>
      <c r="AF344" s="294">
        <f>IF(NFI_Expiration=1,IF($A344&lt;VLOOKUP(O$5,NFI,5,0),1,0)*Table_NFI[[#This Row],[Clothes Kit]],Table_NFI[Clothes Kit])</f>
        <v>0</v>
      </c>
      <c r="AG344" s="294">
        <f>IF(NFI_Expiration=1,IF($A344&lt;VLOOKUP(P$5,NFI,5,0),1,0)*Table_NFI[[#This Row],[Plastic Bucket]],Table_NFI[Plastic Bucket])</f>
        <v>0</v>
      </c>
      <c r="AH344" s="294">
        <f>IF(NFI_Expiration=1,IF($A344&lt;VLOOKUP(Q$5,NFI,5,0),1,0)*Table_NFI[[#This Row],[Plastic Mat]],Table_NFI[Plastic Mat])*IF(Table_NFI[[#This Row],[Distribution Date]]&gt;"2014-04-01",1,2.5)</f>
        <v>0</v>
      </c>
      <c r="AI344" s="294">
        <f>IF(NFI_Expiration=1,IF($A344&lt;VLOOKUP(R$5,NFI,5,0),1,0)*Table_NFI[[#This Row],[Winter Clothes Adult]],Table_NFI[Winter Clothes Adult])</f>
        <v>0</v>
      </c>
      <c r="AJ344" s="294">
        <f>IF(NFI_Expiration=1,IF($A344&lt;VLOOKUP(S$5,NFI,5,0),1,0)*Table_NFI[[#This Row],[Winter Clothes Children]],Table_NFI[Winter Clothes Children])</f>
        <v>0</v>
      </c>
      <c r="AK344" s="294">
        <f>IF(NFI_Expiration=1,IF($A344&lt;VLOOKUP(T$5,NFI,5,0),1,0)*Table_NFI[[#This Row],[Winter Items Other]],Table_NFI[Winter Items Other])</f>
        <v>0</v>
      </c>
      <c r="AL344" s="294">
        <f>IF(NFI_Expiration=1,IF($A344&lt;VLOOKUP(M$5,NFI,5,0),1,0)*Table_NFI[[#This Row],[Winter Blanket]],Table_NFI[[#This Row],[Winter Blanket]])</f>
        <v>0</v>
      </c>
      <c r="AM344" s="294">
        <f>IF(Table_NFI[[#This Row],[Winter Clothes Adult]]+Table_NFI[[#This Row],[Winter Clothes Children]]+Table_NFI[[#This Row],[Winter Items Other]]+Table_NFI[[#This Row],[Winter Blanket]]&gt;0,1,0)</f>
        <v>0</v>
      </c>
      <c r="AN344" s="331">
        <f>IF(NFI_Expiration=1,IF($A344&lt;VLOOKUP(V$5,NFI,5,0),1,0)*Table_NFI[[#This Row],[Jerry Can]],Table_NFI[Jerry Can])</f>
        <v>0</v>
      </c>
      <c r="AO344" s="331">
        <f>IF(NFI_Expiration=1,IF($A344&lt;VLOOKUP(V$5,NFI,5,0),1,0)*Table_NFI[[#This Row],[Shelter Tool kit]],Table_NFI[Shelter Tool kit])</f>
        <v>0</v>
      </c>
      <c r="AP344" s="331">
        <f>IF(NFI_Expiration=1,IF($A344&lt;VLOOKUP(V$5,NFI,5,0),1,0)*Table_NFI[[#This Row],[Tent]],Table_NFI[Tent])</f>
        <v>0</v>
      </c>
      <c r="AQ344" s="467" t="str">
        <f>IFERROR(VLOOKUP(Table_NFI[[#This Row],[Camp Name]],CL,2,0),"")</f>
        <v>MMR001CMP223</v>
      </c>
      <c r="AR344" s="835">
        <f ca="1">IF(Table_NFI[[#This Row],[Pcode]]="","",IF(OFFSET(CampList[Opening Date],MATCH(Table_NFI[[#This Row],[Pcode]],CampList[CP_Pcode],0)-1,0,1,1)&gt;=NFI_Monitor_Date,1,0))</f>
        <v>0</v>
      </c>
      <c r="AS344" s="467" t="str">
        <f>IFERROR(VLOOKUP(Table_NFI[[#This Row],[Camp Name]],CL,3,0),"")</f>
        <v>Open</v>
      </c>
      <c r="AT344" s="294" t="str">
        <f ca="1">IF(Table_NFI[[#This Row],[Pcode]]="","",OFFSET(CampList[Priority],MATCH(Table_NFI[[#This Row],[Pcode]],CampList[CP_Pcode],0)-1,0,1,1))</f>
        <v>P4</v>
      </c>
      <c r="AU344" s="293">
        <f>IFERROR(Table_NFI[[#This Row],[Kitchen Set]]/VLOOKUP(Table_NFI[[#This Row],[Camp Name]],CL,4,0),"")</f>
        <v>3.1289111389236547E-4</v>
      </c>
      <c r="AV344" s="461"/>
      <c r="AW344" s="463"/>
    </row>
    <row r="345" spans="1:49" s="464" customFormat="1" ht="14.45" customHeight="1" x14ac:dyDescent="0.25">
      <c r="A345" s="297">
        <f t="shared" si="5"/>
        <v>30.366666666666667</v>
      </c>
      <c r="B345" s="460">
        <v>41825</v>
      </c>
      <c r="C345" s="461" t="s">
        <v>1104</v>
      </c>
      <c r="D345" s="461" t="s">
        <v>900</v>
      </c>
      <c r="E345" s="461" t="s">
        <v>380</v>
      </c>
      <c r="F345" s="461" t="s">
        <v>310</v>
      </c>
      <c r="G345" s="461" t="s">
        <v>316</v>
      </c>
      <c r="H345" s="291"/>
      <c r="I345" s="291"/>
      <c r="J345" s="291"/>
      <c r="K345" s="291"/>
      <c r="L345" s="292"/>
      <c r="M345" s="292"/>
      <c r="N345" s="292"/>
      <c r="O345" s="292"/>
      <c r="P345" s="294"/>
      <c r="Q345" s="294"/>
      <c r="R345" s="294"/>
      <c r="S345" s="294"/>
      <c r="T345" s="294"/>
      <c r="U345" s="294">
        <v>124</v>
      </c>
      <c r="V345" s="431"/>
      <c r="W345" s="294"/>
      <c r="X345" s="294"/>
      <c r="Y345" s="294">
        <f>IF(NFI_Expiration=1,IF($A345&lt;VLOOKUP(H$5,NFI,5,0),1,0)*Table_NFI[[#This Row],[Hygiene Kit]],Table_NFI[Hygiene Kit])</f>
        <v>0</v>
      </c>
      <c r="Z345" s="294">
        <f>IF(NFI_Expiration=1,IF($A345&lt;VLOOKUP(I$5,NFI,5,0),1,0)*Table_NFI[[#This Row],[NFI Core Kit]],Table_NFI[NFI Core Kit])</f>
        <v>0</v>
      </c>
      <c r="AA345" s="294">
        <f>IF(NFI_Expiration=1,IF($A345&lt;VLOOKUP(J$5,NFI,5,0),1,0)*Table_NFI[[#This Row],[Sanitary Kit]],Table_NFI[Sanitary Kit])</f>
        <v>0</v>
      </c>
      <c r="AB345" s="294">
        <f>IF(NFI_Expiration=1,IF($A345&lt;VLOOKUP(K$5,NFI,5,0),1,0)*Table_NFI[[#This Row],[Mosquito net]],Table_NFI[Mosquito net])</f>
        <v>0</v>
      </c>
      <c r="AC345" s="294">
        <f>IF(NFI_Expiration=1,IF($A345&lt;VLOOKUP(L$5,NFI,5,0),1,0)*Table_NFI[[#This Row],[Tarpaulin]],Table_NFI[[#This Row],[Tarpaulin]])</f>
        <v>0</v>
      </c>
      <c r="AD345" s="294">
        <f>IF(NFI_Expiration=1,IF($A345&lt;VLOOKUP(M$5,NFI,5,0),1,0)*Table_NFI[[#This Row],[Blanket]],Table_NFI[[#This Row],[Blanket]])</f>
        <v>0</v>
      </c>
      <c r="AE345" s="294">
        <f>IF(NFI_Expiration=1,IF($A345&lt;VLOOKUP(N$5,NFI,5,0),1,0)*Table_NFI[[#This Row],[Kitchen Set]],Table_NFI[Kitchen Set])</f>
        <v>0</v>
      </c>
      <c r="AF345" s="294">
        <f>IF(NFI_Expiration=1,IF($A345&lt;VLOOKUP(O$5,NFI,5,0),1,0)*Table_NFI[[#This Row],[Clothes Kit]],Table_NFI[Clothes Kit])</f>
        <v>0</v>
      </c>
      <c r="AG345" s="294">
        <f>IF(NFI_Expiration=1,IF($A345&lt;VLOOKUP(P$5,NFI,5,0),1,0)*Table_NFI[[#This Row],[Plastic Bucket]],Table_NFI[Plastic Bucket])</f>
        <v>0</v>
      </c>
      <c r="AH345" s="294">
        <f>IF(NFI_Expiration=1,IF($A345&lt;VLOOKUP(Q$5,NFI,5,0),1,0)*Table_NFI[[#This Row],[Plastic Mat]],Table_NFI[Plastic Mat])*IF(Table_NFI[[#This Row],[Distribution Date]]&gt;"2014-04-01",1,2.5)</f>
        <v>0</v>
      </c>
      <c r="AI345" s="294">
        <f>IF(NFI_Expiration=1,IF($A345&lt;VLOOKUP(R$5,NFI,5,0),1,0)*Table_NFI[[#This Row],[Winter Clothes Adult]],Table_NFI[Winter Clothes Adult])</f>
        <v>0</v>
      </c>
      <c r="AJ345" s="294">
        <f>IF(NFI_Expiration=1,IF($A345&lt;VLOOKUP(S$5,NFI,5,0),1,0)*Table_NFI[[#This Row],[Winter Clothes Children]],Table_NFI[Winter Clothes Children])</f>
        <v>0</v>
      </c>
      <c r="AK345" s="294">
        <f>IF(NFI_Expiration=1,IF($A345&lt;VLOOKUP(T$5,NFI,5,0),1,0)*Table_NFI[[#This Row],[Winter Items Other]],Table_NFI[Winter Items Other])</f>
        <v>0</v>
      </c>
      <c r="AL345" s="294">
        <f>IF(NFI_Expiration=1,IF($A345&lt;VLOOKUP(M$5,NFI,5,0),1,0)*Table_NFI[[#This Row],[Winter Blanket]],Table_NFI[[#This Row],[Winter Blanket]])</f>
        <v>0</v>
      </c>
      <c r="AM345" s="294">
        <f>IF(Table_NFI[[#This Row],[Winter Clothes Adult]]+Table_NFI[[#This Row],[Winter Clothes Children]]+Table_NFI[[#This Row],[Winter Items Other]]+Table_NFI[[#This Row],[Winter Blanket]]&gt;0,1,0)</f>
        <v>1</v>
      </c>
      <c r="AN345" s="331">
        <f>IF(NFI_Expiration=1,IF($A345&lt;VLOOKUP(V$5,NFI,5,0),1,0)*Table_NFI[[#This Row],[Jerry Can]],Table_NFI[Jerry Can])</f>
        <v>0</v>
      </c>
      <c r="AO345" s="331">
        <f>IF(NFI_Expiration=1,IF($A345&lt;VLOOKUP(V$5,NFI,5,0),1,0)*Table_NFI[[#This Row],[Shelter Tool kit]],Table_NFI[Shelter Tool kit])</f>
        <v>0</v>
      </c>
      <c r="AP345" s="331">
        <f>IF(NFI_Expiration=1,IF($A345&lt;VLOOKUP(V$5,NFI,5,0),1,0)*Table_NFI[[#This Row],[Tent]],Table_NFI[Tent])</f>
        <v>0</v>
      </c>
      <c r="AQ345" s="467" t="str">
        <f>IFERROR(VLOOKUP(Table_NFI[[#This Row],[Camp Name]],CL,2,0),"")</f>
        <v>MMR001CMP038</v>
      </c>
      <c r="AR345" s="835">
        <f ca="1">IF(Table_NFI[[#This Row],[Pcode]]="","",IF(OFFSET(CampList[Opening Date],MATCH(Table_NFI[[#This Row],[Pcode]],CampList[CP_Pcode],0)-1,0,1,1)&gt;=NFI_Monitor_Date,1,0))</f>
        <v>0</v>
      </c>
      <c r="AS345" s="467" t="str">
        <f>IFERROR(VLOOKUP(Table_NFI[[#This Row],[Camp Name]],CL,3,0),"")</f>
        <v>Open</v>
      </c>
      <c r="AT345" s="294" t="str">
        <f ca="1">IF(Table_NFI[[#This Row],[Pcode]]="","",OFFSET(CampList[Priority],MATCH(Table_NFI[[#This Row],[Pcode]],CampList[CP_Pcode],0)-1,0,1,1))</f>
        <v>P4</v>
      </c>
      <c r="AU345" s="293">
        <f>IFERROR(Table_NFI[[#This Row],[Kitchen Set]]/VLOOKUP(Table_NFI[[#This Row],[Camp Name]],CL,4,0),"")</f>
        <v>0</v>
      </c>
      <c r="AV345" s="461"/>
      <c r="AW345" s="463"/>
    </row>
    <row r="346" spans="1:49" s="464" customFormat="1" ht="14.45" customHeight="1" x14ac:dyDescent="0.25">
      <c r="A346" s="297">
        <f t="shared" si="5"/>
        <v>30.433333333333334</v>
      </c>
      <c r="B346" s="460">
        <v>41823</v>
      </c>
      <c r="C346" s="461" t="s">
        <v>452</v>
      </c>
      <c r="D346" s="461"/>
      <c r="E346" s="461" t="s">
        <v>380</v>
      </c>
      <c r="F346" s="461" t="s">
        <v>151</v>
      </c>
      <c r="G346" s="461" t="s">
        <v>885</v>
      </c>
      <c r="H346" s="291"/>
      <c r="I346" s="291"/>
      <c r="J346" s="291"/>
      <c r="K346" s="291"/>
      <c r="L346" s="292"/>
      <c r="M346" s="292">
        <v>9</v>
      </c>
      <c r="N346" s="292"/>
      <c r="O346" s="292"/>
      <c r="P346" s="294">
        <v>19</v>
      </c>
      <c r="Q346" s="294">
        <v>1</v>
      </c>
      <c r="R346" s="294"/>
      <c r="S346" s="294"/>
      <c r="T346" s="294"/>
      <c r="U346" s="294"/>
      <c r="V346" s="431"/>
      <c r="W346" s="294"/>
      <c r="X346" s="294"/>
      <c r="Y346" s="294">
        <f>IF(NFI_Expiration=1,IF($A346&lt;VLOOKUP(H$5,NFI,5,0),1,0)*Table_NFI[[#This Row],[Hygiene Kit]],Table_NFI[Hygiene Kit])</f>
        <v>0</v>
      </c>
      <c r="Z346" s="294">
        <f>IF(NFI_Expiration=1,IF($A346&lt;VLOOKUP(I$5,NFI,5,0),1,0)*Table_NFI[[#This Row],[NFI Core Kit]],Table_NFI[NFI Core Kit])</f>
        <v>0</v>
      </c>
      <c r="AA346" s="294">
        <f>IF(NFI_Expiration=1,IF($A346&lt;VLOOKUP(J$5,NFI,5,0),1,0)*Table_NFI[[#This Row],[Sanitary Kit]],Table_NFI[Sanitary Kit])</f>
        <v>0</v>
      </c>
      <c r="AB346" s="294">
        <f>IF(NFI_Expiration=1,IF($A346&lt;VLOOKUP(K$5,NFI,5,0),1,0)*Table_NFI[[#This Row],[Mosquito net]],Table_NFI[Mosquito net])</f>
        <v>0</v>
      </c>
      <c r="AC346" s="294">
        <f>IF(NFI_Expiration=1,IF($A346&lt;VLOOKUP(L$5,NFI,5,0),1,0)*Table_NFI[[#This Row],[Tarpaulin]],Table_NFI[[#This Row],[Tarpaulin]])</f>
        <v>0</v>
      </c>
      <c r="AD346" s="294">
        <f>IF(NFI_Expiration=1,IF($A346&lt;VLOOKUP(M$5,NFI,5,0),1,0)*Table_NFI[[#This Row],[Blanket]],Table_NFI[[#This Row],[Blanket]])</f>
        <v>0</v>
      </c>
      <c r="AE346" s="294">
        <f>IF(NFI_Expiration=1,IF($A346&lt;VLOOKUP(N$5,NFI,5,0),1,0)*Table_NFI[[#This Row],[Kitchen Set]],Table_NFI[Kitchen Set])</f>
        <v>0</v>
      </c>
      <c r="AF346" s="294">
        <f>IF(NFI_Expiration=1,IF($A346&lt;VLOOKUP(O$5,NFI,5,0),1,0)*Table_NFI[[#This Row],[Clothes Kit]],Table_NFI[Clothes Kit])</f>
        <v>0</v>
      </c>
      <c r="AG346" s="294">
        <f>IF(NFI_Expiration=1,IF($A346&lt;VLOOKUP(P$5,NFI,5,0),1,0)*Table_NFI[[#This Row],[Plastic Bucket]],Table_NFI[Plastic Bucket])</f>
        <v>0</v>
      </c>
      <c r="AH346" s="294">
        <f>IF(NFI_Expiration=1,IF($A346&lt;VLOOKUP(Q$5,NFI,5,0),1,0)*Table_NFI[[#This Row],[Plastic Mat]],Table_NFI[Plastic Mat])*IF(Table_NFI[[#This Row],[Distribution Date]]&gt;"2014-04-01",1,2.5)</f>
        <v>0</v>
      </c>
      <c r="AI346" s="294">
        <f>IF(NFI_Expiration=1,IF($A346&lt;VLOOKUP(R$5,NFI,5,0),1,0)*Table_NFI[[#This Row],[Winter Clothes Adult]],Table_NFI[Winter Clothes Adult])</f>
        <v>0</v>
      </c>
      <c r="AJ346" s="294">
        <f>IF(NFI_Expiration=1,IF($A346&lt;VLOOKUP(S$5,NFI,5,0),1,0)*Table_NFI[[#This Row],[Winter Clothes Children]],Table_NFI[Winter Clothes Children])</f>
        <v>0</v>
      </c>
      <c r="AK346" s="294">
        <f>IF(NFI_Expiration=1,IF($A346&lt;VLOOKUP(T$5,NFI,5,0),1,0)*Table_NFI[[#This Row],[Winter Items Other]],Table_NFI[Winter Items Other])</f>
        <v>0</v>
      </c>
      <c r="AL346" s="294">
        <f>IF(NFI_Expiration=1,IF($A346&lt;VLOOKUP(M$5,NFI,5,0),1,0)*Table_NFI[[#This Row],[Winter Blanket]],Table_NFI[[#This Row],[Winter Blanket]])</f>
        <v>0</v>
      </c>
      <c r="AM346" s="294">
        <f>IF(Table_NFI[[#This Row],[Winter Clothes Adult]]+Table_NFI[[#This Row],[Winter Clothes Children]]+Table_NFI[[#This Row],[Winter Items Other]]+Table_NFI[[#This Row],[Winter Blanket]]&gt;0,1,0)</f>
        <v>0</v>
      </c>
      <c r="AN346" s="331">
        <f>IF(NFI_Expiration=1,IF($A346&lt;VLOOKUP(V$5,NFI,5,0),1,0)*Table_NFI[[#This Row],[Jerry Can]],Table_NFI[Jerry Can])</f>
        <v>0</v>
      </c>
      <c r="AO346" s="331">
        <f>IF(NFI_Expiration=1,IF($A346&lt;VLOOKUP(V$5,NFI,5,0),1,0)*Table_NFI[[#This Row],[Shelter Tool kit]],Table_NFI[Shelter Tool kit])</f>
        <v>0</v>
      </c>
      <c r="AP346" s="331">
        <f>IF(NFI_Expiration=1,IF($A346&lt;VLOOKUP(V$5,NFI,5,0),1,0)*Table_NFI[[#This Row],[Tent]],Table_NFI[Tent])</f>
        <v>0</v>
      </c>
      <c r="AQ346" s="467" t="str">
        <f>IFERROR(VLOOKUP(Table_NFI[[#This Row],[Camp Name]],CL,2,0),"")</f>
        <v>MMR001CMP218</v>
      </c>
      <c r="AR346" s="835">
        <f ca="1">IF(Table_NFI[[#This Row],[Pcode]]="","",IF(OFFSET(CampList[Opening Date],MATCH(Table_NFI[[#This Row],[Pcode]],CampList[CP_Pcode],0)-1,0,1,1)&gt;=NFI_Monitor_Date,1,0))</f>
        <v>0</v>
      </c>
      <c r="AS346" s="467" t="str">
        <f>IFERROR(VLOOKUP(Table_NFI[[#This Row],[Camp Name]],CL,3,0),"")</f>
        <v>Open</v>
      </c>
      <c r="AT346" s="294" t="str">
        <f ca="1">IF(Table_NFI[[#This Row],[Pcode]]="","",OFFSET(CampList[Priority],MATCH(Table_NFI[[#This Row],[Pcode]],CampList[CP_Pcode],0)-1,0,1,1))</f>
        <v>P4</v>
      </c>
      <c r="AU346" s="293">
        <f>IFERROR(Table_NFI[[#This Row],[Kitchen Set]]/VLOOKUP(Table_NFI[[#This Row],[Camp Name]],CL,4,0),"")</f>
        <v>0</v>
      </c>
      <c r="AV346" s="461"/>
      <c r="AW346" s="463"/>
    </row>
    <row r="347" spans="1:49" s="464" customFormat="1" ht="15" customHeight="1" x14ac:dyDescent="0.25">
      <c r="A347" s="297">
        <f t="shared" si="5"/>
        <v>30.433333333333334</v>
      </c>
      <c r="B347" s="460">
        <v>41823</v>
      </c>
      <c r="C347" s="461" t="s">
        <v>452</v>
      </c>
      <c r="D347" s="461"/>
      <c r="E347" s="461" t="s">
        <v>380</v>
      </c>
      <c r="F347" s="461" t="s">
        <v>151</v>
      </c>
      <c r="G347" s="461" t="s">
        <v>942</v>
      </c>
      <c r="H347" s="291"/>
      <c r="I347" s="291"/>
      <c r="J347" s="291"/>
      <c r="K347" s="291">
        <v>50</v>
      </c>
      <c r="L347" s="292">
        <v>15</v>
      </c>
      <c r="M347" s="292"/>
      <c r="N347" s="292">
        <v>15</v>
      </c>
      <c r="O347" s="292"/>
      <c r="P347" s="294">
        <v>15</v>
      </c>
      <c r="Q347" s="294">
        <v>60</v>
      </c>
      <c r="R347" s="294"/>
      <c r="S347" s="294"/>
      <c r="T347" s="294"/>
      <c r="U347" s="294"/>
      <c r="V347" s="431"/>
      <c r="W347" s="294"/>
      <c r="X347" s="294"/>
      <c r="Y347" s="294">
        <f>IF(NFI_Expiration=1,IF($A347&lt;VLOOKUP(H$5,NFI,5,0),1,0)*Table_NFI[[#This Row],[Hygiene Kit]],Table_NFI[Hygiene Kit])</f>
        <v>0</v>
      </c>
      <c r="Z347" s="294">
        <f>IF(NFI_Expiration=1,IF($A347&lt;VLOOKUP(I$5,NFI,5,0),1,0)*Table_NFI[[#This Row],[NFI Core Kit]],Table_NFI[NFI Core Kit])</f>
        <v>0</v>
      </c>
      <c r="AA347" s="294">
        <f>IF(NFI_Expiration=1,IF($A347&lt;VLOOKUP(J$5,NFI,5,0),1,0)*Table_NFI[[#This Row],[Sanitary Kit]],Table_NFI[Sanitary Kit])</f>
        <v>0</v>
      </c>
      <c r="AB347" s="294">
        <f>IF(NFI_Expiration=1,IF($A347&lt;VLOOKUP(K$5,NFI,5,0),1,0)*Table_NFI[[#This Row],[Mosquito net]],Table_NFI[Mosquito net])</f>
        <v>0</v>
      </c>
      <c r="AC347" s="294">
        <f>IF(NFI_Expiration=1,IF($A347&lt;VLOOKUP(L$5,NFI,5,0),1,0)*Table_NFI[[#This Row],[Tarpaulin]],Table_NFI[[#This Row],[Tarpaulin]])</f>
        <v>0</v>
      </c>
      <c r="AD347" s="294">
        <f>IF(NFI_Expiration=1,IF($A347&lt;VLOOKUP(M$5,NFI,5,0),1,0)*Table_NFI[[#This Row],[Blanket]],Table_NFI[[#This Row],[Blanket]])</f>
        <v>0</v>
      </c>
      <c r="AE347" s="294">
        <f>IF(NFI_Expiration=1,IF($A347&lt;VLOOKUP(N$5,NFI,5,0),1,0)*Table_NFI[[#This Row],[Kitchen Set]],Table_NFI[Kitchen Set])</f>
        <v>0</v>
      </c>
      <c r="AF347" s="294">
        <f>IF(NFI_Expiration=1,IF($A347&lt;VLOOKUP(O$5,NFI,5,0),1,0)*Table_NFI[[#This Row],[Clothes Kit]],Table_NFI[Clothes Kit])</f>
        <v>0</v>
      </c>
      <c r="AG347" s="294">
        <f>IF(NFI_Expiration=1,IF($A347&lt;VLOOKUP(P$5,NFI,5,0),1,0)*Table_NFI[[#This Row],[Plastic Bucket]],Table_NFI[Plastic Bucket])</f>
        <v>0</v>
      </c>
      <c r="AH347" s="294">
        <f>IF(NFI_Expiration=1,IF($A347&lt;VLOOKUP(Q$5,NFI,5,0),1,0)*Table_NFI[[#This Row],[Plastic Mat]],Table_NFI[Plastic Mat])*IF(Table_NFI[[#This Row],[Distribution Date]]&gt;"2014-04-01",1,2.5)</f>
        <v>0</v>
      </c>
      <c r="AI347" s="294">
        <f>IF(NFI_Expiration=1,IF($A347&lt;VLOOKUP(R$5,NFI,5,0),1,0)*Table_NFI[[#This Row],[Winter Clothes Adult]],Table_NFI[Winter Clothes Adult])</f>
        <v>0</v>
      </c>
      <c r="AJ347" s="294">
        <f>IF(NFI_Expiration=1,IF($A347&lt;VLOOKUP(S$5,NFI,5,0),1,0)*Table_NFI[[#This Row],[Winter Clothes Children]],Table_NFI[Winter Clothes Children])</f>
        <v>0</v>
      </c>
      <c r="AK347" s="294">
        <f>IF(NFI_Expiration=1,IF($A347&lt;VLOOKUP(T$5,NFI,5,0),1,0)*Table_NFI[[#This Row],[Winter Items Other]],Table_NFI[Winter Items Other])</f>
        <v>0</v>
      </c>
      <c r="AL347" s="294">
        <f>IF(NFI_Expiration=1,IF($A347&lt;VLOOKUP(M$5,NFI,5,0),1,0)*Table_NFI[[#This Row],[Winter Blanket]],Table_NFI[[#This Row],[Winter Blanket]])</f>
        <v>0</v>
      </c>
      <c r="AM347" s="294">
        <f>IF(Table_NFI[[#This Row],[Winter Clothes Adult]]+Table_NFI[[#This Row],[Winter Clothes Children]]+Table_NFI[[#This Row],[Winter Items Other]]+Table_NFI[[#This Row],[Winter Blanket]]&gt;0,1,0)</f>
        <v>0</v>
      </c>
      <c r="AN347" s="331">
        <f>IF(NFI_Expiration=1,IF($A347&lt;VLOOKUP(V$5,NFI,5,0),1,0)*Table_NFI[[#This Row],[Jerry Can]],Table_NFI[Jerry Can])</f>
        <v>0</v>
      </c>
      <c r="AO347" s="331">
        <f>IF(NFI_Expiration=1,IF($A347&lt;VLOOKUP(V$5,NFI,5,0),1,0)*Table_NFI[[#This Row],[Shelter Tool kit]],Table_NFI[Shelter Tool kit])</f>
        <v>0</v>
      </c>
      <c r="AP347" s="331">
        <f>IF(NFI_Expiration=1,IF($A347&lt;VLOOKUP(V$5,NFI,5,0),1,0)*Table_NFI[[#This Row],[Tent]],Table_NFI[Tent])</f>
        <v>0</v>
      </c>
      <c r="AQ347" s="467" t="str">
        <f>IFERROR(VLOOKUP(Table_NFI[[#This Row],[Camp Name]],CL,2,0),"")</f>
        <v>MMR001CMP223</v>
      </c>
      <c r="AR347" s="835">
        <f ca="1">IF(Table_NFI[[#This Row],[Pcode]]="","",IF(OFFSET(CampList[Opening Date],MATCH(Table_NFI[[#This Row],[Pcode]],CampList[CP_Pcode],0)-1,0,1,1)&gt;=NFI_Monitor_Date,1,0))</f>
        <v>0</v>
      </c>
      <c r="AS347" s="467" t="str">
        <f>IFERROR(VLOOKUP(Table_NFI[[#This Row],[Camp Name]],CL,3,0),"")</f>
        <v>Open</v>
      </c>
      <c r="AT347" s="294" t="str">
        <f ca="1">IF(Table_NFI[[#This Row],[Pcode]]="","",OFFSET(CampList[Priority],MATCH(Table_NFI[[#This Row],[Pcode]],CampList[CP_Pcode],0)-1,0,1,1))</f>
        <v>P4</v>
      </c>
      <c r="AU347" s="293">
        <f>IFERROR(Table_NFI[[#This Row],[Kitchen Set]]/VLOOKUP(Table_NFI[[#This Row],[Camp Name]],CL,4,0),"")</f>
        <v>3.6102820833734477E-4</v>
      </c>
      <c r="AV347" s="461"/>
      <c r="AW347" s="463"/>
    </row>
    <row r="348" spans="1:49" s="464" customFormat="1" ht="14.45" customHeight="1" x14ac:dyDescent="0.25">
      <c r="A348" s="297">
        <f t="shared" si="5"/>
        <v>30.5</v>
      </c>
      <c r="B348" s="460">
        <v>41821</v>
      </c>
      <c r="C348" s="461" t="s">
        <v>452</v>
      </c>
      <c r="D348" s="461"/>
      <c r="E348" s="461" t="s">
        <v>380</v>
      </c>
      <c r="F348" s="461" t="s">
        <v>151</v>
      </c>
      <c r="G348" s="461" t="s">
        <v>885</v>
      </c>
      <c r="H348" s="291"/>
      <c r="I348" s="291"/>
      <c r="J348" s="291"/>
      <c r="K348" s="291"/>
      <c r="L348" s="292">
        <v>19</v>
      </c>
      <c r="M348" s="292"/>
      <c r="N348" s="292">
        <v>19</v>
      </c>
      <c r="O348" s="292"/>
      <c r="P348" s="294"/>
      <c r="Q348" s="294">
        <v>100</v>
      </c>
      <c r="R348" s="294"/>
      <c r="S348" s="294"/>
      <c r="T348" s="294"/>
      <c r="U348" s="294"/>
      <c r="V348" s="431"/>
      <c r="W348" s="294"/>
      <c r="X348" s="294"/>
      <c r="Y348" s="294">
        <f>IF(NFI_Expiration=1,IF($A348&lt;VLOOKUP(H$5,NFI,5,0),1,0)*Table_NFI[[#This Row],[Hygiene Kit]],Table_NFI[Hygiene Kit])</f>
        <v>0</v>
      </c>
      <c r="Z348" s="294">
        <f>IF(NFI_Expiration=1,IF($A348&lt;VLOOKUP(I$5,NFI,5,0),1,0)*Table_NFI[[#This Row],[NFI Core Kit]],Table_NFI[NFI Core Kit])</f>
        <v>0</v>
      </c>
      <c r="AA348" s="294">
        <f>IF(NFI_Expiration=1,IF($A348&lt;VLOOKUP(J$5,NFI,5,0),1,0)*Table_NFI[[#This Row],[Sanitary Kit]],Table_NFI[Sanitary Kit])</f>
        <v>0</v>
      </c>
      <c r="AB348" s="294">
        <f>IF(NFI_Expiration=1,IF($A348&lt;VLOOKUP(K$5,NFI,5,0),1,0)*Table_NFI[[#This Row],[Mosquito net]],Table_NFI[Mosquito net])</f>
        <v>0</v>
      </c>
      <c r="AC348" s="294">
        <f>IF(NFI_Expiration=1,IF($A348&lt;VLOOKUP(L$5,NFI,5,0),1,0)*Table_NFI[[#This Row],[Tarpaulin]],Table_NFI[[#This Row],[Tarpaulin]])</f>
        <v>0</v>
      </c>
      <c r="AD348" s="294">
        <f>IF(NFI_Expiration=1,IF($A348&lt;VLOOKUP(M$5,NFI,5,0),1,0)*Table_NFI[[#This Row],[Blanket]],Table_NFI[[#This Row],[Blanket]])</f>
        <v>0</v>
      </c>
      <c r="AE348" s="294">
        <f>IF(NFI_Expiration=1,IF($A348&lt;VLOOKUP(N$5,NFI,5,0),1,0)*Table_NFI[[#This Row],[Kitchen Set]],Table_NFI[Kitchen Set])</f>
        <v>0</v>
      </c>
      <c r="AF348" s="294">
        <f>IF(NFI_Expiration=1,IF($A348&lt;VLOOKUP(O$5,NFI,5,0),1,0)*Table_NFI[[#This Row],[Clothes Kit]],Table_NFI[Clothes Kit])</f>
        <v>0</v>
      </c>
      <c r="AG348" s="294">
        <f>IF(NFI_Expiration=1,IF($A348&lt;VLOOKUP(P$5,NFI,5,0),1,0)*Table_NFI[[#This Row],[Plastic Bucket]],Table_NFI[Plastic Bucket])</f>
        <v>0</v>
      </c>
      <c r="AH348" s="294">
        <f>IF(NFI_Expiration=1,IF($A348&lt;VLOOKUP(Q$5,NFI,5,0),1,0)*Table_NFI[[#This Row],[Plastic Mat]],Table_NFI[Plastic Mat])*IF(Table_NFI[[#This Row],[Distribution Date]]&gt;"2014-04-01",1,2.5)</f>
        <v>0</v>
      </c>
      <c r="AI348" s="294">
        <f>IF(NFI_Expiration=1,IF($A348&lt;VLOOKUP(R$5,NFI,5,0),1,0)*Table_NFI[[#This Row],[Winter Clothes Adult]],Table_NFI[Winter Clothes Adult])</f>
        <v>0</v>
      </c>
      <c r="AJ348" s="294">
        <f>IF(NFI_Expiration=1,IF($A348&lt;VLOOKUP(S$5,NFI,5,0),1,0)*Table_NFI[[#This Row],[Winter Clothes Children]],Table_NFI[Winter Clothes Children])</f>
        <v>0</v>
      </c>
      <c r="AK348" s="294">
        <f>IF(NFI_Expiration=1,IF($A348&lt;VLOOKUP(T$5,NFI,5,0),1,0)*Table_NFI[[#This Row],[Winter Items Other]],Table_NFI[Winter Items Other])</f>
        <v>0</v>
      </c>
      <c r="AL348" s="294">
        <f>IF(NFI_Expiration=1,IF($A348&lt;VLOOKUP(M$5,NFI,5,0),1,0)*Table_NFI[[#This Row],[Winter Blanket]],Table_NFI[[#This Row],[Winter Blanket]])</f>
        <v>0</v>
      </c>
      <c r="AM348" s="294">
        <f>IF(Table_NFI[[#This Row],[Winter Clothes Adult]]+Table_NFI[[#This Row],[Winter Clothes Children]]+Table_NFI[[#This Row],[Winter Items Other]]+Table_NFI[[#This Row],[Winter Blanket]]&gt;0,1,0)</f>
        <v>0</v>
      </c>
      <c r="AN348" s="331">
        <f>IF(NFI_Expiration=1,IF($A348&lt;VLOOKUP(V$5,NFI,5,0),1,0)*Table_NFI[[#This Row],[Jerry Can]],Table_NFI[Jerry Can])</f>
        <v>0</v>
      </c>
      <c r="AO348" s="331">
        <f>IF(NFI_Expiration=1,IF($A348&lt;VLOOKUP(V$5,NFI,5,0),1,0)*Table_NFI[[#This Row],[Shelter Tool kit]],Table_NFI[Shelter Tool kit])</f>
        <v>0</v>
      </c>
      <c r="AP348" s="331">
        <f>IF(NFI_Expiration=1,IF($A348&lt;VLOOKUP(V$5,NFI,5,0),1,0)*Table_NFI[[#This Row],[Tent]],Table_NFI[Tent])</f>
        <v>0</v>
      </c>
      <c r="AQ348" s="467" t="str">
        <f>IFERROR(VLOOKUP(Table_NFI[[#This Row],[Camp Name]],CL,2,0),"")</f>
        <v>MMR001CMP218</v>
      </c>
      <c r="AR348" s="835">
        <f ca="1">IF(Table_NFI[[#This Row],[Pcode]]="","",IF(OFFSET(CampList[Opening Date],MATCH(Table_NFI[[#This Row],[Pcode]],CampList[CP_Pcode],0)-1,0,1,1)&gt;=NFI_Monitor_Date,1,0))</f>
        <v>0</v>
      </c>
      <c r="AS348" s="467" t="str">
        <f>IFERROR(VLOOKUP(Table_NFI[[#This Row],[Camp Name]],CL,3,0),"")</f>
        <v>Open</v>
      </c>
      <c r="AT348" s="294" t="str">
        <f ca="1">IF(Table_NFI[[#This Row],[Pcode]]="","",OFFSET(CampList[Priority],MATCH(Table_NFI[[#This Row],[Pcode]],CampList[CP_Pcode],0)-1,0,1,1))</f>
        <v>P4</v>
      </c>
      <c r="AU348" s="293">
        <f>IFERROR(Table_NFI[[#This Row],[Kitchen Set]]/VLOOKUP(Table_NFI[[#This Row],[Camp Name]],CL,4,0),"")</f>
        <v>4.5730239722730338E-4</v>
      </c>
      <c r="AV348" s="461"/>
      <c r="AW348" s="463"/>
    </row>
    <row r="349" spans="1:49" s="464" customFormat="1" ht="14.45" customHeight="1" x14ac:dyDescent="0.25">
      <c r="A349" s="297">
        <f t="shared" si="5"/>
        <v>30.7</v>
      </c>
      <c r="B349" s="460">
        <v>41815</v>
      </c>
      <c r="C349" s="461" t="s">
        <v>1104</v>
      </c>
      <c r="D349" s="461" t="s">
        <v>900</v>
      </c>
      <c r="E349" s="461" t="s">
        <v>380</v>
      </c>
      <c r="F349" s="461" t="s">
        <v>185</v>
      </c>
      <c r="G349" s="461" t="s">
        <v>209</v>
      </c>
      <c r="H349" s="291"/>
      <c r="I349" s="291"/>
      <c r="J349" s="291"/>
      <c r="K349" s="291"/>
      <c r="L349" s="292"/>
      <c r="M349" s="292"/>
      <c r="N349" s="292"/>
      <c r="O349" s="292"/>
      <c r="P349" s="294"/>
      <c r="Q349" s="294"/>
      <c r="R349" s="294"/>
      <c r="S349" s="294"/>
      <c r="T349" s="294"/>
      <c r="U349" s="294">
        <v>832</v>
      </c>
      <c r="V349" s="431"/>
      <c r="W349" s="294"/>
      <c r="X349" s="294"/>
      <c r="Y349" s="294">
        <f>IF(NFI_Expiration=1,IF($A349&lt;VLOOKUP(H$5,NFI,5,0),1,0)*Table_NFI[[#This Row],[Hygiene Kit]],Table_NFI[Hygiene Kit])</f>
        <v>0</v>
      </c>
      <c r="Z349" s="294">
        <f>IF(NFI_Expiration=1,IF($A349&lt;VLOOKUP(I$5,NFI,5,0),1,0)*Table_NFI[[#This Row],[NFI Core Kit]],Table_NFI[NFI Core Kit])</f>
        <v>0</v>
      </c>
      <c r="AA349" s="294">
        <f>IF(NFI_Expiration=1,IF($A349&lt;VLOOKUP(J$5,NFI,5,0),1,0)*Table_NFI[[#This Row],[Sanitary Kit]],Table_NFI[Sanitary Kit])</f>
        <v>0</v>
      </c>
      <c r="AB349" s="294">
        <f>IF(NFI_Expiration=1,IF($A349&lt;VLOOKUP(K$5,NFI,5,0),1,0)*Table_NFI[[#This Row],[Mosquito net]],Table_NFI[Mosquito net])</f>
        <v>0</v>
      </c>
      <c r="AC349" s="294">
        <f>IF(NFI_Expiration=1,IF($A349&lt;VLOOKUP(L$5,NFI,5,0),1,0)*Table_NFI[[#This Row],[Tarpaulin]],Table_NFI[[#This Row],[Tarpaulin]])</f>
        <v>0</v>
      </c>
      <c r="AD349" s="294">
        <f>IF(NFI_Expiration=1,IF($A349&lt;VLOOKUP(M$5,NFI,5,0),1,0)*Table_NFI[[#This Row],[Blanket]],Table_NFI[[#This Row],[Blanket]])</f>
        <v>0</v>
      </c>
      <c r="AE349" s="294">
        <f>IF(NFI_Expiration=1,IF($A349&lt;VLOOKUP(N$5,NFI,5,0),1,0)*Table_NFI[[#This Row],[Kitchen Set]],Table_NFI[Kitchen Set])</f>
        <v>0</v>
      </c>
      <c r="AF349" s="294">
        <f>IF(NFI_Expiration=1,IF($A349&lt;VLOOKUP(O$5,NFI,5,0),1,0)*Table_NFI[[#This Row],[Clothes Kit]],Table_NFI[Clothes Kit])</f>
        <v>0</v>
      </c>
      <c r="AG349" s="294">
        <f>IF(NFI_Expiration=1,IF($A349&lt;VLOOKUP(P$5,NFI,5,0),1,0)*Table_NFI[[#This Row],[Plastic Bucket]],Table_NFI[Plastic Bucket])</f>
        <v>0</v>
      </c>
      <c r="AH349" s="294">
        <f>IF(NFI_Expiration=1,IF($A349&lt;VLOOKUP(Q$5,NFI,5,0),1,0)*Table_NFI[[#This Row],[Plastic Mat]],Table_NFI[Plastic Mat])*IF(Table_NFI[[#This Row],[Distribution Date]]&gt;"2014-04-01",1,2.5)</f>
        <v>0</v>
      </c>
      <c r="AI349" s="294">
        <f>IF(NFI_Expiration=1,IF($A349&lt;VLOOKUP(R$5,NFI,5,0),1,0)*Table_NFI[[#This Row],[Winter Clothes Adult]],Table_NFI[Winter Clothes Adult])</f>
        <v>0</v>
      </c>
      <c r="AJ349" s="294">
        <f>IF(NFI_Expiration=1,IF($A349&lt;VLOOKUP(S$5,NFI,5,0),1,0)*Table_NFI[[#This Row],[Winter Clothes Children]],Table_NFI[Winter Clothes Children])</f>
        <v>0</v>
      </c>
      <c r="AK349" s="294">
        <f>IF(NFI_Expiration=1,IF($A349&lt;VLOOKUP(T$5,NFI,5,0),1,0)*Table_NFI[[#This Row],[Winter Items Other]],Table_NFI[Winter Items Other])</f>
        <v>0</v>
      </c>
      <c r="AL349" s="294">
        <f>IF(NFI_Expiration=1,IF($A349&lt;VLOOKUP(M$5,NFI,5,0),1,0)*Table_NFI[[#This Row],[Winter Blanket]],Table_NFI[[#This Row],[Winter Blanket]])</f>
        <v>0</v>
      </c>
      <c r="AM349" s="294">
        <f>IF(Table_NFI[[#This Row],[Winter Clothes Adult]]+Table_NFI[[#This Row],[Winter Clothes Children]]+Table_NFI[[#This Row],[Winter Items Other]]+Table_NFI[[#This Row],[Winter Blanket]]&gt;0,1,0)</f>
        <v>1</v>
      </c>
      <c r="AN349" s="331">
        <f>IF(NFI_Expiration=1,IF($A349&lt;VLOOKUP(V$5,NFI,5,0),1,0)*Table_NFI[[#This Row],[Jerry Can]],Table_NFI[Jerry Can])</f>
        <v>0</v>
      </c>
      <c r="AO349" s="331">
        <f>IF(NFI_Expiration=1,IF($A349&lt;VLOOKUP(V$5,NFI,5,0),1,0)*Table_NFI[[#This Row],[Shelter Tool kit]],Table_NFI[Shelter Tool kit])</f>
        <v>0</v>
      </c>
      <c r="AP349" s="331">
        <f>IF(NFI_Expiration=1,IF($A349&lt;VLOOKUP(V$5,NFI,5,0),1,0)*Table_NFI[[#This Row],[Tent]],Table_NFI[Tent])</f>
        <v>0</v>
      </c>
      <c r="AQ349" s="467" t="str">
        <f>IFERROR(VLOOKUP(Table_NFI[[#This Row],[Camp Name]],CL,2,0),"")</f>
        <v>MMR001CMP056</v>
      </c>
      <c r="AR349" s="835">
        <f ca="1">IF(Table_NFI[[#This Row],[Pcode]]="","",IF(OFFSET(CampList[Opening Date],MATCH(Table_NFI[[#This Row],[Pcode]],CampList[CP_Pcode],0)-1,0,1,1)&gt;=NFI_Monitor_Date,1,0))</f>
        <v>0</v>
      </c>
      <c r="AS349" s="467" t="str">
        <f>IFERROR(VLOOKUP(Table_NFI[[#This Row],[Camp Name]],CL,3,0),"")</f>
        <v>Open</v>
      </c>
      <c r="AT349" s="294" t="str">
        <f ca="1">IF(Table_NFI[[#This Row],[Pcode]]="","",OFFSET(CampList[Priority],MATCH(Table_NFI[[#This Row],[Pcode]],CampList[CP_Pcode],0)-1,0,1,1))</f>
        <v>P4</v>
      </c>
      <c r="AU349" s="293">
        <f>IFERROR(Table_NFI[[#This Row],[Kitchen Set]]/VLOOKUP(Table_NFI[[#This Row],[Camp Name]],CL,4,0),"")</f>
        <v>0</v>
      </c>
      <c r="AV349" s="461"/>
      <c r="AW349" s="463"/>
    </row>
    <row r="350" spans="1:49" s="464" customFormat="1" ht="15" customHeight="1" x14ac:dyDescent="0.25">
      <c r="A350" s="297">
        <f t="shared" si="5"/>
        <v>30.733333333333334</v>
      </c>
      <c r="B350" s="460">
        <v>41814</v>
      </c>
      <c r="C350" s="461" t="s">
        <v>1104</v>
      </c>
      <c r="D350" s="461" t="s">
        <v>900</v>
      </c>
      <c r="E350" s="461" t="s">
        <v>380</v>
      </c>
      <c r="F350" s="461" t="s">
        <v>237</v>
      </c>
      <c r="G350" s="461" t="s">
        <v>263</v>
      </c>
      <c r="H350" s="291"/>
      <c r="I350" s="291"/>
      <c r="J350" s="291"/>
      <c r="K350" s="291"/>
      <c r="L350" s="292"/>
      <c r="M350" s="292"/>
      <c r="N350" s="292"/>
      <c r="O350" s="292"/>
      <c r="P350" s="294"/>
      <c r="Q350" s="294"/>
      <c r="R350" s="294"/>
      <c r="S350" s="294"/>
      <c r="T350" s="294"/>
      <c r="U350" s="294">
        <v>44</v>
      </c>
      <c r="V350" s="431"/>
      <c r="W350" s="331"/>
      <c r="X350" s="331"/>
      <c r="Y350" s="294">
        <f>IF(NFI_Expiration=1,IF($A350&lt;VLOOKUP(H$5,NFI,5,0),1,0)*Table_NFI[[#This Row],[Hygiene Kit]],Table_NFI[Hygiene Kit])</f>
        <v>0</v>
      </c>
      <c r="Z350" s="294">
        <f>IF(NFI_Expiration=1,IF($A350&lt;VLOOKUP(I$5,NFI,5,0),1,0)*Table_NFI[[#This Row],[NFI Core Kit]],Table_NFI[NFI Core Kit])</f>
        <v>0</v>
      </c>
      <c r="AA350" s="294">
        <f>IF(NFI_Expiration=1,IF($A350&lt;VLOOKUP(J$5,NFI,5,0),1,0)*Table_NFI[[#This Row],[Sanitary Kit]],Table_NFI[Sanitary Kit])</f>
        <v>0</v>
      </c>
      <c r="AB350" s="294">
        <f>IF(NFI_Expiration=1,IF($A350&lt;VLOOKUP(K$5,NFI,5,0),1,0)*Table_NFI[[#This Row],[Mosquito net]],Table_NFI[Mosquito net])</f>
        <v>0</v>
      </c>
      <c r="AC350" s="294">
        <f>IF(NFI_Expiration=1,IF($A350&lt;VLOOKUP(L$5,NFI,5,0),1,0)*Table_NFI[[#This Row],[Tarpaulin]],Table_NFI[[#This Row],[Tarpaulin]])</f>
        <v>0</v>
      </c>
      <c r="AD350" s="294">
        <f>IF(NFI_Expiration=1,IF($A350&lt;VLOOKUP(M$5,NFI,5,0),1,0)*Table_NFI[[#This Row],[Blanket]],Table_NFI[[#This Row],[Blanket]])</f>
        <v>0</v>
      </c>
      <c r="AE350" s="294">
        <f>IF(NFI_Expiration=1,IF($A350&lt;VLOOKUP(N$5,NFI,5,0),1,0)*Table_NFI[[#This Row],[Kitchen Set]],Table_NFI[Kitchen Set])</f>
        <v>0</v>
      </c>
      <c r="AF350" s="294">
        <f>IF(NFI_Expiration=1,IF($A350&lt;VLOOKUP(O$5,NFI,5,0),1,0)*Table_NFI[[#This Row],[Clothes Kit]],Table_NFI[Clothes Kit])</f>
        <v>0</v>
      </c>
      <c r="AG350" s="294">
        <f>IF(NFI_Expiration=1,IF($A350&lt;VLOOKUP(P$5,NFI,5,0),1,0)*Table_NFI[[#This Row],[Plastic Bucket]],Table_NFI[Plastic Bucket])</f>
        <v>0</v>
      </c>
      <c r="AH350" s="294">
        <f>IF(NFI_Expiration=1,IF($A350&lt;VLOOKUP(Q$5,NFI,5,0),1,0)*Table_NFI[[#This Row],[Plastic Mat]],Table_NFI[Plastic Mat])*IF(Table_NFI[[#This Row],[Distribution Date]]&gt;"2014-04-01",1,2.5)</f>
        <v>0</v>
      </c>
      <c r="AI350" s="294">
        <f>IF(NFI_Expiration=1,IF($A350&lt;VLOOKUP(R$5,NFI,5,0),1,0)*Table_NFI[[#This Row],[Winter Clothes Adult]],Table_NFI[Winter Clothes Adult])</f>
        <v>0</v>
      </c>
      <c r="AJ350" s="294">
        <f>IF(NFI_Expiration=1,IF($A350&lt;VLOOKUP(S$5,NFI,5,0),1,0)*Table_NFI[[#This Row],[Winter Clothes Children]],Table_NFI[Winter Clothes Children])</f>
        <v>0</v>
      </c>
      <c r="AK350" s="294">
        <f>IF(NFI_Expiration=1,IF($A350&lt;VLOOKUP(T$5,NFI,5,0),1,0)*Table_NFI[[#This Row],[Winter Items Other]],Table_NFI[Winter Items Other])</f>
        <v>0</v>
      </c>
      <c r="AL350" s="294">
        <f>IF(NFI_Expiration=1,IF($A350&lt;VLOOKUP(M$5,NFI,5,0),1,0)*Table_NFI[[#This Row],[Winter Blanket]],Table_NFI[[#This Row],[Winter Blanket]])</f>
        <v>0</v>
      </c>
      <c r="AM350" s="294">
        <f>IF(Table_NFI[[#This Row],[Winter Clothes Adult]]+Table_NFI[[#This Row],[Winter Clothes Children]]+Table_NFI[[#This Row],[Winter Items Other]]+Table_NFI[[#This Row],[Winter Blanket]]&gt;0,1,0)</f>
        <v>1</v>
      </c>
      <c r="AN350" s="331">
        <f>IF(NFI_Expiration=1,IF($A350&lt;VLOOKUP(V$5,NFI,5,0),1,0)*Table_NFI[[#This Row],[Jerry Can]],Table_NFI[Jerry Can])</f>
        <v>0</v>
      </c>
      <c r="AO350" s="331">
        <f>IF(NFI_Expiration=1,IF($A350&lt;VLOOKUP(V$5,NFI,5,0),1,0)*Table_NFI[[#This Row],[Shelter Tool kit]],Table_NFI[Shelter Tool kit])</f>
        <v>0</v>
      </c>
      <c r="AP350" s="331">
        <f>IF(NFI_Expiration=1,IF($A350&lt;VLOOKUP(V$5,NFI,5,0),1,0)*Table_NFI[[#This Row],[Tent]],Table_NFI[Tent])</f>
        <v>0</v>
      </c>
      <c r="AQ350" s="467" t="str">
        <f>IFERROR(VLOOKUP(Table_NFI[[#This Row],[Camp Name]],CL,2,0),"")</f>
        <v>MMR001CMP020</v>
      </c>
      <c r="AR350" s="835">
        <f ca="1">IF(Table_NFI[[#This Row],[Pcode]]="","",IF(OFFSET(CampList[Opening Date],MATCH(Table_NFI[[#This Row],[Pcode]],CampList[CP_Pcode],0)-1,0,1,1)&gt;=NFI_Monitor_Date,1,0))</f>
        <v>0</v>
      </c>
      <c r="AS350" s="467" t="str">
        <f>IFERROR(VLOOKUP(Table_NFI[[#This Row],[Camp Name]],CL,3,0),"")</f>
        <v>Open</v>
      </c>
      <c r="AT350" s="294" t="str">
        <f ca="1">IF(Table_NFI[[#This Row],[Pcode]]="","",OFFSET(CampList[Priority],MATCH(Table_NFI[[#This Row],[Pcode]],CampList[CP_Pcode],0)-1,0,1,1))</f>
        <v>P4</v>
      </c>
      <c r="AU350" s="293">
        <f>IFERROR(Table_NFI[[#This Row],[Kitchen Set]]/VLOOKUP(Table_NFI[[#This Row],[Camp Name]],CL,4,0),"")</f>
        <v>0</v>
      </c>
      <c r="AV350" s="461"/>
      <c r="AW350" s="463"/>
    </row>
    <row r="351" spans="1:49" s="464" customFormat="1" ht="15" customHeight="1" x14ac:dyDescent="0.25">
      <c r="A351" s="297">
        <f t="shared" si="5"/>
        <v>30.733333333333334</v>
      </c>
      <c r="B351" s="460">
        <v>41814</v>
      </c>
      <c r="C351" s="461" t="s">
        <v>1104</v>
      </c>
      <c r="D351" s="461" t="s">
        <v>900</v>
      </c>
      <c r="E351" s="461" t="s">
        <v>380</v>
      </c>
      <c r="F351" s="461" t="s">
        <v>237</v>
      </c>
      <c r="G351" s="461" t="s">
        <v>265</v>
      </c>
      <c r="H351" s="291"/>
      <c r="I351" s="291"/>
      <c r="J351" s="291"/>
      <c r="K351" s="291"/>
      <c r="L351" s="292"/>
      <c r="M351" s="292"/>
      <c r="N351" s="292"/>
      <c r="O351" s="292"/>
      <c r="P351" s="294"/>
      <c r="Q351" s="294"/>
      <c r="R351" s="294"/>
      <c r="S351" s="294"/>
      <c r="T351" s="294"/>
      <c r="U351" s="294">
        <v>28</v>
      </c>
      <c r="V351" s="431"/>
      <c r="W351" s="331"/>
      <c r="X351" s="331"/>
      <c r="Y351" s="294">
        <f>IF(NFI_Expiration=1,IF($A351&lt;VLOOKUP(H$5,NFI,5,0),1,0)*Table_NFI[[#This Row],[Hygiene Kit]],Table_NFI[Hygiene Kit])</f>
        <v>0</v>
      </c>
      <c r="Z351" s="294">
        <f>IF(NFI_Expiration=1,IF($A351&lt;VLOOKUP(I$5,NFI,5,0),1,0)*Table_NFI[[#This Row],[NFI Core Kit]],Table_NFI[NFI Core Kit])</f>
        <v>0</v>
      </c>
      <c r="AA351" s="294">
        <f>IF(NFI_Expiration=1,IF($A351&lt;VLOOKUP(J$5,NFI,5,0),1,0)*Table_NFI[[#This Row],[Sanitary Kit]],Table_NFI[Sanitary Kit])</f>
        <v>0</v>
      </c>
      <c r="AB351" s="294">
        <f>IF(NFI_Expiration=1,IF($A351&lt;VLOOKUP(K$5,NFI,5,0),1,0)*Table_NFI[[#This Row],[Mosquito net]],Table_NFI[Mosquito net])</f>
        <v>0</v>
      </c>
      <c r="AC351" s="294">
        <f>IF(NFI_Expiration=1,IF($A351&lt;VLOOKUP(L$5,NFI,5,0),1,0)*Table_NFI[[#This Row],[Tarpaulin]],Table_NFI[[#This Row],[Tarpaulin]])</f>
        <v>0</v>
      </c>
      <c r="AD351" s="294">
        <f>IF(NFI_Expiration=1,IF($A351&lt;VLOOKUP(M$5,NFI,5,0),1,0)*Table_NFI[[#This Row],[Blanket]],Table_NFI[[#This Row],[Blanket]])</f>
        <v>0</v>
      </c>
      <c r="AE351" s="294">
        <f>IF(NFI_Expiration=1,IF($A351&lt;VLOOKUP(N$5,NFI,5,0),1,0)*Table_NFI[[#This Row],[Kitchen Set]],Table_NFI[Kitchen Set])</f>
        <v>0</v>
      </c>
      <c r="AF351" s="294">
        <f>IF(NFI_Expiration=1,IF($A351&lt;VLOOKUP(O$5,NFI,5,0),1,0)*Table_NFI[[#This Row],[Clothes Kit]],Table_NFI[Clothes Kit])</f>
        <v>0</v>
      </c>
      <c r="AG351" s="294">
        <f>IF(NFI_Expiration=1,IF($A351&lt;VLOOKUP(P$5,NFI,5,0),1,0)*Table_NFI[[#This Row],[Plastic Bucket]],Table_NFI[Plastic Bucket])</f>
        <v>0</v>
      </c>
      <c r="AH351" s="294">
        <f>IF(NFI_Expiration=1,IF($A351&lt;VLOOKUP(Q$5,NFI,5,0),1,0)*Table_NFI[[#This Row],[Plastic Mat]],Table_NFI[Plastic Mat])*IF(Table_NFI[[#This Row],[Distribution Date]]&gt;"2014-04-01",1,2.5)</f>
        <v>0</v>
      </c>
      <c r="AI351" s="294">
        <f>IF(NFI_Expiration=1,IF($A351&lt;VLOOKUP(R$5,NFI,5,0),1,0)*Table_NFI[[#This Row],[Winter Clothes Adult]],Table_NFI[Winter Clothes Adult])</f>
        <v>0</v>
      </c>
      <c r="AJ351" s="294">
        <f>IF(NFI_Expiration=1,IF($A351&lt;VLOOKUP(S$5,NFI,5,0),1,0)*Table_NFI[[#This Row],[Winter Clothes Children]],Table_NFI[Winter Clothes Children])</f>
        <v>0</v>
      </c>
      <c r="AK351" s="294">
        <f>IF(NFI_Expiration=1,IF($A351&lt;VLOOKUP(T$5,NFI,5,0),1,0)*Table_NFI[[#This Row],[Winter Items Other]],Table_NFI[Winter Items Other])</f>
        <v>0</v>
      </c>
      <c r="AL351" s="294">
        <f>IF(NFI_Expiration=1,IF($A351&lt;VLOOKUP(M$5,NFI,5,0),1,0)*Table_NFI[[#This Row],[Winter Blanket]],Table_NFI[[#This Row],[Winter Blanket]])</f>
        <v>0</v>
      </c>
      <c r="AM351" s="294">
        <f>IF(Table_NFI[[#This Row],[Winter Clothes Adult]]+Table_NFI[[#This Row],[Winter Clothes Children]]+Table_NFI[[#This Row],[Winter Items Other]]+Table_NFI[[#This Row],[Winter Blanket]]&gt;0,1,0)</f>
        <v>1</v>
      </c>
      <c r="AN351" s="331">
        <f>IF(NFI_Expiration=1,IF($A351&lt;VLOOKUP(V$5,NFI,5,0),1,0)*Table_NFI[[#This Row],[Jerry Can]],Table_NFI[Jerry Can])</f>
        <v>0</v>
      </c>
      <c r="AO351" s="331">
        <f>IF(NFI_Expiration=1,IF($A351&lt;VLOOKUP(V$5,NFI,5,0),1,0)*Table_NFI[[#This Row],[Shelter Tool kit]],Table_NFI[Shelter Tool kit])</f>
        <v>0</v>
      </c>
      <c r="AP351" s="331">
        <f>IF(NFI_Expiration=1,IF($A351&lt;VLOOKUP(V$5,NFI,5,0),1,0)*Table_NFI[[#This Row],[Tent]],Table_NFI[Tent])</f>
        <v>0</v>
      </c>
      <c r="AQ351" s="467" t="str">
        <f>IFERROR(VLOOKUP(Table_NFI[[#This Row],[Camp Name]],CL,2,0),"")</f>
        <v>MMR001CMP021</v>
      </c>
      <c r="AR351" s="835">
        <f ca="1">IF(Table_NFI[[#This Row],[Pcode]]="","",IF(OFFSET(CampList[Opening Date],MATCH(Table_NFI[[#This Row],[Pcode]],CampList[CP_Pcode],0)-1,0,1,1)&gt;=NFI_Monitor_Date,1,0))</f>
        <v>0</v>
      </c>
      <c r="AS351" s="467" t="str">
        <f>IFERROR(VLOOKUP(Table_NFI[[#This Row],[Camp Name]],CL,3,0),"")</f>
        <v>Open</v>
      </c>
      <c r="AT351" s="294" t="str">
        <f ca="1">IF(Table_NFI[[#This Row],[Pcode]]="","",OFFSET(CampList[Priority],MATCH(Table_NFI[[#This Row],[Pcode]],CampList[CP_Pcode],0)-1,0,1,1))</f>
        <v>P4</v>
      </c>
      <c r="AU351" s="293">
        <f>IFERROR(Table_NFI[[#This Row],[Kitchen Set]]/VLOOKUP(Table_NFI[[#This Row],[Camp Name]],CL,4,0),"")</f>
        <v>0</v>
      </c>
      <c r="AV351" s="461"/>
      <c r="AW351" s="463"/>
    </row>
    <row r="352" spans="1:49" s="464" customFormat="1" x14ac:dyDescent="0.25">
      <c r="A352" s="297">
        <f t="shared" si="5"/>
        <v>30.766666666666666</v>
      </c>
      <c r="B352" s="460">
        <v>41813</v>
      </c>
      <c r="C352" s="461" t="s">
        <v>1104</v>
      </c>
      <c r="D352" s="461" t="s">
        <v>900</v>
      </c>
      <c r="E352" s="461" t="s">
        <v>380</v>
      </c>
      <c r="F352" s="461" t="s">
        <v>237</v>
      </c>
      <c r="G352" s="461" t="s">
        <v>275</v>
      </c>
      <c r="H352" s="291"/>
      <c r="I352" s="291"/>
      <c r="J352" s="291"/>
      <c r="K352" s="291"/>
      <c r="L352" s="292"/>
      <c r="M352" s="292"/>
      <c r="N352" s="292"/>
      <c r="O352" s="292"/>
      <c r="P352" s="294"/>
      <c r="Q352" s="294"/>
      <c r="R352" s="294"/>
      <c r="S352" s="294"/>
      <c r="T352" s="294"/>
      <c r="U352" s="294">
        <v>88</v>
      </c>
      <c r="V352" s="431"/>
      <c r="W352" s="331"/>
      <c r="X352" s="331"/>
      <c r="Y352" s="294">
        <f>IF(NFI_Expiration=1,IF($A352&lt;VLOOKUP(H$5,NFI,5,0),1,0)*Table_NFI[[#This Row],[Hygiene Kit]],Table_NFI[Hygiene Kit])</f>
        <v>0</v>
      </c>
      <c r="Z352" s="294">
        <f>IF(NFI_Expiration=1,IF($A352&lt;VLOOKUP(I$5,NFI,5,0),1,0)*Table_NFI[[#This Row],[NFI Core Kit]],Table_NFI[NFI Core Kit])</f>
        <v>0</v>
      </c>
      <c r="AA352" s="294">
        <f>IF(NFI_Expiration=1,IF($A352&lt;VLOOKUP(J$5,NFI,5,0),1,0)*Table_NFI[[#This Row],[Sanitary Kit]],Table_NFI[Sanitary Kit])</f>
        <v>0</v>
      </c>
      <c r="AB352" s="294">
        <f>IF(NFI_Expiration=1,IF($A352&lt;VLOOKUP(K$5,NFI,5,0),1,0)*Table_NFI[[#This Row],[Mosquito net]],Table_NFI[Mosquito net])</f>
        <v>0</v>
      </c>
      <c r="AC352" s="294">
        <f>IF(NFI_Expiration=1,IF($A352&lt;VLOOKUP(L$5,NFI,5,0),1,0)*Table_NFI[[#This Row],[Tarpaulin]],Table_NFI[[#This Row],[Tarpaulin]])</f>
        <v>0</v>
      </c>
      <c r="AD352" s="294">
        <f>IF(NFI_Expiration=1,IF($A352&lt;VLOOKUP(M$5,NFI,5,0),1,0)*Table_NFI[[#This Row],[Blanket]],Table_NFI[[#This Row],[Blanket]])</f>
        <v>0</v>
      </c>
      <c r="AE352" s="294">
        <f>IF(NFI_Expiration=1,IF($A352&lt;VLOOKUP(N$5,NFI,5,0),1,0)*Table_NFI[[#This Row],[Kitchen Set]],Table_NFI[Kitchen Set])</f>
        <v>0</v>
      </c>
      <c r="AF352" s="294">
        <f>IF(NFI_Expiration=1,IF($A352&lt;VLOOKUP(O$5,NFI,5,0),1,0)*Table_NFI[[#This Row],[Clothes Kit]],Table_NFI[Clothes Kit])</f>
        <v>0</v>
      </c>
      <c r="AG352" s="294">
        <f>IF(NFI_Expiration=1,IF($A352&lt;VLOOKUP(P$5,NFI,5,0),1,0)*Table_NFI[[#This Row],[Plastic Bucket]],Table_NFI[Plastic Bucket])</f>
        <v>0</v>
      </c>
      <c r="AH352" s="294">
        <f>IF(NFI_Expiration=1,IF($A352&lt;VLOOKUP(Q$5,NFI,5,0),1,0)*Table_NFI[[#This Row],[Plastic Mat]],Table_NFI[Plastic Mat])*IF(Table_NFI[[#This Row],[Distribution Date]]&gt;"2014-04-01",1,2.5)</f>
        <v>0</v>
      </c>
      <c r="AI352" s="294">
        <f>IF(NFI_Expiration=1,IF($A352&lt;VLOOKUP(R$5,NFI,5,0),1,0)*Table_NFI[[#This Row],[Winter Clothes Adult]],Table_NFI[Winter Clothes Adult])</f>
        <v>0</v>
      </c>
      <c r="AJ352" s="294">
        <f>IF(NFI_Expiration=1,IF($A352&lt;VLOOKUP(S$5,NFI,5,0),1,0)*Table_NFI[[#This Row],[Winter Clothes Children]],Table_NFI[Winter Clothes Children])</f>
        <v>0</v>
      </c>
      <c r="AK352" s="294">
        <f>IF(NFI_Expiration=1,IF($A352&lt;VLOOKUP(T$5,NFI,5,0),1,0)*Table_NFI[[#This Row],[Winter Items Other]],Table_NFI[Winter Items Other])</f>
        <v>0</v>
      </c>
      <c r="AL352" s="294">
        <f>IF(NFI_Expiration=1,IF($A352&lt;VLOOKUP(M$5,NFI,5,0),1,0)*Table_NFI[[#This Row],[Winter Blanket]],Table_NFI[[#This Row],[Winter Blanket]])</f>
        <v>0</v>
      </c>
      <c r="AM352" s="294">
        <f>IF(Table_NFI[[#This Row],[Winter Clothes Adult]]+Table_NFI[[#This Row],[Winter Clothes Children]]+Table_NFI[[#This Row],[Winter Items Other]]+Table_NFI[[#This Row],[Winter Blanket]]&gt;0,1,0)</f>
        <v>1</v>
      </c>
      <c r="AN352" s="331">
        <f>IF(NFI_Expiration=1,IF($A352&lt;VLOOKUP(V$5,NFI,5,0),1,0)*Table_NFI[[#This Row],[Jerry Can]],Table_NFI[Jerry Can])</f>
        <v>0</v>
      </c>
      <c r="AO352" s="331">
        <f>IF(NFI_Expiration=1,IF($A352&lt;VLOOKUP(V$5,NFI,5,0),1,0)*Table_NFI[[#This Row],[Shelter Tool kit]],Table_NFI[Shelter Tool kit])</f>
        <v>0</v>
      </c>
      <c r="AP352" s="331">
        <f>IF(NFI_Expiration=1,IF($A352&lt;VLOOKUP(V$5,NFI,5,0),1,0)*Table_NFI[[#This Row],[Tent]],Table_NFI[Tent])</f>
        <v>0</v>
      </c>
      <c r="AQ352" s="467" t="str">
        <f>IFERROR(VLOOKUP(Table_NFI[[#This Row],[Camp Name]],CL,2,0),"")</f>
        <v>MMR001CMP005</v>
      </c>
      <c r="AR352" s="835">
        <f ca="1">IF(Table_NFI[[#This Row],[Pcode]]="","",IF(OFFSET(CampList[Opening Date],MATCH(Table_NFI[[#This Row],[Pcode]],CampList[CP_Pcode],0)-1,0,1,1)&gt;=NFI_Monitor_Date,1,0))</f>
        <v>0</v>
      </c>
      <c r="AS352" s="467" t="str">
        <f>IFERROR(VLOOKUP(Table_NFI[[#This Row],[Camp Name]],CL,3,0),"")</f>
        <v>Open</v>
      </c>
      <c r="AT352" s="294" t="str">
        <f ca="1">IF(Table_NFI[[#This Row],[Pcode]]="","",OFFSET(CampList[Priority],MATCH(Table_NFI[[#This Row],[Pcode]],CampList[CP_Pcode],0)-1,0,1,1))</f>
        <v>P4</v>
      </c>
      <c r="AU352" s="293">
        <f>IFERROR(Table_NFI[[#This Row],[Kitchen Set]]/VLOOKUP(Table_NFI[[#This Row],[Camp Name]],CL,4,0),"")</f>
        <v>0</v>
      </c>
      <c r="AV352" s="461"/>
      <c r="AW352" s="463"/>
    </row>
    <row r="353" spans="1:49" s="464" customFormat="1" ht="15" customHeight="1" x14ac:dyDescent="0.25">
      <c r="A353" s="297">
        <f t="shared" si="5"/>
        <v>30.8</v>
      </c>
      <c r="B353" s="460">
        <v>41812</v>
      </c>
      <c r="C353" s="461" t="s">
        <v>1104</v>
      </c>
      <c r="D353" s="461" t="s">
        <v>900</v>
      </c>
      <c r="E353" s="461" t="s">
        <v>380</v>
      </c>
      <c r="F353" s="461" t="s">
        <v>185</v>
      </c>
      <c r="G353" s="461" t="s">
        <v>211</v>
      </c>
      <c r="H353" s="291"/>
      <c r="I353" s="291"/>
      <c r="J353" s="291"/>
      <c r="K353" s="291"/>
      <c r="L353" s="292"/>
      <c r="M353" s="292"/>
      <c r="N353" s="292"/>
      <c r="O353" s="292"/>
      <c r="P353" s="294"/>
      <c r="Q353" s="294"/>
      <c r="R353" s="294"/>
      <c r="S353" s="294"/>
      <c r="T353" s="294"/>
      <c r="U353" s="294">
        <v>462</v>
      </c>
      <c r="V353" s="431"/>
      <c r="W353" s="331"/>
      <c r="X353" s="331"/>
      <c r="Y353" s="294">
        <f>IF(NFI_Expiration=1,IF($A353&lt;VLOOKUP(H$5,NFI,5,0),1,0)*Table_NFI[[#This Row],[Hygiene Kit]],Table_NFI[Hygiene Kit])</f>
        <v>0</v>
      </c>
      <c r="Z353" s="294">
        <f>IF(NFI_Expiration=1,IF($A353&lt;VLOOKUP(I$5,NFI,5,0),1,0)*Table_NFI[[#This Row],[NFI Core Kit]],Table_NFI[NFI Core Kit])</f>
        <v>0</v>
      </c>
      <c r="AA353" s="294">
        <f>IF(NFI_Expiration=1,IF($A353&lt;VLOOKUP(J$5,NFI,5,0),1,0)*Table_NFI[[#This Row],[Sanitary Kit]],Table_NFI[Sanitary Kit])</f>
        <v>0</v>
      </c>
      <c r="AB353" s="294">
        <f>IF(NFI_Expiration=1,IF($A353&lt;VLOOKUP(K$5,NFI,5,0),1,0)*Table_NFI[[#This Row],[Mosquito net]],Table_NFI[Mosquito net])</f>
        <v>0</v>
      </c>
      <c r="AC353" s="294">
        <f>IF(NFI_Expiration=1,IF($A353&lt;VLOOKUP(L$5,NFI,5,0),1,0)*Table_NFI[[#This Row],[Tarpaulin]],Table_NFI[[#This Row],[Tarpaulin]])</f>
        <v>0</v>
      </c>
      <c r="AD353" s="294">
        <f>IF(NFI_Expiration=1,IF($A353&lt;VLOOKUP(M$5,NFI,5,0),1,0)*Table_NFI[[#This Row],[Blanket]],Table_NFI[[#This Row],[Blanket]])</f>
        <v>0</v>
      </c>
      <c r="AE353" s="294">
        <f>IF(NFI_Expiration=1,IF($A353&lt;VLOOKUP(N$5,NFI,5,0),1,0)*Table_NFI[[#This Row],[Kitchen Set]],Table_NFI[Kitchen Set])</f>
        <v>0</v>
      </c>
      <c r="AF353" s="294">
        <f>IF(NFI_Expiration=1,IF($A353&lt;VLOOKUP(O$5,NFI,5,0),1,0)*Table_NFI[[#This Row],[Clothes Kit]],Table_NFI[Clothes Kit])</f>
        <v>0</v>
      </c>
      <c r="AG353" s="294">
        <f>IF(NFI_Expiration=1,IF($A353&lt;VLOOKUP(P$5,NFI,5,0),1,0)*Table_NFI[[#This Row],[Plastic Bucket]],Table_NFI[Plastic Bucket])</f>
        <v>0</v>
      </c>
      <c r="AH353" s="294">
        <f>IF(NFI_Expiration=1,IF($A353&lt;VLOOKUP(Q$5,NFI,5,0),1,0)*Table_NFI[[#This Row],[Plastic Mat]],Table_NFI[Plastic Mat])*IF(Table_NFI[[#This Row],[Distribution Date]]&gt;"2014-04-01",1,2.5)</f>
        <v>0</v>
      </c>
      <c r="AI353" s="294">
        <f>IF(NFI_Expiration=1,IF($A353&lt;VLOOKUP(R$5,NFI,5,0),1,0)*Table_NFI[[#This Row],[Winter Clothes Adult]],Table_NFI[Winter Clothes Adult])</f>
        <v>0</v>
      </c>
      <c r="AJ353" s="294">
        <f>IF(NFI_Expiration=1,IF($A353&lt;VLOOKUP(S$5,NFI,5,0),1,0)*Table_NFI[[#This Row],[Winter Clothes Children]],Table_NFI[Winter Clothes Children])</f>
        <v>0</v>
      </c>
      <c r="AK353" s="294">
        <f>IF(NFI_Expiration=1,IF($A353&lt;VLOOKUP(T$5,NFI,5,0),1,0)*Table_NFI[[#This Row],[Winter Items Other]],Table_NFI[Winter Items Other])</f>
        <v>0</v>
      </c>
      <c r="AL353" s="294">
        <f>IF(NFI_Expiration=1,IF($A353&lt;VLOOKUP(M$5,NFI,5,0),1,0)*Table_NFI[[#This Row],[Winter Blanket]],Table_NFI[[#This Row],[Winter Blanket]])</f>
        <v>0</v>
      </c>
      <c r="AM353" s="294">
        <f>IF(Table_NFI[[#This Row],[Winter Clothes Adult]]+Table_NFI[[#This Row],[Winter Clothes Children]]+Table_NFI[[#This Row],[Winter Items Other]]+Table_NFI[[#This Row],[Winter Blanket]]&gt;0,1,0)</f>
        <v>1</v>
      </c>
      <c r="AN353" s="331">
        <f>IF(NFI_Expiration=1,IF($A353&lt;VLOOKUP(V$5,NFI,5,0),1,0)*Table_NFI[[#This Row],[Jerry Can]],Table_NFI[Jerry Can])</f>
        <v>0</v>
      </c>
      <c r="AO353" s="331">
        <f>IF(NFI_Expiration=1,IF($A353&lt;VLOOKUP(V$5,NFI,5,0),1,0)*Table_NFI[[#This Row],[Shelter Tool kit]],Table_NFI[Shelter Tool kit])</f>
        <v>0</v>
      </c>
      <c r="AP353" s="331">
        <f>IF(NFI_Expiration=1,IF($A353&lt;VLOOKUP(V$5,NFI,5,0),1,0)*Table_NFI[[#This Row],[Tent]],Table_NFI[Tent])</f>
        <v>0</v>
      </c>
      <c r="AQ353" s="467" t="str">
        <f>IFERROR(VLOOKUP(Table_NFI[[#This Row],[Camp Name]],CL,2,0),"")</f>
        <v>MMR001CMP057</v>
      </c>
      <c r="AR353" s="835">
        <f ca="1">IF(Table_NFI[[#This Row],[Pcode]]="","",IF(OFFSET(CampList[Opening Date],MATCH(Table_NFI[[#This Row],[Pcode]],CampList[CP_Pcode],0)-1,0,1,1)&gt;=NFI_Monitor_Date,1,0))</f>
        <v>0</v>
      </c>
      <c r="AS353" s="467" t="str">
        <f>IFERROR(VLOOKUP(Table_NFI[[#This Row],[Camp Name]],CL,3,0),"")</f>
        <v>Closed</v>
      </c>
      <c r="AT353" s="294" t="str">
        <f ca="1">IF(Table_NFI[[#This Row],[Pcode]]="","",OFFSET(CampList[Priority],MATCH(Table_NFI[[#This Row],[Pcode]],CampList[CP_Pcode],0)-1,0,1,1))</f>
        <v>P4</v>
      </c>
      <c r="AU353" s="293">
        <f>IFERROR(Table_NFI[[#This Row],[Kitchen Set]]/VLOOKUP(Table_NFI[[#This Row],[Camp Name]],CL,4,0),"")</f>
        <v>0</v>
      </c>
      <c r="AV353" s="461"/>
      <c r="AW353" s="463"/>
    </row>
    <row r="354" spans="1:49" s="464" customFormat="1" ht="15" customHeight="1" x14ac:dyDescent="0.25">
      <c r="A354" s="297">
        <f t="shared" si="5"/>
        <v>30.833333333333332</v>
      </c>
      <c r="B354" s="460">
        <v>41811</v>
      </c>
      <c r="C354" s="461" t="s">
        <v>1104</v>
      </c>
      <c r="D354" s="461" t="s">
        <v>900</v>
      </c>
      <c r="E354" s="461" t="s">
        <v>380</v>
      </c>
      <c r="F354" s="461" t="s">
        <v>237</v>
      </c>
      <c r="G354" s="461" t="s">
        <v>243</v>
      </c>
      <c r="H354" s="291"/>
      <c r="I354" s="291"/>
      <c r="J354" s="291"/>
      <c r="K354" s="291"/>
      <c r="L354" s="292"/>
      <c r="M354" s="292"/>
      <c r="N354" s="292"/>
      <c r="O354" s="292"/>
      <c r="P354" s="294"/>
      <c r="Q354" s="294"/>
      <c r="R354" s="294"/>
      <c r="S354" s="294"/>
      <c r="T354" s="294"/>
      <c r="U354" s="294">
        <v>12</v>
      </c>
      <c r="V354" s="613"/>
      <c r="W354" s="331"/>
      <c r="X354" s="331"/>
      <c r="Y354" s="294">
        <f>IF(NFI_Expiration=1,IF($A354&lt;VLOOKUP(H$5,NFI,5,0),1,0)*Table_NFI[[#This Row],[Hygiene Kit]],Table_NFI[Hygiene Kit])</f>
        <v>0</v>
      </c>
      <c r="Z354" s="294">
        <f>IF(NFI_Expiration=1,IF($A354&lt;VLOOKUP(I$5,NFI,5,0),1,0)*Table_NFI[[#This Row],[NFI Core Kit]],Table_NFI[NFI Core Kit])</f>
        <v>0</v>
      </c>
      <c r="AA354" s="294">
        <f>IF(NFI_Expiration=1,IF($A354&lt;VLOOKUP(J$5,NFI,5,0),1,0)*Table_NFI[[#This Row],[Sanitary Kit]],Table_NFI[Sanitary Kit])</f>
        <v>0</v>
      </c>
      <c r="AB354" s="294">
        <f>IF(NFI_Expiration=1,IF($A354&lt;VLOOKUP(K$5,NFI,5,0),1,0)*Table_NFI[[#This Row],[Mosquito net]],Table_NFI[Mosquito net])</f>
        <v>0</v>
      </c>
      <c r="AC354" s="294">
        <f>IF(NFI_Expiration=1,IF($A354&lt;VLOOKUP(L$5,NFI,5,0),1,0)*Table_NFI[[#This Row],[Tarpaulin]],Table_NFI[[#This Row],[Tarpaulin]])</f>
        <v>0</v>
      </c>
      <c r="AD354" s="294">
        <f>IF(NFI_Expiration=1,IF($A354&lt;VLOOKUP(M$5,NFI,5,0),1,0)*Table_NFI[[#This Row],[Blanket]],Table_NFI[[#This Row],[Blanket]])</f>
        <v>0</v>
      </c>
      <c r="AE354" s="294">
        <f>IF(NFI_Expiration=1,IF($A354&lt;VLOOKUP(N$5,NFI,5,0),1,0)*Table_NFI[[#This Row],[Kitchen Set]],Table_NFI[Kitchen Set])</f>
        <v>0</v>
      </c>
      <c r="AF354" s="294">
        <f>IF(NFI_Expiration=1,IF($A354&lt;VLOOKUP(O$5,NFI,5,0),1,0)*Table_NFI[[#This Row],[Clothes Kit]],Table_NFI[Clothes Kit])</f>
        <v>0</v>
      </c>
      <c r="AG354" s="294">
        <f>IF(NFI_Expiration=1,IF($A354&lt;VLOOKUP(P$5,NFI,5,0),1,0)*Table_NFI[[#This Row],[Plastic Bucket]],Table_NFI[Plastic Bucket])</f>
        <v>0</v>
      </c>
      <c r="AH354" s="294">
        <f>IF(NFI_Expiration=1,IF($A354&lt;VLOOKUP(Q$5,NFI,5,0),1,0)*Table_NFI[[#This Row],[Plastic Mat]],Table_NFI[Plastic Mat])*IF(Table_NFI[[#This Row],[Distribution Date]]&gt;"2014-04-01",1,2.5)</f>
        <v>0</v>
      </c>
      <c r="AI354" s="294">
        <f>IF(NFI_Expiration=1,IF($A354&lt;VLOOKUP(R$5,NFI,5,0),1,0)*Table_NFI[[#This Row],[Winter Clothes Adult]],Table_NFI[Winter Clothes Adult])</f>
        <v>0</v>
      </c>
      <c r="AJ354" s="294">
        <f>IF(NFI_Expiration=1,IF($A354&lt;VLOOKUP(S$5,NFI,5,0),1,0)*Table_NFI[[#This Row],[Winter Clothes Children]],Table_NFI[Winter Clothes Children])</f>
        <v>0</v>
      </c>
      <c r="AK354" s="294">
        <f>IF(NFI_Expiration=1,IF($A354&lt;VLOOKUP(T$5,NFI,5,0),1,0)*Table_NFI[[#This Row],[Winter Items Other]],Table_NFI[Winter Items Other])</f>
        <v>0</v>
      </c>
      <c r="AL354" s="294">
        <f>IF(NFI_Expiration=1,IF($A354&lt;VLOOKUP(M$5,NFI,5,0),1,0)*Table_NFI[[#This Row],[Winter Blanket]],Table_NFI[[#This Row],[Winter Blanket]])</f>
        <v>0</v>
      </c>
      <c r="AM354" s="294">
        <f>IF(Table_NFI[[#This Row],[Winter Clothes Adult]]+Table_NFI[[#This Row],[Winter Clothes Children]]+Table_NFI[[#This Row],[Winter Items Other]]+Table_NFI[[#This Row],[Winter Blanket]]&gt;0,1,0)</f>
        <v>1</v>
      </c>
      <c r="AN354" s="331">
        <f>IF(NFI_Expiration=1,IF($A354&lt;VLOOKUP(V$5,NFI,5,0),1,0)*Table_NFI[[#This Row],[Jerry Can]],Table_NFI[Jerry Can])</f>
        <v>0</v>
      </c>
      <c r="AO354" s="331">
        <f>IF(NFI_Expiration=1,IF($A354&lt;VLOOKUP(V$5,NFI,5,0),1,0)*Table_NFI[[#This Row],[Shelter Tool kit]],Table_NFI[Shelter Tool kit])</f>
        <v>0</v>
      </c>
      <c r="AP354" s="331">
        <f>IF(NFI_Expiration=1,IF($A354&lt;VLOOKUP(V$5,NFI,5,0),1,0)*Table_NFI[[#This Row],[Tent]],Table_NFI[Tent])</f>
        <v>0</v>
      </c>
      <c r="AQ354" s="467" t="str">
        <f>IFERROR(VLOOKUP(Table_NFI[[#This Row],[Camp Name]],CL,2,0),"")</f>
        <v>MMR001CMP012</v>
      </c>
      <c r="AR354" s="835">
        <f ca="1">IF(Table_NFI[[#This Row],[Pcode]]="","",IF(OFFSET(CampList[Opening Date],MATCH(Table_NFI[[#This Row],[Pcode]],CampList[CP_Pcode],0)-1,0,1,1)&gt;=NFI_Monitor_Date,1,0))</f>
        <v>0</v>
      </c>
      <c r="AS354" s="467" t="str">
        <f>IFERROR(VLOOKUP(Table_NFI[[#This Row],[Camp Name]],CL,3,0),"")</f>
        <v>Open</v>
      </c>
      <c r="AT354" s="294" t="str">
        <f ca="1">IF(Table_NFI[[#This Row],[Pcode]]="","",OFFSET(CampList[Priority],MATCH(Table_NFI[[#This Row],[Pcode]],CampList[CP_Pcode],0)-1,0,1,1))</f>
        <v>P4</v>
      </c>
      <c r="AU354" s="293">
        <f>IFERROR(Table_NFI[[#This Row],[Kitchen Set]]/VLOOKUP(Table_NFI[[#This Row],[Camp Name]],CL,4,0),"")</f>
        <v>0</v>
      </c>
      <c r="AV354" s="461"/>
      <c r="AW354" s="463"/>
    </row>
    <row r="355" spans="1:49" s="464" customFormat="1" ht="15" customHeight="1" x14ac:dyDescent="0.25">
      <c r="A355" s="297">
        <f t="shared" si="5"/>
        <v>30.833333333333332</v>
      </c>
      <c r="B355" s="460">
        <v>41811</v>
      </c>
      <c r="C355" s="461" t="s">
        <v>1104</v>
      </c>
      <c r="D355" s="461" t="s">
        <v>900</v>
      </c>
      <c r="E355" s="461" t="s">
        <v>380</v>
      </c>
      <c r="F355" s="461" t="s">
        <v>237</v>
      </c>
      <c r="G355" s="461" t="s">
        <v>245</v>
      </c>
      <c r="H355" s="291"/>
      <c r="I355" s="291"/>
      <c r="J355" s="291"/>
      <c r="K355" s="291"/>
      <c r="L355" s="292"/>
      <c r="M355" s="292"/>
      <c r="N355" s="292"/>
      <c r="O355" s="292"/>
      <c r="P355" s="294"/>
      <c r="Q355" s="294"/>
      <c r="R355" s="294"/>
      <c r="S355" s="294"/>
      <c r="T355" s="294"/>
      <c r="U355" s="294">
        <v>12</v>
      </c>
      <c r="V355" s="613"/>
      <c r="W355" s="331"/>
      <c r="X355" s="331"/>
      <c r="Y355" s="294">
        <f>IF(NFI_Expiration=1,IF($A355&lt;VLOOKUP(H$5,NFI,5,0),1,0)*Table_NFI[[#This Row],[Hygiene Kit]],Table_NFI[Hygiene Kit])</f>
        <v>0</v>
      </c>
      <c r="Z355" s="294">
        <f>IF(NFI_Expiration=1,IF($A355&lt;VLOOKUP(I$5,NFI,5,0),1,0)*Table_NFI[[#This Row],[NFI Core Kit]],Table_NFI[NFI Core Kit])</f>
        <v>0</v>
      </c>
      <c r="AA355" s="294">
        <f>IF(NFI_Expiration=1,IF($A355&lt;VLOOKUP(J$5,NFI,5,0),1,0)*Table_NFI[[#This Row],[Sanitary Kit]],Table_NFI[Sanitary Kit])</f>
        <v>0</v>
      </c>
      <c r="AB355" s="294">
        <f>IF(NFI_Expiration=1,IF($A355&lt;VLOOKUP(K$5,NFI,5,0),1,0)*Table_NFI[[#This Row],[Mosquito net]],Table_NFI[Mosquito net])</f>
        <v>0</v>
      </c>
      <c r="AC355" s="294">
        <f>IF(NFI_Expiration=1,IF($A355&lt;VLOOKUP(L$5,NFI,5,0),1,0)*Table_NFI[[#This Row],[Tarpaulin]],Table_NFI[[#This Row],[Tarpaulin]])</f>
        <v>0</v>
      </c>
      <c r="AD355" s="294">
        <f>IF(NFI_Expiration=1,IF($A355&lt;VLOOKUP(M$5,NFI,5,0),1,0)*Table_NFI[[#This Row],[Blanket]],Table_NFI[[#This Row],[Blanket]])</f>
        <v>0</v>
      </c>
      <c r="AE355" s="294">
        <f>IF(NFI_Expiration=1,IF($A355&lt;VLOOKUP(N$5,NFI,5,0),1,0)*Table_NFI[[#This Row],[Kitchen Set]],Table_NFI[Kitchen Set])</f>
        <v>0</v>
      </c>
      <c r="AF355" s="294">
        <f>IF(NFI_Expiration=1,IF($A355&lt;VLOOKUP(O$5,NFI,5,0),1,0)*Table_NFI[[#This Row],[Clothes Kit]],Table_NFI[Clothes Kit])</f>
        <v>0</v>
      </c>
      <c r="AG355" s="294">
        <f>IF(NFI_Expiration=1,IF($A355&lt;VLOOKUP(P$5,NFI,5,0),1,0)*Table_NFI[[#This Row],[Plastic Bucket]],Table_NFI[Plastic Bucket])</f>
        <v>0</v>
      </c>
      <c r="AH355" s="294">
        <f>IF(NFI_Expiration=1,IF($A355&lt;VLOOKUP(Q$5,NFI,5,0),1,0)*Table_NFI[[#This Row],[Plastic Mat]],Table_NFI[Plastic Mat])*IF(Table_NFI[[#This Row],[Distribution Date]]&gt;"2014-04-01",1,2.5)</f>
        <v>0</v>
      </c>
      <c r="AI355" s="294">
        <f>IF(NFI_Expiration=1,IF($A355&lt;VLOOKUP(R$5,NFI,5,0),1,0)*Table_NFI[[#This Row],[Winter Clothes Adult]],Table_NFI[Winter Clothes Adult])</f>
        <v>0</v>
      </c>
      <c r="AJ355" s="294">
        <f>IF(NFI_Expiration=1,IF($A355&lt;VLOOKUP(S$5,NFI,5,0),1,0)*Table_NFI[[#This Row],[Winter Clothes Children]],Table_NFI[Winter Clothes Children])</f>
        <v>0</v>
      </c>
      <c r="AK355" s="294">
        <f>IF(NFI_Expiration=1,IF($A355&lt;VLOOKUP(T$5,NFI,5,0),1,0)*Table_NFI[[#This Row],[Winter Items Other]],Table_NFI[Winter Items Other])</f>
        <v>0</v>
      </c>
      <c r="AL355" s="294">
        <f>IF(NFI_Expiration=1,IF($A355&lt;VLOOKUP(M$5,NFI,5,0),1,0)*Table_NFI[[#This Row],[Winter Blanket]],Table_NFI[[#This Row],[Winter Blanket]])</f>
        <v>0</v>
      </c>
      <c r="AM355" s="294">
        <f>IF(Table_NFI[[#This Row],[Winter Clothes Adult]]+Table_NFI[[#This Row],[Winter Clothes Children]]+Table_NFI[[#This Row],[Winter Items Other]]+Table_NFI[[#This Row],[Winter Blanket]]&gt;0,1,0)</f>
        <v>1</v>
      </c>
      <c r="AN355" s="331">
        <f>IF(NFI_Expiration=1,IF($A355&lt;VLOOKUP(V$5,NFI,5,0),1,0)*Table_NFI[[#This Row],[Jerry Can]],Table_NFI[Jerry Can])</f>
        <v>0</v>
      </c>
      <c r="AO355" s="331">
        <f>IF(NFI_Expiration=1,IF($A355&lt;VLOOKUP(V$5,NFI,5,0),1,0)*Table_NFI[[#This Row],[Shelter Tool kit]],Table_NFI[Shelter Tool kit])</f>
        <v>0</v>
      </c>
      <c r="AP355" s="331">
        <f>IF(NFI_Expiration=1,IF($A355&lt;VLOOKUP(V$5,NFI,5,0),1,0)*Table_NFI[[#This Row],[Tent]],Table_NFI[Tent])</f>
        <v>0</v>
      </c>
      <c r="AQ355" s="467" t="str">
        <f>IFERROR(VLOOKUP(Table_NFI[[#This Row],[Camp Name]],CL,2,0),"")</f>
        <v>MMR001CMP010</v>
      </c>
      <c r="AR355" s="835">
        <f ca="1">IF(Table_NFI[[#This Row],[Pcode]]="","",IF(OFFSET(CampList[Opening Date],MATCH(Table_NFI[[#This Row],[Pcode]],CampList[CP_Pcode],0)-1,0,1,1)&gt;=NFI_Monitor_Date,1,0))</f>
        <v>0</v>
      </c>
      <c r="AS355" s="467" t="str">
        <f>IFERROR(VLOOKUP(Table_NFI[[#This Row],[Camp Name]],CL,3,0),"")</f>
        <v>Open</v>
      </c>
      <c r="AT355" s="294" t="str">
        <f ca="1">IF(Table_NFI[[#This Row],[Pcode]]="","",OFFSET(CampList[Priority],MATCH(Table_NFI[[#This Row],[Pcode]],CampList[CP_Pcode],0)-1,0,1,1))</f>
        <v>P4</v>
      </c>
      <c r="AU355" s="293">
        <f>IFERROR(Table_NFI[[#This Row],[Kitchen Set]]/VLOOKUP(Table_NFI[[#This Row],[Camp Name]],CL,4,0),"")</f>
        <v>0</v>
      </c>
      <c r="AV355" s="461"/>
      <c r="AW355" s="463"/>
    </row>
    <row r="356" spans="1:49" s="464" customFormat="1" ht="15" customHeight="1" x14ac:dyDescent="0.25">
      <c r="A356" s="297">
        <f t="shared" si="5"/>
        <v>30.833333333333332</v>
      </c>
      <c r="B356" s="460">
        <v>41811</v>
      </c>
      <c r="C356" s="461" t="s">
        <v>1104</v>
      </c>
      <c r="D356" s="461" t="s">
        <v>900</v>
      </c>
      <c r="E356" s="461" t="s">
        <v>380</v>
      </c>
      <c r="F356" s="461" t="s">
        <v>237</v>
      </c>
      <c r="G356" s="461" t="s">
        <v>247</v>
      </c>
      <c r="H356" s="291"/>
      <c r="I356" s="291"/>
      <c r="J356" s="291"/>
      <c r="K356" s="291"/>
      <c r="L356" s="292"/>
      <c r="M356" s="292"/>
      <c r="N356" s="292"/>
      <c r="O356" s="292"/>
      <c r="P356" s="294"/>
      <c r="Q356" s="294"/>
      <c r="R356" s="294"/>
      <c r="S356" s="294"/>
      <c r="T356" s="294"/>
      <c r="U356" s="294">
        <v>16</v>
      </c>
      <c r="V356" s="431"/>
      <c r="W356" s="331"/>
      <c r="X356" s="331"/>
      <c r="Y356" s="294">
        <f>IF(NFI_Expiration=1,IF($A356&lt;VLOOKUP(H$5,NFI,5,0),1,0)*Table_NFI[[#This Row],[Hygiene Kit]],Table_NFI[Hygiene Kit])</f>
        <v>0</v>
      </c>
      <c r="Z356" s="294">
        <f>IF(NFI_Expiration=1,IF($A356&lt;VLOOKUP(I$5,NFI,5,0),1,0)*Table_NFI[[#This Row],[NFI Core Kit]],Table_NFI[NFI Core Kit])</f>
        <v>0</v>
      </c>
      <c r="AA356" s="294">
        <f>IF(NFI_Expiration=1,IF($A356&lt;VLOOKUP(J$5,NFI,5,0),1,0)*Table_NFI[[#This Row],[Sanitary Kit]],Table_NFI[Sanitary Kit])</f>
        <v>0</v>
      </c>
      <c r="AB356" s="294">
        <f>IF(NFI_Expiration=1,IF($A356&lt;VLOOKUP(K$5,NFI,5,0),1,0)*Table_NFI[[#This Row],[Mosquito net]],Table_NFI[Mosquito net])</f>
        <v>0</v>
      </c>
      <c r="AC356" s="294">
        <f>IF(NFI_Expiration=1,IF($A356&lt;VLOOKUP(L$5,NFI,5,0),1,0)*Table_NFI[[#This Row],[Tarpaulin]],Table_NFI[[#This Row],[Tarpaulin]])</f>
        <v>0</v>
      </c>
      <c r="AD356" s="294">
        <f>IF(NFI_Expiration=1,IF($A356&lt;VLOOKUP(M$5,NFI,5,0),1,0)*Table_NFI[[#This Row],[Blanket]],Table_NFI[[#This Row],[Blanket]])</f>
        <v>0</v>
      </c>
      <c r="AE356" s="294">
        <f>IF(NFI_Expiration=1,IF($A356&lt;VLOOKUP(N$5,NFI,5,0),1,0)*Table_NFI[[#This Row],[Kitchen Set]],Table_NFI[Kitchen Set])</f>
        <v>0</v>
      </c>
      <c r="AF356" s="294">
        <f>IF(NFI_Expiration=1,IF($A356&lt;VLOOKUP(O$5,NFI,5,0),1,0)*Table_NFI[[#This Row],[Clothes Kit]],Table_NFI[Clothes Kit])</f>
        <v>0</v>
      </c>
      <c r="AG356" s="294">
        <f>IF(NFI_Expiration=1,IF($A356&lt;VLOOKUP(P$5,NFI,5,0),1,0)*Table_NFI[[#This Row],[Plastic Bucket]],Table_NFI[Plastic Bucket])</f>
        <v>0</v>
      </c>
      <c r="AH356" s="294">
        <f>IF(NFI_Expiration=1,IF($A356&lt;VLOOKUP(Q$5,NFI,5,0),1,0)*Table_NFI[[#This Row],[Plastic Mat]],Table_NFI[Plastic Mat])*IF(Table_NFI[[#This Row],[Distribution Date]]&gt;"2014-04-01",1,2.5)</f>
        <v>0</v>
      </c>
      <c r="AI356" s="294">
        <f>IF(NFI_Expiration=1,IF($A356&lt;VLOOKUP(R$5,NFI,5,0),1,0)*Table_NFI[[#This Row],[Winter Clothes Adult]],Table_NFI[Winter Clothes Adult])</f>
        <v>0</v>
      </c>
      <c r="AJ356" s="294">
        <f>IF(NFI_Expiration=1,IF($A356&lt;VLOOKUP(S$5,NFI,5,0),1,0)*Table_NFI[[#This Row],[Winter Clothes Children]],Table_NFI[Winter Clothes Children])</f>
        <v>0</v>
      </c>
      <c r="AK356" s="294">
        <f>IF(NFI_Expiration=1,IF($A356&lt;VLOOKUP(T$5,NFI,5,0),1,0)*Table_NFI[[#This Row],[Winter Items Other]],Table_NFI[Winter Items Other])</f>
        <v>0</v>
      </c>
      <c r="AL356" s="294">
        <f>IF(NFI_Expiration=1,IF($A356&lt;VLOOKUP(M$5,NFI,5,0),1,0)*Table_NFI[[#This Row],[Winter Blanket]],Table_NFI[[#This Row],[Winter Blanket]])</f>
        <v>0</v>
      </c>
      <c r="AM356" s="294">
        <f>IF(Table_NFI[[#This Row],[Winter Clothes Adult]]+Table_NFI[[#This Row],[Winter Clothes Children]]+Table_NFI[[#This Row],[Winter Items Other]]+Table_NFI[[#This Row],[Winter Blanket]]&gt;0,1,0)</f>
        <v>1</v>
      </c>
      <c r="AN356" s="331">
        <f>IF(NFI_Expiration=1,IF($A356&lt;VLOOKUP(V$5,NFI,5,0),1,0)*Table_NFI[[#This Row],[Jerry Can]],Table_NFI[Jerry Can])</f>
        <v>0</v>
      </c>
      <c r="AO356" s="331">
        <f>IF(NFI_Expiration=1,IF($A356&lt;VLOOKUP(V$5,NFI,5,0),1,0)*Table_NFI[[#This Row],[Shelter Tool kit]],Table_NFI[Shelter Tool kit])</f>
        <v>0</v>
      </c>
      <c r="AP356" s="331">
        <f>IF(NFI_Expiration=1,IF($A356&lt;VLOOKUP(V$5,NFI,5,0),1,0)*Table_NFI[[#This Row],[Tent]],Table_NFI[Tent])</f>
        <v>0</v>
      </c>
      <c r="AQ356" s="467" t="str">
        <f>IFERROR(VLOOKUP(Table_NFI[[#This Row],[Camp Name]],CL,2,0),"")</f>
        <v>MMR001CMP011</v>
      </c>
      <c r="AR356" s="835">
        <f ca="1">IF(Table_NFI[[#This Row],[Pcode]]="","",IF(OFFSET(CampList[Opening Date],MATCH(Table_NFI[[#This Row],[Pcode]],CampList[CP_Pcode],0)-1,0,1,1)&gt;=NFI_Monitor_Date,1,0))</f>
        <v>0</v>
      </c>
      <c r="AS356" s="467" t="str">
        <f>IFERROR(VLOOKUP(Table_NFI[[#This Row],[Camp Name]],CL,3,0),"")</f>
        <v>Open</v>
      </c>
      <c r="AT356" s="294" t="str">
        <f ca="1">IF(Table_NFI[[#This Row],[Pcode]]="","",OFFSET(CampList[Priority],MATCH(Table_NFI[[#This Row],[Pcode]],CampList[CP_Pcode],0)-1,0,1,1))</f>
        <v>P4</v>
      </c>
      <c r="AU356" s="293">
        <f>IFERROR(Table_NFI[[#This Row],[Kitchen Set]]/VLOOKUP(Table_NFI[[#This Row],[Camp Name]],CL,4,0),"")</f>
        <v>0</v>
      </c>
      <c r="AV356" s="461"/>
      <c r="AW356" s="463"/>
    </row>
    <row r="357" spans="1:49" s="464" customFormat="1" x14ac:dyDescent="0.25">
      <c r="A357" s="297">
        <f t="shared" si="5"/>
        <v>30.866666666666667</v>
      </c>
      <c r="B357" s="460">
        <v>41810</v>
      </c>
      <c r="C357" s="461" t="s">
        <v>1104</v>
      </c>
      <c r="D357" s="461" t="s">
        <v>900</v>
      </c>
      <c r="E357" s="461" t="s">
        <v>380</v>
      </c>
      <c r="F357" s="461" t="s">
        <v>237</v>
      </c>
      <c r="G357" s="461" t="s">
        <v>249</v>
      </c>
      <c r="H357" s="291"/>
      <c r="I357" s="291"/>
      <c r="J357" s="291"/>
      <c r="K357" s="291"/>
      <c r="L357" s="292"/>
      <c r="M357" s="292"/>
      <c r="N357" s="292"/>
      <c r="O357" s="292"/>
      <c r="P357" s="294"/>
      <c r="Q357" s="294"/>
      <c r="R357" s="294"/>
      <c r="S357" s="294"/>
      <c r="T357" s="294"/>
      <c r="U357" s="294">
        <v>16</v>
      </c>
      <c r="V357" s="431"/>
      <c r="W357" s="331"/>
      <c r="X357" s="331"/>
      <c r="Y357" s="294">
        <f>IF(NFI_Expiration=1,IF($A357&lt;VLOOKUP(H$5,NFI,5,0),1,0)*Table_NFI[[#This Row],[Hygiene Kit]],Table_NFI[Hygiene Kit])</f>
        <v>0</v>
      </c>
      <c r="Z357" s="294">
        <f>IF(NFI_Expiration=1,IF($A357&lt;VLOOKUP(I$5,NFI,5,0),1,0)*Table_NFI[[#This Row],[NFI Core Kit]],Table_NFI[NFI Core Kit])</f>
        <v>0</v>
      </c>
      <c r="AA357" s="294">
        <f>IF(NFI_Expiration=1,IF($A357&lt;VLOOKUP(J$5,NFI,5,0),1,0)*Table_NFI[[#This Row],[Sanitary Kit]],Table_NFI[Sanitary Kit])</f>
        <v>0</v>
      </c>
      <c r="AB357" s="294">
        <f>IF(NFI_Expiration=1,IF($A357&lt;VLOOKUP(K$5,NFI,5,0),1,0)*Table_NFI[[#This Row],[Mosquito net]],Table_NFI[Mosquito net])</f>
        <v>0</v>
      </c>
      <c r="AC357" s="294">
        <f>IF(NFI_Expiration=1,IF($A357&lt;VLOOKUP(L$5,NFI,5,0),1,0)*Table_NFI[[#This Row],[Tarpaulin]],Table_NFI[[#This Row],[Tarpaulin]])</f>
        <v>0</v>
      </c>
      <c r="AD357" s="294">
        <f>IF(NFI_Expiration=1,IF($A357&lt;VLOOKUP(M$5,NFI,5,0),1,0)*Table_NFI[[#This Row],[Blanket]],Table_NFI[[#This Row],[Blanket]])</f>
        <v>0</v>
      </c>
      <c r="AE357" s="294">
        <f>IF(NFI_Expiration=1,IF($A357&lt;VLOOKUP(N$5,NFI,5,0),1,0)*Table_NFI[[#This Row],[Kitchen Set]],Table_NFI[Kitchen Set])</f>
        <v>0</v>
      </c>
      <c r="AF357" s="294">
        <f>IF(NFI_Expiration=1,IF($A357&lt;VLOOKUP(O$5,NFI,5,0),1,0)*Table_NFI[[#This Row],[Clothes Kit]],Table_NFI[Clothes Kit])</f>
        <v>0</v>
      </c>
      <c r="AG357" s="294">
        <f>IF(NFI_Expiration=1,IF($A357&lt;VLOOKUP(P$5,NFI,5,0),1,0)*Table_NFI[[#This Row],[Plastic Bucket]],Table_NFI[Plastic Bucket])</f>
        <v>0</v>
      </c>
      <c r="AH357" s="294">
        <f>IF(NFI_Expiration=1,IF($A357&lt;VLOOKUP(Q$5,NFI,5,0),1,0)*Table_NFI[[#This Row],[Plastic Mat]],Table_NFI[Plastic Mat])*IF(Table_NFI[[#This Row],[Distribution Date]]&gt;"2014-04-01",1,2.5)</f>
        <v>0</v>
      </c>
      <c r="AI357" s="294">
        <f>IF(NFI_Expiration=1,IF($A357&lt;VLOOKUP(R$5,NFI,5,0),1,0)*Table_NFI[[#This Row],[Winter Clothes Adult]],Table_NFI[Winter Clothes Adult])</f>
        <v>0</v>
      </c>
      <c r="AJ357" s="294">
        <f>IF(NFI_Expiration=1,IF($A357&lt;VLOOKUP(S$5,NFI,5,0),1,0)*Table_NFI[[#This Row],[Winter Clothes Children]],Table_NFI[Winter Clothes Children])</f>
        <v>0</v>
      </c>
      <c r="AK357" s="294">
        <f>IF(NFI_Expiration=1,IF($A357&lt;VLOOKUP(T$5,NFI,5,0),1,0)*Table_NFI[[#This Row],[Winter Items Other]],Table_NFI[Winter Items Other])</f>
        <v>0</v>
      </c>
      <c r="AL357" s="294">
        <f>IF(NFI_Expiration=1,IF($A357&lt;VLOOKUP(M$5,NFI,5,0),1,0)*Table_NFI[[#This Row],[Winter Blanket]],Table_NFI[[#This Row],[Winter Blanket]])</f>
        <v>0</v>
      </c>
      <c r="AM357" s="294">
        <f>IF(Table_NFI[[#This Row],[Winter Clothes Adult]]+Table_NFI[[#This Row],[Winter Clothes Children]]+Table_NFI[[#This Row],[Winter Items Other]]+Table_NFI[[#This Row],[Winter Blanket]]&gt;0,1,0)</f>
        <v>1</v>
      </c>
      <c r="AN357" s="331">
        <f>IF(NFI_Expiration=1,IF($A357&lt;VLOOKUP(V$5,NFI,5,0),1,0)*Table_NFI[[#This Row],[Jerry Can]],Table_NFI[Jerry Can])</f>
        <v>0</v>
      </c>
      <c r="AO357" s="331">
        <f>IF(NFI_Expiration=1,IF($A357&lt;VLOOKUP(V$5,NFI,5,0),1,0)*Table_NFI[[#This Row],[Shelter Tool kit]],Table_NFI[Shelter Tool kit])</f>
        <v>0</v>
      </c>
      <c r="AP357" s="331">
        <f>IF(NFI_Expiration=1,IF($A357&lt;VLOOKUP(V$5,NFI,5,0),1,0)*Table_NFI[[#This Row],[Tent]],Table_NFI[Tent])</f>
        <v>0</v>
      </c>
      <c r="AQ357" s="467" t="str">
        <f>IFERROR(VLOOKUP(Table_NFI[[#This Row],[Camp Name]],CL,2,0),"")</f>
        <v>MMR001CMP004</v>
      </c>
      <c r="AR357" s="835">
        <f ca="1">IF(Table_NFI[[#This Row],[Pcode]]="","",IF(OFFSET(CampList[Opening Date],MATCH(Table_NFI[[#This Row],[Pcode]],CampList[CP_Pcode],0)-1,0,1,1)&gt;=NFI_Monitor_Date,1,0))</f>
        <v>0</v>
      </c>
      <c r="AS357" s="467" t="str">
        <f>IFERROR(VLOOKUP(Table_NFI[[#This Row],[Camp Name]],CL,3,0),"")</f>
        <v>Open</v>
      </c>
      <c r="AT357" s="294" t="str">
        <f ca="1">IF(Table_NFI[[#This Row],[Pcode]]="","",OFFSET(CampList[Priority],MATCH(Table_NFI[[#This Row],[Pcode]],CampList[CP_Pcode],0)-1,0,1,1))</f>
        <v>P4</v>
      </c>
      <c r="AU357" s="293">
        <f>IFERROR(Table_NFI[[#This Row],[Kitchen Set]]/VLOOKUP(Table_NFI[[#This Row],[Camp Name]],CL,4,0),"")</f>
        <v>0</v>
      </c>
      <c r="AV357" s="461"/>
      <c r="AW357" s="463"/>
    </row>
    <row r="358" spans="1:49" s="464" customFormat="1" x14ac:dyDescent="0.25">
      <c r="A358" s="297">
        <f t="shared" si="5"/>
        <v>30.966666666666665</v>
      </c>
      <c r="B358" s="460">
        <v>41807</v>
      </c>
      <c r="C358" s="461" t="s">
        <v>452</v>
      </c>
      <c r="D358" s="461"/>
      <c r="E358" s="461" t="s">
        <v>380</v>
      </c>
      <c r="F358" s="461" t="s">
        <v>151</v>
      </c>
      <c r="G358" s="461" t="s">
        <v>885</v>
      </c>
      <c r="H358" s="291"/>
      <c r="I358" s="291"/>
      <c r="J358" s="291"/>
      <c r="K358" s="291">
        <v>10</v>
      </c>
      <c r="L358" s="292">
        <v>3</v>
      </c>
      <c r="M358" s="292">
        <v>10</v>
      </c>
      <c r="N358" s="292">
        <v>3</v>
      </c>
      <c r="O358" s="292"/>
      <c r="P358" s="294">
        <v>3</v>
      </c>
      <c r="Q358" s="294">
        <v>10</v>
      </c>
      <c r="R358" s="294"/>
      <c r="S358" s="294"/>
      <c r="T358" s="294"/>
      <c r="U358" s="294"/>
      <c r="V358" s="431"/>
      <c r="W358" s="331"/>
      <c r="X358" s="331"/>
      <c r="Y358" s="294">
        <f>IF(NFI_Expiration=1,IF($A358&lt;VLOOKUP(H$5,NFI,5,0),1,0)*Table_NFI[[#This Row],[Hygiene Kit]],Table_NFI[Hygiene Kit])</f>
        <v>0</v>
      </c>
      <c r="Z358" s="294">
        <f>IF(NFI_Expiration=1,IF($A358&lt;VLOOKUP(I$5,NFI,5,0),1,0)*Table_NFI[[#This Row],[NFI Core Kit]],Table_NFI[NFI Core Kit])</f>
        <v>0</v>
      </c>
      <c r="AA358" s="294">
        <f>IF(NFI_Expiration=1,IF($A358&lt;VLOOKUP(J$5,NFI,5,0),1,0)*Table_NFI[[#This Row],[Sanitary Kit]],Table_NFI[Sanitary Kit])</f>
        <v>0</v>
      </c>
      <c r="AB358" s="294">
        <f>IF(NFI_Expiration=1,IF($A358&lt;VLOOKUP(K$5,NFI,5,0),1,0)*Table_NFI[[#This Row],[Mosquito net]],Table_NFI[Mosquito net])</f>
        <v>0</v>
      </c>
      <c r="AC358" s="294">
        <f>IF(NFI_Expiration=1,IF($A358&lt;VLOOKUP(L$5,NFI,5,0),1,0)*Table_NFI[[#This Row],[Tarpaulin]],Table_NFI[[#This Row],[Tarpaulin]])</f>
        <v>0</v>
      </c>
      <c r="AD358" s="294">
        <f>IF(NFI_Expiration=1,IF($A358&lt;VLOOKUP(M$5,NFI,5,0),1,0)*Table_NFI[[#This Row],[Blanket]],Table_NFI[[#This Row],[Blanket]])</f>
        <v>0</v>
      </c>
      <c r="AE358" s="294">
        <f>IF(NFI_Expiration=1,IF($A358&lt;VLOOKUP(N$5,NFI,5,0),1,0)*Table_NFI[[#This Row],[Kitchen Set]],Table_NFI[Kitchen Set])</f>
        <v>0</v>
      </c>
      <c r="AF358" s="294">
        <f>IF(NFI_Expiration=1,IF($A358&lt;VLOOKUP(O$5,NFI,5,0),1,0)*Table_NFI[[#This Row],[Clothes Kit]],Table_NFI[Clothes Kit])</f>
        <v>0</v>
      </c>
      <c r="AG358" s="294">
        <f>IF(NFI_Expiration=1,IF($A358&lt;VLOOKUP(P$5,NFI,5,0),1,0)*Table_NFI[[#This Row],[Plastic Bucket]],Table_NFI[Plastic Bucket])</f>
        <v>0</v>
      </c>
      <c r="AH358" s="294">
        <f>IF(NFI_Expiration=1,IF($A358&lt;VLOOKUP(Q$5,NFI,5,0),1,0)*Table_NFI[[#This Row],[Plastic Mat]],Table_NFI[Plastic Mat])*IF(Table_NFI[[#This Row],[Distribution Date]]&gt;"2014-04-01",1,2.5)</f>
        <v>0</v>
      </c>
      <c r="AI358" s="294">
        <f>IF(NFI_Expiration=1,IF($A358&lt;VLOOKUP(R$5,NFI,5,0),1,0)*Table_NFI[[#This Row],[Winter Clothes Adult]],Table_NFI[Winter Clothes Adult])</f>
        <v>0</v>
      </c>
      <c r="AJ358" s="294">
        <f>IF(NFI_Expiration=1,IF($A358&lt;VLOOKUP(S$5,NFI,5,0),1,0)*Table_NFI[[#This Row],[Winter Clothes Children]],Table_NFI[Winter Clothes Children])</f>
        <v>0</v>
      </c>
      <c r="AK358" s="294">
        <f>IF(NFI_Expiration=1,IF($A358&lt;VLOOKUP(T$5,NFI,5,0),1,0)*Table_NFI[[#This Row],[Winter Items Other]],Table_NFI[Winter Items Other])</f>
        <v>0</v>
      </c>
      <c r="AL358" s="294">
        <f>IF(NFI_Expiration=1,IF($A358&lt;VLOOKUP(M$5,NFI,5,0),1,0)*Table_NFI[[#This Row],[Winter Blanket]],Table_NFI[[#This Row],[Winter Blanket]])</f>
        <v>0</v>
      </c>
      <c r="AM358" s="294">
        <f>IF(Table_NFI[[#This Row],[Winter Clothes Adult]]+Table_NFI[[#This Row],[Winter Clothes Children]]+Table_NFI[[#This Row],[Winter Items Other]]+Table_NFI[[#This Row],[Winter Blanket]]&gt;0,1,0)</f>
        <v>0</v>
      </c>
      <c r="AN358" s="331">
        <f>IF(NFI_Expiration=1,IF($A358&lt;VLOOKUP(V$5,NFI,5,0),1,0)*Table_NFI[[#This Row],[Jerry Can]],Table_NFI[Jerry Can])</f>
        <v>0</v>
      </c>
      <c r="AO358" s="331">
        <f>IF(NFI_Expiration=1,IF($A358&lt;VLOOKUP(V$5,NFI,5,0),1,0)*Table_NFI[[#This Row],[Shelter Tool kit]],Table_NFI[Shelter Tool kit])</f>
        <v>0</v>
      </c>
      <c r="AP358" s="331">
        <f>IF(NFI_Expiration=1,IF($A358&lt;VLOOKUP(V$5,NFI,5,0),1,0)*Table_NFI[[#This Row],[Tent]],Table_NFI[Tent])</f>
        <v>0</v>
      </c>
      <c r="AQ358" s="467" t="str">
        <f>IFERROR(VLOOKUP(Table_NFI[[#This Row],[Camp Name]],CL,2,0),"")</f>
        <v>MMR001CMP218</v>
      </c>
      <c r="AR358" s="835">
        <f ca="1">IF(Table_NFI[[#This Row],[Pcode]]="","",IF(OFFSET(CampList[Opening Date],MATCH(Table_NFI[[#This Row],[Pcode]],CampList[CP_Pcode],0)-1,0,1,1)&gt;=NFI_Monitor_Date,1,0))</f>
        <v>0</v>
      </c>
      <c r="AS358" s="467" t="str">
        <f>IFERROR(VLOOKUP(Table_NFI[[#This Row],[Camp Name]],CL,3,0),"")</f>
        <v>Open</v>
      </c>
      <c r="AT358" s="294" t="str">
        <f ca="1">IF(Table_NFI[[#This Row],[Pcode]]="","",OFFSET(CampList[Priority],MATCH(Table_NFI[[#This Row],[Pcode]],CampList[CP_Pcode],0)-1,0,1,1))</f>
        <v>P4</v>
      </c>
      <c r="AU358" s="293">
        <f>IFERROR(Table_NFI[[#This Row],[Kitchen Set]]/VLOOKUP(Table_NFI[[#This Row],[Camp Name]],CL,4,0),"")</f>
        <v>7.2205641667468946E-5</v>
      </c>
      <c r="AV358" s="461"/>
      <c r="AW358" s="463"/>
    </row>
    <row r="359" spans="1:49" s="464" customFormat="1" ht="15" customHeight="1" x14ac:dyDescent="0.25">
      <c r="A359" s="297">
        <f t="shared" si="5"/>
        <v>31.033333333333335</v>
      </c>
      <c r="B359" s="460">
        <v>41805</v>
      </c>
      <c r="C359" s="461" t="s">
        <v>1104</v>
      </c>
      <c r="D359" s="461" t="s">
        <v>900</v>
      </c>
      <c r="E359" s="461" t="s">
        <v>380</v>
      </c>
      <c r="F359" s="461" t="s">
        <v>302</v>
      </c>
      <c r="G359" s="461" t="s">
        <v>306</v>
      </c>
      <c r="H359" s="291"/>
      <c r="I359" s="291"/>
      <c r="J359" s="291"/>
      <c r="K359" s="291"/>
      <c r="L359" s="292"/>
      <c r="M359" s="292"/>
      <c r="N359" s="292"/>
      <c r="O359" s="292"/>
      <c r="P359" s="294"/>
      <c r="Q359" s="294"/>
      <c r="R359" s="294"/>
      <c r="S359" s="294"/>
      <c r="T359" s="294"/>
      <c r="U359" s="294">
        <v>158</v>
      </c>
      <c r="V359" s="431"/>
      <c r="W359" s="331"/>
      <c r="X359" s="331"/>
      <c r="Y359" s="294">
        <f>IF(NFI_Expiration=1,IF($A359&lt;VLOOKUP(H$5,NFI,5,0),1,0)*Table_NFI[[#This Row],[Hygiene Kit]],Table_NFI[Hygiene Kit])</f>
        <v>0</v>
      </c>
      <c r="Z359" s="294">
        <f>IF(NFI_Expiration=1,IF($A359&lt;VLOOKUP(I$5,NFI,5,0),1,0)*Table_NFI[[#This Row],[NFI Core Kit]],Table_NFI[NFI Core Kit])</f>
        <v>0</v>
      </c>
      <c r="AA359" s="294">
        <f>IF(NFI_Expiration=1,IF($A359&lt;VLOOKUP(J$5,NFI,5,0),1,0)*Table_NFI[[#This Row],[Sanitary Kit]],Table_NFI[Sanitary Kit])</f>
        <v>0</v>
      </c>
      <c r="AB359" s="294">
        <f>IF(NFI_Expiration=1,IF($A359&lt;VLOOKUP(K$5,NFI,5,0),1,0)*Table_NFI[[#This Row],[Mosquito net]],Table_NFI[Mosquito net])</f>
        <v>0</v>
      </c>
      <c r="AC359" s="294">
        <f>IF(NFI_Expiration=1,IF($A359&lt;VLOOKUP(L$5,NFI,5,0),1,0)*Table_NFI[[#This Row],[Tarpaulin]],Table_NFI[[#This Row],[Tarpaulin]])</f>
        <v>0</v>
      </c>
      <c r="AD359" s="294">
        <f>IF(NFI_Expiration=1,IF($A359&lt;VLOOKUP(M$5,NFI,5,0),1,0)*Table_NFI[[#This Row],[Blanket]],Table_NFI[[#This Row],[Blanket]])</f>
        <v>0</v>
      </c>
      <c r="AE359" s="294">
        <f>IF(NFI_Expiration=1,IF($A359&lt;VLOOKUP(N$5,NFI,5,0),1,0)*Table_NFI[[#This Row],[Kitchen Set]],Table_NFI[Kitchen Set])</f>
        <v>0</v>
      </c>
      <c r="AF359" s="294">
        <f>IF(NFI_Expiration=1,IF($A359&lt;VLOOKUP(O$5,NFI,5,0),1,0)*Table_NFI[[#This Row],[Clothes Kit]],Table_NFI[Clothes Kit])</f>
        <v>0</v>
      </c>
      <c r="AG359" s="294">
        <f>IF(NFI_Expiration=1,IF($A359&lt;VLOOKUP(P$5,NFI,5,0),1,0)*Table_NFI[[#This Row],[Plastic Bucket]],Table_NFI[Plastic Bucket])</f>
        <v>0</v>
      </c>
      <c r="AH359" s="294">
        <f>IF(NFI_Expiration=1,IF($A359&lt;VLOOKUP(Q$5,NFI,5,0),1,0)*Table_NFI[[#This Row],[Plastic Mat]],Table_NFI[Plastic Mat])*IF(Table_NFI[[#This Row],[Distribution Date]]&gt;"2014-04-01",1,2.5)</f>
        <v>0</v>
      </c>
      <c r="AI359" s="294">
        <f>IF(NFI_Expiration=1,IF($A359&lt;VLOOKUP(R$5,NFI,5,0),1,0)*Table_NFI[[#This Row],[Winter Clothes Adult]],Table_NFI[Winter Clothes Adult])</f>
        <v>0</v>
      </c>
      <c r="AJ359" s="294">
        <f>IF(NFI_Expiration=1,IF($A359&lt;VLOOKUP(S$5,NFI,5,0),1,0)*Table_NFI[[#This Row],[Winter Clothes Children]],Table_NFI[Winter Clothes Children])</f>
        <v>0</v>
      </c>
      <c r="AK359" s="294">
        <f>IF(NFI_Expiration=1,IF($A359&lt;VLOOKUP(T$5,NFI,5,0),1,0)*Table_NFI[[#This Row],[Winter Items Other]],Table_NFI[Winter Items Other])</f>
        <v>0</v>
      </c>
      <c r="AL359" s="294">
        <f>IF(NFI_Expiration=1,IF($A359&lt;VLOOKUP(M$5,NFI,5,0),1,0)*Table_NFI[[#This Row],[Winter Blanket]],Table_NFI[[#This Row],[Winter Blanket]])</f>
        <v>0</v>
      </c>
      <c r="AM359" s="294">
        <f>IF(Table_NFI[[#This Row],[Winter Clothes Adult]]+Table_NFI[[#This Row],[Winter Clothes Children]]+Table_NFI[[#This Row],[Winter Items Other]]+Table_NFI[[#This Row],[Winter Blanket]]&gt;0,1,0)</f>
        <v>1</v>
      </c>
      <c r="AN359" s="331">
        <f>IF(NFI_Expiration=1,IF($A359&lt;VLOOKUP(V$5,NFI,5,0),1,0)*Table_NFI[[#This Row],[Jerry Can]],Table_NFI[Jerry Can])</f>
        <v>0</v>
      </c>
      <c r="AO359" s="331">
        <f>IF(NFI_Expiration=1,IF($A359&lt;VLOOKUP(V$5,NFI,5,0),1,0)*Table_NFI[[#This Row],[Shelter Tool kit]],Table_NFI[Shelter Tool kit])</f>
        <v>0</v>
      </c>
      <c r="AP359" s="331">
        <f>IF(NFI_Expiration=1,IF($A359&lt;VLOOKUP(V$5,NFI,5,0),1,0)*Table_NFI[[#This Row],[Tent]],Table_NFI[Tent])</f>
        <v>0</v>
      </c>
      <c r="AQ359" s="467" t="str">
        <f>IFERROR(VLOOKUP(Table_NFI[[#This Row],[Camp Name]],CL,2,0),"")</f>
        <v>MMR001CMP067</v>
      </c>
      <c r="AR359" s="835">
        <f ca="1">IF(Table_NFI[[#This Row],[Pcode]]="","",IF(OFFSET(CampList[Opening Date],MATCH(Table_NFI[[#This Row],[Pcode]],CampList[CP_Pcode],0)-1,0,1,1)&gt;=NFI_Monitor_Date,1,0))</f>
        <v>0</v>
      </c>
      <c r="AS359" s="467" t="str">
        <f>IFERROR(VLOOKUP(Table_NFI[[#This Row],[Camp Name]],CL,3,0),"")</f>
        <v>Open</v>
      </c>
      <c r="AT359" s="294" t="str">
        <f ca="1">IF(Table_NFI[[#This Row],[Pcode]]="","",OFFSET(CampList[Priority],MATCH(Table_NFI[[#This Row],[Pcode]],CampList[CP_Pcode],0)-1,0,1,1))</f>
        <v>P4</v>
      </c>
      <c r="AU359" s="293">
        <f>IFERROR(Table_NFI[[#This Row],[Kitchen Set]]/VLOOKUP(Table_NFI[[#This Row],[Camp Name]],CL,4,0),"")</f>
        <v>0</v>
      </c>
      <c r="AV359" s="461"/>
      <c r="AW359" s="463"/>
    </row>
    <row r="360" spans="1:49" s="464" customFormat="1" ht="15" customHeight="1" x14ac:dyDescent="0.25">
      <c r="A360" s="297">
        <f t="shared" si="5"/>
        <v>31.033333333333335</v>
      </c>
      <c r="B360" s="460">
        <v>41805</v>
      </c>
      <c r="C360" s="461" t="s">
        <v>1104</v>
      </c>
      <c r="D360" s="461" t="s">
        <v>900</v>
      </c>
      <c r="E360" s="461" t="s">
        <v>380</v>
      </c>
      <c r="F360" s="461" t="s">
        <v>302</v>
      </c>
      <c r="G360" s="461" t="s">
        <v>308</v>
      </c>
      <c r="H360" s="291"/>
      <c r="I360" s="291"/>
      <c r="J360" s="291"/>
      <c r="K360" s="291"/>
      <c r="L360" s="292"/>
      <c r="M360" s="292"/>
      <c r="N360" s="292"/>
      <c r="O360" s="292"/>
      <c r="P360" s="294"/>
      <c r="Q360" s="294"/>
      <c r="R360" s="294"/>
      <c r="S360" s="294"/>
      <c r="T360" s="294"/>
      <c r="U360" s="294">
        <v>112</v>
      </c>
      <c r="V360" s="431"/>
      <c r="W360" s="331"/>
      <c r="X360" s="331"/>
      <c r="Y360" s="294">
        <f>IF(NFI_Expiration=1,IF($A360&lt;VLOOKUP(H$5,NFI,5,0),1,0)*Table_NFI[[#This Row],[Hygiene Kit]],Table_NFI[Hygiene Kit])</f>
        <v>0</v>
      </c>
      <c r="Z360" s="294">
        <f>IF(NFI_Expiration=1,IF($A360&lt;VLOOKUP(I$5,NFI,5,0),1,0)*Table_NFI[[#This Row],[NFI Core Kit]],Table_NFI[NFI Core Kit])</f>
        <v>0</v>
      </c>
      <c r="AA360" s="294">
        <f>IF(NFI_Expiration=1,IF($A360&lt;VLOOKUP(J$5,NFI,5,0),1,0)*Table_NFI[[#This Row],[Sanitary Kit]],Table_NFI[Sanitary Kit])</f>
        <v>0</v>
      </c>
      <c r="AB360" s="294">
        <f>IF(NFI_Expiration=1,IF($A360&lt;VLOOKUP(K$5,NFI,5,0),1,0)*Table_NFI[[#This Row],[Mosquito net]],Table_NFI[Mosquito net])</f>
        <v>0</v>
      </c>
      <c r="AC360" s="294">
        <f>IF(NFI_Expiration=1,IF($A360&lt;VLOOKUP(L$5,NFI,5,0),1,0)*Table_NFI[[#This Row],[Tarpaulin]],Table_NFI[[#This Row],[Tarpaulin]])</f>
        <v>0</v>
      </c>
      <c r="AD360" s="294">
        <f>IF(NFI_Expiration=1,IF($A360&lt;VLOOKUP(M$5,NFI,5,0),1,0)*Table_NFI[[#This Row],[Blanket]],Table_NFI[[#This Row],[Blanket]])</f>
        <v>0</v>
      </c>
      <c r="AE360" s="294">
        <f>IF(NFI_Expiration=1,IF($A360&lt;VLOOKUP(N$5,NFI,5,0),1,0)*Table_NFI[[#This Row],[Kitchen Set]],Table_NFI[Kitchen Set])</f>
        <v>0</v>
      </c>
      <c r="AF360" s="294">
        <f>IF(NFI_Expiration=1,IF($A360&lt;VLOOKUP(O$5,NFI,5,0),1,0)*Table_NFI[[#This Row],[Clothes Kit]],Table_NFI[Clothes Kit])</f>
        <v>0</v>
      </c>
      <c r="AG360" s="294">
        <f>IF(NFI_Expiration=1,IF($A360&lt;VLOOKUP(P$5,NFI,5,0),1,0)*Table_NFI[[#This Row],[Plastic Bucket]],Table_NFI[Plastic Bucket])</f>
        <v>0</v>
      </c>
      <c r="AH360" s="294">
        <f>IF(NFI_Expiration=1,IF($A360&lt;VLOOKUP(Q$5,NFI,5,0),1,0)*Table_NFI[[#This Row],[Plastic Mat]],Table_NFI[Plastic Mat])*IF(Table_NFI[[#This Row],[Distribution Date]]&gt;"2014-04-01",1,2.5)</f>
        <v>0</v>
      </c>
      <c r="AI360" s="294">
        <f>IF(NFI_Expiration=1,IF($A360&lt;VLOOKUP(R$5,NFI,5,0),1,0)*Table_NFI[[#This Row],[Winter Clothes Adult]],Table_NFI[Winter Clothes Adult])</f>
        <v>0</v>
      </c>
      <c r="AJ360" s="294">
        <f>IF(NFI_Expiration=1,IF($A360&lt;VLOOKUP(S$5,NFI,5,0),1,0)*Table_NFI[[#This Row],[Winter Clothes Children]],Table_NFI[Winter Clothes Children])</f>
        <v>0</v>
      </c>
      <c r="AK360" s="294">
        <f>IF(NFI_Expiration=1,IF($A360&lt;VLOOKUP(T$5,NFI,5,0),1,0)*Table_NFI[[#This Row],[Winter Items Other]],Table_NFI[Winter Items Other])</f>
        <v>0</v>
      </c>
      <c r="AL360" s="294">
        <f>IF(NFI_Expiration=1,IF($A360&lt;VLOOKUP(M$5,NFI,5,0),1,0)*Table_NFI[[#This Row],[Winter Blanket]],Table_NFI[[#This Row],[Winter Blanket]])</f>
        <v>0</v>
      </c>
      <c r="AM360" s="294">
        <f>IF(Table_NFI[[#This Row],[Winter Clothes Adult]]+Table_NFI[[#This Row],[Winter Clothes Children]]+Table_NFI[[#This Row],[Winter Items Other]]+Table_NFI[[#This Row],[Winter Blanket]]&gt;0,1,0)</f>
        <v>1</v>
      </c>
      <c r="AN360" s="331">
        <f>IF(NFI_Expiration=1,IF($A360&lt;VLOOKUP(V$5,NFI,5,0),1,0)*Table_NFI[[#This Row],[Jerry Can]],Table_NFI[Jerry Can])</f>
        <v>0</v>
      </c>
      <c r="AO360" s="331">
        <f>IF(NFI_Expiration=1,IF($A360&lt;VLOOKUP(V$5,NFI,5,0),1,0)*Table_NFI[[#This Row],[Shelter Tool kit]],Table_NFI[Shelter Tool kit])</f>
        <v>0</v>
      </c>
      <c r="AP360" s="331">
        <f>IF(NFI_Expiration=1,IF($A360&lt;VLOOKUP(V$5,NFI,5,0),1,0)*Table_NFI[[#This Row],[Tent]],Table_NFI[Tent])</f>
        <v>0</v>
      </c>
      <c r="AQ360" s="467" t="str">
        <f>IFERROR(VLOOKUP(Table_NFI[[#This Row],[Camp Name]],CL,2,0),"")</f>
        <v>MMR001CMP068</v>
      </c>
      <c r="AR360" s="835">
        <f ca="1">IF(Table_NFI[[#This Row],[Pcode]]="","",IF(OFFSET(CampList[Opening Date],MATCH(Table_NFI[[#This Row],[Pcode]],CampList[CP_Pcode],0)-1,0,1,1)&gt;=NFI_Monitor_Date,1,0))</f>
        <v>0</v>
      </c>
      <c r="AS360" s="467" t="str">
        <f>IFERROR(VLOOKUP(Table_NFI[[#This Row],[Camp Name]],CL,3,0),"")</f>
        <v>Open</v>
      </c>
      <c r="AT360" s="294" t="str">
        <f ca="1">IF(Table_NFI[[#This Row],[Pcode]]="","",OFFSET(CampList[Priority],MATCH(Table_NFI[[#This Row],[Pcode]],CampList[CP_Pcode],0)-1,0,1,1))</f>
        <v>P4</v>
      </c>
      <c r="AU360" s="293">
        <f>IFERROR(Table_NFI[[#This Row],[Kitchen Set]]/VLOOKUP(Table_NFI[[#This Row],[Camp Name]],CL,4,0),"")</f>
        <v>0</v>
      </c>
      <c r="AV360" s="461"/>
      <c r="AW360" s="463"/>
    </row>
    <row r="361" spans="1:49" s="464" customFormat="1" ht="15" customHeight="1" x14ac:dyDescent="0.25">
      <c r="A361" s="297">
        <f t="shared" si="5"/>
        <v>31.066666666666666</v>
      </c>
      <c r="B361" s="460">
        <v>41804</v>
      </c>
      <c r="C361" s="461" t="s">
        <v>1104</v>
      </c>
      <c r="D361" s="461" t="s">
        <v>900</v>
      </c>
      <c r="E361" s="461" t="s">
        <v>380</v>
      </c>
      <c r="F361" s="461" t="s">
        <v>237</v>
      </c>
      <c r="G361" s="461" t="s">
        <v>253</v>
      </c>
      <c r="H361" s="291"/>
      <c r="I361" s="291"/>
      <c r="J361" s="291"/>
      <c r="K361" s="291"/>
      <c r="L361" s="292"/>
      <c r="M361" s="292"/>
      <c r="N361" s="292"/>
      <c r="O361" s="292"/>
      <c r="P361" s="294"/>
      <c r="Q361" s="294"/>
      <c r="R361" s="294"/>
      <c r="S361" s="294"/>
      <c r="T361" s="294"/>
      <c r="U361" s="294">
        <v>406</v>
      </c>
      <c r="V361" s="431"/>
      <c r="W361" s="331"/>
      <c r="X361" s="331"/>
      <c r="Y361" s="294">
        <f>IF(NFI_Expiration=1,IF($A361&lt;VLOOKUP(H$5,NFI,5,0),1,0)*Table_NFI[[#This Row],[Hygiene Kit]],Table_NFI[Hygiene Kit])</f>
        <v>0</v>
      </c>
      <c r="Z361" s="294">
        <f>IF(NFI_Expiration=1,IF($A361&lt;VLOOKUP(I$5,NFI,5,0),1,0)*Table_NFI[[#This Row],[NFI Core Kit]],Table_NFI[NFI Core Kit])</f>
        <v>0</v>
      </c>
      <c r="AA361" s="294">
        <f>IF(NFI_Expiration=1,IF($A361&lt;VLOOKUP(J$5,NFI,5,0),1,0)*Table_NFI[[#This Row],[Sanitary Kit]],Table_NFI[Sanitary Kit])</f>
        <v>0</v>
      </c>
      <c r="AB361" s="294">
        <f>IF(NFI_Expiration=1,IF($A361&lt;VLOOKUP(K$5,NFI,5,0),1,0)*Table_NFI[[#This Row],[Mosquito net]],Table_NFI[Mosquito net])</f>
        <v>0</v>
      </c>
      <c r="AC361" s="294">
        <f>IF(NFI_Expiration=1,IF($A361&lt;VLOOKUP(L$5,NFI,5,0),1,0)*Table_NFI[[#This Row],[Tarpaulin]],Table_NFI[[#This Row],[Tarpaulin]])</f>
        <v>0</v>
      </c>
      <c r="AD361" s="294">
        <f>IF(NFI_Expiration=1,IF($A361&lt;VLOOKUP(M$5,NFI,5,0),1,0)*Table_NFI[[#This Row],[Blanket]],Table_NFI[[#This Row],[Blanket]])</f>
        <v>0</v>
      </c>
      <c r="AE361" s="294">
        <f>IF(NFI_Expiration=1,IF($A361&lt;VLOOKUP(N$5,NFI,5,0),1,0)*Table_NFI[[#This Row],[Kitchen Set]],Table_NFI[Kitchen Set])</f>
        <v>0</v>
      </c>
      <c r="AF361" s="294">
        <f>IF(NFI_Expiration=1,IF($A361&lt;VLOOKUP(O$5,NFI,5,0),1,0)*Table_NFI[[#This Row],[Clothes Kit]],Table_NFI[Clothes Kit])</f>
        <v>0</v>
      </c>
      <c r="AG361" s="294">
        <f>IF(NFI_Expiration=1,IF($A361&lt;VLOOKUP(P$5,NFI,5,0),1,0)*Table_NFI[[#This Row],[Plastic Bucket]],Table_NFI[Plastic Bucket])</f>
        <v>0</v>
      </c>
      <c r="AH361" s="294">
        <f>IF(NFI_Expiration=1,IF($A361&lt;VLOOKUP(Q$5,NFI,5,0),1,0)*Table_NFI[[#This Row],[Plastic Mat]],Table_NFI[Plastic Mat])*IF(Table_NFI[[#This Row],[Distribution Date]]&gt;"2014-04-01",1,2.5)</f>
        <v>0</v>
      </c>
      <c r="AI361" s="294">
        <f>IF(NFI_Expiration=1,IF($A361&lt;VLOOKUP(R$5,NFI,5,0),1,0)*Table_NFI[[#This Row],[Winter Clothes Adult]],Table_NFI[Winter Clothes Adult])</f>
        <v>0</v>
      </c>
      <c r="AJ361" s="294">
        <f>IF(NFI_Expiration=1,IF($A361&lt;VLOOKUP(S$5,NFI,5,0),1,0)*Table_NFI[[#This Row],[Winter Clothes Children]],Table_NFI[Winter Clothes Children])</f>
        <v>0</v>
      </c>
      <c r="AK361" s="294">
        <f>IF(NFI_Expiration=1,IF($A361&lt;VLOOKUP(T$5,NFI,5,0),1,0)*Table_NFI[[#This Row],[Winter Items Other]],Table_NFI[Winter Items Other])</f>
        <v>0</v>
      </c>
      <c r="AL361" s="294">
        <f>IF(NFI_Expiration=1,IF($A361&lt;VLOOKUP(M$5,NFI,5,0),1,0)*Table_NFI[[#This Row],[Winter Blanket]],Table_NFI[[#This Row],[Winter Blanket]])</f>
        <v>0</v>
      </c>
      <c r="AM361" s="294">
        <f>IF(Table_NFI[[#This Row],[Winter Clothes Adult]]+Table_NFI[[#This Row],[Winter Clothes Children]]+Table_NFI[[#This Row],[Winter Items Other]]+Table_NFI[[#This Row],[Winter Blanket]]&gt;0,1,0)</f>
        <v>1</v>
      </c>
      <c r="AN361" s="331">
        <f>IF(NFI_Expiration=1,IF($A361&lt;VLOOKUP(V$5,NFI,5,0),1,0)*Table_NFI[[#This Row],[Jerry Can]],Table_NFI[Jerry Can])</f>
        <v>0</v>
      </c>
      <c r="AO361" s="331">
        <f>IF(NFI_Expiration=1,IF($A361&lt;VLOOKUP(V$5,NFI,5,0),1,0)*Table_NFI[[#This Row],[Shelter Tool kit]],Table_NFI[Shelter Tool kit])</f>
        <v>0</v>
      </c>
      <c r="AP361" s="331">
        <f>IF(NFI_Expiration=1,IF($A361&lt;VLOOKUP(V$5,NFI,5,0),1,0)*Table_NFI[[#This Row],[Tent]],Table_NFI[Tent])</f>
        <v>0</v>
      </c>
      <c r="AQ361" s="467" t="str">
        <f>IFERROR(VLOOKUP(Table_NFI[[#This Row],[Camp Name]],CL,2,0),"")</f>
        <v>MMR001CMP018</v>
      </c>
      <c r="AR361" s="835">
        <f ca="1">IF(Table_NFI[[#This Row],[Pcode]]="","",IF(OFFSET(CampList[Opening Date],MATCH(Table_NFI[[#This Row],[Pcode]],CampList[CP_Pcode],0)-1,0,1,1)&gt;=NFI_Monitor_Date,1,0))</f>
        <v>0</v>
      </c>
      <c r="AS361" s="467" t="str">
        <f>IFERROR(VLOOKUP(Table_NFI[[#This Row],[Camp Name]],CL,3,0),"")</f>
        <v>Open</v>
      </c>
      <c r="AT361" s="294" t="str">
        <f ca="1">IF(Table_NFI[[#This Row],[Pcode]]="","",OFFSET(CampList[Priority],MATCH(Table_NFI[[#This Row],[Pcode]],CampList[CP_Pcode],0)-1,0,1,1))</f>
        <v>P4</v>
      </c>
      <c r="AU361" s="293">
        <f>IFERROR(Table_NFI[[#This Row],[Kitchen Set]]/VLOOKUP(Table_NFI[[#This Row],[Camp Name]],CL,4,0),"")</f>
        <v>0</v>
      </c>
      <c r="AV361" s="461"/>
      <c r="AW361" s="463"/>
    </row>
    <row r="362" spans="1:49" s="464" customFormat="1" x14ac:dyDescent="0.25">
      <c r="A362" s="297">
        <f t="shared" si="5"/>
        <v>31.066666666666666</v>
      </c>
      <c r="B362" s="460">
        <v>41804</v>
      </c>
      <c r="C362" s="461" t="s">
        <v>1104</v>
      </c>
      <c r="D362" s="461" t="s">
        <v>900</v>
      </c>
      <c r="E362" s="461" t="s">
        <v>380</v>
      </c>
      <c r="F362" s="461" t="s">
        <v>237</v>
      </c>
      <c r="G362" s="461" t="s">
        <v>255</v>
      </c>
      <c r="H362" s="291"/>
      <c r="I362" s="291"/>
      <c r="J362" s="291"/>
      <c r="K362" s="291"/>
      <c r="L362" s="292"/>
      <c r="M362" s="292"/>
      <c r="N362" s="292"/>
      <c r="O362" s="292"/>
      <c r="P362" s="294"/>
      <c r="Q362" s="294"/>
      <c r="R362" s="294"/>
      <c r="S362" s="294"/>
      <c r="T362" s="294"/>
      <c r="U362" s="294">
        <v>216</v>
      </c>
      <c r="V362" s="431"/>
      <c r="W362" s="331"/>
      <c r="X362" s="331"/>
      <c r="Y362" s="294">
        <f>IF(NFI_Expiration=1,IF($A362&lt;VLOOKUP(H$5,NFI,5,0),1,0)*Table_NFI[[#This Row],[Hygiene Kit]],Table_NFI[Hygiene Kit])</f>
        <v>0</v>
      </c>
      <c r="Z362" s="294">
        <f>IF(NFI_Expiration=1,IF($A362&lt;VLOOKUP(I$5,NFI,5,0),1,0)*Table_NFI[[#This Row],[NFI Core Kit]],Table_NFI[NFI Core Kit])</f>
        <v>0</v>
      </c>
      <c r="AA362" s="294">
        <f>IF(NFI_Expiration=1,IF($A362&lt;VLOOKUP(J$5,NFI,5,0),1,0)*Table_NFI[[#This Row],[Sanitary Kit]],Table_NFI[Sanitary Kit])</f>
        <v>0</v>
      </c>
      <c r="AB362" s="294">
        <f>IF(NFI_Expiration=1,IF($A362&lt;VLOOKUP(K$5,NFI,5,0),1,0)*Table_NFI[[#This Row],[Mosquito net]],Table_NFI[Mosquito net])</f>
        <v>0</v>
      </c>
      <c r="AC362" s="294">
        <f>IF(NFI_Expiration=1,IF($A362&lt;VLOOKUP(L$5,NFI,5,0),1,0)*Table_NFI[[#This Row],[Tarpaulin]],Table_NFI[[#This Row],[Tarpaulin]])</f>
        <v>0</v>
      </c>
      <c r="AD362" s="294">
        <f>IF(NFI_Expiration=1,IF($A362&lt;VLOOKUP(M$5,NFI,5,0),1,0)*Table_NFI[[#This Row],[Blanket]],Table_NFI[[#This Row],[Blanket]])</f>
        <v>0</v>
      </c>
      <c r="AE362" s="294">
        <f>IF(NFI_Expiration=1,IF($A362&lt;VLOOKUP(N$5,NFI,5,0),1,0)*Table_NFI[[#This Row],[Kitchen Set]],Table_NFI[Kitchen Set])</f>
        <v>0</v>
      </c>
      <c r="AF362" s="294">
        <f>IF(NFI_Expiration=1,IF($A362&lt;VLOOKUP(O$5,NFI,5,0),1,0)*Table_NFI[[#This Row],[Clothes Kit]],Table_NFI[Clothes Kit])</f>
        <v>0</v>
      </c>
      <c r="AG362" s="294">
        <f>IF(NFI_Expiration=1,IF($A362&lt;VLOOKUP(P$5,NFI,5,0),1,0)*Table_NFI[[#This Row],[Plastic Bucket]],Table_NFI[Plastic Bucket])</f>
        <v>0</v>
      </c>
      <c r="AH362" s="294">
        <f>IF(NFI_Expiration=1,IF($A362&lt;VLOOKUP(Q$5,NFI,5,0),1,0)*Table_NFI[[#This Row],[Plastic Mat]],Table_NFI[Plastic Mat])*IF(Table_NFI[[#This Row],[Distribution Date]]&gt;"2014-04-01",1,2.5)</f>
        <v>0</v>
      </c>
      <c r="AI362" s="294">
        <f>IF(NFI_Expiration=1,IF($A362&lt;VLOOKUP(R$5,NFI,5,0),1,0)*Table_NFI[[#This Row],[Winter Clothes Adult]],Table_NFI[Winter Clothes Adult])</f>
        <v>0</v>
      </c>
      <c r="AJ362" s="294">
        <f>IF(NFI_Expiration=1,IF($A362&lt;VLOOKUP(S$5,NFI,5,0),1,0)*Table_NFI[[#This Row],[Winter Clothes Children]],Table_NFI[Winter Clothes Children])</f>
        <v>0</v>
      </c>
      <c r="AK362" s="294">
        <f>IF(NFI_Expiration=1,IF($A362&lt;VLOOKUP(T$5,NFI,5,0),1,0)*Table_NFI[[#This Row],[Winter Items Other]],Table_NFI[Winter Items Other])</f>
        <v>0</v>
      </c>
      <c r="AL362" s="294">
        <f>IF(NFI_Expiration=1,IF($A362&lt;VLOOKUP(M$5,NFI,5,0),1,0)*Table_NFI[[#This Row],[Winter Blanket]],Table_NFI[[#This Row],[Winter Blanket]])</f>
        <v>0</v>
      </c>
      <c r="AM362" s="294">
        <f>IF(Table_NFI[[#This Row],[Winter Clothes Adult]]+Table_NFI[[#This Row],[Winter Clothes Children]]+Table_NFI[[#This Row],[Winter Items Other]]+Table_NFI[[#This Row],[Winter Blanket]]&gt;0,1,0)</f>
        <v>1</v>
      </c>
      <c r="AN362" s="331">
        <f>IF(NFI_Expiration=1,IF($A362&lt;VLOOKUP(V$5,NFI,5,0),1,0)*Table_NFI[[#This Row],[Jerry Can]],Table_NFI[Jerry Can])</f>
        <v>0</v>
      </c>
      <c r="AO362" s="331">
        <f>IF(NFI_Expiration=1,IF($A362&lt;VLOOKUP(V$5,NFI,5,0),1,0)*Table_NFI[[#This Row],[Shelter Tool kit]],Table_NFI[Shelter Tool kit])</f>
        <v>0</v>
      </c>
      <c r="AP362" s="331">
        <f>IF(NFI_Expiration=1,IF($A362&lt;VLOOKUP(V$5,NFI,5,0),1,0)*Table_NFI[[#This Row],[Tent]],Table_NFI[Tent])</f>
        <v>0</v>
      </c>
      <c r="AQ362" s="467" t="str">
        <f>IFERROR(VLOOKUP(Table_NFI[[#This Row],[Camp Name]],CL,2,0),"")</f>
        <v>MMR001CMP019</v>
      </c>
      <c r="AR362" s="835">
        <f ca="1">IF(Table_NFI[[#This Row],[Pcode]]="","",IF(OFFSET(CampList[Opening Date],MATCH(Table_NFI[[#This Row],[Pcode]],CampList[CP_Pcode],0)-1,0,1,1)&gt;=NFI_Monitor_Date,1,0))</f>
        <v>0</v>
      </c>
      <c r="AS362" s="467" t="str">
        <f>IFERROR(VLOOKUP(Table_NFI[[#This Row],[Camp Name]],CL,3,0),"")</f>
        <v>Open</v>
      </c>
      <c r="AT362" s="294" t="str">
        <f ca="1">IF(Table_NFI[[#This Row],[Pcode]]="","",OFFSET(CampList[Priority],MATCH(Table_NFI[[#This Row],[Pcode]],CampList[CP_Pcode],0)-1,0,1,1))</f>
        <v>P4</v>
      </c>
      <c r="AU362" s="293">
        <f>IFERROR(Table_NFI[[#This Row],[Kitchen Set]]/VLOOKUP(Table_NFI[[#This Row],[Camp Name]],CL,4,0),"")</f>
        <v>0</v>
      </c>
      <c r="AV362" s="461"/>
      <c r="AW362" s="463"/>
    </row>
    <row r="363" spans="1:49" s="464" customFormat="1" ht="15" customHeight="1" x14ac:dyDescent="0.25">
      <c r="A363" s="297">
        <f t="shared" si="5"/>
        <v>31.1</v>
      </c>
      <c r="B363" s="460">
        <v>41803</v>
      </c>
      <c r="C363" s="461" t="s">
        <v>452</v>
      </c>
      <c r="D363" s="461"/>
      <c r="E363" s="461" t="s">
        <v>380</v>
      </c>
      <c r="F363" s="461" t="s">
        <v>151</v>
      </c>
      <c r="G363" s="461" t="s">
        <v>885</v>
      </c>
      <c r="H363" s="291"/>
      <c r="I363" s="291"/>
      <c r="J363" s="291"/>
      <c r="K363" s="291">
        <v>54</v>
      </c>
      <c r="L363" s="292">
        <v>18</v>
      </c>
      <c r="M363" s="292">
        <v>45</v>
      </c>
      <c r="N363" s="292">
        <v>18</v>
      </c>
      <c r="O363" s="292"/>
      <c r="P363" s="294">
        <v>18</v>
      </c>
      <c r="Q363" s="294">
        <v>50</v>
      </c>
      <c r="R363" s="294"/>
      <c r="S363" s="294"/>
      <c r="T363" s="294"/>
      <c r="U363" s="294"/>
      <c r="V363" s="431"/>
      <c r="W363" s="331"/>
      <c r="X363" s="331"/>
      <c r="Y363" s="294">
        <f>IF(NFI_Expiration=1,IF($A363&lt;VLOOKUP(H$5,NFI,5,0),1,0)*Table_NFI[[#This Row],[Hygiene Kit]],Table_NFI[Hygiene Kit])</f>
        <v>0</v>
      </c>
      <c r="Z363" s="294">
        <f>IF(NFI_Expiration=1,IF($A363&lt;VLOOKUP(I$5,NFI,5,0),1,0)*Table_NFI[[#This Row],[NFI Core Kit]],Table_NFI[NFI Core Kit])</f>
        <v>0</v>
      </c>
      <c r="AA363" s="294">
        <f>IF(NFI_Expiration=1,IF($A363&lt;VLOOKUP(J$5,NFI,5,0),1,0)*Table_NFI[[#This Row],[Sanitary Kit]],Table_NFI[Sanitary Kit])</f>
        <v>0</v>
      </c>
      <c r="AB363" s="294">
        <f>IF(NFI_Expiration=1,IF($A363&lt;VLOOKUP(K$5,NFI,5,0),1,0)*Table_NFI[[#This Row],[Mosquito net]],Table_NFI[Mosquito net])</f>
        <v>0</v>
      </c>
      <c r="AC363" s="294">
        <f>IF(NFI_Expiration=1,IF($A363&lt;VLOOKUP(L$5,NFI,5,0),1,0)*Table_NFI[[#This Row],[Tarpaulin]],Table_NFI[[#This Row],[Tarpaulin]])</f>
        <v>0</v>
      </c>
      <c r="AD363" s="294">
        <f>IF(NFI_Expiration=1,IF($A363&lt;VLOOKUP(M$5,NFI,5,0),1,0)*Table_NFI[[#This Row],[Blanket]],Table_NFI[[#This Row],[Blanket]])</f>
        <v>0</v>
      </c>
      <c r="AE363" s="294">
        <f>IF(NFI_Expiration=1,IF($A363&lt;VLOOKUP(N$5,NFI,5,0),1,0)*Table_NFI[[#This Row],[Kitchen Set]],Table_NFI[Kitchen Set])</f>
        <v>0</v>
      </c>
      <c r="AF363" s="294">
        <f>IF(NFI_Expiration=1,IF($A363&lt;VLOOKUP(O$5,NFI,5,0),1,0)*Table_NFI[[#This Row],[Clothes Kit]],Table_NFI[Clothes Kit])</f>
        <v>0</v>
      </c>
      <c r="AG363" s="294">
        <f>IF(NFI_Expiration=1,IF($A363&lt;VLOOKUP(P$5,NFI,5,0),1,0)*Table_NFI[[#This Row],[Plastic Bucket]],Table_NFI[Plastic Bucket])</f>
        <v>0</v>
      </c>
      <c r="AH363" s="294">
        <f>IF(NFI_Expiration=1,IF($A363&lt;VLOOKUP(Q$5,NFI,5,0),1,0)*Table_NFI[[#This Row],[Plastic Mat]],Table_NFI[Plastic Mat])*IF(Table_NFI[[#This Row],[Distribution Date]]&gt;"2014-04-01",1,2.5)</f>
        <v>0</v>
      </c>
      <c r="AI363" s="294">
        <f>IF(NFI_Expiration=1,IF($A363&lt;VLOOKUP(R$5,NFI,5,0),1,0)*Table_NFI[[#This Row],[Winter Clothes Adult]],Table_NFI[Winter Clothes Adult])</f>
        <v>0</v>
      </c>
      <c r="AJ363" s="294">
        <f>IF(NFI_Expiration=1,IF($A363&lt;VLOOKUP(S$5,NFI,5,0),1,0)*Table_NFI[[#This Row],[Winter Clothes Children]],Table_NFI[Winter Clothes Children])</f>
        <v>0</v>
      </c>
      <c r="AK363" s="294">
        <f>IF(NFI_Expiration=1,IF($A363&lt;VLOOKUP(T$5,NFI,5,0),1,0)*Table_NFI[[#This Row],[Winter Items Other]],Table_NFI[Winter Items Other])</f>
        <v>0</v>
      </c>
      <c r="AL363" s="294">
        <f>IF(NFI_Expiration=1,IF($A363&lt;VLOOKUP(M$5,NFI,5,0),1,0)*Table_NFI[[#This Row],[Winter Blanket]],Table_NFI[[#This Row],[Winter Blanket]])</f>
        <v>0</v>
      </c>
      <c r="AM363" s="294">
        <f>IF(Table_NFI[[#This Row],[Winter Clothes Adult]]+Table_NFI[[#This Row],[Winter Clothes Children]]+Table_NFI[[#This Row],[Winter Items Other]]+Table_NFI[[#This Row],[Winter Blanket]]&gt;0,1,0)</f>
        <v>0</v>
      </c>
      <c r="AN363" s="331">
        <f>IF(NFI_Expiration=1,IF($A363&lt;VLOOKUP(V$5,NFI,5,0),1,0)*Table_NFI[[#This Row],[Jerry Can]],Table_NFI[Jerry Can])</f>
        <v>0</v>
      </c>
      <c r="AO363" s="331">
        <f>IF(NFI_Expiration=1,IF($A363&lt;VLOOKUP(V$5,NFI,5,0),1,0)*Table_NFI[[#This Row],[Shelter Tool kit]],Table_NFI[Shelter Tool kit])</f>
        <v>0</v>
      </c>
      <c r="AP363" s="331">
        <f>IF(NFI_Expiration=1,IF($A363&lt;VLOOKUP(V$5,NFI,5,0),1,0)*Table_NFI[[#This Row],[Tent]],Table_NFI[Tent])</f>
        <v>0</v>
      </c>
      <c r="AQ363" s="467" t="str">
        <f>IFERROR(VLOOKUP(Table_NFI[[#This Row],[Camp Name]],CL,2,0),"")</f>
        <v>MMR001CMP218</v>
      </c>
      <c r="AR363" s="835">
        <f ca="1">IF(Table_NFI[[#This Row],[Pcode]]="","",IF(OFFSET(CampList[Opening Date],MATCH(Table_NFI[[#This Row],[Pcode]],CampList[CP_Pcode],0)-1,0,1,1)&gt;=NFI_Monitor_Date,1,0))</f>
        <v>0</v>
      </c>
      <c r="AS363" s="467" t="str">
        <f>IFERROR(VLOOKUP(Table_NFI[[#This Row],[Camp Name]],CL,3,0),"")</f>
        <v>Open</v>
      </c>
      <c r="AT363" s="294" t="str">
        <f ca="1">IF(Table_NFI[[#This Row],[Pcode]]="","",OFFSET(CampList[Priority],MATCH(Table_NFI[[#This Row],[Pcode]],CampList[CP_Pcode],0)-1,0,1,1))</f>
        <v>P4</v>
      </c>
      <c r="AU363" s="293">
        <f>IFERROR(Table_NFI[[#This Row],[Kitchen Set]]/VLOOKUP(Table_NFI[[#This Row],[Camp Name]],CL,4,0),"")</f>
        <v>4.332338500048137E-4</v>
      </c>
      <c r="AV363" s="461"/>
      <c r="AW363" s="463"/>
    </row>
    <row r="364" spans="1:49" s="464" customFormat="1" x14ac:dyDescent="0.25">
      <c r="A364" s="297">
        <f t="shared" si="5"/>
        <v>31.3</v>
      </c>
      <c r="B364" s="460">
        <v>41797</v>
      </c>
      <c r="C364" s="461" t="s">
        <v>1104</v>
      </c>
      <c r="D364" s="461" t="s">
        <v>900</v>
      </c>
      <c r="E364" s="461" t="s">
        <v>380</v>
      </c>
      <c r="F364" s="461" t="s">
        <v>180</v>
      </c>
      <c r="G364" s="461" t="s">
        <v>287</v>
      </c>
      <c r="H364" s="291"/>
      <c r="I364" s="291"/>
      <c r="J364" s="291"/>
      <c r="K364" s="291"/>
      <c r="L364" s="292"/>
      <c r="M364" s="292"/>
      <c r="N364" s="292"/>
      <c r="O364" s="292"/>
      <c r="P364" s="294"/>
      <c r="Q364" s="294"/>
      <c r="R364" s="294"/>
      <c r="S364" s="294"/>
      <c r="T364" s="294"/>
      <c r="U364" s="294">
        <v>40</v>
      </c>
      <c r="V364" s="431"/>
      <c r="W364" s="331"/>
      <c r="X364" s="331"/>
      <c r="Y364" s="294">
        <f>IF(NFI_Expiration=1,IF($A364&lt;VLOOKUP(H$5,NFI,5,0),1,0)*Table_NFI[[#This Row],[Hygiene Kit]],Table_NFI[Hygiene Kit])</f>
        <v>0</v>
      </c>
      <c r="Z364" s="294">
        <f>IF(NFI_Expiration=1,IF($A364&lt;VLOOKUP(I$5,NFI,5,0),1,0)*Table_NFI[[#This Row],[NFI Core Kit]],Table_NFI[NFI Core Kit])</f>
        <v>0</v>
      </c>
      <c r="AA364" s="294">
        <f>IF(NFI_Expiration=1,IF($A364&lt;VLOOKUP(J$5,NFI,5,0),1,0)*Table_NFI[[#This Row],[Sanitary Kit]],Table_NFI[Sanitary Kit])</f>
        <v>0</v>
      </c>
      <c r="AB364" s="294">
        <f>IF(NFI_Expiration=1,IF($A364&lt;VLOOKUP(K$5,NFI,5,0),1,0)*Table_NFI[[#This Row],[Mosquito net]],Table_NFI[Mosquito net])</f>
        <v>0</v>
      </c>
      <c r="AC364" s="294">
        <f>IF(NFI_Expiration=1,IF($A364&lt;VLOOKUP(L$5,NFI,5,0),1,0)*Table_NFI[[#This Row],[Tarpaulin]],Table_NFI[[#This Row],[Tarpaulin]])</f>
        <v>0</v>
      </c>
      <c r="AD364" s="294">
        <f>IF(NFI_Expiration=1,IF($A364&lt;VLOOKUP(M$5,NFI,5,0),1,0)*Table_NFI[[#This Row],[Blanket]],Table_NFI[[#This Row],[Blanket]])</f>
        <v>0</v>
      </c>
      <c r="AE364" s="294">
        <f>IF(NFI_Expiration=1,IF($A364&lt;VLOOKUP(N$5,NFI,5,0),1,0)*Table_NFI[[#This Row],[Kitchen Set]],Table_NFI[Kitchen Set])</f>
        <v>0</v>
      </c>
      <c r="AF364" s="294">
        <f>IF(NFI_Expiration=1,IF($A364&lt;VLOOKUP(O$5,NFI,5,0),1,0)*Table_NFI[[#This Row],[Clothes Kit]],Table_NFI[Clothes Kit])</f>
        <v>0</v>
      </c>
      <c r="AG364" s="294">
        <f>IF(NFI_Expiration=1,IF($A364&lt;VLOOKUP(P$5,NFI,5,0),1,0)*Table_NFI[[#This Row],[Plastic Bucket]],Table_NFI[Plastic Bucket])</f>
        <v>0</v>
      </c>
      <c r="AH364" s="294">
        <f>IF(NFI_Expiration=1,IF($A364&lt;VLOOKUP(Q$5,NFI,5,0),1,0)*Table_NFI[[#This Row],[Plastic Mat]],Table_NFI[Plastic Mat])*IF(Table_NFI[[#This Row],[Distribution Date]]&gt;"2014-04-01",1,2.5)</f>
        <v>0</v>
      </c>
      <c r="AI364" s="294">
        <f>IF(NFI_Expiration=1,IF($A364&lt;VLOOKUP(R$5,NFI,5,0),1,0)*Table_NFI[[#This Row],[Winter Clothes Adult]],Table_NFI[Winter Clothes Adult])</f>
        <v>0</v>
      </c>
      <c r="AJ364" s="294">
        <f>IF(NFI_Expiration=1,IF($A364&lt;VLOOKUP(S$5,NFI,5,0),1,0)*Table_NFI[[#This Row],[Winter Clothes Children]],Table_NFI[Winter Clothes Children])</f>
        <v>0</v>
      </c>
      <c r="AK364" s="294">
        <f>IF(NFI_Expiration=1,IF($A364&lt;VLOOKUP(T$5,NFI,5,0),1,0)*Table_NFI[[#This Row],[Winter Items Other]],Table_NFI[Winter Items Other])</f>
        <v>0</v>
      </c>
      <c r="AL364" s="294">
        <f>IF(NFI_Expiration=1,IF($A364&lt;VLOOKUP(M$5,NFI,5,0),1,0)*Table_NFI[[#This Row],[Winter Blanket]],Table_NFI[[#This Row],[Winter Blanket]])</f>
        <v>0</v>
      </c>
      <c r="AM364" s="294">
        <f>IF(Table_NFI[[#This Row],[Winter Clothes Adult]]+Table_NFI[[#This Row],[Winter Clothes Children]]+Table_NFI[[#This Row],[Winter Items Other]]+Table_NFI[[#This Row],[Winter Blanket]]&gt;0,1,0)</f>
        <v>1</v>
      </c>
      <c r="AN364" s="331">
        <f>IF(NFI_Expiration=1,IF($A364&lt;VLOOKUP(V$5,NFI,5,0),1,0)*Table_NFI[[#This Row],[Jerry Can]],Table_NFI[Jerry Can])</f>
        <v>0</v>
      </c>
      <c r="AO364" s="331">
        <f>IF(NFI_Expiration=1,IF($A364&lt;VLOOKUP(V$5,NFI,5,0),1,0)*Table_NFI[[#This Row],[Shelter Tool kit]],Table_NFI[Shelter Tool kit])</f>
        <v>0</v>
      </c>
      <c r="AP364" s="331">
        <f>IF(NFI_Expiration=1,IF($A364&lt;VLOOKUP(V$5,NFI,5,0),1,0)*Table_NFI[[#This Row],[Tent]],Table_NFI[Tent])</f>
        <v>0</v>
      </c>
      <c r="AQ364" s="467" t="str">
        <f>IFERROR(VLOOKUP(Table_NFI[[#This Row],[Camp Name]],CL,2,0),"")</f>
        <v>MMR001CMP152</v>
      </c>
      <c r="AR364" s="835">
        <f ca="1">IF(Table_NFI[[#This Row],[Pcode]]="","",IF(OFFSET(CampList[Opening Date],MATCH(Table_NFI[[#This Row],[Pcode]],CampList[CP_Pcode],0)-1,0,1,1)&gt;=NFI_Monitor_Date,1,0))</f>
        <v>0</v>
      </c>
      <c r="AS364" s="467" t="str">
        <f>IFERROR(VLOOKUP(Table_NFI[[#This Row],[Camp Name]],CL,3,0),"")</f>
        <v>Open</v>
      </c>
      <c r="AT364" s="294" t="str">
        <f ca="1">IF(Table_NFI[[#This Row],[Pcode]]="","",OFFSET(CampList[Priority],MATCH(Table_NFI[[#This Row],[Pcode]],CampList[CP_Pcode],0)-1,0,1,1))</f>
        <v>P4</v>
      </c>
      <c r="AU364" s="293">
        <f>IFERROR(Table_NFI[[#This Row],[Kitchen Set]]/VLOOKUP(Table_NFI[[#This Row],[Camp Name]],CL,4,0),"")</f>
        <v>0</v>
      </c>
      <c r="AV364" s="461"/>
      <c r="AW364" s="463"/>
    </row>
    <row r="365" spans="1:49" s="464" customFormat="1" x14ac:dyDescent="0.25">
      <c r="A365" s="297">
        <f t="shared" si="5"/>
        <v>31.333333333333332</v>
      </c>
      <c r="B365" s="460">
        <v>41796</v>
      </c>
      <c r="C365" s="461" t="s">
        <v>1104</v>
      </c>
      <c r="D365" s="461" t="s">
        <v>900</v>
      </c>
      <c r="E365" s="461" t="s">
        <v>380</v>
      </c>
      <c r="F365" s="461" t="s">
        <v>180</v>
      </c>
      <c r="G365" s="461" t="s">
        <v>181</v>
      </c>
      <c r="H365" s="291"/>
      <c r="I365" s="291"/>
      <c r="J365" s="291"/>
      <c r="K365" s="291"/>
      <c r="L365" s="292"/>
      <c r="M365" s="292"/>
      <c r="N365" s="292"/>
      <c r="O365" s="292"/>
      <c r="P365" s="294"/>
      <c r="Q365" s="294"/>
      <c r="R365" s="294"/>
      <c r="S365" s="294"/>
      <c r="T365" s="294"/>
      <c r="U365" s="294">
        <v>24</v>
      </c>
      <c r="V365" s="431"/>
      <c r="W365" s="331"/>
      <c r="X365" s="331"/>
      <c r="Y365" s="294">
        <f>IF(NFI_Expiration=1,IF($A365&lt;VLOOKUP(H$5,NFI,5,0),1,0)*Table_NFI[[#This Row],[Hygiene Kit]],Table_NFI[Hygiene Kit])</f>
        <v>0</v>
      </c>
      <c r="Z365" s="294">
        <f>IF(NFI_Expiration=1,IF($A365&lt;VLOOKUP(I$5,NFI,5,0),1,0)*Table_NFI[[#This Row],[NFI Core Kit]],Table_NFI[NFI Core Kit])</f>
        <v>0</v>
      </c>
      <c r="AA365" s="294">
        <f>IF(NFI_Expiration=1,IF($A365&lt;VLOOKUP(J$5,NFI,5,0),1,0)*Table_NFI[[#This Row],[Sanitary Kit]],Table_NFI[Sanitary Kit])</f>
        <v>0</v>
      </c>
      <c r="AB365" s="294">
        <f>IF(NFI_Expiration=1,IF($A365&lt;VLOOKUP(K$5,NFI,5,0),1,0)*Table_NFI[[#This Row],[Mosquito net]],Table_NFI[Mosquito net])</f>
        <v>0</v>
      </c>
      <c r="AC365" s="294">
        <f>IF(NFI_Expiration=1,IF($A365&lt;VLOOKUP(L$5,NFI,5,0),1,0)*Table_NFI[[#This Row],[Tarpaulin]],Table_NFI[[#This Row],[Tarpaulin]])</f>
        <v>0</v>
      </c>
      <c r="AD365" s="294">
        <f>IF(NFI_Expiration=1,IF($A365&lt;VLOOKUP(M$5,NFI,5,0),1,0)*Table_NFI[[#This Row],[Blanket]],Table_NFI[[#This Row],[Blanket]])</f>
        <v>0</v>
      </c>
      <c r="AE365" s="294">
        <f>IF(NFI_Expiration=1,IF($A365&lt;VLOOKUP(N$5,NFI,5,0),1,0)*Table_NFI[[#This Row],[Kitchen Set]],Table_NFI[Kitchen Set])</f>
        <v>0</v>
      </c>
      <c r="AF365" s="294">
        <f>IF(NFI_Expiration=1,IF($A365&lt;VLOOKUP(O$5,NFI,5,0),1,0)*Table_NFI[[#This Row],[Clothes Kit]],Table_NFI[Clothes Kit])</f>
        <v>0</v>
      </c>
      <c r="AG365" s="294">
        <f>IF(NFI_Expiration=1,IF($A365&lt;VLOOKUP(P$5,NFI,5,0),1,0)*Table_NFI[[#This Row],[Plastic Bucket]],Table_NFI[Plastic Bucket])</f>
        <v>0</v>
      </c>
      <c r="AH365" s="294">
        <f>IF(NFI_Expiration=1,IF($A365&lt;VLOOKUP(Q$5,NFI,5,0),1,0)*Table_NFI[[#This Row],[Plastic Mat]],Table_NFI[Plastic Mat])*IF(Table_NFI[[#This Row],[Distribution Date]]&gt;"2014-04-01",1,2.5)</f>
        <v>0</v>
      </c>
      <c r="AI365" s="294">
        <f>IF(NFI_Expiration=1,IF($A365&lt;VLOOKUP(R$5,NFI,5,0),1,0)*Table_NFI[[#This Row],[Winter Clothes Adult]],Table_NFI[Winter Clothes Adult])</f>
        <v>0</v>
      </c>
      <c r="AJ365" s="294">
        <f>IF(NFI_Expiration=1,IF($A365&lt;VLOOKUP(S$5,NFI,5,0),1,0)*Table_NFI[[#This Row],[Winter Clothes Children]],Table_NFI[Winter Clothes Children])</f>
        <v>0</v>
      </c>
      <c r="AK365" s="294">
        <f>IF(NFI_Expiration=1,IF($A365&lt;VLOOKUP(T$5,NFI,5,0),1,0)*Table_NFI[[#This Row],[Winter Items Other]],Table_NFI[Winter Items Other])</f>
        <v>0</v>
      </c>
      <c r="AL365" s="294">
        <f>IF(NFI_Expiration=1,IF($A365&lt;VLOOKUP(M$5,NFI,5,0),1,0)*Table_NFI[[#This Row],[Winter Blanket]],Table_NFI[[#This Row],[Winter Blanket]])</f>
        <v>0</v>
      </c>
      <c r="AM365" s="294">
        <f>IF(Table_NFI[[#This Row],[Winter Clothes Adult]]+Table_NFI[[#This Row],[Winter Clothes Children]]+Table_NFI[[#This Row],[Winter Items Other]]+Table_NFI[[#This Row],[Winter Blanket]]&gt;0,1,0)</f>
        <v>1</v>
      </c>
      <c r="AN365" s="331">
        <f>IF(NFI_Expiration=1,IF($A365&lt;VLOOKUP(V$5,NFI,5,0),1,0)*Table_NFI[[#This Row],[Jerry Can]],Table_NFI[Jerry Can])</f>
        <v>0</v>
      </c>
      <c r="AO365" s="331">
        <f>IF(NFI_Expiration=1,IF($A365&lt;VLOOKUP(V$5,NFI,5,0),1,0)*Table_NFI[[#This Row],[Shelter Tool kit]],Table_NFI[Shelter Tool kit])</f>
        <v>0</v>
      </c>
      <c r="AP365" s="331">
        <f>IF(NFI_Expiration=1,IF($A365&lt;VLOOKUP(V$5,NFI,5,0),1,0)*Table_NFI[[#This Row],[Tent]],Table_NFI[Tent])</f>
        <v>0</v>
      </c>
      <c r="AQ365" s="467" t="str">
        <f>IFERROR(VLOOKUP(Table_NFI[[#This Row],[Camp Name]],CL,2,0),"")</f>
        <v>MMR001CMP080</v>
      </c>
      <c r="AR365" s="835">
        <f ca="1">IF(Table_NFI[[#This Row],[Pcode]]="","",IF(OFFSET(CampList[Opening Date],MATCH(Table_NFI[[#This Row],[Pcode]],CampList[CP_Pcode],0)-1,0,1,1)&gt;=NFI_Monitor_Date,1,0))</f>
        <v>0</v>
      </c>
      <c r="AS365" s="467" t="str">
        <f>IFERROR(VLOOKUP(Table_NFI[[#This Row],[Camp Name]],CL,3,0),"")</f>
        <v>Open</v>
      </c>
      <c r="AT365" s="294" t="str">
        <f ca="1">IF(Table_NFI[[#This Row],[Pcode]]="","",OFFSET(CampList[Priority],MATCH(Table_NFI[[#This Row],[Pcode]],CampList[CP_Pcode],0)-1,0,1,1))</f>
        <v>P4</v>
      </c>
      <c r="AU365" s="293">
        <f>IFERROR(Table_NFI[[#This Row],[Kitchen Set]]/VLOOKUP(Table_NFI[[#This Row],[Camp Name]],CL,4,0),"")</f>
        <v>0</v>
      </c>
      <c r="AV365" s="461"/>
      <c r="AW365" s="463"/>
    </row>
    <row r="366" spans="1:49" s="464" customFormat="1" x14ac:dyDescent="0.25">
      <c r="A366" s="297">
        <f t="shared" si="5"/>
        <v>31.4</v>
      </c>
      <c r="B366" s="460">
        <v>41794</v>
      </c>
      <c r="C366" s="461" t="s">
        <v>452</v>
      </c>
      <c r="D366" s="461" t="s">
        <v>460</v>
      </c>
      <c r="E366" s="461" t="s">
        <v>380</v>
      </c>
      <c r="F366" s="461" t="s">
        <v>185</v>
      </c>
      <c r="G366" s="461" t="s">
        <v>209</v>
      </c>
      <c r="H366" s="291"/>
      <c r="I366" s="291"/>
      <c r="J366" s="291"/>
      <c r="K366" s="291"/>
      <c r="L366" s="292">
        <v>80</v>
      </c>
      <c r="M366" s="292"/>
      <c r="N366" s="292"/>
      <c r="O366" s="292"/>
      <c r="P366" s="294"/>
      <c r="Q366" s="294"/>
      <c r="R366" s="294"/>
      <c r="S366" s="294"/>
      <c r="T366" s="294"/>
      <c r="U366" s="294"/>
      <c r="V366" s="431"/>
      <c r="W366" s="294"/>
      <c r="X366" s="294"/>
      <c r="Y366" s="294">
        <f>IF(NFI_Expiration=1,IF($A366&lt;VLOOKUP(H$5,NFI,5,0),1,0)*Table_NFI[[#This Row],[Hygiene Kit]],Table_NFI[Hygiene Kit])</f>
        <v>0</v>
      </c>
      <c r="Z366" s="294">
        <f>IF(NFI_Expiration=1,IF($A366&lt;VLOOKUP(I$5,NFI,5,0),1,0)*Table_NFI[[#This Row],[NFI Core Kit]],Table_NFI[NFI Core Kit])</f>
        <v>0</v>
      </c>
      <c r="AA366" s="294">
        <f>IF(NFI_Expiration=1,IF($A366&lt;VLOOKUP(J$5,NFI,5,0),1,0)*Table_NFI[[#This Row],[Sanitary Kit]],Table_NFI[Sanitary Kit])</f>
        <v>0</v>
      </c>
      <c r="AB366" s="294">
        <f>IF(NFI_Expiration=1,IF($A366&lt;VLOOKUP(K$5,NFI,5,0),1,0)*Table_NFI[[#This Row],[Mosquito net]],Table_NFI[Mosquito net])</f>
        <v>0</v>
      </c>
      <c r="AC366" s="294">
        <f>IF(NFI_Expiration=1,IF($A366&lt;VLOOKUP(L$5,NFI,5,0),1,0)*Table_NFI[[#This Row],[Tarpaulin]],Table_NFI[[#This Row],[Tarpaulin]])</f>
        <v>0</v>
      </c>
      <c r="AD366" s="294">
        <f>IF(NFI_Expiration=1,IF($A366&lt;VLOOKUP(M$5,NFI,5,0),1,0)*Table_NFI[[#This Row],[Blanket]],Table_NFI[[#This Row],[Blanket]])</f>
        <v>0</v>
      </c>
      <c r="AE366" s="294">
        <f>IF(NFI_Expiration=1,IF($A366&lt;VLOOKUP(N$5,NFI,5,0),1,0)*Table_NFI[[#This Row],[Kitchen Set]],Table_NFI[Kitchen Set])</f>
        <v>0</v>
      </c>
      <c r="AF366" s="294">
        <f>IF(NFI_Expiration=1,IF($A366&lt;VLOOKUP(O$5,NFI,5,0),1,0)*Table_NFI[[#This Row],[Clothes Kit]],Table_NFI[Clothes Kit])</f>
        <v>0</v>
      </c>
      <c r="AG366" s="294">
        <f>IF(NFI_Expiration=1,IF($A366&lt;VLOOKUP(P$5,NFI,5,0),1,0)*Table_NFI[[#This Row],[Plastic Bucket]],Table_NFI[Plastic Bucket])</f>
        <v>0</v>
      </c>
      <c r="AH366" s="294">
        <f>IF(NFI_Expiration=1,IF($A366&lt;VLOOKUP(Q$5,NFI,5,0),1,0)*Table_NFI[[#This Row],[Plastic Mat]],Table_NFI[Plastic Mat])*IF(Table_NFI[[#This Row],[Distribution Date]]&gt;"2014-04-01",1,2.5)</f>
        <v>0</v>
      </c>
      <c r="AI366" s="294">
        <f>IF(NFI_Expiration=1,IF($A366&lt;VLOOKUP(R$5,NFI,5,0),1,0)*Table_NFI[[#This Row],[Winter Clothes Adult]],Table_NFI[Winter Clothes Adult])</f>
        <v>0</v>
      </c>
      <c r="AJ366" s="294">
        <f>IF(NFI_Expiration=1,IF($A366&lt;VLOOKUP(S$5,NFI,5,0),1,0)*Table_NFI[[#This Row],[Winter Clothes Children]],Table_NFI[Winter Clothes Children])</f>
        <v>0</v>
      </c>
      <c r="AK366" s="294">
        <f>IF(NFI_Expiration=1,IF($A366&lt;VLOOKUP(T$5,NFI,5,0),1,0)*Table_NFI[[#This Row],[Winter Items Other]],Table_NFI[Winter Items Other])</f>
        <v>0</v>
      </c>
      <c r="AL366" s="294">
        <f>IF(NFI_Expiration=1,IF($A366&lt;VLOOKUP(M$5,NFI,5,0),1,0)*Table_NFI[[#This Row],[Winter Blanket]],Table_NFI[[#This Row],[Winter Blanket]])</f>
        <v>0</v>
      </c>
      <c r="AM366" s="294">
        <f>IF(Table_NFI[[#This Row],[Winter Clothes Adult]]+Table_NFI[[#This Row],[Winter Clothes Children]]+Table_NFI[[#This Row],[Winter Items Other]]+Table_NFI[[#This Row],[Winter Blanket]]&gt;0,1,0)</f>
        <v>0</v>
      </c>
      <c r="AN366" s="331">
        <f>IF(NFI_Expiration=1,IF($A366&lt;VLOOKUP(V$5,NFI,5,0),1,0)*Table_NFI[[#This Row],[Jerry Can]],Table_NFI[Jerry Can])</f>
        <v>0</v>
      </c>
      <c r="AO366" s="331">
        <f>IF(NFI_Expiration=1,IF($A366&lt;VLOOKUP(V$5,NFI,5,0),1,0)*Table_NFI[[#This Row],[Shelter Tool kit]],Table_NFI[Shelter Tool kit])</f>
        <v>0</v>
      </c>
      <c r="AP366" s="331">
        <f>IF(NFI_Expiration=1,IF($A366&lt;VLOOKUP(V$5,NFI,5,0),1,0)*Table_NFI[[#This Row],[Tent]],Table_NFI[Tent])</f>
        <v>0</v>
      </c>
      <c r="AQ366" s="467" t="str">
        <f>IFERROR(VLOOKUP(Table_NFI[[#This Row],[Camp Name]],CL,2,0),"")</f>
        <v>MMR001CMP056</v>
      </c>
      <c r="AR366" s="835">
        <f ca="1">IF(Table_NFI[[#This Row],[Pcode]]="","",IF(OFFSET(CampList[Opening Date],MATCH(Table_NFI[[#This Row],[Pcode]],CampList[CP_Pcode],0)-1,0,1,1)&gt;=NFI_Monitor_Date,1,0))</f>
        <v>0</v>
      </c>
      <c r="AS366" s="467" t="str">
        <f>IFERROR(VLOOKUP(Table_NFI[[#This Row],[Camp Name]],CL,3,0),"")</f>
        <v>Open</v>
      </c>
      <c r="AT366" s="294" t="str">
        <f ca="1">IF(Table_NFI[[#This Row],[Pcode]]="","",OFFSET(CampList[Priority],MATCH(Table_NFI[[#This Row],[Pcode]],CampList[CP_Pcode],0)-1,0,1,1))</f>
        <v>P4</v>
      </c>
      <c r="AU366" s="293">
        <f>IFERROR(Table_NFI[[#This Row],[Kitchen Set]]/VLOOKUP(Table_NFI[[#This Row],[Camp Name]],CL,4,0),"")</f>
        <v>0</v>
      </c>
      <c r="AV366" s="461" t="s">
        <v>1092</v>
      </c>
      <c r="AW366" s="463"/>
    </row>
    <row r="367" spans="1:49" s="464" customFormat="1" ht="14.45" customHeight="1" x14ac:dyDescent="0.25">
      <c r="A367" s="297">
        <f t="shared" si="5"/>
        <v>31.566666666666666</v>
      </c>
      <c r="B367" s="460">
        <v>41789</v>
      </c>
      <c r="C367" s="461" t="s">
        <v>1104</v>
      </c>
      <c r="D367" s="461" t="s">
        <v>900</v>
      </c>
      <c r="E367" s="461" t="s">
        <v>380</v>
      </c>
      <c r="F367" s="461" t="s">
        <v>237</v>
      </c>
      <c r="G367" s="461" t="s">
        <v>283</v>
      </c>
      <c r="H367" s="291"/>
      <c r="I367" s="291"/>
      <c r="J367" s="291"/>
      <c r="K367" s="291"/>
      <c r="L367" s="292"/>
      <c r="M367" s="292"/>
      <c r="N367" s="292"/>
      <c r="O367" s="292"/>
      <c r="P367" s="294"/>
      <c r="Q367" s="294"/>
      <c r="R367" s="294"/>
      <c r="S367" s="294"/>
      <c r="T367" s="294"/>
      <c r="U367" s="294">
        <v>12</v>
      </c>
      <c r="V367" s="431"/>
      <c r="W367" s="294"/>
      <c r="X367" s="294"/>
      <c r="Y367" s="294">
        <f>IF(NFI_Expiration=1,IF($A367&lt;VLOOKUP(H$5,NFI,5,0),1,0)*Table_NFI[[#This Row],[Hygiene Kit]],Table_NFI[Hygiene Kit])</f>
        <v>0</v>
      </c>
      <c r="Z367" s="294">
        <f>IF(NFI_Expiration=1,IF($A367&lt;VLOOKUP(I$5,NFI,5,0),1,0)*Table_NFI[[#This Row],[NFI Core Kit]],Table_NFI[NFI Core Kit])</f>
        <v>0</v>
      </c>
      <c r="AA367" s="294">
        <f>IF(NFI_Expiration=1,IF($A367&lt;VLOOKUP(J$5,NFI,5,0),1,0)*Table_NFI[[#This Row],[Sanitary Kit]],Table_NFI[Sanitary Kit])</f>
        <v>0</v>
      </c>
      <c r="AB367" s="294">
        <f>IF(NFI_Expiration=1,IF($A367&lt;VLOOKUP(K$5,NFI,5,0),1,0)*Table_NFI[[#This Row],[Mosquito net]],Table_NFI[Mosquito net])</f>
        <v>0</v>
      </c>
      <c r="AC367" s="294">
        <f>IF(NFI_Expiration=1,IF($A367&lt;VLOOKUP(L$5,NFI,5,0),1,0)*Table_NFI[[#This Row],[Tarpaulin]],Table_NFI[[#This Row],[Tarpaulin]])</f>
        <v>0</v>
      </c>
      <c r="AD367" s="294">
        <f>IF(NFI_Expiration=1,IF($A367&lt;VLOOKUP(M$5,NFI,5,0),1,0)*Table_NFI[[#This Row],[Blanket]],Table_NFI[[#This Row],[Blanket]])</f>
        <v>0</v>
      </c>
      <c r="AE367" s="294">
        <f>IF(NFI_Expiration=1,IF($A367&lt;VLOOKUP(N$5,NFI,5,0),1,0)*Table_NFI[[#This Row],[Kitchen Set]],Table_NFI[Kitchen Set])</f>
        <v>0</v>
      </c>
      <c r="AF367" s="294">
        <f>IF(NFI_Expiration=1,IF($A367&lt;VLOOKUP(O$5,NFI,5,0),1,0)*Table_NFI[[#This Row],[Clothes Kit]],Table_NFI[Clothes Kit])</f>
        <v>0</v>
      </c>
      <c r="AG367" s="294">
        <f>IF(NFI_Expiration=1,IF($A367&lt;VLOOKUP(P$5,NFI,5,0),1,0)*Table_NFI[[#This Row],[Plastic Bucket]],Table_NFI[Plastic Bucket])</f>
        <v>0</v>
      </c>
      <c r="AH367" s="294">
        <f>IF(NFI_Expiration=1,IF($A367&lt;VLOOKUP(Q$5,NFI,5,0),1,0)*Table_NFI[[#This Row],[Plastic Mat]],Table_NFI[Plastic Mat])*IF(Table_NFI[[#This Row],[Distribution Date]]&gt;"2014-04-01",1,2.5)</f>
        <v>0</v>
      </c>
      <c r="AI367" s="294">
        <f>IF(NFI_Expiration=1,IF($A367&lt;VLOOKUP(R$5,NFI,5,0),1,0)*Table_NFI[[#This Row],[Winter Clothes Adult]],Table_NFI[Winter Clothes Adult])</f>
        <v>0</v>
      </c>
      <c r="AJ367" s="294">
        <f>IF(NFI_Expiration=1,IF($A367&lt;VLOOKUP(S$5,NFI,5,0),1,0)*Table_NFI[[#This Row],[Winter Clothes Children]],Table_NFI[Winter Clothes Children])</f>
        <v>0</v>
      </c>
      <c r="AK367" s="294">
        <f>IF(NFI_Expiration=1,IF($A367&lt;VLOOKUP(T$5,NFI,5,0),1,0)*Table_NFI[[#This Row],[Winter Items Other]],Table_NFI[Winter Items Other])</f>
        <v>0</v>
      </c>
      <c r="AL367" s="294">
        <f>IF(NFI_Expiration=1,IF($A367&lt;VLOOKUP(M$5,NFI,5,0),1,0)*Table_NFI[[#This Row],[Winter Blanket]],Table_NFI[[#This Row],[Winter Blanket]])</f>
        <v>0</v>
      </c>
      <c r="AM367" s="294">
        <f>IF(Table_NFI[[#This Row],[Winter Clothes Adult]]+Table_NFI[[#This Row],[Winter Clothes Children]]+Table_NFI[[#This Row],[Winter Items Other]]+Table_NFI[[#This Row],[Winter Blanket]]&gt;0,1,0)</f>
        <v>1</v>
      </c>
      <c r="AN367" s="331">
        <f>IF(NFI_Expiration=1,IF($A367&lt;VLOOKUP(V$5,NFI,5,0),1,0)*Table_NFI[[#This Row],[Jerry Can]],Table_NFI[Jerry Can])</f>
        <v>0</v>
      </c>
      <c r="AO367" s="331">
        <f>IF(NFI_Expiration=1,IF($A367&lt;VLOOKUP(V$5,NFI,5,0),1,0)*Table_NFI[[#This Row],[Shelter Tool kit]],Table_NFI[Shelter Tool kit])</f>
        <v>0</v>
      </c>
      <c r="AP367" s="331">
        <f>IF(NFI_Expiration=1,IF($A367&lt;VLOOKUP(V$5,NFI,5,0),1,0)*Table_NFI[[#This Row],[Tent]],Table_NFI[Tent])</f>
        <v>0</v>
      </c>
      <c r="AQ367" s="467" t="str">
        <f>IFERROR(VLOOKUP(Table_NFI[[#This Row],[Camp Name]],CL,2,0),"")</f>
        <v>MMR001CMP022</v>
      </c>
      <c r="AR367" s="835">
        <f ca="1">IF(Table_NFI[[#This Row],[Pcode]]="","",IF(OFFSET(CampList[Opening Date],MATCH(Table_NFI[[#This Row],[Pcode]],CampList[CP_Pcode],0)-1,0,1,1)&gt;=NFI_Monitor_Date,1,0))</f>
        <v>0</v>
      </c>
      <c r="AS367" s="467" t="str">
        <f>IFERROR(VLOOKUP(Table_NFI[[#This Row],[Camp Name]],CL,3,0),"")</f>
        <v>Open</v>
      </c>
      <c r="AT367" s="294" t="str">
        <f ca="1">IF(Table_NFI[[#This Row],[Pcode]]="","",OFFSET(CampList[Priority],MATCH(Table_NFI[[#This Row],[Pcode]],CampList[CP_Pcode],0)-1,0,1,1))</f>
        <v>P4</v>
      </c>
      <c r="AU367" s="293">
        <f>IFERROR(Table_NFI[[#This Row],[Kitchen Set]]/VLOOKUP(Table_NFI[[#This Row],[Camp Name]],CL,4,0),"")</f>
        <v>0</v>
      </c>
      <c r="AV367" s="461"/>
      <c r="AW367" s="463"/>
    </row>
    <row r="368" spans="1:49" s="464" customFormat="1" ht="14.45" customHeight="1" x14ac:dyDescent="0.25">
      <c r="A368" s="297">
        <f t="shared" si="5"/>
        <v>31.633333333333333</v>
      </c>
      <c r="B368" s="460">
        <v>41787</v>
      </c>
      <c r="C368" s="461" t="s">
        <v>1104</v>
      </c>
      <c r="D368" s="461" t="s">
        <v>900</v>
      </c>
      <c r="E368" s="461" t="s">
        <v>380</v>
      </c>
      <c r="F368" s="461" t="s">
        <v>237</v>
      </c>
      <c r="G368" s="461" t="s">
        <v>238</v>
      </c>
      <c r="H368" s="291"/>
      <c r="I368" s="291"/>
      <c r="J368" s="291"/>
      <c r="K368" s="291"/>
      <c r="L368" s="292"/>
      <c r="M368" s="292"/>
      <c r="N368" s="292"/>
      <c r="O368" s="292"/>
      <c r="P368" s="294"/>
      <c r="Q368" s="294"/>
      <c r="R368" s="294"/>
      <c r="S368" s="294"/>
      <c r="T368" s="294"/>
      <c r="U368" s="294">
        <v>120</v>
      </c>
      <c r="V368" s="431"/>
      <c r="W368" s="294"/>
      <c r="X368" s="294"/>
      <c r="Y368" s="294">
        <f>IF(NFI_Expiration=1,IF($A368&lt;VLOOKUP(H$5,NFI,5,0),1,0)*Table_NFI[[#This Row],[Hygiene Kit]],Table_NFI[Hygiene Kit])</f>
        <v>0</v>
      </c>
      <c r="Z368" s="294">
        <f>IF(NFI_Expiration=1,IF($A368&lt;VLOOKUP(I$5,NFI,5,0),1,0)*Table_NFI[[#This Row],[NFI Core Kit]],Table_NFI[NFI Core Kit])</f>
        <v>0</v>
      </c>
      <c r="AA368" s="294">
        <f>IF(NFI_Expiration=1,IF($A368&lt;VLOOKUP(J$5,NFI,5,0),1,0)*Table_NFI[[#This Row],[Sanitary Kit]],Table_NFI[Sanitary Kit])</f>
        <v>0</v>
      </c>
      <c r="AB368" s="294">
        <f>IF(NFI_Expiration=1,IF($A368&lt;VLOOKUP(K$5,NFI,5,0),1,0)*Table_NFI[[#This Row],[Mosquito net]],Table_NFI[Mosquito net])</f>
        <v>0</v>
      </c>
      <c r="AC368" s="294">
        <f>IF(NFI_Expiration=1,IF($A368&lt;VLOOKUP(L$5,NFI,5,0),1,0)*Table_NFI[[#This Row],[Tarpaulin]],Table_NFI[[#This Row],[Tarpaulin]])</f>
        <v>0</v>
      </c>
      <c r="AD368" s="294">
        <f>IF(NFI_Expiration=1,IF($A368&lt;VLOOKUP(M$5,NFI,5,0),1,0)*Table_NFI[[#This Row],[Blanket]],Table_NFI[[#This Row],[Blanket]])</f>
        <v>0</v>
      </c>
      <c r="AE368" s="294">
        <f>IF(NFI_Expiration=1,IF($A368&lt;VLOOKUP(N$5,NFI,5,0),1,0)*Table_NFI[[#This Row],[Kitchen Set]],Table_NFI[Kitchen Set])</f>
        <v>0</v>
      </c>
      <c r="AF368" s="294">
        <f>IF(NFI_Expiration=1,IF($A368&lt;VLOOKUP(O$5,NFI,5,0),1,0)*Table_NFI[[#This Row],[Clothes Kit]],Table_NFI[Clothes Kit])</f>
        <v>0</v>
      </c>
      <c r="AG368" s="294">
        <f>IF(NFI_Expiration=1,IF($A368&lt;VLOOKUP(P$5,NFI,5,0),1,0)*Table_NFI[[#This Row],[Plastic Bucket]],Table_NFI[Plastic Bucket])</f>
        <v>0</v>
      </c>
      <c r="AH368" s="294">
        <f>IF(NFI_Expiration=1,IF($A368&lt;VLOOKUP(Q$5,NFI,5,0),1,0)*Table_NFI[[#This Row],[Plastic Mat]],Table_NFI[Plastic Mat])*IF(Table_NFI[[#This Row],[Distribution Date]]&gt;"2014-04-01",1,2.5)</f>
        <v>0</v>
      </c>
      <c r="AI368" s="294">
        <f>IF(NFI_Expiration=1,IF($A368&lt;VLOOKUP(R$5,NFI,5,0),1,0)*Table_NFI[[#This Row],[Winter Clothes Adult]],Table_NFI[Winter Clothes Adult])</f>
        <v>0</v>
      </c>
      <c r="AJ368" s="294">
        <f>IF(NFI_Expiration=1,IF($A368&lt;VLOOKUP(S$5,NFI,5,0),1,0)*Table_NFI[[#This Row],[Winter Clothes Children]],Table_NFI[Winter Clothes Children])</f>
        <v>0</v>
      </c>
      <c r="AK368" s="294">
        <f>IF(NFI_Expiration=1,IF($A368&lt;VLOOKUP(T$5,NFI,5,0),1,0)*Table_NFI[[#This Row],[Winter Items Other]],Table_NFI[Winter Items Other])</f>
        <v>0</v>
      </c>
      <c r="AL368" s="294">
        <f>IF(NFI_Expiration=1,IF($A368&lt;VLOOKUP(M$5,NFI,5,0),1,0)*Table_NFI[[#This Row],[Winter Blanket]],Table_NFI[[#This Row],[Winter Blanket]])</f>
        <v>0</v>
      </c>
      <c r="AM368" s="294">
        <f>IF(Table_NFI[[#This Row],[Winter Clothes Adult]]+Table_NFI[[#This Row],[Winter Clothes Children]]+Table_NFI[[#This Row],[Winter Items Other]]+Table_NFI[[#This Row],[Winter Blanket]]&gt;0,1,0)</f>
        <v>1</v>
      </c>
      <c r="AN368" s="331">
        <f>IF(NFI_Expiration=1,IF($A368&lt;VLOOKUP(V$5,NFI,5,0),1,0)*Table_NFI[[#This Row],[Jerry Can]],Table_NFI[Jerry Can])</f>
        <v>0</v>
      </c>
      <c r="AO368" s="331">
        <f>IF(NFI_Expiration=1,IF($A368&lt;VLOOKUP(V$5,NFI,5,0),1,0)*Table_NFI[[#This Row],[Shelter Tool kit]],Table_NFI[Shelter Tool kit])</f>
        <v>0</v>
      </c>
      <c r="AP368" s="331">
        <f>IF(NFI_Expiration=1,IF($A368&lt;VLOOKUP(V$5,NFI,5,0),1,0)*Table_NFI[[#This Row],[Tent]],Table_NFI[Tent])</f>
        <v>0</v>
      </c>
      <c r="AQ368" s="467" t="str">
        <f>IFERROR(VLOOKUP(Table_NFI[[#This Row],[Camp Name]],CL,2,0),"")</f>
        <v>MMR001CMP001</v>
      </c>
      <c r="AR368" s="835">
        <f ca="1">IF(Table_NFI[[#This Row],[Pcode]]="","",IF(OFFSET(CampList[Opening Date],MATCH(Table_NFI[[#This Row],[Pcode]],CampList[CP_Pcode],0)-1,0,1,1)&gt;=NFI_Monitor_Date,1,0))</f>
        <v>0</v>
      </c>
      <c r="AS368" s="467" t="str">
        <f>IFERROR(VLOOKUP(Table_NFI[[#This Row],[Camp Name]],CL,3,0),"")</f>
        <v>Open</v>
      </c>
      <c r="AT368" s="294" t="str">
        <f ca="1">IF(Table_NFI[[#This Row],[Pcode]]="","",OFFSET(CampList[Priority],MATCH(Table_NFI[[#This Row],[Pcode]],CampList[CP_Pcode],0)-1,0,1,1))</f>
        <v>P4</v>
      </c>
      <c r="AU368" s="293">
        <f>IFERROR(Table_NFI[[#This Row],[Kitchen Set]]/VLOOKUP(Table_NFI[[#This Row],[Camp Name]],CL,4,0),"")</f>
        <v>0</v>
      </c>
      <c r="AV368" s="461"/>
      <c r="AW368" s="463"/>
    </row>
    <row r="369" spans="1:49" s="464" customFormat="1" ht="14.45" customHeight="1" x14ac:dyDescent="0.25">
      <c r="A369" s="297">
        <f t="shared" si="5"/>
        <v>31.633333333333333</v>
      </c>
      <c r="B369" s="460">
        <v>41787</v>
      </c>
      <c r="C369" s="461" t="s">
        <v>1104</v>
      </c>
      <c r="D369" s="461" t="s">
        <v>900</v>
      </c>
      <c r="E369" s="461" t="s">
        <v>380</v>
      </c>
      <c r="F369" s="461" t="s">
        <v>237</v>
      </c>
      <c r="G369" s="461" t="s">
        <v>1244</v>
      </c>
      <c r="H369" s="291"/>
      <c r="I369" s="291"/>
      <c r="J369" s="291"/>
      <c r="K369" s="291"/>
      <c r="L369" s="292"/>
      <c r="M369" s="292"/>
      <c r="N369" s="292"/>
      <c r="O369" s="292"/>
      <c r="P369" s="294"/>
      <c r="Q369" s="294"/>
      <c r="R369" s="294"/>
      <c r="S369" s="294"/>
      <c r="T369" s="294"/>
      <c r="U369" s="294">
        <v>138</v>
      </c>
      <c r="V369" s="431"/>
      <c r="W369" s="294"/>
      <c r="X369" s="294"/>
      <c r="Y369" s="294">
        <f>IF(NFI_Expiration=1,IF($A369&lt;VLOOKUP(H$5,NFI,5,0),1,0)*Table_NFI[[#This Row],[Hygiene Kit]],Table_NFI[Hygiene Kit])</f>
        <v>0</v>
      </c>
      <c r="Z369" s="294">
        <f>IF(NFI_Expiration=1,IF($A369&lt;VLOOKUP(I$5,NFI,5,0),1,0)*Table_NFI[[#This Row],[NFI Core Kit]],Table_NFI[NFI Core Kit])</f>
        <v>0</v>
      </c>
      <c r="AA369" s="294">
        <f>IF(NFI_Expiration=1,IF($A369&lt;VLOOKUP(J$5,NFI,5,0),1,0)*Table_NFI[[#This Row],[Sanitary Kit]],Table_NFI[Sanitary Kit])</f>
        <v>0</v>
      </c>
      <c r="AB369" s="294">
        <f>IF(NFI_Expiration=1,IF($A369&lt;VLOOKUP(K$5,NFI,5,0),1,0)*Table_NFI[[#This Row],[Mosquito net]],Table_NFI[Mosquito net])</f>
        <v>0</v>
      </c>
      <c r="AC369" s="294">
        <f>IF(NFI_Expiration=1,IF($A369&lt;VLOOKUP(L$5,NFI,5,0),1,0)*Table_NFI[[#This Row],[Tarpaulin]],Table_NFI[[#This Row],[Tarpaulin]])</f>
        <v>0</v>
      </c>
      <c r="AD369" s="294">
        <f>IF(NFI_Expiration=1,IF($A369&lt;VLOOKUP(M$5,NFI,5,0),1,0)*Table_NFI[[#This Row],[Blanket]],Table_NFI[[#This Row],[Blanket]])</f>
        <v>0</v>
      </c>
      <c r="AE369" s="294">
        <f>IF(NFI_Expiration=1,IF($A369&lt;VLOOKUP(N$5,NFI,5,0),1,0)*Table_NFI[[#This Row],[Kitchen Set]],Table_NFI[Kitchen Set])</f>
        <v>0</v>
      </c>
      <c r="AF369" s="294">
        <f>IF(NFI_Expiration=1,IF($A369&lt;VLOOKUP(O$5,NFI,5,0),1,0)*Table_NFI[[#This Row],[Clothes Kit]],Table_NFI[Clothes Kit])</f>
        <v>0</v>
      </c>
      <c r="AG369" s="294">
        <f>IF(NFI_Expiration=1,IF($A369&lt;VLOOKUP(P$5,NFI,5,0),1,0)*Table_NFI[[#This Row],[Plastic Bucket]],Table_NFI[Plastic Bucket])</f>
        <v>0</v>
      </c>
      <c r="AH369" s="294">
        <f>IF(NFI_Expiration=1,IF($A369&lt;VLOOKUP(Q$5,NFI,5,0),1,0)*Table_NFI[[#This Row],[Plastic Mat]],Table_NFI[Plastic Mat])*IF(Table_NFI[[#This Row],[Distribution Date]]&gt;"2014-04-01",1,2.5)</f>
        <v>0</v>
      </c>
      <c r="AI369" s="294">
        <f>IF(NFI_Expiration=1,IF($A369&lt;VLOOKUP(R$5,NFI,5,0),1,0)*Table_NFI[[#This Row],[Winter Clothes Adult]],Table_NFI[Winter Clothes Adult])</f>
        <v>0</v>
      </c>
      <c r="AJ369" s="294">
        <f>IF(NFI_Expiration=1,IF($A369&lt;VLOOKUP(S$5,NFI,5,0),1,0)*Table_NFI[[#This Row],[Winter Clothes Children]],Table_NFI[Winter Clothes Children])</f>
        <v>0</v>
      </c>
      <c r="AK369" s="294">
        <f>IF(NFI_Expiration=1,IF($A369&lt;VLOOKUP(T$5,NFI,5,0),1,0)*Table_NFI[[#This Row],[Winter Items Other]],Table_NFI[Winter Items Other])</f>
        <v>0</v>
      </c>
      <c r="AL369" s="294">
        <f>IF(NFI_Expiration=1,IF($A369&lt;VLOOKUP(M$5,NFI,5,0),1,0)*Table_NFI[[#This Row],[Winter Blanket]],Table_NFI[[#This Row],[Winter Blanket]])</f>
        <v>0</v>
      </c>
      <c r="AM369" s="294">
        <f>IF(Table_NFI[[#This Row],[Winter Clothes Adult]]+Table_NFI[[#This Row],[Winter Clothes Children]]+Table_NFI[[#This Row],[Winter Items Other]]+Table_NFI[[#This Row],[Winter Blanket]]&gt;0,1,0)</f>
        <v>1</v>
      </c>
      <c r="AN369" s="331">
        <f>IF(NFI_Expiration=1,IF($A369&lt;VLOOKUP(V$5,NFI,5,0),1,0)*Table_NFI[[#This Row],[Jerry Can]],Table_NFI[Jerry Can])</f>
        <v>0</v>
      </c>
      <c r="AO369" s="331">
        <f>IF(NFI_Expiration=1,IF($A369&lt;VLOOKUP(V$5,NFI,5,0),1,0)*Table_NFI[[#This Row],[Shelter Tool kit]],Table_NFI[Shelter Tool kit])</f>
        <v>0</v>
      </c>
      <c r="AP369" s="331">
        <f>IF(NFI_Expiration=1,IF($A369&lt;VLOOKUP(V$5,NFI,5,0),1,0)*Table_NFI[[#This Row],[Tent]],Table_NFI[Tent])</f>
        <v>0</v>
      </c>
      <c r="AQ369" s="467" t="str">
        <f>IFERROR(VLOOKUP(Table_NFI[[#This Row],[Camp Name]],CL,2,0),"")</f>
        <v>MMR001CMP023</v>
      </c>
      <c r="AR369" s="835">
        <f ca="1">IF(Table_NFI[[#This Row],[Pcode]]="","",IF(OFFSET(CampList[Opening Date],MATCH(Table_NFI[[#This Row],[Pcode]],CampList[CP_Pcode],0)-1,0,1,1)&gt;=NFI_Monitor_Date,1,0))</f>
        <v>0</v>
      </c>
      <c r="AS369" s="467" t="str">
        <f>IFERROR(VLOOKUP(Table_NFI[[#This Row],[Camp Name]],CL,3,0),"")</f>
        <v>Open</v>
      </c>
      <c r="AT369" s="294" t="str">
        <f ca="1">IF(Table_NFI[[#This Row],[Pcode]]="","",OFFSET(CampList[Priority],MATCH(Table_NFI[[#This Row],[Pcode]],CampList[CP_Pcode],0)-1,0,1,1))</f>
        <v>P4</v>
      </c>
      <c r="AU369" s="293">
        <f>IFERROR(Table_NFI[[#This Row],[Kitchen Set]]/VLOOKUP(Table_NFI[[#This Row],[Camp Name]],CL,4,0),"")</f>
        <v>0</v>
      </c>
      <c r="AV369" s="461"/>
      <c r="AW369" s="463"/>
    </row>
    <row r="370" spans="1:49" s="464" customFormat="1" ht="14.45" customHeight="1" x14ac:dyDescent="0.25">
      <c r="A370" s="297">
        <f t="shared" si="5"/>
        <v>31.633333333333333</v>
      </c>
      <c r="B370" s="460">
        <v>41787</v>
      </c>
      <c r="C370" s="461" t="s">
        <v>1104</v>
      </c>
      <c r="D370" s="461" t="s">
        <v>900</v>
      </c>
      <c r="E370" s="461" t="s">
        <v>380</v>
      </c>
      <c r="F370" s="461" t="s">
        <v>237</v>
      </c>
      <c r="G370" s="461" t="s">
        <v>251</v>
      </c>
      <c r="H370" s="291"/>
      <c r="I370" s="291"/>
      <c r="J370" s="291"/>
      <c r="K370" s="291"/>
      <c r="L370" s="292"/>
      <c r="M370" s="292"/>
      <c r="N370" s="292"/>
      <c r="O370" s="292"/>
      <c r="P370" s="294"/>
      <c r="Q370" s="294"/>
      <c r="R370" s="294"/>
      <c r="S370" s="294"/>
      <c r="T370" s="294"/>
      <c r="U370" s="294">
        <v>58</v>
      </c>
      <c r="V370" s="431"/>
      <c r="W370" s="294"/>
      <c r="X370" s="294"/>
      <c r="Y370" s="294">
        <f>IF(NFI_Expiration=1,IF($A370&lt;VLOOKUP(H$5,NFI,5,0),1,0)*Table_NFI[[#This Row],[Hygiene Kit]],Table_NFI[Hygiene Kit])</f>
        <v>0</v>
      </c>
      <c r="Z370" s="294">
        <f>IF(NFI_Expiration=1,IF($A370&lt;VLOOKUP(I$5,NFI,5,0),1,0)*Table_NFI[[#This Row],[NFI Core Kit]],Table_NFI[NFI Core Kit])</f>
        <v>0</v>
      </c>
      <c r="AA370" s="294">
        <f>IF(NFI_Expiration=1,IF($A370&lt;VLOOKUP(J$5,NFI,5,0),1,0)*Table_NFI[[#This Row],[Sanitary Kit]],Table_NFI[Sanitary Kit])</f>
        <v>0</v>
      </c>
      <c r="AB370" s="294">
        <f>IF(NFI_Expiration=1,IF($A370&lt;VLOOKUP(K$5,NFI,5,0),1,0)*Table_NFI[[#This Row],[Mosquito net]],Table_NFI[Mosquito net])</f>
        <v>0</v>
      </c>
      <c r="AC370" s="294">
        <f>IF(NFI_Expiration=1,IF($A370&lt;VLOOKUP(L$5,NFI,5,0),1,0)*Table_NFI[[#This Row],[Tarpaulin]],Table_NFI[[#This Row],[Tarpaulin]])</f>
        <v>0</v>
      </c>
      <c r="AD370" s="294">
        <f>IF(NFI_Expiration=1,IF($A370&lt;VLOOKUP(M$5,NFI,5,0),1,0)*Table_NFI[[#This Row],[Blanket]],Table_NFI[[#This Row],[Blanket]])</f>
        <v>0</v>
      </c>
      <c r="AE370" s="294">
        <f>IF(NFI_Expiration=1,IF($A370&lt;VLOOKUP(N$5,NFI,5,0),1,0)*Table_NFI[[#This Row],[Kitchen Set]],Table_NFI[Kitchen Set])</f>
        <v>0</v>
      </c>
      <c r="AF370" s="294">
        <f>IF(NFI_Expiration=1,IF($A370&lt;VLOOKUP(O$5,NFI,5,0),1,0)*Table_NFI[[#This Row],[Clothes Kit]],Table_NFI[Clothes Kit])</f>
        <v>0</v>
      </c>
      <c r="AG370" s="294">
        <f>IF(NFI_Expiration=1,IF($A370&lt;VLOOKUP(P$5,NFI,5,0),1,0)*Table_NFI[[#This Row],[Plastic Bucket]],Table_NFI[Plastic Bucket])</f>
        <v>0</v>
      </c>
      <c r="AH370" s="294">
        <f>IF(NFI_Expiration=1,IF($A370&lt;VLOOKUP(Q$5,NFI,5,0),1,0)*Table_NFI[[#This Row],[Plastic Mat]],Table_NFI[Plastic Mat])*IF(Table_NFI[[#This Row],[Distribution Date]]&gt;"2014-04-01",1,2.5)</f>
        <v>0</v>
      </c>
      <c r="AI370" s="294">
        <f>IF(NFI_Expiration=1,IF($A370&lt;VLOOKUP(R$5,NFI,5,0),1,0)*Table_NFI[[#This Row],[Winter Clothes Adult]],Table_NFI[Winter Clothes Adult])</f>
        <v>0</v>
      </c>
      <c r="AJ370" s="294">
        <f>IF(NFI_Expiration=1,IF($A370&lt;VLOOKUP(S$5,NFI,5,0),1,0)*Table_NFI[[#This Row],[Winter Clothes Children]],Table_NFI[Winter Clothes Children])</f>
        <v>0</v>
      </c>
      <c r="AK370" s="294">
        <f>IF(NFI_Expiration=1,IF($A370&lt;VLOOKUP(T$5,NFI,5,0),1,0)*Table_NFI[[#This Row],[Winter Items Other]],Table_NFI[Winter Items Other])</f>
        <v>0</v>
      </c>
      <c r="AL370" s="294">
        <f>IF(NFI_Expiration=1,IF($A370&lt;VLOOKUP(M$5,NFI,5,0),1,0)*Table_NFI[[#This Row],[Winter Blanket]],Table_NFI[[#This Row],[Winter Blanket]])</f>
        <v>0</v>
      </c>
      <c r="AM370" s="294">
        <f>IF(Table_NFI[[#This Row],[Winter Clothes Adult]]+Table_NFI[[#This Row],[Winter Clothes Children]]+Table_NFI[[#This Row],[Winter Items Other]]+Table_NFI[[#This Row],[Winter Blanket]]&gt;0,1,0)</f>
        <v>1</v>
      </c>
      <c r="AN370" s="331">
        <f>IF(NFI_Expiration=1,IF($A370&lt;VLOOKUP(V$5,NFI,5,0),1,0)*Table_NFI[[#This Row],[Jerry Can]],Table_NFI[Jerry Can])</f>
        <v>0</v>
      </c>
      <c r="AO370" s="331">
        <f>IF(NFI_Expiration=1,IF($A370&lt;VLOOKUP(V$5,NFI,5,0),1,0)*Table_NFI[[#This Row],[Shelter Tool kit]],Table_NFI[Shelter Tool kit])</f>
        <v>0</v>
      </c>
      <c r="AP370" s="331">
        <f>IF(NFI_Expiration=1,IF($A370&lt;VLOOKUP(V$5,NFI,5,0),1,0)*Table_NFI[[#This Row],[Tent]],Table_NFI[Tent])</f>
        <v>0</v>
      </c>
      <c r="AQ370" s="467" t="str">
        <f>IFERROR(VLOOKUP(Table_NFI[[#This Row],[Camp Name]],CL,2,0),"")</f>
        <v>MMR001CMP003</v>
      </c>
      <c r="AR370" s="835">
        <f ca="1">IF(Table_NFI[[#This Row],[Pcode]]="","",IF(OFFSET(CampList[Opening Date],MATCH(Table_NFI[[#This Row],[Pcode]],CampList[CP_Pcode],0)-1,0,1,1)&gt;=NFI_Monitor_Date,1,0))</f>
        <v>0</v>
      </c>
      <c r="AS370" s="467" t="str">
        <f>IFERROR(VLOOKUP(Table_NFI[[#This Row],[Camp Name]],CL,3,0),"")</f>
        <v>Open</v>
      </c>
      <c r="AT370" s="294" t="str">
        <f ca="1">IF(Table_NFI[[#This Row],[Pcode]]="","",OFFSET(CampList[Priority],MATCH(Table_NFI[[#This Row],[Pcode]],CampList[CP_Pcode],0)-1,0,1,1))</f>
        <v>P4</v>
      </c>
      <c r="AU370" s="293">
        <f>IFERROR(Table_NFI[[#This Row],[Kitchen Set]]/VLOOKUP(Table_NFI[[#This Row],[Camp Name]],CL,4,0),"")</f>
        <v>0</v>
      </c>
      <c r="AV370" s="461"/>
      <c r="AW370" s="463"/>
    </row>
    <row r="371" spans="1:49" s="464" customFormat="1" ht="14.45" customHeight="1" x14ac:dyDescent="0.25">
      <c r="A371" s="297">
        <f t="shared" si="5"/>
        <v>31.666666666666668</v>
      </c>
      <c r="B371" s="460">
        <v>41786</v>
      </c>
      <c r="C371" s="461" t="s">
        <v>452</v>
      </c>
      <c r="D371" s="461" t="s">
        <v>505</v>
      </c>
      <c r="E371" s="461" t="s">
        <v>380</v>
      </c>
      <c r="F371" s="461" t="s">
        <v>27</v>
      </c>
      <c r="G371" s="461" t="s">
        <v>28</v>
      </c>
      <c r="H371" s="291"/>
      <c r="I371" s="291"/>
      <c r="J371" s="291">
        <v>36</v>
      </c>
      <c r="K371" s="291">
        <v>18</v>
      </c>
      <c r="L371" s="292">
        <v>36</v>
      </c>
      <c r="M371" s="292">
        <v>18</v>
      </c>
      <c r="N371" s="292"/>
      <c r="O371" s="292">
        <v>18</v>
      </c>
      <c r="P371" s="294">
        <v>90</v>
      </c>
      <c r="Q371" s="294"/>
      <c r="R371" s="294"/>
      <c r="S371" s="294"/>
      <c r="T371" s="294"/>
      <c r="U371" s="294"/>
      <c r="V371" s="431"/>
      <c r="W371" s="294"/>
      <c r="X371" s="294"/>
      <c r="Y371" s="294">
        <f>IF(NFI_Expiration=1,IF($A371&lt;VLOOKUP(H$5,NFI,5,0),1,0)*Table_NFI[[#This Row],[Hygiene Kit]],Table_NFI[Hygiene Kit])</f>
        <v>0</v>
      </c>
      <c r="Z371" s="294">
        <f>IF(NFI_Expiration=1,IF($A371&lt;VLOOKUP(I$5,NFI,5,0),1,0)*Table_NFI[[#This Row],[NFI Core Kit]],Table_NFI[NFI Core Kit])</f>
        <v>0</v>
      </c>
      <c r="AA371" s="294">
        <f>IF(NFI_Expiration=1,IF($A371&lt;VLOOKUP(J$5,NFI,5,0),1,0)*Table_NFI[[#This Row],[Sanitary Kit]],Table_NFI[Sanitary Kit])</f>
        <v>0</v>
      </c>
      <c r="AB371" s="294">
        <f>IF(NFI_Expiration=1,IF($A371&lt;VLOOKUP(K$5,NFI,5,0),1,0)*Table_NFI[[#This Row],[Mosquito net]],Table_NFI[Mosquito net])</f>
        <v>0</v>
      </c>
      <c r="AC371" s="294">
        <f>IF(NFI_Expiration=1,IF($A371&lt;VLOOKUP(L$5,NFI,5,0),1,0)*Table_NFI[[#This Row],[Tarpaulin]],Table_NFI[[#This Row],[Tarpaulin]])</f>
        <v>0</v>
      </c>
      <c r="AD371" s="294">
        <f>IF(NFI_Expiration=1,IF($A371&lt;VLOOKUP(M$5,NFI,5,0),1,0)*Table_NFI[[#This Row],[Blanket]],Table_NFI[[#This Row],[Blanket]])</f>
        <v>0</v>
      </c>
      <c r="AE371" s="294">
        <f>IF(NFI_Expiration=1,IF($A371&lt;VLOOKUP(N$5,NFI,5,0),1,0)*Table_NFI[[#This Row],[Kitchen Set]],Table_NFI[Kitchen Set])</f>
        <v>0</v>
      </c>
      <c r="AF371" s="294">
        <f>IF(NFI_Expiration=1,IF($A371&lt;VLOOKUP(O$5,NFI,5,0),1,0)*Table_NFI[[#This Row],[Clothes Kit]],Table_NFI[Clothes Kit])</f>
        <v>0</v>
      </c>
      <c r="AG371" s="294">
        <f>IF(NFI_Expiration=1,IF($A371&lt;VLOOKUP(P$5,NFI,5,0),1,0)*Table_NFI[[#This Row],[Plastic Bucket]],Table_NFI[Plastic Bucket])</f>
        <v>0</v>
      </c>
      <c r="AH371" s="294">
        <f>IF(NFI_Expiration=1,IF($A371&lt;VLOOKUP(Q$5,NFI,5,0),1,0)*Table_NFI[[#This Row],[Plastic Mat]],Table_NFI[Plastic Mat])*IF(Table_NFI[[#This Row],[Distribution Date]]&gt;"2014-04-01",1,2.5)</f>
        <v>0</v>
      </c>
      <c r="AI371" s="294">
        <f>IF(NFI_Expiration=1,IF($A371&lt;VLOOKUP(R$5,NFI,5,0),1,0)*Table_NFI[[#This Row],[Winter Clothes Adult]],Table_NFI[Winter Clothes Adult])</f>
        <v>0</v>
      </c>
      <c r="AJ371" s="294">
        <f>IF(NFI_Expiration=1,IF($A371&lt;VLOOKUP(S$5,NFI,5,0),1,0)*Table_NFI[[#This Row],[Winter Clothes Children]],Table_NFI[Winter Clothes Children])</f>
        <v>0</v>
      </c>
      <c r="AK371" s="294">
        <f>IF(NFI_Expiration=1,IF($A371&lt;VLOOKUP(T$5,NFI,5,0),1,0)*Table_NFI[[#This Row],[Winter Items Other]],Table_NFI[Winter Items Other])</f>
        <v>0</v>
      </c>
      <c r="AL371" s="294">
        <f>IF(NFI_Expiration=1,IF($A371&lt;VLOOKUP(M$5,NFI,5,0),1,0)*Table_NFI[[#This Row],[Winter Blanket]],Table_NFI[[#This Row],[Winter Blanket]])</f>
        <v>0</v>
      </c>
      <c r="AM371" s="294">
        <f>IF(Table_NFI[[#This Row],[Winter Clothes Adult]]+Table_NFI[[#This Row],[Winter Clothes Children]]+Table_NFI[[#This Row],[Winter Items Other]]+Table_NFI[[#This Row],[Winter Blanket]]&gt;0,1,0)</f>
        <v>0</v>
      </c>
      <c r="AN371" s="331">
        <f>IF(NFI_Expiration=1,IF($A371&lt;VLOOKUP(V$5,NFI,5,0),1,0)*Table_NFI[[#This Row],[Jerry Can]],Table_NFI[Jerry Can])</f>
        <v>0</v>
      </c>
      <c r="AO371" s="331">
        <f>IF(NFI_Expiration=1,IF($A371&lt;VLOOKUP(V$5,NFI,5,0),1,0)*Table_NFI[[#This Row],[Shelter Tool kit]],Table_NFI[Shelter Tool kit])</f>
        <v>0</v>
      </c>
      <c r="AP371" s="331">
        <f>IF(NFI_Expiration=1,IF($A371&lt;VLOOKUP(V$5,NFI,5,0),1,0)*Table_NFI[[#This Row],[Tent]],Table_NFI[Tent])</f>
        <v>0</v>
      </c>
      <c r="AQ371" s="467" t="str">
        <f>IFERROR(VLOOKUP(Table_NFI[[#This Row],[Camp Name]],CL,2,0),"")</f>
        <v>MMR001CMP042</v>
      </c>
      <c r="AR371" s="835">
        <f ca="1">IF(Table_NFI[[#This Row],[Pcode]]="","",IF(OFFSET(CampList[Opening Date],MATCH(Table_NFI[[#This Row],[Pcode]],CampList[CP_Pcode],0)-1,0,1,1)&gt;=NFI_Monitor_Date,1,0))</f>
        <v>0</v>
      </c>
      <c r="AS371" s="467" t="str">
        <f>IFERROR(VLOOKUP(Table_NFI[[#This Row],[Camp Name]],CL,3,0),"")</f>
        <v>Open</v>
      </c>
      <c r="AT371" s="294" t="str">
        <f ca="1">IF(Table_NFI[[#This Row],[Pcode]]="","",OFFSET(CampList[Priority],MATCH(Table_NFI[[#This Row],[Pcode]],CampList[CP_Pcode],0)-1,0,1,1))</f>
        <v>P1</v>
      </c>
      <c r="AU371" s="293">
        <f>IFERROR(Table_NFI[[#This Row],[Kitchen Set]]/VLOOKUP(Table_NFI[[#This Row],[Camp Name]],CL,4,0),"")</f>
        <v>0</v>
      </c>
      <c r="AV371" s="461"/>
      <c r="AW371" s="463"/>
    </row>
    <row r="372" spans="1:49" s="464" customFormat="1" ht="14.45" customHeight="1" x14ac:dyDescent="0.25">
      <c r="A372" s="297">
        <f t="shared" si="5"/>
        <v>31.666666666666668</v>
      </c>
      <c r="B372" s="460">
        <v>41786</v>
      </c>
      <c r="C372" s="461" t="s">
        <v>452</v>
      </c>
      <c r="D372" s="461" t="s">
        <v>505</v>
      </c>
      <c r="E372" s="461" t="s">
        <v>380</v>
      </c>
      <c r="F372" s="461" t="s">
        <v>310</v>
      </c>
      <c r="G372" s="461" t="s">
        <v>313</v>
      </c>
      <c r="H372" s="291"/>
      <c r="I372" s="291"/>
      <c r="J372" s="291">
        <v>2</v>
      </c>
      <c r="K372" s="291">
        <v>1</v>
      </c>
      <c r="L372" s="292">
        <v>2</v>
      </c>
      <c r="M372" s="292">
        <v>1</v>
      </c>
      <c r="N372" s="292"/>
      <c r="O372" s="292">
        <v>1</v>
      </c>
      <c r="P372" s="294">
        <v>5</v>
      </c>
      <c r="Q372" s="294"/>
      <c r="R372" s="294"/>
      <c r="S372" s="294"/>
      <c r="T372" s="294"/>
      <c r="U372" s="294"/>
      <c r="V372" s="431"/>
      <c r="W372" s="294"/>
      <c r="X372" s="294"/>
      <c r="Y372" s="294">
        <f>IF(NFI_Expiration=1,IF($A372&lt;VLOOKUP(H$5,NFI,5,0),1,0)*Table_NFI[[#This Row],[Hygiene Kit]],Table_NFI[Hygiene Kit])</f>
        <v>0</v>
      </c>
      <c r="Z372" s="294">
        <f>IF(NFI_Expiration=1,IF($A372&lt;VLOOKUP(I$5,NFI,5,0),1,0)*Table_NFI[[#This Row],[NFI Core Kit]],Table_NFI[NFI Core Kit])</f>
        <v>0</v>
      </c>
      <c r="AA372" s="294">
        <f>IF(NFI_Expiration=1,IF($A372&lt;VLOOKUP(J$5,NFI,5,0),1,0)*Table_NFI[[#This Row],[Sanitary Kit]],Table_NFI[Sanitary Kit])</f>
        <v>0</v>
      </c>
      <c r="AB372" s="294">
        <f>IF(NFI_Expiration=1,IF($A372&lt;VLOOKUP(K$5,NFI,5,0),1,0)*Table_NFI[[#This Row],[Mosquito net]],Table_NFI[Mosquito net])</f>
        <v>0</v>
      </c>
      <c r="AC372" s="294">
        <f>IF(NFI_Expiration=1,IF($A372&lt;VLOOKUP(L$5,NFI,5,0),1,0)*Table_NFI[[#This Row],[Tarpaulin]],Table_NFI[[#This Row],[Tarpaulin]])</f>
        <v>0</v>
      </c>
      <c r="AD372" s="294">
        <f>IF(NFI_Expiration=1,IF($A372&lt;VLOOKUP(M$5,NFI,5,0),1,0)*Table_NFI[[#This Row],[Blanket]],Table_NFI[[#This Row],[Blanket]])</f>
        <v>0</v>
      </c>
      <c r="AE372" s="294">
        <f>IF(NFI_Expiration=1,IF($A372&lt;VLOOKUP(N$5,NFI,5,0),1,0)*Table_NFI[[#This Row],[Kitchen Set]],Table_NFI[Kitchen Set])</f>
        <v>0</v>
      </c>
      <c r="AF372" s="294">
        <f>IF(NFI_Expiration=1,IF($A372&lt;VLOOKUP(O$5,NFI,5,0),1,0)*Table_NFI[[#This Row],[Clothes Kit]],Table_NFI[Clothes Kit])</f>
        <v>0</v>
      </c>
      <c r="AG372" s="294">
        <f>IF(NFI_Expiration=1,IF($A372&lt;VLOOKUP(P$5,NFI,5,0),1,0)*Table_NFI[[#This Row],[Plastic Bucket]],Table_NFI[Plastic Bucket])</f>
        <v>0</v>
      </c>
      <c r="AH372" s="294">
        <f>IF(NFI_Expiration=1,IF($A372&lt;VLOOKUP(Q$5,NFI,5,0),1,0)*Table_NFI[[#This Row],[Plastic Mat]],Table_NFI[Plastic Mat])*IF(Table_NFI[[#This Row],[Distribution Date]]&gt;"2014-04-01",1,2.5)</f>
        <v>0</v>
      </c>
      <c r="AI372" s="294">
        <f>IF(NFI_Expiration=1,IF($A372&lt;VLOOKUP(R$5,NFI,5,0),1,0)*Table_NFI[[#This Row],[Winter Clothes Adult]],Table_NFI[Winter Clothes Adult])</f>
        <v>0</v>
      </c>
      <c r="AJ372" s="294">
        <f>IF(NFI_Expiration=1,IF($A372&lt;VLOOKUP(S$5,NFI,5,0),1,0)*Table_NFI[[#This Row],[Winter Clothes Children]],Table_NFI[Winter Clothes Children])</f>
        <v>0</v>
      </c>
      <c r="AK372" s="294">
        <f>IF(NFI_Expiration=1,IF($A372&lt;VLOOKUP(T$5,NFI,5,0),1,0)*Table_NFI[[#This Row],[Winter Items Other]],Table_NFI[Winter Items Other])</f>
        <v>0</v>
      </c>
      <c r="AL372" s="294">
        <f>IF(NFI_Expiration=1,IF($A372&lt;VLOOKUP(M$5,NFI,5,0),1,0)*Table_NFI[[#This Row],[Winter Blanket]],Table_NFI[[#This Row],[Winter Blanket]])</f>
        <v>0</v>
      </c>
      <c r="AM372" s="294">
        <f>IF(Table_NFI[[#This Row],[Winter Clothes Adult]]+Table_NFI[[#This Row],[Winter Clothes Children]]+Table_NFI[[#This Row],[Winter Items Other]]+Table_NFI[[#This Row],[Winter Blanket]]&gt;0,1,0)</f>
        <v>0</v>
      </c>
      <c r="AN372" s="331">
        <f>IF(NFI_Expiration=1,IF($A372&lt;VLOOKUP(V$5,NFI,5,0),1,0)*Table_NFI[[#This Row],[Jerry Can]],Table_NFI[Jerry Can])</f>
        <v>0</v>
      </c>
      <c r="AO372" s="331">
        <f>IF(NFI_Expiration=1,IF($A372&lt;VLOOKUP(V$5,NFI,5,0),1,0)*Table_NFI[[#This Row],[Shelter Tool kit]],Table_NFI[Shelter Tool kit])</f>
        <v>0</v>
      </c>
      <c r="AP372" s="331">
        <f>IF(NFI_Expiration=1,IF($A372&lt;VLOOKUP(V$5,NFI,5,0),1,0)*Table_NFI[[#This Row],[Tent]],Table_NFI[Tent])</f>
        <v>0</v>
      </c>
      <c r="AQ372" s="467" t="str">
        <f>IFERROR(VLOOKUP(Table_NFI[[#This Row],[Camp Name]],CL,2,0),"")</f>
        <v>MMR001CMP028</v>
      </c>
      <c r="AR372" s="835">
        <f ca="1">IF(Table_NFI[[#This Row],[Pcode]]="","",IF(OFFSET(CampList[Opening Date],MATCH(Table_NFI[[#This Row],[Pcode]],CampList[CP_Pcode],0)-1,0,1,1)&gt;=NFI_Monitor_Date,1,0))</f>
        <v>0</v>
      </c>
      <c r="AS372" s="467" t="str">
        <f>IFERROR(VLOOKUP(Table_NFI[[#This Row],[Camp Name]],CL,3,0),"")</f>
        <v>Open</v>
      </c>
      <c r="AT372" s="294" t="str">
        <f ca="1">IF(Table_NFI[[#This Row],[Pcode]]="","",OFFSET(CampList[Priority],MATCH(Table_NFI[[#This Row],[Pcode]],CampList[CP_Pcode],0)-1,0,1,1))</f>
        <v>P4</v>
      </c>
      <c r="AU372" s="293">
        <f>IFERROR(Table_NFI[[#This Row],[Kitchen Set]]/VLOOKUP(Table_NFI[[#This Row],[Camp Name]],CL,4,0),"")</f>
        <v>0</v>
      </c>
      <c r="AV372" s="461"/>
      <c r="AW372" s="463"/>
    </row>
    <row r="373" spans="1:49" s="464" customFormat="1" x14ac:dyDescent="0.25">
      <c r="A373" s="297">
        <f t="shared" si="5"/>
        <v>31.666666666666668</v>
      </c>
      <c r="B373" s="460">
        <v>41786</v>
      </c>
      <c r="C373" s="461" t="s">
        <v>452</v>
      </c>
      <c r="D373" s="461" t="s">
        <v>505</v>
      </c>
      <c r="E373" s="461" t="s">
        <v>380</v>
      </c>
      <c r="F373" s="461" t="s">
        <v>310</v>
      </c>
      <c r="G373" s="461" t="s">
        <v>328</v>
      </c>
      <c r="H373" s="291"/>
      <c r="I373" s="291"/>
      <c r="J373" s="291">
        <v>50</v>
      </c>
      <c r="K373" s="291">
        <v>25</v>
      </c>
      <c r="L373" s="292">
        <v>50</v>
      </c>
      <c r="M373" s="292">
        <v>25</v>
      </c>
      <c r="N373" s="292"/>
      <c r="O373" s="292">
        <v>25</v>
      </c>
      <c r="P373" s="294">
        <v>125</v>
      </c>
      <c r="Q373" s="294"/>
      <c r="R373" s="294"/>
      <c r="S373" s="294"/>
      <c r="T373" s="294"/>
      <c r="U373" s="294"/>
      <c r="V373" s="431"/>
      <c r="W373" s="331"/>
      <c r="X373" s="331"/>
      <c r="Y373" s="294">
        <f>IF(NFI_Expiration=1,IF($A373&lt;VLOOKUP(H$5,NFI,5,0),1,0)*Table_NFI[[#This Row],[Hygiene Kit]],Table_NFI[Hygiene Kit])</f>
        <v>0</v>
      </c>
      <c r="Z373" s="294">
        <f>IF(NFI_Expiration=1,IF($A373&lt;VLOOKUP(I$5,NFI,5,0),1,0)*Table_NFI[[#This Row],[NFI Core Kit]],Table_NFI[NFI Core Kit])</f>
        <v>0</v>
      </c>
      <c r="AA373" s="294">
        <f>IF(NFI_Expiration=1,IF($A373&lt;VLOOKUP(J$5,NFI,5,0),1,0)*Table_NFI[[#This Row],[Sanitary Kit]],Table_NFI[Sanitary Kit])</f>
        <v>0</v>
      </c>
      <c r="AB373" s="294">
        <f>IF(NFI_Expiration=1,IF($A373&lt;VLOOKUP(K$5,NFI,5,0),1,0)*Table_NFI[[#This Row],[Mosquito net]],Table_NFI[Mosquito net])</f>
        <v>0</v>
      </c>
      <c r="AC373" s="294">
        <f>IF(NFI_Expiration=1,IF($A373&lt;VLOOKUP(L$5,NFI,5,0),1,0)*Table_NFI[[#This Row],[Tarpaulin]],Table_NFI[[#This Row],[Tarpaulin]])</f>
        <v>0</v>
      </c>
      <c r="AD373" s="294">
        <f>IF(NFI_Expiration=1,IF($A373&lt;VLOOKUP(M$5,NFI,5,0),1,0)*Table_NFI[[#This Row],[Blanket]],Table_NFI[[#This Row],[Blanket]])</f>
        <v>0</v>
      </c>
      <c r="AE373" s="294">
        <f>IF(NFI_Expiration=1,IF($A373&lt;VLOOKUP(N$5,NFI,5,0),1,0)*Table_NFI[[#This Row],[Kitchen Set]],Table_NFI[Kitchen Set])</f>
        <v>0</v>
      </c>
      <c r="AF373" s="294">
        <f>IF(NFI_Expiration=1,IF($A373&lt;VLOOKUP(O$5,NFI,5,0),1,0)*Table_NFI[[#This Row],[Clothes Kit]],Table_NFI[Clothes Kit])</f>
        <v>0</v>
      </c>
      <c r="AG373" s="294">
        <f>IF(NFI_Expiration=1,IF($A373&lt;VLOOKUP(P$5,NFI,5,0),1,0)*Table_NFI[[#This Row],[Plastic Bucket]],Table_NFI[Plastic Bucket])</f>
        <v>0</v>
      </c>
      <c r="AH373" s="294">
        <f>IF(NFI_Expiration=1,IF($A373&lt;VLOOKUP(Q$5,NFI,5,0),1,0)*Table_NFI[[#This Row],[Plastic Mat]],Table_NFI[Plastic Mat])*IF(Table_NFI[[#This Row],[Distribution Date]]&gt;"2014-04-01",1,2.5)</f>
        <v>0</v>
      </c>
      <c r="AI373" s="294">
        <f>IF(NFI_Expiration=1,IF($A373&lt;VLOOKUP(R$5,NFI,5,0),1,0)*Table_NFI[[#This Row],[Winter Clothes Adult]],Table_NFI[Winter Clothes Adult])</f>
        <v>0</v>
      </c>
      <c r="AJ373" s="294">
        <f>IF(NFI_Expiration=1,IF($A373&lt;VLOOKUP(S$5,NFI,5,0),1,0)*Table_NFI[[#This Row],[Winter Clothes Children]],Table_NFI[Winter Clothes Children])</f>
        <v>0</v>
      </c>
      <c r="AK373" s="294">
        <f>IF(NFI_Expiration=1,IF($A373&lt;VLOOKUP(T$5,NFI,5,0),1,0)*Table_NFI[[#This Row],[Winter Items Other]],Table_NFI[Winter Items Other])</f>
        <v>0</v>
      </c>
      <c r="AL373" s="294">
        <f>IF(NFI_Expiration=1,IF($A373&lt;VLOOKUP(M$5,NFI,5,0),1,0)*Table_NFI[[#This Row],[Winter Blanket]],Table_NFI[[#This Row],[Winter Blanket]])</f>
        <v>0</v>
      </c>
      <c r="AM373" s="294">
        <f>IF(Table_NFI[[#This Row],[Winter Clothes Adult]]+Table_NFI[[#This Row],[Winter Clothes Children]]+Table_NFI[[#This Row],[Winter Items Other]]+Table_NFI[[#This Row],[Winter Blanket]]&gt;0,1,0)</f>
        <v>0</v>
      </c>
      <c r="AN373" s="331">
        <f>IF(NFI_Expiration=1,IF($A373&lt;VLOOKUP(V$5,NFI,5,0),1,0)*Table_NFI[[#This Row],[Jerry Can]],Table_NFI[Jerry Can])</f>
        <v>0</v>
      </c>
      <c r="AO373" s="331">
        <f>IF(NFI_Expiration=1,IF($A373&lt;VLOOKUP(V$5,NFI,5,0),1,0)*Table_NFI[[#This Row],[Shelter Tool kit]],Table_NFI[Shelter Tool kit])</f>
        <v>0</v>
      </c>
      <c r="AP373" s="331">
        <f>IF(NFI_Expiration=1,IF($A373&lt;VLOOKUP(V$5,NFI,5,0),1,0)*Table_NFI[[#This Row],[Tent]],Table_NFI[Tent])</f>
        <v>0</v>
      </c>
      <c r="AQ373" s="467" t="str">
        <f>IFERROR(VLOOKUP(Table_NFI[[#This Row],[Camp Name]],CL,2,0),"")</f>
        <v>MMR001CMP031</v>
      </c>
      <c r="AR373" s="835">
        <f ca="1">IF(Table_NFI[[#This Row],[Pcode]]="","",IF(OFFSET(CampList[Opening Date],MATCH(Table_NFI[[#This Row],[Pcode]],CampList[CP_Pcode],0)-1,0,1,1)&gt;=NFI_Monitor_Date,1,0))</f>
        <v>0</v>
      </c>
      <c r="AS373" s="467" t="str">
        <f>IFERROR(VLOOKUP(Table_NFI[[#This Row],[Camp Name]],CL,3,0),"")</f>
        <v>Open</v>
      </c>
      <c r="AT373" s="294" t="str">
        <f ca="1">IF(Table_NFI[[#This Row],[Pcode]]="","",OFFSET(CampList[Priority],MATCH(Table_NFI[[#This Row],[Pcode]],CampList[CP_Pcode],0)-1,0,1,1))</f>
        <v>P4</v>
      </c>
      <c r="AU373" s="293">
        <f>IFERROR(Table_NFI[[#This Row],[Kitchen Set]]/VLOOKUP(Table_NFI[[#This Row],[Camp Name]],CL,4,0),"")</f>
        <v>0</v>
      </c>
      <c r="AV373" s="461"/>
      <c r="AW373" s="463"/>
    </row>
    <row r="374" spans="1:49" s="464" customFormat="1" x14ac:dyDescent="0.25">
      <c r="A374" s="297">
        <f t="shared" si="5"/>
        <v>31.666666666666668</v>
      </c>
      <c r="B374" s="460">
        <v>41786</v>
      </c>
      <c r="C374" s="461" t="s">
        <v>452</v>
      </c>
      <c r="D374" s="461" t="s">
        <v>505</v>
      </c>
      <c r="E374" s="461" t="s">
        <v>380</v>
      </c>
      <c r="F374" s="461" t="s">
        <v>237</v>
      </c>
      <c r="G374" s="461" t="s">
        <v>263</v>
      </c>
      <c r="H374" s="291"/>
      <c r="I374" s="291"/>
      <c r="J374" s="291">
        <v>12</v>
      </c>
      <c r="K374" s="291">
        <v>6</v>
      </c>
      <c r="L374" s="292">
        <v>12</v>
      </c>
      <c r="M374" s="292">
        <v>6</v>
      </c>
      <c r="N374" s="292"/>
      <c r="O374" s="292">
        <v>6</v>
      </c>
      <c r="P374" s="294">
        <v>30</v>
      </c>
      <c r="Q374" s="294"/>
      <c r="R374" s="294"/>
      <c r="S374" s="294"/>
      <c r="T374" s="294"/>
      <c r="U374" s="294"/>
      <c r="V374" s="431"/>
      <c r="W374" s="331"/>
      <c r="X374" s="331"/>
      <c r="Y374" s="294">
        <f>IF(NFI_Expiration=1,IF($A374&lt;VLOOKUP(H$5,NFI,5,0),1,0)*Table_NFI[[#This Row],[Hygiene Kit]],Table_NFI[Hygiene Kit])</f>
        <v>0</v>
      </c>
      <c r="Z374" s="294">
        <f>IF(NFI_Expiration=1,IF($A374&lt;VLOOKUP(I$5,NFI,5,0),1,0)*Table_NFI[[#This Row],[NFI Core Kit]],Table_NFI[NFI Core Kit])</f>
        <v>0</v>
      </c>
      <c r="AA374" s="294">
        <f>IF(NFI_Expiration=1,IF($A374&lt;VLOOKUP(J$5,NFI,5,0),1,0)*Table_NFI[[#This Row],[Sanitary Kit]],Table_NFI[Sanitary Kit])</f>
        <v>0</v>
      </c>
      <c r="AB374" s="294">
        <f>IF(NFI_Expiration=1,IF($A374&lt;VLOOKUP(K$5,NFI,5,0),1,0)*Table_NFI[[#This Row],[Mosquito net]],Table_NFI[Mosquito net])</f>
        <v>0</v>
      </c>
      <c r="AC374" s="294">
        <f>IF(NFI_Expiration=1,IF($A374&lt;VLOOKUP(L$5,NFI,5,0),1,0)*Table_NFI[[#This Row],[Tarpaulin]],Table_NFI[[#This Row],[Tarpaulin]])</f>
        <v>0</v>
      </c>
      <c r="AD374" s="294">
        <f>IF(NFI_Expiration=1,IF($A374&lt;VLOOKUP(M$5,NFI,5,0),1,0)*Table_NFI[[#This Row],[Blanket]],Table_NFI[[#This Row],[Blanket]])</f>
        <v>0</v>
      </c>
      <c r="AE374" s="294">
        <f>IF(NFI_Expiration=1,IF($A374&lt;VLOOKUP(N$5,NFI,5,0),1,0)*Table_NFI[[#This Row],[Kitchen Set]],Table_NFI[Kitchen Set])</f>
        <v>0</v>
      </c>
      <c r="AF374" s="294">
        <f>IF(NFI_Expiration=1,IF($A374&lt;VLOOKUP(O$5,NFI,5,0),1,0)*Table_NFI[[#This Row],[Clothes Kit]],Table_NFI[Clothes Kit])</f>
        <v>0</v>
      </c>
      <c r="AG374" s="294">
        <f>IF(NFI_Expiration=1,IF($A374&lt;VLOOKUP(P$5,NFI,5,0),1,0)*Table_NFI[[#This Row],[Plastic Bucket]],Table_NFI[Plastic Bucket])</f>
        <v>0</v>
      </c>
      <c r="AH374" s="294">
        <f>IF(NFI_Expiration=1,IF($A374&lt;VLOOKUP(Q$5,NFI,5,0),1,0)*Table_NFI[[#This Row],[Plastic Mat]],Table_NFI[Plastic Mat])*IF(Table_NFI[[#This Row],[Distribution Date]]&gt;"2014-04-01",1,2.5)</f>
        <v>0</v>
      </c>
      <c r="AI374" s="294">
        <f>IF(NFI_Expiration=1,IF($A374&lt;VLOOKUP(R$5,NFI,5,0),1,0)*Table_NFI[[#This Row],[Winter Clothes Adult]],Table_NFI[Winter Clothes Adult])</f>
        <v>0</v>
      </c>
      <c r="AJ374" s="294">
        <f>IF(NFI_Expiration=1,IF($A374&lt;VLOOKUP(S$5,NFI,5,0),1,0)*Table_NFI[[#This Row],[Winter Clothes Children]],Table_NFI[Winter Clothes Children])</f>
        <v>0</v>
      </c>
      <c r="AK374" s="294">
        <f>IF(NFI_Expiration=1,IF($A374&lt;VLOOKUP(T$5,NFI,5,0),1,0)*Table_NFI[[#This Row],[Winter Items Other]],Table_NFI[Winter Items Other])</f>
        <v>0</v>
      </c>
      <c r="AL374" s="294">
        <f>IF(NFI_Expiration=1,IF($A374&lt;VLOOKUP(M$5,NFI,5,0),1,0)*Table_NFI[[#This Row],[Winter Blanket]],Table_NFI[[#This Row],[Winter Blanket]])</f>
        <v>0</v>
      </c>
      <c r="AM374" s="294">
        <f>IF(Table_NFI[[#This Row],[Winter Clothes Adult]]+Table_NFI[[#This Row],[Winter Clothes Children]]+Table_NFI[[#This Row],[Winter Items Other]]+Table_NFI[[#This Row],[Winter Blanket]]&gt;0,1,0)</f>
        <v>0</v>
      </c>
      <c r="AN374" s="331">
        <f>IF(NFI_Expiration=1,IF($A374&lt;VLOOKUP(V$5,NFI,5,0),1,0)*Table_NFI[[#This Row],[Jerry Can]],Table_NFI[Jerry Can])</f>
        <v>0</v>
      </c>
      <c r="AO374" s="331">
        <f>IF(NFI_Expiration=1,IF($A374&lt;VLOOKUP(V$5,NFI,5,0),1,0)*Table_NFI[[#This Row],[Shelter Tool kit]],Table_NFI[Shelter Tool kit])</f>
        <v>0</v>
      </c>
      <c r="AP374" s="331">
        <f>IF(NFI_Expiration=1,IF($A374&lt;VLOOKUP(V$5,NFI,5,0),1,0)*Table_NFI[[#This Row],[Tent]],Table_NFI[Tent])</f>
        <v>0</v>
      </c>
      <c r="AQ374" s="467" t="str">
        <f>IFERROR(VLOOKUP(Table_NFI[[#This Row],[Camp Name]],CL,2,0),"")</f>
        <v>MMR001CMP020</v>
      </c>
      <c r="AR374" s="835">
        <f ca="1">IF(Table_NFI[[#This Row],[Pcode]]="","",IF(OFFSET(CampList[Opening Date],MATCH(Table_NFI[[#This Row],[Pcode]],CampList[CP_Pcode],0)-1,0,1,1)&gt;=NFI_Monitor_Date,1,0))</f>
        <v>0</v>
      </c>
      <c r="AS374" s="467" t="str">
        <f>IFERROR(VLOOKUP(Table_NFI[[#This Row],[Camp Name]],CL,3,0),"")</f>
        <v>Open</v>
      </c>
      <c r="AT374" s="294" t="str">
        <f ca="1">IF(Table_NFI[[#This Row],[Pcode]]="","",OFFSET(CampList[Priority],MATCH(Table_NFI[[#This Row],[Pcode]],CampList[CP_Pcode],0)-1,0,1,1))</f>
        <v>P4</v>
      </c>
      <c r="AU374" s="293">
        <f>IFERROR(Table_NFI[[#This Row],[Kitchen Set]]/VLOOKUP(Table_NFI[[#This Row],[Camp Name]],CL,4,0),"")</f>
        <v>0</v>
      </c>
      <c r="AV374" s="461"/>
      <c r="AW374" s="463"/>
    </row>
    <row r="375" spans="1:49" s="464" customFormat="1" x14ac:dyDescent="0.25">
      <c r="A375" s="297">
        <f t="shared" si="5"/>
        <v>31.666666666666668</v>
      </c>
      <c r="B375" s="460">
        <v>41786</v>
      </c>
      <c r="C375" s="461" t="s">
        <v>452</v>
      </c>
      <c r="D375" s="461" t="s">
        <v>505</v>
      </c>
      <c r="E375" s="461" t="s">
        <v>380</v>
      </c>
      <c r="F375" s="461" t="s">
        <v>310</v>
      </c>
      <c r="G375" s="461" t="s">
        <v>351</v>
      </c>
      <c r="H375" s="291"/>
      <c r="I375" s="291"/>
      <c r="J375" s="291">
        <v>3</v>
      </c>
      <c r="K375" s="291">
        <v>3</v>
      </c>
      <c r="L375" s="292">
        <v>6</v>
      </c>
      <c r="M375" s="292">
        <v>3</v>
      </c>
      <c r="N375" s="292"/>
      <c r="O375" s="292">
        <v>3</v>
      </c>
      <c r="P375" s="294">
        <v>15</v>
      </c>
      <c r="Q375" s="294"/>
      <c r="R375" s="294"/>
      <c r="S375" s="294"/>
      <c r="T375" s="294"/>
      <c r="U375" s="294"/>
      <c r="V375" s="613"/>
      <c r="W375" s="331"/>
      <c r="X375" s="331"/>
      <c r="Y375" s="294">
        <f>IF(NFI_Expiration=1,IF($A375&lt;VLOOKUP(H$5,NFI,5,0),1,0)*Table_NFI[[#This Row],[Hygiene Kit]],Table_NFI[Hygiene Kit])</f>
        <v>0</v>
      </c>
      <c r="Z375" s="294">
        <f>IF(NFI_Expiration=1,IF($A375&lt;VLOOKUP(I$5,NFI,5,0),1,0)*Table_NFI[[#This Row],[NFI Core Kit]],Table_NFI[NFI Core Kit])</f>
        <v>0</v>
      </c>
      <c r="AA375" s="294">
        <f>IF(NFI_Expiration=1,IF($A375&lt;VLOOKUP(J$5,NFI,5,0),1,0)*Table_NFI[[#This Row],[Sanitary Kit]],Table_NFI[Sanitary Kit])</f>
        <v>0</v>
      </c>
      <c r="AB375" s="294">
        <f>IF(NFI_Expiration=1,IF($A375&lt;VLOOKUP(K$5,NFI,5,0),1,0)*Table_NFI[[#This Row],[Mosquito net]],Table_NFI[Mosquito net])</f>
        <v>0</v>
      </c>
      <c r="AC375" s="294">
        <f>IF(NFI_Expiration=1,IF($A375&lt;VLOOKUP(L$5,NFI,5,0),1,0)*Table_NFI[[#This Row],[Tarpaulin]],Table_NFI[[#This Row],[Tarpaulin]])</f>
        <v>0</v>
      </c>
      <c r="AD375" s="294">
        <f>IF(NFI_Expiration=1,IF($A375&lt;VLOOKUP(M$5,NFI,5,0),1,0)*Table_NFI[[#This Row],[Blanket]],Table_NFI[[#This Row],[Blanket]])</f>
        <v>0</v>
      </c>
      <c r="AE375" s="294">
        <f>IF(NFI_Expiration=1,IF($A375&lt;VLOOKUP(N$5,NFI,5,0),1,0)*Table_NFI[[#This Row],[Kitchen Set]],Table_NFI[Kitchen Set])</f>
        <v>0</v>
      </c>
      <c r="AF375" s="294">
        <f>IF(NFI_Expiration=1,IF($A375&lt;VLOOKUP(O$5,NFI,5,0),1,0)*Table_NFI[[#This Row],[Clothes Kit]],Table_NFI[Clothes Kit])</f>
        <v>0</v>
      </c>
      <c r="AG375" s="294">
        <f>IF(NFI_Expiration=1,IF($A375&lt;VLOOKUP(P$5,NFI,5,0),1,0)*Table_NFI[[#This Row],[Plastic Bucket]],Table_NFI[Plastic Bucket])</f>
        <v>0</v>
      </c>
      <c r="AH375" s="294">
        <f>IF(NFI_Expiration=1,IF($A375&lt;VLOOKUP(Q$5,NFI,5,0),1,0)*Table_NFI[[#This Row],[Plastic Mat]],Table_NFI[Plastic Mat])*IF(Table_NFI[[#This Row],[Distribution Date]]&gt;"2014-04-01",1,2.5)</f>
        <v>0</v>
      </c>
      <c r="AI375" s="294">
        <f>IF(NFI_Expiration=1,IF($A375&lt;VLOOKUP(R$5,NFI,5,0),1,0)*Table_NFI[[#This Row],[Winter Clothes Adult]],Table_NFI[Winter Clothes Adult])</f>
        <v>0</v>
      </c>
      <c r="AJ375" s="294">
        <f>IF(NFI_Expiration=1,IF($A375&lt;VLOOKUP(S$5,NFI,5,0),1,0)*Table_NFI[[#This Row],[Winter Clothes Children]],Table_NFI[Winter Clothes Children])</f>
        <v>0</v>
      </c>
      <c r="AK375" s="294">
        <f>IF(NFI_Expiration=1,IF($A375&lt;VLOOKUP(T$5,NFI,5,0),1,0)*Table_NFI[[#This Row],[Winter Items Other]],Table_NFI[Winter Items Other])</f>
        <v>0</v>
      </c>
      <c r="AL375" s="294">
        <f>IF(NFI_Expiration=1,IF($A375&lt;VLOOKUP(M$5,NFI,5,0),1,0)*Table_NFI[[#This Row],[Winter Blanket]],Table_NFI[[#This Row],[Winter Blanket]])</f>
        <v>0</v>
      </c>
      <c r="AM375" s="294">
        <f>IF(Table_NFI[[#This Row],[Winter Clothes Adult]]+Table_NFI[[#This Row],[Winter Clothes Children]]+Table_NFI[[#This Row],[Winter Items Other]]+Table_NFI[[#This Row],[Winter Blanket]]&gt;0,1,0)</f>
        <v>0</v>
      </c>
      <c r="AN375" s="331">
        <f>IF(NFI_Expiration=1,IF($A375&lt;VLOOKUP(V$5,NFI,5,0),1,0)*Table_NFI[[#This Row],[Jerry Can]],Table_NFI[Jerry Can])</f>
        <v>0</v>
      </c>
      <c r="AO375" s="331">
        <f>IF(NFI_Expiration=1,IF($A375&lt;VLOOKUP(V$5,NFI,5,0),1,0)*Table_NFI[[#This Row],[Shelter Tool kit]],Table_NFI[Shelter Tool kit])</f>
        <v>0</v>
      </c>
      <c r="AP375" s="331">
        <f>IF(NFI_Expiration=1,IF($A375&lt;VLOOKUP(V$5,NFI,5,0),1,0)*Table_NFI[[#This Row],[Tent]],Table_NFI[Tent])</f>
        <v>0</v>
      </c>
      <c r="AQ375" s="467" t="str">
        <f>IFERROR(VLOOKUP(Table_NFI[[#This Row],[Camp Name]],CL,2,0),"")</f>
        <v>MMR001CMP026</v>
      </c>
      <c r="AR375" s="835">
        <f ca="1">IF(Table_NFI[[#This Row],[Pcode]]="","",IF(OFFSET(CampList[Opening Date],MATCH(Table_NFI[[#This Row],[Pcode]],CampList[CP_Pcode],0)-1,0,1,1)&gt;=NFI_Monitor_Date,1,0))</f>
        <v>0</v>
      </c>
      <c r="AS375" s="467" t="str">
        <f>IFERROR(VLOOKUP(Table_NFI[[#This Row],[Camp Name]],CL,3,0),"")</f>
        <v>Open</v>
      </c>
      <c r="AT375" s="294" t="str">
        <f ca="1">IF(Table_NFI[[#This Row],[Pcode]]="","",OFFSET(CampList[Priority],MATCH(Table_NFI[[#This Row],[Pcode]],CampList[CP_Pcode],0)-1,0,1,1))</f>
        <v>P4</v>
      </c>
      <c r="AU375" s="293">
        <f>IFERROR(Table_NFI[[#This Row],[Kitchen Set]]/VLOOKUP(Table_NFI[[#This Row],[Camp Name]],CL,4,0),"")</f>
        <v>0</v>
      </c>
      <c r="AV375" s="461"/>
      <c r="AW375" s="463"/>
    </row>
    <row r="376" spans="1:49" s="464" customFormat="1" x14ac:dyDescent="0.25">
      <c r="A376" s="297">
        <f t="shared" si="5"/>
        <v>31.666666666666668</v>
      </c>
      <c r="B376" s="460">
        <v>41786</v>
      </c>
      <c r="C376" s="461" t="s">
        <v>452</v>
      </c>
      <c r="D376" s="461" t="s">
        <v>505</v>
      </c>
      <c r="E376" s="461" t="s">
        <v>380</v>
      </c>
      <c r="F376" s="461" t="s">
        <v>310</v>
      </c>
      <c r="G376" s="461" t="s">
        <v>349</v>
      </c>
      <c r="H376" s="291"/>
      <c r="I376" s="291"/>
      <c r="J376" s="291">
        <v>18</v>
      </c>
      <c r="K376" s="291">
        <v>9</v>
      </c>
      <c r="L376" s="292">
        <v>18</v>
      </c>
      <c r="M376" s="292">
        <v>9</v>
      </c>
      <c r="N376" s="292"/>
      <c r="O376" s="292">
        <v>9</v>
      </c>
      <c r="P376" s="294">
        <v>45</v>
      </c>
      <c r="Q376" s="294"/>
      <c r="R376" s="294"/>
      <c r="S376" s="294"/>
      <c r="T376" s="294"/>
      <c r="U376" s="294"/>
      <c r="V376" s="431"/>
      <c r="W376" s="331"/>
      <c r="X376" s="331"/>
      <c r="Y376" s="294">
        <f>IF(NFI_Expiration=1,IF($A376&lt;VLOOKUP(H$5,NFI,5,0),1,0)*Table_NFI[[#This Row],[Hygiene Kit]],Table_NFI[Hygiene Kit])</f>
        <v>0</v>
      </c>
      <c r="Z376" s="294">
        <f>IF(NFI_Expiration=1,IF($A376&lt;VLOOKUP(I$5,NFI,5,0),1,0)*Table_NFI[[#This Row],[NFI Core Kit]],Table_NFI[NFI Core Kit])</f>
        <v>0</v>
      </c>
      <c r="AA376" s="294">
        <f>IF(NFI_Expiration=1,IF($A376&lt;VLOOKUP(J$5,NFI,5,0),1,0)*Table_NFI[[#This Row],[Sanitary Kit]],Table_NFI[Sanitary Kit])</f>
        <v>0</v>
      </c>
      <c r="AB376" s="294">
        <f>IF(NFI_Expiration=1,IF($A376&lt;VLOOKUP(K$5,NFI,5,0),1,0)*Table_NFI[[#This Row],[Mosquito net]],Table_NFI[Mosquito net])</f>
        <v>0</v>
      </c>
      <c r="AC376" s="294">
        <f>IF(NFI_Expiration=1,IF($A376&lt;VLOOKUP(L$5,NFI,5,0),1,0)*Table_NFI[[#This Row],[Tarpaulin]],Table_NFI[[#This Row],[Tarpaulin]])</f>
        <v>0</v>
      </c>
      <c r="AD376" s="294">
        <f>IF(NFI_Expiration=1,IF($A376&lt;VLOOKUP(M$5,NFI,5,0),1,0)*Table_NFI[[#This Row],[Blanket]],Table_NFI[[#This Row],[Blanket]])</f>
        <v>0</v>
      </c>
      <c r="AE376" s="294">
        <f>IF(NFI_Expiration=1,IF($A376&lt;VLOOKUP(N$5,NFI,5,0),1,0)*Table_NFI[[#This Row],[Kitchen Set]],Table_NFI[Kitchen Set])</f>
        <v>0</v>
      </c>
      <c r="AF376" s="294">
        <f>IF(NFI_Expiration=1,IF($A376&lt;VLOOKUP(O$5,NFI,5,0),1,0)*Table_NFI[[#This Row],[Clothes Kit]],Table_NFI[Clothes Kit])</f>
        <v>0</v>
      </c>
      <c r="AG376" s="294">
        <f>IF(NFI_Expiration=1,IF($A376&lt;VLOOKUP(P$5,NFI,5,0),1,0)*Table_NFI[[#This Row],[Plastic Bucket]],Table_NFI[Plastic Bucket])</f>
        <v>0</v>
      </c>
      <c r="AH376" s="294">
        <f>IF(NFI_Expiration=1,IF($A376&lt;VLOOKUP(Q$5,NFI,5,0),1,0)*Table_NFI[[#This Row],[Plastic Mat]],Table_NFI[Plastic Mat])*IF(Table_NFI[[#This Row],[Distribution Date]]&gt;"2014-04-01",1,2.5)</f>
        <v>0</v>
      </c>
      <c r="AI376" s="294">
        <f>IF(NFI_Expiration=1,IF($A376&lt;VLOOKUP(R$5,NFI,5,0),1,0)*Table_NFI[[#This Row],[Winter Clothes Adult]],Table_NFI[Winter Clothes Adult])</f>
        <v>0</v>
      </c>
      <c r="AJ376" s="294">
        <f>IF(NFI_Expiration=1,IF($A376&lt;VLOOKUP(S$5,NFI,5,0),1,0)*Table_NFI[[#This Row],[Winter Clothes Children]],Table_NFI[Winter Clothes Children])</f>
        <v>0</v>
      </c>
      <c r="AK376" s="294">
        <f>IF(NFI_Expiration=1,IF($A376&lt;VLOOKUP(T$5,NFI,5,0),1,0)*Table_NFI[[#This Row],[Winter Items Other]],Table_NFI[Winter Items Other])</f>
        <v>0</v>
      </c>
      <c r="AL376" s="294">
        <f>IF(NFI_Expiration=1,IF($A376&lt;VLOOKUP(M$5,NFI,5,0),1,0)*Table_NFI[[#This Row],[Winter Blanket]],Table_NFI[[#This Row],[Winter Blanket]])</f>
        <v>0</v>
      </c>
      <c r="AM376" s="294">
        <f>IF(Table_NFI[[#This Row],[Winter Clothes Adult]]+Table_NFI[[#This Row],[Winter Clothes Children]]+Table_NFI[[#This Row],[Winter Items Other]]+Table_NFI[[#This Row],[Winter Blanket]]&gt;0,1,0)</f>
        <v>0</v>
      </c>
      <c r="AN376" s="331">
        <f>IF(NFI_Expiration=1,IF($A376&lt;VLOOKUP(V$5,NFI,5,0),1,0)*Table_NFI[[#This Row],[Jerry Can]],Table_NFI[Jerry Can])</f>
        <v>0</v>
      </c>
      <c r="AO376" s="331">
        <f>IF(NFI_Expiration=1,IF($A376&lt;VLOOKUP(V$5,NFI,5,0),1,0)*Table_NFI[[#This Row],[Shelter Tool kit]],Table_NFI[Shelter Tool kit])</f>
        <v>0</v>
      </c>
      <c r="AP376" s="331">
        <f>IF(NFI_Expiration=1,IF($A376&lt;VLOOKUP(V$5,NFI,5,0),1,0)*Table_NFI[[#This Row],[Tent]],Table_NFI[Tent])</f>
        <v>0</v>
      </c>
      <c r="AQ376" s="467" t="str">
        <f>IFERROR(VLOOKUP(Table_NFI[[#This Row],[Camp Name]],CL,2,0),"")</f>
        <v>MMR001CMP037</v>
      </c>
      <c r="AR376" s="835">
        <f ca="1">IF(Table_NFI[[#This Row],[Pcode]]="","",IF(OFFSET(CampList[Opening Date],MATCH(Table_NFI[[#This Row],[Pcode]],CampList[CP_Pcode],0)-1,0,1,1)&gt;=NFI_Monitor_Date,1,0))</f>
        <v>0</v>
      </c>
      <c r="AS376" s="467" t="str">
        <f>IFERROR(VLOOKUP(Table_NFI[[#This Row],[Camp Name]],CL,3,0),"")</f>
        <v>Open</v>
      </c>
      <c r="AT376" s="294" t="str">
        <f ca="1">IF(Table_NFI[[#This Row],[Pcode]]="","",OFFSET(CampList[Priority],MATCH(Table_NFI[[#This Row],[Pcode]],CampList[CP_Pcode],0)-1,0,1,1))</f>
        <v>P4</v>
      </c>
      <c r="AU376" s="293">
        <f>IFERROR(Table_NFI[[#This Row],[Kitchen Set]]/VLOOKUP(Table_NFI[[#This Row],[Camp Name]],CL,4,0),"")</f>
        <v>0</v>
      </c>
      <c r="AV376" s="461"/>
      <c r="AW376" s="463"/>
    </row>
    <row r="377" spans="1:49" s="464" customFormat="1" x14ac:dyDescent="0.25">
      <c r="A377" s="297">
        <f t="shared" si="5"/>
        <v>31.7</v>
      </c>
      <c r="B377" s="460">
        <v>41785</v>
      </c>
      <c r="C377" s="461" t="s">
        <v>1104</v>
      </c>
      <c r="D377" s="461" t="s">
        <v>900</v>
      </c>
      <c r="E377" s="461" t="s">
        <v>380</v>
      </c>
      <c r="F377" s="461" t="s">
        <v>310</v>
      </c>
      <c r="G377" s="461" t="s">
        <v>344</v>
      </c>
      <c r="H377" s="291"/>
      <c r="I377" s="291"/>
      <c r="J377" s="291"/>
      <c r="K377" s="291"/>
      <c r="L377" s="292"/>
      <c r="M377" s="292"/>
      <c r="N377" s="292"/>
      <c r="O377" s="292"/>
      <c r="P377" s="294"/>
      <c r="Q377" s="294"/>
      <c r="R377" s="294"/>
      <c r="S377" s="294"/>
      <c r="T377" s="294"/>
      <c r="U377" s="294">
        <v>36</v>
      </c>
      <c r="V377" s="431"/>
      <c r="W377" s="331"/>
      <c r="X377" s="331"/>
      <c r="Y377" s="294">
        <f>IF(NFI_Expiration=1,IF($A377&lt;VLOOKUP(H$5,NFI,5,0),1,0)*Table_NFI[[#This Row],[Hygiene Kit]],Table_NFI[Hygiene Kit])</f>
        <v>0</v>
      </c>
      <c r="Z377" s="294">
        <f>IF(NFI_Expiration=1,IF($A377&lt;VLOOKUP(I$5,NFI,5,0),1,0)*Table_NFI[[#This Row],[NFI Core Kit]],Table_NFI[NFI Core Kit])</f>
        <v>0</v>
      </c>
      <c r="AA377" s="294">
        <f>IF(NFI_Expiration=1,IF($A377&lt;VLOOKUP(J$5,NFI,5,0),1,0)*Table_NFI[[#This Row],[Sanitary Kit]],Table_NFI[Sanitary Kit])</f>
        <v>0</v>
      </c>
      <c r="AB377" s="294">
        <f>IF(NFI_Expiration=1,IF($A377&lt;VLOOKUP(K$5,NFI,5,0),1,0)*Table_NFI[[#This Row],[Mosquito net]],Table_NFI[Mosquito net])</f>
        <v>0</v>
      </c>
      <c r="AC377" s="294">
        <f>IF(NFI_Expiration=1,IF($A377&lt;VLOOKUP(L$5,NFI,5,0),1,0)*Table_NFI[[#This Row],[Tarpaulin]],Table_NFI[[#This Row],[Tarpaulin]])</f>
        <v>0</v>
      </c>
      <c r="AD377" s="294">
        <f>IF(NFI_Expiration=1,IF($A377&lt;VLOOKUP(M$5,NFI,5,0),1,0)*Table_NFI[[#This Row],[Blanket]],Table_NFI[[#This Row],[Blanket]])</f>
        <v>0</v>
      </c>
      <c r="AE377" s="294">
        <f>IF(NFI_Expiration=1,IF($A377&lt;VLOOKUP(N$5,NFI,5,0),1,0)*Table_NFI[[#This Row],[Kitchen Set]],Table_NFI[Kitchen Set])</f>
        <v>0</v>
      </c>
      <c r="AF377" s="294">
        <f>IF(NFI_Expiration=1,IF($A377&lt;VLOOKUP(O$5,NFI,5,0),1,0)*Table_NFI[[#This Row],[Clothes Kit]],Table_NFI[Clothes Kit])</f>
        <v>0</v>
      </c>
      <c r="AG377" s="294">
        <f>IF(NFI_Expiration=1,IF($A377&lt;VLOOKUP(P$5,NFI,5,0),1,0)*Table_NFI[[#This Row],[Plastic Bucket]],Table_NFI[Plastic Bucket])</f>
        <v>0</v>
      </c>
      <c r="AH377" s="294">
        <f>IF(NFI_Expiration=1,IF($A377&lt;VLOOKUP(Q$5,NFI,5,0),1,0)*Table_NFI[[#This Row],[Plastic Mat]],Table_NFI[Plastic Mat])*IF(Table_NFI[[#This Row],[Distribution Date]]&gt;"2014-04-01",1,2.5)</f>
        <v>0</v>
      </c>
      <c r="AI377" s="294">
        <f>IF(NFI_Expiration=1,IF($A377&lt;VLOOKUP(R$5,NFI,5,0),1,0)*Table_NFI[[#This Row],[Winter Clothes Adult]],Table_NFI[Winter Clothes Adult])</f>
        <v>0</v>
      </c>
      <c r="AJ377" s="294">
        <f>IF(NFI_Expiration=1,IF($A377&lt;VLOOKUP(S$5,NFI,5,0),1,0)*Table_NFI[[#This Row],[Winter Clothes Children]],Table_NFI[Winter Clothes Children])</f>
        <v>0</v>
      </c>
      <c r="AK377" s="294">
        <f>IF(NFI_Expiration=1,IF($A377&lt;VLOOKUP(T$5,NFI,5,0),1,0)*Table_NFI[[#This Row],[Winter Items Other]],Table_NFI[Winter Items Other])</f>
        <v>0</v>
      </c>
      <c r="AL377" s="294">
        <f>IF(NFI_Expiration=1,IF($A377&lt;VLOOKUP(M$5,NFI,5,0),1,0)*Table_NFI[[#This Row],[Winter Blanket]],Table_NFI[[#This Row],[Winter Blanket]])</f>
        <v>0</v>
      </c>
      <c r="AM377" s="294">
        <f>IF(Table_NFI[[#This Row],[Winter Clothes Adult]]+Table_NFI[[#This Row],[Winter Clothes Children]]+Table_NFI[[#This Row],[Winter Items Other]]+Table_NFI[[#This Row],[Winter Blanket]]&gt;0,1,0)</f>
        <v>1</v>
      </c>
      <c r="AN377" s="331">
        <f>IF(NFI_Expiration=1,IF($A377&lt;VLOOKUP(V$5,NFI,5,0),1,0)*Table_NFI[[#This Row],[Jerry Can]],Table_NFI[Jerry Can])</f>
        <v>0</v>
      </c>
      <c r="AO377" s="331">
        <f>IF(NFI_Expiration=1,IF($A377&lt;VLOOKUP(V$5,NFI,5,0),1,0)*Table_NFI[[#This Row],[Shelter Tool kit]],Table_NFI[Shelter Tool kit])</f>
        <v>0</v>
      </c>
      <c r="AP377" s="331">
        <f>IF(NFI_Expiration=1,IF($A377&lt;VLOOKUP(V$5,NFI,5,0),1,0)*Table_NFI[[#This Row],[Tent]],Table_NFI[Tent])</f>
        <v>0</v>
      </c>
      <c r="AQ377" s="467" t="str">
        <f>IFERROR(VLOOKUP(Table_NFI[[#This Row],[Camp Name]],CL,2,0),"")</f>
        <v>MMR001CMP033</v>
      </c>
      <c r="AR377" s="835">
        <f ca="1">IF(Table_NFI[[#This Row],[Pcode]]="","",IF(OFFSET(CampList[Opening Date],MATCH(Table_NFI[[#This Row],[Pcode]],CampList[CP_Pcode],0)-1,0,1,1)&gt;=NFI_Monitor_Date,1,0))</f>
        <v>0</v>
      </c>
      <c r="AS377" s="467" t="str">
        <f>IFERROR(VLOOKUP(Table_NFI[[#This Row],[Camp Name]],CL,3,0),"")</f>
        <v>Open</v>
      </c>
      <c r="AT377" s="294" t="str">
        <f ca="1">IF(Table_NFI[[#This Row],[Pcode]]="","",OFFSET(CampList[Priority],MATCH(Table_NFI[[#This Row],[Pcode]],CampList[CP_Pcode],0)-1,0,1,1))</f>
        <v>P4</v>
      </c>
      <c r="AU377" s="293">
        <f>IFERROR(Table_NFI[[#This Row],[Kitchen Set]]/VLOOKUP(Table_NFI[[#This Row],[Camp Name]],CL,4,0),"")</f>
        <v>0</v>
      </c>
      <c r="AV377" s="461"/>
      <c r="AW377" s="463"/>
    </row>
    <row r="378" spans="1:49" s="464" customFormat="1" x14ac:dyDescent="0.25">
      <c r="A378" s="297">
        <f t="shared" si="5"/>
        <v>31.733333333333334</v>
      </c>
      <c r="B378" s="460">
        <v>41784</v>
      </c>
      <c r="C378" s="461" t="s">
        <v>1104</v>
      </c>
      <c r="D378" s="461" t="s">
        <v>900</v>
      </c>
      <c r="E378" s="461" t="s">
        <v>380</v>
      </c>
      <c r="F378" s="461" t="s">
        <v>310</v>
      </c>
      <c r="G378" s="461" t="s">
        <v>313</v>
      </c>
      <c r="H378" s="291"/>
      <c r="I378" s="291"/>
      <c r="J378" s="291"/>
      <c r="K378" s="291"/>
      <c r="L378" s="292"/>
      <c r="M378" s="292"/>
      <c r="N378" s="292"/>
      <c r="O378" s="292"/>
      <c r="P378" s="294"/>
      <c r="Q378" s="294"/>
      <c r="R378" s="294"/>
      <c r="S378" s="294"/>
      <c r="T378" s="294"/>
      <c r="U378" s="294">
        <v>224</v>
      </c>
      <c r="V378" s="431"/>
      <c r="W378" s="331"/>
      <c r="X378" s="331"/>
      <c r="Y378" s="294">
        <f>IF(NFI_Expiration=1,IF($A378&lt;VLOOKUP(H$5,NFI,5,0),1,0)*Table_NFI[[#This Row],[Hygiene Kit]],Table_NFI[Hygiene Kit])</f>
        <v>0</v>
      </c>
      <c r="Z378" s="294">
        <f>IF(NFI_Expiration=1,IF($A378&lt;VLOOKUP(I$5,NFI,5,0),1,0)*Table_NFI[[#This Row],[NFI Core Kit]],Table_NFI[NFI Core Kit])</f>
        <v>0</v>
      </c>
      <c r="AA378" s="294">
        <f>IF(NFI_Expiration=1,IF($A378&lt;VLOOKUP(J$5,NFI,5,0),1,0)*Table_NFI[[#This Row],[Sanitary Kit]],Table_NFI[Sanitary Kit])</f>
        <v>0</v>
      </c>
      <c r="AB378" s="294">
        <f>IF(NFI_Expiration=1,IF($A378&lt;VLOOKUP(K$5,NFI,5,0),1,0)*Table_NFI[[#This Row],[Mosquito net]],Table_NFI[Mosquito net])</f>
        <v>0</v>
      </c>
      <c r="AC378" s="294">
        <f>IF(NFI_Expiration=1,IF($A378&lt;VLOOKUP(L$5,NFI,5,0),1,0)*Table_NFI[[#This Row],[Tarpaulin]],Table_NFI[[#This Row],[Tarpaulin]])</f>
        <v>0</v>
      </c>
      <c r="AD378" s="294">
        <f>IF(NFI_Expiration=1,IF($A378&lt;VLOOKUP(M$5,NFI,5,0),1,0)*Table_NFI[[#This Row],[Blanket]],Table_NFI[[#This Row],[Blanket]])</f>
        <v>0</v>
      </c>
      <c r="AE378" s="294">
        <f>IF(NFI_Expiration=1,IF($A378&lt;VLOOKUP(N$5,NFI,5,0),1,0)*Table_NFI[[#This Row],[Kitchen Set]],Table_NFI[Kitchen Set])</f>
        <v>0</v>
      </c>
      <c r="AF378" s="294">
        <f>IF(NFI_Expiration=1,IF($A378&lt;VLOOKUP(O$5,NFI,5,0),1,0)*Table_NFI[[#This Row],[Clothes Kit]],Table_NFI[Clothes Kit])</f>
        <v>0</v>
      </c>
      <c r="AG378" s="294">
        <f>IF(NFI_Expiration=1,IF($A378&lt;VLOOKUP(P$5,NFI,5,0),1,0)*Table_NFI[[#This Row],[Plastic Bucket]],Table_NFI[Plastic Bucket])</f>
        <v>0</v>
      </c>
      <c r="AH378" s="294">
        <f>IF(NFI_Expiration=1,IF($A378&lt;VLOOKUP(Q$5,NFI,5,0),1,0)*Table_NFI[[#This Row],[Plastic Mat]],Table_NFI[Plastic Mat])*IF(Table_NFI[[#This Row],[Distribution Date]]&gt;"2014-04-01",1,2.5)</f>
        <v>0</v>
      </c>
      <c r="AI378" s="294">
        <f>IF(NFI_Expiration=1,IF($A378&lt;VLOOKUP(R$5,NFI,5,0),1,0)*Table_NFI[[#This Row],[Winter Clothes Adult]],Table_NFI[Winter Clothes Adult])</f>
        <v>0</v>
      </c>
      <c r="AJ378" s="294">
        <f>IF(NFI_Expiration=1,IF($A378&lt;VLOOKUP(S$5,NFI,5,0),1,0)*Table_NFI[[#This Row],[Winter Clothes Children]],Table_NFI[Winter Clothes Children])</f>
        <v>0</v>
      </c>
      <c r="AK378" s="294">
        <f>IF(NFI_Expiration=1,IF($A378&lt;VLOOKUP(T$5,NFI,5,0),1,0)*Table_NFI[[#This Row],[Winter Items Other]],Table_NFI[Winter Items Other])</f>
        <v>0</v>
      </c>
      <c r="AL378" s="294">
        <f>IF(NFI_Expiration=1,IF($A378&lt;VLOOKUP(M$5,NFI,5,0),1,0)*Table_NFI[[#This Row],[Winter Blanket]],Table_NFI[[#This Row],[Winter Blanket]])</f>
        <v>0</v>
      </c>
      <c r="AM378" s="294">
        <f>IF(Table_NFI[[#This Row],[Winter Clothes Adult]]+Table_NFI[[#This Row],[Winter Clothes Children]]+Table_NFI[[#This Row],[Winter Items Other]]+Table_NFI[[#This Row],[Winter Blanket]]&gt;0,1,0)</f>
        <v>1</v>
      </c>
      <c r="AN378" s="331">
        <f>IF(NFI_Expiration=1,IF($A378&lt;VLOOKUP(V$5,NFI,5,0),1,0)*Table_NFI[[#This Row],[Jerry Can]],Table_NFI[Jerry Can])</f>
        <v>0</v>
      </c>
      <c r="AO378" s="331">
        <f>IF(NFI_Expiration=1,IF($A378&lt;VLOOKUP(V$5,NFI,5,0),1,0)*Table_NFI[[#This Row],[Shelter Tool kit]],Table_NFI[Shelter Tool kit])</f>
        <v>0</v>
      </c>
      <c r="AP378" s="331">
        <f>IF(NFI_Expiration=1,IF($A378&lt;VLOOKUP(V$5,NFI,5,0),1,0)*Table_NFI[[#This Row],[Tent]],Table_NFI[Tent])</f>
        <v>0</v>
      </c>
      <c r="AQ378" s="467" t="str">
        <f>IFERROR(VLOOKUP(Table_NFI[[#This Row],[Camp Name]],CL,2,0),"")</f>
        <v>MMR001CMP028</v>
      </c>
      <c r="AR378" s="835">
        <f ca="1">IF(Table_NFI[[#This Row],[Pcode]]="","",IF(OFFSET(CampList[Opening Date],MATCH(Table_NFI[[#This Row],[Pcode]],CampList[CP_Pcode],0)-1,0,1,1)&gt;=NFI_Monitor_Date,1,0))</f>
        <v>0</v>
      </c>
      <c r="AS378" s="467" t="str">
        <f>IFERROR(VLOOKUP(Table_NFI[[#This Row],[Camp Name]],CL,3,0),"")</f>
        <v>Open</v>
      </c>
      <c r="AT378" s="294" t="str">
        <f ca="1">IF(Table_NFI[[#This Row],[Pcode]]="","",OFFSET(CampList[Priority],MATCH(Table_NFI[[#This Row],[Pcode]],CampList[CP_Pcode],0)-1,0,1,1))</f>
        <v>P4</v>
      </c>
      <c r="AU378" s="293">
        <f>IFERROR(Table_NFI[[#This Row],[Kitchen Set]]/VLOOKUP(Table_NFI[[#This Row],[Camp Name]],CL,4,0),"")</f>
        <v>0</v>
      </c>
      <c r="AV378" s="461"/>
      <c r="AW378" s="463"/>
    </row>
    <row r="379" spans="1:49" s="464" customFormat="1" x14ac:dyDescent="0.25">
      <c r="A379" s="297">
        <f t="shared" si="5"/>
        <v>31.733333333333334</v>
      </c>
      <c r="B379" s="460">
        <v>41784</v>
      </c>
      <c r="C379" s="461" t="s">
        <v>1104</v>
      </c>
      <c r="D379" s="461" t="s">
        <v>900</v>
      </c>
      <c r="E379" s="461" t="s">
        <v>380</v>
      </c>
      <c r="F379" s="461" t="s">
        <v>310</v>
      </c>
      <c r="G379" s="461" t="s">
        <v>351</v>
      </c>
      <c r="H379" s="291"/>
      <c r="I379" s="291"/>
      <c r="J379" s="291"/>
      <c r="K379" s="291"/>
      <c r="L379" s="292"/>
      <c r="M379" s="292"/>
      <c r="N379" s="292"/>
      <c r="O379" s="292"/>
      <c r="P379" s="294"/>
      <c r="Q379" s="294"/>
      <c r="R379" s="294"/>
      <c r="S379" s="294"/>
      <c r="T379" s="294"/>
      <c r="U379" s="294">
        <v>182</v>
      </c>
      <c r="V379" s="431"/>
      <c r="W379" s="331"/>
      <c r="X379" s="331"/>
      <c r="Y379" s="294">
        <f>IF(NFI_Expiration=1,IF($A379&lt;VLOOKUP(H$5,NFI,5,0),1,0)*Table_NFI[[#This Row],[Hygiene Kit]],Table_NFI[Hygiene Kit])</f>
        <v>0</v>
      </c>
      <c r="Z379" s="294">
        <f>IF(NFI_Expiration=1,IF($A379&lt;VLOOKUP(I$5,NFI,5,0),1,0)*Table_NFI[[#This Row],[NFI Core Kit]],Table_NFI[NFI Core Kit])</f>
        <v>0</v>
      </c>
      <c r="AA379" s="294">
        <f>IF(NFI_Expiration=1,IF($A379&lt;VLOOKUP(J$5,NFI,5,0),1,0)*Table_NFI[[#This Row],[Sanitary Kit]],Table_NFI[Sanitary Kit])</f>
        <v>0</v>
      </c>
      <c r="AB379" s="294">
        <f>IF(NFI_Expiration=1,IF($A379&lt;VLOOKUP(K$5,NFI,5,0),1,0)*Table_NFI[[#This Row],[Mosquito net]],Table_NFI[Mosquito net])</f>
        <v>0</v>
      </c>
      <c r="AC379" s="294">
        <f>IF(NFI_Expiration=1,IF($A379&lt;VLOOKUP(L$5,NFI,5,0),1,0)*Table_NFI[[#This Row],[Tarpaulin]],Table_NFI[[#This Row],[Tarpaulin]])</f>
        <v>0</v>
      </c>
      <c r="AD379" s="294">
        <f>IF(NFI_Expiration=1,IF($A379&lt;VLOOKUP(M$5,NFI,5,0),1,0)*Table_NFI[[#This Row],[Blanket]],Table_NFI[[#This Row],[Blanket]])</f>
        <v>0</v>
      </c>
      <c r="AE379" s="294">
        <f>IF(NFI_Expiration=1,IF($A379&lt;VLOOKUP(N$5,NFI,5,0),1,0)*Table_NFI[[#This Row],[Kitchen Set]],Table_NFI[Kitchen Set])</f>
        <v>0</v>
      </c>
      <c r="AF379" s="294">
        <f>IF(NFI_Expiration=1,IF($A379&lt;VLOOKUP(O$5,NFI,5,0),1,0)*Table_NFI[[#This Row],[Clothes Kit]],Table_NFI[Clothes Kit])</f>
        <v>0</v>
      </c>
      <c r="AG379" s="294">
        <f>IF(NFI_Expiration=1,IF($A379&lt;VLOOKUP(P$5,NFI,5,0),1,0)*Table_NFI[[#This Row],[Plastic Bucket]],Table_NFI[Plastic Bucket])</f>
        <v>0</v>
      </c>
      <c r="AH379" s="294">
        <f>IF(NFI_Expiration=1,IF($A379&lt;VLOOKUP(Q$5,NFI,5,0),1,0)*Table_NFI[[#This Row],[Plastic Mat]],Table_NFI[Plastic Mat])*IF(Table_NFI[[#This Row],[Distribution Date]]&gt;"2014-04-01",1,2.5)</f>
        <v>0</v>
      </c>
      <c r="AI379" s="294">
        <f>IF(NFI_Expiration=1,IF($A379&lt;VLOOKUP(R$5,NFI,5,0),1,0)*Table_NFI[[#This Row],[Winter Clothes Adult]],Table_NFI[Winter Clothes Adult])</f>
        <v>0</v>
      </c>
      <c r="AJ379" s="294">
        <f>IF(NFI_Expiration=1,IF($A379&lt;VLOOKUP(S$5,NFI,5,0),1,0)*Table_NFI[[#This Row],[Winter Clothes Children]],Table_NFI[Winter Clothes Children])</f>
        <v>0</v>
      </c>
      <c r="AK379" s="294">
        <f>IF(NFI_Expiration=1,IF($A379&lt;VLOOKUP(T$5,NFI,5,0),1,0)*Table_NFI[[#This Row],[Winter Items Other]],Table_NFI[Winter Items Other])</f>
        <v>0</v>
      </c>
      <c r="AL379" s="294">
        <f>IF(NFI_Expiration=1,IF($A379&lt;VLOOKUP(M$5,NFI,5,0),1,0)*Table_NFI[[#This Row],[Winter Blanket]],Table_NFI[[#This Row],[Winter Blanket]])</f>
        <v>0</v>
      </c>
      <c r="AM379" s="294">
        <f>IF(Table_NFI[[#This Row],[Winter Clothes Adult]]+Table_NFI[[#This Row],[Winter Clothes Children]]+Table_NFI[[#This Row],[Winter Items Other]]+Table_NFI[[#This Row],[Winter Blanket]]&gt;0,1,0)</f>
        <v>1</v>
      </c>
      <c r="AN379" s="331">
        <f>IF(NFI_Expiration=1,IF($A379&lt;VLOOKUP(V$5,NFI,5,0),1,0)*Table_NFI[[#This Row],[Jerry Can]],Table_NFI[Jerry Can])</f>
        <v>0</v>
      </c>
      <c r="AO379" s="331">
        <f>IF(NFI_Expiration=1,IF($A379&lt;VLOOKUP(V$5,NFI,5,0),1,0)*Table_NFI[[#This Row],[Shelter Tool kit]],Table_NFI[Shelter Tool kit])</f>
        <v>0</v>
      </c>
      <c r="AP379" s="331">
        <f>IF(NFI_Expiration=1,IF($A379&lt;VLOOKUP(V$5,NFI,5,0),1,0)*Table_NFI[[#This Row],[Tent]],Table_NFI[Tent])</f>
        <v>0</v>
      </c>
      <c r="AQ379" s="467" t="str">
        <f>IFERROR(VLOOKUP(Table_NFI[[#This Row],[Camp Name]],CL,2,0),"")</f>
        <v>MMR001CMP026</v>
      </c>
      <c r="AR379" s="835">
        <f ca="1">IF(Table_NFI[[#This Row],[Pcode]]="","",IF(OFFSET(CampList[Opening Date],MATCH(Table_NFI[[#This Row],[Pcode]],CampList[CP_Pcode],0)-1,0,1,1)&gt;=NFI_Monitor_Date,1,0))</f>
        <v>0</v>
      </c>
      <c r="AS379" s="467" t="str">
        <f>IFERROR(VLOOKUP(Table_NFI[[#This Row],[Camp Name]],CL,3,0),"")</f>
        <v>Open</v>
      </c>
      <c r="AT379" s="294" t="str">
        <f ca="1">IF(Table_NFI[[#This Row],[Pcode]]="","",OFFSET(CampList[Priority],MATCH(Table_NFI[[#This Row],[Pcode]],CampList[CP_Pcode],0)-1,0,1,1))</f>
        <v>P4</v>
      </c>
      <c r="AU379" s="293">
        <f>IFERROR(Table_NFI[[#This Row],[Kitchen Set]]/VLOOKUP(Table_NFI[[#This Row],[Camp Name]],CL,4,0),"")</f>
        <v>0</v>
      </c>
      <c r="AV379" s="461"/>
      <c r="AW379" s="463"/>
    </row>
    <row r="380" spans="1:49" s="464" customFormat="1" x14ac:dyDescent="0.25">
      <c r="A380" s="297">
        <f t="shared" si="5"/>
        <v>31.833333333333332</v>
      </c>
      <c r="B380" s="460">
        <v>41781</v>
      </c>
      <c r="C380" s="461" t="s">
        <v>1104</v>
      </c>
      <c r="D380" s="461" t="s">
        <v>900</v>
      </c>
      <c r="E380" s="461" t="s">
        <v>380</v>
      </c>
      <c r="F380" s="290" t="s">
        <v>310</v>
      </c>
      <c r="G380" s="461" t="s">
        <v>320</v>
      </c>
      <c r="H380" s="291"/>
      <c r="I380" s="291"/>
      <c r="J380" s="291"/>
      <c r="K380" s="291"/>
      <c r="L380" s="292"/>
      <c r="M380" s="292"/>
      <c r="N380" s="292"/>
      <c r="O380" s="292"/>
      <c r="P380" s="294"/>
      <c r="Q380" s="294"/>
      <c r="R380" s="294"/>
      <c r="S380" s="294"/>
      <c r="T380" s="294"/>
      <c r="U380" s="294">
        <v>46</v>
      </c>
      <c r="V380" s="431"/>
      <c r="W380" s="331"/>
      <c r="X380" s="331"/>
      <c r="Y380" s="294">
        <f>IF(NFI_Expiration=1,IF($A380&lt;VLOOKUP(H$5,NFI,5,0),1,0)*Table_NFI[[#This Row],[Hygiene Kit]],Table_NFI[Hygiene Kit])</f>
        <v>0</v>
      </c>
      <c r="Z380" s="294">
        <f>IF(NFI_Expiration=1,IF($A380&lt;VLOOKUP(I$5,NFI,5,0),1,0)*Table_NFI[[#This Row],[NFI Core Kit]],Table_NFI[NFI Core Kit])</f>
        <v>0</v>
      </c>
      <c r="AA380" s="294">
        <f>IF(NFI_Expiration=1,IF($A380&lt;VLOOKUP(J$5,NFI,5,0),1,0)*Table_NFI[[#This Row],[Sanitary Kit]],Table_NFI[Sanitary Kit])</f>
        <v>0</v>
      </c>
      <c r="AB380" s="294">
        <f>IF(NFI_Expiration=1,IF($A380&lt;VLOOKUP(K$5,NFI,5,0),1,0)*Table_NFI[[#This Row],[Mosquito net]],Table_NFI[Mosquito net])</f>
        <v>0</v>
      </c>
      <c r="AC380" s="294">
        <f>IF(NFI_Expiration=1,IF($A380&lt;VLOOKUP(L$5,NFI,5,0),1,0)*Table_NFI[[#This Row],[Tarpaulin]],Table_NFI[[#This Row],[Tarpaulin]])</f>
        <v>0</v>
      </c>
      <c r="AD380" s="294">
        <f>IF(NFI_Expiration=1,IF($A380&lt;VLOOKUP(M$5,NFI,5,0),1,0)*Table_NFI[[#This Row],[Blanket]],Table_NFI[[#This Row],[Blanket]])</f>
        <v>0</v>
      </c>
      <c r="AE380" s="294">
        <f>IF(NFI_Expiration=1,IF($A380&lt;VLOOKUP(N$5,NFI,5,0),1,0)*Table_NFI[[#This Row],[Kitchen Set]],Table_NFI[Kitchen Set])</f>
        <v>0</v>
      </c>
      <c r="AF380" s="294">
        <f>IF(NFI_Expiration=1,IF($A380&lt;VLOOKUP(O$5,NFI,5,0),1,0)*Table_NFI[[#This Row],[Clothes Kit]],Table_NFI[Clothes Kit])</f>
        <v>0</v>
      </c>
      <c r="AG380" s="294">
        <f>IF(NFI_Expiration=1,IF($A380&lt;VLOOKUP(P$5,NFI,5,0),1,0)*Table_NFI[[#This Row],[Plastic Bucket]],Table_NFI[Plastic Bucket])</f>
        <v>0</v>
      </c>
      <c r="AH380" s="294">
        <f>IF(NFI_Expiration=1,IF($A380&lt;VLOOKUP(Q$5,NFI,5,0),1,0)*Table_NFI[[#This Row],[Plastic Mat]],Table_NFI[Plastic Mat])*IF(Table_NFI[[#This Row],[Distribution Date]]&gt;"2014-04-01",1,2.5)</f>
        <v>0</v>
      </c>
      <c r="AI380" s="294">
        <f>IF(NFI_Expiration=1,IF($A380&lt;VLOOKUP(R$5,NFI,5,0),1,0)*Table_NFI[[#This Row],[Winter Clothes Adult]],Table_NFI[Winter Clothes Adult])</f>
        <v>0</v>
      </c>
      <c r="AJ380" s="294">
        <f>IF(NFI_Expiration=1,IF($A380&lt;VLOOKUP(S$5,NFI,5,0),1,0)*Table_NFI[[#This Row],[Winter Clothes Children]],Table_NFI[Winter Clothes Children])</f>
        <v>0</v>
      </c>
      <c r="AK380" s="294">
        <f>IF(NFI_Expiration=1,IF($A380&lt;VLOOKUP(T$5,NFI,5,0),1,0)*Table_NFI[[#This Row],[Winter Items Other]],Table_NFI[Winter Items Other])</f>
        <v>0</v>
      </c>
      <c r="AL380" s="294">
        <f>IF(NFI_Expiration=1,IF($A380&lt;VLOOKUP(M$5,NFI,5,0),1,0)*Table_NFI[[#This Row],[Winter Blanket]],Table_NFI[[#This Row],[Winter Blanket]])</f>
        <v>0</v>
      </c>
      <c r="AM380" s="294">
        <f>IF(Table_NFI[[#This Row],[Winter Clothes Adult]]+Table_NFI[[#This Row],[Winter Clothes Children]]+Table_NFI[[#This Row],[Winter Items Other]]+Table_NFI[[#This Row],[Winter Blanket]]&gt;0,1,0)</f>
        <v>1</v>
      </c>
      <c r="AN380" s="331">
        <f>IF(NFI_Expiration=1,IF($A380&lt;VLOOKUP(V$5,NFI,5,0),1,0)*Table_NFI[[#This Row],[Jerry Can]],Table_NFI[Jerry Can])</f>
        <v>0</v>
      </c>
      <c r="AO380" s="331">
        <f>IF(NFI_Expiration=1,IF($A380&lt;VLOOKUP(V$5,NFI,5,0),1,0)*Table_NFI[[#This Row],[Shelter Tool kit]],Table_NFI[Shelter Tool kit])</f>
        <v>0</v>
      </c>
      <c r="AP380" s="331">
        <f>IF(NFI_Expiration=1,IF($A380&lt;VLOOKUP(V$5,NFI,5,0),1,0)*Table_NFI[[#This Row],[Tent]],Table_NFI[Tent])</f>
        <v>0</v>
      </c>
      <c r="AQ380" s="467" t="str">
        <f>IFERROR(VLOOKUP(Table_NFI[[#This Row],[Camp Name]],CL,2,0),"")</f>
        <v>MMR001CMP027</v>
      </c>
      <c r="AR380" s="835">
        <f ca="1">IF(Table_NFI[[#This Row],[Pcode]]="","",IF(OFFSET(CampList[Opening Date],MATCH(Table_NFI[[#This Row],[Pcode]],CampList[CP_Pcode],0)-1,0,1,1)&gt;=NFI_Monitor_Date,1,0))</f>
        <v>0</v>
      </c>
      <c r="AS380" s="467" t="str">
        <f>IFERROR(VLOOKUP(Table_NFI[[#This Row],[Camp Name]],CL,3,0),"")</f>
        <v>Open</v>
      </c>
      <c r="AT380" s="294" t="str">
        <f ca="1">IF(Table_NFI[[#This Row],[Pcode]]="","",OFFSET(CampList[Priority],MATCH(Table_NFI[[#This Row],[Pcode]],CampList[CP_Pcode],0)-1,0,1,1))</f>
        <v>P4</v>
      </c>
      <c r="AU380" s="293">
        <f>IFERROR(Table_NFI[[#This Row],[Kitchen Set]]/VLOOKUP(Table_NFI[[#This Row],[Camp Name]],CL,4,0),"")</f>
        <v>0</v>
      </c>
      <c r="AV380" s="461"/>
      <c r="AW380" s="463"/>
    </row>
    <row r="381" spans="1:49" s="464" customFormat="1" x14ac:dyDescent="0.25">
      <c r="A381" s="297">
        <f t="shared" si="5"/>
        <v>31.833333333333332</v>
      </c>
      <c r="B381" s="460">
        <v>41781</v>
      </c>
      <c r="C381" s="461" t="s">
        <v>1104</v>
      </c>
      <c r="D381" s="461" t="s">
        <v>900</v>
      </c>
      <c r="E381" s="461" t="s">
        <v>380</v>
      </c>
      <c r="F381" s="461" t="s">
        <v>310</v>
      </c>
      <c r="G381" s="461" t="s">
        <v>318</v>
      </c>
      <c r="H381" s="291"/>
      <c r="I381" s="291"/>
      <c r="J381" s="291"/>
      <c r="K381" s="291"/>
      <c r="L381" s="292"/>
      <c r="M381" s="292"/>
      <c r="N381" s="292"/>
      <c r="O381" s="292"/>
      <c r="P381" s="294"/>
      <c r="Q381" s="294"/>
      <c r="R381" s="294"/>
      <c r="S381" s="294"/>
      <c r="T381" s="294"/>
      <c r="U381" s="294">
        <v>88</v>
      </c>
      <c r="V381" s="431"/>
      <c r="W381" s="331"/>
      <c r="X381" s="331"/>
      <c r="Y381" s="294">
        <f>IF(NFI_Expiration=1,IF($A381&lt;VLOOKUP(H$5,NFI,5,0),1,0)*Table_NFI[[#This Row],[Hygiene Kit]],Table_NFI[Hygiene Kit])</f>
        <v>0</v>
      </c>
      <c r="Z381" s="294">
        <f>IF(NFI_Expiration=1,IF($A381&lt;VLOOKUP(I$5,NFI,5,0),1,0)*Table_NFI[[#This Row],[NFI Core Kit]],Table_NFI[NFI Core Kit])</f>
        <v>0</v>
      </c>
      <c r="AA381" s="294">
        <f>IF(NFI_Expiration=1,IF($A381&lt;VLOOKUP(J$5,NFI,5,0),1,0)*Table_NFI[[#This Row],[Sanitary Kit]],Table_NFI[Sanitary Kit])</f>
        <v>0</v>
      </c>
      <c r="AB381" s="294">
        <f>IF(NFI_Expiration=1,IF($A381&lt;VLOOKUP(K$5,NFI,5,0),1,0)*Table_NFI[[#This Row],[Mosquito net]],Table_NFI[Mosquito net])</f>
        <v>0</v>
      </c>
      <c r="AC381" s="294">
        <f>IF(NFI_Expiration=1,IF($A381&lt;VLOOKUP(L$5,NFI,5,0),1,0)*Table_NFI[[#This Row],[Tarpaulin]],Table_NFI[[#This Row],[Tarpaulin]])</f>
        <v>0</v>
      </c>
      <c r="AD381" s="294">
        <f>IF(NFI_Expiration=1,IF($A381&lt;VLOOKUP(M$5,NFI,5,0),1,0)*Table_NFI[[#This Row],[Blanket]],Table_NFI[[#This Row],[Blanket]])</f>
        <v>0</v>
      </c>
      <c r="AE381" s="294">
        <f>IF(NFI_Expiration=1,IF($A381&lt;VLOOKUP(N$5,NFI,5,0),1,0)*Table_NFI[[#This Row],[Kitchen Set]],Table_NFI[Kitchen Set])</f>
        <v>0</v>
      </c>
      <c r="AF381" s="294">
        <f>IF(NFI_Expiration=1,IF($A381&lt;VLOOKUP(O$5,NFI,5,0),1,0)*Table_NFI[[#This Row],[Clothes Kit]],Table_NFI[Clothes Kit])</f>
        <v>0</v>
      </c>
      <c r="AG381" s="294">
        <f>IF(NFI_Expiration=1,IF($A381&lt;VLOOKUP(P$5,NFI,5,0),1,0)*Table_NFI[[#This Row],[Plastic Bucket]],Table_NFI[Plastic Bucket])</f>
        <v>0</v>
      </c>
      <c r="AH381" s="294">
        <f>IF(NFI_Expiration=1,IF($A381&lt;VLOOKUP(Q$5,NFI,5,0),1,0)*Table_NFI[[#This Row],[Plastic Mat]],Table_NFI[Plastic Mat])*IF(Table_NFI[[#This Row],[Distribution Date]]&gt;"2014-04-01",1,2.5)</f>
        <v>0</v>
      </c>
      <c r="AI381" s="294">
        <f>IF(NFI_Expiration=1,IF($A381&lt;VLOOKUP(R$5,NFI,5,0),1,0)*Table_NFI[[#This Row],[Winter Clothes Adult]],Table_NFI[Winter Clothes Adult])</f>
        <v>0</v>
      </c>
      <c r="AJ381" s="294">
        <f>IF(NFI_Expiration=1,IF($A381&lt;VLOOKUP(S$5,NFI,5,0),1,0)*Table_NFI[[#This Row],[Winter Clothes Children]],Table_NFI[Winter Clothes Children])</f>
        <v>0</v>
      </c>
      <c r="AK381" s="294">
        <f>IF(NFI_Expiration=1,IF($A381&lt;VLOOKUP(T$5,NFI,5,0),1,0)*Table_NFI[[#This Row],[Winter Items Other]],Table_NFI[Winter Items Other])</f>
        <v>0</v>
      </c>
      <c r="AL381" s="294">
        <f>IF(NFI_Expiration=1,IF($A381&lt;VLOOKUP(M$5,NFI,5,0),1,0)*Table_NFI[[#This Row],[Winter Blanket]],Table_NFI[[#This Row],[Winter Blanket]])</f>
        <v>0</v>
      </c>
      <c r="AM381" s="294">
        <f>IF(Table_NFI[[#This Row],[Winter Clothes Adult]]+Table_NFI[[#This Row],[Winter Clothes Children]]+Table_NFI[[#This Row],[Winter Items Other]]+Table_NFI[[#This Row],[Winter Blanket]]&gt;0,1,0)</f>
        <v>1</v>
      </c>
      <c r="AN381" s="331">
        <f>IF(NFI_Expiration=1,IF($A381&lt;VLOOKUP(V$5,NFI,5,0),1,0)*Table_NFI[[#This Row],[Jerry Can]],Table_NFI[Jerry Can])</f>
        <v>0</v>
      </c>
      <c r="AO381" s="331">
        <f>IF(NFI_Expiration=1,IF($A381&lt;VLOOKUP(V$5,NFI,5,0),1,0)*Table_NFI[[#This Row],[Shelter Tool kit]],Table_NFI[Shelter Tool kit])</f>
        <v>0</v>
      </c>
      <c r="AP381" s="331">
        <f>IF(NFI_Expiration=1,IF($A381&lt;VLOOKUP(V$5,NFI,5,0),1,0)*Table_NFI[[#This Row],[Tent]],Table_NFI[Tent])</f>
        <v>0</v>
      </c>
      <c r="AQ381" s="467" t="str">
        <f>IFERROR(VLOOKUP(Table_NFI[[#This Row],[Camp Name]],CL,2,0),"")</f>
        <v>MMR001CMP032</v>
      </c>
      <c r="AR381" s="835">
        <f ca="1">IF(Table_NFI[[#This Row],[Pcode]]="","",IF(OFFSET(CampList[Opening Date],MATCH(Table_NFI[[#This Row],[Pcode]],CampList[CP_Pcode],0)-1,0,1,1)&gt;=NFI_Monitor_Date,1,0))</f>
        <v>0</v>
      </c>
      <c r="AS381" s="467" t="str">
        <f>IFERROR(VLOOKUP(Table_NFI[[#This Row],[Camp Name]],CL,3,0),"")</f>
        <v>Open</v>
      </c>
      <c r="AT381" s="294" t="str">
        <f ca="1">IF(Table_NFI[[#This Row],[Pcode]]="","",OFFSET(CampList[Priority],MATCH(Table_NFI[[#This Row],[Pcode]],CampList[CP_Pcode],0)-1,0,1,1))</f>
        <v>P4</v>
      </c>
      <c r="AU381" s="293">
        <f>IFERROR(Table_NFI[[#This Row],[Kitchen Set]]/VLOOKUP(Table_NFI[[#This Row],[Camp Name]],CL,4,0),"")</f>
        <v>0</v>
      </c>
      <c r="AV381" s="461"/>
      <c r="AW381" s="463"/>
    </row>
    <row r="382" spans="1:49" s="464" customFormat="1" x14ac:dyDescent="0.25">
      <c r="A382" s="297">
        <f t="shared" si="5"/>
        <v>31.833333333333332</v>
      </c>
      <c r="B382" s="460">
        <v>41781</v>
      </c>
      <c r="C382" s="461" t="s">
        <v>1104</v>
      </c>
      <c r="D382" s="461" t="s">
        <v>900</v>
      </c>
      <c r="E382" s="461" t="s">
        <v>380</v>
      </c>
      <c r="F382" s="290" t="s">
        <v>310</v>
      </c>
      <c r="G382" s="461" t="s">
        <v>342</v>
      </c>
      <c r="H382" s="291"/>
      <c r="I382" s="291"/>
      <c r="J382" s="291"/>
      <c r="K382" s="291"/>
      <c r="L382" s="292"/>
      <c r="M382" s="292"/>
      <c r="N382" s="292"/>
      <c r="O382" s="292"/>
      <c r="P382" s="294"/>
      <c r="Q382" s="294"/>
      <c r="R382" s="294"/>
      <c r="S382" s="294"/>
      <c r="T382" s="294"/>
      <c r="U382" s="294">
        <v>140</v>
      </c>
      <c r="V382" s="613"/>
      <c r="W382" s="331"/>
      <c r="X382" s="331"/>
      <c r="Y382" s="294">
        <f>IF(NFI_Expiration=1,IF($A382&lt;VLOOKUP(H$5,NFI,5,0),1,0)*Table_NFI[[#This Row],[Hygiene Kit]],Table_NFI[Hygiene Kit])</f>
        <v>0</v>
      </c>
      <c r="Z382" s="294">
        <f>IF(NFI_Expiration=1,IF($A382&lt;VLOOKUP(I$5,NFI,5,0),1,0)*Table_NFI[[#This Row],[NFI Core Kit]],Table_NFI[NFI Core Kit])</f>
        <v>0</v>
      </c>
      <c r="AA382" s="294">
        <f>IF(NFI_Expiration=1,IF($A382&lt;VLOOKUP(J$5,NFI,5,0),1,0)*Table_NFI[[#This Row],[Sanitary Kit]],Table_NFI[Sanitary Kit])</f>
        <v>0</v>
      </c>
      <c r="AB382" s="294">
        <f>IF(NFI_Expiration=1,IF($A382&lt;VLOOKUP(K$5,NFI,5,0),1,0)*Table_NFI[[#This Row],[Mosquito net]],Table_NFI[Mosquito net])</f>
        <v>0</v>
      </c>
      <c r="AC382" s="294">
        <f>IF(NFI_Expiration=1,IF($A382&lt;VLOOKUP(L$5,NFI,5,0),1,0)*Table_NFI[[#This Row],[Tarpaulin]],Table_NFI[[#This Row],[Tarpaulin]])</f>
        <v>0</v>
      </c>
      <c r="AD382" s="294">
        <f>IF(NFI_Expiration=1,IF($A382&lt;VLOOKUP(M$5,NFI,5,0),1,0)*Table_NFI[[#This Row],[Blanket]],Table_NFI[[#This Row],[Blanket]])</f>
        <v>0</v>
      </c>
      <c r="AE382" s="294">
        <f>IF(NFI_Expiration=1,IF($A382&lt;VLOOKUP(N$5,NFI,5,0),1,0)*Table_NFI[[#This Row],[Kitchen Set]],Table_NFI[Kitchen Set])</f>
        <v>0</v>
      </c>
      <c r="AF382" s="294">
        <f>IF(NFI_Expiration=1,IF($A382&lt;VLOOKUP(O$5,NFI,5,0),1,0)*Table_NFI[[#This Row],[Clothes Kit]],Table_NFI[Clothes Kit])</f>
        <v>0</v>
      </c>
      <c r="AG382" s="294">
        <f>IF(NFI_Expiration=1,IF($A382&lt;VLOOKUP(P$5,NFI,5,0),1,0)*Table_NFI[[#This Row],[Plastic Bucket]],Table_NFI[Plastic Bucket])</f>
        <v>0</v>
      </c>
      <c r="AH382" s="294">
        <f>IF(NFI_Expiration=1,IF($A382&lt;VLOOKUP(Q$5,NFI,5,0),1,0)*Table_NFI[[#This Row],[Plastic Mat]],Table_NFI[Plastic Mat])*IF(Table_NFI[[#This Row],[Distribution Date]]&gt;"2014-04-01",1,2.5)</f>
        <v>0</v>
      </c>
      <c r="AI382" s="294">
        <f>IF(NFI_Expiration=1,IF($A382&lt;VLOOKUP(R$5,NFI,5,0),1,0)*Table_NFI[[#This Row],[Winter Clothes Adult]],Table_NFI[Winter Clothes Adult])</f>
        <v>0</v>
      </c>
      <c r="AJ382" s="294">
        <f>IF(NFI_Expiration=1,IF($A382&lt;VLOOKUP(S$5,NFI,5,0),1,0)*Table_NFI[[#This Row],[Winter Clothes Children]],Table_NFI[Winter Clothes Children])</f>
        <v>0</v>
      </c>
      <c r="AK382" s="294">
        <f>IF(NFI_Expiration=1,IF($A382&lt;VLOOKUP(T$5,NFI,5,0),1,0)*Table_NFI[[#This Row],[Winter Items Other]],Table_NFI[Winter Items Other])</f>
        <v>0</v>
      </c>
      <c r="AL382" s="294">
        <f>IF(NFI_Expiration=1,IF($A382&lt;VLOOKUP(M$5,NFI,5,0),1,0)*Table_NFI[[#This Row],[Winter Blanket]],Table_NFI[[#This Row],[Winter Blanket]])</f>
        <v>0</v>
      </c>
      <c r="AM382" s="294">
        <f>IF(Table_NFI[[#This Row],[Winter Clothes Adult]]+Table_NFI[[#This Row],[Winter Clothes Children]]+Table_NFI[[#This Row],[Winter Items Other]]+Table_NFI[[#This Row],[Winter Blanket]]&gt;0,1,0)</f>
        <v>1</v>
      </c>
      <c r="AN382" s="331">
        <f>IF(NFI_Expiration=1,IF($A382&lt;VLOOKUP(V$5,NFI,5,0),1,0)*Table_NFI[[#This Row],[Jerry Can]],Table_NFI[Jerry Can])</f>
        <v>0</v>
      </c>
      <c r="AO382" s="331">
        <f>IF(NFI_Expiration=1,IF($A382&lt;VLOOKUP(V$5,NFI,5,0),1,0)*Table_NFI[[#This Row],[Shelter Tool kit]],Table_NFI[Shelter Tool kit])</f>
        <v>0</v>
      </c>
      <c r="AP382" s="331">
        <f>IF(NFI_Expiration=1,IF($A382&lt;VLOOKUP(V$5,NFI,5,0),1,0)*Table_NFI[[#This Row],[Tent]],Table_NFI[Tent])</f>
        <v>0</v>
      </c>
      <c r="AQ382" s="467" t="str">
        <f>IFERROR(VLOOKUP(Table_NFI[[#This Row],[Camp Name]],CL,2,0),"")</f>
        <v>MMR001CMP025</v>
      </c>
      <c r="AR382" s="835">
        <f ca="1">IF(Table_NFI[[#This Row],[Pcode]]="","",IF(OFFSET(CampList[Opening Date],MATCH(Table_NFI[[#This Row],[Pcode]],CampList[CP_Pcode],0)-1,0,1,1)&gt;=NFI_Monitor_Date,1,0))</f>
        <v>0</v>
      </c>
      <c r="AS382" s="467" t="str">
        <f>IFERROR(VLOOKUP(Table_NFI[[#This Row],[Camp Name]],CL,3,0),"")</f>
        <v>Open</v>
      </c>
      <c r="AT382" s="294" t="str">
        <f ca="1">IF(Table_NFI[[#This Row],[Pcode]]="","",OFFSET(CampList[Priority],MATCH(Table_NFI[[#This Row],[Pcode]],CampList[CP_Pcode],0)-1,0,1,1))</f>
        <v>P4</v>
      </c>
      <c r="AU382" s="293">
        <f>IFERROR(Table_NFI[[#This Row],[Kitchen Set]]/VLOOKUP(Table_NFI[[#This Row],[Camp Name]],CL,4,0),"")</f>
        <v>0</v>
      </c>
      <c r="AV382" s="461"/>
      <c r="AW382" s="463"/>
    </row>
    <row r="383" spans="1:49" s="464" customFormat="1" x14ac:dyDescent="0.25">
      <c r="A383" s="297">
        <f t="shared" si="5"/>
        <v>31.866666666666667</v>
      </c>
      <c r="B383" s="460">
        <v>41780</v>
      </c>
      <c r="C383" s="461" t="s">
        <v>1104</v>
      </c>
      <c r="D383" s="461" t="s">
        <v>900</v>
      </c>
      <c r="E383" s="461" t="s">
        <v>380</v>
      </c>
      <c r="F383" s="461" t="s">
        <v>237</v>
      </c>
      <c r="G383" s="461" t="s">
        <v>267</v>
      </c>
      <c r="H383" s="291"/>
      <c r="I383" s="291"/>
      <c r="J383" s="291"/>
      <c r="K383" s="291"/>
      <c r="L383" s="292"/>
      <c r="M383" s="292"/>
      <c r="N383" s="292"/>
      <c r="O383" s="292"/>
      <c r="P383" s="294"/>
      <c r="Q383" s="294"/>
      <c r="R383" s="294"/>
      <c r="S383" s="294"/>
      <c r="T383" s="294"/>
      <c r="U383" s="294">
        <v>24</v>
      </c>
      <c r="V383" s="431"/>
      <c r="W383" s="331"/>
      <c r="X383" s="331"/>
      <c r="Y383" s="294">
        <f>IF(NFI_Expiration=1,IF($A383&lt;VLOOKUP(H$5,NFI,5,0),1,0)*Table_NFI[[#This Row],[Hygiene Kit]],Table_NFI[Hygiene Kit])</f>
        <v>0</v>
      </c>
      <c r="Z383" s="294">
        <f>IF(NFI_Expiration=1,IF($A383&lt;VLOOKUP(I$5,NFI,5,0),1,0)*Table_NFI[[#This Row],[NFI Core Kit]],Table_NFI[NFI Core Kit])</f>
        <v>0</v>
      </c>
      <c r="AA383" s="294">
        <f>IF(NFI_Expiration=1,IF($A383&lt;VLOOKUP(J$5,NFI,5,0),1,0)*Table_NFI[[#This Row],[Sanitary Kit]],Table_NFI[Sanitary Kit])</f>
        <v>0</v>
      </c>
      <c r="AB383" s="294">
        <f>IF(NFI_Expiration=1,IF($A383&lt;VLOOKUP(K$5,NFI,5,0),1,0)*Table_NFI[[#This Row],[Mosquito net]],Table_NFI[Mosquito net])</f>
        <v>0</v>
      </c>
      <c r="AC383" s="294">
        <f>IF(NFI_Expiration=1,IF($A383&lt;VLOOKUP(L$5,NFI,5,0),1,0)*Table_NFI[[#This Row],[Tarpaulin]],Table_NFI[[#This Row],[Tarpaulin]])</f>
        <v>0</v>
      </c>
      <c r="AD383" s="294">
        <f>IF(NFI_Expiration=1,IF($A383&lt;VLOOKUP(M$5,NFI,5,0),1,0)*Table_NFI[[#This Row],[Blanket]],Table_NFI[[#This Row],[Blanket]])</f>
        <v>0</v>
      </c>
      <c r="AE383" s="294">
        <f>IF(NFI_Expiration=1,IF($A383&lt;VLOOKUP(N$5,NFI,5,0),1,0)*Table_NFI[[#This Row],[Kitchen Set]],Table_NFI[Kitchen Set])</f>
        <v>0</v>
      </c>
      <c r="AF383" s="294">
        <f>IF(NFI_Expiration=1,IF($A383&lt;VLOOKUP(O$5,NFI,5,0),1,0)*Table_NFI[[#This Row],[Clothes Kit]],Table_NFI[Clothes Kit])</f>
        <v>0</v>
      </c>
      <c r="AG383" s="294">
        <f>IF(NFI_Expiration=1,IF($A383&lt;VLOOKUP(P$5,NFI,5,0),1,0)*Table_NFI[[#This Row],[Plastic Bucket]],Table_NFI[Plastic Bucket])</f>
        <v>0</v>
      </c>
      <c r="AH383" s="294">
        <f>IF(NFI_Expiration=1,IF($A383&lt;VLOOKUP(Q$5,NFI,5,0),1,0)*Table_NFI[[#This Row],[Plastic Mat]],Table_NFI[Plastic Mat])*IF(Table_NFI[[#This Row],[Distribution Date]]&gt;"2014-04-01",1,2.5)</f>
        <v>0</v>
      </c>
      <c r="AI383" s="294">
        <f>IF(NFI_Expiration=1,IF($A383&lt;VLOOKUP(R$5,NFI,5,0),1,0)*Table_NFI[[#This Row],[Winter Clothes Adult]],Table_NFI[Winter Clothes Adult])</f>
        <v>0</v>
      </c>
      <c r="AJ383" s="294">
        <f>IF(NFI_Expiration=1,IF($A383&lt;VLOOKUP(S$5,NFI,5,0),1,0)*Table_NFI[[#This Row],[Winter Clothes Children]],Table_NFI[Winter Clothes Children])</f>
        <v>0</v>
      </c>
      <c r="AK383" s="294">
        <f>IF(NFI_Expiration=1,IF($A383&lt;VLOOKUP(T$5,NFI,5,0),1,0)*Table_NFI[[#This Row],[Winter Items Other]],Table_NFI[Winter Items Other])</f>
        <v>0</v>
      </c>
      <c r="AL383" s="294">
        <f>IF(NFI_Expiration=1,IF($A383&lt;VLOOKUP(M$5,NFI,5,0),1,0)*Table_NFI[[#This Row],[Winter Blanket]],Table_NFI[[#This Row],[Winter Blanket]])</f>
        <v>0</v>
      </c>
      <c r="AM383" s="294">
        <f>IF(Table_NFI[[#This Row],[Winter Clothes Adult]]+Table_NFI[[#This Row],[Winter Clothes Children]]+Table_NFI[[#This Row],[Winter Items Other]]+Table_NFI[[#This Row],[Winter Blanket]]&gt;0,1,0)</f>
        <v>1</v>
      </c>
      <c r="AN383" s="331">
        <f>IF(NFI_Expiration=1,IF($A383&lt;VLOOKUP(V$5,NFI,5,0),1,0)*Table_NFI[[#This Row],[Jerry Can]],Table_NFI[Jerry Can])</f>
        <v>0</v>
      </c>
      <c r="AO383" s="331">
        <f>IF(NFI_Expiration=1,IF($A383&lt;VLOOKUP(V$5,NFI,5,0),1,0)*Table_NFI[[#This Row],[Shelter Tool kit]],Table_NFI[Shelter Tool kit])</f>
        <v>0</v>
      </c>
      <c r="AP383" s="331">
        <f>IF(NFI_Expiration=1,IF($A383&lt;VLOOKUP(V$5,NFI,5,0),1,0)*Table_NFI[[#This Row],[Tent]],Table_NFI[Tent])</f>
        <v>0</v>
      </c>
      <c r="AQ383" s="467" t="str">
        <f>IFERROR(VLOOKUP(Table_NFI[[#This Row],[Camp Name]],CL,2,0),"")</f>
        <v>MMR001CMP017</v>
      </c>
      <c r="AR383" s="835">
        <f ca="1">IF(Table_NFI[[#This Row],[Pcode]]="","",IF(OFFSET(CampList[Opening Date],MATCH(Table_NFI[[#This Row],[Pcode]],CampList[CP_Pcode],0)-1,0,1,1)&gt;=NFI_Monitor_Date,1,0))</f>
        <v>0</v>
      </c>
      <c r="AS383" s="467" t="str">
        <f>IFERROR(VLOOKUP(Table_NFI[[#This Row],[Camp Name]],CL,3,0),"")</f>
        <v>Closed</v>
      </c>
      <c r="AT383" s="294" t="str">
        <f ca="1">IF(Table_NFI[[#This Row],[Pcode]]="","",OFFSET(CampList[Priority],MATCH(Table_NFI[[#This Row],[Pcode]],CampList[CP_Pcode],0)-1,0,1,1))</f>
        <v>P4</v>
      </c>
      <c r="AU383" s="293">
        <f>IFERROR(Table_NFI[[#This Row],[Kitchen Set]]/VLOOKUP(Table_NFI[[#This Row],[Camp Name]],CL,4,0),"")</f>
        <v>0</v>
      </c>
      <c r="AV383" s="461"/>
      <c r="AW383" s="463"/>
    </row>
    <row r="384" spans="1:49" s="464" customFormat="1" x14ac:dyDescent="0.25">
      <c r="A384" s="297">
        <f t="shared" si="5"/>
        <v>31.866666666666667</v>
      </c>
      <c r="B384" s="460">
        <v>41780</v>
      </c>
      <c r="C384" s="461" t="s">
        <v>1104</v>
      </c>
      <c r="D384" s="461" t="s">
        <v>900</v>
      </c>
      <c r="E384" s="461" t="s">
        <v>380</v>
      </c>
      <c r="F384" s="461" t="s">
        <v>237</v>
      </c>
      <c r="G384" s="461" t="s">
        <v>279</v>
      </c>
      <c r="H384" s="291"/>
      <c r="I384" s="291"/>
      <c r="J384" s="291"/>
      <c r="K384" s="291"/>
      <c r="L384" s="292"/>
      <c r="M384" s="292"/>
      <c r="N384" s="292"/>
      <c r="O384" s="292"/>
      <c r="P384" s="294"/>
      <c r="Q384" s="294"/>
      <c r="R384" s="294"/>
      <c r="S384" s="294"/>
      <c r="T384" s="294"/>
      <c r="U384" s="294">
        <v>30</v>
      </c>
      <c r="V384" s="431"/>
      <c r="W384" s="294"/>
      <c r="X384" s="294"/>
      <c r="Y384" s="294">
        <f>IF(NFI_Expiration=1,IF($A384&lt;VLOOKUP(H$5,NFI,5,0),1,0)*Table_NFI[[#This Row],[Hygiene Kit]],Table_NFI[Hygiene Kit])</f>
        <v>0</v>
      </c>
      <c r="Z384" s="294">
        <f>IF(NFI_Expiration=1,IF($A384&lt;VLOOKUP(I$5,NFI,5,0),1,0)*Table_NFI[[#This Row],[NFI Core Kit]],Table_NFI[NFI Core Kit])</f>
        <v>0</v>
      </c>
      <c r="AA384" s="294">
        <f>IF(NFI_Expiration=1,IF($A384&lt;VLOOKUP(J$5,NFI,5,0),1,0)*Table_NFI[[#This Row],[Sanitary Kit]],Table_NFI[Sanitary Kit])</f>
        <v>0</v>
      </c>
      <c r="AB384" s="294">
        <f>IF(NFI_Expiration=1,IF($A384&lt;VLOOKUP(K$5,NFI,5,0),1,0)*Table_NFI[[#This Row],[Mosquito net]],Table_NFI[Mosquito net])</f>
        <v>0</v>
      </c>
      <c r="AC384" s="294">
        <f>IF(NFI_Expiration=1,IF($A384&lt;VLOOKUP(L$5,NFI,5,0),1,0)*Table_NFI[[#This Row],[Tarpaulin]],Table_NFI[[#This Row],[Tarpaulin]])</f>
        <v>0</v>
      </c>
      <c r="AD384" s="294">
        <f>IF(NFI_Expiration=1,IF($A384&lt;VLOOKUP(M$5,NFI,5,0),1,0)*Table_NFI[[#This Row],[Blanket]],Table_NFI[[#This Row],[Blanket]])</f>
        <v>0</v>
      </c>
      <c r="AE384" s="294">
        <f>IF(NFI_Expiration=1,IF($A384&lt;VLOOKUP(N$5,NFI,5,0),1,0)*Table_NFI[[#This Row],[Kitchen Set]],Table_NFI[Kitchen Set])</f>
        <v>0</v>
      </c>
      <c r="AF384" s="294">
        <f>IF(NFI_Expiration=1,IF($A384&lt;VLOOKUP(O$5,NFI,5,0),1,0)*Table_NFI[[#This Row],[Clothes Kit]],Table_NFI[Clothes Kit])</f>
        <v>0</v>
      </c>
      <c r="AG384" s="294">
        <f>IF(NFI_Expiration=1,IF($A384&lt;VLOOKUP(P$5,NFI,5,0),1,0)*Table_NFI[[#This Row],[Plastic Bucket]],Table_NFI[Plastic Bucket])</f>
        <v>0</v>
      </c>
      <c r="AH384" s="294">
        <f>IF(NFI_Expiration=1,IF($A384&lt;VLOOKUP(Q$5,NFI,5,0),1,0)*Table_NFI[[#This Row],[Plastic Mat]],Table_NFI[Plastic Mat])*IF(Table_NFI[[#This Row],[Distribution Date]]&gt;"2014-04-01",1,2.5)</f>
        <v>0</v>
      </c>
      <c r="AI384" s="294">
        <f>IF(NFI_Expiration=1,IF($A384&lt;VLOOKUP(R$5,NFI,5,0),1,0)*Table_NFI[[#This Row],[Winter Clothes Adult]],Table_NFI[Winter Clothes Adult])</f>
        <v>0</v>
      </c>
      <c r="AJ384" s="294">
        <f>IF(NFI_Expiration=1,IF($A384&lt;VLOOKUP(S$5,NFI,5,0),1,0)*Table_NFI[[#This Row],[Winter Clothes Children]],Table_NFI[Winter Clothes Children])</f>
        <v>0</v>
      </c>
      <c r="AK384" s="294">
        <f>IF(NFI_Expiration=1,IF($A384&lt;VLOOKUP(T$5,NFI,5,0),1,0)*Table_NFI[[#This Row],[Winter Items Other]],Table_NFI[Winter Items Other])</f>
        <v>0</v>
      </c>
      <c r="AL384" s="294">
        <f>IF(NFI_Expiration=1,IF($A384&lt;VLOOKUP(M$5,NFI,5,0),1,0)*Table_NFI[[#This Row],[Winter Blanket]],Table_NFI[[#This Row],[Winter Blanket]])</f>
        <v>0</v>
      </c>
      <c r="AM384" s="294">
        <f>IF(Table_NFI[[#This Row],[Winter Clothes Adult]]+Table_NFI[[#This Row],[Winter Clothes Children]]+Table_NFI[[#This Row],[Winter Items Other]]+Table_NFI[[#This Row],[Winter Blanket]]&gt;0,1,0)</f>
        <v>1</v>
      </c>
      <c r="AN384" s="331">
        <f>IF(NFI_Expiration=1,IF($A384&lt;VLOOKUP(V$5,NFI,5,0),1,0)*Table_NFI[[#This Row],[Jerry Can]],Table_NFI[Jerry Can])</f>
        <v>0</v>
      </c>
      <c r="AO384" s="331">
        <f>IF(NFI_Expiration=1,IF($A384&lt;VLOOKUP(V$5,NFI,5,0),1,0)*Table_NFI[[#This Row],[Shelter Tool kit]],Table_NFI[Shelter Tool kit])</f>
        <v>0</v>
      </c>
      <c r="AP384" s="331">
        <f>IF(NFI_Expiration=1,IF($A384&lt;VLOOKUP(V$5,NFI,5,0),1,0)*Table_NFI[[#This Row],[Tent]],Table_NFI[Tent])</f>
        <v>0</v>
      </c>
      <c r="AQ384" s="467" t="str">
        <f>IFERROR(VLOOKUP(Table_NFI[[#This Row],[Camp Name]],CL,2,0),"")</f>
        <v>MMR001CMP007</v>
      </c>
      <c r="AR384" s="835">
        <f ca="1">IF(Table_NFI[[#This Row],[Pcode]]="","",IF(OFFSET(CampList[Opening Date],MATCH(Table_NFI[[#This Row],[Pcode]],CampList[CP_Pcode],0)-1,0,1,1)&gt;=NFI_Monitor_Date,1,0))</f>
        <v>0</v>
      </c>
      <c r="AS384" s="467" t="str">
        <f>IFERROR(VLOOKUP(Table_NFI[[#This Row],[Camp Name]],CL,3,0),"")</f>
        <v>Open</v>
      </c>
      <c r="AT384" s="294" t="str">
        <f ca="1">IF(Table_NFI[[#This Row],[Pcode]]="","",OFFSET(CampList[Priority],MATCH(Table_NFI[[#This Row],[Pcode]],CampList[CP_Pcode],0)-1,0,1,1))</f>
        <v>P4</v>
      </c>
      <c r="AU384" s="293">
        <f>IFERROR(Table_NFI[[#This Row],[Kitchen Set]]/VLOOKUP(Table_NFI[[#This Row],[Camp Name]],CL,4,0),"")</f>
        <v>0</v>
      </c>
      <c r="AV384" s="461"/>
      <c r="AW384" s="463"/>
    </row>
    <row r="385" spans="1:49" s="464" customFormat="1" ht="14.45" customHeight="1" x14ac:dyDescent="0.25">
      <c r="A385" s="297">
        <f t="shared" si="5"/>
        <v>31.866666666666667</v>
      </c>
      <c r="B385" s="460">
        <v>41780</v>
      </c>
      <c r="C385" s="461" t="s">
        <v>1104</v>
      </c>
      <c r="D385" s="461" t="s">
        <v>900</v>
      </c>
      <c r="E385" s="461" t="s">
        <v>380</v>
      </c>
      <c r="F385" s="461" t="s">
        <v>310</v>
      </c>
      <c r="G385" s="461" t="s">
        <v>349</v>
      </c>
      <c r="H385" s="291"/>
      <c r="I385" s="291"/>
      <c r="J385" s="291"/>
      <c r="K385" s="291"/>
      <c r="L385" s="292"/>
      <c r="M385" s="292"/>
      <c r="N385" s="292"/>
      <c r="O385" s="292"/>
      <c r="P385" s="294"/>
      <c r="Q385" s="294"/>
      <c r="R385" s="294"/>
      <c r="S385" s="294"/>
      <c r="T385" s="294"/>
      <c r="U385" s="294">
        <v>136</v>
      </c>
      <c r="V385" s="431"/>
      <c r="W385" s="294"/>
      <c r="X385" s="294"/>
      <c r="Y385" s="294">
        <f>IF(NFI_Expiration=1,IF($A385&lt;VLOOKUP(H$5,NFI,5,0),1,0)*Table_NFI[[#This Row],[Hygiene Kit]],Table_NFI[Hygiene Kit])</f>
        <v>0</v>
      </c>
      <c r="Z385" s="294">
        <f>IF(NFI_Expiration=1,IF($A385&lt;VLOOKUP(I$5,NFI,5,0),1,0)*Table_NFI[[#This Row],[NFI Core Kit]],Table_NFI[NFI Core Kit])</f>
        <v>0</v>
      </c>
      <c r="AA385" s="294">
        <f>IF(NFI_Expiration=1,IF($A385&lt;VLOOKUP(J$5,NFI,5,0),1,0)*Table_NFI[[#This Row],[Sanitary Kit]],Table_NFI[Sanitary Kit])</f>
        <v>0</v>
      </c>
      <c r="AB385" s="294">
        <f>IF(NFI_Expiration=1,IF($A385&lt;VLOOKUP(K$5,NFI,5,0),1,0)*Table_NFI[[#This Row],[Mosquito net]],Table_NFI[Mosquito net])</f>
        <v>0</v>
      </c>
      <c r="AC385" s="294">
        <f>IF(NFI_Expiration=1,IF($A385&lt;VLOOKUP(L$5,NFI,5,0),1,0)*Table_NFI[[#This Row],[Tarpaulin]],Table_NFI[[#This Row],[Tarpaulin]])</f>
        <v>0</v>
      </c>
      <c r="AD385" s="294">
        <f>IF(NFI_Expiration=1,IF($A385&lt;VLOOKUP(M$5,NFI,5,0),1,0)*Table_NFI[[#This Row],[Blanket]],Table_NFI[[#This Row],[Blanket]])</f>
        <v>0</v>
      </c>
      <c r="AE385" s="294">
        <f>IF(NFI_Expiration=1,IF($A385&lt;VLOOKUP(N$5,NFI,5,0),1,0)*Table_NFI[[#This Row],[Kitchen Set]],Table_NFI[Kitchen Set])</f>
        <v>0</v>
      </c>
      <c r="AF385" s="294">
        <f>IF(NFI_Expiration=1,IF($A385&lt;VLOOKUP(O$5,NFI,5,0),1,0)*Table_NFI[[#This Row],[Clothes Kit]],Table_NFI[Clothes Kit])</f>
        <v>0</v>
      </c>
      <c r="AG385" s="294">
        <f>IF(NFI_Expiration=1,IF($A385&lt;VLOOKUP(P$5,NFI,5,0),1,0)*Table_NFI[[#This Row],[Plastic Bucket]],Table_NFI[Plastic Bucket])</f>
        <v>0</v>
      </c>
      <c r="AH385" s="294">
        <f>IF(NFI_Expiration=1,IF($A385&lt;VLOOKUP(Q$5,NFI,5,0),1,0)*Table_NFI[[#This Row],[Plastic Mat]],Table_NFI[Plastic Mat])*IF(Table_NFI[[#This Row],[Distribution Date]]&gt;"2014-04-01",1,2.5)</f>
        <v>0</v>
      </c>
      <c r="AI385" s="294">
        <f>IF(NFI_Expiration=1,IF($A385&lt;VLOOKUP(R$5,NFI,5,0),1,0)*Table_NFI[[#This Row],[Winter Clothes Adult]],Table_NFI[Winter Clothes Adult])</f>
        <v>0</v>
      </c>
      <c r="AJ385" s="294">
        <f>IF(NFI_Expiration=1,IF($A385&lt;VLOOKUP(S$5,NFI,5,0),1,0)*Table_NFI[[#This Row],[Winter Clothes Children]],Table_NFI[Winter Clothes Children])</f>
        <v>0</v>
      </c>
      <c r="AK385" s="294">
        <f>IF(NFI_Expiration=1,IF($A385&lt;VLOOKUP(T$5,NFI,5,0),1,0)*Table_NFI[[#This Row],[Winter Items Other]],Table_NFI[Winter Items Other])</f>
        <v>0</v>
      </c>
      <c r="AL385" s="294">
        <f>IF(NFI_Expiration=1,IF($A385&lt;VLOOKUP(M$5,NFI,5,0),1,0)*Table_NFI[[#This Row],[Winter Blanket]],Table_NFI[[#This Row],[Winter Blanket]])</f>
        <v>0</v>
      </c>
      <c r="AM385" s="294">
        <f>IF(Table_NFI[[#This Row],[Winter Clothes Adult]]+Table_NFI[[#This Row],[Winter Clothes Children]]+Table_NFI[[#This Row],[Winter Items Other]]+Table_NFI[[#This Row],[Winter Blanket]]&gt;0,1,0)</f>
        <v>1</v>
      </c>
      <c r="AN385" s="331">
        <f>IF(NFI_Expiration=1,IF($A385&lt;VLOOKUP(V$5,NFI,5,0),1,0)*Table_NFI[[#This Row],[Jerry Can]],Table_NFI[Jerry Can])</f>
        <v>0</v>
      </c>
      <c r="AO385" s="331">
        <f>IF(NFI_Expiration=1,IF($A385&lt;VLOOKUP(V$5,NFI,5,0),1,0)*Table_NFI[[#This Row],[Shelter Tool kit]],Table_NFI[Shelter Tool kit])</f>
        <v>0</v>
      </c>
      <c r="AP385" s="331">
        <f>IF(NFI_Expiration=1,IF($A385&lt;VLOOKUP(V$5,NFI,5,0),1,0)*Table_NFI[[#This Row],[Tent]],Table_NFI[Tent])</f>
        <v>0</v>
      </c>
      <c r="AQ385" s="467" t="str">
        <f>IFERROR(VLOOKUP(Table_NFI[[#This Row],[Camp Name]],CL,2,0),"")</f>
        <v>MMR001CMP037</v>
      </c>
      <c r="AR385" s="835">
        <f ca="1">IF(Table_NFI[[#This Row],[Pcode]]="","",IF(OFFSET(CampList[Opening Date],MATCH(Table_NFI[[#This Row],[Pcode]],CampList[CP_Pcode],0)-1,0,1,1)&gt;=NFI_Monitor_Date,1,0))</f>
        <v>0</v>
      </c>
      <c r="AS385" s="467" t="str">
        <f>IFERROR(VLOOKUP(Table_NFI[[#This Row],[Camp Name]],CL,3,0),"")</f>
        <v>Open</v>
      </c>
      <c r="AT385" s="294" t="str">
        <f ca="1">IF(Table_NFI[[#This Row],[Pcode]]="","",OFFSET(CampList[Priority],MATCH(Table_NFI[[#This Row],[Pcode]],CampList[CP_Pcode],0)-1,0,1,1))</f>
        <v>P4</v>
      </c>
      <c r="AU385" s="293">
        <f>IFERROR(Table_NFI[[#This Row],[Kitchen Set]]/VLOOKUP(Table_NFI[[#This Row],[Camp Name]],CL,4,0),"")</f>
        <v>0</v>
      </c>
      <c r="AV385" s="461"/>
      <c r="AW385" s="463"/>
    </row>
    <row r="386" spans="1:49" s="464" customFormat="1" ht="14.45" customHeight="1" x14ac:dyDescent="0.25">
      <c r="A386" s="297">
        <f t="shared" si="5"/>
        <v>31.9</v>
      </c>
      <c r="B386" s="460">
        <v>41779</v>
      </c>
      <c r="C386" s="461" t="s">
        <v>1104</v>
      </c>
      <c r="D386" s="461" t="s">
        <v>900</v>
      </c>
      <c r="E386" s="461" t="s">
        <v>380</v>
      </c>
      <c r="F386" s="461" t="s">
        <v>237</v>
      </c>
      <c r="G386" s="461" t="s">
        <v>257</v>
      </c>
      <c r="H386" s="291"/>
      <c r="I386" s="291"/>
      <c r="J386" s="291"/>
      <c r="K386" s="291"/>
      <c r="L386" s="292"/>
      <c r="M386" s="292"/>
      <c r="N386" s="292"/>
      <c r="O386" s="292"/>
      <c r="P386" s="294"/>
      <c r="Q386" s="294"/>
      <c r="R386" s="294"/>
      <c r="S386" s="294"/>
      <c r="T386" s="294"/>
      <c r="U386" s="294">
        <v>88</v>
      </c>
      <c r="V386" s="431"/>
      <c r="W386" s="294"/>
      <c r="X386" s="294"/>
      <c r="Y386" s="294">
        <f>IF(NFI_Expiration=1,IF($A386&lt;VLOOKUP(H$5,NFI,5,0),1,0)*Table_NFI[[#This Row],[Hygiene Kit]],Table_NFI[Hygiene Kit])</f>
        <v>0</v>
      </c>
      <c r="Z386" s="294">
        <f>IF(NFI_Expiration=1,IF($A386&lt;VLOOKUP(I$5,NFI,5,0),1,0)*Table_NFI[[#This Row],[NFI Core Kit]],Table_NFI[NFI Core Kit])</f>
        <v>0</v>
      </c>
      <c r="AA386" s="294">
        <f>IF(NFI_Expiration=1,IF($A386&lt;VLOOKUP(J$5,NFI,5,0),1,0)*Table_NFI[[#This Row],[Sanitary Kit]],Table_NFI[Sanitary Kit])</f>
        <v>0</v>
      </c>
      <c r="AB386" s="294">
        <f>IF(NFI_Expiration=1,IF($A386&lt;VLOOKUP(K$5,NFI,5,0),1,0)*Table_NFI[[#This Row],[Mosquito net]],Table_NFI[Mosquito net])</f>
        <v>0</v>
      </c>
      <c r="AC386" s="294">
        <f>IF(NFI_Expiration=1,IF($A386&lt;VLOOKUP(L$5,NFI,5,0),1,0)*Table_NFI[[#This Row],[Tarpaulin]],Table_NFI[[#This Row],[Tarpaulin]])</f>
        <v>0</v>
      </c>
      <c r="AD386" s="294">
        <f>IF(NFI_Expiration=1,IF($A386&lt;VLOOKUP(M$5,NFI,5,0),1,0)*Table_NFI[[#This Row],[Blanket]],Table_NFI[[#This Row],[Blanket]])</f>
        <v>0</v>
      </c>
      <c r="AE386" s="294">
        <f>IF(NFI_Expiration=1,IF($A386&lt;VLOOKUP(N$5,NFI,5,0),1,0)*Table_NFI[[#This Row],[Kitchen Set]],Table_NFI[Kitchen Set])</f>
        <v>0</v>
      </c>
      <c r="AF386" s="294">
        <f>IF(NFI_Expiration=1,IF($A386&lt;VLOOKUP(O$5,NFI,5,0),1,0)*Table_NFI[[#This Row],[Clothes Kit]],Table_NFI[Clothes Kit])</f>
        <v>0</v>
      </c>
      <c r="AG386" s="294">
        <f>IF(NFI_Expiration=1,IF($A386&lt;VLOOKUP(P$5,NFI,5,0),1,0)*Table_NFI[[#This Row],[Plastic Bucket]],Table_NFI[Plastic Bucket])</f>
        <v>0</v>
      </c>
      <c r="AH386" s="294">
        <f>IF(NFI_Expiration=1,IF($A386&lt;VLOOKUP(Q$5,NFI,5,0),1,0)*Table_NFI[[#This Row],[Plastic Mat]],Table_NFI[Plastic Mat])*IF(Table_NFI[[#This Row],[Distribution Date]]&gt;"2014-04-01",1,2.5)</f>
        <v>0</v>
      </c>
      <c r="AI386" s="294">
        <f>IF(NFI_Expiration=1,IF($A386&lt;VLOOKUP(R$5,NFI,5,0),1,0)*Table_NFI[[#This Row],[Winter Clothes Adult]],Table_NFI[Winter Clothes Adult])</f>
        <v>0</v>
      </c>
      <c r="AJ386" s="294">
        <f>IF(NFI_Expiration=1,IF($A386&lt;VLOOKUP(S$5,NFI,5,0),1,0)*Table_NFI[[#This Row],[Winter Clothes Children]],Table_NFI[Winter Clothes Children])</f>
        <v>0</v>
      </c>
      <c r="AK386" s="294">
        <f>IF(NFI_Expiration=1,IF($A386&lt;VLOOKUP(T$5,NFI,5,0),1,0)*Table_NFI[[#This Row],[Winter Items Other]],Table_NFI[Winter Items Other])</f>
        <v>0</v>
      </c>
      <c r="AL386" s="294">
        <f>IF(NFI_Expiration=1,IF($A386&lt;VLOOKUP(M$5,NFI,5,0),1,0)*Table_NFI[[#This Row],[Winter Blanket]],Table_NFI[[#This Row],[Winter Blanket]])</f>
        <v>0</v>
      </c>
      <c r="AM386" s="294">
        <f>IF(Table_NFI[[#This Row],[Winter Clothes Adult]]+Table_NFI[[#This Row],[Winter Clothes Children]]+Table_NFI[[#This Row],[Winter Items Other]]+Table_NFI[[#This Row],[Winter Blanket]]&gt;0,1,0)</f>
        <v>1</v>
      </c>
      <c r="AN386" s="331">
        <f>IF(NFI_Expiration=1,IF($A386&lt;VLOOKUP(V$5,NFI,5,0),1,0)*Table_NFI[[#This Row],[Jerry Can]],Table_NFI[Jerry Can])</f>
        <v>0</v>
      </c>
      <c r="AO386" s="331">
        <f>IF(NFI_Expiration=1,IF($A386&lt;VLOOKUP(V$5,NFI,5,0),1,0)*Table_NFI[[#This Row],[Shelter Tool kit]],Table_NFI[Shelter Tool kit])</f>
        <v>0</v>
      </c>
      <c r="AP386" s="331">
        <f>IF(NFI_Expiration=1,IF($A386&lt;VLOOKUP(V$5,NFI,5,0),1,0)*Table_NFI[[#This Row],[Tent]],Table_NFI[Tent])</f>
        <v>0</v>
      </c>
      <c r="AQ386" s="467" t="str">
        <f>IFERROR(VLOOKUP(Table_NFI[[#This Row],[Camp Name]],CL,2,0),"")</f>
        <v>MMR001CMP013</v>
      </c>
      <c r="AR386" s="835">
        <f ca="1">IF(Table_NFI[[#This Row],[Pcode]]="","",IF(OFFSET(CampList[Opening Date],MATCH(Table_NFI[[#This Row],[Pcode]],CampList[CP_Pcode],0)-1,0,1,1)&gt;=NFI_Monitor_Date,1,0))</f>
        <v>0</v>
      </c>
      <c r="AS386" s="467" t="str">
        <f>IFERROR(VLOOKUP(Table_NFI[[#This Row],[Camp Name]],CL,3,0),"")</f>
        <v>Open</v>
      </c>
      <c r="AT386" s="294" t="str">
        <f ca="1">IF(Table_NFI[[#This Row],[Pcode]]="","",OFFSET(CampList[Priority],MATCH(Table_NFI[[#This Row],[Pcode]],CampList[CP_Pcode],0)-1,0,1,1))</f>
        <v>P4</v>
      </c>
      <c r="AU386" s="293">
        <f>IFERROR(Table_NFI[[#This Row],[Kitchen Set]]/VLOOKUP(Table_NFI[[#This Row],[Camp Name]],CL,4,0),"")</f>
        <v>0</v>
      </c>
      <c r="AV386" s="461"/>
      <c r="AW386" s="463"/>
    </row>
    <row r="387" spans="1:49" s="464" customFormat="1" ht="14.45" customHeight="1" x14ac:dyDescent="0.25">
      <c r="A387" s="297">
        <f t="shared" si="5"/>
        <v>31.9</v>
      </c>
      <c r="B387" s="460">
        <v>41779</v>
      </c>
      <c r="C387" s="461" t="s">
        <v>1104</v>
      </c>
      <c r="D387" s="461" t="s">
        <v>900</v>
      </c>
      <c r="E387" s="461" t="s">
        <v>380</v>
      </c>
      <c r="F387" s="461" t="s">
        <v>237</v>
      </c>
      <c r="G387" s="461" t="s">
        <v>240</v>
      </c>
      <c r="H387" s="291"/>
      <c r="I387" s="291"/>
      <c r="J387" s="291"/>
      <c r="K387" s="291"/>
      <c r="L387" s="292"/>
      <c r="M387" s="292"/>
      <c r="N387" s="292"/>
      <c r="O387" s="292"/>
      <c r="P387" s="294"/>
      <c r="Q387" s="294"/>
      <c r="R387" s="294"/>
      <c r="S387" s="294"/>
      <c r="T387" s="294"/>
      <c r="U387" s="294">
        <v>188</v>
      </c>
      <c r="V387" s="431"/>
      <c r="W387" s="294"/>
      <c r="X387" s="294"/>
      <c r="Y387" s="294">
        <f>IF(NFI_Expiration=1,IF($A387&lt;VLOOKUP(H$5,NFI,5,0),1,0)*Table_NFI[[#This Row],[Hygiene Kit]],Table_NFI[Hygiene Kit])</f>
        <v>0</v>
      </c>
      <c r="Z387" s="294">
        <f>IF(NFI_Expiration=1,IF($A387&lt;VLOOKUP(I$5,NFI,5,0),1,0)*Table_NFI[[#This Row],[NFI Core Kit]],Table_NFI[NFI Core Kit])</f>
        <v>0</v>
      </c>
      <c r="AA387" s="294">
        <f>IF(NFI_Expiration=1,IF($A387&lt;VLOOKUP(J$5,NFI,5,0),1,0)*Table_NFI[[#This Row],[Sanitary Kit]],Table_NFI[Sanitary Kit])</f>
        <v>0</v>
      </c>
      <c r="AB387" s="294">
        <f>IF(NFI_Expiration=1,IF($A387&lt;VLOOKUP(K$5,NFI,5,0),1,0)*Table_NFI[[#This Row],[Mosquito net]],Table_NFI[Mosquito net])</f>
        <v>0</v>
      </c>
      <c r="AC387" s="294">
        <f>IF(NFI_Expiration=1,IF($A387&lt;VLOOKUP(L$5,NFI,5,0),1,0)*Table_NFI[[#This Row],[Tarpaulin]],Table_NFI[[#This Row],[Tarpaulin]])</f>
        <v>0</v>
      </c>
      <c r="AD387" s="294">
        <f>IF(NFI_Expiration=1,IF($A387&lt;VLOOKUP(M$5,NFI,5,0),1,0)*Table_NFI[[#This Row],[Blanket]],Table_NFI[[#This Row],[Blanket]])</f>
        <v>0</v>
      </c>
      <c r="AE387" s="294">
        <f>IF(NFI_Expiration=1,IF($A387&lt;VLOOKUP(N$5,NFI,5,0),1,0)*Table_NFI[[#This Row],[Kitchen Set]],Table_NFI[Kitchen Set])</f>
        <v>0</v>
      </c>
      <c r="AF387" s="294">
        <f>IF(NFI_Expiration=1,IF($A387&lt;VLOOKUP(O$5,NFI,5,0),1,0)*Table_NFI[[#This Row],[Clothes Kit]],Table_NFI[Clothes Kit])</f>
        <v>0</v>
      </c>
      <c r="AG387" s="294">
        <f>IF(NFI_Expiration=1,IF($A387&lt;VLOOKUP(P$5,NFI,5,0),1,0)*Table_NFI[[#This Row],[Plastic Bucket]],Table_NFI[Plastic Bucket])</f>
        <v>0</v>
      </c>
      <c r="AH387" s="294">
        <f>IF(NFI_Expiration=1,IF($A387&lt;VLOOKUP(Q$5,NFI,5,0),1,0)*Table_NFI[[#This Row],[Plastic Mat]],Table_NFI[Plastic Mat])*IF(Table_NFI[[#This Row],[Distribution Date]]&gt;"2014-04-01",1,2.5)</f>
        <v>0</v>
      </c>
      <c r="AI387" s="294">
        <f>IF(NFI_Expiration=1,IF($A387&lt;VLOOKUP(R$5,NFI,5,0),1,0)*Table_NFI[[#This Row],[Winter Clothes Adult]],Table_NFI[Winter Clothes Adult])</f>
        <v>0</v>
      </c>
      <c r="AJ387" s="294">
        <f>IF(NFI_Expiration=1,IF($A387&lt;VLOOKUP(S$5,NFI,5,0),1,0)*Table_NFI[[#This Row],[Winter Clothes Children]],Table_NFI[Winter Clothes Children])</f>
        <v>0</v>
      </c>
      <c r="AK387" s="294">
        <f>IF(NFI_Expiration=1,IF($A387&lt;VLOOKUP(T$5,NFI,5,0),1,0)*Table_NFI[[#This Row],[Winter Items Other]],Table_NFI[Winter Items Other])</f>
        <v>0</v>
      </c>
      <c r="AL387" s="294">
        <f>IF(NFI_Expiration=1,IF($A387&lt;VLOOKUP(M$5,NFI,5,0),1,0)*Table_NFI[[#This Row],[Winter Blanket]],Table_NFI[[#This Row],[Winter Blanket]])</f>
        <v>0</v>
      </c>
      <c r="AM387" s="294">
        <f>IF(Table_NFI[[#This Row],[Winter Clothes Adult]]+Table_NFI[[#This Row],[Winter Clothes Children]]+Table_NFI[[#This Row],[Winter Items Other]]+Table_NFI[[#This Row],[Winter Blanket]]&gt;0,1,0)</f>
        <v>1</v>
      </c>
      <c r="AN387" s="331">
        <f>IF(NFI_Expiration=1,IF($A387&lt;VLOOKUP(V$5,NFI,5,0),1,0)*Table_NFI[[#This Row],[Jerry Can]],Table_NFI[Jerry Can])</f>
        <v>0</v>
      </c>
      <c r="AO387" s="331">
        <f>IF(NFI_Expiration=1,IF($A387&lt;VLOOKUP(V$5,NFI,5,0),1,0)*Table_NFI[[#This Row],[Shelter Tool kit]],Table_NFI[Shelter Tool kit])</f>
        <v>0</v>
      </c>
      <c r="AP387" s="331">
        <f>IF(NFI_Expiration=1,IF($A387&lt;VLOOKUP(V$5,NFI,5,0),1,0)*Table_NFI[[#This Row],[Tent]],Table_NFI[Tent])</f>
        <v>0</v>
      </c>
      <c r="AQ387" s="467" t="str">
        <f>IFERROR(VLOOKUP(Table_NFI[[#This Row],[Camp Name]],CL,2,0),"")</f>
        <v>MMR001CMP015</v>
      </c>
      <c r="AR387" s="835">
        <f ca="1">IF(Table_NFI[[#This Row],[Pcode]]="","",IF(OFFSET(CampList[Opening Date],MATCH(Table_NFI[[#This Row],[Pcode]],CampList[CP_Pcode],0)-1,0,1,1)&gt;=NFI_Monitor_Date,1,0))</f>
        <v>0</v>
      </c>
      <c r="AS387" s="467" t="str">
        <f>IFERROR(VLOOKUP(Table_NFI[[#This Row],[Camp Name]],CL,3,0),"")</f>
        <v>Open</v>
      </c>
      <c r="AT387" s="294" t="str">
        <f ca="1">IF(Table_NFI[[#This Row],[Pcode]]="","",OFFSET(CampList[Priority],MATCH(Table_NFI[[#This Row],[Pcode]],CampList[CP_Pcode],0)-1,0,1,1))</f>
        <v>P4</v>
      </c>
      <c r="AU387" s="293">
        <f>IFERROR(Table_NFI[[#This Row],[Kitchen Set]]/VLOOKUP(Table_NFI[[#This Row],[Camp Name]],CL,4,0),"")</f>
        <v>0</v>
      </c>
      <c r="AV387" s="461"/>
      <c r="AW387" s="463"/>
    </row>
    <row r="388" spans="1:49" s="464" customFormat="1" x14ac:dyDescent="0.25">
      <c r="A388" s="297">
        <f t="shared" si="5"/>
        <v>31.9</v>
      </c>
      <c r="B388" s="460">
        <v>41779</v>
      </c>
      <c r="C388" s="461" t="s">
        <v>1104</v>
      </c>
      <c r="D388" s="461" t="s">
        <v>900</v>
      </c>
      <c r="E388" s="461" t="s">
        <v>380</v>
      </c>
      <c r="F388" s="461" t="s">
        <v>237</v>
      </c>
      <c r="G388" s="461" t="s">
        <v>285</v>
      </c>
      <c r="H388" s="291"/>
      <c r="I388" s="291"/>
      <c r="J388" s="291"/>
      <c r="K388" s="291"/>
      <c r="L388" s="292"/>
      <c r="M388" s="292"/>
      <c r="N388" s="292"/>
      <c r="O388" s="292"/>
      <c r="P388" s="294"/>
      <c r="Q388" s="294"/>
      <c r="R388" s="294"/>
      <c r="S388" s="294"/>
      <c r="T388" s="294"/>
      <c r="U388" s="294">
        <v>278</v>
      </c>
      <c r="V388" s="431"/>
      <c r="W388" s="294"/>
      <c r="X388" s="294"/>
      <c r="Y388" s="294">
        <f>IF(NFI_Expiration=1,IF($A388&lt;VLOOKUP(H$5,NFI,5,0),1,0)*Table_NFI[[#This Row],[Hygiene Kit]],Table_NFI[Hygiene Kit])</f>
        <v>0</v>
      </c>
      <c r="Z388" s="294">
        <f>IF(NFI_Expiration=1,IF($A388&lt;VLOOKUP(I$5,NFI,5,0),1,0)*Table_NFI[[#This Row],[NFI Core Kit]],Table_NFI[NFI Core Kit])</f>
        <v>0</v>
      </c>
      <c r="AA388" s="294">
        <f>IF(NFI_Expiration=1,IF($A388&lt;VLOOKUP(J$5,NFI,5,0),1,0)*Table_NFI[[#This Row],[Sanitary Kit]],Table_NFI[Sanitary Kit])</f>
        <v>0</v>
      </c>
      <c r="AB388" s="294">
        <f>IF(NFI_Expiration=1,IF($A388&lt;VLOOKUP(K$5,NFI,5,0),1,0)*Table_NFI[[#This Row],[Mosquito net]],Table_NFI[Mosquito net])</f>
        <v>0</v>
      </c>
      <c r="AC388" s="294">
        <f>IF(NFI_Expiration=1,IF($A388&lt;VLOOKUP(L$5,NFI,5,0),1,0)*Table_NFI[[#This Row],[Tarpaulin]],Table_NFI[[#This Row],[Tarpaulin]])</f>
        <v>0</v>
      </c>
      <c r="AD388" s="294">
        <f>IF(NFI_Expiration=1,IF($A388&lt;VLOOKUP(M$5,NFI,5,0),1,0)*Table_NFI[[#This Row],[Blanket]],Table_NFI[[#This Row],[Blanket]])</f>
        <v>0</v>
      </c>
      <c r="AE388" s="294">
        <f>IF(NFI_Expiration=1,IF($A388&lt;VLOOKUP(N$5,NFI,5,0),1,0)*Table_NFI[[#This Row],[Kitchen Set]],Table_NFI[Kitchen Set])</f>
        <v>0</v>
      </c>
      <c r="AF388" s="294">
        <f>IF(NFI_Expiration=1,IF($A388&lt;VLOOKUP(O$5,NFI,5,0),1,0)*Table_NFI[[#This Row],[Clothes Kit]],Table_NFI[Clothes Kit])</f>
        <v>0</v>
      </c>
      <c r="AG388" s="294">
        <f>IF(NFI_Expiration=1,IF($A388&lt;VLOOKUP(P$5,NFI,5,0),1,0)*Table_NFI[[#This Row],[Plastic Bucket]],Table_NFI[Plastic Bucket])</f>
        <v>0</v>
      </c>
      <c r="AH388" s="294">
        <f>IF(NFI_Expiration=1,IF($A388&lt;VLOOKUP(Q$5,NFI,5,0),1,0)*Table_NFI[[#This Row],[Plastic Mat]],Table_NFI[Plastic Mat])*IF(Table_NFI[[#This Row],[Distribution Date]]&gt;"2014-04-01",1,2.5)</f>
        <v>0</v>
      </c>
      <c r="AI388" s="294">
        <f>IF(NFI_Expiration=1,IF($A388&lt;VLOOKUP(R$5,NFI,5,0),1,0)*Table_NFI[[#This Row],[Winter Clothes Adult]],Table_NFI[Winter Clothes Adult])</f>
        <v>0</v>
      </c>
      <c r="AJ388" s="294">
        <f>IF(NFI_Expiration=1,IF($A388&lt;VLOOKUP(S$5,NFI,5,0),1,0)*Table_NFI[[#This Row],[Winter Clothes Children]],Table_NFI[Winter Clothes Children])</f>
        <v>0</v>
      </c>
      <c r="AK388" s="294">
        <f>IF(NFI_Expiration=1,IF($A388&lt;VLOOKUP(T$5,NFI,5,0),1,0)*Table_NFI[[#This Row],[Winter Items Other]],Table_NFI[Winter Items Other])</f>
        <v>0</v>
      </c>
      <c r="AL388" s="294">
        <f>IF(NFI_Expiration=1,IF($A388&lt;VLOOKUP(M$5,NFI,5,0),1,0)*Table_NFI[[#This Row],[Winter Blanket]],Table_NFI[[#This Row],[Winter Blanket]])</f>
        <v>0</v>
      </c>
      <c r="AM388" s="294">
        <f>IF(Table_NFI[[#This Row],[Winter Clothes Adult]]+Table_NFI[[#This Row],[Winter Clothes Children]]+Table_NFI[[#This Row],[Winter Items Other]]+Table_NFI[[#This Row],[Winter Blanket]]&gt;0,1,0)</f>
        <v>1</v>
      </c>
      <c r="AN388" s="331">
        <f>IF(NFI_Expiration=1,IF($A388&lt;VLOOKUP(V$5,NFI,5,0),1,0)*Table_NFI[[#This Row],[Jerry Can]],Table_NFI[Jerry Can])</f>
        <v>0</v>
      </c>
      <c r="AO388" s="331">
        <f>IF(NFI_Expiration=1,IF($A388&lt;VLOOKUP(V$5,NFI,5,0),1,0)*Table_NFI[[#This Row],[Shelter Tool kit]],Table_NFI[Shelter Tool kit])</f>
        <v>0</v>
      </c>
      <c r="AP388" s="331">
        <f>IF(NFI_Expiration=1,IF($A388&lt;VLOOKUP(V$5,NFI,5,0),1,0)*Table_NFI[[#This Row],[Tent]],Table_NFI[Tent])</f>
        <v>0</v>
      </c>
      <c r="AQ388" s="467" t="str">
        <f>IFERROR(VLOOKUP(Table_NFI[[#This Row],[Camp Name]],CL,2,0),"")</f>
        <v>MMR001CMP014</v>
      </c>
      <c r="AR388" s="835">
        <f ca="1">IF(Table_NFI[[#This Row],[Pcode]]="","",IF(OFFSET(CampList[Opening Date],MATCH(Table_NFI[[#This Row],[Pcode]],CampList[CP_Pcode],0)-1,0,1,1)&gt;=NFI_Monitor_Date,1,0))</f>
        <v>0</v>
      </c>
      <c r="AS388" s="467" t="str">
        <f>IFERROR(VLOOKUP(Table_NFI[[#This Row],[Camp Name]],CL,3,0),"")</f>
        <v>Open</v>
      </c>
      <c r="AT388" s="294" t="str">
        <f ca="1">IF(Table_NFI[[#This Row],[Pcode]]="","",OFFSET(CampList[Priority],MATCH(Table_NFI[[#This Row],[Pcode]],CampList[CP_Pcode],0)-1,0,1,1))</f>
        <v>P4</v>
      </c>
      <c r="AU388" s="293">
        <f>IFERROR(Table_NFI[[#This Row],[Kitchen Set]]/VLOOKUP(Table_NFI[[#This Row],[Camp Name]],CL,4,0),"")</f>
        <v>0</v>
      </c>
      <c r="AV388" s="461"/>
      <c r="AW388" s="463"/>
    </row>
    <row r="389" spans="1:49" s="464" customFormat="1" ht="14.45" customHeight="1" x14ac:dyDescent="0.25">
      <c r="A389" s="297">
        <f t="shared" si="5"/>
        <v>31.9</v>
      </c>
      <c r="B389" s="460">
        <v>41779</v>
      </c>
      <c r="C389" s="461" t="s">
        <v>1104</v>
      </c>
      <c r="D389" s="461" t="s">
        <v>900</v>
      </c>
      <c r="E389" s="461" t="s">
        <v>380</v>
      </c>
      <c r="F389" s="461" t="s">
        <v>310</v>
      </c>
      <c r="G389" s="461" t="s">
        <v>324</v>
      </c>
      <c r="H389" s="291"/>
      <c r="I389" s="291"/>
      <c r="J389" s="291"/>
      <c r="K389" s="291"/>
      <c r="L389" s="292"/>
      <c r="M389" s="292"/>
      <c r="N389" s="292"/>
      <c r="O389" s="292"/>
      <c r="P389" s="294"/>
      <c r="Q389" s="294"/>
      <c r="R389" s="294"/>
      <c r="S389" s="294"/>
      <c r="T389" s="294"/>
      <c r="U389" s="294">
        <v>824</v>
      </c>
      <c r="V389" s="431"/>
      <c r="W389" s="294"/>
      <c r="X389" s="294"/>
      <c r="Y389" s="294">
        <f>IF(NFI_Expiration=1,IF($A389&lt;VLOOKUP(H$5,NFI,5,0),1,0)*Table_NFI[[#This Row],[Hygiene Kit]],Table_NFI[Hygiene Kit])</f>
        <v>0</v>
      </c>
      <c r="Z389" s="294">
        <f>IF(NFI_Expiration=1,IF($A389&lt;VLOOKUP(I$5,NFI,5,0),1,0)*Table_NFI[[#This Row],[NFI Core Kit]],Table_NFI[NFI Core Kit])</f>
        <v>0</v>
      </c>
      <c r="AA389" s="294">
        <f>IF(NFI_Expiration=1,IF($A389&lt;VLOOKUP(J$5,NFI,5,0),1,0)*Table_NFI[[#This Row],[Sanitary Kit]],Table_NFI[Sanitary Kit])</f>
        <v>0</v>
      </c>
      <c r="AB389" s="294">
        <f>IF(NFI_Expiration=1,IF($A389&lt;VLOOKUP(K$5,NFI,5,0),1,0)*Table_NFI[[#This Row],[Mosquito net]],Table_NFI[Mosquito net])</f>
        <v>0</v>
      </c>
      <c r="AC389" s="294">
        <f>IF(NFI_Expiration=1,IF($A389&lt;VLOOKUP(L$5,NFI,5,0),1,0)*Table_NFI[[#This Row],[Tarpaulin]],Table_NFI[[#This Row],[Tarpaulin]])</f>
        <v>0</v>
      </c>
      <c r="AD389" s="294">
        <f>IF(NFI_Expiration=1,IF($A389&lt;VLOOKUP(M$5,NFI,5,0),1,0)*Table_NFI[[#This Row],[Blanket]],Table_NFI[[#This Row],[Blanket]])</f>
        <v>0</v>
      </c>
      <c r="AE389" s="294">
        <f>IF(NFI_Expiration=1,IF($A389&lt;VLOOKUP(N$5,NFI,5,0),1,0)*Table_NFI[[#This Row],[Kitchen Set]],Table_NFI[Kitchen Set])</f>
        <v>0</v>
      </c>
      <c r="AF389" s="294">
        <f>IF(NFI_Expiration=1,IF($A389&lt;VLOOKUP(O$5,NFI,5,0),1,0)*Table_NFI[[#This Row],[Clothes Kit]],Table_NFI[Clothes Kit])</f>
        <v>0</v>
      </c>
      <c r="AG389" s="294">
        <f>IF(NFI_Expiration=1,IF($A389&lt;VLOOKUP(P$5,NFI,5,0),1,0)*Table_NFI[[#This Row],[Plastic Bucket]],Table_NFI[Plastic Bucket])</f>
        <v>0</v>
      </c>
      <c r="AH389" s="294">
        <f>IF(NFI_Expiration=1,IF($A389&lt;VLOOKUP(Q$5,NFI,5,0),1,0)*Table_NFI[[#This Row],[Plastic Mat]],Table_NFI[Plastic Mat])*IF(Table_NFI[[#This Row],[Distribution Date]]&gt;"2014-04-01",1,2.5)</f>
        <v>0</v>
      </c>
      <c r="AI389" s="294">
        <f>IF(NFI_Expiration=1,IF($A389&lt;VLOOKUP(R$5,NFI,5,0),1,0)*Table_NFI[[#This Row],[Winter Clothes Adult]],Table_NFI[Winter Clothes Adult])</f>
        <v>0</v>
      </c>
      <c r="AJ389" s="294">
        <f>IF(NFI_Expiration=1,IF($A389&lt;VLOOKUP(S$5,NFI,5,0),1,0)*Table_NFI[[#This Row],[Winter Clothes Children]],Table_NFI[Winter Clothes Children])</f>
        <v>0</v>
      </c>
      <c r="AK389" s="294">
        <f>IF(NFI_Expiration=1,IF($A389&lt;VLOOKUP(T$5,NFI,5,0),1,0)*Table_NFI[[#This Row],[Winter Items Other]],Table_NFI[Winter Items Other])</f>
        <v>0</v>
      </c>
      <c r="AL389" s="294">
        <f>IF(NFI_Expiration=1,IF($A389&lt;VLOOKUP(M$5,NFI,5,0),1,0)*Table_NFI[[#This Row],[Winter Blanket]],Table_NFI[[#This Row],[Winter Blanket]])</f>
        <v>0</v>
      </c>
      <c r="AM389" s="294">
        <f>IF(Table_NFI[[#This Row],[Winter Clothes Adult]]+Table_NFI[[#This Row],[Winter Clothes Children]]+Table_NFI[[#This Row],[Winter Items Other]]+Table_NFI[[#This Row],[Winter Blanket]]&gt;0,1,0)</f>
        <v>1</v>
      </c>
      <c r="AN389" s="331">
        <f>IF(NFI_Expiration=1,IF($A389&lt;VLOOKUP(V$5,NFI,5,0),1,0)*Table_NFI[[#This Row],[Jerry Can]],Table_NFI[Jerry Can])</f>
        <v>0</v>
      </c>
      <c r="AO389" s="331">
        <f>IF(NFI_Expiration=1,IF($A389&lt;VLOOKUP(V$5,NFI,5,0),1,0)*Table_NFI[[#This Row],[Shelter Tool kit]],Table_NFI[Shelter Tool kit])</f>
        <v>0</v>
      </c>
      <c r="AP389" s="331">
        <f>IF(NFI_Expiration=1,IF($A389&lt;VLOOKUP(V$5,NFI,5,0),1,0)*Table_NFI[[#This Row],[Tent]],Table_NFI[Tent])</f>
        <v>0</v>
      </c>
      <c r="AQ389" s="467" t="str">
        <f>IFERROR(VLOOKUP(Table_NFI[[#This Row],[Camp Name]],CL,2,0),"")</f>
        <v>MMR001CMP040</v>
      </c>
      <c r="AR389" s="835">
        <f ca="1">IF(Table_NFI[[#This Row],[Pcode]]="","",IF(OFFSET(CampList[Opening Date],MATCH(Table_NFI[[#This Row],[Pcode]],CampList[CP_Pcode],0)-1,0,1,1)&gt;=NFI_Monitor_Date,1,0))</f>
        <v>0</v>
      </c>
      <c r="AS389" s="467" t="str">
        <f>IFERROR(VLOOKUP(Table_NFI[[#This Row],[Camp Name]],CL,3,0),"")</f>
        <v>Open</v>
      </c>
      <c r="AT389" s="294" t="str">
        <f ca="1">IF(Table_NFI[[#This Row],[Pcode]]="","",OFFSET(CampList[Priority],MATCH(Table_NFI[[#This Row],[Pcode]],CampList[CP_Pcode],0)-1,0,1,1))</f>
        <v>P4</v>
      </c>
      <c r="AU389" s="293">
        <f>IFERROR(Table_NFI[[#This Row],[Kitchen Set]]/VLOOKUP(Table_NFI[[#This Row],[Camp Name]],CL,4,0),"")</f>
        <v>0</v>
      </c>
      <c r="AV389" s="461"/>
      <c r="AW389" s="463"/>
    </row>
    <row r="390" spans="1:49" s="464" customFormat="1" ht="14.45" customHeight="1" x14ac:dyDescent="0.25">
      <c r="A390" s="297">
        <f t="shared" ref="A390:A453" si="6">IF(ISBLANK(B390),"",(Report_Date-B390)/30)</f>
        <v>31.9</v>
      </c>
      <c r="B390" s="460">
        <v>41779</v>
      </c>
      <c r="C390" s="461" t="s">
        <v>1104</v>
      </c>
      <c r="D390" s="461" t="s">
        <v>900</v>
      </c>
      <c r="E390" s="461" t="s">
        <v>380</v>
      </c>
      <c r="F390" s="461" t="s">
        <v>237</v>
      </c>
      <c r="G390" s="461" t="s">
        <v>259</v>
      </c>
      <c r="H390" s="291"/>
      <c r="I390" s="291"/>
      <c r="J390" s="291"/>
      <c r="K390" s="291"/>
      <c r="L390" s="292"/>
      <c r="M390" s="292"/>
      <c r="N390" s="292"/>
      <c r="O390" s="292"/>
      <c r="P390" s="294"/>
      <c r="Q390" s="294"/>
      <c r="R390" s="294"/>
      <c r="S390" s="294"/>
      <c r="T390" s="294"/>
      <c r="U390" s="294">
        <v>142</v>
      </c>
      <c r="V390" s="431"/>
      <c r="W390" s="294"/>
      <c r="X390" s="294"/>
      <c r="Y390" s="294">
        <f>IF(NFI_Expiration=1,IF($A390&lt;VLOOKUP(H$5,NFI,5,0),1,0)*Table_NFI[[#This Row],[Hygiene Kit]],Table_NFI[Hygiene Kit])</f>
        <v>0</v>
      </c>
      <c r="Z390" s="294">
        <f>IF(NFI_Expiration=1,IF($A390&lt;VLOOKUP(I$5,NFI,5,0),1,0)*Table_NFI[[#This Row],[NFI Core Kit]],Table_NFI[NFI Core Kit])</f>
        <v>0</v>
      </c>
      <c r="AA390" s="294">
        <f>IF(NFI_Expiration=1,IF($A390&lt;VLOOKUP(J$5,NFI,5,0),1,0)*Table_NFI[[#This Row],[Sanitary Kit]],Table_NFI[Sanitary Kit])</f>
        <v>0</v>
      </c>
      <c r="AB390" s="294">
        <f>IF(NFI_Expiration=1,IF($A390&lt;VLOOKUP(K$5,NFI,5,0),1,0)*Table_NFI[[#This Row],[Mosquito net]],Table_NFI[Mosquito net])</f>
        <v>0</v>
      </c>
      <c r="AC390" s="294">
        <f>IF(NFI_Expiration=1,IF($A390&lt;VLOOKUP(L$5,NFI,5,0),1,0)*Table_NFI[[#This Row],[Tarpaulin]],Table_NFI[[#This Row],[Tarpaulin]])</f>
        <v>0</v>
      </c>
      <c r="AD390" s="294">
        <f>IF(NFI_Expiration=1,IF($A390&lt;VLOOKUP(M$5,NFI,5,0),1,0)*Table_NFI[[#This Row],[Blanket]],Table_NFI[[#This Row],[Blanket]])</f>
        <v>0</v>
      </c>
      <c r="AE390" s="294">
        <f>IF(NFI_Expiration=1,IF($A390&lt;VLOOKUP(N$5,NFI,5,0),1,0)*Table_NFI[[#This Row],[Kitchen Set]],Table_NFI[Kitchen Set])</f>
        <v>0</v>
      </c>
      <c r="AF390" s="294">
        <f>IF(NFI_Expiration=1,IF($A390&lt;VLOOKUP(O$5,NFI,5,0),1,0)*Table_NFI[[#This Row],[Clothes Kit]],Table_NFI[Clothes Kit])</f>
        <v>0</v>
      </c>
      <c r="AG390" s="294">
        <f>IF(NFI_Expiration=1,IF($A390&lt;VLOOKUP(P$5,NFI,5,0),1,0)*Table_NFI[[#This Row],[Plastic Bucket]],Table_NFI[Plastic Bucket])</f>
        <v>0</v>
      </c>
      <c r="AH390" s="294">
        <f>IF(NFI_Expiration=1,IF($A390&lt;VLOOKUP(Q$5,NFI,5,0),1,0)*Table_NFI[[#This Row],[Plastic Mat]],Table_NFI[Plastic Mat])*IF(Table_NFI[[#This Row],[Distribution Date]]&gt;"2014-04-01",1,2.5)</f>
        <v>0</v>
      </c>
      <c r="AI390" s="294">
        <f>IF(NFI_Expiration=1,IF($A390&lt;VLOOKUP(R$5,NFI,5,0),1,0)*Table_NFI[[#This Row],[Winter Clothes Adult]],Table_NFI[Winter Clothes Adult])</f>
        <v>0</v>
      </c>
      <c r="AJ390" s="294">
        <f>IF(NFI_Expiration=1,IF($A390&lt;VLOOKUP(S$5,NFI,5,0),1,0)*Table_NFI[[#This Row],[Winter Clothes Children]],Table_NFI[Winter Clothes Children])</f>
        <v>0</v>
      </c>
      <c r="AK390" s="294">
        <f>IF(NFI_Expiration=1,IF($A390&lt;VLOOKUP(T$5,NFI,5,0),1,0)*Table_NFI[[#This Row],[Winter Items Other]],Table_NFI[Winter Items Other])</f>
        <v>0</v>
      </c>
      <c r="AL390" s="294">
        <f>IF(NFI_Expiration=1,IF($A390&lt;VLOOKUP(M$5,NFI,5,0),1,0)*Table_NFI[[#This Row],[Winter Blanket]],Table_NFI[[#This Row],[Winter Blanket]])</f>
        <v>0</v>
      </c>
      <c r="AM390" s="294">
        <f>IF(Table_NFI[[#This Row],[Winter Clothes Adult]]+Table_NFI[[#This Row],[Winter Clothes Children]]+Table_NFI[[#This Row],[Winter Items Other]]+Table_NFI[[#This Row],[Winter Blanket]]&gt;0,1,0)</f>
        <v>1</v>
      </c>
      <c r="AN390" s="331">
        <f>IF(NFI_Expiration=1,IF($A390&lt;VLOOKUP(V$5,NFI,5,0),1,0)*Table_NFI[[#This Row],[Jerry Can]],Table_NFI[Jerry Can])</f>
        <v>0</v>
      </c>
      <c r="AO390" s="331">
        <f>IF(NFI_Expiration=1,IF($A390&lt;VLOOKUP(V$5,NFI,5,0),1,0)*Table_NFI[[#This Row],[Shelter Tool kit]],Table_NFI[Shelter Tool kit])</f>
        <v>0</v>
      </c>
      <c r="AP390" s="331">
        <f>IF(NFI_Expiration=1,IF($A390&lt;VLOOKUP(V$5,NFI,5,0),1,0)*Table_NFI[[#This Row],[Tent]],Table_NFI[Tent])</f>
        <v>0</v>
      </c>
      <c r="AQ390" s="467" t="str">
        <f>IFERROR(VLOOKUP(Table_NFI[[#This Row],[Camp Name]],CL,2,0),"")</f>
        <v>MMR001CMP016</v>
      </c>
      <c r="AR390" s="835">
        <f ca="1">IF(Table_NFI[[#This Row],[Pcode]]="","",IF(OFFSET(CampList[Opening Date],MATCH(Table_NFI[[#This Row],[Pcode]],CampList[CP_Pcode],0)-1,0,1,1)&gt;=NFI_Monitor_Date,1,0))</f>
        <v>0</v>
      </c>
      <c r="AS390" s="467" t="str">
        <f>IFERROR(VLOOKUP(Table_NFI[[#This Row],[Camp Name]],CL,3,0),"")</f>
        <v>Open</v>
      </c>
      <c r="AT390" s="294" t="str">
        <f ca="1">IF(Table_NFI[[#This Row],[Pcode]]="","",OFFSET(CampList[Priority],MATCH(Table_NFI[[#This Row],[Pcode]],CampList[CP_Pcode],0)-1,0,1,1))</f>
        <v>P4</v>
      </c>
      <c r="AU390" s="293">
        <f>IFERROR(Table_NFI[[#This Row],[Kitchen Set]]/VLOOKUP(Table_NFI[[#This Row],[Camp Name]],CL,4,0),"")</f>
        <v>0</v>
      </c>
      <c r="AV390" s="461"/>
      <c r="AW390" s="463"/>
    </row>
    <row r="391" spans="1:49" s="464" customFormat="1" ht="14.45" customHeight="1" x14ac:dyDescent="0.25">
      <c r="A391" s="297">
        <f t="shared" si="6"/>
        <v>31.933333333333334</v>
      </c>
      <c r="B391" s="460">
        <v>41778</v>
      </c>
      <c r="C391" s="461" t="s">
        <v>1104</v>
      </c>
      <c r="D391" s="461" t="s">
        <v>900</v>
      </c>
      <c r="E391" s="461" t="s">
        <v>380</v>
      </c>
      <c r="F391" s="461" t="s">
        <v>310</v>
      </c>
      <c r="G391" s="461" t="s">
        <v>328</v>
      </c>
      <c r="H391" s="291"/>
      <c r="I391" s="291"/>
      <c r="J391" s="291"/>
      <c r="K391" s="291"/>
      <c r="L391" s="292"/>
      <c r="M391" s="292"/>
      <c r="N391" s="292"/>
      <c r="O391" s="292"/>
      <c r="P391" s="294"/>
      <c r="Q391" s="294"/>
      <c r="R391" s="294"/>
      <c r="S391" s="294"/>
      <c r="T391" s="294"/>
      <c r="U391" s="294">
        <v>224</v>
      </c>
      <c r="V391" s="431"/>
      <c r="W391" s="294"/>
      <c r="X391" s="294"/>
      <c r="Y391" s="294">
        <f>IF(NFI_Expiration=1,IF($A391&lt;VLOOKUP(H$5,NFI,5,0),1,0)*Table_NFI[[#This Row],[Hygiene Kit]],Table_NFI[Hygiene Kit])</f>
        <v>0</v>
      </c>
      <c r="Z391" s="294">
        <f>IF(NFI_Expiration=1,IF($A391&lt;VLOOKUP(I$5,NFI,5,0),1,0)*Table_NFI[[#This Row],[NFI Core Kit]],Table_NFI[NFI Core Kit])</f>
        <v>0</v>
      </c>
      <c r="AA391" s="294">
        <f>IF(NFI_Expiration=1,IF($A391&lt;VLOOKUP(J$5,NFI,5,0),1,0)*Table_NFI[[#This Row],[Sanitary Kit]],Table_NFI[Sanitary Kit])</f>
        <v>0</v>
      </c>
      <c r="AB391" s="294">
        <f>IF(NFI_Expiration=1,IF($A391&lt;VLOOKUP(K$5,NFI,5,0),1,0)*Table_NFI[[#This Row],[Mosquito net]],Table_NFI[Mosquito net])</f>
        <v>0</v>
      </c>
      <c r="AC391" s="294">
        <f>IF(NFI_Expiration=1,IF($A391&lt;VLOOKUP(L$5,NFI,5,0),1,0)*Table_NFI[[#This Row],[Tarpaulin]],Table_NFI[[#This Row],[Tarpaulin]])</f>
        <v>0</v>
      </c>
      <c r="AD391" s="294">
        <f>IF(NFI_Expiration=1,IF($A391&lt;VLOOKUP(M$5,NFI,5,0),1,0)*Table_NFI[[#This Row],[Blanket]],Table_NFI[[#This Row],[Blanket]])</f>
        <v>0</v>
      </c>
      <c r="AE391" s="294">
        <f>IF(NFI_Expiration=1,IF($A391&lt;VLOOKUP(N$5,NFI,5,0),1,0)*Table_NFI[[#This Row],[Kitchen Set]],Table_NFI[Kitchen Set])</f>
        <v>0</v>
      </c>
      <c r="AF391" s="294">
        <f>IF(NFI_Expiration=1,IF($A391&lt;VLOOKUP(O$5,NFI,5,0),1,0)*Table_NFI[[#This Row],[Clothes Kit]],Table_NFI[Clothes Kit])</f>
        <v>0</v>
      </c>
      <c r="AG391" s="294">
        <f>IF(NFI_Expiration=1,IF($A391&lt;VLOOKUP(P$5,NFI,5,0),1,0)*Table_NFI[[#This Row],[Plastic Bucket]],Table_NFI[Plastic Bucket])</f>
        <v>0</v>
      </c>
      <c r="AH391" s="294">
        <f>IF(NFI_Expiration=1,IF($A391&lt;VLOOKUP(Q$5,NFI,5,0),1,0)*Table_NFI[[#This Row],[Plastic Mat]],Table_NFI[Plastic Mat])*IF(Table_NFI[[#This Row],[Distribution Date]]&gt;"2014-04-01",1,2.5)</f>
        <v>0</v>
      </c>
      <c r="AI391" s="294">
        <f>IF(NFI_Expiration=1,IF($A391&lt;VLOOKUP(R$5,NFI,5,0),1,0)*Table_NFI[[#This Row],[Winter Clothes Adult]],Table_NFI[Winter Clothes Adult])</f>
        <v>0</v>
      </c>
      <c r="AJ391" s="294">
        <f>IF(NFI_Expiration=1,IF($A391&lt;VLOOKUP(S$5,NFI,5,0),1,0)*Table_NFI[[#This Row],[Winter Clothes Children]],Table_NFI[Winter Clothes Children])</f>
        <v>0</v>
      </c>
      <c r="AK391" s="294">
        <f>IF(NFI_Expiration=1,IF($A391&lt;VLOOKUP(T$5,NFI,5,0),1,0)*Table_NFI[[#This Row],[Winter Items Other]],Table_NFI[Winter Items Other])</f>
        <v>0</v>
      </c>
      <c r="AL391" s="294">
        <f>IF(NFI_Expiration=1,IF($A391&lt;VLOOKUP(M$5,NFI,5,0),1,0)*Table_NFI[[#This Row],[Winter Blanket]],Table_NFI[[#This Row],[Winter Blanket]])</f>
        <v>0</v>
      </c>
      <c r="AM391" s="294">
        <f>IF(Table_NFI[[#This Row],[Winter Clothes Adult]]+Table_NFI[[#This Row],[Winter Clothes Children]]+Table_NFI[[#This Row],[Winter Items Other]]+Table_NFI[[#This Row],[Winter Blanket]]&gt;0,1,0)</f>
        <v>1</v>
      </c>
      <c r="AN391" s="331">
        <f>IF(NFI_Expiration=1,IF($A391&lt;VLOOKUP(V$5,NFI,5,0),1,0)*Table_NFI[[#This Row],[Jerry Can]],Table_NFI[Jerry Can])</f>
        <v>0</v>
      </c>
      <c r="AO391" s="331">
        <f>IF(NFI_Expiration=1,IF($A391&lt;VLOOKUP(V$5,NFI,5,0),1,0)*Table_NFI[[#This Row],[Shelter Tool kit]],Table_NFI[Shelter Tool kit])</f>
        <v>0</v>
      </c>
      <c r="AP391" s="331">
        <f>IF(NFI_Expiration=1,IF($A391&lt;VLOOKUP(V$5,NFI,5,0),1,0)*Table_NFI[[#This Row],[Tent]],Table_NFI[Tent])</f>
        <v>0</v>
      </c>
      <c r="AQ391" s="467" t="str">
        <f>IFERROR(VLOOKUP(Table_NFI[[#This Row],[Camp Name]],CL,2,0),"")</f>
        <v>MMR001CMP031</v>
      </c>
      <c r="AR391" s="835">
        <f ca="1">IF(Table_NFI[[#This Row],[Pcode]]="","",IF(OFFSET(CampList[Opening Date],MATCH(Table_NFI[[#This Row],[Pcode]],CampList[CP_Pcode],0)-1,0,1,1)&gt;=NFI_Monitor_Date,1,0))</f>
        <v>0</v>
      </c>
      <c r="AS391" s="467" t="str">
        <f>IFERROR(VLOOKUP(Table_NFI[[#This Row],[Camp Name]],CL,3,0),"")</f>
        <v>Open</v>
      </c>
      <c r="AT391" s="294" t="str">
        <f ca="1">IF(Table_NFI[[#This Row],[Pcode]]="","",OFFSET(CampList[Priority],MATCH(Table_NFI[[#This Row],[Pcode]],CampList[CP_Pcode],0)-1,0,1,1))</f>
        <v>P4</v>
      </c>
      <c r="AU391" s="293">
        <f>IFERROR(Table_NFI[[#This Row],[Kitchen Set]]/VLOOKUP(Table_NFI[[#This Row],[Camp Name]],CL,4,0),"")</f>
        <v>0</v>
      </c>
      <c r="AV391" s="461"/>
      <c r="AW391" s="463"/>
    </row>
    <row r="392" spans="1:49" s="464" customFormat="1" ht="14.45" customHeight="1" x14ac:dyDescent="0.25">
      <c r="A392" s="297">
        <f t="shared" si="6"/>
        <v>31.933333333333334</v>
      </c>
      <c r="B392" s="460">
        <v>41778</v>
      </c>
      <c r="C392" s="461" t="s">
        <v>1104</v>
      </c>
      <c r="D392" s="461" t="s">
        <v>900</v>
      </c>
      <c r="E392" s="461" t="s">
        <v>380</v>
      </c>
      <c r="F392" s="461" t="s">
        <v>310</v>
      </c>
      <c r="G392" s="461" t="s">
        <v>326</v>
      </c>
      <c r="H392" s="291"/>
      <c r="I392" s="291"/>
      <c r="J392" s="291"/>
      <c r="K392" s="291"/>
      <c r="L392" s="292"/>
      <c r="M392" s="292"/>
      <c r="N392" s="292"/>
      <c r="O392" s="292"/>
      <c r="P392" s="294"/>
      <c r="Q392" s="294"/>
      <c r="R392" s="294"/>
      <c r="S392" s="294"/>
      <c r="T392" s="294"/>
      <c r="U392" s="294">
        <v>230</v>
      </c>
      <c r="V392" s="431"/>
      <c r="W392" s="294"/>
      <c r="X392" s="294"/>
      <c r="Y392" s="294">
        <f>IF(NFI_Expiration=1,IF($A392&lt;VLOOKUP(H$5,NFI,5,0),1,0)*Table_NFI[[#This Row],[Hygiene Kit]],Table_NFI[Hygiene Kit])</f>
        <v>0</v>
      </c>
      <c r="Z392" s="294">
        <f>IF(NFI_Expiration=1,IF($A392&lt;VLOOKUP(I$5,NFI,5,0),1,0)*Table_NFI[[#This Row],[NFI Core Kit]],Table_NFI[NFI Core Kit])</f>
        <v>0</v>
      </c>
      <c r="AA392" s="294">
        <f>IF(NFI_Expiration=1,IF($A392&lt;VLOOKUP(J$5,NFI,5,0),1,0)*Table_NFI[[#This Row],[Sanitary Kit]],Table_NFI[Sanitary Kit])</f>
        <v>0</v>
      </c>
      <c r="AB392" s="294">
        <f>IF(NFI_Expiration=1,IF($A392&lt;VLOOKUP(K$5,NFI,5,0),1,0)*Table_NFI[[#This Row],[Mosquito net]],Table_NFI[Mosquito net])</f>
        <v>0</v>
      </c>
      <c r="AC392" s="294">
        <f>IF(NFI_Expiration=1,IF($A392&lt;VLOOKUP(L$5,NFI,5,0),1,0)*Table_NFI[[#This Row],[Tarpaulin]],Table_NFI[[#This Row],[Tarpaulin]])</f>
        <v>0</v>
      </c>
      <c r="AD392" s="294">
        <f>IF(NFI_Expiration=1,IF($A392&lt;VLOOKUP(M$5,NFI,5,0),1,0)*Table_NFI[[#This Row],[Blanket]],Table_NFI[[#This Row],[Blanket]])</f>
        <v>0</v>
      </c>
      <c r="AE392" s="294">
        <f>IF(NFI_Expiration=1,IF($A392&lt;VLOOKUP(N$5,NFI,5,0),1,0)*Table_NFI[[#This Row],[Kitchen Set]],Table_NFI[Kitchen Set])</f>
        <v>0</v>
      </c>
      <c r="AF392" s="294">
        <f>IF(NFI_Expiration=1,IF($A392&lt;VLOOKUP(O$5,NFI,5,0),1,0)*Table_NFI[[#This Row],[Clothes Kit]],Table_NFI[Clothes Kit])</f>
        <v>0</v>
      </c>
      <c r="AG392" s="294">
        <f>IF(NFI_Expiration=1,IF($A392&lt;VLOOKUP(P$5,NFI,5,0),1,0)*Table_NFI[[#This Row],[Plastic Bucket]],Table_NFI[Plastic Bucket])</f>
        <v>0</v>
      </c>
      <c r="AH392" s="294">
        <f>IF(NFI_Expiration=1,IF($A392&lt;VLOOKUP(Q$5,NFI,5,0),1,0)*Table_NFI[[#This Row],[Plastic Mat]],Table_NFI[Plastic Mat])*IF(Table_NFI[[#This Row],[Distribution Date]]&gt;"2014-04-01",1,2.5)</f>
        <v>0</v>
      </c>
      <c r="AI392" s="294">
        <f>IF(NFI_Expiration=1,IF($A392&lt;VLOOKUP(R$5,NFI,5,0),1,0)*Table_NFI[[#This Row],[Winter Clothes Adult]],Table_NFI[Winter Clothes Adult])</f>
        <v>0</v>
      </c>
      <c r="AJ392" s="294">
        <f>IF(NFI_Expiration=1,IF($A392&lt;VLOOKUP(S$5,NFI,5,0),1,0)*Table_NFI[[#This Row],[Winter Clothes Children]],Table_NFI[Winter Clothes Children])</f>
        <v>0</v>
      </c>
      <c r="AK392" s="294">
        <f>IF(NFI_Expiration=1,IF($A392&lt;VLOOKUP(T$5,NFI,5,0),1,0)*Table_NFI[[#This Row],[Winter Items Other]],Table_NFI[Winter Items Other])</f>
        <v>0</v>
      </c>
      <c r="AL392" s="294">
        <f>IF(NFI_Expiration=1,IF($A392&lt;VLOOKUP(M$5,NFI,5,0),1,0)*Table_NFI[[#This Row],[Winter Blanket]],Table_NFI[[#This Row],[Winter Blanket]])</f>
        <v>0</v>
      </c>
      <c r="AM392" s="294">
        <f>IF(Table_NFI[[#This Row],[Winter Clothes Adult]]+Table_NFI[[#This Row],[Winter Clothes Children]]+Table_NFI[[#This Row],[Winter Items Other]]+Table_NFI[[#This Row],[Winter Blanket]]&gt;0,1,0)</f>
        <v>1</v>
      </c>
      <c r="AN392" s="331">
        <f>IF(NFI_Expiration=1,IF($A392&lt;VLOOKUP(V$5,NFI,5,0),1,0)*Table_NFI[[#This Row],[Jerry Can]],Table_NFI[Jerry Can])</f>
        <v>0</v>
      </c>
      <c r="AO392" s="331">
        <f>IF(NFI_Expiration=1,IF($A392&lt;VLOOKUP(V$5,NFI,5,0),1,0)*Table_NFI[[#This Row],[Shelter Tool kit]],Table_NFI[Shelter Tool kit])</f>
        <v>0</v>
      </c>
      <c r="AP392" s="331">
        <f>IF(NFI_Expiration=1,IF($A392&lt;VLOOKUP(V$5,NFI,5,0),1,0)*Table_NFI[[#This Row],[Tent]],Table_NFI[Tent])</f>
        <v>0</v>
      </c>
      <c r="AQ392" s="467" t="str">
        <f>IFERROR(VLOOKUP(Table_NFI[[#This Row],[Camp Name]],CL,2,0),"")</f>
        <v>MMR001CMP039</v>
      </c>
      <c r="AR392" s="835">
        <f ca="1">IF(Table_NFI[[#This Row],[Pcode]]="","",IF(OFFSET(CampList[Opening Date],MATCH(Table_NFI[[#This Row],[Pcode]],CampList[CP_Pcode],0)-1,0,1,1)&gt;=NFI_Monitor_Date,1,0))</f>
        <v>0</v>
      </c>
      <c r="AS392" s="467" t="str">
        <f>IFERROR(VLOOKUP(Table_NFI[[#This Row],[Camp Name]],CL,3,0),"")</f>
        <v>Open</v>
      </c>
      <c r="AT392" s="294" t="str">
        <f ca="1">IF(Table_NFI[[#This Row],[Pcode]]="","",OFFSET(CampList[Priority],MATCH(Table_NFI[[#This Row],[Pcode]],CampList[CP_Pcode],0)-1,0,1,1))</f>
        <v>P4</v>
      </c>
      <c r="AU392" s="293">
        <f>IFERROR(Table_NFI[[#This Row],[Kitchen Set]]/VLOOKUP(Table_NFI[[#This Row],[Camp Name]],CL,4,0),"")</f>
        <v>0</v>
      </c>
      <c r="AV392" s="461"/>
      <c r="AW392" s="463"/>
    </row>
    <row r="393" spans="1:49" s="464" customFormat="1" ht="14.45" customHeight="1" x14ac:dyDescent="0.25">
      <c r="A393" s="297">
        <f t="shared" si="6"/>
        <v>31.933333333333334</v>
      </c>
      <c r="B393" s="460">
        <v>41778</v>
      </c>
      <c r="C393" s="461" t="s">
        <v>1104</v>
      </c>
      <c r="D393" s="461" t="s">
        <v>900</v>
      </c>
      <c r="E393" s="461" t="s">
        <v>380</v>
      </c>
      <c r="F393" s="461" t="s">
        <v>310</v>
      </c>
      <c r="G393" s="461" t="s">
        <v>338</v>
      </c>
      <c r="H393" s="291"/>
      <c r="I393" s="291"/>
      <c r="J393" s="291"/>
      <c r="K393" s="291"/>
      <c r="L393" s="292"/>
      <c r="M393" s="292"/>
      <c r="N393" s="292"/>
      <c r="O393" s="292"/>
      <c r="P393" s="294"/>
      <c r="Q393" s="294"/>
      <c r="R393" s="294"/>
      <c r="S393" s="294"/>
      <c r="T393" s="294"/>
      <c r="U393" s="294">
        <v>60</v>
      </c>
      <c r="V393" s="431"/>
      <c r="W393" s="294"/>
      <c r="X393" s="294"/>
      <c r="Y393" s="294">
        <f>IF(NFI_Expiration=1,IF($A393&lt;VLOOKUP(H$5,NFI,5,0),1,0)*Table_NFI[[#This Row],[Hygiene Kit]],Table_NFI[Hygiene Kit])</f>
        <v>0</v>
      </c>
      <c r="Z393" s="294">
        <f>IF(NFI_Expiration=1,IF($A393&lt;VLOOKUP(I$5,NFI,5,0),1,0)*Table_NFI[[#This Row],[NFI Core Kit]],Table_NFI[NFI Core Kit])</f>
        <v>0</v>
      </c>
      <c r="AA393" s="294">
        <f>IF(NFI_Expiration=1,IF($A393&lt;VLOOKUP(J$5,NFI,5,0),1,0)*Table_NFI[[#This Row],[Sanitary Kit]],Table_NFI[Sanitary Kit])</f>
        <v>0</v>
      </c>
      <c r="AB393" s="294">
        <f>IF(NFI_Expiration=1,IF($A393&lt;VLOOKUP(K$5,NFI,5,0),1,0)*Table_NFI[[#This Row],[Mosquito net]],Table_NFI[Mosquito net])</f>
        <v>0</v>
      </c>
      <c r="AC393" s="294">
        <f>IF(NFI_Expiration=1,IF($A393&lt;VLOOKUP(L$5,NFI,5,0),1,0)*Table_NFI[[#This Row],[Tarpaulin]],Table_NFI[[#This Row],[Tarpaulin]])</f>
        <v>0</v>
      </c>
      <c r="AD393" s="294">
        <f>IF(NFI_Expiration=1,IF($A393&lt;VLOOKUP(M$5,NFI,5,0),1,0)*Table_NFI[[#This Row],[Blanket]],Table_NFI[[#This Row],[Blanket]])</f>
        <v>0</v>
      </c>
      <c r="AE393" s="294">
        <f>IF(NFI_Expiration=1,IF($A393&lt;VLOOKUP(N$5,NFI,5,0),1,0)*Table_NFI[[#This Row],[Kitchen Set]],Table_NFI[Kitchen Set])</f>
        <v>0</v>
      </c>
      <c r="AF393" s="294">
        <f>IF(NFI_Expiration=1,IF($A393&lt;VLOOKUP(O$5,NFI,5,0),1,0)*Table_NFI[[#This Row],[Clothes Kit]],Table_NFI[Clothes Kit])</f>
        <v>0</v>
      </c>
      <c r="AG393" s="294">
        <f>IF(NFI_Expiration=1,IF($A393&lt;VLOOKUP(P$5,NFI,5,0),1,0)*Table_NFI[[#This Row],[Plastic Bucket]],Table_NFI[Plastic Bucket])</f>
        <v>0</v>
      </c>
      <c r="AH393" s="294">
        <f>IF(NFI_Expiration=1,IF($A393&lt;VLOOKUP(Q$5,NFI,5,0),1,0)*Table_NFI[[#This Row],[Plastic Mat]],Table_NFI[Plastic Mat])*IF(Table_NFI[[#This Row],[Distribution Date]]&gt;"2014-04-01",1,2.5)</f>
        <v>0</v>
      </c>
      <c r="AI393" s="294">
        <f>IF(NFI_Expiration=1,IF($A393&lt;VLOOKUP(R$5,NFI,5,0),1,0)*Table_NFI[[#This Row],[Winter Clothes Adult]],Table_NFI[Winter Clothes Adult])</f>
        <v>0</v>
      </c>
      <c r="AJ393" s="294">
        <f>IF(NFI_Expiration=1,IF($A393&lt;VLOOKUP(S$5,NFI,5,0),1,0)*Table_NFI[[#This Row],[Winter Clothes Children]],Table_NFI[Winter Clothes Children])</f>
        <v>0</v>
      </c>
      <c r="AK393" s="294">
        <f>IF(NFI_Expiration=1,IF($A393&lt;VLOOKUP(T$5,NFI,5,0),1,0)*Table_NFI[[#This Row],[Winter Items Other]],Table_NFI[Winter Items Other])</f>
        <v>0</v>
      </c>
      <c r="AL393" s="294">
        <f>IF(NFI_Expiration=1,IF($A393&lt;VLOOKUP(M$5,NFI,5,0),1,0)*Table_NFI[[#This Row],[Winter Blanket]],Table_NFI[[#This Row],[Winter Blanket]])</f>
        <v>0</v>
      </c>
      <c r="AM393" s="294">
        <f>IF(Table_NFI[[#This Row],[Winter Clothes Adult]]+Table_NFI[[#This Row],[Winter Clothes Children]]+Table_NFI[[#This Row],[Winter Items Other]]+Table_NFI[[#This Row],[Winter Blanket]]&gt;0,1,0)</f>
        <v>1</v>
      </c>
      <c r="AN393" s="331">
        <f>IF(NFI_Expiration=1,IF($A393&lt;VLOOKUP(V$5,NFI,5,0),1,0)*Table_NFI[[#This Row],[Jerry Can]],Table_NFI[Jerry Can])</f>
        <v>0</v>
      </c>
      <c r="AO393" s="331">
        <f>IF(NFI_Expiration=1,IF($A393&lt;VLOOKUP(V$5,NFI,5,0),1,0)*Table_NFI[[#This Row],[Shelter Tool kit]],Table_NFI[Shelter Tool kit])</f>
        <v>0</v>
      </c>
      <c r="AP393" s="331">
        <f>IF(NFI_Expiration=1,IF($A393&lt;VLOOKUP(V$5,NFI,5,0),1,0)*Table_NFI[[#This Row],[Tent]],Table_NFI[Tent])</f>
        <v>0</v>
      </c>
      <c r="AQ393" s="467" t="str">
        <f>IFERROR(VLOOKUP(Table_NFI[[#This Row],[Camp Name]],CL,2,0),"")</f>
        <v>MMR001CMP030</v>
      </c>
      <c r="AR393" s="835">
        <f ca="1">IF(Table_NFI[[#This Row],[Pcode]]="","",IF(OFFSET(CampList[Opening Date],MATCH(Table_NFI[[#This Row],[Pcode]],CampList[CP_Pcode],0)-1,0,1,1)&gt;=NFI_Monitor_Date,1,0))</f>
        <v>0</v>
      </c>
      <c r="AS393" s="467" t="str">
        <f>IFERROR(VLOOKUP(Table_NFI[[#This Row],[Camp Name]],CL,3,0),"")</f>
        <v>Open</v>
      </c>
      <c r="AT393" s="294" t="str">
        <f ca="1">IF(Table_NFI[[#This Row],[Pcode]]="","",OFFSET(CampList[Priority],MATCH(Table_NFI[[#This Row],[Pcode]],CampList[CP_Pcode],0)-1,0,1,1))</f>
        <v>P4</v>
      </c>
      <c r="AU393" s="293">
        <f>IFERROR(Table_NFI[[#This Row],[Kitchen Set]]/VLOOKUP(Table_NFI[[#This Row],[Camp Name]],CL,4,0),"")</f>
        <v>0</v>
      </c>
      <c r="AV393" s="461"/>
      <c r="AW393" s="463"/>
    </row>
    <row r="394" spans="1:49" s="464" customFormat="1" ht="14.45" customHeight="1" x14ac:dyDescent="0.25">
      <c r="A394" s="297">
        <f t="shared" si="6"/>
        <v>32.033333333333331</v>
      </c>
      <c r="B394" s="460">
        <v>41775</v>
      </c>
      <c r="C394" s="461" t="s">
        <v>1104</v>
      </c>
      <c r="D394" s="461" t="s">
        <v>900</v>
      </c>
      <c r="E394" s="461" t="s">
        <v>380</v>
      </c>
      <c r="F394" s="461" t="s">
        <v>310</v>
      </c>
      <c r="G394" s="461" t="s">
        <v>330</v>
      </c>
      <c r="H394" s="291"/>
      <c r="I394" s="291"/>
      <c r="J394" s="291"/>
      <c r="K394" s="291"/>
      <c r="L394" s="292"/>
      <c r="M394" s="292"/>
      <c r="N394" s="292"/>
      <c r="O394" s="292"/>
      <c r="P394" s="294"/>
      <c r="Q394" s="294"/>
      <c r="R394" s="294"/>
      <c r="S394" s="294"/>
      <c r="T394" s="294"/>
      <c r="U394" s="294">
        <v>470</v>
      </c>
      <c r="V394" s="431"/>
      <c r="W394" s="294"/>
      <c r="X394" s="294"/>
      <c r="Y394" s="294">
        <f>IF(NFI_Expiration=1,IF($A394&lt;VLOOKUP(H$5,NFI,5,0),1,0)*Table_NFI[[#This Row],[Hygiene Kit]],Table_NFI[Hygiene Kit])</f>
        <v>0</v>
      </c>
      <c r="Z394" s="294">
        <f>IF(NFI_Expiration=1,IF($A394&lt;VLOOKUP(I$5,NFI,5,0),1,0)*Table_NFI[[#This Row],[NFI Core Kit]],Table_NFI[NFI Core Kit])</f>
        <v>0</v>
      </c>
      <c r="AA394" s="294">
        <f>IF(NFI_Expiration=1,IF($A394&lt;VLOOKUP(J$5,NFI,5,0),1,0)*Table_NFI[[#This Row],[Sanitary Kit]],Table_NFI[Sanitary Kit])</f>
        <v>0</v>
      </c>
      <c r="AB394" s="294">
        <f>IF(NFI_Expiration=1,IF($A394&lt;VLOOKUP(K$5,NFI,5,0),1,0)*Table_NFI[[#This Row],[Mosquito net]],Table_NFI[Mosquito net])</f>
        <v>0</v>
      </c>
      <c r="AC394" s="294">
        <f>IF(NFI_Expiration=1,IF($A394&lt;VLOOKUP(L$5,NFI,5,0),1,0)*Table_NFI[[#This Row],[Tarpaulin]],Table_NFI[[#This Row],[Tarpaulin]])</f>
        <v>0</v>
      </c>
      <c r="AD394" s="294">
        <f>IF(NFI_Expiration=1,IF($A394&lt;VLOOKUP(M$5,NFI,5,0),1,0)*Table_NFI[[#This Row],[Blanket]],Table_NFI[[#This Row],[Blanket]])</f>
        <v>0</v>
      </c>
      <c r="AE394" s="294">
        <f>IF(NFI_Expiration=1,IF($A394&lt;VLOOKUP(N$5,NFI,5,0),1,0)*Table_NFI[[#This Row],[Kitchen Set]],Table_NFI[Kitchen Set])</f>
        <v>0</v>
      </c>
      <c r="AF394" s="294">
        <f>IF(NFI_Expiration=1,IF($A394&lt;VLOOKUP(O$5,NFI,5,0),1,0)*Table_NFI[[#This Row],[Clothes Kit]],Table_NFI[Clothes Kit])</f>
        <v>0</v>
      </c>
      <c r="AG394" s="294">
        <f>IF(NFI_Expiration=1,IF($A394&lt;VLOOKUP(P$5,NFI,5,0),1,0)*Table_NFI[[#This Row],[Plastic Bucket]],Table_NFI[Plastic Bucket])</f>
        <v>0</v>
      </c>
      <c r="AH394" s="294">
        <f>IF(NFI_Expiration=1,IF($A394&lt;VLOOKUP(Q$5,NFI,5,0),1,0)*Table_NFI[[#This Row],[Plastic Mat]],Table_NFI[Plastic Mat])*IF(Table_NFI[[#This Row],[Distribution Date]]&gt;"2014-04-01",1,2.5)</f>
        <v>0</v>
      </c>
      <c r="AI394" s="294">
        <f>IF(NFI_Expiration=1,IF($A394&lt;VLOOKUP(R$5,NFI,5,0),1,0)*Table_NFI[[#This Row],[Winter Clothes Adult]],Table_NFI[Winter Clothes Adult])</f>
        <v>0</v>
      </c>
      <c r="AJ394" s="294">
        <f>IF(NFI_Expiration=1,IF($A394&lt;VLOOKUP(S$5,NFI,5,0),1,0)*Table_NFI[[#This Row],[Winter Clothes Children]],Table_NFI[Winter Clothes Children])</f>
        <v>0</v>
      </c>
      <c r="AK394" s="294">
        <f>IF(NFI_Expiration=1,IF($A394&lt;VLOOKUP(T$5,NFI,5,0),1,0)*Table_NFI[[#This Row],[Winter Items Other]],Table_NFI[Winter Items Other])</f>
        <v>0</v>
      </c>
      <c r="AL394" s="294">
        <f>IF(NFI_Expiration=1,IF($A394&lt;VLOOKUP(M$5,NFI,5,0),1,0)*Table_NFI[[#This Row],[Winter Blanket]],Table_NFI[[#This Row],[Winter Blanket]])</f>
        <v>0</v>
      </c>
      <c r="AM394" s="294">
        <f>IF(Table_NFI[[#This Row],[Winter Clothes Adult]]+Table_NFI[[#This Row],[Winter Clothes Children]]+Table_NFI[[#This Row],[Winter Items Other]]+Table_NFI[[#This Row],[Winter Blanket]]&gt;0,1,0)</f>
        <v>1</v>
      </c>
      <c r="AN394" s="331">
        <f>IF(NFI_Expiration=1,IF($A394&lt;VLOOKUP(V$5,NFI,5,0),1,0)*Table_NFI[[#This Row],[Jerry Can]],Table_NFI[Jerry Can])</f>
        <v>0</v>
      </c>
      <c r="AO394" s="331">
        <f>IF(NFI_Expiration=1,IF($A394&lt;VLOOKUP(V$5,NFI,5,0),1,0)*Table_NFI[[#This Row],[Shelter Tool kit]],Table_NFI[Shelter Tool kit])</f>
        <v>0</v>
      </c>
      <c r="AP394" s="331">
        <f>IF(NFI_Expiration=1,IF($A394&lt;VLOOKUP(V$5,NFI,5,0),1,0)*Table_NFI[[#This Row],[Tent]],Table_NFI[Tent])</f>
        <v>0</v>
      </c>
      <c r="AQ394" s="467" t="str">
        <f>IFERROR(VLOOKUP(Table_NFI[[#This Row],[Camp Name]],CL,2,0),"")</f>
        <v>MMR001CMP029</v>
      </c>
      <c r="AR394" s="835">
        <f ca="1">IF(Table_NFI[[#This Row],[Pcode]]="","",IF(OFFSET(CampList[Opening Date],MATCH(Table_NFI[[#This Row],[Pcode]],CampList[CP_Pcode],0)-1,0,1,1)&gt;=NFI_Monitor_Date,1,0))</f>
        <v>0</v>
      </c>
      <c r="AS394" s="467" t="str">
        <f>IFERROR(VLOOKUP(Table_NFI[[#This Row],[Camp Name]],CL,3,0),"")</f>
        <v>Open</v>
      </c>
      <c r="AT394" s="294" t="str">
        <f ca="1">IF(Table_NFI[[#This Row],[Pcode]]="","",OFFSET(CampList[Priority],MATCH(Table_NFI[[#This Row],[Pcode]],CampList[CP_Pcode],0)-1,0,1,1))</f>
        <v>P4</v>
      </c>
      <c r="AU394" s="293">
        <f>IFERROR(Table_NFI[[#This Row],[Kitchen Set]]/VLOOKUP(Table_NFI[[#This Row],[Camp Name]],CL,4,0),"")</f>
        <v>0</v>
      </c>
      <c r="AV394" s="461"/>
      <c r="AW394" s="463"/>
    </row>
    <row r="395" spans="1:49" s="464" customFormat="1" ht="15" customHeight="1" x14ac:dyDescent="0.25">
      <c r="A395" s="297">
        <f t="shared" si="6"/>
        <v>32.033333333333331</v>
      </c>
      <c r="B395" s="460">
        <v>41775</v>
      </c>
      <c r="C395" s="461" t="s">
        <v>452</v>
      </c>
      <c r="D395" s="461" t="s">
        <v>452</v>
      </c>
      <c r="E395" s="461" t="s">
        <v>380</v>
      </c>
      <c r="F395" s="461" t="s">
        <v>5</v>
      </c>
      <c r="G395" s="461" t="s">
        <v>8</v>
      </c>
      <c r="H395" s="291"/>
      <c r="I395" s="291"/>
      <c r="J395" s="291"/>
      <c r="K395" s="291">
        <v>10</v>
      </c>
      <c r="L395" s="292">
        <v>4</v>
      </c>
      <c r="M395" s="292">
        <v>10</v>
      </c>
      <c r="N395" s="292">
        <v>4</v>
      </c>
      <c r="O395" s="292">
        <v>4</v>
      </c>
      <c r="P395" s="294">
        <v>4</v>
      </c>
      <c r="Q395" s="294">
        <v>18</v>
      </c>
      <c r="R395" s="294"/>
      <c r="S395" s="294"/>
      <c r="T395" s="294"/>
      <c r="U395" s="294"/>
      <c r="V395" s="431"/>
      <c r="W395" s="294"/>
      <c r="X395" s="294"/>
      <c r="Y395" s="294">
        <f>IF(NFI_Expiration=1,IF($A395&lt;VLOOKUP(H$5,NFI,5,0),1,0)*Table_NFI[[#This Row],[Hygiene Kit]],Table_NFI[Hygiene Kit])</f>
        <v>0</v>
      </c>
      <c r="Z395" s="294">
        <f>IF(NFI_Expiration=1,IF($A395&lt;VLOOKUP(I$5,NFI,5,0),1,0)*Table_NFI[[#This Row],[NFI Core Kit]],Table_NFI[NFI Core Kit])</f>
        <v>0</v>
      </c>
      <c r="AA395" s="294">
        <f>IF(NFI_Expiration=1,IF($A395&lt;VLOOKUP(J$5,NFI,5,0),1,0)*Table_NFI[[#This Row],[Sanitary Kit]],Table_NFI[Sanitary Kit])</f>
        <v>0</v>
      </c>
      <c r="AB395" s="294">
        <f>IF(NFI_Expiration=1,IF($A395&lt;VLOOKUP(K$5,NFI,5,0),1,0)*Table_NFI[[#This Row],[Mosquito net]],Table_NFI[Mosquito net])</f>
        <v>0</v>
      </c>
      <c r="AC395" s="294">
        <f>IF(NFI_Expiration=1,IF($A395&lt;VLOOKUP(L$5,NFI,5,0),1,0)*Table_NFI[[#This Row],[Tarpaulin]],Table_NFI[[#This Row],[Tarpaulin]])</f>
        <v>0</v>
      </c>
      <c r="AD395" s="294">
        <f>IF(NFI_Expiration=1,IF($A395&lt;VLOOKUP(M$5,NFI,5,0),1,0)*Table_NFI[[#This Row],[Blanket]],Table_NFI[[#This Row],[Blanket]])</f>
        <v>0</v>
      </c>
      <c r="AE395" s="294">
        <f>IF(NFI_Expiration=1,IF($A395&lt;VLOOKUP(N$5,NFI,5,0),1,0)*Table_NFI[[#This Row],[Kitchen Set]],Table_NFI[Kitchen Set])</f>
        <v>0</v>
      </c>
      <c r="AF395" s="294">
        <f>IF(NFI_Expiration=1,IF($A395&lt;VLOOKUP(O$5,NFI,5,0),1,0)*Table_NFI[[#This Row],[Clothes Kit]],Table_NFI[Clothes Kit])</f>
        <v>0</v>
      </c>
      <c r="AG395" s="294">
        <f>IF(NFI_Expiration=1,IF($A395&lt;VLOOKUP(P$5,NFI,5,0),1,0)*Table_NFI[[#This Row],[Plastic Bucket]],Table_NFI[Plastic Bucket])</f>
        <v>0</v>
      </c>
      <c r="AH395" s="294">
        <f>IF(NFI_Expiration=1,IF($A395&lt;VLOOKUP(Q$5,NFI,5,0),1,0)*Table_NFI[[#This Row],[Plastic Mat]],Table_NFI[Plastic Mat])*IF(Table_NFI[[#This Row],[Distribution Date]]&gt;"2014-04-01",1,2.5)</f>
        <v>0</v>
      </c>
      <c r="AI395" s="294">
        <f>IF(NFI_Expiration=1,IF($A395&lt;VLOOKUP(R$5,NFI,5,0),1,0)*Table_NFI[[#This Row],[Winter Clothes Adult]],Table_NFI[Winter Clothes Adult])</f>
        <v>0</v>
      </c>
      <c r="AJ395" s="294">
        <f>IF(NFI_Expiration=1,IF($A395&lt;VLOOKUP(S$5,NFI,5,0),1,0)*Table_NFI[[#This Row],[Winter Clothes Children]],Table_NFI[Winter Clothes Children])</f>
        <v>0</v>
      </c>
      <c r="AK395" s="294">
        <f>IF(NFI_Expiration=1,IF($A395&lt;VLOOKUP(T$5,NFI,5,0),1,0)*Table_NFI[[#This Row],[Winter Items Other]],Table_NFI[Winter Items Other])</f>
        <v>0</v>
      </c>
      <c r="AL395" s="294">
        <f>IF(NFI_Expiration=1,IF($A395&lt;VLOOKUP(M$5,NFI,5,0),1,0)*Table_NFI[[#This Row],[Winter Blanket]],Table_NFI[[#This Row],[Winter Blanket]])</f>
        <v>0</v>
      </c>
      <c r="AM395" s="294">
        <f>IF(Table_NFI[[#This Row],[Winter Clothes Adult]]+Table_NFI[[#This Row],[Winter Clothes Children]]+Table_NFI[[#This Row],[Winter Items Other]]+Table_NFI[[#This Row],[Winter Blanket]]&gt;0,1,0)</f>
        <v>0</v>
      </c>
      <c r="AN395" s="331">
        <f>IF(NFI_Expiration=1,IF($A395&lt;VLOOKUP(V$5,NFI,5,0),1,0)*Table_NFI[[#This Row],[Jerry Can]],Table_NFI[Jerry Can])</f>
        <v>0</v>
      </c>
      <c r="AO395" s="331">
        <f>IF(NFI_Expiration=1,IF($A395&lt;VLOOKUP(V$5,NFI,5,0),1,0)*Table_NFI[[#This Row],[Shelter Tool kit]],Table_NFI[Shelter Tool kit])</f>
        <v>0</v>
      </c>
      <c r="AP395" s="331">
        <f>IF(NFI_Expiration=1,IF($A395&lt;VLOOKUP(V$5,NFI,5,0),1,0)*Table_NFI[[#This Row],[Tent]],Table_NFI[Tent])</f>
        <v>0</v>
      </c>
      <c r="AQ395" s="467" t="str">
        <f>IFERROR(VLOOKUP(Table_NFI[[#This Row],[Camp Name]],CL,2,0),"")</f>
        <v>MMR001CMP051</v>
      </c>
      <c r="AR395" s="835">
        <f ca="1">IF(Table_NFI[[#This Row],[Pcode]]="","",IF(OFFSET(CampList[Opening Date],MATCH(Table_NFI[[#This Row],[Pcode]],CampList[CP_Pcode],0)-1,0,1,1)&gt;=NFI_Monitor_Date,1,0))</f>
        <v>0</v>
      </c>
      <c r="AS395" s="467" t="str">
        <f>IFERROR(VLOOKUP(Table_NFI[[#This Row],[Camp Name]],CL,3,0),"")</f>
        <v>Open</v>
      </c>
      <c r="AT395" s="294" t="str">
        <f ca="1">IF(Table_NFI[[#This Row],[Pcode]]="","",OFFSET(CampList[Priority],MATCH(Table_NFI[[#This Row],[Pcode]],CampList[CP_Pcode],0)-1,0,1,1))</f>
        <v>P4</v>
      </c>
      <c r="AU395" s="293">
        <f>IFERROR(Table_NFI[[#This Row],[Kitchen Set]]/VLOOKUP(Table_NFI[[#This Row],[Camp Name]],CL,4,0),"")</f>
        <v>9.7127455503484453E-5</v>
      </c>
      <c r="AV395" s="461" t="s">
        <v>1092</v>
      </c>
      <c r="AW395" s="463"/>
    </row>
    <row r="396" spans="1:49" s="464" customFormat="1" ht="15" customHeight="1" x14ac:dyDescent="0.25">
      <c r="A396" s="297">
        <f t="shared" si="6"/>
        <v>32.033333333333331</v>
      </c>
      <c r="B396" s="460">
        <v>41775</v>
      </c>
      <c r="C396" s="461" t="s">
        <v>1104</v>
      </c>
      <c r="D396" s="461" t="s">
        <v>900</v>
      </c>
      <c r="E396" s="461" t="s">
        <v>380</v>
      </c>
      <c r="F396" s="461" t="s">
        <v>237</v>
      </c>
      <c r="G396" s="461" t="s">
        <v>271</v>
      </c>
      <c r="H396" s="291"/>
      <c r="I396" s="291"/>
      <c r="J396" s="291"/>
      <c r="K396" s="291"/>
      <c r="L396" s="292"/>
      <c r="M396" s="292"/>
      <c r="N396" s="292"/>
      <c r="O396" s="292"/>
      <c r="P396" s="294"/>
      <c r="Q396" s="294"/>
      <c r="R396" s="294"/>
      <c r="S396" s="294"/>
      <c r="T396" s="294"/>
      <c r="U396" s="294">
        <v>142</v>
      </c>
      <c r="V396" s="431"/>
      <c r="W396" s="294"/>
      <c r="X396" s="294"/>
      <c r="Y396" s="294">
        <f>IF(NFI_Expiration=1,IF($A396&lt;VLOOKUP(H$5,NFI,5,0),1,0)*Table_NFI[[#This Row],[Hygiene Kit]],Table_NFI[Hygiene Kit])</f>
        <v>0</v>
      </c>
      <c r="Z396" s="294">
        <f>IF(NFI_Expiration=1,IF($A396&lt;VLOOKUP(I$5,NFI,5,0),1,0)*Table_NFI[[#This Row],[NFI Core Kit]],Table_NFI[NFI Core Kit])</f>
        <v>0</v>
      </c>
      <c r="AA396" s="294">
        <f>IF(NFI_Expiration=1,IF($A396&lt;VLOOKUP(J$5,NFI,5,0),1,0)*Table_NFI[[#This Row],[Sanitary Kit]],Table_NFI[Sanitary Kit])</f>
        <v>0</v>
      </c>
      <c r="AB396" s="294">
        <f>IF(NFI_Expiration=1,IF($A396&lt;VLOOKUP(K$5,NFI,5,0),1,0)*Table_NFI[[#This Row],[Mosquito net]],Table_NFI[Mosquito net])</f>
        <v>0</v>
      </c>
      <c r="AC396" s="294">
        <f>IF(NFI_Expiration=1,IF($A396&lt;VLOOKUP(L$5,NFI,5,0),1,0)*Table_NFI[[#This Row],[Tarpaulin]],Table_NFI[[#This Row],[Tarpaulin]])</f>
        <v>0</v>
      </c>
      <c r="AD396" s="294">
        <f>IF(NFI_Expiration=1,IF($A396&lt;VLOOKUP(M$5,NFI,5,0),1,0)*Table_NFI[[#This Row],[Blanket]],Table_NFI[[#This Row],[Blanket]])</f>
        <v>0</v>
      </c>
      <c r="AE396" s="294">
        <f>IF(NFI_Expiration=1,IF($A396&lt;VLOOKUP(N$5,NFI,5,0),1,0)*Table_NFI[[#This Row],[Kitchen Set]],Table_NFI[Kitchen Set])</f>
        <v>0</v>
      </c>
      <c r="AF396" s="294">
        <f>IF(NFI_Expiration=1,IF($A396&lt;VLOOKUP(O$5,NFI,5,0),1,0)*Table_NFI[[#This Row],[Clothes Kit]],Table_NFI[Clothes Kit])</f>
        <v>0</v>
      </c>
      <c r="AG396" s="294">
        <f>IF(NFI_Expiration=1,IF($A396&lt;VLOOKUP(P$5,NFI,5,0),1,0)*Table_NFI[[#This Row],[Plastic Bucket]],Table_NFI[Plastic Bucket])</f>
        <v>0</v>
      </c>
      <c r="AH396" s="294">
        <f>IF(NFI_Expiration=1,IF($A396&lt;VLOOKUP(Q$5,NFI,5,0),1,0)*Table_NFI[[#This Row],[Plastic Mat]],Table_NFI[Plastic Mat])*IF(Table_NFI[[#This Row],[Distribution Date]]&gt;"2014-04-01",1,2.5)</f>
        <v>0</v>
      </c>
      <c r="AI396" s="294">
        <f>IF(NFI_Expiration=1,IF($A396&lt;VLOOKUP(R$5,NFI,5,0),1,0)*Table_NFI[[#This Row],[Winter Clothes Adult]],Table_NFI[Winter Clothes Adult])</f>
        <v>0</v>
      </c>
      <c r="AJ396" s="294">
        <f>IF(NFI_Expiration=1,IF($A396&lt;VLOOKUP(S$5,NFI,5,0),1,0)*Table_NFI[[#This Row],[Winter Clothes Children]],Table_NFI[Winter Clothes Children])</f>
        <v>0</v>
      </c>
      <c r="AK396" s="294">
        <f>IF(NFI_Expiration=1,IF($A396&lt;VLOOKUP(T$5,NFI,5,0),1,0)*Table_NFI[[#This Row],[Winter Items Other]],Table_NFI[Winter Items Other])</f>
        <v>0</v>
      </c>
      <c r="AL396" s="294">
        <f>IF(NFI_Expiration=1,IF($A396&lt;VLOOKUP(M$5,NFI,5,0),1,0)*Table_NFI[[#This Row],[Winter Blanket]],Table_NFI[[#This Row],[Winter Blanket]])</f>
        <v>0</v>
      </c>
      <c r="AM396" s="294">
        <f>IF(Table_NFI[[#This Row],[Winter Clothes Adult]]+Table_NFI[[#This Row],[Winter Clothes Children]]+Table_NFI[[#This Row],[Winter Items Other]]+Table_NFI[[#This Row],[Winter Blanket]]&gt;0,1,0)</f>
        <v>1</v>
      </c>
      <c r="AN396" s="331">
        <f>IF(NFI_Expiration=1,IF($A396&lt;VLOOKUP(V$5,NFI,5,0),1,0)*Table_NFI[[#This Row],[Jerry Can]],Table_NFI[Jerry Can])</f>
        <v>0</v>
      </c>
      <c r="AO396" s="331">
        <f>IF(NFI_Expiration=1,IF($A396&lt;VLOOKUP(V$5,NFI,5,0),1,0)*Table_NFI[[#This Row],[Shelter Tool kit]],Table_NFI[Shelter Tool kit])</f>
        <v>0</v>
      </c>
      <c r="AP396" s="331">
        <f>IF(NFI_Expiration=1,IF($A396&lt;VLOOKUP(V$5,NFI,5,0),1,0)*Table_NFI[[#This Row],[Tent]],Table_NFI[Tent])</f>
        <v>0</v>
      </c>
      <c r="AQ396" s="467" t="str">
        <f>IFERROR(VLOOKUP(Table_NFI[[#This Row],[Camp Name]],CL,2,0),"")</f>
        <v>MMR001CMP024</v>
      </c>
      <c r="AR396" s="835">
        <f ca="1">IF(Table_NFI[[#This Row],[Pcode]]="","",IF(OFFSET(CampList[Opening Date],MATCH(Table_NFI[[#This Row],[Pcode]],CampList[CP_Pcode],0)-1,0,1,1)&gt;=NFI_Monitor_Date,1,0))</f>
        <v>0</v>
      </c>
      <c r="AS396" s="467" t="str">
        <f>IFERROR(VLOOKUP(Table_NFI[[#This Row],[Camp Name]],CL,3,0),"")</f>
        <v>Open</v>
      </c>
      <c r="AT396" s="294" t="str">
        <f ca="1">IF(Table_NFI[[#This Row],[Pcode]]="","",OFFSET(CampList[Priority],MATCH(Table_NFI[[#This Row],[Pcode]],CampList[CP_Pcode],0)-1,0,1,1))</f>
        <v>P4</v>
      </c>
      <c r="AU396" s="293">
        <f>IFERROR(Table_NFI[[#This Row],[Kitchen Set]]/VLOOKUP(Table_NFI[[#This Row],[Camp Name]],CL,4,0),"")</f>
        <v>0</v>
      </c>
      <c r="AV396" s="461"/>
      <c r="AW396" s="463"/>
    </row>
    <row r="397" spans="1:49" s="464" customFormat="1" ht="14.45" customHeight="1" x14ac:dyDescent="0.25">
      <c r="A397" s="297">
        <f t="shared" si="6"/>
        <v>32.033333333333331</v>
      </c>
      <c r="B397" s="460">
        <v>41775</v>
      </c>
      <c r="C397" s="461" t="s">
        <v>452</v>
      </c>
      <c r="D397" s="461" t="s">
        <v>452</v>
      </c>
      <c r="E397" s="461" t="s">
        <v>380</v>
      </c>
      <c r="F397" s="461" t="s">
        <v>5</v>
      </c>
      <c r="G397" s="461" t="s">
        <v>24</v>
      </c>
      <c r="H397" s="291"/>
      <c r="I397" s="291"/>
      <c r="J397" s="291"/>
      <c r="K397" s="291">
        <v>24</v>
      </c>
      <c r="L397" s="292">
        <v>13</v>
      </c>
      <c r="M397" s="292">
        <v>24</v>
      </c>
      <c r="N397" s="292">
        <v>13</v>
      </c>
      <c r="O397" s="292">
        <v>13</v>
      </c>
      <c r="P397" s="294">
        <v>13</v>
      </c>
      <c r="Q397" s="294">
        <v>33</v>
      </c>
      <c r="R397" s="294"/>
      <c r="S397" s="294"/>
      <c r="T397" s="294"/>
      <c r="U397" s="294"/>
      <c r="V397" s="431"/>
      <c r="W397" s="294"/>
      <c r="X397" s="294"/>
      <c r="Y397" s="294">
        <f>IF(NFI_Expiration=1,IF($A397&lt;VLOOKUP(H$5,NFI,5,0),1,0)*Table_NFI[[#This Row],[Hygiene Kit]],Table_NFI[Hygiene Kit])</f>
        <v>0</v>
      </c>
      <c r="Z397" s="294">
        <f>IF(NFI_Expiration=1,IF($A397&lt;VLOOKUP(I$5,NFI,5,0),1,0)*Table_NFI[[#This Row],[NFI Core Kit]],Table_NFI[NFI Core Kit])</f>
        <v>0</v>
      </c>
      <c r="AA397" s="294">
        <f>IF(NFI_Expiration=1,IF($A397&lt;VLOOKUP(J$5,NFI,5,0),1,0)*Table_NFI[[#This Row],[Sanitary Kit]],Table_NFI[Sanitary Kit])</f>
        <v>0</v>
      </c>
      <c r="AB397" s="294">
        <f>IF(NFI_Expiration=1,IF($A397&lt;VLOOKUP(K$5,NFI,5,0),1,0)*Table_NFI[[#This Row],[Mosquito net]],Table_NFI[Mosquito net])</f>
        <v>0</v>
      </c>
      <c r="AC397" s="294">
        <f>IF(NFI_Expiration=1,IF($A397&lt;VLOOKUP(L$5,NFI,5,0),1,0)*Table_NFI[[#This Row],[Tarpaulin]],Table_NFI[[#This Row],[Tarpaulin]])</f>
        <v>0</v>
      </c>
      <c r="AD397" s="294">
        <f>IF(NFI_Expiration=1,IF($A397&lt;VLOOKUP(M$5,NFI,5,0),1,0)*Table_NFI[[#This Row],[Blanket]],Table_NFI[[#This Row],[Blanket]])</f>
        <v>0</v>
      </c>
      <c r="AE397" s="294">
        <f>IF(NFI_Expiration=1,IF($A397&lt;VLOOKUP(N$5,NFI,5,0),1,0)*Table_NFI[[#This Row],[Kitchen Set]],Table_NFI[Kitchen Set])</f>
        <v>0</v>
      </c>
      <c r="AF397" s="294">
        <f>IF(NFI_Expiration=1,IF($A397&lt;VLOOKUP(O$5,NFI,5,0),1,0)*Table_NFI[[#This Row],[Clothes Kit]],Table_NFI[Clothes Kit])</f>
        <v>0</v>
      </c>
      <c r="AG397" s="294">
        <f>IF(NFI_Expiration=1,IF($A397&lt;VLOOKUP(P$5,NFI,5,0),1,0)*Table_NFI[[#This Row],[Plastic Bucket]],Table_NFI[Plastic Bucket])</f>
        <v>0</v>
      </c>
      <c r="AH397" s="294">
        <f>IF(NFI_Expiration=1,IF($A397&lt;VLOOKUP(Q$5,NFI,5,0),1,0)*Table_NFI[[#This Row],[Plastic Mat]],Table_NFI[Plastic Mat])*IF(Table_NFI[[#This Row],[Distribution Date]]&gt;"2014-04-01",1,2.5)</f>
        <v>0</v>
      </c>
      <c r="AI397" s="294">
        <f>IF(NFI_Expiration=1,IF($A397&lt;VLOOKUP(R$5,NFI,5,0),1,0)*Table_NFI[[#This Row],[Winter Clothes Adult]],Table_NFI[Winter Clothes Adult])</f>
        <v>0</v>
      </c>
      <c r="AJ397" s="294">
        <f>IF(NFI_Expiration=1,IF($A397&lt;VLOOKUP(S$5,NFI,5,0),1,0)*Table_NFI[[#This Row],[Winter Clothes Children]],Table_NFI[Winter Clothes Children])</f>
        <v>0</v>
      </c>
      <c r="AK397" s="294">
        <f>IF(NFI_Expiration=1,IF($A397&lt;VLOOKUP(T$5,NFI,5,0),1,0)*Table_NFI[[#This Row],[Winter Items Other]],Table_NFI[Winter Items Other])</f>
        <v>0</v>
      </c>
      <c r="AL397" s="294">
        <f>IF(NFI_Expiration=1,IF($A397&lt;VLOOKUP(M$5,NFI,5,0),1,0)*Table_NFI[[#This Row],[Winter Blanket]],Table_NFI[[#This Row],[Winter Blanket]])</f>
        <v>0</v>
      </c>
      <c r="AM397" s="294">
        <f>IF(Table_NFI[[#This Row],[Winter Clothes Adult]]+Table_NFI[[#This Row],[Winter Clothes Children]]+Table_NFI[[#This Row],[Winter Items Other]]+Table_NFI[[#This Row],[Winter Blanket]]&gt;0,1,0)</f>
        <v>0</v>
      </c>
      <c r="AN397" s="331">
        <f>IF(NFI_Expiration=1,IF($A397&lt;VLOOKUP(V$5,NFI,5,0),1,0)*Table_NFI[[#This Row],[Jerry Can]],Table_NFI[Jerry Can])</f>
        <v>0</v>
      </c>
      <c r="AO397" s="331">
        <f>IF(NFI_Expiration=1,IF($A397&lt;VLOOKUP(V$5,NFI,5,0),1,0)*Table_NFI[[#This Row],[Shelter Tool kit]],Table_NFI[Shelter Tool kit])</f>
        <v>0</v>
      </c>
      <c r="AP397" s="331">
        <f>IF(NFI_Expiration=1,IF($A397&lt;VLOOKUP(V$5,NFI,5,0),1,0)*Table_NFI[[#This Row],[Tent]],Table_NFI[Tent])</f>
        <v>0</v>
      </c>
      <c r="AQ397" s="467" t="str">
        <f>IFERROR(VLOOKUP(Table_NFI[[#This Row],[Camp Name]],CL,2,0),"")</f>
        <v>MMR001CMP055</v>
      </c>
      <c r="AR397" s="835">
        <f ca="1">IF(Table_NFI[[#This Row],[Pcode]]="","",IF(OFFSET(CampList[Opening Date],MATCH(Table_NFI[[#This Row],[Pcode]],CampList[CP_Pcode],0)-1,0,1,1)&gt;=NFI_Monitor_Date,1,0))</f>
        <v>0</v>
      </c>
      <c r="AS397" s="467" t="str">
        <f>IFERROR(VLOOKUP(Table_NFI[[#This Row],[Camp Name]],CL,3,0),"")</f>
        <v>Open</v>
      </c>
      <c r="AT397" s="294" t="str">
        <f ca="1">IF(Table_NFI[[#This Row],[Pcode]]="","",OFFSET(CampList[Priority],MATCH(Table_NFI[[#This Row],[Pcode]],CampList[CP_Pcode],0)-1,0,1,1))</f>
        <v>P4</v>
      </c>
      <c r="AU397" s="293">
        <f>IFERROR(Table_NFI[[#This Row],[Kitchen Set]]/VLOOKUP(Table_NFI[[#This Row],[Camp Name]],CL,4,0),"")</f>
        <v>3.1684133560809166E-4</v>
      </c>
      <c r="AV397" s="461" t="s">
        <v>1092</v>
      </c>
      <c r="AW397" s="463"/>
    </row>
    <row r="398" spans="1:49" s="464" customFormat="1" ht="14.45" customHeight="1" x14ac:dyDescent="0.25">
      <c r="A398" s="297">
        <f t="shared" si="6"/>
        <v>32.06666666666667</v>
      </c>
      <c r="B398" s="460">
        <v>41774</v>
      </c>
      <c r="C398" s="461" t="s">
        <v>452</v>
      </c>
      <c r="D398" s="461" t="s">
        <v>452</v>
      </c>
      <c r="E398" s="461" t="s">
        <v>380</v>
      </c>
      <c r="F398" s="461" t="s">
        <v>5</v>
      </c>
      <c r="G398" s="461" t="s">
        <v>6</v>
      </c>
      <c r="H398" s="291"/>
      <c r="I398" s="291"/>
      <c r="J398" s="291"/>
      <c r="K398" s="291">
        <v>10</v>
      </c>
      <c r="L398" s="292">
        <v>4</v>
      </c>
      <c r="M398" s="292">
        <v>12</v>
      </c>
      <c r="N398" s="292">
        <v>4</v>
      </c>
      <c r="O398" s="292">
        <v>4</v>
      </c>
      <c r="P398" s="294">
        <v>4</v>
      </c>
      <c r="Q398" s="294">
        <v>12</v>
      </c>
      <c r="R398" s="294"/>
      <c r="S398" s="294"/>
      <c r="T398" s="294"/>
      <c r="U398" s="294"/>
      <c r="V398" s="431"/>
      <c r="W398" s="294"/>
      <c r="X398" s="294"/>
      <c r="Y398" s="294">
        <f>IF(NFI_Expiration=1,IF($A398&lt;VLOOKUP(H$5,NFI,5,0),1,0)*Table_NFI[[#This Row],[Hygiene Kit]],Table_NFI[Hygiene Kit])</f>
        <v>0</v>
      </c>
      <c r="Z398" s="294">
        <f>IF(NFI_Expiration=1,IF($A398&lt;VLOOKUP(I$5,NFI,5,0),1,0)*Table_NFI[[#This Row],[NFI Core Kit]],Table_NFI[NFI Core Kit])</f>
        <v>0</v>
      </c>
      <c r="AA398" s="294">
        <f>IF(NFI_Expiration=1,IF($A398&lt;VLOOKUP(J$5,NFI,5,0),1,0)*Table_NFI[[#This Row],[Sanitary Kit]],Table_NFI[Sanitary Kit])</f>
        <v>0</v>
      </c>
      <c r="AB398" s="294">
        <f>IF(NFI_Expiration=1,IF($A398&lt;VLOOKUP(K$5,NFI,5,0),1,0)*Table_NFI[[#This Row],[Mosquito net]],Table_NFI[Mosquito net])</f>
        <v>0</v>
      </c>
      <c r="AC398" s="294">
        <f>IF(NFI_Expiration=1,IF($A398&lt;VLOOKUP(L$5,NFI,5,0),1,0)*Table_NFI[[#This Row],[Tarpaulin]],Table_NFI[[#This Row],[Tarpaulin]])</f>
        <v>0</v>
      </c>
      <c r="AD398" s="294">
        <f>IF(NFI_Expiration=1,IF($A398&lt;VLOOKUP(M$5,NFI,5,0),1,0)*Table_NFI[[#This Row],[Blanket]],Table_NFI[[#This Row],[Blanket]])</f>
        <v>0</v>
      </c>
      <c r="AE398" s="294">
        <f>IF(NFI_Expiration=1,IF($A398&lt;VLOOKUP(N$5,NFI,5,0),1,0)*Table_NFI[[#This Row],[Kitchen Set]],Table_NFI[Kitchen Set])</f>
        <v>0</v>
      </c>
      <c r="AF398" s="294">
        <f>IF(NFI_Expiration=1,IF($A398&lt;VLOOKUP(O$5,NFI,5,0),1,0)*Table_NFI[[#This Row],[Clothes Kit]],Table_NFI[Clothes Kit])</f>
        <v>0</v>
      </c>
      <c r="AG398" s="294">
        <f>IF(NFI_Expiration=1,IF($A398&lt;VLOOKUP(P$5,NFI,5,0),1,0)*Table_NFI[[#This Row],[Plastic Bucket]],Table_NFI[Plastic Bucket])</f>
        <v>0</v>
      </c>
      <c r="AH398" s="294">
        <f>IF(NFI_Expiration=1,IF($A398&lt;VLOOKUP(Q$5,NFI,5,0),1,0)*Table_NFI[[#This Row],[Plastic Mat]],Table_NFI[Plastic Mat])*IF(Table_NFI[[#This Row],[Distribution Date]]&gt;"2014-04-01",1,2.5)</f>
        <v>0</v>
      </c>
      <c r="AI398" s="294">
        <f>IF(NFI_Expiration=1,IF($A398&lt;VLOOKUP(R$5,NFI,5,0),1,0)*Table_NFI[[#This Row],[Winter Clothes Adult]],Table_NFI[Winter Clothes Adult])</f>
        <v>0</v>
      </c>
      <c r="AJ398" s="294">
        <f>IF(NFI_Expiration=1,IF($A398&lt;VLOOKUP(S$5,NFI,5,0),1,0)*Table_NFI[[#This Row],[Winter Clothes Children]],Table_NFI[Winter Clothes Children])</f>
        <v>0</v>
      </c>
      <c r="AK398" s="294">
        <f>IF(NFI_Expiration=1,IF($A398&lt;VLOOKUP(T$5,NFI,5,0),1,0)*Table_NFI[[#This Row],[Winter Items Other]],Table_NFI[Winter Items Other])</f>
        <v>0</v>
      </c>
      <c r="AL398" s="294">
        <f>IF(NFI_Expiration=1,IF($A398&lt;VLOOKUP(M$5,NFI,5,0),1,0)*Table_NFI[[#This Row],[Winter Blanket]],Table_NFI[[#This Row],[Winter Blanket]])</f>
        <v>0</v>
      </c>
      <c r="AM398" s="294">
        <f>IF(Table_NFI[[#This Row],[Winter Clothes Adult]]+Table_NFI[[#This Row],[Winter Clothes Children]]+Table_NFI[[#This Row],[Winter Items Other]]+Table_NFI[[#This Row],[Winter Blanket]]&gt;0,1,0)</f>
        <v>0</v>
      </c>
      <c r="AN398" s="331">
        <f>IF(NFI_Expiration=1,IF($A398&lt;VLOOKUP(V$5,NFI,5,0),1,0)*Table_NFI[[#This Row],[Jerry Can]],Table_NFI[Jerry Can])</f>
        <v>0</v>
      </c>
      <c r="AO398" s="331">
        <f>IF(NFI_Expiration=1,IF($A398&lt;VLOOKUP(V$5,NFI,5,0),1,0)*Table_NFI[[#This Row],[Shelter Tool kit]],Table_NFI[Shelter Tool kit])</f>
        <v>0</v>
      </c>
      <c r="AP398" s="331">
        <f>IF(NFI_Expiration=1,IF($A398&lt;VLOOKUP(V$5,NFI,5,0),1,0)*Table_NFI[[#This Row],[Tent]],Table_NFI[Tent])</f>
        <v>0</v>
      </c>
      <c r="AQ398" s="467" t="str">
        <f>IFERROR(VLOOKUP(Table_NFI[[#This Row],[Camp Name]],CL,2,0),"")</f>
        <v>MMR001CMP050</v>
      </c>
      <c r="AR398" s="835">
        <f ca="1">IF(Table_NFI[[#This Row],[Pcode]]="","",IF(OFFSET(CampList[Opening Date],MATCH(Table_NFI[[#This Row],[Pcode]],CampList[CP_Pcode],0)-1,0,1,1)&gt;=NFI_Monitor_Date,1,0))</f>
        <v>0</v>
      </c>
      <c r="AS398" s="467" t="str">
        <f>IFERROR(VLOOKUP(Table_NFI[[#This Row],[Camp Name]],CL,3,0),"")</f>
        <v>Open</v>
      </c>
      <c r="AT398" s="294" t="str">
        <f ca="1">IF(Table_NFI[[#This Row],[Pcode]]="","",OFFSET(CampList[Priority],MATCH(Table_NFI[[#This Row],[Pcode]],CampList[CP_Pcode],0)-1,0,1,1))</f>
        <v>P4</v>
      </c>
      <c r="AU398" s="293">
        <f>IFERROR(Table_NFI[[#This Row],[Kitchen Set]]/VLOOKUP(Table_NFI[[#This Row],[Camp Name]],CL,4,0),"")</f>
        <v>9.7924010967489225E-5</v>
      </c>
      <c r="AV398" s="461" t="s">
        <v>1092</v>
      </c>
      <c r="AW398" s="463"/>
    </row>
    <row r="399" spans="1:49" s="464" customFormat="1" ht="14.45" customHeight="1" x14ac:dyDescent="0.25">
      <c r="A399" s="297">
        <f t="shared" si="6"/>
        <v>32.06666666666667</v>
      </c>
      <c r="B399" s="460">
        <v>41774</v>
      </c>
      <c r="C399" s="461" t="s">
        <v>452</v>
      </c>
      <c r="D399" s="461" t="s">
        <v>452</v>
      </c>
      <c r="E399" s="461" t="s">
        <v>380</v>
      </c>
      <c r="F399" s="461" t="s">
        <v>151</v>
      </c>
      <c r="G399" s="461" t="s">
        <v>885</v>
      </c>
      <c r="H399" s="291"/>
      <c r="I399" s="291"/>
      <c r="J399" s="291">
        <v>10</v>
      </c>
      <c r="K399" s="291">
        <v>10</v>
      </c>
      <c r="L399" s="292">
        <v>5</v>
      </c>
      <c r="M399" s="292">
        <v>15</v>
      </c>
      <c r="N399" s="292">
        <v>5</v>
      </c>
      <c r="O399" s="292">
        <v>5</v>
      </c>
      <c r="P399" s="294">
        <v>5</v>
      </c>
      <c r="Q399" s="294">
        <v>20</v>
      </c>
      <c r="R399" s="294"/>
      <c r="S399" s="294"/>
      <c r="T399" s="294"/>
      <c r="U399" s="294"/>
      <c r="V399" s="431"/>
      <c r="W399" s="294"/>
      <c r="X399" s="294"/>
      <c r="Y399" s="294">
        <f>IF(NFI_Expiration=1,IF($A399&lt;VLOOKUP(H$5,NFI,5,0),1,0)*Table_NFI[[#This Row],[Hygiene Kit]],Table_NFI[Hygiene Kit])</f>
        <v>0</v>
      </c>
      <c r="Z399" s="294">
        <f>IF(NFI_Expiration=1,IF($A399&lt;VLOOKUP(I$5,NFI,5,0),1,0)*Table_NFI[[#This Row],[NFI Core Kit]],Table_NFI[NFI Core Kit])</f>
        <v>0</v>
      </c>
      <c r="AA399" s="294">
        <f>IF(NFI_Expiration=1,IF($A399&lt;VLOOKUP(J$5,NFI,5,0),1,0)*Table_NFI[[#This Row],[Sanitary Kit]],Table_NFI[Sanitary Kit])</f>
        <v>0</v>
      </c>
      <c r="AB399" s="294">
        <f>IF(NFI_Expiration=1,IF($A399&lt;VLOOKUP(K$5,NFI,5,0),1,0)*Table_NFI[[#This Row],[Mosquito net]],Table_NFI[Mosquito net])</f>
        <v>0</v>
      </c>
      <c r="AC399" s="294">
        <f>IF(NFI_Expiration=1,IF($A399&lt;VLOOKUP(L$5,NFI,5,0),1,0)*Table_NFI[[#This Row],[Tarpaulin]],Table_NFI[[#This Row],[Tarpaulin]])</f>
        <v>0</v>
      </c>
      <c r="AD399" s="294">
        <f>IF(NFI_Expiration=1,IF($A399&lt;VLOOKUP(M$5,NFI,5,0),1,0)*Table_NFI[[#This Row],[Blanket]],Table_NFI[[#This Row],[Blanket]])</f>
        <v>0</v>
      </c>
      <c r="AE399" s="294">
        <f>IF(NFI_Expiration=1,IF($A399&lt;VLOOKUP(N$5,NFI,5,0),1,0)*Table_NFI[[#This Row],[Kitchen Set]],Table_NFI[Kitchen Set])</f>
        <v>0</v>
      </c>
      <c r="AF399" s="294">
        <f>IF(NFI_Expiration=1,IF($A399&lt;VLOOKUP(O$5,NFI,5,0),1,0)*Table_NFI[[#This Row],[Clothes Kit]],Table_NFI[Clothes Kit])</f>
        <v>0</v>
      </c>
      <c r="AG399" s="294">
        <f>IF(NFI_Expiration=1,IF($A399&lt;VLOOKUP(P$5,NFI,5,0),1,0)*Table_NFI[[#This Row],[Plastic Bucket]],Table_NFI[Plastic Bucket])</f>
        <v>0</v>
      </c>
      <c r="AH399" s="294">
        <f>IF(NFI_Expiration=1,IF($A399&lt;VLOOKUP(Q$5,NFI,5,0),1,0)*Table_NFI[[#This Row],[Plastic Mat]],Table_NFI[Plastic Mat])*IF(Table_NFI[[#This Row],[Distribution Date]]&gt;"2014-04-01",1,2.5)</f>
        <v>0</v>
      </c>
      <c r="AI399" s="294">
        <f>IF(NFI_Expiration=1,IF($A399&lt;VLOOKUP(R$5,NFI,5,0),1,0)*Table_NFI[[#This Row],[Winter Clothes Adult]],Table_NFI[Winter Clothes Adult])</f>
        <v>0</v>
      </c>
      <c r="AJ399" s="294">
        <f>IF(NFI_Expiration=1,IF($A399&lt;VLOOKUP(S$5,NFI,5,0),1,0)*Table_NFI[[#This Row],[Winter Clothes Children]],Table_NFI[Winter Clothes Children])</f>
        <v>0</v>
      </c>
      <c r="AK399" s="294">
        <f>IF(NFI_Expiration=1,IF($A399&lt;VLOOKUP(T$5,NFI,5,0),1,0)*Table_NFI[[#This Row],[Winter Items Other]],Table_NFI[Winter Items Other])</f>
        <v>0</v>
      </c>
      <c r="AL399" s="294">
        <f>IF(NFI_Expiration=1,IF($A399&lt;VLOOKUP(M$5,NFI,5,0),1,0)*Table_NFI[[#This Row],[Winter Blanket]],Table_NFI[[#This Row],[Winter Blanket]])</f>
        <v>0</v>
      </c>
      <c r="AM399" s="294">
        <f>IF(Table_NFI[[#This Row],[Winter Clothes Adult]]+Table_NFI[[#This Row],[Winter Clothes Children]]+Table_NFI[[#This Row],[Winter Items Other]]+Table_NFI[[#This Row],[Winter Blanket]]&gt;0,1,0)</f>
        <v>0</v>
      </c>
      <c r="AN399" s="331">
        <f>IF(NFI_Expiration=1,IF($A399&lt;VLOOKUP(V$5,NFI,5,0),1,0)*Table_NFI[[#This Row],[Jerry Can]],Table_NFI[Jerry Can])</f>
        <v>0</v>
      </c>
      <c r="AO399" s="331">
        <f>IF(NFI_Expiration=1,IF($A399&lt;VLOOKUP(V$5,NFI,5,0),1,0)*Table_NFI[[#This Row],[Shelter Tool kit]],Table_NFI[Shelter Tool kit])</f>
        <v>0</v>
      </c>
      <c r="AP399" s="331">
        <f>IF(NFI_Expiration=1,IF($A399&lt;VLOOKUP(V$5,NFI,5,0),1,0)*Table_NFI[[#This Row],[Tent]],Table_NFI[Tent])</f>
        <v>0</v>
      </c>
      <c r="AQ399" s="467" t="str">
        <f>IFERROR(VLOOKUP(Table_NFI[[#This Row],[Camp Name]],CL,2,0),"")</f>
        <v>MMR001CMP218</v>
      </c>
      <c r="AR399" s="835">
        <f ca="1">IF(Table_NFI[[#This Row],[Pcode]]="","",IF(OFFSET(CampList[Opening Date],MATCH(Table_NFI[[#This Row],[Pcode]],CampList[CP_Pcode],0)-1,0,1,1)&gt;=NFI_Monitor_Date,1,0))</f>
        <v>0</v>
      </c>
      <c r="AS399" s="467" t="str">
        <f>IFERROR(VLOOKUP(Table_NFI[[#This Row],[Camp Name]],CL,3,0),"")</f>
        <v>Open</v>
      </c>
      <c r="AT399" s="294" t="str">
        <f ca="1">IF(Table_NFI[[#This Row],[Pcode]]="","",OFFSET(CampList[Priority],MATCH(Table_NFI[[#This Row],[Pcode]],CampList[CP_Pcode],0)-1,0,1,1))</f>
        <v>P4</v>
      </c>
      <c r="AU399" s="293">
        <f>IFERROR(Table_NFI[[#This Row],[Kitchen Set]]/VLOOKUP(Table_NFI[[#This Row],[Camp Name]],CL,4,0),"")</f>
        <v>1.2034273611244825E-4</v>
      </c>
      <c r="AV399" s="461" t="s">
        <v>1092</v>
      </c>
      <c r="AW399" s="463"/>
    </row>
    <row r="400" spans="1:49" s="464" customFormat="1" ht="14.45" customHeight="1" x14ac:dyDescent="0.25">
      <c r="A400" s="297">
        <f t="shared" si="6"/>
        <v>32.1</v>
      </c>
      <c r="B400" s="460">
        <v>41773</v>
      </c>
      <c r="C400" s="461" t="s">
        <v>452</v>
      </c>
      <c r="D400" s="461" t="s">
        <v>452</v>
      </c>
      <c r="E400" s="461" t="s">
        <v>380</v>
      </c>
      <c r="F400" s="461" t="s">
        <v>5</v>
      </c>
      <c r="G400" s="461" t="s">
        <v>6</v>
      </c>
      <c r="H400" s="291"/>
      <c r="I400" s="291"/>
      <c r="J400" s="291">
        <v>11</v>
      </c>
      <c r="K400" s="291">
        <v>12</v>
      </c>
      <c r="L400" s="292">
        <v>4</v>
      </c>
      <c r="M400" s="292">
        <v>12</v>
      </c>
      <c r="N400" s="292">
        <v>4</v>
      </c>
      <c r="O400" s="292">
        <v>4</v>
      </c>
      <c r="P400" s="294">
        <v>4</v>
      </c>
      <c r="Q400" s="294">
        <v>15</v>
      </c>
      <c r="R400" s="294"/>
      <c r="S400" s="294"/>
      <c r="T400" s="294"/>
      <c r="U400" s="294"/>
      <c r="V400" s="431"/>
      <c r="W400" s="294"/>
      <c r="X400" s="294"/>
      <c r="Y400" s="294">
        <f>IF(NFI_Expiration=1,IF($A400&lt;VLOOKUP(H$5,NFI,5,0),1,0)*Table_NFI[[#This Row],[Hygiene Kit]],Table_NFI[Hygiene Kit])</f>
        <v>0</v>
      </c>
      <c r="Z400" s="294">
        <f>IF(NFI_Expiration=1,IF($A400&lt;VLOOKUP(I$5,NFI,5,0),1,0)*Table_NFI[[#This Row],[NFI Core Kit]],Table_NFI[NFI Core Kit])</f>
        <v>0</v>
      </c>
      <c r="AA400" s="294">
        <f>IF(NFI_Expiration=1,IF($A400&lt;VLOOKUP(J$5,NFI,5,0),1,0)*Table_NFI[[#This Row],[Sanitary Kit]],Table_NFI[Sanitary Kit])</f>
        <v>0</v>
      </c>
      <c r="AB400" s="294">
        <f>IF(NFI_Expiration=1,IF($A400&lt;VLOOKUP(K$5,NFI,5,0),1,0)*Table_NFI[[#This Row],[Mosquito net]],Table_NFI[Mosquito net])</f>
        <v>0</v>
      </c>
      <c r="AC400" s="294">
        <f>IF(NFI_Expiration=1,IF($A400&lt;VLOOKUP(L$5,NFI,5,0),1,0)*Table_NFI[[#This Row],[Tarpaulin]],Table_NFI[[#This Row],[Tarpaulin]])</f>
        <v>0</v>
      </c>
      <c r="AD400" s="294">
        <f>IF(NFI_Expiration=1,IF($A400&lt;VLOOKUP(M$5,NFI,5,0),1,0)*Table_NFI[[#This Row],[Blanket]],Table_NFI[[#This Row],[Blanket]])</f>
        <v>0</v>
      </c>
      <c r="AE400" s="294">
        <f>IF(NFI_Expiration=1,IF($A400&lt;VLOOKUP(N$5,NFI,5,0),1,0)*Table_NFI[[#This Row],[Kitchen Set]],Table_NFI[Kitchen Set])</f>
        <v>0</v>
      </c>
      <c r="AF400" s="294">
        <f>IF(NFI_Expiration=1,IF($A400&lt;VLOOKUP(O$5,NFI,5,0),1,0)*Table_NFI[[#This Row],[Clothes Kit]],Table_NFI[Clothes Kit])</f>
        <v>0</v>
      </c>
      <c r="AG400" s="294">
        <f>IF(NFI_Expiration=1,IF($A400&lt;VLOOKUP(P$5,NFI,5,0),1,0)*Table_NFI[[#This Row],[Plastic Bucket]],Table_NFI[Plastic Bucket])</f>
        <v>0</v>
      </c>
      <c r="AH400" s="294">
        <f>IF(NFI_Expiration=1,IF($A400&lt;VLOOKUP(Q$5,NFI,5,0),1,0)*Table_NFI[[#This Row],[Plastic Mat]],Table_NFI[Plastic Mat])*IF(Table_NFI[[#This Row],[Distribution Date]]&gt;"2014-04-01",1,2.5)</f>
        <v>0</v>
      </c>
      <c r="AI400" s="294">
        <f>IF(NFI_Expiration=1,IF($A400&lt;VLOOKUP(R$5,NFI,5,0),1,0)*Table_NFI[[#This Row],[Winter Clothes Adult]],Table_NFI[Winter Clothes Adult])</f>
        <v>0</v>
      </c>
      <c r="AJ400" s="294">
        <f>IF(NFI_Expiration=1,IF($A400&lt;VLOOKUP(S$5,NFI,5,0),1,0)*Table_NFI[[#This Row],[Winter Clothes Children]],Table_NFI[Winter Clothes Children])</f>
        <v>0</v>
      </c>
      <c r="AK400" s="294">
        <f>IF(NFI_Expiration=1,IF($A400&lt;VLOOKUP(T$5,NFI,5,0),1,0)*Table_NFI[[#This Row],[Winter Items Other]],Table_NFI[Winter Items Other])</f>
        <v>0</v>
      </c>
      <c r="AL400" s="294">
        <f>IF(NFI_Expiration=1,IF($A400&lt;VLOOKUP(M$5,NFI,5,0),1,0)*Table_NFI[[#This Row],[Winter Blanket]],Table_NFI[[#This Row],[Winter Blanket]])</f>
        <v>0</v>
      </c>
      <c r="AM400" s="294">
        <f>IF(Table_NFI[[#This Row],[Winter Clothes Adult]]+Table_NFI[[#This Row],[Winter Clothes Children]]+Table_NFI[[#This Row],[Winter Items Other]]+Table_NFI[[#This Row],[Winter Blanket]]&gt;0,1,0)</f>
        <v>0</v>
      </c>
      <c r="AN400" s="331">
        <f>IF(NFI_Expiration=1,IF($A400&lt;VLOOKUP(V$5,NFI,5,0),1,0)*Table_NFI[[#This Row],[Jerry Can]],Table_NFI[Jerry Can])</f>
        <v>0</v>
      </c>
      <c r="AO400" s="331">
        <f>IF(NFI_Expiration=1,IF($A400&lt;VLOOKUP(V$5,NFI,5,0),1,0)*Table_NFI[[#This Row],[Shelter Tool kit]],Table_NFI[Shelter Tool kit])</f>
        <v>0</v>
      </c>
      <c r="AP400" s="331">
        <f>IF(NFI_Expiration=1,IF($A400&lt;VLOOKUP(V$5,NFI,5,0),1,0)*Table_NFI[[#This Row],[Tent]],Table_NFI[Tent])</f>
        <v>0</v>
      </c>
      <c r="AQ400" s="467" t="str">
        <f>IFERROR(VLOOKUP(Table_NFI[[#This Row],[Camp Name]],CL,2,0),"")</f>
        <v>MMR001CMP050</v>
      </c>
      <c r="AR400" s="835">
        <f ca="1">IF(Table_NFI[[#This Row],[Pcode]]="","",IF(OFFSET(CampList[Opening Date],MATCH(Table_NFI[[#This Row],[Pcode]],CampList[CP_Pcode],0)-1,0,1,1)&gt;=NFI_Monitor_Date,1,0))</f>
        <v>0</v>
      </c>
      <c r="AS400" s="467" t="str">
        <f>IFERROR(VLOOKUP(Table_NFI[[#This Row],[Camp Name]],CL,3,0),"")</f>
        <v>Open</v>
      </c>
      <c r="AT400" s="294" t="str">
        <f ca="1">IF(Table_NFI[[#This Row],[Pcode]]="","",OFFSET(CampList[Priority],MATCH(Table_NFI[[#This Row],[Pcode]],CampList[CP_Pcode],0)-1,0,1,1))</f>
        <v>P4</v>
      </c>
      <c r="AU400" s="293">
        <f>IFERROR(Table_NFI[[#This Row],[Kitchen Set]]/VLOOKUP(Table_NFI[[#This Row],[Camp Name]],CL,4,0),"")</f>
        <v>9.7924010967489225E-5</v>
      </c>
      <c r="AV400" s="461" t="s">
        <v>1092</v>
      </c>
      <c r="AW400" s="463"/>
    </row>
    <row r="401" spans="1:49" s="464" customFormat="1" ht="14.45" customHeight="1" x14ac:dyDescent="0.25">
      <c r="A401" s="297">
        <f t="shared" si="6"/>
        <v>32.1</v>
      </c>
      <c r="B401" s="460">
        <v>41773</v>
      </c>
      <c r="C401" s="461" t="s">
        <v>452</v>
      </c>
      <c r="D401" s="461" t="s">
        <v>452</v>
      </c>
      <c r="E401" s="461" t="s">
        <v>380</v>
      </c>
      <c r="F401" s="461" t="s">
        <v>185</v>
      </c>
      <c r="G401" s="461" t="s">
        <v>209</v>
      </c>
      <c r="H401" s="291"/>
      <c r="I401" s="291"/>
      <c r="J401" s="291">
        <v>5</v>
      </c>
      <c r="K401" s="291">
        <v>6</v>
      </c>
      <c r="L401" s="292">
        <v>32</v>
      </c>
      <c r="M401" s="292">
        <v>6</v>
      </c>
      <c r="N401" s="292">
        <v>2</v>
      </c>
      <c r="O401" s="292">
        <v>2</v>
      </c>
      <c r="P401" s="294">
        <v>2</v>
      </c>
      <c r="Q401" s="294">
        <v>10</v>
      </c>
      <c r="R401" s="294"/>
      <c r="S401" s="294"/>
      <c r="T401" s="294"/>
      <c r="U401" s="294"/>
      <c r="V401" s="431"/>
      <c r="W401" s="294"/>
      <c r="X401" s="294"/>
      <c r="Y401" s="294">
        <f>IF(NFI_Expiration=1,IF($A401&lt;VLOOKUP(H$5,NFI,5,0),1,0)*Table_NFI[[#This Row],[Hygiene Kit]],Table_NFI[Hygiene Kit])</f>
        <v>0</v>
      </c>
      <c r="Z401" s="294">
        <f>IF(NFI_Expiration=1,IF($A401&lt;VLOOKUP(I$5,NFI,5,0),1,0)*Table_NFI[[#This Row],[NFI Core Kit]],Table_NFI[NFI Core Kit])</f>
        <v>0</v>
      </c>
      <c r="AA401" s="294">
        <f>IF(NFI_Expiration=1,IF($A401&lt;VLOOKUP(J$5,NFI,5,0),1,0)*Table_NFI[[#This Row],[Sanitary Kit]],Table_NFI[Sanitary Kit])</f>
        <v>0</v>
      </c>
      <c r="AB401" s="294">
        <f>IF(NFI_Expiration=1,IF($A401&lt;VLOOKUP(K$5,NFI,5,0),1,0)*Table_NFI[[#This Row],[Mosquito net]],Table_NFI[Mosquito net])</f>
        <v>0</v>
      </c>
      <c r="AC401" s="294">
        <f>IF(NFI_Expiration=1,IF($A401&lt;VLOOKUP(L$5,NFI,5,0),1,0)*Table_NFI[[#This Row],[Tarpaulin]],Table_NFI[[#This Row],[Tarpaulin]])</f>
        <v>0</v>
      </c>
      <c r="AD401" s="294">
        <f>IF(NFI_Expiration=1,IF($A401&lt;VLOOKUP(M$5,NFI,5,0),1,0)*Table_NFI[[#This Row],[Blanket]],Table_NFI[[#This Row],[Blanket]])</f>
        <v>0</v>
      </c>
      <c r="AE401" s="294">
        <f>IF(NFI_Expiration=1,IF($A401&lt;VLOOKUP(N$5,NFI,5,0),1,0)*Table_NFI[[#This Row],[Kitchen Set]],Table_NFI[Kitchen Set])</f>
        <v>0</v>
      </c>
      <c r="AF401" s="294">
        <f>IF(NFI_Expiration=1,IF($A401&lt;VLOOKUP(O$5,NFI,5,0),1,0)*Table_NFI[[#This Row],[Clothes Kit]],Table_NFI[Clothes Kit])</f>
        <v>0</v>
      </c>
      <c r="AG401" s="294">
        <f>IF(NFI_Expiration=1,IF($A401&lt;VLOOKUP(P$5,NFI,5,0),1,0)*Table_NFI[[#This Row],[Plastic Bucket]],Table_NFI[Plastic Bucket])</f>
        <v>0</v>
      </c>
      <c r="AH401" s="294">
        <f>IF(NFI_Expiration=1,IF($A401&lt;VLOOKUP(Q$5,NFI,5,0),1,0)*Table_NFI[[#This Row],[Plastic Mat]],Table_NFI[Plastic Mat])*IF(Table_NFI[[#This Row],[Distribution Date]]&gt;"2014-04-01",1,2.5)</f>
        <v>0</v>
      </c>
      <c r="AI401" s="294">
        <f>IF(NFI_Expiration=1,IF($A401&lt;VLOOKUP(R$5,NFI,5,0),1,0)*Table_NFI[[#This Row],[Winter Clothes Adult]],Table_NFI[Winter Clothes Adult])</f>
        <v>0</v>
      </c>
      <c r="AJ401" s="294">
        <f>IF(NFI_Expiration=1,IF($A401&lt;VLOOKUP(S$5,NFI,5,0),1,0)*Table_NFI[[#This Row],[Winter Clothes Children]],Table_NFI[Winter Clothes Children])</f>
        <v>0</v>
      </c>
      <c r="AK401" s="294">
        <f>IF(NFI_Expiration=1,IF($A401&lt;VLOOKUP(T$5,NFI,5,0),1,0)*Table_NFI[[#This Row],[Winter Items Other]],Table_NFI[Winter Items Other])</f>
        <v>0</v>
      </c>
      <c r="AL401" s="294">
        <f>IF(NFI_Expiration=1,IF($A401&lt;VLOOKUP(M$5,NFI,5,0),1,0)*Table_NFI[[#This Row],[Winter Blanket]],Table_NFI[[#This Row],[Winter Blanket]])</f>
        <v>0</v>
      </c>
      <c r="AM401" s="294">
        <f>IF(Table_NFI[[#This Row],[Winter Clothes Adult]]+Table_NFI[[#This Row],[Winter Clothes Children]]+Table_NFI[[#This Row],[Winter Items Other]]+Table_NFI[[#This Row],[Winter Blanket]]&gt;0,1,0)</f>
        <v>0</v>
      </c>
      <c r="AN401" s="331">
        <f>IF(NFI_Expiration=1,IF($A401&lt;VLOOKUP(V$5,NFI,5,0),1,0)*Table_NFI[[#This Row],[Jerry Can]],Table_NFI[Jerry Can])</f>
        <v>0</v>
      </c>
      <c r="AO401" s="331">
        <f>IF(NFI_Expiration=1,IF($A401&lt;VLOOKUP(V$5,NFI,5,0),1,0)*Table_NFI[[#This Row],[Shelter Tool kit]],Table_NFI[Shelter Tool kit])</f>
        <v>0</v>
      </c>
      <c r="AP401" s="331">
        <f>IF(NFI_Expiration=1,IF($A401&lt;VLOOKUP(V$5,NFI,5,0),1,0)*Table_NFI[[#This Row],[Tent]],Table_NFI[Tent])</f>
        <v>0</v>
      </c>
      <c r="AQ401" s="467" t="str">
        <f>IFERROR(VLOOKUP(Table_NFI[[#This Row],[Camp Name]],CL,2,0),"")</f>
        <v>MMR001CMP056</v>
      </c>
      <c r="AR401" s="835">
        <f ca="1">IF(Table_NFI[[#This Row],[Pcode]]="","",IF(OFFSET(CampList[Opening Date],MATCH(Table_NFI[[#This Row],[Pcode]],CampList[CP_Pcode],0)-1,0,1,1)&gt;=NFI_Monitor_Date,1,0))</f>
        <v>0</v>
      </c>
      <c r="AS401" s="467" t="str">
        <f>IFERROR(VLOOKUP(Table_NFI[[#This Row],[Camp Name]],CL,3,0),"")</f>
        <v>Open</v>
      </c>
      <c r="AT401" s="294" t="str">
        <f ca="1">IF(Table_NFI[[#This Row],[Pcode]]="","",OFFSET(CampList[Priority],MATCH(Table_NFI[[#This Row],[Pcode]],CampList[CP_Pcode],0)-1,0,1,1))</f>
        <v>P4</v>
      </c>
      <c r="AU401" s="293">
        <f>IFERROR(Table_NFI[[#This Row],[Kitchen Set]]/VLOOKUP(Table_NFI[[#This Row],[Camp Name]],CL,4,0),"")</f>
        <v>4.9146086742843099E-5</v>
      </c>
      <c r="AV401" s="461" t="s">
        <v>1092</v>
      </c>
      <c r="AW401" s="463"/>
    </row>
    <row r="402" spans="1:49" s="464" customFormat="1" x14ac:dyDescent="0.25">
      <c r="A402" s="297">
        <f t="shared" si="6"/>
        <v>32.1</v>
      </c>
      <c r="B402" s="460">
        <v>41773</v>
      </c>
      <c r="C402" s="461" t="s">
        <v>452</v>
      </c>
      <c r="D402" s="461" t="s">
        <v>452</v>
      </c>
      <c r="E402" s="461" t="s">
        <v>380</v>
      </c>
      <c r="F402" s="461" t="s">
        <v>5</v>
      </c>
      <c r="G402" s="461" t="s">
        <v>24</v>
      </c>
      <c r="H402" s="291"/>
      <c r="I402" s="291"/>
      <c r="J402" s="291">
        <v>17</v>
      </c>
      <c r="K402" s="291">
        <v>108</v>
      </c>
      <c r="L402" s="292">
        <v>36</v>
      </c>
      <c r="M402" s="292">
        <v>108</v>
      </c>
      <c r="N402" s="292">
        <v>36</v>
      </c>
      <c r="O402" s="292">
        <v>36</v>
      </c>
      <c r="P402" s="294">
        <v>36</v>
      </c>
      <c r="Q402" s="294">
        <v>142</v>
      </c>
      <c r="R402" s="294"/>
      <c r="S402" s="294"/>
      <c r="T402" s="294"/>
      <c r="U402" s="294"/>
      <c r="V402" s="431"/>
      <c r="W402" s="294"/>
      <c r="X402" s="294"/>
      <c r="Y402" s="294">
        <f>IF(NFI_Expiration=1,IF($A402&lt;VLOOKUP(H$5,NFI,5,0),1,0)*Table_NFI[[#This Row],[Hygiene Kit]],Table_NFI[Hygiene Kit])</f>
        <v>0</v>
      </c>
      <c r="Z402" s="294">
        <f>IF(NFI_Expiration=1,IF($A402&lt;VLOOKUP(I$5,NFI,5,0),1,0)*Table_NFI[[#This Row],[NFI Core Kit]],Table_NFI[NFI Core Kit])</f>
        <v>0</v>
      </c>
      <c r="AA402" s="294">
        <f>IF(NFI_Expiration=1,IF($A402&lt;VLOOKUP(J$5,NFI,5,0),1,0)*Table_NFI[[#This Row],[Sanitary Kit]],Table_NFI[Sanitary Kit])</f>
        <v>0</v>
      </c>
      <c r="AB402" s="294">
        <f>IF(NFI_Expiration=1,IF($A402&lt;VLOOKUP(K$5,NFI,5,0),1,0)*Table_NFI[[#This Row],[Mosquito net]],Table_NFI[Mosquito net])</f>
        <v>0</v>
      </c>
      <c r="AC402" s="294">
        <f>IF(NFI_Expiration=1,IF($A402&lt;VLOOKUP(L$5,NFI,5,0),1,0)*Table_NFI[[#This Row],[Tarpaulin]],Table_NFI[[#This Row],[Tarpaulin]])</f>
        <v>0</v>
      </c>
      <c r="AD402" s="294">
        <f>IF(NFI_Expiration=1,IF($A402&lt;VLOOKUP(M$5,NFI,5,0),1,0)*Table_NFI[[#This Row],[Blanket]],Table_NFI[[#This Row],[Blanket]])</f>
        <v>0</v>
      </c>
      <c r="AE402" s="294">
        <f>IF(NFI_Expiration=1,IF($A402&lt;VLOOKUP(N$5,NFI,5,0),1,0)*Table_NFI[[#This Row],[Kitchen Set]],Table_NFI[Kitchen Set])</f>
        <v>0</v>
      </c>
      <c r="AF402" s="294">
        <f>IF(NFI_Expiration=1,IF($A402&lt;VLOOKUP(O$5,NFI,5,0),1,0)*Table_NFI[[#This Row],[Clothes Kit]],Table_NFI[Clothes Kit])</f>
        <v>0</v>
      </c>
      <c r="AG402" s="294">
        <f>IF(NFI_Expiration=1,IF($A402&lt;VLOOKUP(P$5,NFI,5,0),1,0)*Table_NFI[[#This Row],[Plastic Bucket]],Table_NFI[Plastic Bucket])</f>
        <v>0</v>
      </c>
      <c r="AH402" s="294">
        <f>IF(NFI_Expiration=1,IF($A402&lt;VLOOKUP(Q$5,NFI,5,0),1,0)*Table_NFI[[#This Row],[Plastic Mat]],Table_NFI[Plastic Mat])*IF(Table_NFI[[#This Row],[Distribution Date]]&gt;"2014-04-01",1,2.5)</f>
        <v>0</v>
      </c>
      <c r="AI402" s="294">
        <f>IF(NFI_Expiration=1,IF($A402&lt;VLOOKUP(R$5,NFI,5,0),1,0)*Table_NFI[[#This Row],[Winter Clothes Adult]],Table_NFI[Winter Clothes Adult])</f>
        <v>0</v>
      </c>
      <c r="AJ402" s="294">
        <f>IF(NFI_Expiration=1,IF($A402&lt;VLOOKUP(S$5,NFI,5,0),1,0)*Table_NFI[[#This Row],[Winter Clothes Children]],Table_NFI[Winter Clothes Children])</f>
        <v>0</v>
      </c>
      <c r="AK402" s="294">
        <f>IF(NFI_Expiration=1,IF($A402&lt;VLOOKUP(T$5,NFI,5,0),1,0)*Table_NFI[[#This Row],[Winter Items Other]],Table_NFI[Winter Items Other])</f>
        <v>0</v>
      </c>
      <c r="AL402" s="294">
        <f>IF(NFI_Expiration=1,IF($A402&lt;VLOOKUP(M$5,NFI,5,0),1,0)*Table_NFI[[#This Row],[Winter Blanket]],Table_NFI[[#This Row],[Winter Blanket]])</f>
        <v>0</v>
      </c>
      <c r="AM402" s="294">
        <f>IF(Table_NFI[[#This Row],[Winter Clothes Adult]]+Table_NFI[[#This Row],[Winter Clothes Children]]+Table_NFI[[#This Row],[Winter Items Other]]+Table_NFI[[#This Row],[Winter Blanket]]&gt;0,1,0)</f>
        <v>0</v>
      </c>
      <c r="AN402" s="331">
        <f>IF(NFI_Expiration=1,IF($A402&lt;VLOOKUP(V$5,NFI,5,0),1,0)*Table_NFI[[#This Row],[Jerry Can]],Table_NFI[Jerry Can])</f>
        <v>0</v>
      </c>
      <c r="AO402" s="331">
        <f>IF(NFI_Expiration=1,IF($A402&lt;VLOOKUP(V$5,NFI,5,0),1,0)*Table_NFI[[#This Row],[Shelter Tool kit]],Table_NFI[Shelter Tool kit])</f>
        <v>0</v>
      </c>
      <c r="AP402" s="331">
        <f>IF(NFI_Expiration=1,IF($A402&lt;VLOOKUP(V$5,NFI,5,0),1,0)*Table_NFI[[#This Row],[Tent]],Table_NFI[Tent])</f>
        <v>0</v>
      </c>
      <c r="AQ402" s="467" t="str">
        <f>IFERROR(VLOOKUP(Table_NFI[[#This Row],[Camp Name]],CL,2,0),"")</f>
        <v>MMR001CMP055</v>
      </c>
      <c r="AR402" s="835">
        <f ca="1">IF(Table_NFI[[#This Row],[Pcode]]="","",IF(OFFSET(CampList[Opening Date],MATCH(Table_NFI[[#This Row],[Pcode]],CampList[CP_Pcode],0)-1,0,1,1)&gt;=NFI_Monitor_Date,1,0))</f>
        <v>0</v>
      </c>
      <c r="AS402" s="467" t="str">
        <f>IFERROR(VLOOKUP(Table_NFI[[#This Row],[Camp Name]],CL,3,0),"")</f>
        <v>Open</v>
      </c>
      <c r="AT402" s="294" t="str">
        <f ca="1">IF(Table_NFI[[#This Row],[Pcode]]="","",OFFSET(CampList[Priority],MATCH(Table_NFI[[#This Row],[Pcode]],CampList[CP_Pcode],0)-1,0,1,1))</f>
        <v>P4</v>
      </c>
      <c r="AU402" s="293">
        <f>IFERROR(Table_NFI[[#This Row],[Kitchen Set]]/VLOOKUP(Table_NFI[[#This Row],[Camp Name]],CL,4,0),"")</f>
        <v>8.7740677553009995E-4</v>
      </c>
      <c r="AV402" s="461" t="s">
        <v>1092</v>
      </c>
      <c r="AW402" s="463"/>
    </row>
    <row r="403" spans="1:49" s="464" customFormat="1" x14ac:dyDescent="0.25">
      <c r="A403" s="297">
        <f t="shared" si="6"/>
        <v>32.133333333333333</v>
      </c>
      <c r="B403" s="460">
        <v>41772</v>
      </c>
      <c r="C403" s="461" t="s">
        <v>1104</v>
      </c>
      <c r="D403" s="461" t="s">
        <v>900</v>
      </c>
      <c r="E403" s="461" t="s">
        <v>380</v>
      </c>
      <c r="F403" s="461" t="s">
        <v>237</v>
      </c>
      <c r="G403" s="461" t="s">
        <v>269</v>
      </c>
      <c r="H403" s="291"/>
      <c r="I403" s="291"/>
      <c r="J403" s="291"/>
      <c r="K403" s="291"/>
      <c r="L403" s="292"/>
      <c r="M403" s="292"/>
      <c r="N403" s="292"/>
      <c r="O403" s="292"/>
      <c r="P403" s="294"/>
      <c r="Q403" s="294"/>
      <c r="R403" s="294"/>
      <c r="S403" s="294"/>
      <c r="T403" s="294"/>
      <c r="U403" s="294">
        <v>112</v>
      </c>
      <c r="V403" s="431"/>
      <c r="W403" s="294"/>
      <c r="X403" s="294"/>
      <c r="Y403" s="294">
        <f>IF(NFI_Expiration=1,IF($A403&lt;VLOOKUP(H$5,NFI,5,0),1,0)*Table_NFI[[#This Row],[Hygiene Kit]],Table_NFI[Hygiene Kit])</f>
        <v>0</v>
      </c>
      <c r="Z403" s="294">
        <f>IF(NFI_Expiration=1,IF($A403&lt;VLOOKUP(I$5,NFI,5,0),1,0)*Table_NFI[[#This Row],[NFI Core Kit]],Table_NFI[NFI Core Kit])</f>
        <v>0</v>
      </c>
      <c r="AA403" s="294">
        <f>IF(NFI_Expiration=1,IF($A403&lt;VLOOKUP(J$5,NFI,5,0),1,0)*Table_NFI[[#This Row],[Sanitary Kit]],Table_NFI[Sanitary Kit])</f>
        <v>0</v>
      </c>
      <c r="AB403" s="294">
        <f>IF(NFI_Expiration=1,IF($A403&lt;VLOOKUP(K$5,NFI,5,0),1,0)*Table_NFI[[#This Row],[Mosquito net]],Table_NFI[Mosquito net])</f>
        <v>0</v>
      </c>
      <c r="AC403" s="294">
        <f>IF(NFI_Expiration=1,IF($A403&lt;VLOOKUP(L$5,NFI,5,0),1,0)*Table_NFI[[#This Row],[Tarpaulin]],Table_NFI[[#This Row],[Tarpaulin]])</f>
        <v>0</v>
      </c>
      <c r="AD403" s="294">
        <f>IF(NFI_Expiration=1,IF($A403&lt;VLOOKUP(M$5,NFI,5,0),1,0)*Table_NFI[[#This Row],[Blanket]],Table_NFI[[#This Row],[Blanket]])</f>
        <v>0</v>
      </c>
      <c r="AE403" s="294">
        <f>IF(NFI_Expiration=1,IF($A403&lt;VLOOKUP(N$5,NFI,5,0),1,0)*Table_NFI[[#This Row],[Kitchen Set]],Table_NFI[Kitchen Set])</f>
        <v>0</v>
      </c>
      <c r="AF403" s="294">
        <f>IF(NFI_Expiration=1,IF($A403&lt;VLOOKUP(O$5,NFI,5,0),1,0)*Table_NFI[[#This Row],[Clothes Kit]],Table_NFI[Clothes Kit])</f>
        <v>0</v>
      </c>
      <c r="AG403" s="294">
        <f>IF(NFI_Expiration=1,IF($A403&lt;VLOOKUP(P$5,NFI,5,0),1,0)*Table_NFI[[#This Row],[Plastic Bucket]],Table_NFI[Plastic Bucket])</f>
        <v>0</v>
      </c>
      <c r="AH403" s="294">
        <f>IF(NFI_Expiration=1,IF($A403&lt;VLOOKUP(Q$5,NFI,5,0),1,0)*Table_NFI[[#This Row],[Plastic Mat]],Table_NFI[Plastic Mat])*IF(Table_NFI[[#This Row],[Distribution Date]]&gt;"2014-04-01",1,2.5)</f>
        <v>0</v>
      </c>
      <c r="AI403" s="294">
        <f>IF(NFI_Expiration=1,IF($A403&lt;VLOOKUP(R$5,NFI,5,0),1,0)*Table_NFI[[#This Row],[Winter Clothes Adult]],Table_NFI[Winter Clothes Adult])</f>
        <v>0</v>
      </c>
      <c r="AJ403" s="294">
        <f>IF(NFI_Expiration=1,IF($A403&lt;VLOOKUP(S$5,NFI,5,0),1,0)*Table_NFI[[#This Row],[Winter Clothes Children]],Table_NFI[Winter Clothes Children])</f>
        <v>0</v>
      </c>
      <c r="AK403" s="294">
        <f>IF(NFI_Expiration=1,IF($A403&lt;VLOOKUP(T$5,NFI,5,0),1,0)*Table_NFI[[#This Row],[Winter Items Other]],Table_NFI[Winter Items Other])</f>
        <v>0</v>
      </c>
      <c r="AL403" s="294">
        <f>IF(NFI_Expiration=1,IF($A403&lt;VLOOKUP(M$5,NFI,5,0),1,0)*Table_NFI[[#This Row],[Winter Blanket]],Table_NFI[[#This Row],[Winter Blanket]])</f>
        <v>0</v>
      </c>
      <c r="AM403" s="294">
        <f>IF(Table_NFI[[#This Row],[Winter Clothes Adult]]+Table_NFI[[#This Row],[Winter Clothes Children]]+Table_NFI[[#This Row],[Winter Items Other]]+Table_NFI[[#This Row],[Winter Blanket]]&gt;0,1,0)</f>
        <v>1</v>
      </c>
      <c r="AN403" s="331">
        <f>IF(NFI_Expiration=1,IF($A403&lt;VLOOKUP(V$5,NFI,5,0),1,0)*Table_NFI[[#This Row],[Jerry Can]],Table_NFI[Jerry Can])</f>
        <v>0</v>
      </c>
      <c r="AO403" s="331">
        <f>IF(NFI_Expiration=1,IF($A403&lt;VLOOKUP(V$5,NFI,5,0),1,0)*Table_NFI[[#This Row],[Shelter Tool kit]],Table_NFI[Shelter Tool kit])</f>
        <v>0</v>
      </c>
      <c r="AP403" s="331">
        <f>IF(NFI_Expiration=1,IF($A403&lt;VLOOKUP(V$5,NFI,5,0),1,0)*Table_NFI[[#This Row],[Tent]],Table_NFI[Tent])</f>
        <v>0</v>
      </c>
      <c r="AQ403" s="467" t="str">
        <f>IFERROR(VLOOKUP(Table_NFI[[#This Row],[Camp Name]],CL,2,0),"")</f>
        <v>MMR001CMP002</v>
      </c>
      <c r="AR403" s="835">
        <f ca="1">IF(Table_NFI[[#This Row],[Pcode]]="","",IF(OFFSET(CampList[Opening Date],MATCH(Table_NFI[[#This Row],[Pcode]],CampList[CP_Pcode],0)-1,0,1,1)&gt;=NFI_Monitor_Date,1,0))</f>
        <v>0</v>
      </c>
      <c r="AS403" s="467" t="str">
        <f>IFERROR(VLOOKUP(Table_NFI[[#This Row],[Camp Name]],CL,3,0),"")</f>
        <v>Open</v>
      </c>
      <c r="AT403" s="294" t="str">
        <f ca="1">IF(Table_NFI[[#This Row],[Pcode]]="","",OFFSET(CampList[Priority],MATCH(Table_NFI[[#This Row],[Pcode]],CampList[CP_Pcode],0)-1,0,1,1))</f>
        <v>P4</v>
      </c>
      <c r="AU403" s="293">
        <f>IFERROR(Table_NFI[[#This Row],[Kitchen Set]]/VLOOKUP(Table_NFI[[#This Row],[Camp Name]],CL,4,0),"")</f>
        <v>0</v>
      </c>
      <c r="AV403" s="461"/>
      <c r="AW403" s="463"/>
    </row>
    <row r="404" spans="1:49" s="464" customFormat="1" ht="14.45" customHeight="1" x14ac:dyDescent="0.25">
      <c r="A404" s="297">
        <f t="shared" si="6"/>
        <v>32.166666666666664</v>
      </c>
      <c r="B404" s="460">
        <v>41771</v>
      </c>
      <c r="C404" s="461" t="s">
        <v>1104</v>
      </c>
      <c r="D404" s="461" t="s">
        <v>900</v>
      </c>
      <c r="E404" s="461" t="s">
        <v>380</v>
      </c>
      <c r="F404" s="461" t="s">
        <v>237</v>
      </c>
      <c r="G404" s="461" t="s">
        <v>261</v>
      </c>
      <c r="H404" s="291"/>
      <c r="I404" s="291"/>
      <c r="J404" s="291"/>
      <c r="K404" s="291"/>
      <c r="L404" s="292"/>
      <c r="M404" s="292"/>
      <c r="N404" s="292"/>
      <c r="O404" s="292"/>
      <c r="P404" s="294"/>
      <c r="Q404" s="294"/>
      <c r="R404" s="294"/>
      <c r="S404" s="294"/>
      <c r="T404" s="294"/>
      <c r="U404" s="294">
        <v>184</v>
      </c>
      <c r="V404" s="431"/>
      <c r="W404" s="294"/>
      <c r="X404" s="294"/>
      <c r="Y404" s="294">
        <f>IF(NFI_Expiration=1,IF($A404&lt;VLOOKUP(H$5,NFI,5,0),1,0)*Table_NFI[[#This Row],[Hygiene Kit]],Table_NFI[Hygiene Kit])</f>
        <v>0</v>
      </c>
      <c r="Z404" s="294">
        <f>IF(NFI_Expiration=1,IF($A404&lt;VLOOKUP(I$5,NFI,5,0),1,0)*Table_NFI[[#This Row],[NFI Core Kit]],Table_NFI[NFI Core Kit])</f>
        <v>0</v>
      </c>
      <c r="AA404" s="294">
        <f>IF(NFI_Expiration=1,IF($A404&lt;VLOOKUP(J$5,NFI,5,0),1,0)*Table_NFI[[#This Row],[Sanitary Kit]],Table_NFI[Sanitary Kit])</f>
        <v>0</v>
      </c>
      <c r="AB404" s="294">
        <f>IF(NFI_Expiration=1,IF($A404&lt;VLOOKUP(K$5,NFI,5,0),1,0)*Table_NFI[[#This Row],[Mosquito net]],Table_NFI[Mosquito net])</f>
        <v>0</v>
      </c>
      <c r="AC404" s="294">
        <f>IF(NFI_Expiration=1,IF($A404&lt;VLOOKUP(L$5,NFI,5,0),1,0)*Table_NFI[[#This Row],[Tarpaulin]],Table_NFI[[#This Row],[Tarpaulin]])</f>
        <v>0</v>
      </c>
      <c r="AD404" s="294">
        <f>IF(NFI_Expiration=1,IF($A404&lt;VLOOKUP(M$5,NFI,5,0),1,0)*Table_NFI[[#This Row],[Blanket]],Table_NFI[[#This Row],[Blanket]])</f>
        <v>0</v>
      </c>
      <c r="AE404" s="294">
        <f>IF(NFI_Expiration=1,IF($A404&lt;VLOOKUP(N$5,NFI,5,0),1,0)*Table_NFI[[#This Row],[Kitchen Set]],Table_NFI[Kitchen Set])</f>
        <v>0</v>
      </c>
      <c r="AF404" s="294">
        <f>IF(NFI_Expiration=1,IF($A404&lt;VLOOKUP(O$5,NFI,5,0),1,0)*Table_NFI[[#This Row],[Clothes Kit]],Table_NFI[Clothes Kit])</f>
        <v>0</v>
      </c>
      <c r="AG404" s="294">
        <f>IF(NFI_Expiration=1,IF($A404&lt;VLOOKUP(P$5,NFI,5,0),1,0)*Table_NFI[[#This Row],[Plastic Bucket]],Table_NFI[Plastic Bucket])</f>
        <v>0</v>
      </c>
      <c r="AH404" s="294">
        <f>IF(NFI_Expiration=1,IF($A404&lt;VLOOKUP(Q$5,NFI,5,0),1,0)*Table_NFI[[#This Row],[Plastic Mat]],Table_NFI[Plastic Mat])*IF(Table_NFI[[#This Row],[Distribution Date]]&gt;"2014-04-01",1,2.5)</f>
        <v>0</v>
      </c>
      <c r="AI404" s="294">
        <f>IF(NFI_Expiration=1,IF($A404&lt;VLOOKUP(R$5,NFI,5,0),1,0)*Table_NFI[[#This Row],[Winter Clothes Adult]],Table_NFI[Winter Clothes Adult])</f>
        <v>0</v>
      </c>
      <c r="AJ404" s="294">
        <f>IF(NFI_Expiration=1,IF($A404&lt;VLOOKUP(S$5,NFI,5,0),1,0)*Table_NFI[[#This Row],[Winter Clothes Children]],Table_NFI[Winter Clothes Children])</f>
        <v>0</v>
      </c>
      <c r="AK404" s="294">
        <f>IF(NFI_Expiration=1,IF($A404&lt;VLOOKUP(T$5,NFI,5,0),1,0)*Table_NFI[[#This Row],[Winter Items Other]],Table_NFI[Winter Items Other])</f>
        <v>0</v>
      </c>
      <c r="AL404" s="294">
        <f>IF(NFI_Expiration=1,IF($A404&lt;VLOOKUP(M$5,NFI,5,0),1,0)*Table_NFI[[#This Row],[Winter Blanket]],Table_NFI[[#This Row],[Winter Blanket]])</f>
        <v>0</v>
      </c>
      <c r="AM404" s="294">
        <f>IF(Table_NFI[[#This Row],[Winter Clothes Adult]]+Table_NFI[[#This Row],[Winter Clothes Children]]+Table_NFI[[#This Row],[Winter Items Other]]+Table_NFI[[#This Row],[Winter Blanket]]&gt;0,1,0)</f>
        <v>1</v>
      </c>
      <c r="AN404" s="331">
        <f>IF(NFI_Expiration=1,IF($A404&lt;VLOOKUP(V$5,NFI,5,0),1,0)*Table_NFI[[#This Row],[Jerry Can]],Table_NFI[Jerry Can])</f>
        <v>0</v>
      </c>
      <c r="AO404" s="331">
        <f>IF(NFI_Expiration=1,IF($A404&lt;VLOOKUP(V$5,NFI,5,0),1,0)*Table_NFI[[#This Row],[Shelter Tool kit]],Table_NFI[Shelter Tool kit])</f>
        <v>0</v>
      </c>
      <c r="AP404" s="331">
        <f>IF(NFI_Expiration=1,IF($A404&lt;VLOOKUP(V$5,NFI,5,0),1,0)*Table_NFI[[#This Row],[Tent]],Table_NFI[Tent])</f>
        <v>0</v>
      </c>
      <c r="AQ404" s="467" t="str">
        <f>IFERROR(VLOOKUP(Table_NFI[[#This Row],[Camp Name]],CL,2,0),"")</f>
        <v>MMR001CMP008</v>
      </c>
      <c r="AR404" s="835">
        <f ca="1">IF(Table_NFI[[#This Row],[Pcode]]="","",IF(OFFSET(CampList[Opening Date],MATCH(Table_NFI[[#This Row],[Pcode]],CampList[CP_Pcode],0)-1,0,1,1)&gt;=NFI_Monitor_Date,1,0))</f>
        <v>0</v>
      </c>
      <c r="AS404" s="467" t="str">
        <f>IFERROR(VLOOKUP(Table_NFI[[#This Row],[Camp Name]],CL,3,0),"")</f>
        <v>Open</v>
      </c>
      <c r="AT404" s="294" t="str">
        <f ca="1">IF(Table_NFI[[#This Row],[Pcode]]="","",OFFSET(CampList[Priority],MATCH(Table_NFI[[#This Row],[Pcode]],CampList[CP_Pcode],0)-1,0,1,1))</f>
        <v>P4</v>
      </c>
      <c r="AU404" s="293">
        <f>IFERROR(Table_NFI[[#This Row],[Kitchen Set]]/VLOOKUP(Table_NFI[[#This Row],[Camp Name]],CL,4,0),"")</f>
        <v>0</v>
      </c>
      <c r="AV404" s="461"/>
      <c r="AW404" s="463"/>
    </row>
    <row r="405" spans="1:49" s="464" customFormat="1" ht="14.45" customHeight="1" x14ac:dyDescent="0.25">
      <c r="A405" s="297">
        <f t="shared" si="6"/>
        <v>32.166666666666664</v>
      </c>
      <c r="B405" s="460">
        <v>41771</v>
      </c>
      <c r="C405" s="461" t="s">
        <v>452</v>
      </c>
      <c r="D405" s="461"/>
      <c r="E405" s="461" t="s">
        <v>553</v>
      </c>
      <c r="F405" s="461" t="s">
        <v>230</v>
      </c>
      <c r="G405" s="461" t="s">
        <v>1063</v>
      </c>
      <c r="H405" s="291"/>
      <c r="I405" s="291"/>
      <c r="J405" s="291"/>
      <c r="K405" s="291">
        <v>68</v>
      </c>
      <c r="L405" s="292">
        <v>9</v>
      </c>
      <c r="M405" s="292">
        <v>118</v>
      </c>
      <c r="N405" s="292">
        <v>9</v>
      </c>
      <c r="O405" s="292">
        <v>0</v>
      </c>
      <c r="P405" s="294">
        <v>9</v>
      </c>
      <c r="Q405" s="294">
        <v>45</v>
      </c>
      <c r="R405" s="294"/>
      <c r="S405" s="294"/>
      <c r="T405" s="294"/>
      <c r="U405" s="294"/>
      <c r="V405" s="431"/>
      <c r="W405" s="294"/>
      <c r="X405" s="294"/>
      <c r="Y405" s="294">
        <f>IF(NFI_Expiration=1,IF($A405&lt;VLOOKUP(H$5,NFI,5,0),1,0)*Table_NFI[[#This Row],[Hygiene Kit]],Table_NFI[Hygiene Kit])</f>
        <v>0</v>
      </c>
      <c r="Z405" s="294">
        <f>IF(NFI_Expiration=1,IF($A405&lt;VLOOKUP(I$5,NFI,5,0),1,0)*Table_NFI[[#This Row],[NFI Core Kit]],Table_NFI[NFI Core Kit])</f>
        <v>0</v>
      </c>
      <c r="AA405" s="294">
        <f>IF(NFI_Expiration=1,IF($A405&lt;VLOOKUP(J$5,NFI,5,0),1,0)*Table_NFI[[#This Row],[Sanitary Kit]],Table_NFI[Sanitary Kit])</f>
        <v>0</v>
      </c>
      <c r="AB405" s="294">
        <f>IF(NFI_Expiration=1,IF($A405&lt;VLOOKUP(K$5,NFI,5,0),1,0)*Table_NFI[[#This Row],[Mosquito net]],Table_NFI[Mosquito net])</f>
        <v>0</v>
      </c>
      <c r="AC405" s="294">
        <f>IF(NFI_Expiration=1,IF($A405&lt;VLOOKUP(L$5,NFI,5,0),1,0)*Table_NFI[[#This Row],[Tarpaulin]],Table_NFI[[#This Row],[Tarpaulin]])</f>
        <v>0</v>
      </c>
      <c r="AD405" s="294">
        <f>IF(NFI_Expiration=1,IF($A405&lt;VLOOKUP(M$5,NFI,5,0),1,0)*Table_NFI[[#This Row],[Blanket]],Table_NFI[[#This Row],[Blanket]])</f>
        <v>0</v>
      </c>
      <c r="AE405" s="294">
        <f>IF(NFI_Expiration=1,IF($A405&lt;VLOOKUP(N$5,NFI,5,0),1,0)*Table_NFI[[#This Row],[Kitchen Set]],Table_NFI[Kitchen Set])</f>
        <v>0</v>
      </c>
      <c r="AF405" s="294">
        <f>IF(NFI_Expiration=1,IF($A405&lt;VLOOKUP(O$5,NFI,5,0),1,0)*Table_NFI[[#This Row],[Clothes Kit]],Table_NFI[Clothes Kit])</f>
        <v>0</v>
      </c>
      <c r="AG405" s="294">
        <f>IF(NFI_Expiration=1,IF($A405&lt;VLOOKUP(P$5,NFI,5,0),1,0)*Table_NFI[[#This Row],[Plastic Bucket]],Table_NFI[Plastic Bucket])</f>
        <v>0</v>
      </c>
      <c r="AH405" s="294">
        <f>IF(NFI_Expiration=1,IF($A405&lt;VLOOKUP(Q$5,NFI,5,0),1,0)*Table_NFI[[#This Row],[Plastic Mat]],Table_NFI[Plastic Mat])*IF(Table_NFI[[#This Row],[Distribution Date]]&gt;"2014-04-01",1,2.5)</f>
        <v>0</v>
      </c>
      <c r="AI405" s="294">
        <f>IF(NFI_Expiration=1,IF($A405&lt;VLOOKUP(R$5,NFI,5,0),1,0)*Table_NFI[[#This Row],[Winter Clothes Adult]],Table_NFI[Winter Clothes Adult])</f>
        <v>0</v>
      </c>
      <c r="AJ405" s="294">
        <f>IF(NFI_Expiration=1,IF($A405&lt;VLOOKUP(S$5,NFI,5,0),1,0)*Table_NFI[[#This Row],[Winter Clothes Children]],Table_NFI[Winter Clothes Children])</f>
        <v>0</v>
      </c>
      <c r="AK405" s="294">
        <f>IF(NFI_Expiration=1,IF($A405&lt;VLOOKUP(T$5,NFI,5,0),1,0)*Table_NFI[[#This Row],[Winter Items Other]],Table_NFI[Winter Items Other])</f>
        <v>0</v>
      </c>
      <c r="AL405" s="294">
        <f>IF(NFI_Expiration=1,IF($A405&lt;VLOOKUP(M$5,NFI,5,0),1,0)*Table_NFI[[#This Row],[Winter Blanket]],Table_NFI[[#This Row],[Winter Blanket]])</f>
        <v>0</v>
      </c>
      <c r="AM405" s="294">
        <f>IF(Table_NFI[[#This Row],[Winter Clothes Adult]]+Table_NFI[[#This Row],[Winter Clothes Children]]+Table_NFI[[#This Row],[Winter Items Other]]+Table_NFI[[#This Row],[Winter Blanket]]&gt;0,1,0)</f>
        <v>0</v>
      </c>
      <c r="AN405" s="331">
        <f>IF(NFI_Expiration=1,IF($A405&lt;VLOOKUP(V$5,NFI,5,0),1,0)*Table_NFI[[#This Row],[Jerry Can]],Table_NFI[Jerry Can])</f>
        <v>0</v>
      </c>
      <c r="AO405" s="331">
        <f>IF(NFI_Expiration=1,IF($A405&lt;VLOOKUP(V$5,NFI,5,0),1,0)*Table_NFI[[#This Row],[Shelter Tool kit]],Table_NFI[Shelter Tool kit])</f>
        <v>0</v>
      </c>
      <c r="AP405" s="331">
        <f>IF(NFI_Expiration=1,IF($A405&lt;VLOOKUP(V$5,NFI,5,0),1,0)*Table_NFI[[#This Row],[Tent]],Table_NFI[Tent])</f>
        <v>0</v>
      </c>
      <c r="AQ405" s="467" t="str">
        <f>IFERROR(VLOOKUP(Table_NFI[[#This Row],[Camp Name]],CL,2,0),"")</f>
        <v>MMR015CMP216</v>
      </c>
      <c r="AR405" s="835">
        <f ca="1">IF(Table_NFI[[#This Row],[Pcode]]="","",IF(OFFSET(CampList[Opening Date],MATCH(Table_NFI[[#This Row],[Pcode]],CampList[CP_Pcode],0)-1,0,1,1)&gt;=NFI_Monitor_Date,1,0))</f>
        <v>1</v>
      </c>
      <c r="AS405" s="467" t="str">
        <f>IFERROR(VLOOKUP(Table_NFI[[#This Row],[Camp Name]],CL,3,0),"")</f>
        <v>Open</v>
      </c>
      <c r="AT405" s="294" t="str">
        <f ca="1">IF(Table_NFI[[#This Row],[Pcode]]="","",OFFSET(CampList[Priority],MATCH(Table_NFI[[#This Row],[Pcode]],CampList[CP_Pcode],0)-1,0,1,1))</f>
        <v>P4</v>
      </c>
      <c r="AU405" s="293">
        <f>IFERROR(Table_NFI[[#This Row],[Kitchen Set]]/VLOOKUP(Table_NFI[[#This Row],[Camp Name]],CL,4,0),"")</f>
        <v>2.156515071644223E-4</v>
      </c>
      <c r="AV405" s="461"/>
      <c r="AW405" s="463" t="s">
        <v>1232</v>
      </c>
    </row>
    <row r="406" spans="1:49" s="464" customFormat="1" ht="14.45" customHeight="1" x14ac:dyDescent="0.25">
      <c r="A406" s="297">
        <f t="shared" si="6"/>
        <v>32.166666666666664</v>
      </c>
      <c r="B406" s="460">
        <v>41771</v>
      </c>
      <c r="C406" s="461" t="s">
        <v>452</v>
      </c>
      <c r="D406" s="461"/>
      <c r="E406" s="461" t="s">
        <v>553</v>
      </c>
      <c r="F406" s="461" t="s">
        <v>230</v>
      </c>
      <c r="G406" s="461" t="s">
        <v>1063</v>
      </c>
      <c r="H406" s="291"/>
      <c r="I406" s="291"/>
      <c r="J406" s="291"/>
      <c r="K406" s="291">
        <v>82</v>
      </c>
      <c r="L406" s="292">
        <v>41</v>
      </c>
      <c r="M406" s="292">
        <v>82</v>
      </c>
      <c r="N406" s="292">
        <v>41</v>
      </c>
      <c r="O406" s="292"/>
      <c r="P406" s="294">
        <v>41</v>
      </c>
      <c r="Q406" s="294">
        <v>205</v>
      </c>
      <c r="R406" s="294"/>
      <c r="S406" s="294"/>
      <c r="T406" s="294"/>
      <c r="U406" s="294"/>
      <c r="V406" s="431"/>
      <c r="W406" s="294"/>
      <c r="X406" s="294"/>
      <c r="Y406" s="294">
        <f>IF(NFI_Expiration=1,IF($A406&lt;VLOOKUP(H$5,NFI,5,0),1,0)*Table_NFI[[#This Row],[Hygiene Kit]],Table_NFI[Hygiene Kit])</f>
        <v>0</v>
      </c>
      <c r="Z406" s="294">
        <f>IF(NFI_Expiration=1,IF($A406&lt;VLOOKUP(I$5,NFI,5,0),1,0)*Table_NFI[[#This Row],[NFI Core Kit]],Table_NFI[NFI Core Kit])</f>
        <v>0</v>
      </c>
      <c r="AA406" s="294">
        <f>IF(NFI_Expiration=1,IF($A406&lt;VLOOKUP(J$5,NFI,5,0),1,0)*Table_NFI[[#This Row],[Sanitary Kit]],Table_NFI[Sanitary Kit])</f>
        <v>0</v>
      </c>
      <c r="AB406" s="294">
        <f>IF(NFI_Expiration=1,IF($A406&lt;VLOOKUP(K$5,NFI,5,0),1,0)*Table_NFI[[#This Row],[Mosquito net]],Table_NFI[Mosquito net])</f>
        <v>0</v>
      </c>
      <c r="AC406" s="294">
        <f>IF(NFI_Expiration=1,IF($A406&lt;VLOOKUP(L$5,NFI,5,0),1,0)*Table_NFI[[#This Row],[Tarpaulin]],Table_NFI[[#This Row],[Tarpaulin]])</f>
        <v>0</v>
      </c>
      <c r="AD406" s="294">
        <f>IF(NFI_Expiration=1,IF($A406&lt;VLOOKUP(M$5,NFI,5,0),1,0)*Table_NFI[[#This Row],[Blanket]],Table_NFI[[#This Row],[Blanket]])</f>
        <v>0</v>
      </c>
      <c r="AE406" s="294">
        <f>IF(NFI_Expiration=1,IF($A406&lt;VLOOKUP(N$5,NFI,5,0),1,0)*Table_NFI[[#This Row],[Kitchen Set]],Table_NFI[Kitchen Set])</f>
        <v>0</v>
      </c>
      <c r="AF406" s="294">
        <f>IF(NFI_Expiration=1,IF($A406&lt;VLOOKUP(O$5,NFI,5,0),1,0)*Table_NFI[[#This Row],[Clothes Kit]],Table_NFI[Clothes Kit])</f>
        <v>0</v>
      </c>
      <c r="AG406" s="294">
        <f>IF(NFI_Expiration=1,IF($A406&lt;VLOOKUP(P$5,NFI,5,0),1,0)*Table_NFI[[#This Row],[Plastic Bucket]],Table_NFI[Plastic Bucket])</f>
        <v>0</v>
      </c>
      <c r="AH406" s="294">
        <f>IF(NFI_Expiration=1,IF($A406&lt;VLOOKUP(Q$5,NFI,5,0),1,0)*Table_NFI[[#This Row],[Plastic Mat]],Table_NFI[Plastic Mat])*IF(Table_NFI[[#This Row],[Distribution Date]]&gt;"2014-04-01",1,2.5)</f>
        <v>0</v>
      </c>
      <c r="AI406" s="294">
        <f>IF(NFI_Expiration=1,IF($A406&lt;VLOOKUP(R$5,NFI,5,0),1,0)*Table_NFI[[#This Row],[Winter Clothes Adult]],Table_NFI[Winter Clothes Adult])</f>
        <v>0</v>
      </c>
      <c r="AJ406" s="294">
        <f>IF(NFI_Expiration=1,IF($A406&lt;VLOOKUP(S$5,NFI,5,0),1,0)*Table_NFI[[#This Row],[Winter Clothes Children]],Table_NFI[Winter Clothes Children])</f>
        <v>0</v>
      </c>
      <c r="AK406" s="294">
        <f>IF(NFI_Expiration=1,IF($A406&lt;VLOOKUP(T$5,NFI,5,0),1,0)*Table_NFI[[#This Row],[Winter Items Other]],Table_NFI[Winter Items Other])</f>
        <v>0</v>
      </c>
      <c r="AL406" s="294">
        <f>IF(NFI_Expiration=1,IF($A406&lt;VLOOKUP(M$5,NFI,5,0),1,0)*Table_NFI[[#This Row],[Winter Blanket]],Table_NFI[[#This Row],[Winter Blanket]])</f>
        <v>0</v>
      </c>
      <c r="AM406" s="294">
        <f>IF(Table_NFI[[#This Row],[Winter Clothes Adult]]+Table_NFI[[#This Row],[Winter Clothes Children]]+Table_NFI[[#This Row],[Winter Items Other]]+Table_NFI[[#This Row],[Winter Blanket]]&gt;0,1,0)</f>
        <v>0</v>
      </c>
      <c r="AN406" s="331">
        <f>IF(NFI_Expiration=1,IF($A406&lt;VLOOKUP(V$5,NFI,5,0),1,0)*Table_NFI[[#This Row],[Jerry Can]],Table_NFI[Jerry Can])</f>
        <v>0</v>
      </c>
      <c r="AO406" s="331">
        <f>IF(NFI_Expiration=1,IF($A406&lt;VLOOKUP(V$5,NFI,5,0),1,0)*Table_NFI[[#This Row],[Shelter Tool kit]],Table_NFI[Shelter Tool kit])</f>
        <v>0</v>
      </c>
      <c r="AP406" s="331">
        <f>IF(NFI_Expiration=1,IF($A406&lt;VLOOKUP(V$5,NFI,5,0),1,0)*Table_NFI[[#This Row],[Tent]],Table_NFI[Tent])</f>
        <v>0</v>
      </c>
      <c r="AQ406" s="467" t="str">
        <f>IFERROR(VLOOKUP(Table_NFI[[#This Row],[Camp Name]],CL,2,0),"")</f>
        <v>MMR015CMP216</v>
      </c>
      <c r="AR406" s="835">
        <f ca="1">IF(Table_NFI[[#This Row],[Pcode]]="","",IF(OFFSET(CampList[Opening Date],MATCH(Table_NFI[[#This Row],[Pcode]],CampList[CP_Pcode],0)-1,0,1,1)&gt;=NFI_Monitor_Date,1,0))</f>
        <v>1</v>
      </c>
      <c r="AS406" s="467" t="str">
        <f>IFERROR(VLOOKUP(Table_NFI[[#This Row],[Camp Name]],CL,3,0),"")</f>
        <v>Open</v>
      </c>
      <c r="AT406" s="294" t="str">
        <f ca="1">IF(Table_NFI[[#This Row],[Pcode]]="","",OFFSET(CampList[Priority],MATCH(Table_NFI[[#This Row],[Pcode]],CampList[CP_Pcode],0)-1,0,1,1))</f>
        <v>P4</v>
      </c>
      <c r="AU406" s="293">
        <f>IFERROR(Table_NFI[[#This Row],[Kitchen Set]]/VLOOKUP(Table_NFI[[#This Row],[Camp Name]],CL,4,0),"")</f>
        <v>9.8241242152681259E-4</v>
      </c>
      <c r="AV406" s="461"/>
      <c r="AW406" s="463"/>
    </row>
    <row r="407" spans="1:49" s="464" customFormat="1" ht="14.45" customHeight="1" x14ac:dyDescent="0.25">
      <c r="A407" s="297">
        <f t="shared" si="6"/>
        <v>32.166666666666664</v>
      </c>
      <c r="B407" s="460">
        <v>41771</v>
      </c>
      <c r="C407" s="461" t="s">
        <v>1104</v>
      </c>
      <c r="D407" s="461" t="s">
        <v>900</v>
      </c>
      <c r="E407" s="461" t="s">
        <v>380</v>
      </c>
      <c r="F407" s="461" t="s">
        <v>237</v>
      </c>
      <c r="G407" s="461" t="s">
        <v>281</v>
      </c>
      <c r="H407" s="291"/>
      <c r="I407" s="291"/>
      <c r="J407" s="291"/>
      <c r="K407" s="291"/>
      <c r="L407" s="292"/>
      <c r="M407" s="292"/>
      <c r="N407" s="292"/>
      <c r="O407" s="292"/>
      <c r="P407" s="294"/>
      <c r="Q407" s="294"/>
      <c r="R407" s="294"/>
      <c r="S407" s="294"/>
      <c r="T407" s="294"/>
      <c r="U407" s="294">
        <v>168</v>
      </c>
      <c r="V407" s="431"/>
      <c r="W407" s="294"/>
      <c r="X407" s="294"/>
      <c r="Y407" s="294">
        <f>IF(NFI_Expiration=1,IF($A407&lt;VLOOKUP(H$5,NFI,5,0),1,0)*Table_NFI[[#This Row],[Hygiene Kit]],Table_NFI[Hygiene Kit])</f>
        <v>0</v>
      </c>
      <c r="Z407" s="294">
        <f>IF(NFI_Expiration=1,IF($A407&lt;VLOOKUP(I$5,NFI,5,0),1,0)*Table_NFI[[#This Row],[NFI Core Kit]],Table_NFI[NFI Core Kit])</f>
        <v>0</v>
      </c>
      <c r="AA407" s="294">
        <f>IF(NFI_Expiration=1,IF($A407&lt;VLOOKUP(J$5,NFI,5,0),1,0)*Table_NFI[[#This Row],[Sanitary Kit]],Table_NFI[Sanitary Kit])</f>
        <v>0</v>
      </c>
      <c r="AB407" s="294">
        <f>IF(NFI_Expiration=1,IF($A407&lt;VLOOKUP(K$5,NFI,5,0),1,0)*Table_NFI[[#This Row],[Mosquito net]],Table_NFI[Mosquito net])</f>
        <v>0</v>
      </c>
      <c r="AC407" s="294">
        <f>IF(NFI_Expiration=1,IF($A407&lt;VLOOKUP(L$5,NFI,5,0),1,0)*Table_NFI[[#This Row],[Tarpaulin]],Table_NFI[[#This Row],[Tarpaulin]])</f>
        <v>0</v>
      </c>
      <c r="AD407" s="294">
        <f>IF(NFI_Expiration=1,IF($A407&lt;VLOOKUP(M$5,NFI,5,0),1,0)*Table_NFI[[#This Row],[Blanket]],Table_NFI[[#This Row],[Blanket]])</f>
        <v>0</v>
      </c>
      <c r="AE407" s="294">
        <f>IF(NFI_Expiration=1,IF($A407&lt;VLOOKUP(N$5,NFI,5,0),1,0)*Table_NFI[[#This Row],[Kitchen Set]],Table_NFI[Kitchen Set])</f>
        <v>0</v>
      </c>
      <c r="AF407" s="294">
        <f>IF(NFI_Expiration=1,IF($A407&lt;VLOOKUP(O$5,NFI,5,0),1,0)*Table_NFI[[#This Row],[Clothes Kit]],Table_NFI[Clothes Kit])</f>
        <v>0</v>
      </c>
      <c r="AG407" s="294">
        <f>IF(NFI_Expiration=1,IF($A407&lt;VLOOKUP(P$5,NFI,5,0),1,0)*Table_NFI[[#This Row],[Plastic Bucket]],Table_NFI[Plastic Bucket])</f>
        <v>0</v>
      </c>
      <c r="AH407" s="294">
        <f>IF(NFI_Expiration=1,IF($A407&lt;VLOOKUP(Q$5,NFI,5,0),1,0)*Table_NFI[[#This Row],[Plastic Mat]],Table_NFI[Plastic Mat])*IF(Table_NFI[[#This Row],[Distribution Date]]&gt;"2014-04-01",1,2.5)</f>
        <v>0</v>
      </c>
      <c r="AI407" s="294">
        <f>IF(NFI_Expiration=1,IF($A407&lt;VLOOKUP(R$5,NFI,5,0),1,0)*Table_NFI[[#This Row],[Winter Clothes Adult]],Table_NFI[Winter Clothes Adult])</f>
        <v>0</v>
      </c>
      <c r="AJ407" s="294">
        <f>IF(NFI_Expiration=1,IF($A407&lt;VLOOKUP(S$5,NFI,5,0),1,0)*Table_NFI[[#This Row],[Winter Clothes Children]],Table_NFI[Winter Clothes Children])</f>
        <v>0</v>
      </c>
      <c r="AK407" s="294">
        <f>IF(NFI_Expiration=1,IF($A407&lt;VLOOKUP(T$5,NFI,5,0),1,0)*Table_NFI[[#This Row],[Winter Items Other]],Table_NFI[Winter Items Other])</f>
        <v>0</v>
      </c>
      <c r="AL407" s="294">
        <f>IF(NFI_Expiration=1,IF($A407&lt;VLOOKUP(M$5,NFI,5,0),1,0)*Table_NFI[[#This Row],[Winter Blanket]],Table_NFI[[#This Row],[Winter Blanket]])</f>
        <v>0</v>
      </c>
      <c r="AM407" s="294">
        <f>IF(Table_NFI[[#This Row],[Winter Clothes Adult]]+Table_NFI[[#This Row],[Winter Clothes Children]]+Table_NFI[[#This Row],[Winter Items Other]]+Table_NFI[[#This Row],[Winter Blanket]]&gt;0,1,0)</f>
        <v>1</v>
      </c>
      <c r="AN407" s="331">
        <f>IF(NFI_Expiration=1,IF($A407&lt;VLOOKUP(V$5,NFI,5,0),1,0)*Table_NFI[[#This Row],[Jerry Can]],Table_NFI[Jerry Can])</f>
        <v>0</v>
      </c>
      <c r="AO407" s="331">
        <f>IF(NFI_Expiration=1,IF($A407&lt;VLOOKUP(V$5,NFI,5,0),1,0)*Table_NFI[[#This Row],[Shelter Tool kit]],Table_NFI[Shelter Tool kit])</f>
        <v>0</v>
      </c>
      <c r="AP407" s="331">
        <f>IF(NFI_Expiration=1,IF($A407&lt;VLOOKUP(V$5,NFI,5,0),1,0)*Table_NFI[[#This Row],[Tent]],Table_NFI[Tent])</f>
        <v>0</v>
      </c>
      <c r="AQ407" s="467" t="str">
        <f>IFERROR(VLOOKUP(Table_NFI[[#This Row],[Camp Name]],CL,2,0),"")</f>
        <v>MMR001CMP009</v>
      </c>
      <c r="AR407" s="835">
        <f ca="1">IF(Table_NFI[[#This Row],[Pcode]]="","",IF(OFFSET(CampList[Opening Date],MATCH(Table_NFI[[#This Row],[Pcode]],CampList[CP_Pcode],0)-1,0,1,1)&gt;=NFI_Monitor_Date,1,0))</f>
        <v>0</v>
      </c>
      <c r="AS407" s="467" t="str">
        <f>IFERROR(VLOOKUP(Table_NFI[[#This Row],[Camp Name]],CL,3,0),"")</f>
        <v>Open</v>
      </c>
      <c r="AT407" s="294" t="str">
        <f ca="1">IF(Table_NFI[[#This Row],[Pcode]]="","",OFFSET(CampList[Priority],MATCH(Table_NFI[[#This Row],[Pcode]],CampList[CP_Pcode],0)-1,0,1,1))</f>
        <v>P4</v>
      </c>
      <c r="AU407" s="293">
        <f>IFERROR(Table_NFI[[#This Row],[Kitchen Set]]/VLOOKUP(Table_NFI[[#This Row],[Camp Name]],CL,4,0),"")</f>
        <v>0</v>
      </c>
      <c r="AV407" s="461"/>
      <c r="AW407" s="463"/>
    </row>
    <row r="408" spans="1:49" s="464" customFormat="1" ht="14.45" customHeight="1" x14ac:dyDescent="0.25">
      <c r="A408" s="297">
        <f t="shared" si="6"/>
        <v>32.200000000000003</v>
      </c>
      <c r="B408" s="460">
        <v>41770</v>
      </c>
      <c r="C408" s="461" t="s">
        <v>452</v>
      </c>
      <c r="D408" s="461"/>
      <c r="E408" s="461" t="s">
        <v>553</v>
      </c>
      <c r="F408" s="461" t="s">
        <v>230</v>
      </c>
      <c r="G408" s="461" t="s">
        <v>1053</v>
      </c>
      <c r="H408" s="291"/>
      <c r="I408" s="291"/>
      <c r="J408" s="291"/>
      <c r="K408" s="291">
        <v>138</v>
      </c>
      <c r="L408" s="292">
        <v>19</v>
      </c>
      <c r="M408" s="292">
        <v>238</v>
      </c>
      <c r="N408" s="292">
        <v>19</v>
      </c>
      <c r="O408" s="292">
        <v>0</v>
      </c>
      <c r="P408" s="294">
        <v>19</v>
      </c>
      <c r="Q408" s="294">
        <v>95</v>
      </c>
      <c r="R408" s="294"/>
      <c r="S408" s="294"/>
      <c r="T408" s="294"/>
      <c r="U408" s="294"/>
      <c r="V408" s="431"/>
      <c r="W408" s="294"/>
      <c r="X408" s="294"/>
      <c r="Y408" s="294">
        <f>IF(NFI_Expiration=1,IF($A408&lt;VLOOKUP(H$5,NFI,5,0),1,0)*Table_NFI[[#This Row],[Hygiene Kit]],Table_NFI[Hygiene Kit])</f>
        <v>0</v>
      </c>
      <c r="Z408" s="294">
        <f>IF(NFI_Expiration=1,IF($A408&lt;VLOOKUP(I$5,NFI,5,0),1,0)*Table_NFI[[#This Row],[NFI Core Kit]],Table_NFI[NFI Core Kit])</f>
        <v>0</v>
      </c>
      <c r="AA408" s="294">
        <f>IF(NFI_Expiration=1,IF($A408&lt;VLOOKUP(J$5,NFI,5,0),1,0)*Table_NFI[[#This Row],[Sanitary Kit]],Table_NFI[Sanitary Kit])</f>
        <v>0</v>
      </c>
      <c r="AB408" s="294">
        <f>IF(NFI_Expiration=1,IF($A408&lt;VLOOKUP(K$5,NFI,5,0),1,0)*Table_NFI[[#This Row],[Mosquito net]],Table_NFI[Mosquito net])</f>
        <v>0</v>
      </c>
      <c r="AC408" s="294">
        <f>IF(NFI_Expiration=1,IF($A408&lt;VLOOKUP(L$5,NFI,5,0),1,0)*Table_NFI[[#This Row],[Tarpaulin]],Table_NFI[[#This Row],[Tarpaulin]])</f>
        <v>0</v>
      </c>
      <c r="AD408" s="294">
        <f>IF(NFI_Expiration=1,IF($A408&lt;VLOOKUP(M$5,NFI,5,0),1,0)*Table_NFI[[#This Row],[Blanket]],Table_NFI[[#This Row],[Blanket]])</f>
        <v>0</v>
      </c>
      <c r="AE408" s="294">
        <f>IF(NFI_Expiration=1,IF($A408&lt;VLOOKUP(N$5,NFI,5,0),1,0)*Table_NFI[[#This Row],[Kitchen Set]],Table_NFI[Kitchen Set])</f>
        <v>0</v>
      </c>
      <c r="AF408" s="294">
        <f>IF(NFI_Expiration=1,IF($A408&lt;VLOOKUP(O$5,NFI,5,0),1,0)*Table_NFI[[#This Row],[Clothes Kit]],Table_NFI[Clothes Kit])</f>
        <v>0</v>
      </c>
      <c r="AG408" s="294">
        <f>IF(NFI_Expiration=1,IF($A408&lt;VLOOKUP(P$5,NFI,5,0),1,0)*Table_NFI[[#This Row],[Plastic Bucket]],Table_NFI[Plastic Bucket])</f>
        <v>0</v>
      </c>
      <c r="AH408" s="294">
        <f>IF(NFI_Expiration=1,IF($A408&lt;VLOOKUP(Q$5,NFI,5,0),1,0)*Table_NFI[[#This Row],[Plastic Mat]],Table_NFI[Plastic Mat])*IF(Table_NFI[[#This Row],[Distribution Date]]&gt;"2014-04-01",1,2.5)</f>
        <v>0</v>
      </c>
      <c r="AI408" s="294">
        <f>IF(NFI_Expiration=1,IF($A408&lt;VLOOKUP(R$5,NFI,5,0),1,0)*Table_NFI[[#This Row],[Winter Clothes Adult]],Table_NFI[Winter Clothes Adult])</f>
        <v>0</v>
      </c>
      <c r="AJ408" s="294">
        <f>IF(NFI_Expiration=1,IF($A408&lt;VLOOKUP(S$5,NFI,5,0),1,0)*Table_NFI[[#This Row],[Winter Clothes Children]],Table_NFI[Winter Clothes Children])</f>
        <v>0</v>
      </c>
      <c r="AK408" s="294">
        <f>IF(NFI_Expiration=1,IF($A408&lt;VLOOKUP(T$5,NFI,5,0),1,0)*Table_NFI[[#This Row],[Winter Items Other]],Table_NFI[Winter Items Other])</f>
        <v>0</v>
      </c>
      <c r="AL408" s="294">
        <f>IF(NFI_Expiration=1,IF($A408&lt;VLOOKUP(M$5,NFI,5,0),1,0)*Table_NFI[[#This Row],[Winter Blanket]],Table_NFI[[#This Row],[Winter Blanket]])</f>
        <v>0</v>
      </c>
      <c r="AM408" s="294">
        <f>IF(Table_NFI[[#This Row],[Winter Clothes Adult]]+Table_NFI[[#This Row],[Winter Clothes Children]]+Table_NFI[[#This Row],[Winter Items Other]]+Table_NFI[[#This Row],[Winter Blanket]]&gt;0,1,0)</f>
        <v>0</v>
      </c>
      <c r="AN408" s="331">
        <f>IF(NFI_Expiration=1,IF($A408&lt;VLOOKUP(V$5,NFI,5,0),1,0)*Table_NFI[[#This Row],[Jerry Can]],Table_NFI[Jerry Can])</f>
        <v>0</v>
      </c>
      <c r="AO408" s="331">
        <f>IF(NFI_Expiration=1,IF($A408&lt;VLOOKUP(V$5,NFI,5,0),1,0)*Table_NFI[[#This Row],[Shelter Tool kit]],Table_NFI[Shelter Tool kit])</f>
        <v>0</v>
      </c>
      <c r="AP408" s="331">
        <f>IF(NFI_Expiration=1,IF($A408&lt;VLOOKUP(V$5,NFI,5,0),1,0)*Table_NFI[[#This Row],[Tent]],Table_NFI[Tent])</f>
        <v>0</v>
      </c>
      <c r="AQ408" s="467" t="str">
        <f>IFERROR(VLOOKUP(Table_NFI[[#This Row],[Camp Name]],CL,2,0),"")</f>
        <v>MMR015CMP213</v>
      </c>
      <c r="AR408" s="835">
        <f ca="1">IF(Table_NFI[[#This Row],[Pcode]]="","",IF(OFFSET(CampList[Opening Date],MATCH(Table_NFI[[#This Row],[Pcode]],CampList[CP_Pcode],0)-1,0,1,1)&gt;=NFI_Monitor_Date,1,0))</f>
        <v>1</v>
      </c>
      <c r="AS408" s="467" t="str">
        <f>IFERROR(VLOOKUP(Table_NFI[[#This Row],[Camp Name]],CL,3,0),"")</f>
        <v>Open</v>
      </c>
      <c r="AT408" s="294" t="str">
        <f ca="1">IF(Table_NFI[[#This Row],[Pcode]]="","",OFFSET(CampList[Priority],MATCH(Table_NFI[[#This Row],[Pcode]],CampList[CP_Pcode],0)-1,0,1,1))</f>
        <v>P4</v>
      </c>
      <c r="AU408" s="293">
        <f>IFERROR(Table_NFI[[#This Row],[Kitchen Set]]/VLOOKUP(Table_NFI[[#This Row],[Camp Name]],CL,4,0),"")</f>
        <v>4.5560271443301442E-4</v>
      </c>
      <c r="AV408" s="461"/>
      <c r="AW408" s="463" t="s">
        <v>1232</v>
      </c>
    </row>
    <row r="409" spans="1:49" s="464" customFormat="1" ht="14.45" customHeight="1" x14ac:dyDescent="0.25">
      <c r="A409" s="297">
        <f t="shared" si="6"/>
        <v>32.200000000000003</v>
      </c>
      <c r="B409" s="460">
        <v>41770</v>
      </c>
      <c r="C409" s="461" t="s">
        <v>452</v>
      </c>
      <c r="D409" s="461"/>
      <c r="E409" s="461" t="s">
        <v>553</v>
      </c>
      <c r="F409" s="461" t="s">
        <v>230</v>
      </c>
      <c r="G409" s="461" t="s">
        <v>1053</v>
      </c>
      <c r="H409" s="291"/>
      <c r="I409" s="291"/>
      <c r="J409" s="291"/>
      <c r="K409" s="291">
        <v>162</v>
      </c>
      <c r="L409" s="292">
        <v>81</v>
      </c>
      <c r="M409" s="292">
        <v>162</v>
      </c>
      <c r="N409" s="292">
        <v>81</v>
      </c>
      <c r="O409" s="292"/>
      <c r="P409" s="294">
        <v>81</v>
      </c>
      <c r="Q409" s="294">
        <v>405</v>
      </c>
      <c r="R409" s="294"/>
      <c r="S409" s="294"/>
      <c r="T409" s="294"/>
      <c r="U409" s="294"/>
      <c r="V409" s="431"/>
      <c r="W409" s="294"/>
      <c r="X409" s="294"/>
      <c r="Y409" s="294">
        <f>IF(NFI_Expiration=1,IF($A409&lt;VLOOKUP(H$5,NFI,5,0),1,0)*Table_NFI[[#This Row],[Hygiene Kit]],Table_NFI[Hygiene Kit])</f>
        <v>0</v>
      </c>
      <c r="Z409" s="294">
        <f>IF(NFI_Expiration=1,IF($A409&lt;VLOOKUP(I$5,NFI,5,0),1,0)*Table_NFI[[#This Row],[NFI Core Kit]],Table_NFI[NFI Core Kit])</f>
        <v>0</v>
      </c>
      <c r="AA409" s="294">
        <f>IF(NFI_Expiration=1,IF($A409&lt;VLOOKUP(J$5,NFI,5,0),1,0)*Table_NFI[[#This Row],[Sanitary Kit]],Table_NFI[Sanitary Kit])</f>
        <v>0</v>
      </c>
      <c r="AB409" s="294">
        <f>IF(NFI_Expiration=1,IF($A409&lt;VLOOKUP(K$5,NFI,5,0),1,0)*Table_NFI[[#This Row],[Mosquito net]],Table_NFI[Mosquito net])</f>
        <v>0</v>
      </c>
      <c r="AC409" s="294">
        <f>IF(NFI_Expiration=1,IF($A409&lt;VLOOKUP(L$5,NFI,5,0),1,0)*Table_NFI[[#This Row],[Tarpaulin]],Table_NFI[[#This Row],[Tarpaulin]])</f>
        <v>0</v>
      </c>
      <c r="AD409" s="294">
        <f>IF(NFI_Expiration=1,IF($A409&lt;VLOOKUP(M$5,NFI,5,0),1,0)*Table_NFI[[#This Row],[Blanket]],Table_NFI[[#This Row],[Blanket]])</f>
        <v>0</v>
      </c>
      <c r="AE409" s="294">
        <f>IF(NFI_Expiration=1,IF($A409&lt;VLOOKUP(N$5,NFI,5,0),1,0)*Table_NFI[[#This Row],[Kitchen Set]],Table_NFI[Kitchen Set])</f>
        <v>0</v>
      </c>
      <c r="AF409" s="294">
        <f>IF(NFI_Expiration=1,IF($A409&lt;VLOOKUP(O$5,NFI,5,0),1,0)*Table_NFI[[#This Row],[Clothes Kit]],Table_NFI[Clothes Kit])</f>
        <v>0</v>
      </c>
      <c r="AG409" s="294">
        <f>IF(NFI_Expiration=1,IF($A409&lt;VLOOKUP(P$5,NFI,5,0),1,0)*Table_NFI[[#This Row],[Plastic Bucket]],Table_NFI[Plastic Bucket])</f>
        <v>0</v>
      </c>
      <c r="AH409" s="294">
        <f>IF(NFI_Expiration=1,IF($A409&lt;VLOOKUP(Q$5,NFI,5,0),1,0)*Table_NFI[[#This Row],[Plastic Mat]],Table_NFI[Plastic Mat])*IF(Table_NFI[[#This Row],[Distribution Date]]&gt;"2014-04-01",1,2.5)</f>
        <v>0</v>
      </c>
      <c r="AI409" s="294">
        <f>IF(NFI_Expiration=1,IF($A409&lt;VLOOKUP(R$5,NFI,5,0),1,0)*Table_NFI[[#This Row],[Winter Clothes Adult]],Table_NFI[Winter Clothes Adult])</f>
        <v>0</v>
      </c>
      <c r="AJ409" s="294">
        <f>IF(NFI_Expiration=1,IF($A409&lt;VLOOKUP(S$5,NFI,5,0),1,0)*Table_NFI[[#This Row],[Winter Clothes Children]],Table_NFI[Winter Clothes Children])</f>
        <v>0</v>
      </c>
      <c r="AK409" s="294">
        <f>IF(NFI_Expiration=1,IF($A409&lt;VLOOKUP(T$5,NFI,5,0),1,0)*Table_NFI[[#This Row],[Winter Items Other]],Table_NFI[Winter Items Other])</f>
        <v>0</v>
      </c>
      <c r="AL409" s="294">
        <f>IF(NFI_Expiration=1,IF($A409&lt;VLOOKUP(M$5,NFI,5,0),1,0)*Table_NFI[[#This Row],[Winter Blanket]],Table_NFI[[#This Row],[Winter Blanket]])</f>
        <v>0</v>
      </c>
      <c r="AM409" s="294">
        <f>IF(Table_NFI[[#This Row],[Winter Clothes Adult]]+Table_NFI[[#This Row],[Winter Clothes Children]]+Table_NFI[[#This Row],[Winter Items Other]]+Table_NFI[[#This Row],[Winter Blanket]]&gt;0,1,0)</f>
        <v>0</v>
      </c>
      <c r="AN409" s="331">
        <f>IF(NFI_Expiration=1,IF($A409&lt;VLOOKUP(V$5,NFI,5,0),1,0)*Table_NFI[[#This Row],[Jerry Can]],Table_NFI[Jerry Can])</f>
        <v>0</v>
      </c>
      <c r="AO409" s="331">
        <f>IF(NFI_Expiration=1,IF($A409&lt;VLOOKUP(V$5,NFI,5,0),1,0)*Table_NFI[[#This Row],[Shelter Tool kit]],Table_NFI[Shelter Tool kit])</f>
        <v>0</v>
      </c>
      <c r="AP409" s="331">
        <f>IF(NFI_Expiration=1,IF($A409&lt;VLOOKUP(V$5,NFI,5,0),1,0)*Table_NFI[[#This Row],[Tent]],Table_NFI[Tent])</f>
        <v>0</v>
      </c>
      <c r="AQ409" s="467" t="str">
        <f>IFERROR(VLOOKUP(Table_NFI[[#This Row],[Camp Name]],CL,2,0),"")</f>
        <v>MMR015CMP213</v>
      </c>
      <c r="AR409" s="835">
        <f ca="1">IF(Table_NFI[[#This Row],[Pcode]]="","",IF(OFFSET(CampList[Opening Date],MATCH(Table_NFI[[#This Row],[Pcode]],CampList[CP_Pcode],0)-1,0,1,1)&gt;=NFI_Monitor_Date,1,0))</f>
        <v>1</v>
      </c>
      <c r="AS409" s="467" t="str">
        <f>IFERROR(VLOOKUP(Table_NFI[[#This Row],[Camp Name]],CL,3,0),"")</f>
        <v>Open</v>
      </c>
      <c r="AT409" s="294" t="str">
        <f ca="1">IF(Table_NFI[[#This Row],[Pcode]]="","",OFFSET(CampList[Priority],MATCH(Table_NFI[[#This Row],[Pcode]],CampList[CP_Pcode],0)-1,0,1,1))</f>
        <v>P4</v>
      </c>
      <c r="AU409" s="293">
        <f>IFERROR(Table_NFI[[#This Row],[Kitchen Set]]/VLOOKUP(Table_NFI[[#This Row],[Camp Name]],CL,4,0),"")</f>
        <v>1.9423063088986404E-3</v>
      </c>
      <c r="AV409" s="461"/>
      <c r="AW409" s="463"/>
    </row>
    <row r="410" spans="1:49" s="464" customFormat="1" ht="14.45" customHeight="1" x14ac:dyDescent="0.25">
      <c r="A410" s="297">
        <f t="shared" si="6"/>
        <v>32.266666666666666</v>
      </c>
      <c r="B410" s="460">
        <v>41768</v>
      </c>
      <c r="C410" s="461" t="s">
        <v>1104</v>
      </c>
      <c r="D410" s="461" t="s">
        <v>900</v>
      </c>
      <c r="E410" s="461" t="s">
        <v>380</v>
      </c>
      <c r="F410" s="461" t="s">
        <v>237</v>
      </c>
      <c r="G410" s="461" t="s">
        <v>273</v>
      </c>
      <c r="H410" s="291"/>
      <c r="I410" s="291"/>
      <c r="J410" s="291"/>
      <c r="K410" s="291"/>
      <c r="L410" s="292"/>
      <c r="M410" s="292"/>
      <c r="N410" s="292"/>
      <c r="O410" s="292"/>
      <c r="P410" s="294"/>
      <c r="Q410" s="294"/>
      <c r="R410" s="294"/>
      <c r="S410" s="294"/>
      <c r="T410" s="294"/>
      <c r="U410" s="294">
        <v>58</v>
      </c>
      <c r="V410" s="431"/>
      <c r="W410" s="294"/>
      <c r="X410" s="294"/>
      <c r="Y410" s="294">
        <f>IF(NFI_Expiration=1,IF($A410&lt;VLOOKUP(H$5,NFI,5,0),1,0)*Table_NFI[[#This Row],[Hygiene Kit]],Table_NFI[Hygiene Kit])</f>
        <v>0</v>
      </c>
      <c r="Z410" s="294">
        <f>IF(NFI_Expiration=1,IF($A410&lt;VLOOKUP(I$5,NFI,5,0),1,0)*Table_NFI[[#This Row],[NFI Core Kit]],Table_NFI[NFI Core Kit])</f>
        <v>0</v>
      </c>
      <c r="AA410" s="294">
        <f>IF(NFI_Expiration=1,IF($A410&lt;VLOOKUP(J$5,NFI,5,0),1,0)*Table_NFI[[#This Row],[Sanitary Kit]],Table_NFI[Sanitary Kit])</f>
        <v>0</v>
      </c>
      <c r="AB410" s="294">
        <f>IF(NFI_Expiration=1,IF($A410&lt;VLOOKUP(K$5,NFI,5,0),1,0)*Table_NFI[[#This Row],[Mosquito net]],Table_NFI[Mosquito net])</f>
        <v>0</v>
      </c>
      <c r="AC410" s="294">
        <f>IF(NFI_Expiration=1,IF($A410&lt;VLOOKUP(L$5,NFI,5,0),1,0)*Table_NFI[[#This Row],[Tarpaulin]],Table_NFI[[#This Row],[Tarpaulin]])</f>
        <v>0</v>
      </c>
      <c r="AD410" s="294">
        <f>IF(NFI_Expiration=1,IF($A410&lt;VLOOKUP(M$5,NFI,5,0),1,0)*Table_NFI[[#This Row],[Blanket]],Table_NFI[[#This Row],[Blanket]])</f>
        <v>0</v>
      </c>
      <c r="AE410" s="294">
        <f>IF(NFI_Expiration=1,IF($A410&lt;VLOOKUP(N$5,NFI,5,0),1,0)*Table_NFI[[#This Row],[Kitchen Set]],Table_NFI[Kitchen Set])</f>
        <v>0</v>
      </c>
      <c r="AF410" s="294">
        <f>IF(NFI_Expiration=1,IF($A410&lt;VLOOKUP(O$5,NFI,5,0),1,0)*Table_NFI[[#This Row],[Clothes Kit]],Table_NFI[Clothes Kit])</f>
        <v>0</v>
      </c>
      <c r="AG410" s="294">
        <f>IF(NFI_Expiration=1,IF($A410&lt;VLOOKUP(P$5,NFI,5,0),1,0)*Table_NFI[[#This Row],[Plastic Bucket]],Table_NFI[Plastic Bucket])</f>
        <v>0</v>
      </c>
      <c r="AH410" s="294">
        <f>IF(NFI_Expiration=1,IF($A410&lt;VLOOKUP(Q$5,NFI,5,0),1,0)*Table_NFI[[#This Row],[Plastic Mat]],Table_NFI[Plastic Mat])*IF(Table_NFI[[#This Row],[Distribution Date]]&gt;"2014-04-01",1,2.5)</f>
        <v>0</v>
      </c>
      <c r="AI410" s="294">
        <f>IF(NFI_Expiration=1,IF($A410&lt;VLOOKUP(R$5,NFI,5,0),1,0)*Table_NFI[[#This Row],[Winter Clothes Adult]],Table_NFI[Winter Clothes Adult])</f>
        <v>0</v>
      </c>
      <c r="AJ410" s="294">
        <f>IF(NFI_Expiration=1,IF($A410&lt;VLOOKUP(S$5,NFI,5,0),1,0)*Table_NFI[[#This Row],[Winter Clothes Children]],Table_NFI[Winter Clothes Children])</f>
        <v>0</v>
      </c>
      <c r="AK410" s="294">
        <f>IF(NFI_Expiration=1,IF($A410&lt;VLOOKUP(T$5,NFI,5,0),1,0)*Table_NFI[[#This Row],[Winter Items Other]],Table_NFI[Winter Items Other])</f>
        <v>0</v>
      </c>
      <c r="AL410" s="294">
        <f>IF(NFI_Expiration=1,IF($A410&lt;VLOOKUP(M$5,NFI,5,0),1,0)*Table_NFI[[#This Row],[Winter Blanket]],Table_NFI[[#This Row],[Winter Blanket]])</f>
        <v>0</v>
      </c>
      <c r="AM410" s="294">
        <f>IF(Table_NFI[[#This Row],[Winter Clothes Adult]]+Table_NFI[[#This Row],[Winter Clothes Children]]+Table_NFI[[#This Row],[Winter Items Other]]+Table_NFI[[#This Row],[Winter Blanket]]&gt;0,1,0)</f>
        <v>1</v>
      </c>
      <c r="AN410" s="331">
        <f>IF(NFI_Expiration=1,IF($A410&lt;VLOOKUP(V$5,NFI,5,0),1,0)*Table_NFI[[#This Row],[Jerry Can]],Table_NFI[Jerry Can])</f>
        <v>0</v>
      </c>
      <c r="AO410" s="331">
        <f>IF(NFI_Expiration=1,IF($A410&lt;VLOOKUP(V$5,NFI,5,0),1,0)*Table_NFI[[#This Row],[Shelter Tool kit]],Table_NFI[Shelter Tool kit])</f>
        <v>0</v>
      </c>
      <c r="AP410" s="331">
        <f>IF(NFI_Expiration=1,IF($A410&lt;VLOOKUP(V$5,NFI,5,0),1,0)*Table_NFI[[#This Row],[Tent]],Table_NFI[Tent])</f>
        <v>0</v>
      </c>
      <c r="AQ410" s="467" t="str">
        <f>IFERROR(VLOOKUP(Table_NFI[[#This Row],[Camp Name]],CL,2,0),"")</f>
        <v>MMR001CMP162</v>
      </c>
      <c r="AR410" s="835">
        <f ca="1">IF(Table_NFI[[#This Row],[Pcode]]="","",IF(OFFSET(CampList[Opening Date],MATCH(Table_NFI[[#This Row],[Pcode]],CampList[CP_Pcode],0)-1,0,1,1)&gt;=NFI_Monitor_Date,1,0))</f>
        <v>0</v>
      </c>
      <c r="AS410" s="467" t="str">
        <f>IFERROR(VLOOKUP(Table_NFI[[#This Row],[Camp Name]],CL,3,0),"")</f>
        <v>Open</v>
      </c>
      <c r="AT410" s="294" t="str">
        <f ca="1">IF(Table_NFI[[#This Row],[Pcode]]="","",OFFSET(CampList[Priority],MATCH(Table_NFI[[#This Row],[Pcode]],CampList[CP_Pcode],0)-1,0,1,1))</f>
        <v>P4</v>
      </c>
      <c r="AU410" s="293">
        <f>IFERROR(Table_NFI[[#This Row],[Kitchen Set]]/VLOOKUP(Table_NFI[[#This Row],[Camp Name]],CL,4,0),"")</f>
        <v>0</v>
      </c>
      <c r="AV410" s="461"/>
      <c r="AW410" s="463"/>
    </row>
    <row r="411" spans="1:49" s="464" customFormat="1" x14ac:dyDescent="0.25">
      <c r="A411" s="297">
        <f t="shared" si="6"/>
        <v>32.266666666666666</v>
      </c>
      <c r="B411" s="460">
        <v>41768</v>
      </c>
      <c r="C411" s="461" t="s">
        <v>1104</v>
      </c>
      <c r="D411" s="461" t="s">
        <v>900</v>
      </c>
      <c r="E411" s="461" t="s">
        <v>380</v>
      </c>
      <c r="F411" s="461" t="s">
        <v>237</v>
      </c>
      <c r="G411" s="461" t="s">
        <v>277</v>
      </c>
      <c r="H411" s="291"/>
      <c r="I411" s="291"/>
      <c r="J411" s="291"/>
      <c r="K411" s="291"/>
      <c r="L411" s="292"/>
      <c r="M411" s="292"/>
      <c r="N411" s="292"/>
      <c r="O411" s="292"/>
      <c r="P411" s="294"/>
      <c r="Q411" s="294"/>
      <c r="R411" s="294"/>
      <c r="S411" s="294"/>
      <c r="T411" s="294"/>
      <c r="U411" s="294">
        <v>208</v>
      </c>
      <c r="V411" s="431"/>
      <c r="W411" s="294"/>
      <c r="X411" s="294"/>
      <c r="Y411" s="294">
        <f>IF(NFI_Expiration=1,IF($A411&lt;VLOOKUP(H$5,NFI,5,0),1,0)*Table_NFI[[#This Row],[Hygiene Kit]],Table_NFI[Hygiene Kit])</f>
        <v>0</v>
      </c>
      <c r="Z411" s="294">
        <f>IF(NFI_Expiration=1,IF($A411&lt;VLOOKUP(I$5,NFI,5,0),1,0)*Table_NFI[[#This Row],[NFI Core Kit]],Table_NFI[NFI Core Kit])</f>
        <v>0</v>
      </c>
      <c r="AA411" s="294">
        <f>IF(NFI_Expiration=1,IF($A411&lt;VLOOKUP(J$5,NFI,5,0),1,0)*Table_NFI[[#This Row],[Sanitary Kit]],Table_NFI[Sanitary Kit])</f>
        <v>0</v>
      </c>
      <c r="AB411" s="294">
        <f>IF(NFI_Expiration=1,IF($A411&lt;VLOOKUP(K$5,NFI,5,0),1,0)*Table_NFI[[#This Row],[Mosquito net]],Table_NFI[Mosquito net])</f>
        <v>0</v>
      </c>
      <c r="AC411" s="294">
        <f>IF(NFI_Expiration=1,IF($A411&lt;VLOOKUP(L$5,NFI,5,0),1,0)*Table_NFI[[#This Row],[Tarpaulin]],Table_NFI[[#This Row],[Tarpaulin]])</f>
        <v>0</v>
      </c>
      <c r="AD411" s="294">
        <f>IF(NFI_Expiration=1,IF($A411&lt;VLOOKUP(M$5,NFI,5,0),1,0)*Table_NFI[[#This Row],[Blanket]],Table_NFI[[#This Row],[Blanket]])</f>
        <v>0</v>
      </c>
      <c r="AE411" s="294">
        <f>IF(NFI_Expiration=1,IF($A411&lt;VLOOKUP(N$5,NFI,5,0),1,0)*Table_NFI[[#This Row],[Kitchen Set]],Table_NFI[Kitchen Set])</f>
        <v>0</v>
      </c>
      <c r="AF411" s="294">
        <f>IF(NFI_Expiration=1,IF($A411&lt;VLOOKUP(O$5,NFI,5,0),1,0)*Table_NFI[[#This Row],[Clothes Kit]],Table_NFI[Clothes Kit])</f>
        <v>0</v>
      </c>
      <c r="AG411" s="294">
        <f>IF(NFI_Expiration=1,IF($A411&lt;VLOOKUP(P$5,NFI,5,0),1,0)*Table_NFI[[#This Row],[Plastic Bucket]],Table_NFI[Plastic Bucket])</f>
        <v>0</v>
      </c>
      <c r="AH411" s="294">
        <f>IF(NFI_Expiration=1,IF($A411&lt;VLOOKUP(Q$5,NFI,5,0),1,0)*Table_NFI[[#This Row],[Plastic Mat]],Table_NFI[Plastic Mat])*IF(Table_NFI[[#This Row],[Distribution Date]]&gt;"2014-04-01",1,2.5)</f>
        <v>0</v>
      </c>
      <c r="AI411" s="294">
        <f>IF(NFI_Expiration=1,IF($A411&lt;VLOOKUP(R$5,NFI,5,0),1,0)*Table_NFI[[#This Row],[Winter Clothes Adult]],Table_NFI[Winter Clothes Adult])</f>
        <v>0</v>
      </c>
      <c r="AJ411" s="294">
        <f>IF(NFI_Expiration=1,IF($A411&lt;VLOOKUP(S$5,NFI,5,0),1,0)*Table_NFI[[#This Row],[Winter Clothes Children]],Table_NFI[Winter Clothes Children])</f>
        <v>0</v>
      </c>
      <c r="AK411" s="294">
        <f>IF(NFI_Expiration=1,IF($A411&lt;VLOOKUP(T$5,NFI,5,0),1,0)*Table_NFI[[#This Row],[Winter Items Other]],Table_NFI[Winter Items Other])</f>
        <v>0</v>
      </c>
      <c r="AL411" s="294">
        <f>IF(NFI_Expiration=1,IF($A411&lt;VLOOKUP(M$5,NFI,5,0),1,0)*Table_NFI[[#This Row],[Winter Blanket]],Table_NFI[[#This Row],[Winter Blanket]])</f>
        <v>0</v>
      </c>
      <c r="AM411" s="294">
        <f>IF(Table_NFI[[#This Row],[Winter Clothes Adult]]+Table_NFI[[#This Row],[Winter Clothes Children]]+Table_NFI[[#This Row],[Winter Items Other]]+Table_NFI[[#This Row],[Winter Blanket]]&gt;0,1,0)</f>
        <v>1</v>
      </c>
      <c r="AN411" s="331">
        <f>IF(NFI_Expiration=1,IF($A411&lt;VLOOKUP(V$5,NFI,5,0),1,0)*Table_NFI[[#This Row],[Jerry Can]],Table_NFI[Jerry Can])</f>
        <v>0</v>
      </c>
      <c r="AO411" s="331">
        <f>IF(NFI_Expiration=1,IF($A411&lt;VLOOKUP(V$5,NFI,5,0),1,0)*Table_NFI[[#This Row],[Shelter Tool kit]],Table_NFI[Shelter Tool kit])</f>
        <v>0</v>
      </c>
      <c r="AP411" s="331">
        <f>IF(NFI_Expiration=1,IF($A411&lt;VLOOKUP(V$5,NFI,5,0),1,0)*Table_NFI[[#This Row],[Tent]],Table_NFI[Tent])</f>
        <v>0</v>
      </c>
      <c r="AQ411" s="467" t="str">
        <f>IFERROR(VLOOKUP(Table_NFI[[#This Row],[Camp Name]],CL,2,0),"")</f>
        <v>MMR001CMP006</v>
      </c>
      <c r="AR411" s="835">
        <f ca="1">IF(Table_NFI[[#This Row],[Pcode]]="","",IF(OFFSET(CampList[Opening Date],MATCH(Table_NFI[[#This Row],[Pcode]],CampList[CP_Pcode],0)-1,0,1,1)&gt;=NFI_Monitor_Date,1,0))</f>
        <v>0</v>
      </c>
      <c r="AS411" s="467" t="str">
        <f>IFERROR(VLOOKUP(Table_NFI[[#This Row],[Camp Name]],CL,3,0),"")</f>
        <v>Open</v>
      </c>
      <c r="AT411" s="294" t="str">
        <f ca="1">IF(Table_NFI[[#This Row],[Pcode]]="","",OFFSET(CampList[Priority],MATCH(Table_NFI[[#This Row],[Pcode]],CampList[CP_Pcode],0)-1,0,1,1))</f>
        <v>P4</v>
      </c>
      <c r="AU411" s="293">
        <f>IFERROR(Table_NFI[[#This Row],[Kitchen Set]]/VLOOKUP(Table_NFI[[#This Row],[Camp Name]],CL,4,0),"")</f>
        <v>0</v>
      </c>
      <c r="AV411" s="461"/>
      <c r="AW411" s="463"/>
    </row>
    <row r="412" spans="1:49" s="464" customFormat="1" x14ac:dyDescent="0.25">
      <c r="A412" s="297">
        <f t="shared" si="6"/>
        <v>32.866666666666667</v>
      </c>
      <c r="B412" s="460">
        <v>41750</v>
      </c>
      <c r="C412" s="461" t="s">
        <v>452</v>
      </c>
      <c r="D412" s="461" t="s">
        <v>452</v>
      </c>
      <c r="E412" s="461" t="s">
        <v>380</v>
      </c>
      <c r="F412" s="461" t="s">
        <v>5</v>
      </c>
      <c r="G412" s="461" t="s">
        <v>6</v>
      </c>
      <c r="H412" s="291"/>
      <c r="I412" s="291"/>
      <c r="J412" s="291">
        <v>5</v>
      </c>
      <c r="K412" s="291">
        <v>6</v>
      </c>
      <c r="L412" s="292">
        <v>2</v>
      </c>
      <c r="M412" s="292">
        <v>6</v>
      </c>
      <c r="N412" s="292">
        <v>2</v>
      </c>
      <c r="O412" s="292">
        <v>2</v>
      </c>
      <c r="P412" s="294">
        <v>2</v>
      </c>
      <c r="Q412" s="294">
        <v>6</v>
      </c>
      <c r="R412" s="294"/>
      <c r="S412" s="294"/>
      <c r="T412" s="294"/>
      <c r="U412" s="294"/>
      <c r="V412" s="431"/>
      <c r="W412" s="294"/>
      <c r="X412" s="294"/>
      <c r="Y412" s="294">
        <f>IF(NFI_Expiration=1,IF($A412&lt;VLOOKUP(H$5,NFI,5,0),1,0)*Table_NFI[[#This Row],[Hygiene Kit]],Table_NFI[Hygiene Kit])</f>
        <v>0</v>
      </c>
      <c r="Z412" s="294">
        <f>IF(NFI_Expiration=1,IF($A412&lt;VLOOKUP(I$5,NFI,5,0),1,0)*Table_NFI[[#This Row],[NFI Core Kit]],Table_NFI[NFI Core Kit])</f>
        <v>0</v>
      </c>
      <c r="AA412" s="294">
        <f>IF(NFI_Expiration=1,IF($A412&lt;VLOOKUP(J$5,NFI,5,0),1,0)*Table_NFI[[#This Row],[Sanitary Kit]],Table_NFI[Sanitary Kit])</f>
        <v>0</v>
      </c>
      <c r="AB412" s="294">
        <f>IF(NFI_Expiration=1,IF($A412&lt;VLOOKUP(K$5,NFI,5,0),1,0)*Table_NFI[[#This Row],[Mosquito net]],Table_NFI[Mosquito net])</f>
        <v>0</v>
      </c>
      <c r="AC412" s="294">
        <f>IF(NFI_Expiration=1,IF($A412&lt;VLOOKUP(L$5,NFI,5,0),1,0)*Table_NFI[[#This Row],[Tarpaulin]],Table_NFI[[#This Row],[Tarpaulin]])</f>
        <v>0</v>
      </c>
      <c r="AD412" s="294">
        <f>IF(NFI_Expiration=1,IF($A412&lt;VLOOKUP(M$5,NFI,5,0),1,0)*Table_NFI[[#This Row],[Blanket]],Table_NFI[[#This Row],[Blanket]])</f>
        <v>0</v>
      </c>
      <c r="AE412" s="294">
        <f>IF(NFI_Expiration=1,IF($A412&lt;VLOOKUP(N$5,NFI,5,0),1,0)*Table_NFI[[#This Row],[Kitchen Set]],Table_NFI[Kitchen Set])</f>
        <v>0</v>
      </c>
      <c r="AF412" s="294">
        <f>IF(NFI_Expiration=1,IF($A412&lt;VLOOKUP(O$5,NFI,5,0),1,0)*Table_NFI[[#This Row],[Clothes Kit]],Table_NFI[Clothes Kit])</f>
        <v>0</v>
      </c>
      <c r="AG412" s="294">
        <f>IF(NFI_Expiration=1,IF($A412&lt;VLOOKUP(P$5,NFI,5,0),1,0)*Table_NFI[[#This Row],[Plastic Bucket]],Table_NFI[Plastic Bucket])</f>
        <v>0</v>
      </c>
      <c r="AH412" s="294">
        <f>IF(NFI_Expiration=1,IF($A412&lt;VLOOKUP(Q$5,NFI,5,0),1,0)*Table_NFI[[#This Row],[Plastic Mat]],Table_NFI[Plastic Mat])*IF(Table_NFI[[#This Row],[Distribution Date]]&gt;"2014-04-01",1,2.5)</f>
        <v>0</v>
      </c>
      <c r="AI412" s="294">
        <f>IF(NFI_Expiration=1,IF($A412&lt;VLOOKUP(R$5,NFI,5,0),1,0)*Table_NFI[[#This Row],[Winter Clothes Adult]],Table_NFI[Winter Clothes Adult])</f>
        <v>0</v>
      </c>
      <c r="AJ412" s="294">
        <f>IF(NFI_Expiration=1,IF($A412&lt;VLOOKUP(S$5,NFI,5,0),1,0)*Table_NFI[[#This Row],[Winter Clothes Children]],Table_NFI[Winter Clothes Children])</f>
        <v>0</v>
      </c>
      <c r="AK412" s="294">
        <f>IF(NFI_Expiration=1,IF($A412&lt;VLOOKUP(T$5,NFI,5,0),1,0)*Table_NFI[[#This Row],[Winter Items Other]],Table_NFI[Winter Items Other])</f>
        <v>0</v>
      </c>
      <c r="AL412" s="294">
        <f>IF(NFI_Expiration=1,IF($A412&lt;VLOOKUP(M$5,NFI,5,0),1,0)*Table_NFI[[#This Row],[Winter Blanket]],Table_NFI[[#This Row],[Winter Blanket]])</f>
        <v>0</v>
      </c>
      <c r="AM412" s="294">
        <f>IF(Table_NFI[[#This Row],[Winter Clothes Adult]]+Table_NFI[[#This Row],[Winter Clothes Children]]+Table_NFI[[#This Row],[Winter Items Other]]+Table_NFI[[#This Row],[Winter Blanket]]&gt;0,1,0)</f>
        <v>0</v>
      </c>
      <c r="AN412" s="331">
        <f>IF(NFI_Expiration=1,IF($A412&lt;VLOOKUP(V$5,NFI,5,0),1,0)*Table_NFI[[#This Row],[Jerry Can]],Table_NFI[Jerry Can])</f>
        <v>0</v>
      </c>
      <c r="AO412" s="331">
        <f>IF(NFI_Expiration=1,IF($A412&lt;VLOOKUP(V$5,NFI,5,0),1,0)*Table_NFI[[#This Row],[Shelter Tool kit]],Table_NFI[Shelter Tool kit])</f>
        <v>0</v>
      </c>
      <c r="AP412" s="331">
        <f>IF(NFI_Expiration=1,IF($A412&lt;VLOOKUP(V$5,NFI,5,0),1,0)*Table_NFI[[#This Row],[Tent]],Table_NFI[Tent])</f>
        <v>0</v>
      </c>
      <c r="AQ412" s="467" t="str">
        <f>IFERROR(VLOOKUP(Table_NFI[[#This Row],[Camp Name]],CL,2,0),"")</f>
        <v>MMR001CMP050</v>
      </c>
      <c r="AR412" s="835">
        <f ca="1">IF(Table_NFI[[#This Row],[Pcode]]="","",IF(OFFSET(CampList[Opening Date],MATCH(Table_NFI[[#This Row],[Pcode]],CampList[CP_Pcode],0)-1,0,1,1)&gt;=NFI_Monitor_Date,1,0))</f>
        <v>0</v>
      </c>
      <c r="AS412" s="467" t="str">
        <f>IFERROR(VLOOKUP(Table_NFI[[#This Row],[Camp Name]],CL,3,0),"")</f>
        <v>Open</v>
      </c>
      <c r="AT412" s="294" t="str">
        <f ca="1">IF(Table_NFI[[#This Row],[Pcode]]="","",OFFSET(CampList[Priority],MATCH(Table_NFI[[#This Row],[Pcode]],CampList[CP_Pcode],0)-1,0,1,1))</f>
        <v>P4</v>
      </c>
      <c r="AU412" s="293">
        <f>IFERROR(Table_NFI[[#This Row],[Kitchen Set]]/VLOOKUP(Table_NFI[[#This Row],[Camp Name]],CL,4,0),"")</f>
        <v>4.8962005483744613E-5</v>
      </c>
      <c r="AV412" s="461" t="s">
        <v>1092</v>
      </c>
      <c r="AW412" s="463"/>
    </row>
    <row r="413" spans="1:49" s="464" customFormat="1" ht="14.45" customHeight="1" x14ac:dyDescent="0.25">
      <c r="A413" s="297">
        <f t="shared" si="6"/>
        <v>32.866666666666667</v>
      </c>
      <c r="B413" s="460">
        <v>41750</v>
      </c>
      <c r="C413" s="461" t="s">
        <v>452</v>
      </c>
      <c r="D413" s="461"/>
      <c r="E413" s="461" t="s">
        <v>380</v>
      </c>
      <c r="F413" s="290" t="s">
        <v>151</v>
      </c>
      <c r="G413" s="461" t="s">
        <v>1034</v>
      </c>
      <c r="H413" s="291"/>
      <c r="I413" s="291"/>
      <c r="J413" s="291"/>
      <c r="K413" s="291">
        <v>800</v>
      </c>
      <c r="L413" s="292">
        <v>400</v>
      </c>
      <c r="M413" s="292"/>
      <c r="N413" s="292">
        <v>100</v>
      </c>
      <c r="O413" s="292"/>
      <c r="P413" s="294">
        <v>400</v>
      </c>
      <c r="Q413" s="294">
        <v>2000</v>
      </c>
      <c r="R413" s="294"/>
      <c r="S413" s="294"/>
      <c r="T413" s="294"/>
      <c r="U413" s="294"/>
      <c r="V413" s="431"/>
      <c r="W413" s="294"/>
      <c r="X413" s="294"/>
      <c r="Y413" s="294">
        <f>IF(NFI_Expiration=1,IF($A413&lt;VLOOKUP(H$5,NFI,5,0),1,0)*Table_NFI[[#This Row],[Hygiene Kit]],Table_NFI[Hygiene Kit])</f>
        <v>0</v>
      </c>
      <c r="Z413" s="294">
        <f>IF(NFI_Expiration=1,IF($A413&lt;VLOOKUP(I$5,NFI,5,0),1,0)*Table_NFI[[#This Row],[NFI Core Kit]],Table_NFI[NFI Core Kit])</f>
        <v>0</v>
      </c>
      <c r="AA413" s="294">
        <f>IF(NFI_Expiration=1,IF($A413&lt;VLOOKUP(J$5,NFI,5,0),1,0)*Table_NFI[[#This Row],[Sanitary Kit]],Table_NFI[Sanitary Kit])</f>
        <v>0</v>
      </c>
      <c r="AB413" s="294">
        <f>IF(NFI_Expiration=1,IF($A413&lt;VLOOKUP(K$5,NFI,5,0),1,0)*Table_NFI[[#This Row],[Mosquito net]],Table_NFI[Mosquito net])</f>
        <v>0</v>
      </c>
      <c r="AC413" s="294">
        <f>IF(NFI_Expiration=1,IF($A413&lt;VLOOKUP(L$5,NFI,5,0),1,0)*Table_NFI[[#This Row],[Tarpaulin]],Table_NFI[[#This Row],[Tarpaulin]])</f>
        <v>0</v>
      </c>
      <c r="AD413" s="294">
        <f>IF(NFI_Expiration=1,IF($A413&lt;VLOOKUP(M$5,NFI,5,0),1,0)*Table_NFI[[#This Row],[Blanket]],Table_NFI[[#This Row],[Blanket]])</f>
        <v>0</v>
      </c>
      <c r="AE413" s="294">
        <f>IF(NFI_Expiration=1,IF($A413&lt;VLOOKUP(N$5,NFI,5,0),1,0)*Table_NFI[[#This Row],[Kitchen Set]],Table_NFI[Kitchen Set])</f>
        <v>0</v>
      </c>
      <c r="AF413" s="294">
        <f>IF(NFI_Expiration=1,IF($A413&lt;VLOOKUP(O$5,NFI,5,0),1,0)*Table_NFI[[#This Row],[Clothes Kit]],Table_NFI[Clothes Kit])</f>
        <v>0</v>
      </c>
      <c r="AG413" s="294">
        <f>IF(NFI_Expiration=1,IF($A413&lt;VLOOKUP(P$5,NFI,5,0),1,0)*Table_NFI[[#This Row],[Plastic Bucket]],Table_NFI[Plastic Bucket])</f>
        <v>0</v>
      </c>
      <c r="AH413" s="294">
        <f>IF(NFI_Expiration=1,IF($A413&lt;VLOOKUP(Q$5,NFI,5,0),1,0)*Table_NFI[[#This Row],[Plastic Mat]],Table_NFI[Plastic Mat])*IF(Table_NFI[[#This Row],[Distribution Date]]&gt;"2014-04-01",1,2.5)</f>
        <v>0</v>
      </c>
      <c r="AI413" s="294">
        <f>IF(NFI_Expiration=1,IF($A413&lt;VLOOKUP(R$5,NFI,5,0),1,0)*Table_NFI[[#This Row],[Winter Clothes Adult]],Table_NFI[Winter Clothes Adult])</f>
        <v>0</v>
      </c>
      <c r="AJ413" s="294">
        <f>IF(NFI_Expiration=1,IF($A413&lt;VLOOKUP(S$5,NFI,5,0),1,0)*Table_NFI[[#This Row],[Winter Clothes Children]],Table_NFI[Winter Clothes Children])</f>
        <v>0</v>
      </c>
      <c r="AK413" s="294">
        <f>IF(NFI_Expiration=1,IF($A413&lt;VLOOKUP(T$5,NFI,5,0),1,0)*Table_NFI[[#This Row],[Winter Items Other]],Table_NFI[Winter Items Other])</f>
        <v>0</v>
      </c>
      <c r="AL413" s="294">
        <f>IF(NFI_Expiration=1,IF($A413&lt;VLOOKUP(M$5,NFI,5,0),1,0)*Table_NFI[[#This Row],[Winter Blanket]],Table_NFI[[#This Row],[Winter Blanket]])</f>
        <v>0</v>
      </c>
      <c r="AM413" s="294">
        <f>IF(Table_NFI[[#This Row],[Winter Clothes Adult]]+Table_NFI[[#This Row],[Winter Clothes Children]]+Table_NFI[[#This Row],[Winter Items Other]]+Table_NFI[[#This Row],[Winter Blanket]]&gt;0,1,0)</f>
        <v>0</v>
      </c>
      <c r="AN413" s="331">
        <f>IF(NFI_Expiration=1,IF($A413&lt;VLOOKUP(V$5,NFI,5,0),1,0)*Table_NFI[[#This Row],[Jerry Can]],Table_NFI[Jerry Can])</f>
        <v>0</v>
      </c>
      <c r="AO413" s="331">
        <f>IF(NFI_Expiration=1,IF($A413&lt;VLOOKUP(V$5,NFI,5,0),1,0)*Table_NFI[[#This Row],[Shelter Tool kit]],Table_NFI[Shelter Tool kit])</f>
        <v>0</v>
      </c>
      <c r="AP413" s="331">
        <f>IF(NFI_Expiration=1,IF($A413&lt;VLOOKUP(V$5,NFI,5,0),1,0)*Table_NFI[[#This Row],[Tent]],Table_NFI[Tent])</f>
        <v>0</v>
      </c>
      <c r="AQ413" s="467" t="str">
        <f>IFERROR(VLOOKUP(Table_NFI[[#This Row],[Camp Name]],CL,2,0),"")</f>
        <v>MMR001CMP226</v>
      </c>
      <c r="AR413" s="835">
        <f ca="1">IF(Table_NFI[[#This Row],[Pcode]]="","",IF(OFFSET(CampList[Opening Date],MATCH(Table_NFI[[#This Row],[Pcode]],CampList[CP_Pcode],0)-1,0,1,1)&gt;=NFI_Monitor_Date,1,0))</f>
        <v>0</v>
      </c>
      <c r="AS413" s="467" t="str">
        <f>IFERROR(VLOOKUP(Table_NFI[[#This Row],[Camp Name]],CL,3,0),"")</f>
        <v>Closed</v>
      </c>
      <c r="AT413" s="294" t="str">
        <f ca="1">IF(Table_NFI[[#This Row],[Pcode]]="","",OFFSET(CampList[Priority],MATCH(Table_NFI[[#This Row],[Pcode]],CampList[CP_Pcode],0)-1,0,1,1))</f>
        <v>P2</v>
      </c>
      <c r="AU413" s="293">
        <f>IFERROR(Table_NFI[[#This Row],[Kitchen Set]]/VLOOKUP(Table_NFI[[#This Row],[Camp Name]],CL,4,0),"")</f>
        <v>2.4499595756670013E-3</v>
      </c>
      <c r="AV413" s="461"/>
      <c r="AW413" s="463"/>
    </row>
    <row r="414" spans="1:49" s="464" customFormat="1" ht="14.45" customHeight="1" x14ac:dyDescent="0.25">
      <c r="A414" s="297">
        <f t="shared" si="6"/>
        <v>32.866666666666667</v>
      </c>
      <c r="B414" s="460">
        <v>41750</v>
      </c>
      <c r="C414" s="461" t="s">
        <v>452</v>
      </c>
      <c r="D414" s="461" t="s">
        <v>452</v>
      </c>
      <c r="E414" s="461" t="s">
        <v>380</v>
      </c>
      <c r="F414" s="461" t="s">
        <v>151</v>
      </c>
      <c r="G414" s="461" t="s">
        <v>152</v>
      </c>
      <c r="H414" s="291"/>
      <c r="I414" s="291"/>
      <c r="J414" s="291">
        <v>20</v>
      </c>
      <c r="K414" s="291">
        <v>30</v>
      </c>
      <c r="L414" s="292">
        <v>13</v>
      </c>
      <c r="M414" s="292">
        <v>40</v>
      </c>
      <c r="N414" s="292">
        <v>13</v>
      </c>
      <c r="O414" s="292">
        <v>13</v>
      </c>
      <c r="P414" s="294">
        <v>13</v>
      </c>
      <c r="Q414" s="294">
        <v>25</v>
      </c>
      <c r="R414" s="294"/>
      <c r="S414" s="294"/>
      <c r="T414" s="294"/>
      <c r="U414" s="294"/>
      <c r="V414" s="431"/>
      <c r="W414" s="294"/>
      <c r="X414" s="294"/>
      <c r="Y414" s="294">
        <f>IF(NFI_Expiration=1,IF($A414&lt;VLOOKUP(H$5,NFI,5,0),1,0)*Table_NFI[[#This Row],[Hygiene Kit]],Table_NFI[Hygiene Kit])</f>
        <v>0</v>
      </c>
      <c r="Z414" s="294">
        <f>IF(NFI_Expiration=1,IF($A414&lt;VLOOKUP(I$5,NFI,5,0),1,0)*Table_NFI[[#This Row],[NFI Core Kit]],Table_NFI[NFI Core Kit])</f>
        <v>0</v>
      </c>
      <c r="AA414" s="294">
        <f>IF(NFI_Expiration=1,IF($A414&lt;VLOOKUP(J$5,NFI,5,0),1,0)*Table_NFI[[#This Row],[Sanitary Kit]],Table_NFI[Sanitary Kit])</f>
        <v>0</v>
      </c>
      <c r="AB414" s="294">
        <f>IF(NFI_Expiration=1,IF($A414&lt;VLOOKUP(K$5,NFI,5,0),1,0)*Table_NFI[[#This Row],[Mosquito net]],Table_NFI[Mosquito net])</f>
        <v>0</v>
      </c>
      <c r="AC414" s="294">
        <f>IF(NFI_Expiration=1,IF($A414&lt;VLOOKUP(L$5,NFI,5,0),1,0)*Table_NFI[[#This Row],[Tarpaulin]],Table_NFI[[#This Row],[Tarpaulin]])</f>
        <v>0</v>
      </c>
      <c r="AD414" s="294">
        <f>IF(NFI_Expiration=1,IF($A414&lt;VLOOKUP(M$5,NFI,5,0),1,0)*Table_NFI[[#This Row],[Blanket]],Table_NFI[[#This Row],[Blanket]])</f>
        <v>0</v>
      </c>
      <c r="AE414" s="294">
        <f>IF(NFI_Expiration=1,IF($A414&lt;VLOOKUP(N$5,NFI,5,0),1,0)*Table_NFI[[#This Row],[Kitchen Set]],Table_NFI[Kitchen Set])</f>
        <v>0</v>
      </c>
      <c r="AF414" s="294">
        <f>IF(NFI_Expiration=1,IF($A414&lt;VLOOKUP(O$5,NFI,5,0),1,0)*Table_NFI[[#This Row],[Clothes Kit]],Table_NFI[Clothes Kit])</f>
        <v>0</v>
      </c>
      <c r="AG414" s="294">
        <f>IF(NFI_Expiration=1,IF($A414&lt;VLOOKUP(P$5,NFI,5,0),1,0)*Table_NFI[[#This Row],[Plastic Bucket]],Table_NFI[Plastic Bucket])</f>
        <v>0</v>
      </c>
      <c r="AH414" s="294">
        <f>IF(NFI_Expiration=1,IF($A414&lt;VLOOKUP(Q$5,NFI,5,0),1,0)*Table_NFI[[#This Row],[Plastic Mat]],Table_NFI[Plastic Mat])*IF(Table_NFI[[#This Row],[Distribution Date]]&gt;"2014-04-01",1,2.5)</f>
        <v>0</v>
      </c>
      <c r="AI414" s="294">
        <f>IF(NFI_Expiration=1,IF($A414&lt;VLOOKUP(R$5,NFI,5,0),1,0)*Table_NFI[[#This Row],[Winter Clothes Adult]],Table_NFI[Winter Clothes Adult])</f>
        <v>0</v>
      </c>
      <c r="AJ414" s="294">
        <f>IF(NFI_Expiration=1,IF($A414&lt;VLOOKUP(S$5,NFI,5,0),1,0)*Table_NFI[[#This Row],[Winter Clothes Children]],Table_NFI[Winter Clothes Children])</f>
        <v>0</v>
      </c>
      <c r="AK414" s="294">
        <f>IF(NFI_Expiration=1,IF($A414&lt;VLOOKUP(T$5,NFI,5,0),1,0)*Table_NFI[[#This Row],[Winter Items Other]],Table_NFI[Winter Items Other])</f>
        <v>0</v>
      </c>
      <c r="AL414" s="294">
        <f>IF(NFI_Expiration=1,IF($A414&lt;VLOOKUP(M$5,NFI,5,0),1,0)*Table_NFI[[#This Row],[Winter Blanket]],Table_NFI[[#This Row],[Winter Blanket]])</f>
        <v>0</v>
      </c>
      <c r="AM414" s="294">
        <f>IF(Table_NFI[[#This Row],[Winter Clothes Adult]]+Table_NFI[[#This Row],[Winter Clothes Children]]+Table_NFI[[#This Row],[Winter Items Other]]+Table_NFI[[#This Row],[Winter Blanket]]&gt;0,1,0)</f>
        <v>0</v>
      </c>
      <c r="AN414" s="331">
        <f>IF(NFI_Expiration=1,IF($A414&lt;VLOOKUP(V$5,NFI,5,0),1,0)*Table_NFI[[#This Row],[Jerry Can]],Table_NFI[Jerry Can])</f>
        <v>0</v>
      </c>
      <c r="AO414" s="331">
        <f>IF(NFI_Expiration=1,IF($A414&lt;VLOOKUP(V$5,NFI,5,0),1,0)*Table_NFI[[#This Row],[Shelter Tool kit]],Table_NFI[Shelter Tool kit])</f>
        <v>0</v>
      </c>
      <c r="AP414" s="331">
        <f>IF(NFI_Expiration=1,IF($A414&lt;VLOOKUP(V$5,NFI,5,0),1,0)*Table_NFI[[#This Row],[Tent]],Table_NFI[Tent])</f>
        <v>0</v>
      </c>
      <c r="AQ414" s="467" t="str">
        <f>IFERROR(VLOOKUP(Table_NFI[[#This Row],[Camp Name]],CL,2,0),"")</f>
        <v>MMR001CMP066</v>
      </c>
      <c r="AR414" s="835">
        <f ca="1">IF(Table_NFI[[#This Row],[Pcode]]="","",IF(OFFSET(CampList[Opening Date],MATCH(Table_NFI[[#This Row],[Pcode]],CampList[CP_Pcode],0)-1,0,1,1)&gt;=NFI_Monitor_Date,1,0))</f>
        <v>0</v>
      </c>
      <c r="AS414" s="467" t="str">
        <f>IFERROR(VLOOKUP(Table_NFI[[#This Row],[Camp Name]],CL,3,0),"")</f>
        <v>Open</v>
      </c>
      <c r="AT414" s="294" t="str">
        <f ca="1">IF(Table_NFI[[#This Row],[Pcode]]="","",OFFSET(CampList[Priority],MATCH(Table_NFI[[#This Row],[Pcode]],CampList[CP_Pcode],0)-1,0,1,1))</f>
        <v>P4</v>
      </c>
      <c r="AU414" s="293">
        <f>IFERROR(Table_NFI[[#This Row],[Kitchen Set]]/VLOOKUP(Table_NFI[[#This Row],[Camp Name]],CL,4,0),"")</f>
        <v>3.1265783207869358E-4</v>
      </c>
      <c r="AV414" s="461" t="s">
        <v>1092</v>
      </c>
      <c r="AW414" s="463"/>
    </row>
    <row r="415" spans="1:49" s="464" customFormat="1" ht="14.45" customHeight="1" x14ac:dyDescent="0.25">
      <c r="A415" s="297">
        <f t="shared" si="6"/>
        <v>32.866666666666667</v>
      </c>
      <c r="B415" s="460">
        <v>41750</v>
      </c>
      <c r="C415" s="461" t="s">
        <v>452</v>
      </c>
      <c r="D415" s="461" t="s">
        <v>452</v>
      </c>
      <c r="E415" s="461" t="s">
        <v>380</v>
      </c>
      <c r="F415" s="461" t="s">
        <v>185</v>
      </c>
      <c r="G415" s="461" t="s">
        <v>209</v>
      </c>
      <c r="H415" s="291"/>
      <c r="I415" s="291"/>
      <c r="J415" s="291">
        <v>15</v>
      </c>
      <c r="K415" s="291">
        <v>16</v>
      </c>
      <c r="L415" s="292">
        <v>50</v>
      </c>
      <c r="M415" s="292">
        <v>16</v>
      </c>
      <c r="N415" s="292">
        <v>7</v>
      </c>
      <c r="O415" s="292">
        <v>7</v>
      </c>
      <c r="P415" s="294">
        <v>7</v>
      </c>
      <c r="Q415" s="294">
        <v>13</v>
      </c>
      <c r="R415" s="294"/>
      <c r="S415" s="294"/>
      <c r="T415" s="294"/>
      <c r="U415" s="294"/>
      <c r="V415" s="431"/>
      <c r="W415" s="294"/>
      <c r="X415" s="294"/>
      <c r="Y415" s="294">
        <f>IF(NFI_Expiration=1,IF($A415&lt;VLOOKUP(H$5,NFI,5,0),1,0)*Table_NFI[[#This Row],[Hygiene Kit]],Table_NFI[Hygiene Kit])</f>
        <v>0</v>
      </c>
      <c r="Z415" s="294">
        <f>IF(NFI_Expiration=1,IF($A415&lt;VLOOKUP(I$5,NFI,5,0),1,0)*Table_NFI[[#This Row],[NFI Core Kit]],Table_NFI[NFI Core Kit])</f>
        <v>0</v>
      </c>
      <c r="AA415" s="294">
        <f>IF(NFI_Expiration=1,IF($A415&lt;VLOOKUP(J$5,NFI,5,0),1,0)*Table_NFI[[#This Row],[Sanitary Kit]],Table_NFI[Sanitary Kit])</f>
        <v>0</v>
      </c>
      <c r="AB415" s="294">
        <f>IF(NFI_Expiration=1,IF($A415&lt;VLOOKUP(K$5,NFI,5,0),1,0)*Table_NFI[[#This Row],[Mosquito net]],Table_NFI[Mosquito net])</f>
        <v>0</v>
      </c>
      <c r="AC415" s="294">
        <f>IF(NFI_Expiration=1,IF($A415&lt;VLOOKUP(L$5,NFI,5,0),1,0)*Table_NFI[[#This Row],[Tarpaulin]],Table_NFI[[#This Row],[Tarpaulin]])</f>
        <v>0</v>
      </c>
      <c r="AD415" s="294">
        <f>IF(NFI_Expiration=1,IF($A415&lt;VLOOKUP(M$5,NFI,5,0),1,0)*Table_NFI[[#This Row],[Blanket]],Table_NFI[[#This Row],[Blanket]])</f>
        <v>0</v>
      </c>
      <c r="AE415" s="294">
        <f>IF(NFI_Expiration=1,IF($A415&lt;VLOOKUP(N$5,NFI,5,0),1,0)*Table_NFI[[#This Row],[Kitchen Set]],Table_NFI[Kitchen Set])</f>
        <v>0</v>
      </c>
      <c r="AF415" s="294">
        <f>IF(NFI_Expiration=1,IF($A415&lt;VLOOKUP(O$5,NFI,5,0),1,0)*Table_NFI[[#This Row],[Clothes Kit]],Table_NFI[Clothes Kit])</f>
        <v>0</v>
      </c>
      <c r="AG415" s="294">
        <f>IF(NFI_Expiration=1,IF($A415&lt;VLOOKUP(P$5,NFI,5,0),1,0)*Table_NFI[[#This Row],[Plastic Bucket]],Table_NFI[Plastic Bucket])</f>
        <v>0</v>
      </c>
      <c r="AH415" s="294">
        <f>IF(NFI_Expiration=1,IF($A415&lt;VLOOKUP(Q$5,NFI,5,0),1,0)*Table_NFI[[#This Row],[Plastic Mat]],Table_NFI[Plastic Mat])*IF(Table_NFI[[#This Row],[Distribution Date]]&gt;"2014-04-01",1,2.5)</f>
        <v>0</v>
      </c>
      <c r="AI415" s="294">
        <f>IF(NFI_Expiration=1,IF($A415&lt;VLOOKUP(R$5,NFI,5,0),1,0)*Table_NFI[[#This Row],[Winter Clothes Adult]],Table_NFI[Winter Clothes Adult])</f>
        <v>0</v>
      </c>
      <c r="AJ415" s="294">
        <f>IF(NFI_Expiration=1,IF($A415&lt;VLOOKUP(S$5,NFI,5,0),1,0)*Table_NFI[[#This Row],[Winter Clothes Children]],Table_NFI[Winter Clothes Children])</f>
        <v>0</v>
      </c>
      <c r="AK415" s="294">
        <f>IF(NFI_Expiration=1,IF($A415&lt;VLOOKUP(T$5,NFI,5,0),1,0)*Table_NFI[[#This Row],[Winter Items Other]],Table_NFI[Winter Items Other])</f>
        <v>0</v>
      </c>
      <c r="AL415" s="294">
        <f>IF(NFI_Expiration=1,IF($A415&lt;VLOOKUP(M$5,NFI,5,0),1,0)*Table_NFI[[#This Row],[Winter Blanket]],Table_NFI[[#This Row],[Winter Blanket]])</f>
        <v>0</v>
      </c>
      <c r="AM415" s="294">
        <f>IF(Table_NFI[[#This Row],[Winter Clothes Adult]]+Table_NFI[[#This Row],[Winter Clothes Children]]+Table_NFI[[#This Row],[Winter Items Other]]+Table_NFI[[#This Row],[Winter Blanket]]&gt;0,1,0)</f>
        <v>0</v>
      </c>
      <c r="AN415" s="331">
        <f>IF(NFI_Expiration=1,IF($A415&lt;VLOOKUP(V$5,NFI,5,0),1,0)*Table_NFI[[#This Row],[Jerry Can]],Table_NFI[Jerry Can])</f>
        <v>0</v>
      </c>
      <c r="AO415" s="331">
        <f>IF(NFI_Expiration=1,IF($A415&lt;VLOOKUP(V$5,NFI,5,0),1,0)*Table_NFI[[#This Row],[Shelter Tool kit]],Table_NFI[Shelter Tool kit])</f>
        <v>0</v>
      </c>
      <c r="AP415" s="331">
        <f>IF(NFI_Expiration=1,IF($A415&lt;VLOOKUP(V$5,NFI,5,0),1,0)*Table_NFI[[#This Row],[Tent]],Table_NFI[Tent])</f>
        <v>0</v>
      </c>
      <c r="AQ415" s="467" t="str">
        <f>IFERROR(VLOOKUP(Table_NFI[[#This Row],[Camp Name]],CL,2,0),"")</f>
        <v>MMR001CMP056</v>
      </c>
      <c r="AR415" s="835">
        <f ca="1">IF(Table_NFI[[#This Row],[Pcode]]="","",IF(OFFSET(CampList[Opening Date],MATCH(Table_NFI[[#This Row],[Pcode]],CampList[CP_Pcode],0)-1,0,1,1)&gt;=NFI_Monitor_Date,1,0))</f>
        <v>0</v>
      </c>
      <c r="AS415" s="467" t="str">
        <f>IFERROR(VLOOKUP(Table_NFI[[#This Row],[Camp Name]],CL,3,0),"")</f>
        <v>Open</v>
      </c>
      <c r="AT415" s="294" t="str">
        <f ca="1">IF(Table_NFI[[#This Row],[Pcode]]="","",OFFSET(CampList[Priority],MATCH(Table_NFI[[#This Row],[Pcode]],CampList[CP_Pcode],0)-1,0,1,1))</f>
        <v>P4</v>
      </c>
      <c r="AU415" s="293">
        <f>IFERROR(Table_NFI[[#This Row],[Kitchen Set]]/VLOOKUP(Table_NFI[[#This Row],[Camp Name]],CL,4,0),"")</f>
        <v>1.7201130359995086E-4</v>
      </c>
      <c r="AV415" s="461" t="s">
        <v>1092</v>
      </c>
      <c r="AW415" s="463"/>
    </row>
    <row r="416" spans="1:49" s="464" customFormat="1" ht="14.45" customHeight="1" x14ac:dyDescent="0.25">
      <c r="A416" s="297">
        <f t="shared" si="6"/>
        <v>32.866666666666667</v>
      </c>
      <c r="B416" s="460">
        <v>41750</v>
      </c>
      <c r="C416" s="461" t="s">
        <v>452</v>
      </c>
      <c r="D416" s="461"/>
      <c r="E416" s="461" t="s">
        <v>553</v>
      </c>
      <c r="F416" s="461" t="s">
        <v>289</v>
      </c>
      <c r="G416" s="461" t="s">
        <v>1055</v>
      </c>
      <c r="H416" s="291"/>
      <c r="I416" s="291"/>
      <c r="J416" s="291"/>
      <c r="K416" s="291">
        <v>0</v>
      </c>
      <c r="L416" s="292">
        <v>1</v>
      </c>
      <c r="M416" s="292">
        <v>167</v>
      </c>
      <c r="N416" s="292">
        <v>1</v>
      </c>
      <c r="O416" s="292">
        <v>0</v>
      </c>
      <c r="P416" s="294">
        <v>1</v>
      </c>
      <c r="Q416" s="294">
        <v>0</v>
      </c>
      <c r="R416" s="294"/>
      <c r="S416" s="294"/>
      <c r="T416" s="294"/>
      <c r="U416" s="294"/>
      <c r="V416" s="431"/>
      <c r="W416" s="294"/>
      <c r="X416" s="294"/>
      <c r="Y416" s="294">
        <f>IF(NFI_Expiration=1,IF($A416&lt;VLOOKUP(H$5,NFI,5,0),1,0)*Table_NFI[[#This Row],[Hygiene Kit]],Table_NFI[Hygiene Kit])</f>
        <v>0</v>
      </c>
      <c r="Z416" s="294">
        <f>IF(NFI_Expiration=1,IF($A416&lt;VLOOKUP(I$5,NFI,5,0),1,0)*Table_NFI[[#This Row],[NFI Core Kit]],Table_NFI[NFI Core Kit])</f>
        <v>0</v>
      </c>
      <c r="AA416" s="294">
        <f>IF(NFI_Expiration=1,IF($A416&lt;VLOOKUP(J$5,NFI,5,0),1,0)*Table_NFI[[#This Row],[Sanitary Kit]],Table_NFI[Sanitary Kit])</f>
        <v>0</v>
      </c>
      <c r="AB416" s="294">
        <f>IF(NFI_Expiration=1,IF($A416&lt;VLOOKUP(K$5,NFI,5,0),1,0)*Table_NFI[[#This Row],[Mosquito net]],Table_NFI[Mosquito net])</f>
        <v>0</v>
      </c>
      <c r="AC416" s="294">
        <f>IF(NFI_Expiration=1,IF($A416&lt;VLOOKUP(L$5,NFI,5,0),1,0)*Table_NFI[[#This Row],[Tarpaulin]],Table_NFI[[#This Row],[Tarpaulin]])</f>
        <v>0</v>
      </c>
      <c r="AD416" s="294">
        <f>IF(NFI_Expiration=1,IF($A416&lt;VLOOKUP(M$5,NFI,5,0),1,0)*Table_NFI[[#This Row],[Blanket]],Table_NFI[[#This Row],[Blanket]])</f>
        <v>0</v>
      </c>
      <c r="AE416" s="294">
        <f>IF(NFI_Expiration=1,IF($A416&lt;VLOOKUP(N$5,NFI,5,0),1,0)*Table_NFI[[#This Row],[Kitchen Set]],Table_NFI[Kitchen Set])</f>
        <v>0</v>
      </c>
      <c r="AF416" s="294">
        <f>IF(NFI_Expiration=1,IF($A416&lt;VLOOKUP(O$5,NFI,5,0),1,0)*Table_NFI[[#This Row],[Clothes Kit]],Table_NFI[Clothes Kit])</f>
        <v>0</v>
      </c>
      <c r="AG416" s="294">
        <f>IF(NFI_Expiration=1,IF($A416&lt;VLOOKUP(P$5,NFI,5,0),1,0)*Table_NFI[[#This Row],[Plastic Bucket]],Table_NFI[Plastic Bucket])</f>
        <v>0</v>
      </c>
      <c r="AH416" s="294">
        <f>IF(NFI_Expiration=1,IF($A416&lt;VLOOKUP(Q$5,NFI,5,0),1,0)*Table_NFI[[#This Row],[Plastic Mat]],Table_NFI[Plastic Mat])*IF(Table_NFI[[#This Row],[Distribution Date]]&gt;"2014-04-01",1,2.5)</f>
        <v>0</v>
      </c>
      <c r="AI416" s="294">
        <f>IF(NFI_Expiration=1,IF($A416&lt;VLOOKUP(R$5,NFI,5,0),1,0)*Table_NFI[[#This Row],[Winter Clothes Adult]],Table_NFI[Winter Clothes Adult])</f>
        <v>0</v>
      </c>
      <c r="AJ416" s="294">
        <f>IF(NFI_Expiration=1,IF($A416&lt;VLOOKUP(S$5,NFI,5,0),1,0)*Table_NFI[[#This Row],[Winter Clothes Children]],Table_NFI[Winter Clothes Children])</f>
        <v>0</v>
      </c>
      <c r="AK416" s="294">
        <f>IF(NFI_Expiration=1,IF($A416&lt;VLOOKUP(T$5,NFI,5,0),1,0)*Table_NFI[[#This Row],[Winter Items Other]],Table_NFI[Winter Items Other])</f>
        <v>0</v>
      </c>
      <c r="AL416" s="294">
        <f>IF(NFI_Expiration=1,IF($A416&lt;VLOOKUP(M$5,NFI,5,0),1,0)*Table_NFI[[#This Row],[Winter Blanket]],Table_NFI[[#This Row],[Winter Blanket]])</f>
        <v>0</v>
      </c>
      <c r="AM416" s="294">
        <f>IF(Table_NFI[[#This Row],[Winter Clothes Adult]]+Table_NFI[[#This Row],[Winter Clothes Children]]+Table_NFI[[#This Row],[Winter Items Other]]+Table_NFI[[#This Row],[Winter Blanket]]&gt;0,1,0)</f>
        <v>0</v>
      </c>
      <c r="AN416" s="331">
        <f>IF(NFI_Expiration=1,IF($A416&lt;VLOOKUP(V$5,NFI,5,0),1,0)*Table_NFI[[#This Row],[Jerry Can]],Table_NFI[Jerry Can])</f>
        <v>0</v>
      </c>
      <c r="AO416" s="331">
        <f>IF(NFI_Expiration=1,IF($A416&lt;VLOOKUP(V$5,NFI,5,0),1,0)*Table_NFI[[#This Row],[Shelter Tool kit]],Table_NFI[Shelter Tool kit])</f>
        <v>0</v>
      </c>
      <c r="AP416" s="331">
        <f>IF(NFI_Expiration=1,IF($A416&lt;VLOOKUP(V$5,NFI,5,0),1,0)*Table_NFI[[#This Row],[Tent]],Table_NFI[Tent])</f>
        <v>0</v>
      </c>
      <c r="AQ416" s="467" t="str">
        <f>IFERROR(VLOOKUP(Table_NFI[[#This Row],[Camp Name]],CL,2,0),"")</f>
        <v>MMR015CMP214</v>
      </c>
      <c r="AR416" s="835">
        <f ca="1">IF(Table_NFI[[#This Row],[Pcode]]="","",IF(OFFSET(CampList[Opening Date],MATCH(Table_NFI[[#This Row],[Pcode]],CampList[CP_Pcode],0)-1,0,1,1)&gt;=NFI_Monitor_Date,1,0))</f>
        <v>1</v>
      </c>
      <c r="AS416" s="467" t="str">
        <f>IFERROR(VLOOKUP(Table_NFI[[#This Row],[Camp Name]],CL,3,0),"")</f>
        <v>Open</v>
      </c>
      <c r="AT416" s="294" t="str">
        <f ca="1">IF(Table_NFI[[#This Row],[Pcode]]="","",OFFSET(CampList[Priority],MATCH(Table_NFI[[#This Row],[Pcode]],CampList[CP_Pcode],0)-1,0,1,1))</f>
        <v>P4</v>
      </c>
      <c r="AU416" s="293">
        <f>IFERROR(Table_NFI[[#This Row],[Kitchen Set]]/VLOOKUP(Table_NFI[[#This Row],[Camp Name]],CL,4,0),"")</f>
        <v>2.3839607123274607E-5</v>
      </c>
      <c r="AV416" s="461"/>
      <c r="AW416" s="463" t="s">
        <v>1232</v>
      </c>
    </row>
    <row r="417" spans="1:49" s="464" customFormat="1" ht="14.45" customHeight="1" x14ac:dyDescent="0.25">
      <c r="A417" s="297">
        <f t="shared" si="6"/>
        <v>32.866666666666667</v>
      </c>
      <c r="B417" s="460">
        <v>41750</v>
      </c>
      <c r="C417" s="461" t="s">
        <v>452</v>
      </c>
      <c r="D417" s="461"/>
      <c r="E417" s="461" t="s">
        <v>553</v>
      </c>
      <c r="F417" s="461" t="s">
        <v>289</v>
      </c>
      <c r="G417" s="461" t="s">
        <v>1055</v>
      </c>
      <c r="H417" s="291"/>
      <c r="I417" s="291"/>
      <c r="J417" s="291"/>
      <c r="K417" s="291">
        <v>90</v>
      </c>
      <c r="L417" s="292">
        <v>49</v>
      </c>
      <c r="M417" s="292">
        <v>98</v>
      </c>
      <c r="N417" s="292">
        <v>49</v>
      </c>
      <c r="O417" s="292"/>
      <c r="P417" s="294">
        <v>49</v>
      </c>
      <c r="Q417" s="294">
        <v>225</v>
      </c>
      <c r="R417" s="294"/>
      <c r="S417" s="294"/>
      <c r="T417" s="294"/>
      <c r="U417" s="294"/>
      <c r="V417" s="431"/>
      <c r="W417" s="294"/>
      <c r="X417" s="294"/>
      <c r="Y417" s="294">
        <f>IF(NFI_Expiration=1,IF($A417&lt;VLOOKUP(H$5,NFI,5,0),1,0)*Table_NFI[[#This Row],[Hygiene Kit]],Table_NFI[Hygiene Kit])</f>
        <v>0</v>
      </c>
      <c r="Z417" s="294">
        <f>IF(NFI_Expiration=1,IF($A417&lt;VLOOKUP(I$5,NFI,5,0),1,0)*Table_NFI[[#This Row],[NFI Core Kit]],Table_NFI[NFI Core Kit])</f>
        <v>0</v>
      </c>
      <c r="AA417" s="294">
        <f>IF(NFI_Expiration=1,IF($A417&lt;VLOOKUP(J$5,NFI,5,0),1,0)*Table_NFI[[#This Row],[Sanitary Kit]],Table_NFI[Sanitary Kit])</f>
        <v>0</v>
      </c>
      <c r="AB417" s="294">
        <f>IF(NFI_Expiration=1,IF($A417&lt;VLOOKUP(K$5,NFI,5,0),1,0)*Table_NFI[[#This Row],[Mosquito net]],Table_NFI[Mosquito net])</f>
        <v>0</v>
      </c>
      <c r="AC417" s="294">
        <f>IF(NFI_Expiration=1,IF($A417&lt;VLOOKUP(L$5,NFI,5,0),1,0)*Table_NFI[[#This Row],[Tarpaulin]],Table_NFI[[#This Row],[Tarpaulin]])</f>
        <v>0</v>
      </c>
      <c r="AD417" s="294">
        <f>IF(NFI_Expiration=1,IF($A417&lt;VLOOKUP(M$5,NFI,5,0),1,0)*Table_NFI[[#This Row],[Blanket]],Table_NFI[[#This Row],[Blanket]])</f>
        <v>0</v>
      </c>
      <c r="AE417" s="294">
        <f>IF(NFI_Expiration=1,IF($A417&lt;VLOOKUP(N$5,NFI,5,0),1,0)*Table_NFI[[#This Row],[Kitchen Set]],Table_NFI[Kitchen Set])</f>
        <v>0</v>
      </c>
      <c r="AF417" s="294">
        <f>IF(NFI_Expiration=1,IF($A417&lt;VLOOKUP(O$5,NFI,5,0),1,0)*Table_NFI[[#This Row],[Clothes Kit]],Table_NFI[Clothes Kit])</f>
        <v>0</v>
      </c>
      <c r="AG417" s="294">
        <f>IF(NFI_Expiration=1,IF($A417&lt;VLOOKUP(P$5,NFI,5,0),1,0)*Table_NFI[[#This Row],[Plastic Bucket]],Table_NFI[Plastic Bucket])</f>
        <v>0</v>
      </c>
      <c r="AH417" s="294">
        <f>IF(NFI_Expiration=1,IF($A417&lt;VLOOKUP(Q$5,NFI,5,0),1,0)*Table_NFI[[#This Row],[Plastic Mat]],Table_NFI[Plastic Mat])*IF(Table_NFI[[#This Row],[Distribution Date]]&gt;"2014-04-01",1,2.5)</f>
        <v>0</v>
      </c>
      <c r="AI417" s="294">
        <f>IF(NFI_Expiration=1,IF($A417&lt;VLOOKUP(R$5,NFI,5,0),1,0)*Table_NFI[[#This Row],[Winter Clothes Adult]],Table_NFI[Winter Clothes Adult])</f>
        <v>0</v>
      </c>
      <c r="AJ417" s="294">
        <f>IF(NFI_Expiration=1,IF($A417&lt;VLOOKUP(S$5,NFI,5,0),1,0)*Table_NFI[[#This Row],[Winter Clothes Children]],Table_NFI[Winter Clothes Children])</f>
        <v>0</v>
      </c>
      <c r="AK417" s="294">
        <f>IF(NFI_Expiration=1,IF($A417&lt;VLOOKUP(T$5,NFI,5,0),1,0)*Table_NFI[[#This Row],[Winter Items Other]],Table_NFI[Winter Items Other])</f>
        <v>0</v>
      </c>
      <c r="AL417" s="294">
        <f>IF(NFI_Expiration=1,IF($A417&lt;VLOOKUP(M$5,NFI,5,0),1,0)*Table_NFI[[#This Row],[Winter Blanket]],Table_NFI[[#This Row],[Winter Blanket]])</f>
        <v>0</v>
      </c>
      <c r="AM417" s="294">
        <f>IF(Table_NFI[[#This Row],[Winter Clothes Adult]]+Table_NFI[[#This Row],[Winter Clothes Children]]+Table_NFI[[#This Row],[Winter Items Other]]+Table_NFI[[#This Row],[Winter Blanket]]&gt;0,1,0)</f>
        <v>0</v>
      </c>
      <c r="AN417" s="331">
        <f>IF(NFI_Expiration=1,IF($A417&lt;VLOOKUP(V$5,NFI,5,0),1,0)*Table_NFI[[#This Row],[Jerry Can]],Table_NFI[Jerry Can])</f>
        <v>0</v>
      </c>
      <c r="AO417" s="331">
        <f>IF(NFI_Expiration=1,IF($A417&lt;VLOOKUP(V$5,NFI,5,0),1,0)*Table_NFI[[#This Row],[Shelter Tool kit]],Table_NFI[Shelter Tool kit])</f>
        <v>0</v>
      </c>
      <c r="AP417" s="331">
        <f>IF(NFI_Expiration=1,IF($A417&lt;VLOOKUP(V$5,NFI,5,0),1,0)*Table_NFI[[#This Row],[Tent]],Table_NFI[Tent])</f>
        <v>0</v>
      </c>
      <c r="AQ417" s="467" t="str">
        <f>IFERROR(VLOOKUP(Table_NFI[[#This Row],[Camp Name]],CL,2,0),"")</f>
        <v>MMR015CMP214</v>
      </c>
      <c r="AR417" s="835">
        <f ca="1">IF(Table_NFI[[#This Row],[Pcode]]="","",IF(OFFSET(CampList[Opening Date],MATCH(Table_NFI[[#This Row],[Pcode]],CampList[CP_Pcode],0)-1,0,1,1)&gt;=NFI_Monitor_Date,1,0))</f>
        <v>1</v>
      </c>
      <c r="AS417" s="467" t="str">
        <f>IFERROR(VLOOKUP(Table_NFI[[#This Row],[Camp Name]],CL,3,0),"")</f>
        <v>Open</v>
      </c>
      <c r="AT417" s="294" t="str">
        <f ca="1">IF(Table_NFI[[#This Row],[Pcode]]="","",OFFSET(CampList[Priority],MATCH(Table_NFI[[#This Row],[Pcode]],CampList[CP_Pcode],0)-1,0,1,1))</f>
        <v>P4</v>
      </c>
      <c r="AU417" s="293">
        <f>IFERROR(Table_NFI[[#This Row],[Kitchen Set]]/VLOOKUP(Table_NFI[[#This Row],[Camp Name]],CL,4,0),"")</f>
        <v>1.1681407490404558E-3</v>
      </c>
      <c r="AV417" s="461"/>
      <c r="AW417" s="463"/>
    </row>
    <row r="418" spans="1:49" s="464" customFormat="1" ht="14.45" customHeight="1" x14ac:dyDescent="0.25">
      <c r="A418" s="297">
        <f t="shared" si="6"/>
        <v>32.9</v>
      </c>
      <c r="B418" s="460">
        <v>41749</v>
      </c>
      <c r="C418" s="461" t="s">
        <v>452</v>
      </c>
      <c r="D418" s="461"/>
      <c r="E418" s="461" t="s">
        <v>380</v>
      </c>
      <c r="F418" s="461" t="s">
        <v>151</v>
      </c>
      <c r="G418" s="461" t="s">
        <v>160</v>
      </c>
      <c r="H418" s="291"/>
      <c r="I418" s="291"/>
      <c r="J418" s="291"/>
      <c r="K418" s="291">
        <v>220</v>
      </c>
      <c r="L418" s="292">
        <v>110</v>
      </c>
      <c r="M418" s="292">
        <v>1000</v>
      </c>
      <c r="N418" s="292">
        <v>110</v>
      </c>
      <c r="O418" s="292"/>
      <c r="P418" s="294">
        <v>110</v>
      </c>
      <c r="Q418" s="294">
        <v>550</v>
      </c>
      <c r="R418" s="294"/>
      <c r="S418" s="294"/>
      <c r="T418" s="294"/>
      <c r="U418" s="294"/>
      <c r="V418" s="431"/>
      <c r="W418" s="294"/>
      <c r="X418" s="294"/>
      <c r="Y418" s="294">
        <f>IF(NFI_Expiration=1,IF($A418&lt;VLOOKUP(H$5,NFI,5,0),1,0)*Table_NFI[[#This Row],[Hygiene Kit]],Table_NFI[Hygiene Kit])</f>
        <v>0</v>
      </c>
      <c r="Z418" s="294">
        <f>IF(NFI_Expiration=1,IF($A418&lt;VLOOKUP(I$5,NFI,5,0),1,0)*Table_NFI[[#This Row],[NFI Core Kit]],Table_NFI[NFI Core Kit])</f>
        <v>0</v>
      </c>
      <c r="AA418" s="294">
        <f>IF(NFI_Expiration=1,IF($A418&lt;VLOOKUP(J$5,NFI,5,0),1,0)*Table_NFI[[#This Row],[Sanitary Kit]],Table_NFI[Sanitary Kit])</f>
        <v>0</v>
      </c>
      <c r="AB418" s="294">
        <f>IF(NFI_Expiration=1,IF($A418&lt;VLOOKUP(K$5,NFI,5,0),1,0)*Table_NFI[[#This Row],[Mosquito net]],Table_NFI[Mosquito net])</f>
        <v>0</v>
      </c>
      <c r="AC418" s="294">
        <f>IF(NFI_Expiration=1,IF($A418&lt;VLOOKUP(L$5,NFI,5,0),1,0)*Table_NFI[[#This Row],[Tarpaulin]],Table_NFI[[#This Row],[Tarpaulin]])</f>
        <v>0</v>
      </c>
      <c r="AD418" s="294">
        <f>IF(NFI_Expiration=1,IF($A418&lt;VLOOKUP(M$5,NFI,5,0),1,0)*Table_NFI[[#This Row],[Blanket]],Table_NFI[[#This Row],[Blanket]])</f>
        <v>0</v>
      </c>
      <c r="AE418" s="294">
        <f>IF(NFI_Expiration=1,IF($A418&lt;VLOOKUP(N$5,NFI,5,0),1,0)*Table_NFI[[#This Row],[Kitchen Set]],Table_NFI[Kitchen Set])</f>
        <v>0</v>
      </c>
      <c r="AF418" s="294">
        <f>IF(NFI_Expiration=1,IF($A418&lt;VLOOKUP(O$5,NFI,5,0),1,0)*Table_NFI[[#This Row],[Clothes Kit]],Table_NFI[Clothes Kit])</f>
        <v>0</v>
      </c>
      <c r="AG418" s="294">
        <f>IF(NFI_Expiration=1,IF($A418&lt;VLOOKUP(P$5,NFI,5,0),1,0)*Table_NFI[[#This Row],[Plastic Bucket]],Table_NFI[Plastic Bucket])</f>
        <v>0</v>
      </c>
      <c r="AH418" s="294">
        <f>IF(NFI_Expiration=1,IF($A418&lt;VLOOKUP(Q$5,NFI,5,0),1,0)*Table_NFI[[#This Row],[Plastic Mat]],Table_NFI[Plastic Mat])*IF(Table_NFI[[#This Row],[Distribution Date]]&gt;"2014-04-01",1,2.5)</f>
        <v>0</v>
      </c>
      <c r="AI418" s="294">
        <f>IF(NFI_Expiration=1,IF($A418&lt;VLOOKUP(R$5,NFI,5,0),1,0)*Table_NFI[[#This Row],[Winter Clothes Adult]],Table_NFI[Winter Clothes Adult])</f>
        <v>0</v>
      </c>
      <c r="AJ418" s="294">
        <f>IF(NFI_Expiration=1,IF($A418&lt;VLOOKUP(S$5,NFI,5,0),1,0)*Table_NFI[[#This Row],[Winter Clothes Children]],Table_NFI[Winter Clothes Children])</f>
        <v>0</v>
      </c>
      <c r="AK418" s="294">
        <f>IF(NFI_Expiration=1,IF($A418&lt;VLOOKUP(T$5,NFI,5,0),1,0)*Table_NFI[[#This Row],[Winter Items Other]],Table_NFI[Winter Items Other])</f>
        <v>0</v>
      </c>
      <c r="AL418" s="294">
        <f>IF(NFI_Expiration=1,IF($A418&lt;VLOOKUP(M$5,NFI,5,0),1,0)*Table_NFI[[#This Row],[Winter Blanket]],Table_NFI[[#This Row],[Winter Blanket]])</f>
        <v>0</v>
      </c>
      <c r="AM418" s="294">
        <f>IF(Table_NFI[[#This Row],[Winter Clothes Adult]]+Table_NFI[[#This Row],[Winter Clothes Children]]+Table_NFI[[#This Row],[Winter Items Other]]+Table_NFI[[#This Row],[Winter Blanket]]&gt;0,1,0)</f>
        <v>0</v>
      </c>
      <c r="AN418" s="331">
        <f>IF(NFI_Expiration=1,IF($A418&lt;VLOOKUP(V$5,NFI,5,0),1,0)*Table_NFI[[#This Row],[Jerry Can]],Table_NFI[Jerry Can])</f>
        <v>0</v>
      </c>
      <c r="AO418" s="331">
        <f>IF(NFI_Expiration=1,IF($A418&lt;VLOOKUP(V$5,NFI,5,0),1,0)*Table_NFI[[#This Row],[Shelter Tool kit]],Table_NFI[Shelter Tool kit])</f>
        <v>0</v>
      </c>
      <c r="AP418" s="331">
        <f>IF(NFI_Expiration=1,IF($A418&lt;VLOOKUP(V$5,NFI,5,0),1,0)*Table_NFI[[#This Row],[Tent]],Table_NFI[Tent])</f>
        <v>0</v>
      </c>
      <c r="AQ418" s="467" t="str">
        <f>IFERROR(VLOOKUP(Table_NFI[[#This Row],[Camp Name]],CL,2,0),"")</f>
        <v>MMR001CMP133</v>
      </c>
      <c r="AR418" s="835">
        <f ca="1">IF(Table_NFI[[#This Row],[Pcode]]="","",IF(OFFSET(CampList[Opening Date],MATCH(Table_NFI[[#This Row],[Pcode]],CampList[CP_Pcode],0)-1,0,1,1)&gt;=NFI_Monitor_Date,1,0))</f>
        <v>0</v>
      </c>
      <c r="AS418" s="467" t="str">
        <f>IFERROR(VLOOKUP(Table_NFI[[#This Row],[Camp Name]],CL,3,0),"")</f>
        <v>Open</v>
      </c>
      <c r="AT418" s="294" t="str">
        <f ca="1">IF(Table_NFI[[#This Row],[Pcode]]="","",OFFSET(CampList[Priority],MATCH(Table_NFI[[#This Row],[Pcode]],CampList[CP_Pcode],0)-1,0,1,1))</f>
        <v>P4</v>
      </c>
      <c r="AU418" s="293">
        <f>IFERROR(Table_NFI[[#This Row],[Kitchen Set]]/VLOOKUP(Table_NFI[[#This Row],[Camp Name]],CL,4,0),"")</f>
        <v>2.6868588177821201E-3</v>
      </c>
      <c r="AV418" s="461"/>
      <c r="AW418" s="463"/>
    </row>
    <row r="419" spans="1:49" s="464" customFormat="1" ht="14.45" customHeight="1" x14ac:dyDescent="0.25">
      <c r="A419" s="297">
        <f t="shared" si="6"/>
        <v>32.93333333333333</v>
      </c>
      <c r="B419" s="460">
        <v>41748</v>
      </c>
      <c r="C419" s="461" t="s">
        <v>452</v>
      </c>
      <c r="D419" s="461"/>
      <c r="E419" s="461" t="s">
        <v>380</v>
      </c>
      <c r="F419" s="461" t="s">
        <v>151</v>
      </c>
      <c r="G419" s="461" t="s">
        <v>154</v>
      </c>
      <c r="H419" s="291"/>
      <c r="I419" s="291"/>
      <c r="J419" s="291"/>
      <c r="K419" s="291">
        <v>400</v>
      </c>
      <c r="L419" s="292">
        <v>190</v>
      </c>
      <c r="M419" s="292">
        <v>870</v>
      </c>
      <c r="N419" s="292">
        <v>190</v>
      </c>
      <c r="O419" s="292"/>
      <c r="P419" s="294">
        <v>190</v>
      </c>
      <c r="Q419" s="294">
        <v>1000</v>
      </c>
      <c r="R419" s="294"/>
      <c r="S419" s="294"/>
      <c r="T419" s="294"/>
      <c r="U419" s="294"/>
      <c r="V419" s="431"/>
      <c r="W419" s="294"/>
      <c r="X419" s="294"/>
      <c r="Y419" s="294">
        <f>IF(NFI_Expiration=1,IF($A419&lt;VLOOKUP(H$5,NFI,5,0),1,0)*Table_NFI[[#This Row],[Hygiene Kit]],Table_NFI[Hygiene Kit])</f>
        <v>0</v>
      </c>
      <c r="Z419" s="294">
        <f>IF(NFI_Expiration=1,IF($A419&lt;VLOOKUP(I$5,NFI,5,0),1,0)*Table_NFI[[#This Row],[NFI Core Kit]],Table_NFI[NFI Core Kit])</f>
        <v>0</v>
      </c>
      <c r="AA419" s="294">
        <f>IF(NFI_Expiration=1,IF($A419&lt;VLOOKUP(J$5,NFI,5,0),1,0)*Table_NFI[[#This Row],[Sanitary Kit]],Table_NFI[Sanitary Kit])</f>
        <v>0</v>
      </c>
      <c r="AB419" s="294">
        <f>IF(NFI_Expiration=1,IF($A419&lt;VLOOKUP(K$5,NFI,5,0),1,0)*Table_NFI[[#This Row],[Mosquito net]],Table_NFI[Mosquito net])</f>
        <v>0</v>
      </c>
      <c r="AC419" s="294">
        <f>IF(NFI_Expiration=1,IF($A419&lt;VLOOKUP(L$5,NFI,5,0),1,0)*Table_NFI[[#This Row],[Tarpaulin]],Table_NFI[[#This Row],[Tarpaulin]])</f>
        <v>0</v>
      </c>
      <c r="AD419" s="294">
        <f>IF(NFI_Expiration=1,IF($A419&lt;VLOOKUP(M$5,NFI,5,0),1,0)*Table_NFI[[#This Row],[Blanket]],Table_NFI[[#This Row],[Blanket]])</f>
        <v>0</v>
      </c>
      <c r="AE419" s="294">
        <f>IF(NFI_Expiration=1,IF($A419&lt;VLOOKUP(N$5,NFI,5,0),1,0)*Table_NFI[[#This Row],[Kitchen Set]],Table_NFI[Kitchen Set])</f>
        <v>0</v>
      </c>
      <c r="AF419" s="294">
        <f>IF(NFI_Expiration=1,IF($A419&lt;VLOOKUP(O$5,NFI,5,0),1,0)*Table_NFI[[#This Row],[Clothes Kit]],Table_NFI[Clothes Kit])</f>
        <v>0</v>
      </c>
      <c r="AG419" s="294">
        <f>IF(NFI_Expiration=1,IF($A419&lt;VLOOKUP(P$5,NFI,5,0),1,0)*Table_NFI[[#This Row],[Plastic Bucket]],Table_NFI[Plastic Bucket])</f>
        <v>0</v>
      </c>
      <c r="AH419" s="294">
        <f>IF(NFI_Expiration=1,IF($A419&lt;VLOOKUP(Q$5,NFI,5,0),1,0)*Table_NFI[[#This Row],[Plastic Mat]],Table_NFI[Plastic Mat])*IF(Table_NFI[[#This Row],[Distribution Date]]&gt;"2014-04-01",1,2.5)</f>
        <v>0</v>
      </c>
      <c r="AI419" s="294">
        <f>IF(NFI_Expiration=1,IF($A419&lt;VLOOKUP(R$5,NFI,5,0),1,0)*Table_NFI[[#This Row],[Winter Clothes Adult]],Table_NFI[Winter Clothes Adult])</f>
        <v>0</v>
      </c>
      <c r="AJ419" s="294">
        <f>IF(NFI_Expiration=1,IF($A419&lt;VLOOKUP(S$5,NFI,5,0),1,0)*Table_NFI[[#This Row],[Winter Clothes Children]],Table_NFI[Winter Clothes Children])</f>
        <v>0</v>
      </c>
      <c r="AK419" s="294">
        <f>IF(NFI_Expiration=1,IF($A419&lt;VLOOKUP(T$5,NFI,5,0),1,0)*Table_NFI[[#This Row],[Winter Items Other]],Table_NFI[Winter Items Other])</f>
        <v>0</v>
      </c>
      <c r="AL419" s="294">
        <f>IF(NFI_Expiration=1,IF($A419&lt;VLOOKUP(M$5,NFI,5,0),1,0)*Table_NFI[[#This Row],[Winter Blanket]],Table_NFI[[#This Row],[Winter Blanket]])</f>
        <v>0</v>
      </c>
      <c r="AM419" s="294">
        <f>IF(Table_NFI[[#This Row],[Winter Clothes Adult]]+Table_NFI[[#This Row],[Winter Clothes Children]]+Table_NFI[[#This Row],[Winter Items Other]]+Table_NFI[[#This Row],[Winter Blanket]]&gt;0,1,0)</f>
        <v>0</v>
      </c>
      <c r="AN419" s="331">
        <f>IF(NFI_Expiration=1,IF($A419&lt;VLOOKUP(V$5,NFI,5,0),1,0)*Table_NFI[[#This Row],[Jerry Can]],Table_NFI[Jerry Can])</f>
        <v>0</v>
      </c>
      <c r="AO419" s="331">
        <f>IF(NFI_Expiration=1,IF($A419&lt;VLOOKUP(V$5,NFI,5,0),1,0)*Table_NFI[[#This Row],[Shelter Tool kit]],Table_NFI[Shelter Tool kit])</f>
        <v>0</v>
      </c>
      <c r="AP419" s="331">
        <f>IF(NFI_Expiration=1,IF($A419&lt;VLOOKUP(V$5,NFI,5,0),1,0)*Table_NFI[[#This Row],[Tent]],Table_NFI[Tent])</f>
        <v>0</v>
      </c>
      <c r="AQ419" s="467" t="str">
        <f>IFERROR(VLOOKUP(Table_NFI[[#This Row],[Camp Name]],CL,2,0),"")</f>
        <v>MMR001CMP132</v>
      </c>
      <c r="AR419" s="835">
        <f ca="1">IF(Table_NFI[[#This Row],[Pcode]]="","",IF(OFFSET(CampList[Opening Date],MATCH(Table_NFI[[#This Row],[Pcode]],CampList[CP_Pcode],0)-1,0,1,1)&gt;=NFI_Monitor_Date,1,0))</f>
        <v>0</v>
      </c>
      <c r="AS419" s="467" t="str">
        <f>IFERROR(VLOOKUP(Table_NFI[[#This Row],[Camp Name]],CL,3,0),"")</f>
        <v>Open</v>
      </c>
      <c r="AT419" s="294" t="str">
        <f ca="1">IF(Table_NFI[[#This Row],[Pcode]]="","",OFFSET(CampList[Priority],MATCH(Table_NFI[[#This Row],[Pcode]],CampList[CP_Pcode],0)-1,0,1,1))</f>
        <v>P4</v>
      </c>
      <c r="AU419" s="293">
        <f>IFERROR(Table_NFI[[#This Row],[Kitchen Set]]/VLOOKUP(Table_NFI[[#This Row],[Camp Name]],CL,4,0),"")</f>
        <v>4.6513905209557387E-3</v>
      </c>
      <c r="AV419" s="461"/>
      <c r="AW419" s="463"/>
    </row>
    <row r="420" spans="1:49" s="464" customFormat="1" ht="14.45" customHeight="1" x14ac:dyDescent="0.25">
      <c r="A420" s="297">
        <f t="shared" si="6"/>
        <v>33</v>
      </c>
      <c r="B420" s="460">
        <v>41746</v>
      </c>
      <c r="C420" s="461" t="s">
        <v>452</v>
      </c>
      <c r="D420" s="461" t="s">
        <v>452</v>
      </c>
      <c r="E420" s="461" t="s">
        <v>380</v>
      </c>
      <c r="F420" s="461" t="s">
        <v>185</v>
      </c>
      <c r="G420" s="461" t="s">
        <v>209</v>
      </c>
      <c r="H420" s="291"/>
      <c r="I420" s="291"/>
      <c r="J420" s="291"/>
      <c r="K420" s="291">
        <v>8</v>
      </c>
      <c r="L420" s="292">
        <v>4</v>
      </c>
      <c r="M420" s="292">
        <v>12</v>
      </c>
      <c r="N420" s="292">
        <v>4</v>
      </c>
      <c r="O420" s="292">
        <v>4</v>
      </c>
      <c r="P420" s="294">
        <v>4</v>
      </c>
      <c r="Q420" s="294">
        <v>41</v>
      </c>
      <c r="R420" s="294"/>
      <c r="S420" s="294"/>
      <c r="T420" s="294"/>
      <c r="U420" s="294"/>
      <c r="V420" s="431"/>
      <c r="W420" s="294"/>
      <c r="X420" s="294"/>
      <c r="Y420" s="294">
        <f>IF(NFI_Expiration=1,IF($A420&lt;VLOOKUP(H$5,NFI,5,0),1,0)*Table_NFI[[#This Row],[Hygiene Kit]],Table_NFI[Hygiene Kit])</f>
        <v>0</v>
      </c>
      <c r="Z420" s="294">
        <f>IF(NFI_Expiration=1,IF($A420&lt;VLOOKUP(I$5,NFI,5,0),1,0)*Table_NFI[[#This Row],[NFI Core Kit]],Table_NFI[NFI Core Kit])</f>
        <v>0</v>
      </c>
      <c r="AA420" s="294">
        <f>IF(NFI_Expiration=1,IF($A420&lt;VLOOKUP(J$5,NFI,5,0),1,0)*Table_NFI[[#This Row],[Sanitary Kit]],Table_NFI[Sanitary Kit])</f>
        <v>0</v>
      </c>
      <c r="AB420" s="294">
        <f>IF(NFI_Expiration=1,IF($A420&lt;VLOOKUP(K$5,NFI,5,0),1,0)*Table_NFI[[#This Row],[Mosquito net]],Table_NFI[Mosquito net])</f>
        <v>0</v>
      </c>
      <c r="AC420" s="294">
        <f>IF(NFI_Expiration=1,IF($A420&lt;VLOOKUP(L$5,NFI,5,0),1,0)*Table_NFI[[#This Row],[Tarpaulin]],Table_NFI[[#This Row],[Tarpaulin]])</f>
        <v>0</v>
      </c>
      <c r="AD420" s="294">
        <f>IF(NFI_Expiration=1,IF($A420&lt;VLOOKUP(M$5,NFI,5,0),1,0)*Table_NFI[[#This Row],[Blanket]],Table_NFI[[#This Row],[Blanket]])</f>
        <v>0</v>
      </c>
      <c r="AE420" s="294">
        <f>IF(NFI_Expiration=1,IF($A420&lt;VLOOKUP(N$5,NFI,5,0),1,0)*Table_NFI[[#This Row],[Kitchen Set]],Table_NFI[Kitchen Set])</f>
        <v>0</v>
      </c>
      <c r="AF420" s="294">
        <f>IF(NFI_Expiration=1,IF($A420&lt;VLOOKUP(O$5,NFI,5,0),1,0)*Table_NFI[[#This Row],[Clothes Kit]],Table_NFI[Clothes Kit])</f>
        <v>0</v>
      </c>
      <c r="AG420" s="294">
        <f>IF(NFI_Expiration=1,IF($A420&lt;VLOOKUP(P$5,NFI,5,0),1,0)*Table_NFI[[#This Row],[Plastic Bucket]],Table_NFI[Plastic Bucket])</f>
        <v>0</v>
      </c>
      <c r="AH420" s="294">
        <f>IF(NFI_Expiration=1,IF($A420&lt;VLOOKUP(Q$5,NFI,5,0),1,0)*Table_NFI[[#This Row],[Plastic Mat]],Table_NFI[Plastic Mat])*IF(Table_NFI[[#This Row],[Distribution Date]]&gt;"2014-04-01",1,2.5)</f>
        <v>0</v>
      </c>
      <c r="AI420" s="294">
        <f>IF(NFI_Expiration=1,IF($A420&lt;VLOOKUP(R$5,NFI,5,0),1,0)*Table_NFI[[#This Row],[Winter Clothes Adult]],Table_NFI[Winter Clothes Adult])</f>
        <v>0</v>
      </c>
      <c r="AJ420" s="294">
        <f>IF(NFI_Expiration=1,IF($A420&lt;VLOOKUP(S$5,NFI,5,0),1,0)*Table_NFI[[#This Row],[Winter Clothes Children]],Table_NFI[Winter Clothes Children])</f>
        <v>0</v>
      </c>
      <c r="AK420" s="294">
        <f>IF(NFI_Expiration=1,IF($A420&lt;VLOOKUP(T$5,NFI,5,0),1,0)*Table_NFI[[#This Row],[Winter Items Other]],Table_NFI[Winter Items Other])</f>
        <v>0</v>
      </c>
      <c r="AL420" s="294">
        <f>IF(NFI_Expiration=1,IF($A420&lt;VLOOKUP(M$5,NFI,5,0),1,0)*Table_NFI[[#This Row],[Winter Blanket]],Table_NFI[[#This Row],[Winter Blanket]])</f>
        <v>0</v>
      </c>
      <c r="AM420" s="294">
        <f>IF(Table_NFI[[#This Row],[Winter Clothes Adult]]+Table_NFI[[#This Row],[Winter Clothes Children]]+Table_NFI[[#This Row],[Winter Items Other]]+Table_NFI[[#This Row],[Winter Blanket]]&gt;0,1,0)</f>
        <v>0</v>
      </c>
      <c r="AN420" s="331">
        <f>IF(NFI_Expiration=1,IF($A420&lt;VLOOKUP(V$5,NFI,5,0),1,0)*Table_NFI[[#This Row],[Jerry Can]],Table_NFI[Jerry Can])</f>
        <v>0</v>
      </c>
      <c r="AO420" s="331">
        <f>IF(NFI_Expiration=1,IF($A420&lt;VLOOKUP(V$5,NFI,5,0),1,0)*Table_NFI[[#This Row],[Shelter Tool kit]],Table_NFI[Shelter Tool kit])</f>
        <v>0</v>
      </c>
      <c r="AP420" s="331">
        <f>IF(NFI_Expiration=1,IF($A420&lt;VLOOKUP(V$5,NFI,5,0),1,0)*Table_NFI[[#This Row],[Tent]],Table_NFI[Tent])</f>
        <v>0</v>
      </c>
      <c r="AQ420" s="467" t="str">
        <f>IFERROR(VLOOKUP(Table_NFI[[#This Row],[Camp Name]],CL,2,0),"")</f>
        <v>MMR001CMP056</v>
      </c>
      <c r="AR420" s="835">
        <f ca="1">IF(Table_NFI[[#This Row],[Pcode]]="","",IF(OFFSET(CampList[Opening Date],MATCH(Table_NFI[[#This Row],[Pcode]],CampList[CP_Pcode],0)-1,0,1,1)&gt;=NFI_Monitor_Date,1,0))</f>
        <v>0</v>
      </c>
      <c r="AS420" s="467" t="str">
        <f>IFERROR(VLOOKUP(Table_NFI[[#This Row],[Camp Name]],CL,3,0),"")</f>
        <v>Open</v>
      </c>
      <c r="AT420" s="294" t="str">
        <f ca="1">IF(Table_NFI[[#This Row],[Pcode]]="","",OFFSET(CampList[Priority],MATCH(Table_NFI[[#This Row],[Pcode]],CampList[CP_Pcode],0)-1,0,1,1))</f>
        <v>P4</v>
      </c>
      <c r="AU420" s="293">
        <f>IFERROR(Table_NFI[[#This Row],[Kitchen Set]]/VLOOKUP(Table_NFI[[#This Row],[Camp Name]],CL,4,0),"")</f>
        <v>9.8292173485686198E-5</v>
      </c>
      <c r="AV420" s="461" t="s">
        <v>1092</v>
      </c>
      <c r="AW420" s="463"/>
    </row>
    <row r="421" spans="1:49" s="464" customFormat="1" ht="14.45" customHeight="1" x14ac:dyDescent="0.25">
      <c r="A421" s="297">
        <f t="shared" si="6"/>
        <v>33.1</v>
      </c>
      <c r="B421" s="460">
        <v>41743</v>
      </c>
      <c r="C421" s="461" t="s">
        <v>452</v>
      </c>
      <c r="D421" s="461" t="s">
        <v>452</v>
      </c>
      <c r="E421" s="461" t="s">
        <v>380</v>
      </c>
      <c r="F421" s="461" t="s">
        <v>185</v>
      </c>
      <c r="G421" s="461" t="s">
        <v>209</v>
      </c>
      <c r="H421" s="291"/>
      <c r="I421" s="291"/>
      <c r="J421" s="291"/>
      <c r="K421" s="291">
        <v>10</v>
      </c>
      <c r="L421" s="292">
        <v>5</v>
      </c>
      <c r="M421" s="292">
        <v>15</v>
      </c>
      <c r="N421" s="292">
        <v>5</v>
      </c>
      <c r="O421" s="292">
        <v>5</v>
      </c>
      <c r="P421" s="294">
        <v>5</v>
      </c>
      <c r="Q421" s="294"/>
      <c r="R421" s="294"/>
      <c r="S421" s="294"/>
      <c r="T421" s="294"/>
      <c r="U421" s="294"/>
      <c r="V421" s="431"/>
      <c r="W421" s="294"/>
      <c r="X421" s="294"/>
      <c r="Y421" s="294">
        <f>IF(NFI_Expiration=1,IF($A421&lt;VLOOKUP(H$5,NFI,5,0),1,0)*Table_NFI[[#This Row],[Hygiene Kit]],Table_NFI[Hygiene Kit])</f>
        <v>0</v>
      </c>
      <c r="Z421" s="294">
        <f>IF(NFI_Expiration=1,IF($A421&lt;VLOOKUP(I$5,NFI,5,0),1,0)*Table_NFI[[#This Row],[NFI Core Kit]],Table_NFI[NFI Core Kit])</f>
        <v>0</v>
      </c>
      <c r="AA421" s="294">
        <f>IF(NFI_Expiration=1,IF($A421&lt;VLOOKUP(J$5,NFI,5,0),1,0)*Table_NFI[[#This Row],[Sanitary Kit]],Table_NFI[Sanitary Kit])</f>
        <v>0</v>
      </c>
      <c r="AB421" s="294">
        <f>IF(NFI_Expiration=1,IF($A421&lt;VLOOKUP(K$5,NFI,5,0),1,0)*Table_NFI[[#This Row],[Mosquito net]],Table_NFI[Mosquito net])</f>
        <v>0</v>
      </c>
      <c r="AC421" s="294">
        <f>IF(NFI_Expiration=1,IF($A421&lt;VLOOKUP(L$5,NFI,5,0),1,0)*Table_NFI[[#This Row],[Tarpaulin]],Table_NFI[[#This Row],[Tarpaulin]])</f>
        <v>0</v>
      </c>
      <c r="AD421" s="294">
        <f>IF(NFI_Expiration=1,IF($A421&lt;VLOOKUP(M$5,NFI,5,0),1,0)*Table_NFI[[#This Row],[Blanket]],Table_NFI[[#This Row],[Blanket]])</f>
        <v>0</v>
      </c>
      <c r="AE421" s="294">
        <f>IF(NFI_Expiration=1,IF($A421&lt;VLOOKUP(N$5,NFI,5,0),1,0)*Table_NFI[[#This Row],[Kitchen Set]],Table_NFI[Kitchen Set])</f>
        <v>0</v>
      </c>
      <c r="AF421" s="294">
        <f>IF(NFI_Expiration=1,IF($A421&lt;VLOOKUP(O$5,NFI,5,0),1,0)*Table_NFI[[#This Row],[Clothes Kit]],Table_NFI[Clothes Kit])</f>
        <v>0</v>
      </c>
      <c r="AG421" s="294">
        <f>IF(NFI_Expiration=1,IF($A421&lt;VLOOKUP(P$5,NFI,5,0),1,0)*Table_NFI[[#This Row],[Plastic Bucket]],Table_NFI[Plastic Bucket])</f>
        <v>0</v>
      </c>
      <c r="AH421" s="294">
        <f>IF(NFI_Expiration=1,IF($A421&lt;VLOOKUP(Q$5,NFI,5,0),1,0)*Table_NFI[[#This Row],[Plastic Mat]],Table_NFI[Plastic Mat])*IF(Table_NFI[[#This Row],[Distribution Date]]&gt;"2014-04-01",1,2.5)</f>
        <v>0</v>
      </c>
      <c r="AI421" s="294">
        <f>IF(NFI_Expiration=1,IF($A421&lt;VLOOKUP(R$5,NFI,5,0),1,0)*Table_NFI[[#This Row],[Winter Clothes Adult]],Table_NFI[Winter Clothes Adult])</f>
        <v>0</v>
      </c>
      <c r="AJ421" s="294">
        <f>IF(NFI_Expiration=1,IF($A421&lt;VLOOKUP(S$5,NFI,5,0),1,0)*Table_NFI[[#This Row],[Winter Clothes Children]],Table_NFI[Winter Clothes Children])</f>
        <v>0</v>
      </c>
      <c r="AK421" s="294">
        <f>IF(NFI_Expiration=1,IF($A421&lt;VLOOKUP(T$5,NFI,5,0),1,0)*Table_NFI[[#This Row],[Winter Items Other]],Table_NFI[Winter Items Other])</f>
        <v>0</v>
      </c>
      <c r="AL421" s="294">
        <f>IF(NFI_Expiration=1,IF($A421&lt;VLOOKUP(M$5,NFI,5,0),1,0)*Table_NFI[[#This Row],[Winter Blanket]],Table_NFI[[#This Row],[Winter Blanket]])</f>
        <v>0</v>
      </c>
      <c r="AM421" s="294">
        <f>IF(Table_NFI[[#This Row],[Winter Clothes Adult]]+Table_NFI[[#This Row],[Winter Clothes Children]]+Table_NFI[[#This Row],[Winter Items Other]]+Table_NFI[[#This Row],[Winter Blanket]]&gt;0,1,0)</f>
        <v>0</v>
      </c>
      <c r="AN421" s="331">
        <f>IF(NFI_Expiration=1,IF($A421&lt;VLOOKUP(V$5,NFI,5,0),1,0)*Table_NFI[[#This Row],[Jerry Can]],Table_NFI[Jerry Can])</f>
        <v>0</v>
      </c>
      <c r="AO421" s="331">
        <f>IF(NFI_Expiration=1,IF($A421&lt;VLOOKUP(V$5,NFI,5,0),1,0)*Table_NFI[[#This Row],[Shelter Tool kit]],Table_NFI[Shelter Tool kit])</f>
        <v>0</v>
      </c>
      <c r="AP421" s="331">
        <f>IF(NFI_Expiration=1,IF($A421&lt;VLOOKUP(V$5,NFI,5,0),1,0)*Table_NFI[[#This Row],[Tent]],Table_NFI[Tent])</f>
        <v>0</v>
      </c>
      <c r="AQ421" s="467" t="str">
        <f>IFERROR(VLOOKUP(Table_NFI[[#This Row],[Camp Name]],CL,2,0),"")</f>
        <v>MMR001CMP056</v>
      </c>
      <c r="AR421" s="835">
        <f ca="1">IF(Table_NFI[[#This Row],[Pcode]]="","",IF(OFFSET(CampList[Opening Date],MATCH(Table_NFI[[#This Row],[Pcode]],CampList[CP_Pcode],0)-1,0,1,1)&gt;=NFI_Monitor_Date,1,0))</f>
        <v>0</v>
      </c>
      <c r="AS421" s="467" t="str">
        <f>IFERROR(VLOOKUP(Table_NFI[[#This Row],[Camp Name]],CL,3,0),"")</f>
        <v>Open</v>
      </c>
      <c r="AT421" s="294" t="str">
        <f ca="1">IF(Table_NFI[[#This Row],[Pcode]]="","",OFFSET(CampList[Priority],MATCH(Table_NFI[[#This Row],[Pcode]],CampList[CP_Pcode],0)-1,0,1,1))</f>
        <v>P4</v>
      </c>
      <c r="AU421" s="293">
        <f>IFERROR(Table_NFI[[#This Row],[Kitchen Set]]/VLOOKUP(Table_NFI[[#This Row],[Camp Name]],CL,4,0),"")</f>
        <v>1.2286521685710776E-4</v>
      </c>
      <c r="AV421" s="461" t="s">
        <v>1092</v>
      </c>
      <c r="AW421" s="463"/>
    </row>
    <row r="422" spans="1:49" s="464" customFormat="1" ht="14.45" customHeight="1" x14ac:dyDescent="0.25">
      <c r="A422" s="297">
        <f t="shared" si="6"/>
        <v>33.266666666666666</v>
      </c>
      <c r="B422" s="460">
        <v>41738</v>
      </c>
      <c r="C422" s="461" t="s">
        <v>1104</v>
      </c>
      <c r="D422" s="461" t="s">
        <v>900</v>
      </c>
      <c r="E422" s="461" t="s">
        <v>380</v>
      </c>
      <c r="F422" s="461" t="s">
        <v>5</v>
      </c>
      <c r="G422" s="461" t="s">
        <v>24</v>
      </c>
      <c r="H422" s="291"/>
      <c r="I422" s="291"/>
      <c r="J422" s="291"/>
      <c r="K422" s="291"/>
      <c r="L422" s="292"/>
      <c r="M422" s="292"/>
      <c r="N422" s="292"/>
      <c r="O422" s="292"/>
      <c r="P422" s="294"/>
      <c r="Q422" s="294"/>
      <c r="R422" s="294"/>
      <c r="S422" s="294"/>
      <c r="T422" s="294"/>
      <c r="U422" s="294">
        <v>122</v>
      </c>
      <c r="V422" s="431"/>
      <c r="W422" s="294"/>
      <c r="X422" s="294"/>
      <c r="Y422" s="294">
        <f>IF(NFI_Expiration=1,IF($A422&lt;VLOOKUP(H$5,NFI,5,0),1,0)*Table_NFI[[#This Row],[Hygiene Kit]],Table_NFI[Hygiene Kit])</f>
        <v>0</v>
      </c>
      <c r="Z422" s="294">
        <f>IF(NFI_Expiration=1,IF($A422&lt;VLOOKUP(I$5,NFI,5,0),1,0)*Table_NFI[[#This Row],[NFI Core Kit]],Table_NFI[NFI Core Kit])</f>
        <v>0</v>
      </c>
      <c r="AA422" s="294">
        <f>IF(NFI_Expiration=1,IF($A422&lt;VLOOKUP(J$5,NFI,5,0),1,0)*Table_NFI[[#This Row],[Sanitary Kit]],Table_NFI[Sanitary Kit])</f>
        <v>0</v>
      </c>
      <c r="AB422" s="294">
        <f>IF(NFI_Expiration=1,IF($A422&lt;VLOOKUP(K$5,NFI,5,0),1,0)*Table_NFI[[#This Row],[Mosquito net]],Table_NFI[Mosquito net])</f>
        <v>0</v>
      </c>
      <c r="AC422" s="294">
        <f>IF(NFI_Expiration=1,IF($A422&lt;VLOOKUP(L$5,NFI,5,0),1,0)*Table_NFI[[#This Row],[Tarpaulin]],Table_NFI[[#This Row],[Tarpaulin]])</f>
        <v>0</v>
      </c>
      <c r="AD422" s="294">
        <f>IF(NFI_Expiration=1,IF($A422&lt;VLOOKUP(M$5,NFI,5,0),1,0)*Table_NFI[[#This Row],[Blanket]],Table_NFI[[#This Row],[Blanket]])</f>
        <v>0</v>
      </c>
      <c r="AE422" s="294">
        <f>IF(NFI_Expiration=1,IF($A422&lt;VLOOKUP(N$5,NFI,5,0),1,0)*Table_NFI[[#This Row],[Kitchen Set]],Table_NFI[Kitchen Set])</f>
        <v>0</v>
      </c>
      <c r="AF422" s="294">
        <f>IF(NFI_Expiration=1,IF($A422&lt;VLOOKUP(O$5,NFI,5,0),1,0)*Table_NFI[[#This Row],[Clothes Kit]],Table_NFI[Clothes Kit])</f>
        <v>0</v>
      </c>
      <c r="AG422" s="294">
        <f>IF(NFI_Expiration=1,IF($A422&lt;VLOOKUP(P$5,NFI,5,0),1,0)*Table_NFI[[#This Row],[Plastic Bucket]],Table_NFI[Plastic Bucket])</f>
        <v>0</v>
      </c>
      <c r="AH422" s="294">
        <f>IF(NFI_Expiration=1,IF($A422&lt;VLOOKUP(Q$5,NFI,5,0),1,0)*Table_NFI[[#This Row],[Plastic Mat]],Table_NFI[Plastic Mat])*IF(Table_NFI[[#This Row],[Distribution Date]]&gt;"2014-04-01",1,2.5)</f>
        <v>0</v>
      </c>
      <c r="AI422" s="294">
        <f>IF(NFI_Expiration=1,IF($A422&lt;VLOOKUP(R$5,NFI,5,0),1,0)*Table_NFI[[#This Row],[Winter Clothes Adult]],Table_NFI[Winter Clothes Adult])</f>
        <v>0</v>
      </c>
      <c r="AJ422" s="294">
        <f>IF(NFI_Expiration=1,IF($A422&lt;VLOOKUP(S$5,NFI,5,0),1,0)*Table_NFI[[#This Row],[Winter Clothes Children]],Table_NFI[Winter Clothes Children])</f>
        <v>0</v>
      </c>
      <c r="AK422" s="294">
        <f>IF(NFI_Expiration=1,IF($A422&lt;VLOOKUP(T$5,NFI,5,0),1,0)*Table_NFI[[#This Row],[Winter Items Other]],Table_NFI[Winter Items Other])</f>
        <v>0</v>
      </c>
      <c r="AL422" s="294">
        <f>IF(NFI_Expiration=1,IF($A422&lt;VLOOKUP(M$5,NFI,5,0),1,0)*Table_NFI[[#This Row],[Winter Blanket]],Table_NFI[[#This Row],[Winter Blanket]])</f>
        <v>0</v>
      </c>
      <c r="AM422" s="294">
        <f>IF(Table_NFI[[#This Row],[Winter Clothes Adult]]+Table_NFI[[#This Row],[Winter Clothes Children]]+Table_NFI[[#This Row],[Winter Items Other]]+Table_NFI[[#This Row],[Winter Blanket]]&gt;0,1,0)</f>
        <v>1</v>
      </c>
      <c r="AN422" s="331">
        <f>IF(NFI_Expiration=1,IF($A422&lt;VLOOKUP(V$5,NFI,5,0),1,0)*Table_NFI[[#This Row],[Jerry Can]],Table_NFI[Jerry Can])</f>
        <v>0</v>
      </c>
      <c r="AO422" s="331">
        <f>IF(NFI_Expiration=1,IF($A422&lt;VLOOKUP(V$5,NFI,5,0),1,0)*Table_NFI[[#This Row],[Shelter Tool kit]],Table_NFI[Shelter Tool kit])</f>
        <v>0</v>
      </c>
      <c r="AP422" s="331">
        <f>IF(NFI_Expiration=1,IF($A422&lt;VLOOKUP(V$5,NFI,5,0),1,0)*Table_NFI[[#This Row],[Tent]],Table_NFI[Tent])</f>
        <v>0</v>
      </c>
      <c r="AQ422" s="467" t="str">
        <f>IFERROR(VLOOKUP(Table_NFI[[#This Row],[Camp Name]],CL,2,0),"")</f>
        <v>MMR001CMP055</v>
      </c>
      <c r="AR422" s="835">
        <f ca="1">IF(Table_NFI[[#This Row],[Pcode]]="","",IF(OFFSET(CampList[Opening Date],MATCH(Table_NFI[[#This Row],[Pcode]],CampList[CP_Pcode],0)-1,0,1,1)&gt;=NFI_Monitor_Date,1,0))</f>
        <v>0</v>
      </c>
      <c r="AS422" s="467" t="str">
        <f>IFERROR(VLOOKUP(Table_NFI[[#This Row],[Camp Name]],CL,3,0),"")</f>
        <v>Open</v>
      </c>
      <c r="AT422" s="294" t="str">
        <f ca="1">IF(Table_NFI[[#This Row],[Pcode]]="","",OFFSET(CampList[Priority],MATCH(Table_NFI[[#This Row],[Pcode]],CampList[CP_Pcode],0)-1,0,1,1))</f>
        <v>P4</v>
      </c>
      <c r="AU422" s="293">
        <f>IFERROR(Table_NFI[[#This Row],[Kitchen Set]]/VLOOKUP(Table_NFI[[#This Row],[Camp Name]],CL,4,0),"")</f>
        <v>0</v>
      </c>
      <c r="AV422" s="461"/>
      <c r="AW422" s="463"/>
    </row>
    <row r="423" spans="1:49" s="464" customFormat="1" ht="14.45" customHeight="1" x14ac:dyDescent="0.25">
      <c r="A423" s="297">
        <f t="shared" si="6"/>
        <v>33.266666666666666</v>
      </c>
      <c r="B423" s="460">
        <v>41738</v>
      </c>
      <c r="C423" s="461" t="s">
        <v>1104</v>
      </c>
      <c r="D423" s="461" t="s">
        <v>900</v>
      </c>
      <c r="E423" s="461" t="s">
        <v>380</v>
      </c>
      <c r="F423" s="461" t="s">
        <v>5</v>
      </c>
      <c r="G423" s="461" t="s">
        <v>26</v>
      </c>
      <c r="H423" s="291"/>
      <c r="I423" s="291"/>
      <c r="J423" s="291"/>
      <c r="K423" s="291"/>
      <c r="L423" s="292"/>
      <c r="M423" s="292"/>
      <c r="N423" s="292"/>
      <c r="O423" s="292"/>
      <c r="P423" s="294"/>
      <c r="Q423" s="294"/>
      <c r="R423" s="294"/>
      <c r="S423" s="294"/>
      <c r="T423" s="294"/>
      <c r="U423" s="294">
        <v>42</v>
      </c>
      <c r="V423" s="431"/>
      <c r="W423" s="294"/>
      <c r="X423" s="294"/>
      <c r="Y423" s="294">
        <f>IF(NFI_Expiration=1,IF($A423&lt;VLOOKUP(H$5,NFI,5,0),1,0)*Table_NFI[[#This Row],[Hygiene Kit]],Table_NFI[Hygiene Kit])</f>
        <v>0</v>
      </c>
      <c r="Z423" s="294">
        <f>IF(NFI_Expiration=1,IF($A423&lt;VLOOKUP(I$5,NFI,5,0),1,0)*Table_NFI[[#This Row],[NFI Core Kit]],Table_NFI[NFI Core Kit])</f>
        <v>0</v>
      </c>
      <c r="AA423" s="294">
        <f>IF(NFI_Expiration=1,IF($A423&lt;VLOOKUP(J$5,NFI,5,0),1,0)*Table_NFI[[#This Row],[Sanitary Kit]],Table_NFI[Sanitary Kit])</f>
        <v>0</v>
      </c>
      <c r="AB423" s="294">
        <f>IF(NFI_Expiration=1,IF($A423&lt;VLOOKUP(K$5,NFI,5,0),1,0)*Table_NFI[[#This Row],[Mosquito net]],Table_NFI[Mosquito net])</f>
        <v>0</v>
      </c>
      <c r="AC423" s="294">
        <f>IF(NFI_Expiration=1,IF($A423&lt;VLOOKUP(L$5,NFI,5,0),1,0)*Table_NFI[[#This Row],[Tarpaulin]],Table_NFI[[#This Row],[Tarpaulin]])</f>
        <v>0</v>
      </c>
      <c r="AD423" s="294">
        <f>IF(NFI_Expiration=1,IF($A423&lt;VLOOKUP(M$5,NFI,5,0),1,0)*Table_NFI[[#This Row],[Blanket]],Table_NFI[[#This Row],[Blanket]])</f>
        <v>0</v>
      </c>
      <c r="AE423" s="294">
        <f>IF(NFI_Expiration=1,IF($A423&lt;VLOOKUP(N$5,NFI,5,0),1,0)*Table_NFI[[#This Row],[Kitchen Set]],Table_NFI[Kitchen Set])</f>
        <v>0</v>
      </c>
      <c r="AF423" s="294">
        <f>IF(NFI_Expiration=1,IF($A423&lt;VLOOKUP(O$5,NFI,5,0),1,0)*Table_NFI[[#This Row],[Clothes Kit]],Table_NFI[Clothes Kit])</f>
        <v>0</v>
      </c>
      <c r="AG423" s="294">
        <f>IF(NFI_Expiration=1,IF($A423&lt;VLOOKUP(P$5,NFI,5,0),1,0)*Table_NFI[[#This Row],[Plastic Bucket]],Table_NFI[Plastic Bucket])</f>
        <v>0</v>
      </c>
      <c r="AH423" s="294">
        <f>IF(NFI_Expiration=1,IF($A423&lt;VLOOKUP(Q$5,NFI,5,0),1,0)*Table_NFI[[#This Row],[Plastic Mat]],Table_NFI[Plastic Mat])*IF(Table_NFI[[#This Row],[Distribution Date]]&gt;"2014-04-01",1,2.5)</f>
        <v>0</v>
      </c>
      <c r="AI423" s="294">
        <f>IF(NFI_Expiration=1,IF($A423&lt;VLOOKUP(R$5,NFI,5,0),1,0)*Table_NFI[[#This Row],[Winter Clothes Adult]],Table_NFI[Winter Clothes Adult])</f>
        <v>0</v>
      </c>
      <c r="AJ423" s="294">
        <f>IF(NFI_Expiration=1,IF($A423&lt;VLOOKUP(S$5,NFI,5,0),1,0)*Table_NFI[[#This Row],[Winter Clothes Children]],Table_NFI[Winter Clothes Children])</f>
        <v>0</v>
      </c>
      <c r="AK423" s="294">
        <f>IF(NFI_Expiration=1,IF($A423&lt;VLOOKUP(T$5,NFI,5,0),1,0)*Table_NFI[[#This Row],[Winter Items Other]],Table_NFI[Winter Items Other])</f>
        <v>0</v>
      </c>
      <c r="AL423" s="294">
        <f>IF(NFI_Expiration=1,IF($A423&lt;VLOOKUP(M$5,NFI,5,0),1,0)*Table_NFI[[#This Row],[Winter Blanket]],Table_NFI[[#This Row],[Winter Blanket]])</f>
        <v>0</v>
      </c>
      <c r="AM423" s="294">
        <f>IF(Table_NFI[[#This Row],[Winter Clothes Adult]]+Table_NFI[[#This Row],[Winter Clothes Children]]+Table_NFI[[#This Row],[Winter Items Other]]+Table_NFI[[#This Row],[Winter Blanket]]&gt;0,1,0)</f>
        <v>1</v>
      </c>
      <c r="AN423" s="331">
        <f>IF(NFI_Expiration=1,IF($A423&lt;VLOOKUP(V$5,NFI,5,0),1,0)*Table_NFI[[#This Row],[Jerry Can]],Table_NFI[Jerry Can])</f>
        <v>0</v>
      </c>
      <c r="AO423" s="331">
        <f>IF(NFI_Expiration=1,IF($A423&lt;VLOOKUP(V$5,NFI,5,0),1,0)*Table_NFI[[#This Row],[Shelter Tool kit]],Table_NFI[Shelter Tool kit])</f>
        <v>0</v>
      </c>
      <c r="AP423" s="331">
        <f>IF(NFI_Expiration=1,IF($A423&lt;VLOOKUP(V$5,NFI,5,0),1,0)*Table_NFI[[#This Row],[Tent]],Table_NFI[Tent])</f>
        <v>0</v>
      </c>
      <c r="AQ423" s="467" t="str">
        <f>IFERROR(VLOOKUP(Table_NFI[[#This Row],[Camp Name]],CL,2,0),"")</f>
        <v>MMR001CMP053</v>
      </c>
      <c r="AR423" s="835">
        <f ca="1">IF(Table_NFI[[#This Row],[Pcode]]="","",IF(OFFSET(CampList[Opening Date],MATCH(Table_NFI[[#This Row],[Pcode]],CampList[CP_Pcode],0)-1,0,1,1)&gt;=NFI_Monitor_Date,1,0))</f>
        <v>0</v>
      </c>
      <c r="AS423" s="467" t="str">
        <f>IFERROR(VLOOKUP(Table_NFI[[#This Row],[Camp Name]],CL,3,0),"")</f>
        <v>Open</v>
      </c>
      <c r="AT423" s="294" t="str">
        <f ca="1">IF(Table_NFI[[#This Row],[Pcode]]="","",OFFSET(CampList[Priority],MATCH(Table_NFI[[#This Row],[Pcode]],CampList[CP_Pcode],0)-1,0,1,1))</f>
        <v>P4</v>
      </c>
      <c r="AU423" s="293">
        <f>IFERROR(Table_NFI[[#This Row],[Kitchen Set]]/VLOOKUP(Table_NFI[[#This Row],[Camp Name]],CL,4,0),"")</f>
        <v>0</v>
      </c>
      <c r="AV423" s="461"/>
      <c r="AW423" s="463"/>
    </row>
    <row r="424" spans="1:49" s="464" customFormat="1" ht="14.45" customHeight="1" x14ac:dyDescent="0.25">
      <c r="A424" s="297">
        <f t="shared" si="6"/>
        <v>33.299999999999997</v>
      </c>
      <c r="B424" s="460">
        <v>41737</v>
      </c>
      <c r="C424" s="461" t="s">
        <v>1104</v>
      </c>
      <c r="D424" s="461" t="s">
        <v>900</v>
      </c>
      <c r="E424" s="461" t="s">
        <v>380</v>
      </c>
      <c r="F424" s="461" t="s">
        <v>5</v>
      </c>
      <c r="G424" s="461" t="s">
        <v>14</v>
      </c>
      <c r="H424" s="291"/>
      <c r="I424" s="291"/>
      <c r="J424" s="291"/>
      <c r="K424" s="291"/>
      <c r="L424" s="292"/>
      <c r="M424" s="292"/>
      <c r="N424" s="292"/>
      <c r="O424" s="292"/>
      <c r="P424" s="294"/>
      <c r="Q424" s="294"/>
      <c r="R424" s="294"/>
      <c r="S424" s="294"/>
      <c r="T424" s="294"/>
      <c r="U424" s="294">
        <v>90</v>
      </c>
      <c r="V424" s="431"/>
      <c r="W424" s="294"/>
      <c r="X424" s="294"/>
      <c r="Y424" s="294">
        <f>IF(NFI_Expiration=1,IF($A424&lt;VLOOKUP(H$5,NFI,5,0),1,0)*Table_NFI[[#This Row],[Hygiene Kit]],Table_NFI[Hygiene Kit])</f>
        <v>0</v>
      </c>
      <c r="Z424" s="294">
        <f>IF(NFI_Expiration=1,IF($A424&lt;VLOOKUP(I$5,NFI,5,0),1,0)*Table_NFI[[#This Row],[NFI Core Kit]],Table_NFI[NFI Core Kit])</f>
        <v>0</v>
      </c>
      <c r="AA424" s="294">
        <f>IF(NFI_Expiration=1,IF($A424&lt;VLOOKUP(J$5,NFI,5,0),1,0)*Table_NFI[[#This Row],[Sanitary Kit]],Table_NFI[Sanitary Kit])</f>
        <v>0</v>
      </c>
      <c r="AB424" s="294">
        <f>IF(NFI_Expiration=1,IF($A424&lt;VLOOKUP(K$5,NFI,5,0),1,0)*Table_NFI[[#This Row],[Mosquito net]],Table_NFI[Mosquito net])</f>
        <v>0</v>
      </c>
      <c r="AC424" s="294">
        <f>IF(NFI_Expiration=1,IF($A424&lt;VLOOKUP(L$5,NFI,5,0),1,0)*Table_NFI[[#This Row],[Tarpaulin]],Table_NFI[[#This Row],[Tarpaulin]])</f>
        <v>0</v>
      </c>
      <c r="AD424" s="294">
        <f>IF(NFI_Expiration=1,IF($A424&lt;VLOOKUP(M$5,NFI,5,0),1,0)*Table_NFI[[#This Row],[Blanket]],Table_NFI[[#This Row],[Blanket]])</f>
        <v>0</v>
      </c>
      <c r="AE424" s="294">
        <f>IF(NFI_Expiration=1,IF($A424&lt;VLOOKUP(N$5,NFI,5,0),1,0)*Table_NFI[[#This Row],[Kitchen Set]],Table_NFI[Kitchen Set])</f>
        <v>0</v>
      </c>
      <c r="AF424" s="294">
        <f>IF(NFI_Expiration=1,IF($A424&lt;VLOOKUP(O$5,NFI,5,0),1,0)*Table_NFI[[#This Row],[Clothes Kit]],Table_NFI[Clothes Kit])</f>
        <v>0</v>
      </c>
      <c r="AG424" s="294">
        <f>IF(NFI_Expiration=1,IF($A424&lt;VLOOKUP(P$5,NFI,5,0),1,0)*Table_NFI[[#This Row],[Plastic Bucket]],Table_NFI[Plastic Bucket])</f>
        <v>0</v>
      </c>
      <c r="AH424" s="294">
        <f>IF(NFI_Expiration=1,IF($A424&lt;VLOOKUP(Q$5,NFI,5,0),1,0)*Table_NFI[[#This Row],[Plastic Mat]],Table_NFI[Plastic Mat])*IF(Table_NFI[[#This Row],[Distribution Date]]&gt;"2014-04-01",1,2.5)</f>
        <v>0</v>
      </c>
      <c r="AI424" s="294">
        <f>IF(NFI_Expiration=1,IF($A424&lt;VLOOKUP(R$5,NFI,5,0),1,0)*Table_NFI[[#This Row],[Winter Clothes Adult]],Table_NFI[Winter Clothes Adult])</f>
        <v>0</v>
      </c>
      <c r="AJ424" s="294">
        <f>IF(NFI_Expiration=1,IF($A424&lt;VLOOKUP(S$5,NFI,5,0),1,0)*Table_NFI[[#This Row],[Winter Clothes Children]],Table_NFI[Winter Clothes Children])</f>
        <v>0</v>
      </c>
      <c r="AK424" s="294">
        <f>IF(NFI_Expiration=1,IF($A424&lt;VLOOKUP(T$5,NFI,5,0),1,0)*Table_NFI[[#This Row],[Winter Items Other]],Table_NFI[Winter Items Other])</f>
        <v>0</v>
      </c>
      <c r="AL424" s="294">
        <f>IF(NFI_Expiration=1,IF($A424&lt;VLOOKUP(M$5,NFI,5,0),1,0)*Table_NFI[[#This Row],[Winter Blanket]],Table_NFI[[#This Row],[Winter Blanket]])</f>
        <v>0</v>
      </c>
      <c r="AM424" s="294">
        <f>IF(Table_NFI[[#This Row],[Winter Clothes Adult]]+Table_NFI[[#This Row],[Winter Clothes Children]]+Table_NFI[[#This Row],[Winter Items Other]]+Table_NFI[[#This Row],[Winter Blanket]]&gt;0,1,0)</f>
        <v>1</v>
      </c>
      <c r="AN424" s="331">
        <f>IF(NFI_Expiration=1,IF($A424&lt;VLOOKUP(V$5,NFI,5,0),1,0)*Table_NFI[[#This Row],[Jerry Can]],Table_NFI[Jerry Can])</f>
        <v>0</v>
      </c>
      <c r="AO424" s="331">
        <f>IF(NFI_Expiration=1,IF($A424&lt;VLOOKUP(V$5,NFI,5,0),1,0)*Table_NFI[[#This Row],[Shelter Tool kit]],Table_NFI[Shelter Tool kit])</f>
        <v>0</v>
      </c>
      <c r="AP424" s="331">
        <f>IF(NFI_Expiration=1,IF($A424&lt;VLOOKUP(V$5,NFI,5,0),1,0)*Table_NFI[[#This Row],[Tent]],Table_NFI[Tent])</f>
        <v>0</v>
      </c>
      <c r="AQ424" s="467" t="str">
        <f>IFERROR(VLOOKUP(Table_NFI[[#This Row],[Camp Name]],CL,2,0),"")</f>
        <v>MMR001CMP052</v>
      </c>
      <c r="AR424" s="835">
        <f ca="1">IF(Table_NFI[[#This Row],[Pcode]]="","",IF(OFFSET(CampList[Opening Date],MATCH(Table_NFI[[#This Row],[Pcode]],CampList[CP_Pcode],0)-1,0,1,1)&gt;=NFI_Monitor_Date,1,0))</f>
        <v>0</v>
      </c>
      <c r="AS424" s="467" t="str">
        <f>IFERROR(VLOOKUP(Table_NFI[[#This Row],[Camp Name]],CL,3,0),"")</f>
        <v>Open</v>
      </c>
      <c r="AT424" s="294" t="str">
        <f ca="1">IF(Table_NFI[[#This Row],[Pcode]]="","",OFFSET(CampList[Priority],MATCH(Table_NFI[[#This Row],[Pcode]],CampList[CP_Pcode],0)-1,0,1,1))</f>
        <v>P4</v>
      </c>
      <c r="AU424" s="293">
        <f>IFERROR(Table_NFI[[#This Row],[Kitchen Set]]/VLOOKUP(Table_NFI[[#This Row],[Camp Name]],CL,4,0),"")</f>
        <v>0</v>
      </c>
      <c r="AV424" s="461"/>
      <c r="AW424" s="463"/>
    </row>
    <row r="425" spans="1:49" s="464" customFormat="1" ht="14.45" customHeight="1" x14ac:dyDescent="0.25">
      <c r="A425" s="297">
        <f t="shared" si="6"/>
        <v>33.299999999999997</v>
      </c>
      <c r="B425" s="460">
        <v>41737</v>
      </c>
      <c r="C425" s="461" t="s">
        <v>1104</v>
      </c>
      <c r="D425" s="461" t="s">
        <v>900</v>
      </c>
      <c r="E425" s="461" t="s">
        <v>380</v>
      </c>
      <c r="F425" s="461" t="s">
        <v>185</v>
      </c>
      <c r="G425" s="461" t="s">
        <v>207</v>
      </c>
      <c r="H425" s="291"/>
      <c r="I425" s="291"/>
      <c r="J425" s="291"/>
      <c r="K425" s="291"/>
      <c r="L425" s="292"/>
      <c r="M425" s="292"/>
      <c r="N425" s="292"/>
      <c r="O425" s="292"/>
      <c r="P425" s="294"/>
      <c r="Q425" s="294"/>
      <c r="R425" s="294"/>
      <c r="S425" s="294"/>
      <c r="T425" s="294"/>
      <c r="U425" s="294">
        <v>10</v>
      </c>
      <c r="V425" s="431"/>
      <c r="W425" s="294"/>
      <c r="X425" s="294"/>
      <c r="Y425" s="294">
        <f>IF(NFI_Expiration=1,IF($A425&lt;VLOOKUP(H$5,NFI,5,0),1,0)*Table_NFI[[#This Row],[Hygiene Kit]],Table_NFI[Hygiene Kit])</f>
        <v>0</v>
      </c>
      <c r="Z425" s="294">
        <f>IF(NFI_Expiration=1,IF($A425&lt;VLOOKUP(I$5,NFI,5,0),1,0)*Table_NFI[[#This Row],[NFI Core Kit]],Table_NFI[NFI Core Kit])</f>
        <v>0</v>
      </c>
      <c r="AA425" s="294">
        <f>IF(NFI_Expiration=1,IF($A425&lt;VLOOKUP(J$5,NFI,5,0),1,0)*Table_NFI[[#This Row],[Sanitary Kit]],Table_NFI[Sanitary Kit])</f>
        <v>0</v>
      </c>
      <c r="AB425" s="294">
        <f>IF(NFI_Expiration=1,IF($A425&lt;VLOOKUP(K$5,NFI,5,0),1,0)*Table_NFI[[#This Row],[Mosquito net]],Table_NFI[Mosquito net])</f>
        <v>0</v>
      </c>
      <c r="AC425" s="294">
        <f>IF(NFI_Expiration=1,IF($A425&lt;VLOOKUP(L$5,NFI,5,0),1,0)*Table_NFI[[#This Row],[Tarpaulin]],Table_NFI[[#This Row],[Tarpaulin]])</f>
        <v>0</v>
      </c>
      <c r="AD425" s="294">
        <f>IF(NFI_Expiration=1,IF($A425&lt;VLOOKUP(M$5,NFI,5,0),1,0)*Table_NFI[[#This Row],[Blanket]],Table_NFI[[#This Row],[Blanket]])</f>
        <v>0</v>
      </c>
      <c r="AE425" s="294">
        <f>IF(NFI_Expiration=1,IF($A425&lt;VLOOKUP(N$5,NFI,5,0),1,0)*Table_NFI[[#This Row],[Kitchen Set]],Table_NFI[Kitchen Set])</f>
        <v>0</v>
      </c>
      <c r="AF425" s="294">
        <f>IF(NFI_Expiration=1,IF($A425&lt;VLOOKUP(O$5,NFI,5,0),1,0)*Table_NFI[[#This Row],[Clothes Kit]],Table_NFI[Clothes Kit])</f>
        <v>0</v>
      </c>
      <c r="AG425" s="294">
        <f>IF(NFI_Expiration=1,IF($A425&lt;VLOOKUP(P$5,NFI,5,0),1,0)*Table_NFI[[#This Row],[Plastic Bucket]],Table_NFI[Plastic Bucket])</f>
        <v>0</v>
      </c>
      <c r="AH425" s="294">
        <f>IF(NFI_Expiration=1,IF($A425&lt;VLOOKUP(Q$5,NFI,5,0),1,0)*Table_NFI[[#This Row],[Plastic Mat]],Table_NFI[Plastic Mat])*IF(Table_NFI[[#This Row],[Distribution Date]]&gt;"2014-04-01",1,2.5)</f>
        <v>0</v>
      </c>
      <c r="AI425" s="294">
        <f>IF(NFI_Expiration=1,IF($A425&lt;VLOOKUP(R$5,NFI,5,0),1,0)*Table_NFI[[#This Row],[Winter Clothes Adult]],Table_NFI[Winter Clothes Adult])</f>
        <v>0</v>
      </c>
      <c r="AJ425" s="294">
        <f>IF(NFI_Expiration=1,IF($A425&lt;VLOOKUP(S$5,NFI,5,0),1,0)*Table_NFI[[#This Row],[Winter Clothes Children]],Table_NFI[Winter Clothes Children])</f>
        <v>0</v>
      </c>
      <c r="AK425" s="294">
        <f>IF(NFI_Expiration=1,IF($A425&lt;VLOOKUP(T$5,NFI,5,0),1,0)*Table_NFI[[#This Row],[Winter Items Other]],Table_NFI[Winter Items Other])</f>
        <v>0</v>
      </c>
      <c r="AL425" s="294">
        <f>IF(NFI_Expiration=1,IF($A425&lt;VLOOKUP(M$5,NFI,5,0),1,0)*Table_NFI[[#This Row],[Winter Blanket]],Table_NFI[[#This Row],[Winter Blanket]])</f>
        <v>0</v>
      </c>
      <c r="AM425" s="294">
        <f>IF(Table_NFI[[#This Row],[Winter Clothes Adult]]+Table_NFI[[#This Row],[Winter Clothes Children]]+Table_NFI[[#This Row],[Winter Items Other]]+Table_NFI[[#This Row],[Winter Blanket]]&gt;0,1,0)</f>
        <v>1</v>
      </c>
      <c r="AN425" s="331">
        <f>IF(NFI_Expiration=1,IF($A425&lt;VLOOKUP(V$5,NFI,5,0),1,0)*Table_NFI[[#This Row],[Jerry Can]],Table_NFI[Jerry Can])</f>
        <v>0</v>
      </c>
      <c r="AO425" s="331">
        <f>IF(NFI_Expiration=1,IF($A425&lt;VLOOKUP(V$5,NFI,5,0),1,0)*Table_NFI[[#This Row],[Shelter Tool kit]],Table_NFI[Shelter Tool kit])</f>
        <v>0</v>
      </c>
      <c r="AP425" s="331">
        <f>IF(NFI_Expiration=1,IF($A425&lt;VLOOKUP(V$5,NFI,5,0),1,0)*Table_NFI[[#This Row],[Tent]],Table_NFI[Tent])</f>
        <v>0</v>
      </c>
      <c r="AQ425" s="467" t="str">
        <f>IFERROR(VLOOKUP(Table_NFI[[#This Row],[Camp Name]],CL,2,0),"")</f>
        <v>MMR001CMP058</v>
      </c>
      <c r="AR425" s="835">
        <f ca="1">IF(Table_NFI[[#This Row],[Pcode]]="","",IF(OFFSET(CampList[Opening Date],MATCH(Table_NFI[[#This Row],[Pcode]],CampList[CP_Pcode],0)-1,0,1,1)&gt;=NFI_Monitor_Date,1,0))</f>
        <v>0</v>
      </c>
      <c r="AS425" s="467" t="s">
        <v>843</v>
      </c>
      <c r="AT425" s="294" t="str">
        <f ca="1">IF(Table_NFI[[#This Row],[Pcode]]="","",OFFSET(CampList[Priority],MATCH(Table_NFI[[#This Row],[Pcode]],CampList[CP_Pcode],0)-1,0,1,1))</f>
        <v>P4</v>
      </c>
      <c r="AU425" s="293">
        <f>IFERROR(Table_NFI[[#This Row],[Kitchen Set]]/VLOOKUP(Table_NFI[[#This Row],[Camp Name]],CL,4,0),"")</f>
        <v>0</v>
      </c>
      <c r="AV425" s="461"/>
      <c r="AW425" s="463"/>
    </row>
    <row r="426" spans="1:49" s="464" customFormat="1" ht="14.45" customHeight="1" x14ac:dyDescent="0.25">
      <c r="A426" s="297">
        <f t="shared" si="6"/>
        <v>33.299999999999997</v>
      </c>
      <c r="B426" s="460">
        <v>41737</v>
      </c>
      <c r="C426" s="461" t="s">
        <v>1104</v>
      </c>
      <c r="D426" s="461" t="s">
        <v>900</v>
      </c>
      <c r="E426" s="461" t="s">
        <v>380</v>
      </c>
      <c r="F426" s="461" t="s">
        <v>185</v>
      </c>
      <c r="G426" s="461" t="s">
        <v>217</v>
      </c>
      <c r="H426" s="291"/>
      <c r="I426" s="291"/>
      <c r="J426" s="291"/>
      <c r="K426" s="291"/>
      <c r="L426" s="292"/>
      <c r="M426" s="292"/>
      <c r="N426" s="292"/>
      <c r="O426" s="292"/>
      <c r="P426" s="294"/>
      <c r="Q426" s="294"/>
      <c r="R426" s="294"/>
      <c r="S426" s="294"/>
      <c r="T426" s="294"/>
      <c r="U426" s="294">
        <v>46</v>
      </c>
      <c r="V426" s="431"/>
      <c r="W426" s="294"/>
      <c r="X426" s="294"/>
      <c r="Y426" s="294">
        <f>IF(NFI_Expiration=1,IF($A426&lt;VLOOKUP(H$5,NFI,5,0),1,0)*Table_NFI[[#This Row],[Hygiene Kit]],Table_NFI[Hygiene Kit])</f>
        <v>0</v>
      </c>
      <c r="Z426" s="294">
        <f>IF(NFI_Expiration=1,IF($A426&lt;VLOOKUP(I$5,NFI,5,0),1,0)*Table_NFI[[#This Row],[NFI Core Kit]],Table_NFI[NFI Core Kit])</f>
        <v>0</v>
      </c>
      <c r="AA426" s="294">
        <f>IF(NFI_Expiration=1,IF($A426&lt;VLOOKUP(J$5,NFI,5,0),1,0)*Table_NFI[[#This Row],[Sanitary Kit]],Table_NFI[Sanitary Kit])</f>
        <v>0</v>
      </c>
      <c r="AB426" s="294">
        <f>IF(NFI_Expiration=1,IF($A426&lt;VLOOKUP(K$5,NFI,5,0),1,0)*Table_NFI[[#This Row],[Mosquito net]],Table_NFI[Mosquito net])</f>
        <v>0</v>
      </c>
      <c r="AC426" s="294">
        <f>IF(NFI_Expiration=1,IF($A426&lt;VLOOKUP(L$5,NFI,5,0),1,0)*Table_NFI[[#This Row],[Tarpaulin]],Table_NFI[[#This Row],[Tarpaulin]])</f>
        <v>0</v>
      </c>
      <c r="AD426" s="294">
        <f>IF(NFI_Expiration=1,IF($A426&lt;VLOOKUP(M$5,NFI,5,0),1,0)*Table_NFI[[#This Row],[Blanket]],Table_NFI[[#This Row],[Blanket]])</f>
        <v>0</v>
      </c>
      <c r="AE426" s="294">
        <f>IF(NFI_Expiration=1,IF($A426&lt;VLOOKUP(N$5,NFI,5,0),1,0)*Table_NFI[[#This Row],[Kitchen Set]],Table_NFI[Kitchen Set])</f>
        <v>0</v>
      </c>
      <c r="AF426" s="294">
        <f>IF(NFI_Expiration=1,IF($A426&lt;VLOOKUP(O$5,NFI,5,0),1,0)*Table_NFI[[#This Row],[Clothes Kit]],Table_NFI[Clothes Kit])</f>
        <v>0</v>
      </c>
      <c r="AG426" s="294">
        <f>IF(NFI_Expiration=1,IF($A426&lt;VLOOKUP(P$5,NFI,5,0),1,0)*Table_NFI[[#This Row],[Plastic Bucket]],Table_NFI[Plastic Bucket])</f>
        <v>0</v>
      </c>
      <c r="AH426" s="294">
        <f>IF(NFI_Expiration=1,IF($A426&lt;VLOOKUP(Q$5,NFI,5,0),1,0)*Table_NFI[[#This Row],[Plastic Mat]],Table_NFI[Plastic Mat])*IF(Table_NFI[[#This Row],[Distribution Date]]&gt;"2014-04-01",1,2.5)</f>
        <v>0</v>
      </c>
      <c r="AI426" s="294">
        <f>IF(NFI_Expiration=1,IF($A426&lt;VLOOKUP(R$5,NFI,5,0),1,0)*Table_NFI[[#This Row],[Winter Clothes Adult]],Table_NFI[Winter Clothes Adult])</f>
        <v>0</v>
      </c>
      <c r="AJ426" s="294">
        <f>IF(NFI_Expiration=1,IF($A426&lt;VLOOKUP(S$5,NFI,5,0),1,0)*Table_NFI[[#This Row],[Winter Clothes Children]],Table_NFI[Winter Clothes Children])</f>
        <v>0</v>
      </c>
      <c r="AK426" s="294">
        <f>IF(NFI_Expiration=1,IF($A426&lt;VLOOKUP(T$5,NFI,5,0),1,0)*Table_NFI[[#This Row],[Winter Items Other]],Table_NFI[Winter Items Other])</f>
        <v>0</v>
      </c>
      <c r="AL426" s="294">
        <f>IF(NFI_Expiration=1,IF($A426&lt;VLOOKUP(M$5,NFI,5,0),1,0)*Table_NFI[[#This Row],[Winter Blanket]],Table_NFI[[#This Row],[Winter Blanket]])</f>
        <v>0</v>
      </c>
      <c r="AM426" s="294">
        <f>IF(Table_NFI[[#This Row],[Winter Clothes Adult]]+Table_NFI[[#This Row],[Winter Clothes Children]]+Table_NFI[[#This Row],[Winter Items Other]]+Table_NFI[[#This Row],[Winter Blanket]]&gt;0,1,0)</f>
        <v>1</v>
      </c>
      <c r="AN426" s="331">
        <f>IF(NFI_Expiration=1,IF($A426&lt;VLOOKUP(V$5,NFI,5,0),1,0)*Table_NFI[[#This Row],[Jerry Can]],Table_NFI[Jerry Can])</f>
        <v>0</v>
      </c>
      <c r="AO426" s="331">
        <f>IF(NFI_Expiration=1,IF($A426&lt;VLOOKUP(V$5,NFI,5,0),1,0)*Table_NFI[[#This Row],[Shelter Tool kit]],Table_NFI[Shelter Tool kit])</f>
        <v>0</v>
      </c>
      <c r="AP426" s="331">
        <f>IF(NFI_Expiration=1,IF($A426&lt;VLOOKUP(V$5,NFI,5,0),1,0)*Table_NFI[[#This Row],[Tent]],Table_NFI[Tent])</f>
        <v>0</v>
      </c>
      <c r="AQ426" s="467" t="str">
        <f>IFERROR(VLOOKUP(Table_NFI[[#This Row],[Camp Name]],CL,2,0),"")</f>
        <v>MMR001CMP059</v>
      </c>
      <c r="AR426" s="835">
        <f ca="1">IF(Table_NFI[[#This Row],[Pcode]]="","",IF(OFFSET(CampList[Opening Date],MATCH(Table_NFI[[#This Row],[Pcode]],CampList[CP_Pcode],0)-1,0,1,1)&gt;=NFI_Monitor_Date,1,0))</f>
        <v>0</v>
      </c>
      <c r="AS426" s="467" t="str">
        <f>IFERROR(VLOOKUP(Table_NFI[[#This Row],[Camp Name]],CL,3,0),"")</f>
        <v>Closed</v>
      </c>
      <c r="AT426" s="294" t="str">
        <f ca="1">IF(Table_NFI[[#This Row],[Pcode]]="","",OFFSET(CampList[Priority],MATCH(Table_NFI[[#This Row],[Pcode]],CampList[CP_Pcode],0)-1,0,1,1))</f>
        <v>P4</v>
      </c>
      <c r="AU426" s="293">
        <f>IFERROR(Table_NFI[[#This Row],[Kitchen Set]]/VLOOKUP(Table_NFI[[#This Row],[Camp Name]],CL,4,0),"")</f>
        <v>0</v>
      </c>
      <c r="AV426" s="461"/>
      <c r="AW426" s="463"/>
    </row>
    <row r="427" spans="1:49" s="464" customFormat="1" x14ac:dyDescent="0.25">
      <c r="A427" s="297">
        <f t="shared" si="6"/>
        <v>33.299999999999997</v>
      </c>
      <c r="B427" s="460">
        <v>41737</v>
      </c>
      <c r="C427" s="461" t="s">
        <v>1104</v>
      </c>
      <c r="D427" s="461" t="s">
        <v>900</v>
      </c>
      <c r="E427" s="461" t="s">
        <v>380</v>
      </c>
      <c r="F427" s="461" t="s">
        <v>5</v>
      </c>
      <c r="G427" s="461" t="s">
        <v>366</v>
      </c>
      <c r="H427" s="291"/>
      <c r="I427" s="291"/>
      <c r="J427" s="291"/>
      <c r="K427" s="291"/>
      <c r="L427" s="292"/>
      <c r="M427" s="292"/>
      <c r="N427" s="292"/>
      <c r="O427" s="292"/>
      <c r="P427" s="294"/>
      <c r="Q427" s="294"/>
      <c r="R427" s="294"/>
      <c r="S427" s="294"/>
      <c r="T427" s="294"/>
      <c r="U427" s="294">
        <v>372</v>
      </c>
      <c r="V427" s="431"/>
      <c r="W427" s="294"/>
      <c r="X427" s="294"/>
      <c r="Y427" s="294">
        <f>IF(NFI_Expiration=1,IF($A427&lt;VLOOKUP(H$5,NFI,5,0),1,0)*Table_NFI[[#This Row],[Hygiene Kit]],Table_NFI[Hygiene Kit])</f>
        <v>0</v>
      </c>
      <c r="Z427" s="294">
        <f>IF(NFI_Expiration=1,IF($A427&lt;VLOOKUP(I$5,NFI,5,0),1,0)*Table_NFI[[#This Row],[NFI Core Kit]],Table_NFI[NFI Core Kit])</f>
        <v>0</v>
      </c>
      <c r="AA427" s="294">
        <f>IF(NFI_Expiration=1,IF($A427&lt;VLOOKUP(J$5,NFI,5,0),1,0)*Table_NFI[[#This Row],[Sanitary Kit]],Table_NFI[Sanitary Kit])</f>
        <v>0</v>
      </c>
      <c r="AB427" s="294">
        <f>IF(NFI_Expiration=1,IF($A427&lt;VLOOKUP(K$5,NFI,5,0),1,0)*Table_NFI[[#This Row],[Mosquito net]],Table_NFI[Mosquito net])</f>
        <v>0</v>
      </c>
      <c r="AC427" s="294">
        <f>IF(NFI_Expiration=1,IF($A427&lt;VLOOKUP(L$5,NFI,5,0),1,0)*Table_NFI[[#This Row],[Tarpaulin]],Table_NFI[[#This Row],[Tarpaulin]])</f>
        <v>0</v>
      </c>
      <c r="AD427" s="294">
        <f>IF(NFI_Expiration=1,IF($A427&lt;VLOOKUP(M$5,NFI,5,0),1,0)*Table_NFI[[#This Row],[Blanket]],Table_NFI[[#This Row],[Blanket]])</f>
        <v>0</v>
      </c>
      <c r="AE427" s="294">
        <f>IF(NFI_Expiration=1,IF($A427&lt;VLOOKUP(N$5,NFI,5,0),1,0)*Table_NFI[[#This Row],[Kitchen Set]],Table_NFI[Kitchen Set])</f>
        <v>0</v>
      </c>
      <c r="AF427" s="294">
        <f>IF(NFI_Expiration=1,IF($A427&lt;VLOOKUP(O$5,NFI,5,0),1,0)*Table_NFI[[#This Row],[Clothes Kit]],Table_NFI[Clothes Kit])</f>
        <v>0</v>
      </c>
      <c r="AG427" s="294">
        <f>IF(NFI_Expiration=1,IF($A427&lt;VLOOKUP(P$5,NFI,5,0),1,0)*Table_NFI[[#This Row],[Plastic Bucket]],Table_NFI[Plastic Bucket])</f>
        <v>0</v>
      </c>
      <c r="AH427" s="294">
        <f>IF(NFI_Expiration=1,IF($A427&lt;VLOOKUP(Q$5,NFI,5,0),1,0)*Table_NFI[[#This Row],[Plastic Mat]],Table_NFI[Plastic Mat])*IF(Table_NFI[[#This Row],[Distribution Date]]&gt;"2014-04-01",1,2.5)</f>
        <v>0</v>
      </c>
      <c r="AI427" s="294">
        <f>IF(NFI_Expiration=1,IF($A427&lt;VLOOKUP(R$5,NFI,5,0),1,0)*Table_NFI[[#This Row],[Winter Clothes Adult]],Table_NFI[Winter Clothes Adult])</f>
        <v>0</v>
      </c>
      <c r="AJ427" s="294">
        <f>IF(NFI_Expiration=1,IF($A427&lt;VLOOKUP(S$5,NFI,5,0),1,0)*Table_NFI[[#This Row],[Winter Clothes Children]],Table_NFI[Winter Clothes Children])</f>
        <v>0</v>
      </c>
      <c r="AK427" s="294">
        <f>IF(NFI_Expiration=1,IF($A427&lt;VLOOKUP(T$5,NFI,5,0),1,0)*Table_NFI[[#This Row],[Winter Items Other]],Table_NFI[Winter Items Other])</f>
        <v>0</v>
      </c>
      <c r="AL427" s="294">
        <f>IF(NFI_Expiration=1,IF($A427&lt;VLOOKUP(M$5,NFI,5,0),1,0)*Table_NFI[[#This Row],[Winter Blanket]],Table_NFI[[#This Row],[Winter Blanket]])</f>
        <v>0</v>
      </c>
      <c r="AM427" s="294">
        <f>IF(Table_NFI[[#This Row],[Winter Clothes Adult]]+Table_NFI[[#This Row],[Winter Clothes Children]]+Table_NFI[[#This Row],[Winter Items Other]]+Table_NFI[[#This Row],[Winter Blanket]]&gt;0,1,0)</f>
        <v>1</v>
      </c>
      <c r="AN427" s="331">
        <f>IF(NFI_Expiration=1,IF($A427&lt;VLOOKUP(V$5,NFI,5,0),1,0)*Table_NFI[[#This Row],[Jerry Can]],Table_NFI[Jerry Can])</f>
        <v>0</v>
      </c>
      <c r="AO427" s="331">
        <f>IF(NFI_Expiration=1,IF($A427&lt;VLOOKUP(V$5,NFI,5,0),1,0)*Table_NFI[[#This Row],[Shelter Tool kit]],Table_NFI[Shelter Tool kit])</f>
        <v>0</v>
      </c>
      <c r="AP427" s="331">
        <f>IF(NFI_Expiration=1,IF($A427&lt;VLOOKUP(V$5,NFI,5,0),1,0)*Table_NFI[[#This Row],[Tent]],Table_NFI[Tent])</f>
        <v>0</v>
      </c>
      <c r="AQ427" s="467" t="str">
        <f>IFERROR(VLOOKUP(Table_NFI[[#This Row],[Camp Name]],CL,2,0),"")</f>
        <v>MMR001CMP193</v>
      </c>
      <c r="AR427" s="835">
        <f ca="1">IF(Table_NFI[[#This Row],[Pcode]]="","",IF(OFFSET(CampList[Opening Date],MATCH(Table_NFI[[#This Row],[Pcode]],CampList[CP_Pcode],0)-1,0,1,1)&gt;=NFI_Monitor_Date,1,0))</f>
        <v>0</v>
      </c>
      <c r="AS427" s="467" t="str">
        <f>IFERROR(VLOOKUP(Table_NFI[[#This Row],[Camp Name]],CL,3,0),"")</f>
        <v>Open</v>
      </c>
      <c r="AT427" s="294" t="str">
        <f ca="1">IF(Table_NFI[[#This Row],[Pcode]]="","",OFFSET(CampList[Priority],MATCH(Table_NFI[[#This Row],[Pcode]],CampList[CP_Pcode],0)-1,0,1,1))</f>
        <v>P4</v>
      </c>
      <c r="AU427" s="293">
        <f>IFERROR(Table_NFI[[#This Row],[Kitchen Set]]/VLOOKUP(Table_NFI[[#This Row],[Camp Name]],CL,4,0),"")</f>
        <v>0</v>
      </c>
      <c r="AV427" s="461"/>
      <c r="AW427" s="463"/>
    </row>
    <row r="428" spans="1:49" s="464" customFormat="1" x14ac:dyDescent="0.25">
      <c r="A428" s="297">
        <f t="shared" si="6"/>
        <v>33.333333333333336</v>
      </c>
      <c r="B428" s="460">
        <v>41736</v>
      </c>
      <c r="C428" s="461" t="s">
        <v>1104</v>
      </c>
      <c r="D428" s="461" t="s">
        <v>900</v>
      </c>
      <c r="E428" s="461" t="s">
        <v>380</v>
      </c>
      <c r="F428" s="461" t="s">
        <v>151</v>
      </c>
      <c r="G428" s="461" t="s">
        <v>12</v>
      </c>
      <c r="H428" s="291"/>
      <c r="I428" s="291"/>
      <c r="J428" s="291"/>
      <c r="K428" s="291"/>
      <c r="L428" s="292"/>
      <c r="M428" s="292"/>
      <c r="N428" s="292"/>
      <c r="O428" s="292"/>
      <c r="P428" s="294"/>
      <c r="Q428" s="294"/>
      <c r="R428" s="294"/>
      <c r="S428" s="294"/>
      <c r="T428" s="294"/>
      <c r="U428" s="294">
        <v>558</v>
      </c>
      <c r="V428" s="431"/>
      <c r="W428" s="294"/>
      <c r="X428" s="294"/>
      <c r="Y428" s="294">
        <f>IF(NFI_Expiration=1,IF($A428&lt;VLOOKUP(H$5,NFI,5,0),1,0)*Table_NFI[[#This Row],[Hygiene Kit]],Table_NFI[Hygiene Kit])</f>
        <v>0</v>
      </c>
      <c r="Z428" s="294">
        <f>IF(NFI_Expiration=1,IF($A428&lt;VLOOKUP(I$5,NFI,5,0),1,0)*Table_NFI[[#This Row],[NFI Core Kit]],Table_NFI[NFI Core Kit])</f>
        <v>0</v>
      </c>
      <c r="AA428" s="294">
        <f>IF(NFI_Expiration=1,IF($A428&lt;VLOOKUP(J$5,NFI,5,0),1,0)*Table_NFI[[#This Row],[Sanitary Kit]],Table_NFI[Sanitary Kit])</f>
        <v>0</v>
      </c>
      <c r="AB428" s="294">
        <f>IF(NFI_Expiration=1,IF($A428&lt;VLOOKUP(K$5,NFI,5,0),1,0)*Table_NFI[[#This Row],[Mosquito net]],Table_NFI[Mosquito net])</f>
        <v>0</v>
      </c>
      <c r="AC428" s="294">
        <f>IF(NFI_Expiration=1,IF($A428&lt;VLOOKUP(L$5,NFI,5,0),1,0)*Table_NFI[[#This Row],[Tarpaulin]],Table_NFI[[#This Row],[Tarpaulin]])</f>
        <v>0</v>
      </c>
      <c r="AD428" s="294">
        <f>IF(NFI_Expiration=1,IF($A428&lt;VLOOKUP(M$5,NFI,5,0),1,0)*Table_NFI[[#This Row],[Blanket]],Table_NFI[[#This Row],[Blanket]])</f>
        <v>0</v>
      </c>
      <c r="AE428" s="294">
        <f>IF(NFI_Expiration=1,IF($A428&lt;VLOOKUP(N$5,NFI,5,0),1,0)*Table_NFI[[#This Row],[Kitchen Set]],Table_NFI[Kitchen Set])</f>
        <v>0</v>
      </c>
      <c r="AF428" s="294">
        <f>IF(NFI_Expiration=1,IF($A428&lt;VLOOKUP(O$5,NFI,5,0),1,0)*Table_NFI[[#This Row],[Clothes Kit]],Table_NFI[Clothes Kit])</f>
        <v>0</v>
      </c>
      <c r="AG428" s="294">
        <f>IF(NFI_Expiration=1,IF($A428&lt;VLOOKUP(P$5,NFI,5,0),1,0)*Table_NFI[[#This Row],[Plastic Bucket]],Table_NFI[Plastic Bucket])</f>
        <v>0</v>
      </c>
      <c r="AH428" s="294">
        <f>IF(NFI_Expiration=1,IF($A428&lt;VLOOKUP(Q$5,NFI,5,0),1,0)*Table_NFI[[#This Row],[Plastic Mat]],Table_NFI[Plastic Mat])*IF(Table_NFI[[#This Row],[Distribution Date]]&gt;"2014-04-01",1,2.5)</f>
        <v>0</v>
      </c>
      <c r="AI428" s="294">
        <f>IF(NFI_Expiration=1,IF($A428&lt;VLOOKUP(R$5,NFI,5,0),1,0)*Table_NFI[[#This Row],[Winter Clothes Adult]],Table_NFI[Winter Clothes Adult])</f>
        <v>0</v>
      </c>
      <c r="AJ428" s="294">
        <f>IF(NFI_Expiration=1,IF($A428&lt;VLOOKUP(S$5,NFI,5,0),1,0)*Table_NFI[[#This Row],[Winter Clothes Children]],Table_NFI[Winter Clothes Children])</f>
        <v>0</v>
      </c>
      <c r="AK428" s="294">
        <f>IF(NFI_Expiration=1,IF($A428&lt;VLOOKUP(T$5,NFI,5,0),1,0)*Table_NFI[[#This Row],[Winter Items Other]],Table_NFI[Winter Items Other])</f>
        <v>0</v>
      </c>
      <c r="AL428" s="294">
        <f>IF(NFI_Expiration=1,IF($A428&lt;VLOOKUP(M$5,NFI,5,0),1,0)*Table_NFI[[#This Row],[Winter Blanket]],Table_NFI[[#This Row],[Winter Blanket]])</f>
        <v>0</v>
      </c>
      <c r="AM428" s="294">
        <f>IF(Table_NFI[[#This Row],[Winter Clothes Adult]]+Table_NFI[[#This Row],[Winter Clothes Children]]+Table_NFI[[#This Row],[Winter Items Other]]+Table_NFI[[#This Row],[Winter Blanket]]&gt;0,1,0)</f>
        <v>1</v>
      </c>
      <c r="AN428" s="331">
        <f>IF(NFI_Expiration=1,IF($A428&lt;VLOOKUP(V$5,NFI,5,0),1,0)*Table_NFI[[#This Row],[Jerry Can]],Table_NFI[Jerry Can])</f>
        <v>0</v>
      </c>
      <c r="AO428" s="331">
        <f>IF(NFI_Expiration=1,IF($A428&lt;VLOOKUP(V$5,NFI,5,0),1,0)*Table_NFI[[#This Row],[Shelter Tool kit]],Table_NFI[Shelter Tool kit])</f>
        <v>0</v>
      </c>
      <c r="AP428" s="331">
        <f>IF(NFI_Expiration=1,IF($A428&lt;VLOOKUP(V$5,NFI,5,0),1,0)*Table_NFI[[#This Row],[Tent]],Table_NFI[Tent])</f>
        <v>0</v>
      </c>
      <c r="AQ428" s="467" t="str">
        <f>IFERROR(VLOOKUP(Table_NFI[[#This Row],[Camp Name]],CL,2,0),"")</f>
        <v>MMR001CMP163</v>
      </c>
      <c r="AR428" s="835">
        <f ca="1">IF(Table_NFI[[#This Row],[Pcode]]="","",IF(OFFSET(CampList[Opening Date],MATCH(Table_NFI[[#This Row],[Pcode]],CampList[CP_Pcode],0)-1,0,1,1)&gt;=NFI_Monitor_Date,1,0))</f>
        <v>0</v>
      </c>
      <c r="AS428" s="467" t="str">
        <f>IFERROR(VLOOKUP(Table_NFI[[#This Row],[Camp Name]],CL,3,0),"")</f>
        <v>Open</v>
      </c>
      <c r="AT428" s="294" t="str">
        <f ca="1">IF(Table_NFI[[#This Row],[Pcode]]="","",OFFSET(CampList[Priority],MATCH(Table_NFI[[#This Row],[Pcode]],CampList[CP_Pcode],0)-1,0,1,1))</f>
        <v>P4</v>
      </c>
      <c r="AU428" s="293" t="str">
        <f>IFERROR(Table_NFI[[#This Row],[Kitchen Set]]/VLOOKUP(Table_NFI[[#This Row],[Camp Name]],CL,4,0),"")</f>
        <v/>
      </c>
      <c r="AV428" s="461"/>
      <c r="AW428" s="463"/>
    </row>
    <row r="429" spans="1:49" s="464" customFormat="1" ht="14.45" customHeight="1" x14ac:dyDescent="0.25">
      <c r="A429" s="297">
        <f t="shared" si="6"/>
        <v>33.333333333333336</v>
      </c>
      <c r="B429" s="460">
        <v>41736</v>
      </c>
      <c r="C429" s="461" t="s">
        <v>1104</v>
      </c>
      <c r="D429" s="461" t="s">
        <v>900</v>
      </c>
      <c r="E429" s="461" t="s">
        <v>380</v>
      </c>
      <c r="F429" s="461" t="s">
        <v>151</v>
      </c>
      <c r="G429" s="461" t="s">
        <v>885</v>
      </c>
      <c r="H429" s="291"/>
      <c r="I429" s="291"/>
      <c r="J429" s="291"/>
      <c r="K429" s="291"/>
      <c r="L429" s="292"/>
      <c r="M429" s="292"/>
      <c r="N429" s="292"/>
      <c r="O429" s="292"/>
      <c r="P429" s="294"/>
      <c r="Q429" s="294"/>
      <c r="R429" s="294"/>
      <c r="S429" s="294"/>
      <c r="T429" s="294"/>
      <c r="U429" s="294">
        <v>478</v>
      </c>
      <c r="V429" s="431"/>
      <c r="W429" s="294"/>
      <c r="X429" s="294"/>
      <c r="Y429" s="294">
        <f>IF(NFI_Expiration=1,IF($A429&lt;VLOOKUP(H$5,NFI,5,0),1,0)*Table_NFI[[#This Row],[Hygiene Kit]],Table_NFI[Hygiene Kit])</f>
        <v>0</v>
      </c>
      <c r="Z429" s="294">
        <f>IF(NFI_Expiration=1,IF($A429&lt;VLOOKUP(I$5,NFI,5,0),1,0)*Table_NFI[[#This Row],[NFI Core Kit]],Table_NFI[NFI Core Kit])</f>
        <v>0</v>
      </c>
      <c r="AA429" s="294">
        <f>IF(NFI_Expiration=1,IF($A429&lt;VLOOKUP(J$5,NFI,5,0),1,0)*Table_NFI[[#This Row],[Sanitary Kit]],Table_NFI[Sanitary Kit])</f>
        <v>0</v>
      </c>
      <c r="AB429" s="294">
        <f>IF(NFI_Expiration=1,IF($A429&lt;VLOOKUP(K$5,NFI,5,0),1,0)*Table_NFI[[#This Row],[Mosquito net]],Table_NFI[Mosquito net])</f>
        <v>0</v>
      </c>
      <c r="AC429" s="294">
        <f>IF(NFI_Expiration=1,IF($A429&lt;VLOOKUP(L$5,NFI,5,0),1,0)*Table_NFI[[#This Row],[Tarpaulin]],Table_NFI[[#This Row],[Tarpaulin]])</f>
        <v>0</v>
      </c>
      <c r="AD429" s="294">
        <f>IF(NFI_Expiration=1,IF($A429&lt;VLOOKUP(M$5,NFI,5,0),1,0)*Table_NFI[[#This Row],[Blanket]],Table_NFI[[#This Row],[Blanket]])</f>
        <v>0</v>
      </c>
      <c r="AE429" s="294">
        <f>IF(NFI_Expiration=1,IF($A429&lt;VLOOKUP(N$5,NFI,5,0),1,0)*Table_NFI[[#This Row],[Kitchen Set]],Table_NFI[Kitchen Set])</f>
        <v>0</v>
      </c>
      <c r="AF429" s="294">
        <f>IF(NFI_Expiration=1,IF($A429&lt;VLOOKUP(O$5,NFI,5,0),1,0)*Table_NFI[[#This Row],[Clothes Kit]],Table_NFI[Clothes Kit])</f>
        <v>0</v>
      </c>
      <c r="AG429" s="294">
        <f>IF(NFI_Expiration=1,IF($A429&lt;VLOOKUP(P$5,NFI,5,0),1,0)*Table_NFI[[#This Row],[Plastic Bucket]],Table_NFI[Plastic Bucket])</f>
        <v>0</v>
      </c>
      <c r="AH429" s="294">
        <f>IF(NFI_Expiration=1,IF($A429&lt;VLOOKUP(Q$5,NFI,5,0),1,0)*Table_NFI[[#This Row],[Plastic Mat]],Table_NFI[Plastic Mat])*IF(Table_NFI[[#This Row],[Distribution Date]]&gt;"2014-04-01",1,2.5)</f>
        <v>0</v>
      </c>
      <c r="AI429" s="294">
        <f>IF(NFI_Expiration=1,IF($A429&lt;VLOOKUP(R$5,NFI,5,0),1,0)*Table_NFI[[#This Row],[Winter Clothes Adult]],Table_NFI[Winter Clothes Adult])</f>
        <v>0</v>
      </c>
      <c r="AJ429" s="294">
        <f>IF(NFI_Expiration=1,IF($A429&lt;VLOOKUP(S$5,NFI,5,0),1,0)*Table_NFI[[#This Row],[Winter Clothes Children]],Table_NFI[Winter Clothes Children])</f>
        <v>0</v>
      </c>
      <c r="AK429" s="294">
        <f>IF(NFI_Expiration=1,IF($A429&lt;VLOOKUP(T$5,NFI,5,0),1,0)*Table_NFI[[#This Row],[Winter Items Other]],Table_NFI[Winter Items Other])</f>
        <v>0</v>
      </c>
      <c r="AL429" s="294">
        <f>IF(NFI_Expiration=1,IF($A429&lt;VLOOKUP(M$5,NFI,5,0),1,0)*Table_NFI[[#This Row],[Winter Blanket]],Table_NFI[[#This Row],[Winter Blanket]])</f>
        <v>0</v>
      </c>
      <c r="AM429" s="294">
        <f>IF(Table_NFI[[#This Row],[Winter Clothes Adult]]+Table_NFI[[#This Row],[Winter Clothes Children]]+Table_NFI[[#This Row],[Winter Items Other]]+Table_NFI[[#This Row],[Winter Blanket]]&gt;0,1,0)</f>
        <v>1</v>
      </c>
      <c r="AN429" s="331">
        <f>IF(NFI_Expiration=1,IF($A429&lt;VLOOKUP(V$5,NFI,5,0),1,0)*Table_NFI[[#This Row],[Jerry Can]],Table_NFI[Jerry Can])</f>
        <v>0</v>
      </c>
      <c r="AO429" s="331">
        <f>IF(NFI_Expiration=1,IF($A429&lt;VLOOKUP(V$5,NFI,5,0),1,0)*Table_NFI[[#This Row],[Shelter Tool kit]],Table_NFI[Shelter Tool kit])</f>
        <v>0</v>
      </c>
      <c r="AP429" s="331">
        <f>IF(NFI_Expiration=1,IF($A429&lt;VLOOKUP(V$5,NFI,5,0),1,0)*Table_NFI[[#This Row],[Tent]],Table_NFI[Tent])</f>
        <v>0</v>
      </c>
      <c r="AQ429" s="467" t="str">
        <f>IFERROR(VLOOKUP(Table_NFI[[#This Row],[Camp Name]],CL,2,0),"")</f>
        <v>MMR001CMP218</v>
      </c>
      <c r="AR429" s="835">
        <f ca="1">IF(Table_NFI[[#This Row],[Pcode]]="","",IF(OFFSET(CampList[Opening Date],MATCH(Table_NFI[[#This Row],[Pcode]],CampList[CP_Pcode],0)-1,0,1,1)&gt;=NFI_Monitor_Date,1,0))</f>
        <v>0</v>
      </c>
      <c r="AS429" s="467" t="str">
        <f>IFERROR(VLOOKUP(Table_NFI[[#This Row],[Camp Name]],CL,3,0),"")</f>
        <v>Open</v>
      </c>
      <c r="AT429" s="294" t="str">
        <f ca="1">IF(Table_NFI[[#This Row],[Pcode]]="","",OFFSET(CampList[Priority],MATCH(Table_NFI[[#This Row],[Pcode]],CampList[CP_Pcode],0)-1,0,1,1))</f>
        <v>P4</v>
      </c>
      <c r="AU429" s="293">
        <f>IFERROR(Table_NFI[[#This Row],[Kitchen Set]]/VLOOKUP(Table_NFI[[#This Row],[Camp Name]],CL,4,0),"")</f>
        <v>0</v>
      </c>
      <c r="AV429" s="461"/>
      <c r="AW429" s="463"/>
    </row>
    <row r="430" spans="1:49" s="464" customFormat="1" ht="14.45" customHeight="1" x14ac:dyDescent="0.25">
      <c r="A430" s="297">
        <f t="shared" si="6"/>
        <v>33.333333333333336</v>
      </c>
      <c r="B430" s="460">
        <v>41736</v>
      </c>
      <c r="C430" s="461" t="s">
        <v>1104</v>
      </c>
      <c r="D430" s="461" t="s">
        <v>900</v>
      </c>
      <c r="E430" s="461" t="s">
        <v>380</v>
      </c>
      <c r="F430" s="461" t="s">
        <v>151</v>
      </c>
      <c r="G430" s="461" t="s">
        <v>942</v>
      </c>
      <c r="H430" s="291"/>
      <c r="I430" s="291"/>
      <c r="J430" s="291"/>
      <c r="K430" s="291"/>
      <c r="L430" s="292"/>
      <c r="M430" s="292"/>
      <c r="N430" s="292"/>
      <c r="O430" s="292"/>
      <c r="P430" s="294"/>
      <c r="Q430" s="294"/>
      <c r="R430" s="294"/>
      <c r="S430" s="294"/>
      <c r="T430" s="294"/>
      <c r="U430" s="294">
        <v>158</v>
      </c>
      <c r="V430" s="431"/>
      <c r="W430" s="294"/>
      <c r="X430" s="294"/>
      <c r="Y430" s="294">
        <f>IF(NFI_Expiration=1,IF($A430&lt;VLOOKUP(H$5,NFI,5,0),1,0)*Table_NFI[[#This Row],[Hygiene Kit]],Table_NFI[Hygiene Kit])</f>
        <v>0</v>
      </c>
      <c r="Z430" s="294">
        <f>IF(NFI_Expiration=1,IF($A430&lt;VLOOKUP(I$5,NFI,5,0),1,0)*Table_NFI[[#This Row],[NFI Core Kit]],Table_NFI[NFI Core Kit])</f>
        <v>0</v>
      </c>
      <c r="AA430" s="294">
        <f>IF(NFI_Expiration=1,IF($A430&lt;VLOOKUP(J$5,NFI,5,0),1,0)*Table_NFI[[#This Row],[Sanitary Kit]],Table_NFI[Sanitary Kit])</f>
        <v>0</v>
      </c>
      <c r="AB430" s="294">
        <f>IF(NFI_Expiration=1,IF($A430&lt;VLOOKUP(K$5,NFI,5,0),1,0)*Table_NFI[[#This Row],[Mosquito net]],Table_NFI[Mosquito net])</f>
        <v>0</v>
      </c>
      <c r="AC430" s="294">
        <f>IF(NFI_Expiration=1,IF($A430&lt;VLOOKUP(L$5,NFI,5,0),1,0)*Table_NFI[[#This Row],[Tarpaulin]],Table_NFI[[#This Row],[Tarpaulin]])</f>
        <v>0</v>
      </c>
      <c r="AD430" s="294">
        <f>IF(NFI_Expiration=1,IF($A430&lt;VLOOKUP(M$5,NFI,5,0),1,0)*Table_NFI[[#This Row],[Blanket]],Table_NFI[[#This Row],[Blanket]])</f>
        <v>0</v>
      </c>
      <c r="AE430" s="294">
        <f>IF(NFI_Expiration=1,IF($A430&lt;VLOOKUP(N$5,NFI,5,0),1,0)*Table_NFI[[#This Row],[Kitchen Set]],Table_NFI[Kitchen Set])</f>
        <v>0</v>
      </c>
      <c r="AF430" s="294">
        <f>IF(NFI_Expiration=1,IF($A430&lt;VLOOKUP(O$5,NFI,5,0),1,0)*Table_NFI[[#This Row],[Clothes Kit]],Table_NFI[Clothes Kit])</f>
        <v>0</v>
      </c>
      <c r="AG430" s="294">
        <f>IF(NFI_Expiration=1,IF($A430&lt;VLOOKUP(P$5,NFI,5,0),1,0)*Table_NFI[[#This Row],[Plastic Bucket]],Table_NFI[Plastic Bucket])</f>
        <v>0</v>
      </c>
      <c r="AH430" s="294">
        <f>IF(NFI_Expiration=1,IF($A430&lt;VLOOKUP(Q$5,NFI,5,0),1,0)*Table_NFI[[#This Row],[Plastic Mat]],Table_NFI[Plastic Mat])*IF(Table_NFI[[#This Row],[Distribution Date]]&gt;"2014-04-01",1,2.5)</f>
        <v>0</v>
      </c>
      <c r="AI430" s="294">
        <f>IF(NFI_Expiration=1,IF($A430&lt;VLOOKUP(R$5,NFI,5,0),1,0)*Table_NFI[[#This Row],[Winter Clothes Adult]],Table_NFI[Winter Clothes Adult])</f>
        <v>0</v>
      </c>
      <c r="AJ430" s="294">
        <f>IF(NFI_Expiration=1,IF($A430&lt;VLOOKUP(S$5,NFI,5,0),1,0)*Table_NFI[[#This Row],[Winter Clothes Children]],Table_NFI[Winter Clothes Children])</f>
        <v>0</v>
      </c>
      <c r="AK430" s="294">
        <f>IF(NFI_Expiration=1,IF($A430&lt;VLOOKUP(T$5,NFI,5,0),1,0)*Table_NFI[[#This Row],[Winter Items Other]],Table_NFI[Winter Items Other])</f>
        <v>0</v>
      </c>
      <c r="AL430" s="294">
        <f>IF(NFI_Expiration=1,IF($A430&lt;VLOOKUP(M$5,NFI,5,0),1,0)*Table_NFI[[#This Row],[Winter Blanket]],Table_NFI[[#This Row],[Winter Blanket]])</f>
        <v>0</v>
      </c>
      <c r="AM430" s="294">
        <f>IF(Table_NFI[[#This Row],[Winter Clothes Adult]]+Table_NFI[[#This Row],[Winter Clothes Children]]+Table_NFI[[#This Row],[Winter Items Other]]+Table_NFI[[#This Row],[Winter Blanket]]&gt;0,1,0)</f>
        <v>1</v>
      </c>
      <c r="AN430" s="331">
        <f>IF(NFI_Expiration=1,IF($A430&lt;VLOOKUP(V$5,NFI,5,0),1,0)*Table_NFI[[#This Row],[Jerry Can]],Table_NFI[Jerry Can])</f>
        <v>0</v>
      </c>
      <c r="AO430" s="331">
        <f>IF(NFI_Expiration=1,IF($A430&lt;VLOOKUP(V$5,NFI,5,0),1,0)*Table_NFI[[#This Row],[Shelter Tool kit]],Table_NFI[Shelter Tool kit])</f>
        <v>0</v>
      </c>
      <c r="AP430" s="331">
        <f>IF(NFI_Expiration=1,IF($A430&lt;VLOOKUP(V$5,NFI,5,0),1,0)*Table_NFI[[#This Row],[Tent]],Table_NFI[Tent])</f>
        <v>0</v>
      </c>
      <c r="AQ430" s="467" t="str">
        <f>IFERROR(VLOOKUP(Table_NFI[[#This Row],[Camp Name]],CL,2,0),"")</f>
        <v>MMR001CMP223</v>
      </c>
      <c r="AR430" s="835">
        <f ca="1">IF(Table_NFI[[#This Row],[Pcode]]="","",IF(OFFSET(CampList[Opening Date],MATCH(Table_NFI[[#This Row],[Pcode]],CampList[CP_Pcode],0)-1,0,1,1)&gt;=NFI_Monitor_Date,1,0))</f>
        <v>0</v>
      </c>
      <c r="AS430" s="467" t="str">
        <f>IFERROR(VLOOKUP(Table_NFI[[#This Row],[Camp Name]],CL,3,0),"")</f>
        <v>Open</v>
      </c>
      <c r="AT430" s="294" t="str">
        <f ca="1">IF(Table_NFI[[#This Row],[Pcode]]="","",OFFSET(CampList[Priority],MATCH(Table_NFI[[#This Row],[Pcode]],CampList[CP_Pcode],0)-1,0,1,1))</f>
        <v>P4</v>
      </c>
      <c r="AU430" s="293">
        <f>IFERROR(Table_NFI[[#This Row],[Kitchen Set]]/VLOOKUP(Table_NFI[[#This Row],[Camp Name]],CL,4,0),"")</f>
        <v>0</v>
      </c>
      <c r="AV430" s="461"/>
      <c r="AW430" s="463"/>
    </row>
    <row r="431" spans="1:49" s="464" customFormat="1" ht="14.45" customHeight="1" x14ac:dyDescent="0.25">
      <c r="A431" s="297">
        <f t="shared" si="6"/>
        <v>33.333333333333336</v>
      </c>
      <c r="B431" s="460">
        <v>41736</v>
      </c>
      <c r="C431" s="461" t="s">
        <v>1104</v>
      </c>
      <c r="D431" s="461" t="s">
        <v>900</v>
      </c>
      <c r="E431" s="461" t="s">
        <v>380</v>
      </c>
      <c r="F431" s="461" t="s">
        <v>151</v>
      </c>
      <c r="G431" s="461" t="s">
        <v>152</v>
      </c>
      <c r="H431" s="291"/>
      <c r="I431" s="291"/>
      <c r="J431" s="291"/>
      <c r="K431" s="291"/>
      <c r="L431" s="292"/>
      <c r="M431" s="292"/>
      <c r="N431" s="292"/>
      <c r="O431" s="292"/>
      <c r="P431" s="294"/>
      <c r="Q431" s="294"/>
      <c r="R431" s="294"/>
      <c r="S431" s="294"/>
      <c r="T431" s="294"/>
      <c r="U431" s="294">
        <v>262</v>
      </c>
      <c r="V431" s="431"/>
      <c r="W431" s="294"/>
      <c r="X431" s="294"/>
      <c r="Y431" s="294">
        <f>IF(NFI_Expiration=1,IF($A431&lt;VLOOKUP(H$5,NFI,5,0),1,0)*Table_NFI[[#This Row],[Hygiene Kit]],Table_NFI[Hygiene Kit])</f>
        <v>0</v>
      </c>
      <c r="Z431" s="294">
        <f>IF(NFI_Expiration=1,IF($A431&lt;VLOOKUP(I$5,NFI,5,0),1,0)*Table_NFI[[#This Row],[NFI Core Kit]],Table_NFI[NFI Core Kit])</f>
        <v>0</v>
      </c>
      <c r="AA431" s="294">
        <f>IF(NFI_Expiration=1,IF($A431&lt;VLOOKUP(J$5,NFI,5,0),1,0)*Table_NFI[[#This Row],[Sanitary Kit]],Table_NFI[Sanitary Kit])</f>
        <v>0</v>
      </c>
      <c r="AB431" s="294">
        <f>IF(NFI_Expiration=1,IF($A431&lt;VLOOKUP(K$5,NFI,5,0),1,0)*Table_NFI[[#This Row],[Mosquito net]],Table_NFI[Mosquito net])</f>
        <v>0</v>
      </c>
      <c r="AC431" s="294">
        <f>IF(NFI_Expiration=1,IF($A431&lt;VLOOKUP(L$5,NFI,5,0),1,0)*Table_NFI[[#This Row],[Tarpaulin]],Table_NFI[[#This Row],[Tarpaulin]])</f>
        <v>0</v>
      </c>
      <c r="AD431" s="294">
        <f>IF(NFI_Expiration=1,IF($A431&lt;VLOOKUP(M$5,NFI,5,0),1,0)*Table_NFI[[#This Row],[Blanket]],Table_NFI[[#This Row],[Blanket]])</f>
        <v>0</v>
      </c>
      <c r="AE431" s="294">
        <f>IF(NFI_Expiration=1,IF($A431&lt;VLOOKUP(N$5,NFI,5,0),1,0)*Table_NFI[[#This Row],[Kitchen Set]],Table_NFI[Kitchen Set])</f>
        <v>0</v>
      </c>
      <c r="AF431" s="294">
        <f>IF(NFI_Expiration=1,IF($A431&lt;VLOOKUP(O$5,NFI,5,0),1,0)*Table_NFI[[#This Row],[Clothes Kit]],Table_NFI[Clothes Kit])</f>
        <v>0</v>
      </c>
      <c r="AG431" s="294">
        <f>IF(NFI_Expiration=1,IF($A431&lt;VLOOKUP(P$5,NFI,5,0),1,0)*Table_NFI[[#This Row],[Plastic Bucket]],Table_NFI[Plastic Bucket])</f>
        <v>0</v>
      </c>
      <c r="AH431" s="294">
        <f>IF(NFI_Expiration=1,IF($A431&lt;VLOOKUP(Q$5,NFI,5,0),1,0)*Table_NFI[[#This Row],[Plastic Mat]],Table_NFI[Plastic Mat])*IF(Table_NFI[[#This Row],[Distribution Date]]&gt;"2014-04-01",1,2.5)</f>
        <v>0</v>
      </c>
      <c r="AI431" s="294">
        <f>IF(NFI_Expiration=1,IF($A431&lt;VLOOKUP(R$5,NFI,5,0),1,0)*Table_NFI[[#This Row],[Winter Clothes Adult]],Table_NFI[Winter Clothes Adult])</f>
        <v>0</v>
      </c>
      <c r="AJ431" s="294">
        <f>IF(NFI_Expiration=1,IF($A431&lt;VLOOKUP(S$5,NFI,5,0),1,0)*Table_NFI[[#This Row],[Winter Clothes Children]],Table_NFI[Winter Clothes Children])</f>
        <v>0</v>
      </c>
      <c r="AK431" s="294">
        <f>IF(NFI_Expiration=1,IF($A431&lt;VLOOKUP(T$5,NFI,5,0),1,0)*Table_NFI[[#This Row],[Winter Items Other]],Table_NFI[Winter Items Other])</f>
        <v>0</v>
      </c>
      <c r="AL431" s="294">
        <f>IF(NFI_Expiration=1,IF($A431&lt;VLOOKUP(M$5,NFI,5,0),1,0)*Table_NFI[[#This Row],[Winter Blanket]],Table_NFI[[#This Row],[Winter Blanket]])</f>
        <v>0</v>
      </c>
      <c r="AM431" s="294">
        <f>IF(Table_NFI[[#This Row],[Winter Clothes Adult]]+Table_NFI[[#This Row],[Winter Clothes Children]]+Table_NFI[[#This Row],[Winter Items Other]]+Table_NFI[[#This Row],[Winter Blanket]]&gt;0,1,0)</f>
        <v>1</v>
      </c>
      <c r="AN431" s="331">
        <f>IF(NFI_Expiration=1,IF($A431&lt;VLOOKUP(V$5,NFI,5,0),1,0)*Table_NFI[[#This Row],[Jerry Can]],Table_NFI[Jerry Can])</f>
        <v>0</v>
      </c>
      <c r="AO431" s="331">
        <f>IF(NFI_Expiration=1,IF($A431&lt;VLOOKUP(V$5,NFI,5,0),1,0)*Table_NFI[[#This Row],[Shelter Tool kit]],Table_NFI[Shelter Tool kit])</f>
        <v>0</v>
      </c>
      <c r="AP431" s="331">
        <f>IF(NFI_Expiration=1,IF($A431&lt;VLOOKUP(V$5,NFI,5,0),1,0)*Table_NFI[[#This Row],[Tent]],Table_NFI[Tent])</f>
        <v>0</v>
      </c>
      <c r="AQ431" s="467" t="str">
        <f>IFERROR(VLOOKUP(Table_NFI[[#This Row],[Camp Name]],CL,2,0),"")</f>
        <v>MMR001CMP066</v>
      </c>
      <c r="AR431" s="835">
        <f ca="1">IF(Table_NFI[[#This Row],[Pcode]]="","",IF(OFFSET(CampList[Opening Date],MATCH(Table_NFI[[#This Row],[Pcode]],CampList[CP_Pcode],0)-1,0,1,1)&gt;=NFI_Monitor_Date,1,0))</f>
        <v>0</v>
      </c>
      <c r="AS431" s="467" t="str">
        <f>IFERROR(VLOOKUP(Table_NFI[[#This Row],[Camp Name]],CL,3,0),"")</f>
        <v>Open</v>
      </c>
      <c r="AT431" s="294" t="str">
        <f ca="1">IF(Table_NFI[[#This Row],[Pcode]]="","",OFFSET(CampList[Priority],MATCH(Table_NFI[[#This Row],[Pcode]],CampList[CP_Pcode],0)-1,0,1,1))</f>
        <v>P4</v>
      </c>
      <c r="AU431" s="293">
        <f>IFERROR(Table_NFI[[#This Row],[Kitchen Set]]/VLOOKUP(Table_NFI[[#This Row],[Camp Name]],CL,4,0),"")</f>
        <v>0</v>
      </c>
      <c r="AV431" s="461"/>
      <c r="AW431" s="463"/>
    </row>
    <row r="432" spans="1:49" s="464" customFormat="1" ht="14.45" customHeight="1" x14ac:dyDescent="0.25">
      <c r="A432" s="297">
        <f t="shared" si="6"/>
        <v>33.366666666666667</v>
      </c>
      <c r="B432" s="460">
        <v>41735</v>
      </c>
      <c r="C432" s="461" t="s">
        <v>1104</v>
      </c>
      <c r="D432" s="461" t="s">
        <v>900</v>
      </c>
      <c r="E432" s="461" t="s">
        <v>380</v>
      </c>
      <c r="F432" s="461" t="s">
        <v>527</v>
      </c>
      <c r="G432" s="461" t="s">
        <v>58</v>
      </c>
      <c r="H432" s="291"/>
      <c r="I432" s="291"/>
      <c r="J432" s="291"/>
      <c r="K432" s="291"/>
      <c r="L432" s="292"/>
      <c r="M432" s="292"/>
      <c r="N432" s="292"/>
      <c r="O432" s="292"/>
      <c r="P432" s="294"/>
      <c r="Q432" s="294"/>
      <c r="R432" s="294"/>
      <c r="S432" s="294"/>
      <c r="T432" s="294"/>
      <c r="U432" s="294">
        <v>30</v>
      </c>
      <c r="V432" s="431"/>
      <c r="W432" s="294"/>
      <c r="X432" s="294"/>
      <c r="Y432" s="294">
        <f>IF(NFI_Expiration=1,IF($A432&lt;VLOOKUP(H$5,NFI,5,0),1,0)*Table_NFI[[#This Row],[Hygiene Kit]],Table_NFI[Hygiene Kit])</f>
        <v>0</v>
      </c>
      <c r="Z432" s="294">
        <f>IF(NFI_Expiration=1,IF($A432&lt;VLOOKUP(I$5,NFI,5,0),1,0)*Table_NFI[[#This Row],[NFI Core Kit]],Table_NFI[NFI Core Kit])</f>
        <v>0</v>
      </c>
      <c r="AA432" s="294">
        <f>IF(NFI_Expiration=1,IF($A432&lt;VLOOKUP(J$5,NFI,5,0),1,0)*Table_NFI[[#This Row],[Sanitary Kit]],Table_NFI[Sanitary Kit])</f>
        <v>0</v>
      </c>
      <c r="AB432" s="294">
        <f>IF(NFI_Expiration=1,IF($A432&lt;VLOOKUP(K$5,NFI,5,0),1,0)*Table_NFI[[#This Row],[Mosquito net]],Table_NFI[Mosquito net])</f>
        <v>0</v>
      </c>
      <c r="AC432" s="294">
        <f>IF(NFI_Expiration=1,IF($A432&lt;VLOOKUP(L$5,NFI,5,0),1,0)*Table_NFI[[#This Row],[Tarpaulin]],Table_NFI[[#This Row],[Tarpaulin]])</f>
        <v>0</v>
      </c>
      <c r="AD432" s="294">
        <f>IF(NFI_Expiration=1,IF($A432&lt;VLOOKUP(M$5,NFI,5,0),1,0)*Table_NFI[[#This Row],[Blanket]],Table_NFI[[#This Row],[Blanket]])</f>
        <v>0</v>
      </c>
      <c r="AE432" s="294">
        <f>IF(NFI_Expiration=1,IF($A432&lt;VLOOKUP(N$5,NFI,5,0),1,0)*Table_NFI[[#This Row],[Kitchen Set]],Table_NFI[Kitchen Set])</f>
        <v>0</v>
      </c>
      <c r="AF432" s="294">
        <f>IF(NFI_Expiration=1,IF($A432&lt;VLOOKUP(O$5,NFI,5,0),1,0)*Table_NFI[[#This Row],[Clothes Kit]],Table_NFI[Clothes Kit])</f>
        <v>0</v>
      </c>
      <c r="AG432" s="294">
        <f>IF(NFI_Expiration=1,IF($A432&lt;VLOOKUP(P$5,NFI,5,0),1,0)*Table_NFI[[#This Row],[Plastic Bucket]],Table_NFI[Plastic Bucket])</f>
        <v>0</v>
      </c>
      <c r="AH432" s="294">
        <f>IF(NFI_Expiration=1,IF($A432&lt;VLOOKUP(Q$5,NFI,5,0),1,0)*Table_NFI[[#This Row],[Plastic Mat]],Table_NFI[Plastic Mat])*IF(Table_NFI[[#This Row],[Distribution Date]]&gt;"2014-04-01",1,2.5)</f>
        <v>0</v>
      </c>
      <c r="AI432" s="294">
        <f>IF(NFI_Expiration=1,IF($A432&lt;VLOOKUP(R$5,NFI,5,0),1,0)*Table_NFI[[#This Row],[Winter Clothes Adult]],Table_NFI[Winter Clothes Adult])</f>
        <v>0</v>
      </c>
      <c r="AJ432" s="294">
        <f>IF(NFI_Expiration=1,IF($A432&lt;VLOOKUP(S$5,NFI,5,0),1,0)*Table_NFI[[#This Row],[Winter Clothes Children]],Table_NFI[Winter Clothes Children])</f>
        <v>0</v>
      </c>
      <c r="AK432" s="294">
        <f>IF(NFI_Expiration=1,IF($A432&lt;VLOOKUP(T$5,NFI,5,0),1,0)*Table_NFI[[#This Row],[Winter Items Other]],Table_NFI[Winter Items Other])</f>
        <v>0</v>
      </c>
      <c r="AL432" s="294">
        <f>IF(NFI_Expiration=1,IF($A432&lt;VLOOKUP(M$5,NFI,5,0),1,0)*Table_NFI[[#This Row],[Winter Blanket]],Table_NFI[[#This Row],[Winter Blanket]])</f>
        <v>0</v>
      </c>
      <c r="AM432" s="294">
        <f>IF(Table_NFI[[#This Row],[Winter Clothes Adult]]+Table_NFI[[#This Row],[Winter Clothes Children]]+Table_NFI[[#This Row],[Winter Items Other]]+Table_NFI[[#This Row],[Winter Blanket]]&gt;0,1,0)</f>
        <v>1</v>
      </c>
      <c r="AN432" s="331">
        <f>IF(NFI_Expiration=1,IF($A432&lt;VLOOKUP(V$5,NFI,5,0),1,0)*Table_NFI[[#This Row],[Jerry Can]],Table_NFI[Jerry Can])</f>
        <v>0</v>
      </c>
      <c r="AO432" s="331">
        <f>IF(NFI_Expiration=1,IF($A432&lt;VLOOKUP(V$5,NFI,5,0),1,0)*Table_NFI[[#This Row],[Shelter Tool kit]],Table_NFI[Shelter Tool kit])</f>
        <v>0</v>
      </c>
      <c r="AP432" s="331">
        <f>IF(NFI_Expiration=1,IF($A432&lt;VLOOKUP(V$5,NFI,5,0),1,0)*Table_NFI[[#This Row],[Tent]],Table_NFI[Tent])</f>
        <v>0</v>
      </c>
      <c r="AQ432" s="467" t="str">
        <f>IFERROR(VLOOKUP(Table_NFI[[#This Row],[Camp Name]],CL,2,0),"")</f>
        <v>MMR001CMP188</v>
      </c>
      <c r="AR432" s="835">
        <f ca="1">IF(Table_NFI[[#This Row],[Pcode]]="","",IF(OFFSET(CampList[Opening Date],MATCH(Table_NFI[[#This Row],[Pcode]],CampList[CP_Pcode],0)-1,0,1,1)&gt;=NFI_Monitor_Date,1,0))</f>
        <v>0</v>
      </c>
      <c r="AS432" s="467" t="str">
        <f>IFERROR(VLOOKUP(Table_NFI[[#This Row],[Camp Name]],CL,3,0),"")</f>
        <v>Closed</v>
      </c>
      <c r="AT432" s="294" t="str">
        <f ca="1">IF(Table_NFI[[#This Row],[Pcode]]="","",OFFSET(CampList[Priority],MATCH(Table_NFI[[#This Row],[Pcode]],CampList[CP_Pcode],0)-1,0,1,1))</f>
        <v>P4</v>
      </c>
      <c r="AU432" s="293" t="str">
        <f>IFERROR(Table_NFI[[#This Row],[Kitchen Set]]/VLOOKUP(Table_NFI[[#This Row],[Camp Name]],CL,4,0),"")</f>
        <v/>
      </c>
      <c r="AV432" s="461"/>
      <c r="AW432" s="463"/>
    </row>
    <row r="433" spans="1:49" s="464" customFormat="1" ht="14.45" customHeight="1" x14ac:dyDescent="0.25">
      <c r="A433" s="297">
        <f t="shared" si="6"/>
        <v>33.4</v>
      </c>
      <c r="B433" s="460">
        <v>41734</v>
      </c>
      <c r="C433" s="461" t="s">
        <v>1104</v>
      </c>
      <c r="D433" s="461" t="s">
        <v>900</v>
      </c>
      <c r="E433" s="461" t="s">
        <v>380</v>
      </c>
      <c r="F433" s="461" t="s">
        <v>527</v>
      </c>
      <c r="G433" s="461" t="s">
        <v>88</v>
      </c>
      <c r="H433" s="291"/>
      <c r="I433" s="291"/>
      <c r="J433" s="291"/>
      <c r="K433" s="291"/>
      <c r="L433" s="292"/>
      <c r="M433" s="292"/>
      <c r="N433" s="292"/>
      <c r="O433" s="292"/>
      <c r="P433" s="294"/>
      <c r="Q433" s="294"/>
      <c r="R433" s="294"/>
      <c r="S433" s="294"/>
      <c r="T433" s="294"/>
      <c r="U433" s="294">
        <v>44</v>
      </c>
      <c r="V433" s="431"/>
      <c r="W433" s="294"/>
      <c r="X433" s="294"/>
      <c r="Y433" s="294">
        <f>IF(NFI_Expiration=1,IF($A433&lt;VLOOKUP(H$5,NFI,5,0),1,0)*Table_NFI[[#This Row],[Hygiene Kit]],Table_NFI[Hygiene Kit])</f>
        <v>0</v>
      </c>
      <c r="Z433" s="294">
        <f>IF(NFI_Expiration=1,IF($A433&lt;VLOOKUP(I$5,NFI,5,0),1,0)*Table_NFI[[#This Row],[NFI Core Kit]],Table_NFI[NFI Core Kit])</f>
        <v>0</v>
      </c>
      <c r="AA433" s="294">
        <f>IF(NFI_Expiration=1,IF($A433&lt;VLOOKUP(J$5,NFI,5,0),1,0)*Table_NFI[[#This Row],[Sanitary Kit]],Table_NFI[Sanitary Kit])</f>
        <v>0</v>
      </c>
      <c r="AB433" s="294">
        <f>IF(NFI_Expiration=1,IF($A433&lt;VLOOKUP(K$5,NFI,5,0),1,0)*Table_NFI[[#This Row],[Mosquito net]],Table_NFI[Mosquito net])</f>
        <v>0</v>
      </c>
      <c r="AC433" s="294">
        <f>IF(NFI_Expiration=1,IF($A433&lt;VLOOKUP(L$5,NFI,5,0),1,0)*Table_NFI[[#This Row],[Tarpaulin]],Table_NFI[[#This Row],[Tarpaulin]])</f>
        <v>0</v>
      </c>
      <c r="AD433" s="294">
        <f>IF(NFI_Expiration=1,IF($A433&lt;VLOOKUP(M$5,NFI,5,0),1,0)*Table_NFI[[#This Row],[Blanket]],Table_NFI[[#This Row],[Blanket]])</f>
        <v>0</v>
      </c>
      <c r="AE433" s="294">
        <f>IF(NFI_Expiration=1,IF($A433&lt;VLOOKUP(N$5,NFI,5,0),1,0)*Table_NFI[[#This Row],[Kitchen Set]],Table_NFI[Kitchen Set])</f>
        <v>0</v>
      </c>
      <c r="AF433" s="294">
        <f>IF(NFI_Expiration=1,IF($A433&lt;VLOOKUP(O$5,NFI,5,0),1,0)*Table_NFI[[#This Row],[Clothes Kit]],Table_NFI[Clothes Kit])</f>
        <v>0</v>
      </c>
      <c r="AG433" s="294">
        <f>IF(NFI_Expiration=1,IF($A433&lt;VLOOKUP(P$5,NFI,5,0),1,0)*Table_NFI[[#This Row],[Plastic Bucket]],Table_NFI[Plastic Bucket])</f>
        <v>0</v>
      </c>
      <c r="AH433" s="294">
        <f>IF(NFI_Expiration=1,IF($A433&lt;VLOOKUP(Q$5,NFI,5,0),1,0)*Table_NFI[[#This Row],[Plastic Mat]],Table_NFI[Plastic Mat])*IF(Table_NFI[[#This Row],[Distribution Date]]&gt;"2014-04-01",1,2.5)</f>
        <v>0</v>
      </c>
      <c r="AI433" s="294">
        <f>IF(NFI_Expiration=1,IF($A433&lt;VLOOKUP(R$5,NFI,5,0),1,0)*Table_NFI[[#This Row],[Winter Clothes Adult]],Table_NFI[Winter Clothes Adult])</f>
        <v>0</v>
      </c>
      <c r="AJ433" s="294">
        <f>IF(NFI_Expiration=1,IF($A433&lt;VLOOKUP(S$5,NFI,5,0),1,0)*Table_NFI[[#This Row],[Winter Clothes Children]],Table_NFI[Winter Clothes Children])</f>
        <v>0</v>
      </c>
      <c r="AK433" s="294">
        <f>IF(NFI_Expiration=1,IF($A433&lt;VLOOKUP(T$5,NFI,5,0),1,0)*Table_NFI[[#This Row],[Winter Items Other]],Table_NFI[Winter Items Other])</f>
        <v>0</v>
      </c>
      <c r="AL433" s="294">
        <f>IF(NFI_Expiration=1,IF($A433&lt;VLOOKUP(M$5,NFI,5,0),1,0)*Table_NFI[[#This Row],[Winter Blanket]],Table_NFI[[#This Row],[Winter Blanket]])</f>
        <v>0</v>
      </c>
      <c r="AM433" s="294">
        <f>IF(Table_NFI[[#This Row],[Winter Clothes Adult]]+Table_NFI[[#This Row],[Winter Clothes Children]]+Table_NFI[[#This Row],[Winter Items Other]]+Table_NFI[[#This Row],[Winter Blanket]]&gt;0,1,0)</f>
        <v>1</v>
      </c>
      <c r="AN433" s="331">
        <f>IF(NFI_Expiration=1,IF($A433&lt;VLOOKUP(V$5,NFI,5,0),1,0)*Table_NFI[[#This Row],[Jerry Can]],Table_NFI[Jerry Can])</f>
        <v>0</v>
      </c>
      <c r="AO433" s="331">
        <f>IF(NFI_Expiration=1,IF($A433&lt;VLOOKUP(V$5,NFI,5,0),1,0)*Table_NFI[[#This Row],[Shelter Tool kit]],Table_NFI[Shelter Tool kit])</f>
        <v>0</v>
      </c>
      <c r="AP433" s="331">
        <f>IF(NFI_Expiration=1,IF($A433&lt;VLOOKUP(V$5,NFI,5,0),1,0)*Table_NFI[[#This Row],[Tent]],Table_NFI[Tent])</f>
        <v>0</v>
      </c>
      <c r="AQ433" s="467" t="str">
        <f>IFERROR(VLOOKUP(Table_NFI[[#This Row],[Camp Name]],CL,2,0),"")</f>
        <v>MMR001CMP148</v>
      </c>
      <c r="AR433" s="835">
        <f ca="1">IF(Table_NFI[[#This Row],[Pcode]]="","",IF(OFFSET(CampList[Opening Date],MATCH(Table_NFI[[#This Row],[Pcode]],CampList[CP_Pcode],0)-1,0,1,1)&gt;=NFI_Monitor_Date,1,0))</f>
        <v>0</v>
      </c>
      <c r="AS433" s="467" t="str">
        <f>IFERROR(VLOOKUP(Table_NFI[[#This Row],[Camp Name]],CL,3,0),"")</f>
        <v>Open</v>
      </c>
      <c r="AT433" s="294" t="str">
        <f ca="1">IF(Table_NFI[[#This Row],[Pcode]]="","",OFFSET(CampList[Priority],MATCH(Table_NFI[[#This Row],[Pcode]],CampList[CP_Pcode],0)-1,0,1,1))</f>
        <v>P4</v>
      </c>
      <c r="AU433" s="293">
        <f>IFERROR(Table_NFI[[#This Row],[Kitchen Set]]/VLOOKUP(Table_NFI[[#This Row],[Camp Name]],CL,4,0),"")</f>
        <v>0</v>
      </c>
      <c r="AV433" s="461"/>
      <c r="AW433" s="463"/>
    </row>
    <row r="434" spans="1:49" s="464" customFormat="1" ht="14.45" customHeight="1" x14ac:dyDescent="0.25">
      <c r="A434" s="297">
        <f t="shared" si="6"/>
        <v>33.5</v>
      </c>
      <c r="B434" s="460">
        <v>41731</v>
      </c>
      <c r="C434" s="461" t="s">
        <v>452</v>
      </c>
      <c r="D434" s="461" t="s">
        <v>452</v>
      </c>
      <c r="E434" s="461" t="s">
        <v>380</v>
      </c>
      <c r="F434" s="461" t="s">
        <v>5</v>
      </c>
      <c r="G434" s="461" t="s">
        <v>8</v>
      </c>
      <c r="H434" s="291"/>
      <c r="I434" s="291"/>
      <c r="J434" s="291"/>
      <c r="K434" s="291"/>
      <c r="L434" s="292">
        <v>1</v>
      </c>
      <c r="M434" s="292">
        <v>3</v>
      </c>
      <c r="N434" s="292">
        <v>2</v>
      </c>
      <c r="O434" s="292"/>
      <c r="P434" s="294">
        <v>3</v>
      </c>
      <c r="Q434" s="294"/>
      <c r="R434" s="294"/>
      <c r="S434" s="294"/>
      <c r="T434" s="294"/>
      <c r="U434" s="294"/>
      <c r="V434" s="431"/>
      <c r="W434" s="294"/>
      <c r="X434" s="294"/>
      <c r="Y434" s="294">
        <f>IF(NFI_Expiration=1,IF($A434&lt;VLOOKUP(H$5,NFI,5,0),1,0)*Table_NFI[[#This Row],[Hygiene Kit]],Table_NFI[Hygiene Kit])</f>
        <v>0</v>
      </c>
      <c r="Z434" s="294">
        <f>IF(NFI_Expiration=1,IF($A434&lt;VLOOKUP(I$5,NFI,5,0),1,0)*Table_NFI[[#This Row],[NFI Core Kit]],Table_NFI[NFI Core Kit])</f>
        <v>0</v>
      </c>
      <c r="AA434" s="294">
        <f>IF(NFI_Expiration=1,IF($A434&lt;VLOOKUP(J$5,NFI,5,0),1,0)*Table_NFI[[#This Row],[Sanitary Kit]],Table_NFI[Sanitary Kit])</f>
        <v>0</v>
      </c>
      <c r="AB434" s="294">
        <f>IF(NFI_Expiration=1,IF($A434&lt;VLOOKUP(K$5,NFI,5,0),1,0)*Table_NFI[[#This Row],[Mosquito net]],Table_NFI[Mosquito net])</f>
        <v>0</v>
      </c>
      <c r="AC434" s="294">
        <f>IF(NFI_Expiration=1,IF($A434&lt;VLOOKUP(L$5,NFI,5,0),1,0)*Table_NFI[[#This Row],[Tarpaulin]],Table_NFI[[#This Row],[Tarpaulin]])</f>
        <v>0</v>
      </c>
      <c r="AD434" s="294">
        <f>IF(NFI_Expiration=1,IF($A434&lt;VLOOKUP(M$5,NFI,5,0),1,0)*Table_NFI[[#This Row],[Blanket]],Table_NFI[[#This Row],[Blanket]])</f>
        <v>0</v>
      </c>
      <c r="AE434" s="294">
        <f>IF(NFI_Expiration=1,IF($A434&lt;VLOOKUP(N$5,NFI,5,0),1,0)*Table_NFI[[#This Row],[Kitchen Set]],Table_NFI[Kitchen Set])</f>
        <v>0</v>
      </c>
      <c r="AF434" s="294">
        <f>IF(NFI_Expiration=1,IF($A434&lt;VLOOKUP(O$5,NFI,5,0),1,0)*Table_NFI[[#This Row],[Clothes Kit]],Table_NFI[Clothes Kit])</f>
        <v>0</v>
      </c>
      <c r="AG434" s="294">
        <f>IF(NFI_Expiration=1,IF($A434&lt;VLOOKUP(P$5,NFI,5,0),1,0)*Table_NFI[[#This Row],[Plastic Bucket]],Table_NFI[Plastic Bucket])</f>
        <v>0</v>
      </c>
      <c r="AH434" s="294">
        <f>IF(NFI_Expiration=1,IF($A434&lt;VLOOKUP(Q$5,NFI,5,0),1,0)*Table_NFI[[#This Row],[Plastic Mat]],Table_NFI[Plastic Mat])*IF(Table_NFI[[#This Row],[Distribution Date]]&gt;"2014-04-01",1,2.5)</f>
        <v>0</v>
      </c>
      <c r="AI434" s="294">
        <f>IF(NFI_Expiration=1,IF($A434&lt;VLOOKUP(R$5,NFI,5,0),1,0)*Table_NFI[[#This Row],[Winter Clothes Adult]],Table_NFI[Winter Clothes Adult])</f>
        <v>0</v>
      </c>
      <c r="AJ434" s="294">
        <f>IF(NFI_Expiration=1,IF($A434&lt;VLOOKUP(S$5,NFI,5,0),1,0)*Table_NFI[[#This Row],[Winter Clothes Children]],Table_NFI[Winter Clothes Children])</f>
        <v>0</v>
      </c>
      <c r="AK434" s="294">
        <f>IF(NFI_Expiration=1,IF($A434&lt;VLOOKUP(T$5,NFI,5,0),1,0)*Table_NFI[[#This Row],[Winter Items Other]],Table_NFI[Winter Items Other])</f>
        <v>0</v>
      </c>
      <c r="AL434" s="294">
        <f>IF(NFI_Expiration=1,IF($A434&lt;VLOOKUP(M$5,NFI,5,0),1,0)*Table_NFI[[#This Row],[Winter Blanket]],Table_NFI[[#This Row],[Winter Blanket]])</f>
        <v>0</v>
      </c>
      <c r="AM434" s="294">
        <f>IF(Table_NFI[[#This Row],[Winter Clothes Adult]]+Table_NFI[[#This Row],[Winter Clothes Children]]+Table_NFI[[#This Row],[Winter Items Other]]+Table_NFI[[#This Row],[Winter Blanket]]&gt;0,1,0)</f>
        <v>0</v>
      </c>
      <c r="AN434" s="331">
        <f>IF(NFI_Expiration=1,IF($A434&lt;VLOOKUP(V$5,NFI,5,0),1,0)*Table_NFI[[#This Row],[Jerry Can]],Table_NFI[Jerry Can])</f>
        <v>0</v>
      </c>
      <c r="AO434" s="331">
        <f>IF(NFI_Expiration=1,IF($A434&lt;VLOOKUP(V$5,NFI,5,0),1,0)*Table_NFI[[#This Row],[Shelter Tool kit]],Table_NFI[Shelter Tool kit])</f>
        <v>0</v>
      </c>
      <c r="AP434" s="331">
        <f>IF(NFI_Expiration=1,IF($A434&lt;VLOOKUP(V$5,NFI,5,0),1,0)*Table_NFI[[#This Row],[Tent]],Table_NFI[Tent])</f>
        <v>0</v>
      </c>
      <c r="AQ434" s="467" t="str">
        <f>IFERROR(VLOOKUP(Table_NFI[[#This Row],[Camp Name]],CL,2,0),"")</f>
        <v>MMR001CMP051</v>
      </c>
      <c r="AR434" s="835">
        <f ca="1">IF(Table_NFI[[#This Row],[Pcode]]="","",IF(OFFSET(CampList[Opening Date],MATCH(Table_NFI[[#This Row],[Pcode]],CampList[CP_Pcode],0)-1,0,1,1)&gt;=NFI_Monitor_Date,1,0))</f>
        <v>0</v>
      </c>
      <c r="AS434" s="467" t="str">
        <f>IFERROR(VLOOKUP(Table_NFI[[#This Row],[Camp Name]],CL,3,0),"")</f>
        <v>Open</v>
      </c>
      <c r="AT434" s="294" t="str">
        <f ca="1">IF(Table_NFI[[#This Row],[Pcode]]="","",OFFSET(CampList[Priority],MATCH(Table_NFI[[#This Row],[Pcode]],CampList[CP_Pcode],0)-1,0,1,1))</f>
        <v>P4</v>
      </c>
      <c r="AU434" s="293">
        <f>IFERROR(Table_NFI[[#This Row],[Kitchen Set]]/VLOOKUP(Table_NFI[[#This Row],[Camp Name]],CL,4,0),"")</f>
        <v>4.8563727751742226E-5</v>
      </c>
      <c r="AV434" s="461" t="s">
        <v>1092</v>
      </c>
      <c r="AW434" s="463"/>
    </row>
    <row r="435" spans="1:49" s="464" customFormat="1" ht="14.45" customHeight="1" x14ac:dyDescent="0.25">
      <c r="A435" s="297">
        <f t="shared" si="6"/>
        <v>34.700000000000003</v>
      </c>
      <c r="B435" s="460">
        <v>41695</v>
      </c>
      <c r="C435" s="461" t="s">
        <v>1104</v>
      </c>
      <c r="D435" s="461" t="s">
        <v>900</v>
      </c>
      <c r="E435" s="461" t="s">
        <v>380</v>
      </c>
      <c r="F435" s="461" t="s">
        <v>173</v>
      </c>
      <c r="G435" s="461" t="s">
        <v>174</v>
      </c>
      <c r="H435" s="291"/>
      <c r="I435" s="291"/>
      <c r="J435" s="291"/>
      <c r="K435" s="291"/>
      <c r="L435" s="292"/>
      <c r="M435" s="292"/>
      <c r="N435" s="292"/>
      <c r="O435" s="292"/>
      <c r="P435" s="294"/>
      <c r="Q435" s="294"/>
      <c r="R435" s="294"/>
      <c r="S435" s="294"/>
      <c r="T435" s="294"/>
      <c r="U435" s="294">
        <v>26</v>
      </c>
      <c r="V435" s="431"/>
      <c r="W435" s="294"/>
      <c r="X435" s="294"/>
      <c r="Y435" s="294">
        <f>IF(NFI_Expiration=1,IF($A435&lt;VLOOKUP(H$5,NFI,5,0),1,0)*Table_NFI[[#This Row],[Hygiene Kit]],Table_NFI[Hygiene Kit])</f>
        <v>0</v>
      </c>
      <c r="Z435" s="294">
        <f>IF(NFI_Expiration=1,IF($A435&lt;VLOOKUP(I$5,NFI,5,0),1,0)*Table_NFI[[#This Row],[NFI Core Kit]],Table_NFI[NFI Core Kit])</f>
        <v>0</v>
      </c>
      <c r="AA435" s="294">
        <f>IF(NFI_Expiration=1,IF($A435&lt;VLOOKUP(J$5,NFI,5,0),1,0)*Table_NFI[[#This Row],[Sanitary Kit]],Table_NFI[Sanitary Kit])</f>
        <v>0</v>
      </c>
      <c r="AB435" s="294">
        <f>IF(NFI_Expiration=1,IF($A435&lt;VLOOKUP(K$5,NFI,5,0),1,0)*Table_NFI[[#This Row],[Mosquito net]],Table_NFI[Mosquito net])</f>
        <v>0</v>
      </c>
      <c r="AC435" s="294">
        <f>IF(NFI_Expiration=1,IF($A435&lt;VLOOKUP(L$5,NFI,5,0),1,0)*Table_NFI[[#This Row],[Tarpaulin]],Table_NFI[[#This Row],[Tarpaulin]])</f>
        <v>0</v>
      </c>
      <c r="AD435" s="294">
        <f>IF(NFI_Expiration=1,IF($A435&lt;VLOOKUP(M$5,NFI,5,0),1,0)*Table_NFI[[#This Row],[Blanket]],Table_NFI[[#This Row],[Blanket]])</f>
        <v>0</v>
      </c>
      <c r="AE435" s="294">
        <f>IF(NFI_Expiration=1,IF($A435&lt;VLOOKUP(N$5,NFI,5,0),1,0)*Table_NFI[[#This Row],[Kitchen Set]],Table_NFI[Kitchen Set])</f>
        <v>0</v>
      </c>
      <c r="AF435" s="294">
        <f>IF(NFI_Expiration=1,IF($A435&lt;VLOOKUP(O$5,NFI,5,0),1,0)*Table_NFI[[#This Row],[Clothes Kit]],Table_NFI[Clothes Kit])</f>
        <v>0</v>
      </c>
      <c r="AG435" s="294">
        <f>IF(NFI_Expiration=1,IF($A435&lt;VLOOKUP(P$5,NFI,5,0),1,0)*Table_NFI[[#This Row],[Plastic Bucket]],Table_NFI[Plastic Bucket])</f>
        <v>0</v>
      </c>
      <c r="AH435" s="294">
        <f>IF(NFI_Expiration=1,IF($A435&lt;VLOOKUP(Q$5,NFI,5,0),1,0)*Table_NFI[[#This Row],[Plastic Mat]],Table_NFI[Plastic Mat])*IF(Table_NFI[[#This Row],[Distribution Date]]&gt;"2014-04-01",1,2.5)</f>
        <v>0</v>
      </c>
      <c r="AI435" s="294">
        <f>IF(NFI_Expiration=1,IF($A435&lt;VLOOKUP(R$5,NFI,5,0),1,0)*Table_NFI[[#This Row],[Winter Clothes Adult]],Table_NFI[Winter Clothes Adult])</f>
        <v>0</v>
      </c>
      <c r="AJ435" s="294">
        <f>IF(NFI_Expiration=1,IF($A435&lt;VLOOKUP(S$5,NFI,5,0),1,0)*Table_NFI[[#This Row],[Winter Clothes Children]],Table_NFI[Winter Clothes Children])</f>
        <v>0</v>
      </c>
      <c r="AK435" s="294">
        <f>IF(NFI_Expiration=1,IF($A435&lt;VLOOKUP(T$5,NFI,5,0),1,0)*Table_NFI[[#This Row],[Winter Items Other]],Table_NFI[Winter Items Other])</f>
        <v>0</v>
      </c>
      <c r="AL435" s="294">
        <f>IF(NFI_Expiration=1,IF($A435&lt;VLOOKUP(M$5,NFI,5,0),1,0)*Table_NFI[[#This Row],[Winter Blanket]],Table_NFI[[#This Row],[Winter Blanket]])</f>
        <v>0</v>
      </c>
      <c r="AM435" s="294">
        <f>IF(Table_NFI[[#This Row],[Winter Clothes Adult]]+Table_NFI[[#This Row],[Winter Clothes Children]]+Table_NFI[[#This Row],[Winter Items Other]]+Table_NFI[[#This Row],[Winter Blanket]]&gt;0,1,0)</f>
        <v>1</v>
      </c>
      <c r="AN435" s="331">
        <f>IF(NFI_Expiration=1,IF($A435&lt;VLOOKUP(V$5,NFI,5,0),1,0)*Table_NFI[[#This Row],[Jerry Can]],Table_NFI[Jerry Can])</f>
        <v>0</v>
      </c>
      <c r="AO435" s="331">
        <f>IF(NFI_Expiration=1,IF($A435&lt;VLOOKUP(V$5,NFI,5,0),1,0)*Table_NFI[[#This Row],[Shelter Tool kit]],Table_NFI[Shelter Tool kit])</f>
        <v>0</v>
      </c>
      <c r="AP435" s="331">
        <f>IF(NFI_Expiration=1,IF($A435&lt;VLOOKUP(V$5,NFI,5,0),1,0)*Table_NFI[[#This Row],[Tent]],Table_NFI[Tent])</f>
        <v>0</v>
      </c>
      <c r="AQ435" s="467" t="str">
        <f>IFERROR(VLOOKUP(Table_NFI[[#This Row],[Camp Name]],CL,2,0),"")</f>
        <v>MMR001CMP078</v>
      </c>
      <c r="AR435" s="835">
        <f ca="1">IF(Table_NFI[[#This Row],[Pcode]]="","",IF(OFFSET(CampList[Opening Date],MATCH(Table_NFI[[#This Row],[Pcode]],CampList[CP_Pcode],0)-1,0,1,1)&gt;=NFI_Monitor_Date,1,0))</f>
        <v>0</v>
      </c>
      <c r="AS435" s="467" t="str">
        <f>IFERROR(VLOOKUP(Table_NFI[[#This Row],[Camp Name]],CL,3,0),"")</f>
        <v>Open</v>
      </c>
      <c r="AT435" s="294" t="str">
        <f ca="1">IF(Table_NFI[[#This Row],[Pcode]]="","",OFFSET(CampList[Priority],MATCH(Table_NFI[[#This Row],[Pcode]],CampList[CP_Pcode],0)-1,0,1,1))</f>
        <v>P4</v>
      </c>
      <c r="AU435" s="293">
        <f>IFERROR(Table_NFI[[#This Row],[Kitchen Set]]/VLOOKUP(Table_NFI[[#This Row],[Camp Name]],CL,4,0),"")</f>
        <v>0</v>
      </c>
      <c r="AV435" s="461"/>
      <c r="AW435" s="463"/>
    </row>
    <row r="436" spans="1:49" s="464" customFormat="1" ht="14.45" customHeight="1" x14ac:dyDescent="0.25">
      <c r="A436" s="297">
        <f t="shared" si="6"/>
        <v>34.700000000000003</v>
      </c>
      <c r="B436" s="460">
        <v>41695</v>
      </c>
      <c r="C436" s="461" t="s">
        <v>1104</v>
      </c>
      <c r="D436" s="461" t="s">
        <v>900</v>
      </c>
      <c r="E436" s="461" t="s">
        <v>380</v>
      </c>
      <c r="F436" s="461" t="s">
        <v>173</v>
      </c>
      <c r="G436" s="461" t="s">
        <v>176</v>
      </c>
      <c r="H436" s="291"/>
      <c r="I436" s="291"/>
      <c r="J436" s="291"/>
      <c r="K436" s="291"/>
      <c r="L436" s="292"/>
      <c r="M436" s="292"/>
      <c r="N436" s="292"/>
      <c r="O436" s="292"/>
      <c r="P436" s="294"/>
      <c r="Q436" s="294"/>
      <c r="R436" s="294"/>
      <c r="S436" s="294"/>
      <c r="T436" s="294"/>
      <c r="U436" s="294">
        <v>26</v>
      </c>
      <c r="V436" s="431"/>
      <c r="W436" s="294"/>
      <c r="X436" s="294"/>
      <c r="Y436" s="294">
        <f>IF(NFI_Expiration=1,IF($A436&lt;VLOOKUP(H$5,NFI,5,0),1,0)*Table_NFI[[#This Row],[Hygiene Kit]],Table_NFI[Hygiene Kit])</f>
        <v>0</v>
      </c>
      <c r="Z436" s="294">
        <f>IF(NFI_Expiration=1,IF($A436&lt;VLOOKUP(I$5,NFI,5,0),1,0)*Table_NFI[[#This Row],[NFI Core Kit]],Table_NFI[NFI Core Kit])</f>
        <v>0</v>
      </c>
      <c r="AA436" s="294">
        <f>IF(NFI_Expiration=1,IF($A436&lt;VLOOKUP(J$5,NFI,5,0),1,0)*Table_NFI[[#This Row],[Sanitary Kit]],Table_NFI[Sanitary Kit])</f>
        <v>0</v>
      </c>
      <c r="AB436" s="294">
        <f>IF(NFI_Expiration=1,IF($A436&lt;VLOOKUP(K$5,NFI,5,0),1,0)*Table_NFI[[#This Row],[Mosquito net]],Table_NFI[Mosquito net])</f>
        <v>0</v>
      </c>
      <c r="AC436" s="294">
        <f>IF(NFI_Expiration=1,IF($A436&lt;VLOOKUP(L$5,NFI,5,0),1,0)*Table_NFI[[#This Row],[Tarpaulin]],Table_NFI[[#This Row],[Tarpaulin]])</f>
        <v>0</v>
      </c>
      <c r="AD436" s="294">
        <f>IF(NFI_Expiration=1,IF($A436&lt;VLOOKUP(M$5,NFI,5,0),1,0)*Table_NFI[[#This Row],[Blanket]],Table_NFI[[#This Row],[Blanket]])</f>
        <v>0</v>
      </c>
      <c r="AE436" s="294">
        <f>IF(NFI_Expiration=1,IF($A436&lt;VLOOKUP(N$5,NFI,5,0),1,0)*Table_NFI[[#This Row],[Kitchen Set]],Table_NFI[Kitchen Set])</f>
        <v>0</v>
      </c>
      <c r="AF436" s="294">
        <f>IF(NFI_Expiration=1,IF($A436&lt;VLOOKUP(O$5,NFI,5,0),1,0)*Table_NFI[[#This Row],[Clothes Kit]],Table_NFI[Clothes Kit])</f>
        <v>0</v>
      </c>
      <c r="AG436" s="294">
        <f>IF(NFI_Expiration=1,IF($A436&lt;VLOOKUP(P$5,NFI,5,0),1,0)*Table_NFI[[#This Row],[Plastic Bucket]],Table_NFI[Plastic Bucket])</f>
        <v>0</v>
      </c>
      <c r="AH436" s="294">
        <f>IF(NFI_Expiration=1,IF($A436&lt;VLOOKUP(Q$5,NFI,5,0),1,0)*Table_NFI[[#This Row],[Plastic Mat]],Table_NFI[Plastic Mat])*IF(Table_NFI[[#This Row],[Distribution Date]]&gt;"2014-04-01",1,2.5)</f>
        <v>0</v>
      </c>
      <c r="AI436" s="294">
        <f>IF(NFI_Expiration=1,IF($A436&lt;VLOOKUP(R$5,NFI,5,0),1,0)*Table_NFI[[#This Row],[Winter Clothes Adult]],Table_NFI[Winter Clothes Adult])</f>
        <v>0</v>
      </c>
      <c r="AJ436" s="294">
        <f>IF(NFI_Expiration=1,IF($A436&lt;VLOOKUP(S$5,NFI,5,0),1,0)*Table_NFI[[#This Row],[Winter Clothes Children]],Table_NFI[Winter Clothes Children])</f>
        <v>0</v>
      </c>
      <c r="AK436" s="294">
        <f>IF(NFI_Expiration=1,IF($A436&lt;VLOOKUP(T$5,NFI,5,0),1,0)*Table_NFI[[#This Row],[Winter Items Other]],Table_NFI[Winter Items Other])</f>
        <v>0</v>
      </c>
      <c r="AL436" s="294">
        <f>IF(NFI_Expiration=1,IF($A436&lt;VLOOKUP(M$5,NFI,5,0),1,0)*Table_NFI[[#This Row],[Winter Blanket]],Table_NFI[[#This Row],[Winter Blanket]])</f>
        <v>0</v>
      </c>
      <c r="AM436" s="294">
        <f>IF(Table_NFI[[#This Row],[Winter Clothes Adult]]+Table_NFI[[#This Row],[Winter Clothes Children]]+Table_NFI[[#This Row],[Winter Items Other]]+Table_NFI[[#This Row],[Winter Blanket]]&gt;0,1,0)</f>
        <v>1</v>
      </c>
      <c r="AN436" s="331">
        <f>IF(NFI_Expiration=1,IF($A436&lt;VLOOKUP(V$5,NFI,5,0),1,0)*Table_NFI[[#This Row],[Jerry Can]],Table_NFI[Jerry Can])</f>
        <v>0</v>
      </c>
      <c r="AO436" s="331">
        <f>IF(NFI_Expiration=1,IF($A436&lt;VLOOKUP(V$5,NFI,5,0),1,0)*Table_NFI[[#This Row],[Shelter Tool kit]],Table_NFI[Shelter Tool kit])</f>
        <v>0</v>
      </c>
      <c r="AP436" s="331">
        <f>IF(NFI_Expiration=1,IF($A436&lt;VLOOKUP(V$5,NFI,5,0),1,0)*Table_NFI[[#This Row],[Tent]],Table_NFI[Tent])</f>
        <v>0</v>
      </c>
      <c r="AQ436" s="467" t="str">
        <f>IFERROR(VLOOKUP(Table_NFI[[#This Row],[Camp Name]],CL,2,0),"")</f>
        <v>MMR001CMP077</v>
      </c>
      <c r="AR436" s="835">
        <f ca="1">IF(Table_NFI[[#This Row],[Pcode]]="","",IF(OFFSET(CampList[Opening Date],MATCH(Table_NFI[[#This Row],[Pcode]],CampList[CP_Pcode],0)-1,0,1,1)&gt;=NFI_Monitor_Date,1,0))</f>
        <v>0</v>
      </c>
      <c r="AS436" s="467" t="str">
        <f>IFERROR(VLOOKUP(Table_NFI[[#This Row],[Camp Name]],CL,3,0),"")</f>
        <v>Open</v>
      </c>
      <c r="AT436" s="294" t="str">
        <f ca="1">IF(Table_NFI[[#This Row],[Pcode]]="","",OFFSET(CampList[Priority],MATCH(Table_NFI[[#This Row],[Pcode]],CampList[CP_Pcode],0)-1,0,1,1))</f>
        <v>P4</v>
      </c>
      <c r="AU436" s="293">
        <f>IFERROR(Table_NFI[[#This Row],[Kitchen Set]]/VLOOKUP(Table_NFI[[#This Row],[Camp Name]],CL,4,0),"")</f>
        <v>0</v>
      </c>
      <c r="AV436" s="461"/>
      <c r="AW436" s="463"/>
    </row>
    <row r="437" spans="1:49" s="464" customFormat="1" ht="14.45" customHeight="1" x14ac:dyDescent="0.25">
      <c r="A437" s="297">
        <f t="shared" si="6"/>
        <v>34.700000000000003</v>
      </c>
      <c r="B437" s="460">
        <v>41695</v>
      </c>
      <c r="C437" s="461" t="s">
        <v>1104</v>
      </c>
      <c r="D437" s="461" t="s">
        <v>900</v>
      </c>
      <c r="E437" s="461" t="s">
        <v>380</v>
      </c>
      <c r="F437" s="461" t="s">
        <v>173</v>
      </c>
      <c r="G437" s="461" t="s">
        <v>178</v>
      </c>
      <c r="H437" s="291"/>
      <c r="I437" s="291"/>
      <c r="J437" s="291"/>
      <c r="K437" s="291"/>
      <c r="L437" s="292"/>
      <c r="M437" s="292"/>
      <c r="N437" s="292"/>
      <c r="O437" s="292"/>
      <c r="P437" s="294"/>
      <c r="Q437" s="294"/>
      <c r="R437" s="294"/>
      <c r="S437" s="294"/>
      <c r="T437" s="294"/>
      <c r="U437" s="294">
        <v>28</v>
      </c>
      <c r="V437" s="431"/>
      <c r="W437" s="294"/>
      <c r="X437" s="294"/>
      <c r="Y437" s="294">
        <f>IF(NFI_Expiration=1,IF($A437&lt;VLOOKUP(H$5,NFI,5,0),1,0)*Table_NFI[[#This Row],[Hygiene Kit]],Table_NFI[Hygiene Kit])</f>
        <v>0</v>
      </c>
      <c r="Z437" s="294">
        <f>IF(NFI_Expiration=1,IF($A437&lt;VLOOKUP(I$5,NFI,5,0),1,0)*Table_NFI[[#This Row],[NFI Core Kit]],Table_NFI[NFI Core Kit])</f>
        <v>0</v>
      </c>
      <c r="AA437" s="294">
        <f>IF(NFI_Expiration=1,IF($A437&lt;VLOOKUP(J$5,NFI,5,0),1,0)*Table_NFI[[#This Row],[Sanitary Kit]],Table_NFI[Sanitary Kit])</f>
        <v>0</v>
      </c>
      <c r="AB437" s="294">
        <f>IF(NFI_Expiration=1,IF($A437&lt;VLOOKUP(K$5,NFI,5,0),1,0)*Table_NFI[[#This Row],[Mosquito net]],Table_NFI[Mosquito net])</f>
        <v>0</v>
      </c>
      <c r="AC437" s="294">
        <f>IF(NFI_Expiration=1,IF($A437&lt;VLOOKUP(L$5,NFI,5,0),1,0)*Table_NFI[[#This Row],[Tarpaulin]],Table_NFI[[#This Row],[Tarpaulin]])</f>
        <v>0</v>
      </c>
      <c r="AD437" s="294">
        <f>IF(NFI_Expiration=1,IF($A437&lt;VLOOKUP(M$5,NFI,5,0),1,0)*Table_NFI[[#This Row],[Blanket]],Table_NFI[[#This Row],[Blanket]])</f>
        <v>0</v>
      </c>
      <c r="AE437" s="294">
        <f>IF(NFI_Expiration=1,IF($A437&lt;VLOOKUP(N$5,NFI,5,0),1,0)*Table_NFI[[#This Row],[Kitchen Set]],Table_NFI[Kitchen Set])</f>
        <v>0</v>
      </c>
      <c r="AF437" s="294">
        <f>IF(NFI_Expiration=1,IF($A437&lt;VLOOKUP(O$5,NFI,5,0),1,0)*Table_NFI[[#This Row],[Clothes Kit]],Table_NFI[Clothes Kit])</f>
        <v>0</v>
      </c>
      <c r="AG437" s="294">
        <f>IF(NFI_Expiration=1,IF($A437&lt;VLOOKUP(P$5,NFI,5,0),1,0)*Table_NFI[[#This Row],[Plastic Bucket]],Table_NFI[Plastic Bucket])</f>
        <v>0</v>
      </c>
      <c r="AH437" s="294">
        <f>IF(NFI_Expiration=1,IF($A437&lt;VLOOKUP(Q$5,NFI,5,0),1,0)*Table_NFI[[#This Row],[Plastic Mat]],Table_NFI[Plastic Mat])*IF(Table_NFI[[#This Row],[Distribution Date]]&gt;"2014-04-01",1,2.5)</f>
        <v>0</v>
      </c>
      <c r="AI437" s="294">
        <f>IF(NFI_Expiration=1,IF($A437&lt;VLOOKUP(R$5,NFI,5,0),1,0)*Table_NFI[[#This Row],[Winter Clothes Adult]],Table_NFI[Winter Clothes Adult])</f>
        <v>0</v>
      </c>
      <c r="AJ437" s="294">
        <f>IF(NFI_Expiration=1,IF($A437&lt;VLOOKUP(S$5,NFI,5,0),1,0)*Table_NFI[[#This Row],[Winter Clothes Children]],Table_NFI[Winter Clothes Children])</f>
        <v>0</v>
      </c>
      <c r="AK437" s="294">
        <f>IF(NFI_Expiration=1,IF($A437&lt;VLOOKUP(T$5,NFI,5,0),1,0)*Table_NFI[[#This Row],[Winter Items Other]],Table_NFI[Winter Items Other])</f>
        <v>0</v>
      </c>
      <c r="AL437" s="294">
        <f>IF(NFI_Expiration=1,IF($A437&lt;VLOOKUP(M$5,NFI,5,0),1,0)*Table_NFI[[#This Row],[Winter Blanket]],Table_NFI[[#This Row],[Winter Blanket]])</f>
        <v>0</v>
      </c>
      <c r="AM437" s="294">
        <f>IF(Table_NFI[[#This Row],[Winter Clothes Adult]]+Table_NFI[[#This Row],[Winter Clothes Children]]+Table_NFI[[#This Row],[Winter Items Other]]+Table_NFI[[#This Row],[Winter Blanket]]&gt;0,1,0)</f>
        <v>1</v>
      </c>
      <c r="AN437" s="331">
        <f>IF(NFI_Expiration=1,IF($A437&lt;VLOOKUP(V$5,NFI,5,0),1,0)*Table_NFI[[#This Row],[Jerry Can]],Table_NFI[Jerry Can])</f>
        <v>0</v>
      </c>
      <c r="AO437" s="331">
        <f>IF(NFI_Expiration=1,IF($A437&lt;VLOOKUP(V$5,NFI,5,0),1,0)*Table_NFI[[#This Row],[Shelter Tool kit]],Table_NFI[Shelter Tool kit])</f>
        <v>0</v>
      </c>
      <c r="AP437" s="331">
        <f>IF(NFI_Expiration=1,IF($A437&lt;VLOOKUP(V$5,NFI,5,0),1,0)*Table_NFI[[#This Row],[Tent]],Table_NFI[Tent])</f>
        <v>0</v>
      </c>
      <c r="AQ437" s="467" t="str">
        <f>IFERROR(VLOOKUP(Table_NFI[[#This Row],[Camp Name]],CL,2,0),"")</f>
        <v>MMR001CMP079</v>
      </c>
      <c r="AR437" s="835">
        <f ca="1">IF(Table_NFI[[#This Row],[Pcode]]="","",IF(OFFSET(CampList[Opening Date],MATCH(Table_NFI[[#This Row],[Pcode]],CampList[CP_Pcode],0)-1,0,1,1)&gt;=NFI_Monitor_Date,1,0))</f>
        <v>0</v>
      </c>
      <c r="AS437" s="467" t="str">
        <f>IFERROR(VLOOKUP(Table_NFI[[#This Row],[Camp Name]],CL,3,0),"")</f>
        <v>Open</v>
      </c>
      <c r="AT437" s="294" t="str">
        <f ca="1">IF(Table_NFI[[#This Row],[Pcode]]="","",OFFSET(CampList[Priority],MATCH(Table_NFI[[#This Row],[Pcode]],CampList[CP_Pcode],0)-1,0,1,1))</f>
        <v>P4</v>
      </c>
      <c r="AU437" s="293">
        <f>IFERROR(Table_NFI[[#This Row],[Kitchen Set]]/VLOOKUP(Table_NFI[[#This Row],[Camp Name]],CL,4,0),"")</f>
        <v>0</v>
      </c>
      <c r="AV437" s="461"/>
      <c r="AW437" s="463"/>
    </row>
    <row r="438" spans="1:49" s="464" customFormat="1" ht="14.45" customHeight="1" x14ac:dyDescent="0.25">
      <c r="A438" s="297">
        <f t="shared" si="6"/>
        <v>34.766666666666666</v>
      </c>
      <c r="B438" s="460">
        <v>41693</v>
      </c>
      <c r="C438" s="461" t="s">
        <v>1104</v>
      </c>
      <c r="D438" s="461" t="s">
        <v>900</v>
      </c>
      <c r="E438" s="461" t="s">
        <v>380</v>
      </c>
      <c r="F438" s="461" t="s">
        <v>27</v>
      </c>
      <c r="G438" s="461" t="s">
        <v>28</v>
      </c>
      <c r="H438" s="291"/>
      <c r="I438" s="291"/>
      <c r="J438" s="291"/>
      <c r="K438" s="291"/>
      <c r="L438" s="292"/>
      <c r="M438" s="292"/>
      <c r="N438" s="292"/>
      <c r="O438" s="292"/>
      <c r="P438" s="294"/>
      <c r="Q438" s="294"/>
      <c r="R438" s="294"/>
      <c r="S438" s="294"/>
      <c r="T438" s="294"/>
      <c r="U438" s="294">
        <v>222</v>
      </c>
      <c r="V438" s="431"/>
      <c r="W438" s="294"/>
      <c r="X438" s="294"/>
      <c r="Y438" s="294">
        <f>IF(NFI_Expiration=1,IF($A438&lt;VLOOKUP(H$5,NFI,5,0),1,0)*Table_NFI[[#This Row],[Hygiene Kit]],Table_NFI[Hygiene Kit])</f>
        <v>0</v>
      </c>
      <c r="Z438" s="294">
        <f>IF(NFI_Expiration=1,IF($A438&lt;VLOOKUP(I$5,NFI,5,0),1,0)*Table_NFI[[#This Row],[NFI Core Kit]],Table_NFI[NFI Core Kit])</f>
        <v>0</v>
      </c>
      <c r="AA438" s="294">
        <f>IF(NFI_Expiration=1,IF($A438&lt;VLOOKUP(J$5,NFI,5,0),1,0)*Table_NFI[[#This Row],[Sanitary Kit]],Table_NFI[Sanitary Kit])</f>
        <v>0</v>
      </c>
      <c r="AB438" s="294">
        <f>IF(NFI_Expiration=1,IF($A438&lt;VLOOKUP(K$5,NFI,5,0),1,0)*Table_NFI[[#This Row],[Mosquito net]],Table_NFI[Mosquito net])</f>
        <v>0</v>
      </c>
      <c r="AC438" s="294">
        <f>IF(NFI_Expiration=1,IF($A438&lt;VLOOKUP(L$5,NFI,5,0),1,0)*Table_NFI[[#This Row],[Tarpaulin]],Table_NFI[[#This Row],[Tarpaulin]])</f>
        <v>0</v>
      </c>
      <c r="AD438" s="294">
        <f>IF(NFI_Expiration=1,IF($A438&lt;VLOOKUP(M$5,NFI,5,0),1,0)*Table_NFI[[#This Row],[Blanket]],Table_NFI[[#This Row],[Blanket]])</f>
        <v>0</v>
      </c>
      <c r="AE438" s="294">
        <f>IF(NFI_Expiration=1,IF($A438&lt;VLOOKUP(N$5,NFI,5,0),1,0)*Table_NFI[[#This Row],[Kitchen Set]],Table_NFI[Kitchen Set])</f>
        <v>0</v>
      </c>
      <c r="AF438" s="294">
        <f>IF(NFI_Expiration=1,IF($A438&lt;VLOOKUP(O$5,NFI,5,0),1,0)*Table_NFI[[#This Row],[Clothes Kit]],Table_NFI[Clothes Kit])</f>
        <v>0</v>
      </c>
      <c r="AG438" s="294">
        <f>IF(NFI_Expiration=1,IF($A438&lt;VLOOKUP(P$5,NFI,5,0),1,0)*Table_NFI[[#This Row],[Plastic Bucket]],Table_NFI[Plastic Bucket])</f>
        <v>0</v>
      </c>
      <c r="AH438" s="294">
        <f>IF(NFI_Expiration=1,IF($A438&lt;VLOOKUP(Q$5,NFI,5,0),1,0)*Table_NFI[[#This Row],[Plastic Mat]],Table_NFI[Plastic Mat])*IF(Table_NFI[[#This Row],[Distribution Date]]&gt;"2014-04-01",1,2.5)</f>
        <v>0</v>
      </c>
      <c r="AI438" s="294">
        <f>IF(NFI_Expiration=1,IF($A438&lt;VLOOKUP(R$5,NFI,5,0),1,0)*Table_NFI[[#This Row],[Winter Clothes Adult]],Table_NFI[Winter Clothes Adult])</f>
        <v>0</v>
      </c>
      <c r="AJ438" s="294">
        <f>IF(NFI_Expiration=1,IF($A438&lt;VLOOKUP(S$5,NFI,5,0),1,0)*Table_NFI[[#This Row],[Winter Clothes Children]],Table_NFI[Winter Clothes Children])</f>
        <v>0</v>
      </c>
      <c r="AK438" s="294">
        <f>IF(NFI_Expiration=1,IF($A438&lt;VLOOKUP(T$5,NFI,5,0),1,0)*Table_NFI[[#This Row],[Winter Items Other]],Table_NFI[Winter Items Other])</f>
        <v>0</v>
      </c>
      <c r="AL438" s="294">
        <f>IF(NFI_Expiration=1,IF($A438&lt;VLOOKUP(M$5,NFI,5,0),1,0)*Table_NFI[[#This Row],[Winter Blanket]],Table_NFI[[#This Row],[Winter Blanket]])</f>
        <v>0</v>
      </c>
      <c r="AM438" s="294">
        <f>IF(Table_NFI[[#This Row],[Winter Clothes Adult]]+Table_NFI[[#This Row],[Winter Clothes Children]]+Table_NFI[[#This Row],[Winter Items Other]]+Table_NFI[[#This Row],[Winter Blanket]]&gt;0,1,0)</f>
        <v>1</v>
      </c>
      <c r="AN438" s="331">
        <f>IF(NFI_Expiration=1,IF($A438&lt;VLOOKUP(V$5,NFI,5,0),1,0)*Table_NFI[[#This Row],[Jerry Can]],Table_NFI[Jerry Can])</f>
        <v>0</v>
      </c>
      <c r="AO438" s="331">
        <f>IF(NFI_Expiration=1,IF($A438&lt;VLOOKUP(V$5,NFI,5,0),1,0)*Table_NFI[[#This Row],[Shelter Tool kit]],Table_NFI[Shelter Tool kit])</f>
        <v>0</v>
      </c>
      <c r="AP438" s="331">
        <f>IF(NFI_Expiration=1,IF($A438&lt;VLOOKUP(V$5,NFI,5,0),1,0)*Table_NFI[[#This Row],[Tent]],Table_NFI[Tent])</f>
        <v>0</v>
      </c>
      <c r="AQ438" s="467" t="str">
        <f>IFERROR(VLOOKUP(Table_NFI[[#This Row],[Camp Name]],CL,2,0),"")</f>
        <v>MMR001CMP042</v>
      </c>
      <c r="AR438" s="835">
        <f ca="1">IF(Table_NFI[[#This Row],[Pcode]]="","",IF(OFFSET(CampList[Opening Date],MATCH(Table_NFI[[#This Row],[Pcode]],CampList[CP_Pcode],0)-1,0,1,1)&gt;=NFI_Monitor_Date,1,0))</f>
        <v>0</v>
      </c>
      <c r="AS438" s="467" t="str">
        <f>IFERROR(VLOOKUP(Table_NFI[[#This Row],[Camp Name]],CL,3,0),"")</f>
        <v>Open</v>
      </c>
      <c r="AT438" s="294" t="str">
        <f ca="1">IF(Table_NFI[[#This Row],[Pcode]]="","",OFFSET(CampList[Priority],MATCH(Table_NFI[[#This Row],[Pcode]],CampList[CP_Pcode],0)-1,0,1,1))</f>
        <v>P1</v>
      </c>
      <c r="AU438" s="293">
        <f>IFERROR(Table_NFI[[#This Row],[Kitchen Set]]/VLOOKUP(Table_NFI[[#This Row],[Camp Name]],CL,4,0),"")</f>
        <v>0</v>
      </c>
      <c r="AV438" s="461"/>
      <c r="AW438" s="463"/>
    </row>
    <row r="439" spans="1:49" s="464" customFormat="1" ht="14.45" customHeight="1" x14ac:dyDescent="0.25">
      <c r="A439" s="297">
        <f t="shared" si="6"/>
        <v>34.766666666666666</v>
      </c>
      <c r="B439" s="460">
        <v>41693</v>
      </c>
      <c r="C439" s="461" t="s">
        <v>1104</v>
      </c>
      <c r="D439" s="461" t="s">
        <v>900</v>
      </c>
      <c r="E439" s="461" t="s">
        <v>380</v>
      </c>
      <c r="F439" s="461" t="s">
        <v>27</v>
      </c>
      <c r="G439" s="461" t="s">
        <v>365</v>
      </c>
      <c r="H439" s="291"/>
      <c r="I439" s="291"/>
      <c r="J439" s="291"/>
      <c r="K439" s="291"/>
      <c r="L439" s="292"/>
      <c r="M439" s="292"/>
      <c r="N439" s="292"/>
      <c r="O439" s="292"/>
      <c r="P439" s="294"/>
      <c r="Q439" s="294"/>
      <c r="R439" s="294"/>
      <c r="S439" s="294"/>
      <c r="T439" s="294"/>
      <c r="U439" s="294">
        <v>278</v>
      </c>
      <c r="V439" s="431"/>
      <c r="W439" s="294"/>
      <c r="X439" s="294"/>
      <c r="Y439" s="294">
        <f>IF(NFI_Expiration=1,IF($A439&lt;VLOOKUP(H$5,NFI,5,0),1,0)*Table_NFI[[#This Row],[Hygiene Kit]],Table_NFI[Hygiene Kit])</f>
        <v>0</v>
      </c>
      <c r="Z439" s="294">
        <f>IF(NFI_Expiration=1,IF($A439&lt;VLOOKUP(I$5,NFI,5,0),1,0)*Table_NFI[[#This Row],[NFI Core Kit]],Table_NFI[NFI Core Kit])</f>
        <v>0</v>
      </c>
      <c r="AA439" s="294">
        <f>IF(NFI_Expiration=1,IF($A439&lt;VLOOKUP(J$5,NFI,5,0),1,0)*Table_NFI[[#This Row],[Sanitary Kit]],Table_NFI[Sanitary Kit])</f>
        <v>0</v>
      </c>
      <c r="AB439" s="294">
        <f>IF(NFI_Expiration=1,IF($A439&lt;VLOOKUP(K$5,NFI,5,0),1,0)*Table_NFI[[#This Row],[Mosquito net]],Table_NFI[Mosquito net])</f>
        <v>0</v>
      </c>
      <c r="AC439" s="294">
        <f>IF(NFI_Expiration=1,IF($A439&lt;VLOOKUP(L$5,NFI,5,0),1,0)*Table_NFI[[#This Row],[Tarpaulin]],Table_NFI[[#This Row],[Tarpaulin]])</f>
        <v>0</v>
      </c>
      <c r="AD439" s="294">
        <f>IF(NFI_Expiration=1,IF($A439&lt;VLOOKUP(M$5,NFI,5,0),1,0)*Table_NFI[[#This Row],[Blanket]],Table_NFI[[#This Row],[Blanket]])</f>
        <v>0</v>
      </c>
      <c r="AE439" s="294">
        <f>IF(NFI_Expiration=1,IF($A439&lt;VLOOKUP(N$5,NFI,5,0),1,0)*Table_NFI[[#This Row],[Kitchen Set]],Table_NFI[Kitchen Set])</f>
        <v>0</v>
      </c>
      <c r="AF439" s="294">
        <f>IF(NFI_Expiration=1,IF($A439&lt;VLOOKUP(O$5,NFI,5,0),1,0)*Table_NFI[[#This Row],[Clothes Kit]],Table_NFI[Clothes Kit])</f>
        <v>0</v>
      </c>
      <c r="AG439" s="294">
        <f>IF(NFI_Expiration=1,IF($A439&lt;VLOOKUP(P$5,NFI,5,0),1,0)*Table_NFI[[#This Row],[Plastic Bucket]],Table_NFI[Plastic Bucket])</f>
        <v>0</v>
      </c>
      <c r="AH439" s="294">
        <f>IF(NFI_Expiration=1,IF($A439&lt;VLOOKUP(Q$5,NFI,5,0),1,0)*Table_NFI[[#This Row],[Plastic Mat]],Table_NFI[Plastic Mat])*IF(Table_NFI[[#This Row],[Distribution Date]]&gt;"2014-04-01",1,2.5)</f>
        <v>0</v>
      </c>
      <c r="AI439" s="294">
        <f>IF(NFI_Expiration=1,IF($A439&lt;VLOOKUP(R$5,NFI,5,0),1,0)*Table_NFI[[#This Row],[Winter Clothes Adult]],Table_NFI[Winter Clothes Adult])</f>
        <v>0</v>
      </c>
      <c r="AJ439" s="294">
        <f>IF(NFI_Expiration=1,IF($A439&lt;VLOOKUP(S$5,NFI,5,0),1,0)*Table_NFI[[#This Row],[Winter Clothes Children]],Table_NFI[Winter Clothes Children])</f>
        <v>0</v>
      </c>
      <c r="AK439" s="294">
        <f>IF(NFI_Expiration=1,IF($A439&lt;VLOOKUP(T$5,NFI,5,0),1,0)*Table_NFI[[#This Row],[Winter Items Other]],Table_NFI[Winter Items Other])</f>
        <v>0</v>
      </c>
      <c r="AL439" s="294">
        <f>IF(NFI_Expiration=1,IF($A439&lt;VLOOKUP(M$5,NFI,5,0),1,0)*Table_NFI[[#This Row],[Winter Blanket]],Table_NFI[[#This Row],[Winter Blanket]])</f>
        <v>0</v>
      </c>
      <c r="AM439" s="294">
        <f>IF(Table_NFI[[#This Row],[Winter Clothes Adult]]+Table_NFI[[#This Row],[Winter Clothes Children]]+Table_NFI[[#This Row],[Winter Items Other]]+Table_NFI[[#This Row],[Winter Blanket]]&gt;0,1,0)</f>
        <v>1</v>
      </c>
      <c r="AN439" s="331">
        <f>IF(NFI_Expiration=1,IF($A439&lt;VLOOKUP(V$5,NFI,5,0),1,0)*Table_NFI[[#This Row],[Jerry Can]],Table_NFI[Jerry Can])</f>
        <v>0</v>
      </c>
      <c r="AO439" s="331">
        <f>IF(NFI_Expiration=1,IF($A439&lt;VLOOKUP(V$5,NFI,5,0),1,0)*Table_NFI[[#This Row],[Shelter Tool kit]],Table_NFI[Shelter Tool kit])</f>
        <v>0</v>
      </c>
      <c r="AP439" s="331">
        <f>IF(NFI_Expiration=1,IF($A439&lt;VLOOKUP(V$5,NFI,5,0),1,0)*Table_NFI[[#This Row],[Tent]],Table_NFI[Tent])</f>
        <v>0</v>
      </c>
      <c r="AQ439" s="467" t="str">
        <f>IFERROR(VLOOKUP(Table_NFI[[#This Row],[Camp Name]],CL,2,0),"")</f>
        <v>MMR001CMP195</v>
      </c>
      <c r="AR439" s="835">
        <f ca="1">IF(Table_NFI[[#This Row],[Pcode]]="","",IF(OFFSET(CampList[Opening Date],MATCH(Table_NFI[[#This Row],[Pcode]],CampList[CP_Pcode],0)-1,0,1,1)&gt;=NFI_Monitor_Date,1,0))</f>
        <v>0</v>
      </c>
      <c r="AS439" s="467" t="str">
        <f>IFERROR(VLOOKUP(Table_NFI[[#This Row],[Camp Name]],CL,3,0),"")</f>
        <v>Open</v>
      </c>
      <c r="AT439" s="294" t="str">
        <f ca="1">IF(Table_NFI[[#This Row],[Pcode]]="","",OFFSET(CampList[Priority],MATCH(Table_NFI[[#This Row],[Pcode]],CampList[CP_Pcode],0)-1,0,1,1))</f>
        <v>P1</v>
      </c>
      <c r="AU439" s="293">
        <f>IFERROR(Table_NFI[[#This Row],[Kitchen Set]]/VLOOKUP(Table_NFI[[#This Row],[Camp Name]],CL,4,0),"")</f>
        <v>0</v>
      </c>
      <c r="AV439" s="461"/>
      <c r="AW439" s="463"/>
    </row>
    <row r="440" spans="1:49" s="464" customFormat="1" ht="14.45" customHeight="1" x14ac:dyDescent="0.25">
      <c r="A440" s="297">
        <f t="shared" si="6"/>
        <v>34.766666666666666</v>
      </c>
      <c r="B440" s="460">
        <v>41693</v>
      </c>
      <c r="C440" s="461" t="s">
        <v>1104</v>
      </c>
      <c r="D440" s="461" t="s">
        <v>900</v>
      </c>
      <c r="E440" s="461" t="s">
        <v>380</v>
      </c>
      <c r="F440" s="461" t="s">
        <v>185</v>
      </c>
      <c r="G440" s="461" t="s">
        <v>225</v>
      </c>
      <c r="H440" s="291"/>
      <c r="I440" s="291"/>
      <c r="J440" s="291"/>
      <c r="K440" s="291"/>
      <c r="L440" s="292"/>
      <c r="M440" s="292"/>
      <c r="N440" s="292"/>
      <c r="O440" s="292"/>
      <c r="P440" s="294"/>
      <c r="Q440" s="294"/>
      <c r="R440" s="294"/>
      <c r="S440" s="294"/>
      <c r="T440" s="294"/>
      <c r="U440" s="294">
        <v>376</v>
      </c>
      <c r="V440" s="431"/>
      <c r="W440" s="294"/>
      <c r="X440" s="294"/>
      <c r="Y440" s="294">
        <f>IF(NFI_Expiration=1,IF($A440&lt;VLOOKUP(H$5,NFI,5,0),1,0)*Table_NFI[[#This Row],[Hygiene Kit]],Table_NFI[Hygiene Kit])</f>
        <v>0</v>
      </c>
      <c r="Z440" s="294">
        <f>IF(NFI_Expiration=1,IF($A440&lt;VLOOKUP(I$5,NFI,5,0),1,0)*Table_NFI[[#This Row],[NFI Core Kit]],Table_NFI[NFI Core Kit])</f>
        <v>0</v>
      </c>
      <c r="AA440" s="294">
        <f>IF(NFI_Expiration=1,IF($A440&lt;VLOOKUP(J$5,NFI,5,0),1,0)*Table_NFI[[#This Row],[Sanitary Kit]],Table_NFI[Sanitary Kit])</f>
        <v>0</v>
      </c>
      <c r="AB440" s="294">
        <f>IF(NFI_Expiration=1,IF($A440&lt;VLOOKUP(K$5,NFI,5,0),1,0)*Table_NFI[[#This Row],[Mosquito net]],Table_NFI[Mosquito net])</f>
        <v>0</v>
      </c>
      <c r="AC440" s="294">
        <f>IF(NFI_Expiration=1,IF($A440&lt;VLOOKUP(L$5,NFI,5,0),1,0)*Table_NFI[[#This Row],[Tarpaulin]],Table_NFI[[#This Row],[Tarpaulin]])</f>
        <v>0</v>
      </c>
      <c r="AD440" s="294">
        <f>IF(NFI_Expiration=1,IF($A440&lt;VLOOKUP(M$5,NFI,5,0),1,0)*Table_NFI[[#This Row],[Blanket]],Table_NFI[[#This Row],[Blanket]])</f>
        <v>0</v>
      </c>
      <c r="AE440" s="294">
        <f>IF(NFI_Expiration=1,IF($A440&lt;VLOOKUP(N$5,NFI,5,0),1,0)*Table_NFI[[#This Row],[Kitchen Set]],Table_NFI[Kitchen Set])</f>
        <v>0</v>
      </c>
      <c r="AF440" s="294">
        <f>IF(NFI_Expiration=1,IF($A440&lt;VLOOKUP(O$5,NFI,5,0),1,0)*Table_NFI[[#This Row],[Clothes Kit]],Table_NFI[Clothes Kit])</f>
        <v>0</v>
      </c>
      <c r="AG440" s="294">
        <f>IF(NFI_Expiration=1,IF($A440&lt;VLOOKUP(P$5,NFI,5,0),1,0)*Table_NFI[[#This Row],[Plastic Bucket]],Table_NFI[Plastic Bucket])</f>
        <v>0</v>
      </c>
      <c r="AH440" s="294">
        <f>IF(NFI_Expiration=1,IF($A440&lt;VLOOKUP(Q$5,NFI,5,0),1,0)*Table_NFI[[#This Row],[Plastic Mat]],Table_NFI[Plastic Mat])*IF(Table_NFI[[#This Row],[Distribution Date]]&gt;"2014-04-01",1,2.5)</f>
        <v>0</v>
      </c>
      <c r="AI440" s="294">
        <f>IF(NFI_Expiration=1,IF($A440&lt;VLOOKUP(R$5,NFI,5,0),1,0)*Table_NFI[[#This Row],[Winter Clothes Adult]],Table_NFI[Winter Clothes Adult])</f>
        <v>0</v>
      </c>
      <c r="AJ440" s="294">
        <f>IF(NFI_Expiration=1,IF($A440&lt;VLOOKUP(S$5,NFI,5,0),1,0)*Table_NFI[[#This Row],[Winter Clothes Children]],Table_NFI[Winter Clothes Children])</f>
        <v>0</v>
      </c>
      <c r="AK440" s="294">
        <f>IF(NFI_Expiration=1,IF($A440&lt;VLOOKUP(T$5,NFI,5,0),1,0)*Table_NFI[[#This Row],[Winter Items Other]],Table_NFI[Winter Items Other])</f>
        <v>0</v>
      </c>
      <c r="AL440" s="294">
        <f>IF(NFI_Expiration=1,IF($A440&lt;VLOOKUP(M$5,NFI,5,0),1,0)*Table_NFI[[#This Row],[Winter Blanket]],Table_NFI[[#This Row],[Winter Blanket]])</f>
        <v>0</v>
      </c>
      <c r="AM440" s="294">
        <f>IF(Table_NFI[[#This Row],[Winter Clothes Adult]]+Table_NFI[[#This Row],[Winter Clothes Children]]+Table_NFI[[#This Row],[Winter Items Other]]+Table_NFI[[#This Row],[Winter Blanket]]&gt;0,1,0)</f>
        <v>1</v>
      </c>
      <c r="AN440" s="331">
        <f>IF(NFI_Expiration=1,IF($A440&lt;VLOOKUP(V$5,NFI,5,0),1,0)*Table_NFI[[#This Row],[Jerry Can]],Table_NFI[Jerry Can])</f>
        <v>0</v>
      </c>
      <c r="AO440" s="331">
        <f>IF(NFI_Expiration=1,IF($A440&lt;VLOOKUP(V$5,NFI,5,0),1,0)*Table_NFI[[#This Row],[Shelter Tool kit]],Table_NFI[Shelter Tool kit])</f>
        <v>0</v>
      </c>
      <c r="AP440" s="331">
        <f>IF(NFI_Expiration=1,IF($A440&lt;VLOOKUP(V$5,NFI,5,0),1,0)*Table_NFI[[#This Row],[Tent]],Table_NFI[Tent])</f>
        <v>0</v>
      </c>
      <c r="AQ440" s="467" t="str">
        <f>IFERROR(VLOOKUP(Table_NFI[[#This Row],[Camp Name]],CL,2,0),"")</f>
        <v>MMR001CMP073</v>
      </c>
      <c r="AR440" s="835">
        <f ca="1">IF(Table_NFI[[#This Row],[Pcode]]="","",IF(OFFSET(CampList[Opening Date],MATCH(Table_NFI[[#This Row],[Pcode]],CampList[CP_Pcode],0)-1,0,1,1)&gt;=NFI_Monitor_Date,1,0))</f>
        <v>0</v>
      </c>
      <c r="AS440" s="467" t="str">
        <f>IFERROR(VLOOKUP(Table_NFI[[#This Row],[Camp Name]],CL,3,0),"")</f>
        <v>Open</v>
      </c>
      <c r="AT440" s="294" t="str">
        <f ca="1">IF(Table_NFI[[#This Row],[Pcode]]="","",OFFSET(CampList[Priority],MATCH(Table_NFI[[#This Row],[Pcode]],CampList[CP_Pcode],0)-1,0,1,1))</f>
        <v>P3</v>
      </c>
      <c r="AU440" s="293">
        <f>IFERROR(Table_NFI[[#This Row],[Kitchen Set]]/VLOOKUP(Table_NFI[[#This Row],[Camp Name]],CL,4,0),"")</f>
        <v>0</v>
      </c>
      <c r="AV440" s="461"/>
      <c r="AW440" s="463"/>
    </row>
    <row r="441" spans="1:49" s="464" customFormat="1" ht="13.9" customHeight="1" x14ac:dyDescent="0.25">
      <c r="A441" s="297">
        <f t="shared" si="6"/>
        <v>34.799999999999997</v>
      </c>
      <c r="B441" s="460">
        <v>41692</v>
      </c>
      <c r="C441" s="461" t="s">
        <v>1104</v>
      </c>
      <c r="D441" s="461" t="s">
        <v>900</v>
      </c>
      <c r="E441" s="461" t="s">
        <v>380</v>
      </c>
      <c r="F441" s="461" t="s">
        <v>27</v>
      </c>
      <c r="G441" s="461" t="s">
        <v>864</v>
      </c>
      <c r="H441" s="291"/>
      <c r="I441" s="291"/>
      <c r="J441" s="291"/>
      <c r="K441" s="291"/>
      <c r="L441" s="292"/>
      <c r="M441" s="292"/>
      <c r="N441" s="292"/>
      <c r="O441" s="292"/>
      <c r="P441" s="294"/>
      <c r="Q441" s="294"/>
      <c r="R441" s="294"/>
      <c r="S441" s="294"/>
      <c r="T441" s="294"/>
      <c r="U441" s="294">
        <v>126</v>
      </c>
      <c r="V441" s="431"/>
      <c r="W441" s="294"/>
      <c r="X441" s="294"/>
      <c r="Y441" s="294">
        <f>IF(NFI_Expiration=1,IF($A441&lt;VLOOKUP(H$5,NFI,5,0),1,0)*Table_NFI[[#This Row],[Hygiene Kit]],Table_NFI[Hygiene Kit])</f>
        <v>0</v>
      </c>
      <c r="Z441" s="294">
        <f>IF(NFI_Expiration=1,IF($A441&lt;VLOOKUP(I$5,NFI,5,0),1,0)*Table_NFI[[#This Row],[NFI Core Kit]],Table_NFI[NFI Core Kit])</f>
        <v>0</v>
      </c>
      <c r="AA441" s="294">
        <f>IF(NFI_Expiration=1,IF($A441&lt;VLOOKUP(J$5,NFI,5,0),1,0)*Table_NFI[[#This Row],[Sanitary Kit]],Table_NFI[Sanitary Kit])</f>
        <v>0</v>
      </c>
      <c r="AB441" s="294">
        <f>IF(NFI_Expiration=1,IF($A441&lt;VLOOKUP(K$5,NFI,5,0),1,0)*Table_NFI[[#This Row],[Mosquito net]],Table_NFI[Mosquito net])</f>
        <v>0</v>
      </c>
      <c r="AC441" s="294">
        <f>IF(NFI_Expiration=1,IF($A441&lt;VLOOKUP(L$5,NFI,5,0),1,0)*Table_NFI[[#This Row],[Tarpaulin]],Table_NFI[[#This Row],[Tarpaulin]])</f>
        <v>0</v>
      </c>
      <c r="AD441" s="294">
        <f>IF(NFI_Expiration=1,IF($A441&lt;VLOOKUP(M$5,NFI,5,0),1,0)*Table_NFI[[#This Row],[Blanket]],Table_NFI[[#This Row],[Blanket]])</f>
        <v>0</v>
      </c>
      <c r="AE441" s="294">
        <f>IF(NFI_Expiration=1,IF($A441&lt;VLOOKUP(N$5,NFI,5,0),1,0)*Table_NFI[[#This Row],[Kitchen Set]],Table_NFI[Kitchen Set])</f>
        <v>0</v>
      </c>
      <c r="AF441" s="294">
        <f>IF(NFI_Expiration=1,IF($A441&lt;VLOOKUP(O$5,NFI,5,0),1,0)*Table_NFI[[#This Row],[Clothes Kit]],Table_NFI[Clothes Kit])</f>
        <v>0</v>
      </c>
      <c r="AG441" s="294">
        <f>IF(NFI_Expiration=1,IF($A441&lt;VLOOKUP(P$5,NFI,5,0),1,0)*Table_NFI[[#This Row],[Plastic Bucket]],Table_NFI[Plastic Bucket])</f>
        <v>0</v>
      </c>
      <c r="AH441" s="294">
        <f>IF(NFI_Expiration=1,IF($A441&lt;VLOOKUP(Q$5,NFI,5,0),1,0)*Table_NFI[[#This Row],[Plastic Mat]],Table_NFI[Plastic Mat])*IF(Table_NFI[[#This Row],[Distribution Date]]&gt;"2014-04-01",1,2.5)</f>
        <v>0</v>
      </c>
      <c r="AI441" s="294">
        <f>IF(NFI_Expiration=1,IF($A441&lt;VLOOKUP(R$5,NFI,5,0),1,0)*Table_NFI[[#This Row],[Winter Clothes Adult]],Table_NFI[Winter Clothes Adult])</f>
        <v>0</v>
      </c>
      <c r="AJ441" s="294">
        <f>IF(NFI_Expiration=1,IF($A441&lt;VLOOKUP(S$5,NFI,5,0),1,0)*Table_NFI[[#This Row],[Winter Clothes Children]],Table_NFI[Winter Clothes Children])</f>
        <v>0</v>
      </c>
      <c r="AK441" s="294">
        <f>IF(NFI_Expiration=1,IF($A441&lt;VLOOKUP(T$5,NFI,5,0),1,0)*Table_NFI[[#This Row],[Winter Items Other]],Table_NFI[Winter Items Other])</f>
        <v>0</v>
      </c>
      <c r="AL441" s="294">
        <f>IF(NFI_Expiration=1,IF($A441&lt;VLOOKUP(M$5,NFI,5,0),1,0)*Table_NFI[[#This Row],[Winter Blanket]],Table_NFI[[#This Row],[Winter Blanket]])</f>
        <v>0</v>
      </c>
      <c r="AM441" s="294">
        <f>IF(Table_NFI[[#This Row],[Winter Clothes Adult]]+Table_NFI[[#This Row],[Winter Clothes Children]]+Table_NFI[[#This Row],[Winter Items Other]]+Table_NFI[[#This Row],[Winter Blanket]]&gt;0,1,0)</f>
        <v>1</v>
      </c>
      <c r="AN441" s="331">
        <f>IF(NFI_Expiration=1,IF($A441&lt;VLOOKUP(V$5,NFI,5,0),1,0)*Table_NFI[[#This Row],[Jerry Can]],Table_NFI[Jerry Can])</f>
        <v>0</v>
      </c>
      <c r="AO441" s="331">
        <f>IF(NFI_Expiration=1,IF($A441&lt;VLOOKUP(V$5,NFI,5,0),1,0)*Table_NFI[[#This Row],[Shelter Tool kit]],Table_NFI[Shelter Tool kit])</f>
        <v>0</v>
      </c>
      <c r="AP441" s="331">
        <f>IF(NFI_Expiration=1,IF($A441&lt;VLOOKUP(V$5,NFI,5,0),1,0)*Table_NFI[[#This Row],[Tent]],Table_NFI[Tent])</f>
        <v>0</v>
      </c>
      <c r="AQ441" s="467" t="str">
        <f>IFERROR(VLOOKUP(Table_NFI[[#This Row],[Camp Name]],CL,2,0),"")</f>
        <v>MMR001CMP210</v>
      </c>
      <c r="AR441" s="835">
        <f ca="1">IF(Table_NFI[[#This Row],[Pcode]]="","",IF(OFFSET(CampList[Opening Date],MATCH(Table_NFI[[#This Row],[Pcode]],CampList[CP_Pcode],0)-1,0,1,1)&gt;=NFI_Monitor_Date,1,0))</f>
        <v>0</v>
      </c>
      <c r="AS441" s="467" t="str">
        <f>IFERROR(VLOOKUP(Table_NFI[[#This Row],[Camp Name]],CL,3,0),"")</f>
        <v>Open</v>
      </c>
      <c r="AT441" s="294" t="str">
        <f ca="1">IF(Table_NFI[[#This Row],[Pcode]]="","",OFFSET(CampList[Priority],MATCH(Table_NFI[[#This Row],[Pcode]],CampList[CP_Pcode],0)-1,0,1,1))</f>
        <v>P1</v>
      </c>
      <c r="AU441" s="293">
        <f>IFERROR(Table_NFI[[#This Row],[Kitchen Set]]/VLOOKUP(Table_NFI[[#This Row],[Camp Name]],CL,4,0),"")</f>
        <v>0</v>
      </c>
      <c r="AV441" s="461"/>
      <c r="AW441" s="463"/>
    </row>
    <row r="442" spans="1:49" s="464" customFormat="1" ht="14.45" customHeight="1" x14ac:dyDescent="0.25">
      <c r="A442" s="297">
        <f t="shared" si="6"/>
        <v>34.799999999999997</v>
      </c>
      <c r="B442" s="460">
        <v>41692</v>
      </c>
      <c r="C442" s="461" t="s">
        <v>1104</v>
      </c>
      <c r="D442" s="461" t="s">
        <v>900</v>
      </c>
      <c r="E442" s="461" t="s">
        <v>380</v>
      </c>
      <c r="F442" s="461" t="s">
        <v>27</v>
      </c>
      <c r="G442" s="461" t="s">
        <v>1019</v>
      </c>
      <c r="H442" s="291"/>
      <c r="I442" s="291"/>
      <c r="J442" s="291"/>
      <c r="K442" s="291"/>
      <c r="L442" s="292"/>
      <c r="M442" s="292"/>
      <c r="N442" s="292"/>
      <c r="O442" s="292"/>
      <c r="P442" s="294"/>
      <c r="Q442" s="294"/>
      <c r="R442" s="294"/>
      <c r="S442" s="294"/>
      <c r="T442" s="294"/>
      <c r="U442" s="294">
        <v>58</v>
      </c>
      <c r="V442" s="431"/>
      <c r="W442" s="294"/>
      <c r="X442" s="294"/>
      <c r="Y442" s="294">
        <f>IF(NFI_Expiration=1,IF($A442&lt;VLOOKUP(H$5,NFI,5,0),1,0)*Table_NFI[[#This Row],[Hygiene Kit]],Table_NFI[Hygiene Kit])</f>
        <v>0</v>
      </c>
      <c r="Z442" s="294">
        <f>IF(NFI_Expiration=1,IF($A442&lt;VLOOKUP(I$5,NFI,5,0),1,0)*Table_NFI[[#This Row],[NFI Core Kit]],Table_NFI[NFI Core Kit])</f>
        <v>0</v>
      </c>
      <c r="AA442" s="294">
        <f>IF(NFI_Expiration=1,IF($A442&lt;VLOOKUP(J$5,NFI,5,0),1,0)*Table_NFI[[#This Row],[Sanitary Kit]],Table_NFI[Sanitary Kit])</f>
        <v>0</v>
      </c>
      <c r="AB442" s="294">
        <f>IF(NFI_Expiration=1,IF($A442&lt;VLOOKUP(K$5,NFI,5,0),1,0)*Table_NFI[[#This Row],[Mosquito net]],Table_NFI[Mosquito net])</f>
        <v>0</v>
      </c>
      <c r="AC442" s="294">
        <f>IF(NFI_Expiration=1,IF($A442&lt;VLOOKUP(L$5,NFI,5,0),1,0)*Table_NFI[[#This Row],[Tarpaulin]],Table_NFI[[#This Row],[Tarpaulin]])</f>
        <v>0</v>
      </c>
      <c r="AD442" s="294">
        <f>IF(NFI_Expiration=1,IF($A442&lt;VLOOKUP(M$5,NFI,5,0),1,0)*Table_NFI[[#This Row],[Blanket]],Table_NFI[[#This Row],[Blanket]])</f>
        <v>0</v>
      </c>
      <c r="AE442" s="294">
        <f>IF(NFI_Expiration=1,IF($A442&lt;VLOOKUP(N$5,NFI,5,0),1,0)*Table_NFI[[#This Row],[Kitchen Set]],Table_NFI[Kitchen Set])</f>
        <v>0</v>
      </c>
      <c r="AF442" s="294">
        <f>IF(NFI_Expiration=1,IF($A442&lt;VLOOKUP(O$5,NFI,5,0),1,0)*Table_NFI[[#This Row],[Clothes Kit]],Table_NFI[Clothes Kit])</f>
        <v>0</v>
      </c>
      <c r="AG442" s="294">
        <f>IF(NFI_Expiration=1,IF($A442&lt;VLOOKUP(P$5,NFI,5,0),1,0)*Table_NFI[[#This Row],[Plastic Bucket]],Table_NFI[Plastic Bucket])</f>
        <v>0</v>
      </c>
      <c r="AH442" s="294">
        <f>IF(NFI_Expiration=1,IF($A442&lt;VLOOKUP(Q$5,NFI,5,0),1,0)*Table_NFI[[#This Row],[Plastic Mat]],Table_NFI[Plastic Mat])*IF(Table_NFI[[#This Row],[Distribution Date]]&gt;"2014-04-01",1,2.5)</f>
        <v>0</v>
      </c>
      <c r="AI442" s="294">
        <f>IF(NFI_Expiration=1,IF($A442&lt;VLOOKUP(R$5,NFI,5,0),1,0)*Table_NFI[[#This Row],[Winter Clothes Adult]],Table_NFI[Winter Clothes Adult])</f>
        <v>0</v>
      </c>
      <c r="AJ442" s="294">
        <f>IF(NFI_Expiration=1,IF($A442&lt;VLOOKUP(S$5,NFI,5,0),1,0)*Table_NFI[[#This Row],[Winter Clothes Children]],Table_NFI[Winter Clothes Children])</f>
        <v>0</v>
      </c>
      <c r="AK442" s="294">
        <f>IF(NFI_Expiration=1,IF($A442&lt;VLOOKUP(T$5,NFI,5,0),1,0)*Table_NFI[[#This Row],[Winter Items Other]],Table_NFI[Winter Items Other])</f>
        <v>0</v>
      </c>
      <c r="AL442" s="294">
        <f>IF(NFI_Expiration=1,IF($A442&lt;VLOOKUP(M$5,NFI,5,0),1,0)*Table_NFI[[#This Row],[Winter Blanket]],Table_NFI[[#This Row],[Winter Blanket]])</f>
        <v>0</v>
      </c>
      <c r="AM442" s="294">
        <f>IF(Table_NFI[[#This Row],[Winter Clothes Adult]]+Table_NFI[[#This Row],[Winter Clothes Children]]+Table_NFI[[#This Row],[Winter Items Other]]+Table_NFI[[#This Row],[Winter Blanket]]&gt;0,1,0)</f>
        <v>1</v>
      </c>
      <c r="AN442" s="331">
        <f>IF(NFI_Expiration=1,IF($A442&lt;VLOOKUP(V$5,NFI,5,0),1,0)*Table_NFI[[#This Row],[Jerry Can]],Table_NFI[Jerry Can])</f>
        <v>0</v>
      </c>
      <c r="AO442" s="331">
        <f>IF(NFI_Expiration=1,IF($A442&lt;VLOOKUP(V$5,NFI,5,0),1,0)*Table_NFI[[#This Row],[Shelter Tool kit]],Table_NFI[Shelter Tool kit])</f>
        <v>0</v>
      </c>
      <c r="AP442" s="331">
        <f>IF(NFI_Expiration=1,IF($A442&lt;VLOOKUP(V$5,NFI,5,0),1,0)*Table_NFI[[#This Row],[Tent]],Table_NFI[Tent])</f>
        <v>0</v>
      </c>
      <c r="AQ442" s="467" t="str">
        <f>IFERROR(VLOOKUP(Table_NFI[[#This Row],[Camp Name]],CL,2,0),"")</f>
        <v>MMR001CMP225</v>
      </c>
      <c r="AR442" s="835">
        <f ca="1">IF(Table_NFI[[#This Row],[Pcode]]="","",IF(OFFSET(CampList[Opening Date],MATCH(Table_NFI[[#This Row],[Pcode]],CampList[CP_Pcode],0)-1,0,1,1)&gt;=NFI_Monitor_Date,1,0))</f>
        <v>0</v>
      </c>
      <c r="AS442" s="467" t="str">
        <f>IFERROR(VLOOKUP(Table_NFI[[#This Row],[Camp Name]],CL,3,0),"")</f>
        <v>Open</v>
      </c>
      <c r="AT442" s="294" t="str">
        <f ca="1">IF(Table_NFI[[#This Row],[Pcode]]="","",OFFSET(CampList[Priority],MATCH(Table_NFI[[#This Row],[Pcode]],CampList[CP_Pcode],0)-1,0,1,1))</f>
        <v>P1</v>
      </c>
      <c r="AU442" s="293">
        <f>IFERROR(Table_NFI[[#This Row],[Kitchen Set]]/VLOOKUP(Table_NFI[[#This Row],[Camp Name]],CL,4,0),"")</f>
        <v>0</v>
      </c>
      <c r="AV442" s="461"/>
      <c r="AW442" s="463"/>
    </row>
    <row r="443" spans="1:49" s="464" customFormat="1" ht="14.45" customHeight="1" x14ac:dyDescent="0.25">
      <c r="A443" s="297">
        <f t="shared" si="6"/>
        <v>34.799999999999997</v>
      </c>
      <c r="B443" s="460">
        <v>41692</v>
      </c>
      <c r="C443" s="461" t="s">
        <v>1104</v>
      </c>
      <c r="D443" s="461" t="s">
        <v>900</v>
      </c>
      <c r="E443" s="461" t="s">
        <v>380</v>
      </c>
      <c r="F443" s="461" t="s">
        <v>808</v>
      </c>
      <c r="G443" s="461" t="s">
        <v>808</v>
      </c>
      <c r="H443" s="291"/>
      <c r="I443" s="291"/>
      <c r="J443" s="291"/>
      <c r="K443" s="291"/>
      <c r="L443" s="292"/>
      <c r="M443" s="292"/>
      <c r="N443" s="292"/>
      <c r="O443" s="292"/>
      <c r="P443" s="294"/>
      <c r="Q443" s="294"/>
      <c r="R443" s="294"/>
      <c r="S443" s="294"/>
      <c r="T443" s="294"/>
      <c r="U443" s="294">
        <v>16</v>
      </c>
      <c r="V443" s="431"/>
      <c r="W443" s="294"/>
      <c r="X443" s="294"/>
      <c r="Y443" s="294">
        <f>IF(NFI_Expiration=1,IF($A443&lt;VLOOKUP(H$5,NFI,5,0),1,0)*Table_NFI[[#This Row],[Hygiene Kit]],Table_NFI[Hygiene Kit])</f>
        <v>0</v>
      </c>
      <c r="Z443" s="294">
        <f>IF(NFI_Expiration=1,IF($A443&lt;VLOOKUP(I$5,NFI,5,0),1,0)*Table_NFI[[#This Row],[NFI Core Kit]],Table_NFI[NFI Core Kit])</f>
        <v>0</v>
      </c>
      <c r="AA443" s="294">
        <f>IF(NFI_Expiration=1,IF($A443&lt;VLOOKUP(J$5,NFI,5,0),1,0)*Table_NFI[[#This Row],[Sanitary Kit]],Table_NFI[Sanitary Kit])</f>
        <v>0</v>
      </c>
      <c r="AB443" s="294">
        <f>IF(NFI_Expiration=1,IF($A443&lt;VLOOKUP(K$5,NFI,5,0),1,0)*Table_NFI[[#This Row],[Mosquito net]],Table_NFI[Mosquito net])</f>
        <v>0</v>
      </c>
      <c r="AC443" s="294">
        <f>IF(NFI_Expiration=1,IF($A443&lt;VLOOKUP(L$5,NFI,5,0),1,0)*Table_NFI[[#This Row],[Tarpaulin]],Table_NFI[[#This Row],[Tarpaulin]])</f>
        <v>0</v>
      </c>
      <c r="AD443" s="294">
        <f>IF(NFI_Expiration=1,IF($A443&lt;VLOOKUP(M$5,NFI,5,0),1,0)*Table_NFI[[#This Row],[Blanket]],Table_NFI[[#This Row],[Blanket]])</f>
        <v>0</v>
      </c>
      <c r="AE443" s="294">
        <f>IF(NFI_Expiration=1,IF($A443&lt;VLOOKUP(N$5,NFI,5,0),1,0)*Table_NFI[[#This Row],[Kitchen Set]],Table_NFI[Kitchen Set])</f>
        <v>0</v>
      </c>
      <c r="AF443" s="294">
        <f>IF(NFI_Expiration=1,IF($A443&lt;VLOOKUP(O$5,NFI,5,0),1,0)*Table_NFI[[#This Row],[Clothes Kit]],Table_NFI[Clothes Kit])</f>
        <v>0</v>
      </c>
      <c r="AG443" s="294">
        <f>IF(NFI_Expiration=1,IF($A443&lt;VLOOKUP(P$5,NFI,5,0),1,0)*Table_NFI[[#This Row],[Plastic Bucket]],Table_NFI[Plastic Bucket])</f>
        <v>0</v>
      </c>
      <c r="AH443" s="294">
        <f>IF(NFI_Expiration=1,IF($A443&lt;VLOOKUP(Q$5,NFI,5,0),1,0)*Table_NFI[[#This Row],[Plastic Mat]],Table_NFI[Plastic Mat])*IF(Table_NFI[[#This Row],[Distribution Date]]&gt;"2014-04-01",1,2.5)</f>
        <v>0</v>
      </c>
      <c r="AI443" s="294">
        <f>IF(NFI_Expiration=1,IF($A443&lt;VLOOKUP(R$5,NFI,5,0),1,0)*Table_NFI[[#This Row],[Winter Clothes Adult]],Table_NFI[Winter Clothes Adult])</f>
        <v>0</v>
      </c>
      <c r="AJ443" s="294">
        <f>IF(NFI_Expiration=1,IF($A443&lt;VLOOKUP(S$5,NFI,5,0),1,0)*Table_NFI[[#This Row],[Winter Clothes Children]],Table_NFI[Winter Clothes Children])</f>
        <v>0</v>
      </c>
      <c r="AK443" s="294">
        <f>IF(NFI_Expiration=1,IF($A443&lt;VLOOKUP(T$5,NFI,5,0),1,0)*Table_NFI[[#This Row],[Winter Items Other]],Table_NFI[Winter Items Other])</f>
        <v>0</v>
      </c>
      <c r="AL443" s="294">
        <f>IF(NFI_Expiration=1,IF($A443&lt;VLOOKUP(M$5,NFI,5,0),1,0)*Table_NFI[[#This Row],[Winter Blanket]],Table_NFI[[#This Row],[Winter Blanket]])</f>
        <v>0</v>
      </c>
      <c r="AM443" s="294">
        <f>IF(Table_NFI[[#This Row],[Winter Clothes Adult]]+Table_NFI[[#This Row],[Winter Clothes Children]]+Table_NFI[[#This Row],[Winter Items Other]]+Table_NFI[[#This Row],[Winter Blanket]]&gt;0,1,0)</f>
        <v>1</v>
      </c>
      <c r="AN443" s="331">
        <f>IF(NFI_Expiration=1,IF($A443&lt;VLOOKUP(V$5,NFI,5,0),1,0)*Table_NFI[[#This Row],[Jerry Can]],Table_NFI[Jerry Can])</f>
        <v>0</v>
      </c>
      <c r="AO443" s="331">
        <f>IF(NFI_Expiration=1,IF($A443&lt;VLOOKUP(V$5,NFI,5,0),1,0)*Table_NFI[[#This Row],[Shelter Tool kit]],Table_NFI[Shelter Tool kit])</f>
        <v>0</v>
      </c>
      <c r="AP443" s="331">
        <f>IF(NFI_Expiration=1,IF($A443&lt;VLOOKUP(V$5,NFI,5,0),1,0)*Table_NFI[[#This Row],[Tent]],Table_NFI[Tent])</f>
        <v>0</v>
      </c>
      <c r="AQ443" s="467" t="str">
        <f>IFERROR(VLOOKUP(Table_NFI[[#This Row],[Camp Name]],CL,2,0),"")</f>
        <v>MMR001CMP206</v>
      </c>
      <c r="AR443" s="835">
        <f ca="1">IF(Table_NFI[[#This Row],[Pcode]]="","",IF(OFFSET(CampList[Opening Date],MATCH(Table_NFI[[#This Row],[Pcode]],CampList[CP_Pcode],0)-1,0,1,1)&gt;=NFI_Monitor_Date,1,0))</f>
        <v>0</v>
      </c>
      <c r="AS443" s="467" t="str">
        <f>IFERROR(VLOOKUP(Table_NFI[[#This Row],[Camp Name]],CL,3,0),"")</f>
        <v>Open</v>
      </c>
      <c r="AT443" s="294" t="str">
        <f ca="1">IF(Table_NFI[[#This Row],[Pcode]]="","",OFFSET(CampList[Priority],MATCH(Table_NFI[[#This Row],[Pcode]],CampList[CP_Pcode],0)-1,0,1,1))</f>
        <v>P4</v>
      </c>
      <c r="AU443" s="293" t="str">
        <f>IFERROR(Table_NFI[[#This Row],[Kitchen Set]]/VLOOKUP(Table_NFI[[#This Row],[Camp Name]],CL,4,0),"")</f>
        <v/>
      </c>
      <c r="AV443" s="461"/>
      <c r="AW443" s="463"/>
    </row>
    <row r="444" spans="1:49" s="464" customFormat="1" ht="14.45" customHeight="1" x14ac:dyDescent="0.25">
      <c r="A444" s="297">
        <f t="shared" si="6"/>
        <v>35.6</v>
      </c>
      <c r="B444" s="460">
        <v>41668</v>
      </c>
      <c r="C444" s="461" t="s">
        <v>452</v>
      </c>
      <c r="D444" s="462" t="s">
        <v>452</v>
      </c>
      <c r="E444" s="461" t="s">
        <v>380</v>
      </c>
      <c r="F444" s="290" t="s">
        <v>151</v>
      </c>
      <c r="G444" s="290" t="s">
        <v>885</v>
      </c>
      <c r="H444" s="291"/>
      <c r="I444" s="291"/>
      <c r="J444" s="291"/>
      <c r="K444" s="291">
        <v>100</v>
      </c>
      <c r="L444" s="292">
        <v>58</v>
      </c>
      <c r="M444" s="292">
        <v>100</v>
      </c>
      <c r="N444" s="292">
        <v>58</v>
      </c>
      <c r="O444" s="292"/>
      <c r="P444" s="294">
        <v>58</v>
      </c>
      <c r="Q444" s="294">
        <v>290</v>
      </c>
      <c r="R444" s="294"/>
      <c r="S444" s="294"/>
      <c r="T444" s="294"/>
      <c r="U444" s="294"/>
      <c r="V444" s="431"/>
      <c r="W444" s="294"/>
      <c r="X444" s="294"/>
      <c r="Y444" s="294">
        <f>IF(NFI_Expiration=1,IF($A444&lt;VLOOKUP(H$5,NFI,5,0),1,0)*Table_NFI[[#This Row],[Hygiene Kit]],Table_NFI[Hygiene Kit])</f>
        <v>0</v>
      </c>
      <c r="Z444" s="294">
        <f>IF(NFI_Expiration=1,IF($A444&lt;VLOOKUP(I$5,NFI,5,0),1,0)*Table_NFI[[#This Row],[NFI Core Kit]],Table_NFI[NFI Core Kit])</f>
        <v>0</v>
      </c>
      <c r="AA444" s="294">
        <f>IF(NFI_Expiration=1,IF($A444&lt;VLOOKUP(J$5,NFI,5,0),1,0)*Table_NFI[[#This Row],[Sanitary Kit]],Table_NFI[Sanitary Kit])</f>
        <v>0</v>
      </c>
      <c r="AB444" s="294">
        <f>IF(NFI_Expiration=1,IF($A444&lt;VLOOKUP(K$5,NFI,5,0),1,0)*Table_NFI[[#This Row],[Mosquito net]],Table_NFI[Mosquito net])</f>
        <v>0</v>
      </c>
      <c r="AC444" s="294">
        <f>IF(NFI_Expiration=1,IF($A444&lt;VLOOKUP(L$5,NFI,5,0),1,0)*Table_NFI[[#This Row],[Tarpaulin]],Table_NFI[[#This Row],[Tarpaulin]])</f>
        <v>0</v>
      </c>
      <c r="AD444" s="294">
        <f>IF(NFI_Expiration=1,IF($A444&lt;VLOOKUP(M$5,NFI,5,0),1,0)*Table_NFI[[#This Row],[Blanket]],Table_NFI[[#This Row],[Blanket]])</f>
        <v>0</v>
      </c>
      <c r="AE444" s="294">
        <f>IF(NFI_Expiration=1,IF($A444&lt;VLOOKUP(N$5,NFI,5,0),1,0)*Table_NFI[[#This Row],[Kitchen Set]],Table_NFI[Kitchen Set])</f>
        <v>0</v>
      </c>
      <c r="AF444" s="294">
        <f>IF(NFI_Expiration=1,IF($A444&lt;VLOOKUP(O$5,NFI,5,0),1,0)*Table_NFI[[#This Row],[Clothes Kit]],Table_NFI[Clothes Kit])</f>
        <v>0</v>
      </c>
      <c r="AG444" s="294">
        <f>IF(NFI_Expiration=1,IF($A444&lt;VLOOKUP(P$5,NFI,5,0),1,0)*Table_NFI[[#This Row],[Plastic Bucket]],Table_NFI[Plastic Bucket])</f>
        <v>0</v>
      </c>
      <c r="AH444" s="294">
        <f>IF(NFI_Expiration=1,IF($A444&lt;VLOOKUP(Q$5,NFI,5,0),1,0)*Table_NFI[[#This Row],[Plastic Mat]],Table_NFI[Plastic Mat])*IF(Table_NFI[[#This Row],[Distribution Date]]&gt;"2014-04-01",1,2.5)</f>
        <v>0</v>
      </c>
      <c r="AI444" s="294">
        <f>IF(NFI_Expiration=1,IF($A444&lt;VLOOKUP(R$5,NFI,5,0),1,0)*Table_NFI[[#This Row],[Winter Clothes Adult]],Table_NFI[Winter Clothes Adult])</f>
        <v>0</v>
      </c>
      <c r="AJ444" s="294">
        <f>IF(NFI_Expiration=1,IF($A444&lt;VLOOKUP(S$5,NFI,5,0),1,0)*Table_NFI[[#This Row],[Winter Clothes Children]],Table_NFI[Winter Clothes Children])</f>
        <v>0</v>
      </c>
      <c r="AK444" s="294">
        <f>IF(NFI_Expiration=1,IF($A444&lt;VLOOKUP(T$5,NFI,5,0),1,0)*Table_NFI[[#This Row],[Winter Items Other]],Table_NFI[Winter Items Other])</f>
        <v>0</v>
      </c>
      <c r="AL444" s="294">
        <f>IF(NFI_Expiration=1,IF($A444&lt;VLOOKUP(M$5,NFI,5,0),1,0)*Table_NFI[[#This Row],[Winter Blanket]],Table_NFI[[#This Row],[Winter Blanket]])</f>
        <v>0</v>
      </c>
      <c r="AM444" s="294">
        <f>IF(Table_NFI[[#This Row],[Winter Clothes Adult]]+Table_NFI[[#This Row],[Winter Clothes Children]]+Table_NFI[[#This Row],[Winter Items Other]]+Table_NFI[[#This Row],[Winter Blanket]]&gt;0,1,0)</f>
        <v>0</v>
      </c>
      <c r="AN444" s="331">
        <f>IF(NFI_Expiration=1,IF($A444&lt;VLOOKUP(V$5,NFI,5,0),1,0)*Table_NFI[[#This Row],[Jerry Can]],Table_NFI[Jerry Can])</f>
        <v>0</v>
      </c>
      <c r="AO444" s="331">
        <f>IF(NFI_Expiration=1,IF($A444&lt;VLOOKUP(V$5,NFI,5,0),1,0)*Table_NFI[[#This Row],[Shelter Tool kit]],Table_NFI[Shelter Tool kit])</f>
        <v>0</v>
      </c>
      <c r="AP444" s="331">
        <f>IF(NFI_Expiration=1,IF($A444&lt;VLOOKUP(V$5,NFI,5,0),1,0)*Table_NFI[[#This Row],[Tent]],Table_NFI[Tent])</f>
        <v>0</v>
      </c>
      <c r="AQ444" s="467" t="str">
        <f>IFERROR(VLOOKUP(Table_NFI[[#This Row],[Camp Name]],CL,2,0),"")</f>
        <v>MMR001CMP218</v>
      </c>
      <c r="AR444" s="835">
        <f ca="1">IF(Table_NFI[[#This Row],[Pcode]]="","",IF(OFFSET(CampList[Opening Date],MATCH(Table_NFI[[#This Row],[Pcode]],CampList[CP_Pcode],0)-1,0,1,1)&gt;=NFI_Monitor_Date,1,0))</f>
        <v>0</v>
      </c>
      <c r="AS444" s="467" t="str">
        <f>IFERROR(VLOOKUP(Table_NFI[[#This Row],[Camp Name]],CL,3,0),"")</f>
        <v>Open</v>
      </c>
      <c r="AT444" s="294" t="str">
        <f ca="1">IF(Table_NFI[[#This Row],[Pcode]]="","",OFFSET(CampList[Priority],MATCH(Table_NFI[[#This Row],[Pcode]],CampList[CP_Pcode],0)-1,0,1,1))</f>
        <v>P4</v>
      </c>
      <c r="AU444" s="293">
        <f>IFERROR(Table_NFI[[#This Row],[Kitchen Set]]/VLOOKUP(Table_NFI[[#This Row],[Camp Name]],CL,4,0),"")</f>
        <v>1.3959757389043997E-3</v>
      </c>
      <c r="AV444" s="461" t="s">
        <v>1092</v>
      </c>
      <c r="AW444" s="463"/>
    </row>
    <row r="445" spans="1:49" s="464" customFormat="1" ht="14.45" customHeight="1" x14ac:dyDescent="0.25">
      <c r="A445" s="297">
        <f t="shared" si="6"/>
        <v>35.633333333333333</v>
      </c>
      <c r="B445" s="460">
        <v>41667</v>
      </c>
      <c r="C445" s="461" t="s">
        <v>452</v>
      </c>
      <c r="D445" s="465"/>
      <c r="E445" s="461" t="s">
        <v>380</v>
      </c>
      <c r="F445" s="461" t="s">
        <v>151</v>
      </c>
      <c r="G445" s="461" t="s">
        <v>942</v>
      </c>
      <c r="H445" s="292"/>
      <c r="I445" s="292"/>
      <c r="J445" s="292"/>
      <c r="K445" s="292">
        <v>18</v>
      </c>
      <c r="L445" s="292">
        <v>10</v>
      </c>
      <c r="M445" s="292">
        <v>18</v>
      </c>
      <c r="N445" s="292">
        <v>40</v>
      </c>
      <c r="O445" s="292"/>
      <c r="P445" s="294">
        <v>10</v>
      </c>
      <c r="Q445" s="294">
        <v>50</v>
      </c>
      <c r="R445" s="294"/>
      <c r="S445" s="294"/>
      <c r="T445" s="294"/>
      <c r="U445" s="294"/>
      <c r="V445" s="431"/>
      <c r="W445" s="294"/>
      <c r="X445" s="294"/>
      <c r="Y445" s="294">
        <f>IF(NFI_Expiration=1,IF($A445&lt;VLOOKUP(H$5,NFI,5,0),1,0)*Table_NFI[[#This Row],[Hygiene Kit]],Table_NFI[Hygiene Kit])</f>
        <v>0</v>
      </c>
      <c r="Z445" s="294">
        <f>IF(NFI_Expiration=1,IF($A445&lt;VLOOKUP(I$5,NFI,5,0),1,0)*Table_NFI[[#This Row],[NFI Core Kit]],Table_NFI[NFI Core Kit])</f>
        <v>0</v>
      </c>
      <c r="AA445" s="294">
        <f>IF(NFI_Expiration=1,IF($A445&lt;VLOOKUP(J$5,NFI,5,0),1,0)*Table_NFI[[#This Row],[Sanitary Kit]],Table_NFI[Sanitary Kit])</f>
        <v>0</v>
      </c>
      <c r="AB445" s="294">
        <f>IF(NFI_Expiration=1,IF($A445&lt;VLOOKUP(K$5,NFI,5,0),1,0)*Table_NFI[[#This Row],[Mosquito net]],Table_NFI[Mosquito net])</f>
        <v>0</v>
      </c>
      <c r="AC445" s="294">
        <f>IF(NFI_Expiration=1,IF($A445&lt;VLOOKUP(L$5,NFI,5,0),1,0)*Table_NFI[[#This Row],[Tarpaulin]],Table_NFI[[#This Row],[Tarpaulin]])</f>
        <v>0</v>
      </c>
      <c r="AD445" s="294">
        <f>IF(NFI_Expiration=1,IF($A445&lt;VLOOKUP(M$5,NFI,5,0),1,0)*Table_NFI[[#This Row],[Blanket]],Table_NFI[[#This Row],[Blanket]])</f>
        <v>0</v>
      </c>
      <c r="AE445" s="294">
        <f>IF(NFI_Expiration=1,IF($A445&lt;VLOOKUP(N$5,NFI,5,0),1,0)*Table_NFI[[#This Row],[Kitchen Set]],Table_NFI[Kitchen Set])</f>
        <v>0</v>
      </c>
      <c r="AF445" s="294">
        <f>IF(NFI_Expiration=1,IF($A445&lt;VLOOKUP(O$5,NFI,5,0),1,0)*Table_NFI[[#This Row],[Clothes Kit]],Table_NFI[Clothes Kit])</f>
        <v>0</v>
      </c>
      <c r="AG445" s="294">
        <f>IF(NFI_Expiration=1,IF($A445&lt;VLOOKUP(P$5,NFI,5,0),1,0)*Table_NFI[[#This Row],[Plastic Bucket]],Table_NFI[Plastic Bucket])</f>
        <v>0</v>
      </c>
      <c r="AH445" s="294">
        <f>IF(NFI_Expiration=1,IF($A445&lt;VLOOKUP(Q$5,NFI,5,0),1,0)*Table_NFI[[#This Row],[Plastic Mat]],Table_NFI[Plastic Mat])*IF(Table_NFI[[#This Row],[Distribution Date]]&gt;"2014-04-01",1,2.5)</f>
        <v>0</v>
      </c>
      <c r="AI445" s="294">
        <f>IF(NFI_Expiration=1,IF($A445&lt;VLOOKUP(R$5,NFI,5,0),1,0)*Table_NFI[[#This Row],[Winter Clothes Adult]],Table_NFI[Winter Clothes Adult])</f>
        <v>0</v>
      </c>
      <c r="AJ445" s="294">
        <f>IF(NFI_Expiration=1,IF($A445&lt;VLOOKUP(S$5,NFI,5,0),1,0)*Table_NFI[[#This Row],[Winter Clothes Children]],Table_NFI[Winter Clothes Children])</f>
        <v>0</v>
      </c>
      <c r="AK445" s="294">
        <f>IF(NFI_Expiration=1,IF($A445&lt;VLOOKUP(T$5,NFI,5,0),1,0)*Table_NFI[[#This Row],[Winter Items Other]],Table_NFI[Winter Items Other])</f>
        <v>0</v>
      </c>
      <c r="AL445" s="294">
        <f>IF(NFI_Expiration=1,IF($A445&lt;VLOOKUP(M$5,NFI,5,0),1,0)*Table_NFI[[#This Row],[Winter Blanket]],Table_NFI[[#This Row],[Winter Blanket]])</f>
        <v>0</v>
      </c>
      <c r="AM445" s="294">
        <f>IF(Table_NFI[[#This Row],[Winter Clothes Adult]]+Table_NFI[[#This Row],[Winter Clothes Children]]+Table_NFI[[#This Row],[Winter Items Other]]+Table_NFI[[#This Row],[Winter Blanket]]&gt;0,1,0)</f>
        <v>0</v>
      </c>
      <c r="AN445" s="331">
        <f>IF(NFI_Expiration=1,IF($A445&lt;VLOOKUP(V$5,NFI,5,0),1,0)*Table_NFI[[#This Row],[Jerry Can]],Table_NFI[Jerry Can])</f>
        <v>0</v>
      </c>
      <c r="AO445" s="331">
        <f>IF(NFI_Expiration=1,IF($A445&lt;VLOOKUP(V$5,NFI,5,0),1,0)*Table_NFI[[#This Row],[Shelter Tool kit]],Table_NFI[Shelter Tool kit])</f>
        <v>0</v>
      </c>
      <c r="AP445" s="331">
        <f>IF(NFI_Expiration=1,IF($A445&lt;VLOOKUP(V$5,NFI,5,0),1,0)*Table_NFI[[#This Row],[Tent]],Table_NFI[Tent])</f>
        <v>0</v>
      </c>
      <c r="AQ445" s="467" t="str">
        <f>IFERROR(VLOOKUP(Table_NFI[[#This Row],[Camp Name]],CL,2,0),"")</f>
        <v>MMR001CMP223</v>
      </c>
      <c r="AR445" s="835">
        <f ca="1">IF(Table_NFI[[#This Row],[Pcode]]="","",IF(OFFSET(CampList[Opening Date],MATCH(Table_NFI[[#This Row],[Pcode]],CampList[CP_Pcode],0)-1,0,1,1)&gt;=NFI_Monitor_Date,1,0))</f>
        <v>0</v>
      </c>
      <c r="AS445" s="467" t="str">
        <f>IFERROR(VLOOKUP(Table_NFI[[#This Row],[Camp Name]],CL,3,0),"")</f>
        <v>Open</v>
      </c>
      <c r="AT445" s="294" t="str">
        <f ca="1">IF(Table_NFI[[#This Row],[Pcode]]="","",OFFSET(CampList[Priority],MATCH(Table_NFI[[#This Row],[Pcode]],CampList[CP_Pcode],0)-1,0,1,1))</f>
        <v>P4</v>
      </c>
      <c r="AU445" s="293">
        <f>IFERROR(Table_NFI[[#This Row],[Kitchen Set]]/VLOOKUP(Table_NFI[[#This Row],[Camp Name]],CL,4,0),"")</f>
        <v>9.6274188889958602E-4</v>
      </c>
      <c r="AV445" s="465"/>
      <c r="AW445" s="468"/>
    </row>
    <row r="446" spans="1:49" s="464" customFormat="1" ht="14.45" customHeight="1" x14ac:dyDescent="0.25">
      <c r="A446" s="297">
        <f t="shared" si="6"/>
        <v>35.666666666666664</v>
      </c>
      <c r="B446" s="460">
        <v>41666</v>
      </c>
      <c r="C446" s="461" t="s">
        <v>1036</v>
      </c>
      <c r="D446" s="461" t="s">
        <v>460</v>
      </c>
      <c r="E446" s="461" t="s">
        <v>380</v>
      </c>
      <c r="F446" s="461" t="s">
        <v>310</v>
      </c>
      <c r="G446" s="461" t="s">
        <v>336</v>
      </c>
      <c r="H446" s="291"/>
      <c r="I446" s="291"/>
      <c r="J446" s="291"/>
      <c r="K446" s="291"/>
      <c r="L446" s="292"/>
      <c r="M446" s="292">
        <v>181</v>
      </c>
      <c r="N446" s="292">
        <v>181</v>
      </c>
      <c r="O446" s="292">
        <v>181</v>
      </c>
      <c r="P446" s="294"/>
      <c r="Q446" s="294">
        <v>181</v>
      </c>
      <c r="R446" s="294"/>
      <c r="S446" s="294"/>
      <c r="T446" s="294"/>
      <c r="U446" s="294"/>
      <c r="V446" s="431"/>
      <c r="W446" s="294"/>
      <c r="X446" s="294"/>
      <c r="Y446" s="294">
        <f>IF(NFI_Expiration=1,IF($A446&lt;VLOOKUP(H$5,NFI,5,0),1,0)*Table_NFI[[#This Row],[Hygiene Kit]],Table_NFI[Hygiene Kit])</f>
        <v>0</v>
      </c>
      <c r="Z446" s="294">
        <f>IF(NFI_Expiration=1,IF($A446&lt;VLOOKUP(I$5,NFI,5,0),1,0)*Table_NFI[[#This Row],[NFI Core Kit]],Table_NFI[NFI Core Kit])</f>
        <v>0</v>
      </c>
      <c r="AA446" s="294">
        <f>IF(NFI_Expiration=1,IF($A446&lt;VLOOKUP(J$5,NFI,5,0),1,0)*Table_NFI[[#This Row],[Sanitary Kit]],Table_NFI[Sanitary Kit])</f>
        <v>0</v>
      </c>
      <c r="AB446" s="294">
        <f>IF(NFI_Expiration=1,IF($A446&lt;VLOOKUP(K$5,NFI,5,0),1,0)*Table_NFI[[#This Row],[Mosquito net]],Table_NFI[Mosquito net])</f>
        <v>0</v>
      </c>
      <c r="AC446" s="294">
        <f>IF(NFI_Expiration=1,IF($A446&lt;VLOOKUP(L$5,NFI,5,0),1,0)*Table_NFI[[#This Row],[Tarpaulin]],Table_NFI[[#This Row],[Tarpaulin]])</f>
        <v>0</v>
      </c>
      <c r="AD446" s="294">
        <f>IF(NFI_Expiration=1,IF($A446&lt;VLOOKUP(M$5,NFI,5,0),1,0)*Table_NFI[[#This Row],[Blanket]],Table_NFI[[#This Row],[Blanket]])</f>
        <v>0</v>
      </c>
      <c r="AE446" s="294">
        <f>IF(NFI_Expiration=1,IF($A446&lt;VLOOKUP(N$5,NFI,5,0),1,0)*Table_NFI[[#This Row],[Kitchen Set]],Table_NFI[Kitchen Set])</f>
        <v>0</v>
      </c>
      <c r="AF446" s="294">
        <f>IF(NFI_Expiration=1,IF($A446&lt;VLOOKUP(O$5,NFI,5,0),1,0)*Table_NFI[[#This Row],[Clothes Kit]],Table_NFI[Clothes Kit])</f>
        <v>0</v>
      </c>
      <c r="AG446" s="294">
        <f>IF(NFI_Expiration=1,IF($A446&lt;VLOOKUP(P$5,NFI,5,0),1,0)*Table_NFI[[#This Row],[Plastic Bucket]],Table_NFI[Plastic Bucket])</f>
        <v>0</v>
      </c>
      <c r="AH446" s="294">
        <f>IF(NFI_Expiration=1,IF($A446&lt;VLOOKUP(Q$5,NFI,5,0),1,0)*Table_NFI[[#This Row],[Plastic Mat]],Table_NFI[Plastic Mat])*IF(Table_NFI[[#This Row],[Distribution Date]]&gt;"2014-04-01",1,2.5)</f>
        <v>0</v>
      </c>
      <c r="AI446" s="294">
        <f>IF(NFI_Expiration=1,IF($A446&lt;VLOOKUP(R$5,NFI,5,0),1,0)*Table_NFI[[#This Row],[Winter Clothes Adult]],Table_NFI[Winter Clothes Adult])</f>
        <v>0</v>
      </c>
      <c r="AJ446" s="294">
        <f>IF(NFI_Expiration=1,IF($A446&lt;VLOOKUP(S$5,NFI,5,0),1,0)*Table_NFI[[#This Row],[Winter Clothes Children]],Table_NFI[Winter Clothes Children])</f>
        <v>0</v>
      </c>
      <c r="AK446" s="294">
        <f>IF(NFI_Expiration=1,IF($A446&lt;VLOOKUP(T$5,NFI,5,0),1,0)*Table_NFI[[#This Row],[Winter Items Other]],Table_NFI[Winter Items Other])</f>
        <v>0</v>
      </c>
      <c r="AL446" s="294">
        <f>IF(NFI_Expiration=1,IF($A446&lt;VLOOKUP(M$5,NFI,5,0),1,0)*Table_NFI[[#This Row],[Winter Blanket]],Table_NFI[[#This Row],[Winter Blanket]])</f>
        <v>0</v>
      </c>
      <c r="AM446" s="294">
        <f>IF(Table_NFI[[#This Row],[Winter Clothes Adult]]+Table_NFI[[#This Row],[Winter Clothes Children]]+Table_NFI[[#This Row],[Winter Items Other]]+Table_NFI[[#This Row],[Winter Blanket]]&gt;0,1,0)</f>
        <v>0</v>
      </c>
      <c r="AN446" s="331">
        <f>IF(NFI_Expiration=1,IF($A446&lt;VLOOKUP(V$5,NFI,5,0),1,0)*Table_NFI[[#This Row],[Jerry Can]],Table_NFI[Jerry Can])</f>
        <v>0</v>
      </c>
      <c r="AO446" s="331">
        <f>IF(NFI_Expiration=1,IF($A446&lt;VLOOKUP(V$5,NFI,5,0),1,0)*Table_NFI[[#This Row],[Shelter Tool kit]],Table_NFI[Shelter Tool kit])</f>
        <v>0</v>
      </c>
      <c r="AP446" s="331">
        <f>IF(NFI_Expiration=1,IF($A446&lt;VLOOKUP(V$5,NFI,5,0),1,0)*Table_NFI[[#This Row],[Tent]],Table_NFI[Tent])</f>
        <v>0</v>
      </c>
      <c r="AQ446" s="467" t="str">
        <f>IFERROR(VLOOKUP(Table_NFI[[#This Row],[Camp Name]],CL,2,0),"")</f>
        <v>MMR001CMP115</v>
      </c>
      <c r="AR446" s="835">
        <f ca="1">IF(Table_NFI[[#This Row],[Pcode]]="","",IF(OFFSET(CampList[Opening Date],MATCH(Table_NFI[[#This Row],[Pcode]],CampList[CP_Pcode],0)-1,0,1,1)&gt;=NFI_Monitor_Date,1,0))</f>
        <v>0</v>
      </c>
      <c r="AS446" s="467" t="str">
        <f>IFERROR(VLOOKUP(Table_NFI[[#This Row],[Camp Name]],CL,3,0),"")</f>
        <v>Open</v>
      </c>
      <c r="AT446" s="294" t="str">
        <f ca="1">IF(Table_NFI[[#This Row],[Pcode]]="","",OFFSET(CampList[Priority],MATCH(Table_NFI[[#This Row],[Pcode]],CampList[CP_Pcode],0)-1,0,1,1))</f>
        <v>P1</v>
      </c>
      <c r="AU446" s="293">
        <f>IFERROR(Table_NFI[[#This Row],[Kitchen Set]]/VLOOKUP(Table_NFI[[#This Row],[Camp Name]],CL,4,0),"")</f>
        <v>4.4278095797250358E-3</v>
      </c>
      <c r="AV446" s="461" t="s">
        <v>1092</v>
      </c>
      <c r="AW446" s="463"/>
    </row>
    <row r="447" spans="1:49" s="464" customFormat="1" ht="14.45" customHeight="1" x14ac:dyDescent="0.25">
      <c r="A447" s="297">
        <f t="shared" si="6"/>
        <v>35.666666666666664</v>
      </c>
      <c r="B447" s="460">
        <v>41666</v>
      </c>
      <c r="C447" s="461" t="s">
        <v>1036</v>
      </c>
      <c r="D447" s="461" t="s">
        <v>460</v>
      </c>
      <c r="E447" s="461" t="s">
        <v>380</v>
      </c>
      <c r="F447" s="461" t="s">
        <v>27</v>
      </c>
      <c r="G447" s="461" t="s">
        <v>364</v>
      </c>
      <c r="H447" s="291"/>
      <c r="I447" s="291"/>
      <c r="J447" s="291"/>
      <c r="K447" s="291"/>
      <c r="L447" s="292"/>
      <c r="M447" s="292">
        <v>155</v>
      </c>
      <c r="N447" s="292">
        <v>155</v>
      </c>
      <c r="O447" s="292">
        <v>155</v>
      </c>
      <c r="P447" s="294"/>
      <c r="Q447" s="294">
        <v>155</v>
      </c>
      <c r="R447" s="294"/>
      <c r="S447" s="294"/>
      <c r="T447" s="294"/>
      <c r="U447" s="294"/>
      <c r="V447" s="431"/>
      <c r="W447" s="294"/>
      <c r="X447" s="294"/>
      <c r="Y447" s="294">
        <f>IF(NFI_Expiration=1,IF($A447&lt;VLOOKUP(H$5,NFI,5,0),1,0)*Table_NFI[[#This Row],[Hygiene Kit]],Table_NFI[Hygiene Kit])</f>
        <v>0</v>
      </c>
      <c r="Z447" s="294">
        <f>IF(NFI_Expiration=1,IF($A447&lt;VLOOKUP(I$5,NFI,5,0),1,0)*Table_NFI[[#This Row],[NFI Core Kit]],Table_NFI[NFI Core Kit])</f>
        <v>0</v>
      </c>
      <c r="AA447" s="294">
        <f>IF(NFI_Expiration=1,IF($A447&lt;VLOOKUP(J$5,NFI,5,0),1,0)*Table_NFI[[#This Row],[Sanitary Kit]],Table_NFI[Sanitary Kit])</f>
        <v>0</v>
      </c>
      <c r="AB447" s="294">
        <f>IF(NFI_Expiration=1,IF($A447&lt;VLOOKUP(K$5,NFI,5,0),1,0)*Table_NFI[[#This Row],[Mosquito net]],Table_NFI[Mosquito net])</f>
        <v>0</v>
      </c>
      <c r="AC447" s="294">
        <f>IF(NFI_Expiration=1,IF($A447&lt;VLOOKUP(L$5,NFI,5,0),1,0)*Table_NFI[[#This Row],[Tarpaulin]],Table_NFI[[#This Row],[Tarpaulin]])</f>
        <v>0</v>
      </c>
      <c r="AD447" s="294">
        <f>IF(NFI_Expiration=1,IF($A447&lt;VLOOKUP(M$5,NFI,5,0),1,0)*Table_NFI[[#This Row],[Blanket]],Table_NFI[[#This Row],[Blanket]])</f>
        <v>0</v>
      </c>
      <c r="AE447" s="294">
        <f>IF(NFI_Expiration=1,IF($A447&lt;VLOOKUP(N$5,NFI,5,0),1,0)*Table_NFI[[#This Row],[Kitchen Set]],Table_NFI[Kitchen Set])</f>
        <v>0</v>
      </c>
      <c r="AF447" s="294">
        <f>IF(NFI_Expiration=1,IF($A447&lt;VLOOKUP(O$5,NFI,5,0),1,0)*Table_NFI[[#This Row],[Clothes Kit]],Table_NFI[Clothes Kit])</f>
        <v>0</v>
      </c>
      <c r="AG447" s="294">
        <f>IF(NFI_Expiration=1,IF($A447&lt;VLOOKUP(P$5,NFI,5,0),1,0)*Table_NFI[[#This Row],[Plastic Bucket]],Table_NFI[Plastic Bucket])</f>
        <v>0</v>
      </c>
      <c r="AH447" s="294">
        <f>IF(NFI_Expiration=1,IF($A447&lt;VLOOKUP(Q$5,NFI,5,0),1,0)*Table_NFI[[#This Row],[Plastic Mat]],Table_NFI[Plastic Mat])*IF(Table_NFI[[#This Row],[Distribution Date]]&gt;"2014-04-01",1,2.5)</f>
        <v>0</v>
      </c>
      <c r="AI447" s="294">
        <f>IF(NFI_Expiration=1,IF($A447&lt;VLOOKUP(R$5,NFI,5,0),1,0)*Table_NFI[[#This Row],[Winter Clothes Adult]],Table_NFI[Winter Clothes Adult])</f>
        <v>0</v>
      </c>
      <c r="AJ447" s="294">
        <f>IF(NFI_Expiration=1,IF($A447&lt;VLOOKUP(S$5,NFI,5,0),1,0)*Table_NFI[[#This Row],[Winter Clothes Children]],Table_NFI[Winter Clothes Children])</f>
        <v>0</v>
      </c>
      <c r="AK447" s="294">
        <f>IF(NFI_Expiration=1,IF($A447&lt;VLOOKUP(T$5,NFI,5,0),1,0)*Table_NFI[[#This Row],[Winter Items Other]],Table_NFI[Winter Items Other])</f>
        <v>0</v>
      </c>
      <c r="AL447" s="294">
        <f>IF(NFI_Expiration=1,IF($A447&lt;VLOOKUP(M$5,NFI,5,0),1,0)*Table_NFI[[#This Row],[Winter Blanket]],Table_NFI[[#This Row],[Winter Blanket]])</f>
        <v>0</v>
      </c>
      <c r="AM447" s="294">
        <f>IF(Table_NFI[[#This Row],[Winter Clothes Adult]]+Table_NFI[[#This Row],[Winter Clothes Children]]+Table_NFI[[#This Row],[Winter Items Other]]+Table_NFI[[#This Row],[Winter Blanket]]&gt;0,1,0)</f>
        <v>0</v>
      </c>
      <c r="AN447" s="331">
        <f>IF(NFI_Expiration=1,IF($A447&lt;VLOOKUP(V$5,NFI,5,0),1,0)*Table_NFI[[#This Row],[Jerry Can]],Table_NFI[Jerry Can])</f>
        <v>0</v>
      </c>
      <c r="AO447" s="331">
        <f>IF(NFI_Expiration=1,IF($A447&lt;VLOOKUP(V$5,NFI,5,0),1,0)*Table_NFI[[#This Row],[Shelter Tool kit]],Table_NFI[Shelter Tool kit])</f>
        <v>0</v>
      </c>
      <c r="AP447" s="331">
        <f>IF(NFI_Expiration=1,IF($A447&lt;VLOOKUP(V$5,NFI,5,0),1,0)*Table_NFI[[#This Row],[Tent]],Table_NFI[Tent])</f>
        <v>0</v>
      </c>
      <c r="AQ447" s="467" t="str">
        <f>IFERROR(VLOOKUP(Table_NFI[[#This Row],[Camp Name]],CL,2,0),"")</f>
        <v>MMR001CMP043</v>
      </c>
      <c r="AR447" s="835">
        <f ca="1">IF(Table_NFI[[#This Row],[Pcode]]="","",IF(OFFSET(CampList[Opening Date],MATCH(Table_NFI[[#This Row],[Pcode]],CampList[CP_Pcode],0)-1,0,1,1)&gt;=NFI_Monitor_Date,1,0))</f>
        <v>0</v>
      </c>
      <c r="AS447" s="467" t="str">
        <f>IFERROR(VLOOKUP(Table_NFI[[#This Row],[Camp Name]],CL,3,0),"")</f>
        <v>Open</v>
      </c>
      <c r="AT447" s="294" t="str">
        <f ca="1">IF(Table_NFI[[#This Row],[Pcode]]="","",OFFSET(CampList[Priority],MATCH(Table_NFI[[#This Row],[Pcode]],CampList[CP_Pcode],0)-1,0,1,1))</f>
        <v>P1</v>
      </c>
      <c r="AU447" s="293">
        <f>IFERROR(Table_NFI[[#This Row],[Kitchen Set]]/VLOOKUP(Table_NFI[[#This Row],[Camp Name]],CL,4,0),"")</f>
        <v>3.777723616865708E-3</v>
      </c>
      <c r="AV447" s="461" t="s">
        <v>1092</v>
      </c>
      <c r="AW447" s="463"/>
    </row>
    <row r="448" spans="1:49" s="464" customFormat="1" ht="14.45" customHeight="1" x14ac:dyDescent="0.25">
      <c r="A448" s="297">
        <f t="shared" si="6"/>
        <v>35.733333333333334</v>
      </c>
      <c r="B448" s="460">
        <v>41664</v>
      </c>
      <c r="C448" s="461" t="s">
        <v>452</v>
      </c>
      <c r="D448" s="462" t="s">
        <v>452</v>
      </c>
      <c r="E448" s="461" t="s">
        <v>380</v>
      </c>
      <c r="F448" s="290" t="s">
        <v>185</v>
      </c>
      <c r="G448" s="290" t="s">
        <v>192</v>
      </c>
      <c r="H448" s="291"/>
      <c r="I448" s="291"/>
      <c r="J448" s="291"/>
      <c r="K448" s="294">
        <v>62</v>
      </c>
      <c r="L448" s="292">
        <v>31</v>
      </c>
      <c r="M448" s="292">
        <v>62</v>
      </c>
      <c r="N448" s="292">
        <v>31</v>
      </c>
      <c r="O448" s="292"/>
      <c r="P448" s="294">
        <v>31</v>
      </c>
      <c r="Q448" s="294">
        <v>155</v>
      </c>
      <c r="R448" s="294"/>
      <c r="S448" s="294"/>
      <c r="T448" s="294"/>
      <c r="U448" s="294"/>
      <c r="V448" s="431"/>
      <c r="W448" s="294"/>
      <c r="X448" s="294"/>
      <c r="Y448" s="294">
        <f>IF(NFI_Expiration=1,IF($A448&lt;VLOOKUP(H$5,NFI,5,0),1,0)*Table_NFI[[#This Row],[Hygiene Kit]],Table_NFI[Hygiene Kit])</f>
        <v>0</v>
      </c>
      <c r="Z448" s="294">
        <f>IF(NFI_Expiration=1,IF($A448&lt;VLOOKUP(I$5,NFI,5,0),1,0)*Table_NFI[[#This Row],[NFI Core Kit]],Table_NFI[NFI Core Kit])</f>
        <v>0</v>
      </c>
      <c r="AA448" s="294">
        <f>IF(NFI_Expiration=1,IF($A448&lt;VLOOKUP(J$5,NFI,5,0),1,0)*Table_NFI[[#This Row],[Sanitary Kit]],Table_NFI[Sanitary Kit])</f>
        <v>0</v>
      </c>
      <c r="AB448" s="294">
        <f>IF(NFI_Expiration=1,IF($A448&lt;VLOOKUP(K$5,NFI,5,0),1,0)*Table_NFI[[#This Row],[Mosquito net]],Table_NFI[Mosquito net])</f>
        <v>0</v>
      </c>
      <c r="AC448" s="294">
        <f>IF(NFI_Expiration=1,IF($A448&lt;VLOOKUP(L$5,NFI,5,0),1,0)*Table_NFI[[#This Row],[Tarpaulin]],Table_NFI[[#This Row],[Tarpaulin]])</f>
        <v>0</v>
      </c>
      <c r="AD448" s="294">
        <f>IF(NFI_Expiration=1,IF($A448&lt;VLOOKUP(M$5,NFI,5,0),1,0)*Table_NFI[[#This Row],[Blanket]],Table_NFI[[#This Row],[Blanket]])</f>
        <v>0</v>
      </c>
      <c r="AE448" s="294">
        <f>IF(NFI_Expiration=1,IF($A448&lt;VLOOKUP(N$5,NFI,5,0),1,0)*Table_NFI[[#This Row],[Kitchen Set]],Table_NFI[Kitchen Set])</f>
        <v>0</v>
      </c>
      <c r="AF448" s="294">
        <f>IF(NFI_Expiration=1,IF($A448&lt;VLOOKUP(O$5,NFI,5,0),1,0)*Table_NFI[[#This Row],[Clothes Kit]],Table_NFI[Clothes Kit])</f>
        <v>0</v>
      </c>
      <c r="AG448" s="294">
        <f>IF(NFI_Expiration=1,IF($A448&lt;VLOOKUP(P$5,NFI,5,0),1,0)*Table_NFI[[#This Row],[Plastic Bucket]],Table_NFI[Plastic Bucket])</f>
        <v>0</v>
      </c>
      <c r="AH448" s="294">
        <f>IF(NFI_Expiration=1,IF($A448&lt;VLOOKUP(Q$5,NFI,5,0),1,0)*Table_NFI[[#This Row],[Plastic Mat]],Table_NFI[Plastic Mat])*IF(Table_NFI[[#This Row],[Distribution Date]]&gt;"2014-04-01",1,2.5)</f>
        <v>0</v>
      </c>
      <c r="AI448" s="294">
        <f>IF(NFI_Expiration=1,IF($A448&lt;VLOOKUP(R$5,NFI,5,0),1,0)*Table_NFI[[#This Row],[Winter Clothes Adult]],Table_NFI[Winter Clothes Adult])</f>
        <v>0</v>
      </c>
      <c r="AJ448" s="294">
        <f>IF(NFI_Expiration=1,IF($A448&lt;VLOOKUP(S$5,NFI,5,0),1,0)*Table_NFI[[#This Row],[Winter Clothes Children]],Table_NFI[Winter Clothes Children])</f>
        <v>0</v>
      </c>
      <c r="AK448" s="294">
        <f>IF(NFI_Expiration=1,IF($A448&lt;VLOOKUP(T$5,NFI,5,0),1,0)*Table_NFI[[#This Row],[Winter Items Other]],Table_NFI[Winter Items Other])</f>
        <v>0</v>
      </c>
      <c r="AL448" s="294">
        <f>IF(NFI_Expiration=1,IF($A448&lt;VLOOKUP(M$5,NFI,5,0),1,0)*Table_NFI[[#This Row],[Winter Blanket]],Table_NFI[[#This Row],[Winter Blanket]])</f>
        <v>0</v>
      </c>
      <c r="AM448" s="294">
        <f>IF(Table_NFI[[#This Row],[Winter Clothes Adult]]+Table_NFI[[#This Row],[Winter Clothes Children]]+Table_NFI[[#This Row],[Winter Items Other]]+Table_NFI[[#This Row],[Winter Blanket]]&gt;0,1,0)</f>
        <v>0</v>
      </c>
      <c r="AN448" s="331">
        <f>IF(NFI_Expiration=1,IF($A448&lt;VLOOKUP(V$5,NFI,5,0),1,0)*Table_NFI[[#This Row],[Jerry Can]],Table_NFI[Jerry Can])</f>
        <v>0</v>
      </c>
      <c r="AO448" s="331">
        <f>IF(NFI_Expiration=1,IF($A448&lt;VLOOKUP(V$5,NFI,5,0),1,0)*Table_NFI[[#This Row],[Shelter Tool kit]],Table_NFI[Shelter Tool kit])</f>
        <v>0</v>
      </c>
      <c r="AP448" s="331">
        <f>IF(NFI_Expiration=1,IF($A448&lt;VLOOKUP(V$5,NFI,5,0),1,0)*Table_NFI[[#This Row],[Tent]],Table_NFI[Tent])</f>
        <v>0</v>
      </c>
      <c r="AQ448" s="467" t="str">
        <f>IFERROR(VLOOKUP(Table_NFI[[#This Row],[Camp Name]],CL,2,0),"")</f>
        <v>MMR001CMP123</v>
      </c>
      <c r="AR448" s="835">
        <f ca="1">IF(Table_NFI[[#This Row],[Pcode]]="","",IF(OFFSET(CampList[Opening Date],MATCH(Table_NFI[[#This Row],[Pcode]],CampList[CP_Pcode],0)-1,0,1,1)&gt;=NFI_Monitor_Date,1,0))</f>
        <v>0</v>
      </c>
      <c r="AS448" s="467" t="str">
        <f>IFERROR(VLOOKUP(Table_NFI[[#This Row],[Camp Name]],CL,3,0),"")</f>
        <v>Open</v>
      </c>
      <c r="AT448" s="294" t="str">
        <f ca="1">IF(Table_NFI[[#This Row],[Pcode]]="","",OFFSET(CampList[Priority],MATCH(Table_NFI[[#This Row],[Pcode]],CampList[CP_Pcode],0)-1,0,1,1))</f>
        <v>P2</v>
      </c>
      <c r="AU448" s="293">
        <f>IFERROR(Table_NFI[[#This Row],[Kitchen Set]]/VLOOKUP(Table_NFI[[#This Row],[Camp Name]],CL,4,0),"")</f>
        <v>7.6062420257140052E-4</v>
      </c>
      <c r="AV448" s="461" t="s">
        <v>1092</v>
      </c>
      <c r="AW448" s="463"/>
    </row>
    <row r="449" spans="1:49" s="464" customFormat="1" ht="14.45" customHeight="1" x14ac:dyDescent="0.25">
      <c r="A449" s="297">
        <f t="shared" si="6"/>
        <v>35.733333333333334</v>
      </c>
      <c r="B449" s="460">
        <v>41664</v>
      </c>
      <c r="C449" s="461" t="s">
        <v>1036</v>
      </c>
      <c r="D449" s="461" t="s">
        <v>460</v>
      </c>
      <c r="E449" s="461" t="s">
        <v>380</v>
      </c>
      <c r="F449" s="461" t="s">
        <v>310</v>
      </c>
      <c r="G449" s="461" t="s">
        <v>1243</v>
      </c>
      <c r="H449" s="291"/>
      <c r="I449" s="291"/>
      <c r="J449" s="291"/>
      <c r="K449" s="291"/>
      <c r="L449" s="292"/>
      <c r="M449" s="292">
        <v>191</v>
      </c>
      <c r="N449" s="292">
        <v>191</v>
      </c>
      <c r="O449" s="292">
        <v>191</v>
      </c>
      <c r="P449" s="294"/>
      <c r="Q449" s="294">
        <v>191</v>
      </c>
      <c r="R449" s="294"/>
      <c r="S449" s="294"/>
      <c r="T449" s="294"/>
      <c r="U449" s="294"/>
      <c r="V449" s="431"/>
      <c r="W449" s="294"/>
      <c r="X449" s="294"/>
      <c r="Y449" s="294">
        <f>IF(NFI_Expiration=1,IF($A449&lt;VLOOKUP(H$5,NFI,5,0),1,0)*Table_NFI[[#This Row],[Hygiene Kit]],Table_NFI[Hygiene Kit])</f>
        <v>0</v>
      </c>
      <c r="Z449" s="294">
        <f>IF(NFI_Expiration=1,IF($A449&lt;VLOOKUP(I$5,NFI,5,0),1,0)*Table_NFI[[#This Row],[NFI Core Kit]],Table_NFI[NFI Core Kit])</f>
        <v>0</v>
      </c>
      <c r="AA449" s="294">
        <f>IF(NFI_Expiration=1,IF($A449&lt;VLOOKUP(J$5,NFI,5,0),1,0)*Table_NFI[[#This Row],[Sanitary Kit]],Table_NFI[Sanitary Kit])</f>
        <v>0</v>
      </c>
      <c r="AB449" s="294">
        <f>IF(NFI_Expiration=1,IF($A449&lt;VLOOKUP(K$5,NFI,5,0),1,0)*Table_NFI[[#This Row],[Mosquito net]],Table_NFI[Mosquito net])</f>
        <v>0</v>
      </c>
      <c r="AC449" s="294">
        <f>IF(NFI_Expiration=1,IF($A449&lt;VLOOKUP(L$5,NFI,5,0),1,0)*Table_NFI[[#This Row],[Tarpaulin]],Table_NFI[[#This Row],[Tarpaulin]])</f>
        <v>0</v>
      </c>
      <c r="AD449" s="294">
        <f>IF(NFI_Expiration=1,IF($A449&lt;VLOOKUP(M$5,NFI,5,0),1,0)*Table_NFI[[#This Row],[Blanket]],Table_NFI[[#This Row],[Blanket]])</f>
        <v>0</v>
      </c>
      <c r="AE449" s="294">
        <f>IF(NFI_Expiration=1,IF($A449&lt;VLOOKUP(N$5,NFI,5,0),1,0)*Table_NFI[[#This Row],[Kitchen Set]],Table_NFI[Kitchen Set])</f>
        <v>0</v>
      </c>
      <c r="AF449" s="294">
        <f>IF(NFI_Expiration=1,IF($A449&lt;VLOOKUP(O$5,NFI,5,0),1,0)*Table_NFI[[#This Row],[Clothes Kit]],Table_NFI[Clothes Kit])</f>
        <v>0</v>
      </c>
      <c r="AG449" s="294">
        <f>IF(NFI_Expiration=1,IF($A449&lt;VLOOKUP(P$5,NFI,5,0),1,0)*Table_NFI[[#This Row],[Plastic Bucket]],Table_NFI[Plastic Bucket])</f>
        <v>0</v>
      </c>
      <c r="AH449" s="294">
        <f>IF(NFI_Expiration=1,IF($A449&lt;VLOOKUP(Q$5,NFI,5,0),1,0)*Table_NFI[[#This Row],[Plastic Mat]],Table_NFI[Plastic Mat])*IF(Table_NFI[[#This Row],[Distribution Date]]&gt;"2014-04-01",1,2.5)</f>
        <v>0</v>
      </c>
      <c r="AI449" s="294">
        <f>IF(NFI_Expiration=1,IF($A449&lt;VLOOKUP(R$5,NFI,5,0),1,0)*Table_NFI[[#This Row],[Winter Clothes Adult]],Table_NFI[Winter Clothes Adult])</f>
        <v>0</v>
      </c>
      <c r="AJ449" s="294">
        <f>IF(NFI_Expiration=1,IF($A449&lt;VLOOKUP(S$5,NFI,5,0),1,0)*Table_NFI[[#This Row],[Winter Clothes Children]],Table_NFI[Winter Clothes Children])</f>
        <v>0</v>
      </c>
      <c r="AK449" s="294">
        <f>IF(NFI_Expiration=1,IF($A449&lt;VLOOKUP(T$5,NFI,5,0),1,0)*Table_NFI[[#This Row],[Winter Items Other]],Table_NFI[Winter Items Other])</f>
        <v>0</v>
      </c>
      <c r="AL449" s="294">
        <f>IF(NFI_Expiration=1,IF($A449&lt;VLOOKUP(M$5,NFI,5,0),1,0)*Table_NFI[[#This Row],[Winter Blanket]],Table_NFI[[#This Row],[Winter Blanket]])</f>
        <v>0</v>
      </c>
      <c r="AM449" s="294">
        <f>IF(Table_NFI[[#This Row],[Winter Clothes Adult]]+Table_NFI[[#This Row],[Winter Clothes Children]]+Table_NFI[[#This Row],[Winter Items Other]]+Table_NFI[[#This Row],[Winter Blanket]]&gt;0,1,0)</f>
        <v>0</v>
      </c>
      <c r="AN449" s="331">
        <f>IF(NFI_Expiration=1,IF($A449&lt;VLOOKUP(V$5,NFI,5,0),1,0)*Table_NFI[[#This Row],[Jerry Can]],Table_NFI[Jerry Can])</f>
        <v>0</v>
      </c>
      <c r="AO449" s="331">
        <f>IF(NFI_Expiration=1,IF($A449&lt;VLOOKUP(V$5,NFI,5,0),1,0)*Table_NFI[[#This Row],[Shelter Tool kit]],Table_NFI[Shelter Tool kit])</f>
        <v>0</v>
      </c>
      <c r="AP449" s="331">
        <f>IF(NFI_Expiration=1,IF($A449&lt;VLOOKUP(V$5,NFI,5,0),1,0)*Table_NFI[[#This Row],[Tent]],Table_NFI[Tent])</f>
        <v>0</v>
      </c>
      <c r="AQ449" s="467" t="str">
        <f>IFERROR(VLOOKUP(Table_NFI[[#This Row],[Camp Name]],CL,2,0),"")</f>
        <v>MMR001CMP120</v>
      </c>
      <c r="AR449" s="835">
        <f ca="1">IF(Table_NFI[[#This Row],[Pcode]]="","",IF(OFFSET(CampList[Opening Date],MATCH(Table_NFI[[#This Row],[Pcode]],CampList[CP_Pcode],0)-1,0,1,1)&gt;=NFI_Monitor_Date,1,0))</f>
        <v>0</v>
      </c>
      <c r="AS449" s="467" t="str">
        <f>IFERROR(VLOOKUP(Table_NFI[[#This Row],[Camp Name]],CL,3,0),"")</f>
        <v>Open</v>
      </c>
      <c r="AT449" s="294" t="str">
        <f ca="1">IF(Table_NFI[[#This Row],[Pcode]]="","",OFFSET(CampList[Priority],MATCH(Table_NFI[[#This Row],[Pcode]],CampList[CP_Pcode],0)-1,0,1,1))</f>
        <v>P1</v>
      </c>
      <c r="AU449" s="293">
        <f>IFERROR(Table_NFI[[#This Row],[Kitchen Set]]/VLOOKUP(Table_NFI[[#This Row],[Camp Name]],CL,4,0),"")</f>
        <v>4.6899938612645796E-3</v>
      </c>
      <c r="AV449" s="461" t="s">
        <v>1092</v>
      </c>
      <c r="AW449" s="463"/>
    </row>
    <row r="450" spans="1:49" s="464" customFormat="1" x14ac:dyDescent="0.25">
      <c r="A450" s="297">
        <f t="shared" si="6"/>
        <v>35.733333333333334</v>
      </c>
      <c r="B450" s="460">
        <v>41664</v>
      </c>
      <c r="C450" s="461" t="s">
        <v>1036</v>
      </c>
      <c r="D450" s="461" t="s">
        <v>460</v>
      </c>
      <c r="E450" s="461" t="s">
        <v>380</v>
      </c>
      <c r="F450" s="461" t="s">
        <v>310</v>
      </c>
      <c r="G450" s="461" t="s">
        <v>347</v>
      </c>
      <c r="H450" s="291"/>
      <c r="I450" s="291"/>
      <c r="J450" s="291"/>
      <c r="K450" s="291"/>
      <c r="L450" s="292"/>
      <c r="M450" s="292">
        <v>198</v>
      </c>
      <c r="N450" s="292">
        <v>198</v>
      </c>
      <c r="O450" s="292">
        <v>198</v>
      </c>
      <c r="P450" s="294"/>
      <c r="Q450" s="294">
        <v>198</v>
      </c>
      <c r="R450" s="294"/>
      <c r="S450" s="294"/>
      <c r="T450" s="294"/>
      <c r="U450" s="294"/>
      <c r="V450" s="431"/>
      <c r="W450" s="294"/>
      <c r="X450" s="294"/>
      <c r="Y450" s="294">
        <f>IF(NFI_Expiration=1,IF($A450&lt;VLOOKUP(H$5,NFI,5,0),1,0)*Table_NFI[[#This Row],[Hygiene Kit]],Table_NFI[Hygiene Kit])</f>
        <v>0</v>
      </c>
      <c r="Z450" s="294">
        <f>IF(NFI_Expiration=1,IF($A450&lt;VLOOKUP(I$5,NFI,5,0),1,0)*Table_NFI[[#This Row],[NFI Core Kit]],Table_NFI[NFI Core Kit])</f>
        <v>0</v>
      </c>
      <c r="AA450" s="294">
        <f>IF(NFI_Expiration=1,IF($A450&lt;VLOOKUP(J$5,NFI,5,0),1,0)*Table_NFI[[#This Row],[Sanitary Kit]],Table_NFI[Sanitary Kit])</f>
        <v>0</v>
      </c>
      <c r="AB450" s="294">
        <f>IF(NFI_Expiration=1,IF($A450&lt;VLOOKUP(K$5,NFI,5,0),1,0)*Table_NFI[[#This Row],[Mosquito net]],Table_NFI[Mosquito net])</f>
        <v>0</v>
      </c>
      <c r="AC450" s="294">
        <f>IF(NFI_Expiration=1,IF($A450&lt;VLOOKUP(L$5,NFI,5,0),1,0)*Table_NFI[[#This Row],[Tarpaulin]],Table_NFI[[#This Row],[Tarpaulin]])</f>
        <v>0</v>
      </c>
      <c r="AD450" s="294">
        <f>IF(NFI_Expiration=1,IF($A450&lt;VLOOKUP(M$5,NFI,5,0),1,0)*Table_NFI[[#This Row],[Blanket]],Table_NFI[[#This Row],[Blanket]])</f>
        <v>0</v>
      </c>
      <c r="AE450" s="294">
        <f>IF(NFI_Expiration=1,IF($A450&lt;VLOOKUP(N$5,NFI,5,0),1,0)*Table_NFI[[#This Row],[Kitchen Set]],Table_NFI[Kitchen Set])</f>
        <v>0</v>
      </c>
      <c r="AF450" s="294">
        <f>IF(NFI_Expiration=1,IF($A450&lt;VLOOKUP(O$5,NFI,5,0),1,0)*Table_NFI[[#This Row],[Clothes Kit]],Table_NFI[Clothes Kit])</f>
        <v>0</v>
      </c>
      <c r="AG450" s="294">
        <f>IF(NFI_Expiration=1,IF($A450&lt;VLOOKUP(P$5,NFI,5,0),1,0)*Table_NFI[[#This Row],[Plastic Bucket]],Table_NFI[Plastic Bucket])</f>
        <v>0</v>
      </c>
      <c r="AH450" s="294">
        <f>IF(NFI_Expiration=1,IF($A450&lt;VLOOKUP(Q$5,NFI,5,0),1,0)*Table_NFI[[#This Row],[Plastic Mat]],Table_NFI[Plastic Mat])*IF(Table_NFI[[#This Row],[Distribution Date]]&gt;"2014-04-01",1,2.5)</f>
        <v>0</v>
      </c>
      <c r="AI450" s="294">
        <f>IF(NFI_Expiration=1,IF($A450&lt;VLOOKUP(R$5,NFI,5,0),1,0)*Table_NFI[[#This Row],[Winter Clothes Adult]],Table_NFI[Winter Clothes Adult])</f>
        <v>0</v>
      </c>
      <c r="AJ450" s="294">
        <f>IF(NFI_Expiration=1,IF($A450&lt;VLOOKUP(S$5,NFI,5,0),1,0)*Table_NFI[[#This Row],[Winter Clothes Children]],Table_NFI[Winter Clothes Children])</f>
        <v>0</v>
      </c>
      <c r="AK450" s="294">
        <f>IF(NFI_Expiration=1,IF($A450&lt;VLOOKUP(T$5,NFI,5,0),1,0)*Table_NFI[[#This Row],[Winter Items Other]],Table_NFI[Winter Items Other])</f>
        <v>0</v>
      </c>
      <c r="AL450" s="294">
        <f>IF(NFI_Expiration=1,IF($A450&lt;VLOOKUP(M$5,NFI,5,0),1,0)*Table_NFI[[#This Row],[Winter Blanket]],Table_NFI[[#This Row],[Winter Blanket]])</f>
        <v>0</v>
      </c>
      <c r="AM450" s="294">
        <f>IF(Table_NFI[[#This Row],[Winter Clothes Adult]]+Table_NFI[[#This Row],[Winter Clothes Children]]+Table_NFI[[#This Row],[Winter Items Other]]+Table_NFI[[#This Row],[Winter Blanket]]&gt;0,1,0)</f>
        <v>0</v>
      </c>
      <c r="AN450" s="331">
        <f>IF(NFI_Expiration=1,IF($A450&lt;VLOOKUP(V$5,NFI,5,0),1,0)*Table_NFI[[#This Row],[Jerry Can]],Table_NFI[Jerry Can])</f>
        <v>0</v>
      </c>
      <c r="AO450" s="331">
        <f>IF(NFI_Expiration=1,IF($A450&lt;VLOOKUP(V$5,NFI,5,0),1,0)*Table_NFI[[#This Row],[Shelter Tool kit]],Table_NFI[Shelter Tool kit])</f>
        <v>0</v>
      </c>
      <c r="AP450" s="331">
        <f>IF(NFI_Expiration=1,IF($A450&lt;VLOOKUP(V$5,NFI,5,0),1,0)*Table_NFI[[#This Row],[Tent]],Table_NFI[Tent])</f>
        <v>0</v>
      </c>
      <c r="AQ450" s="467" t="str">
        <f>IFERROR(VLOOKUP(Table_NFI[[#This Row],[Camp Name]],CL,2,0),"")</f>
        <v>MMR001CMP041</v>
      </c>
      <c r="AR450" s="835">
        <f ca="1">IF(Table_NFI[[#This Row],[Pcode]]="","",IF(OFFSET(CampList[Opening Date],MATCH(Table_NFI[[#This Row],[Pcode]],CampList[CP_Pcode],0)-1,0,1,1)&gt;=NFI_Monitor_Date,1,0))</f>
        <v>0</v>
      </c>
      <c r="AS450" s="467" t="str">
        <f>IFERROR(VLOOKUP(Table_NFI[[#This Row],[Camp Name]],CL,3,0),"")</f>
        <v>Open</v>
      </c>
      <c r="AT450" s="294" t="str">
        <f ca="1">IF(Table_NFI[[#This Row],[Pcode]]="","",OFFSET(CampList[Priority],MATCH(Table_NFI[[#This Row],[Pcode]],CampList[CP_Pcode],0)-1,0,1,1))</f>
        <v>P1</v>
      </c>
      <c r="AU450" s="293">
        <f>IFERROR(Table_NFI[[#This Row],[Kitchen Set]]/VLOOKUP(Table_NFI[[#This Row],[Camp Name]],CL,4,0),"")</f>
        <v>4.847238542890717E-3</v>
      </c>
      <c r="AV450" s="461" t="s">
        <v>1092</v>
      </c>
      <c r="AW450" s="463"/>
    </row>
    <row r="451" spans="1:49" s="464" customFormat="1" x14ac:dyDescent="0.25">
      <c r="A451" s="297">
        <f t="shared" si="6"/>
        <v>35.733333333333334</v>
      </c>
      <c r="B451" s="460">
        <v>41664</v>
      </c>
      <c r="C451" s="461" t="s">
        <v>1036</v>
      </c>
      <c r="D451" s="461" t="s">
        <v>460</v>
      </c>
      <c r="E451" s="461" t="s">
        <v>380</v>
      </c>
      <c r="F451" s="461" t="s">
        <v>310</v>
      </c>
      <c r="G451" s="461" t="s">
        <v>1245</v>
      </c>
      <c r="H451" s="291"/>
      <c r="I451" s="291"/>
      <c r="J451" s="291"/>
      <c r="K451" s="291"/>
      <c r="L451" s="292"/>
      <c r="M451" s="292">
        <v>646</v>
      </c>
      <c r="N451" s="292">
        <v>646</v>
      </c>
      <c r="O451" s="292">
        <v>646</v>
      </c>
      <c r="P451" s="294"/>
      <c r="Q451" s="294">
        <v>646</v>
      </c>
      <c r="R451" s="294"/>
      <c r="S451" s="294"/>
      <c r="T451" s="294"/>
      <c r="U451" s="294"/>
      <c r="V451" s="431"/>
      <c r="W451" s="294"/>
      <c r="X451" s="294"/>
      <c r="Y451" s="294">
        <f>IF(NFI_Expiration=1,IF($A451&lt;VLOOKUP(H$5,NFI,5,0),1,0)*Table_NFI[[#This Row],[Hygiene Kit]],Table_NFI[Hygiene Kit])</f>
        <v>0</v>
      </c>
      <c r="Z451" s="294">
        <f>IF(NFI_Expiration=1,IF($A451&lt;VLOOKUP(I$5,NFI,5,0),1,0)*Table_NFI[[#This Row],[NFI Core Kit]],Table_NFI[NFI Core Kit])</f>
        <v>0</v>
      </c>
      <c r="AA451" s="294">
        <f>IF(NFI_Expiration=1,IF($A451&lt;VLOOKUP(J$5,NFI,5,0),1,0)*Table_NFI[[#This Row],[Sanitary Kit]],Table_NFI[Sanitary Kit])</f>
        <v>0</v>
      </c>
      <c r="AB451" s="294">
        <f>IF(NFI_Expiration=1,IF($A451&lt;VLOOKUP(K$5,NFI,5,0),1,0)*Table_NFI[[#This Row],[Mosquito net]],Table_NFI[Mosquito net])</f>
        <v>0</v>
      </c>
      <c r="AC451" s="294">
        <f>IF(NFI_Expiration=1,IF($A451&lt;VLOOKUP(L$5,NFI,5,0),1,0)*Table_NFI[[#This Row],[Tarpaulin]],Table_NFI[[#This Row],[Tarpaulin]])</f>
        <v>0</v>
      </c>
      <c r="AD451" s="294">
        <f>IF(NFI_Expiration=1,IF($A451&lt;VLOOKUP(M$5,NFI,5,0),1,0)*Table_NFI[[#This Row],[Blanket]],Table_NFI[[#This Row],[Blanket]])</f>
        <v>0</v>
      </c>
      <c r="AE451" s="294">
        <f>IF(NFI_Expiration=1,IF($A451&lt;VLOOKUP(N$5,NFI,5,0),1,0)*Table_NFI[[#This Row],[Kitchen Set]],Table_NFI[Kitchen Set])</f>
        <v>0</v>
      </c>
      <c r="AF451" s="294">
        <f>IF(NFI_Expiration=1,IF($A451&lt;VLOOKUP(O$5,NFI,5,0),1,0)*Table_NFI[[#This Row],[Clothes Kit]],Table_NFI[Clothes Kit])</f>
        <v>0</v>
      </c>
      <c r="AG451" s="294">
        <f>IF(NFI_Expiration=1,IF($A451&lt;VLOOKUP(P$5,NFI,5,0),1,0)*Table_NFI[[#This Row],[Plastic Bucket]],Table_NFI[Plastic Bucket])</f>
        <v>0</v>
      </c>
      <c r="AH451" s="294">
        <f>IF(NFI_Expiration=1,IF($A451&lt;VLOOKUP(Q$5,NFI,5,0),1,0)*Table_NFI[[#This Row],[Plastic Mat]],Table_NFI[Plastic Mat])*IF(Table_NFI[[#This Row],[Distribution Date]]&gt;"2014-04-01",1,2.5)</f>
        <v>0</v>
      </c>
      <c r="AI451" s="294">
        <f>IF(NFI_Expiration=1,IF($A451&lt;VLOOKUP(R$5,NFI,5,0),1,0)*Table_NFI[[#This Row],[Winter Clothes Adult]],Table_NFI[Winter Clothes Adult])</f>
        <v>0</v>
      </c>
      <c r="AJ451" s="294">
        <f>IF(NFI_Expiration=1,IF($A451&lt;VLOOKUP(S$5,NFI,5,0),1,0)*Table_NFI[[#This Row],[Winter Clothes Children]],Table_NFI[Winter Clothes Children])</f>
        <v>0</v>
      </c>
      <c r="AK451" s="294">
        <f>IF(NFI_Expiration=1,IF($A451&lt;VLOOKUP(T$5,NFI,5,0),1,0)*Table_NFI[[#This Row],[Winter Items Other]],Table_NFI[Winter Items Other])</f>
        <v>0</v>
      </c>
      <c r="AL451" s="294">
        <f>IF(NFI_Expiration=1,IF($A451&lt;VLOOKUP(M$5,NFI,5,0),1,0)*Table_NFI[[#This Row],[Winter Blanket]],Table_NFI[[#This Row],[Winter Blanket]])</f>
        <v>0</v>
      </c>
      <c r="AM451" s="294">
        <f>IF(Table_NFI[[#This Row],[Winter Clothes Adult]]+Table_NFI[[#This Row],[Winter Clothes Children]]+Table_NFI[[#This Row],[Winter Items Other]]+Table_NFI[[#This Row],[Winter Blanket]]&gt;0,1,0)</f>
        <v>0</v>
      </c>
      <c r="AN451" s="331">
        <f>IF(NFI_Expiration=1,IF($A451&lt;VLOOKUP(V$5,NFI,5,0),1,0)*Table_NFI[[#This Row],[Jerry Can]],Table_NFI[Jerry Can])</f>
        <v>0</v>
      </c>
      <c r="AO451" s="331">
        <f>IF(NFI_Expiration=1,IF($A451&lt;VLOOKUP(V$5,NFI,5,0),1,0)*Table_NFI[[#This Row],[Shelter Tool kit]],Table_NFI[Shelter Tool kit])</f>
        <v>0</v>
      </c>
      <c r="AP451" s="331">
        <f>IF(NFI_Expiration=1,IF($A451&lt;VLOOKUP(V$5,NFI,5,0),1,0)*Table_NFI[[#This Row],[Tent]],Table_NFI[Tent])</f>
        <v>0</v>
      </c>
      <c r="AQ451" s="467" t="str">
        <f>IFERROR(VLOOKUP(Table_NFI[[#This Row],[Camp Name]],CL,2,0),"")</f>
        <v>MMR001CMP111</v>
      </c>
      <c r="AR451" s="835">
        <f ca="1">IF(Table_NFI[[#This Row],[Pcode]]="","",IF(OFFSET(CampList[Opening Date],MATCH(Table_NFI[[#This Row],[Pcode]],CampList[CP_Pcode],0)-1,0,1,1)&gt;=NFI_Monitor_Date,1,0))</f>
        <v>0</v>
      </c>
      <c r="AS451" s="467" t="str">
        <f>IFERROR(VLOOKUP(Table_NFI[[#This Row],[Camp Name]],CL,3,0),"")</f>
        <v>Open</v>
      </c>
      <c r="AT451" s="294" t="str">
        <f ca="1">IF(Table_NFI[[#This Row],[Pcode]]="","",OFFSET(CampList[Priority],MATCH(Table_NFI[[#This Row],[Pcode]],CampList[CP_Pcode],0)-1,0,1,1))</f>
        <v>P2</v>
      </c>
      <c r="AU451" s="293">
        <f>IFERROR(Table_NFI[[#This Row],[Kitchen Set]]/VLOOKUP(Table_NFI[[#This Row],[Camp Name]],CL,4,0),"")</f>
        <v>1.5814727771249509E-2</v>
      </c>
      <c r="AV451" s="461" t="s">
        <v>1092</v>
      </c>
      <c r="AW451" s="463"/>
    </row>
    <row r="452" spans="1:49" s="464" customFormat="1" ht="14.45" customHeight="1" x14ac:dyDescent="0.25">
      <c r="A452" s="297">
        <f t="shared" si="6"/>
        <v>35.766666666666666</v>
      </c>
      <c r="B452" s="460">
        <v>41663</v>
      </c>
      <c r="C452" s="461" t="s">
        <v>453</v>
      </c>
      <c r="D452" s="461"/>
      <c r="E452" s="461" t="s">
        <v>380</v>
      </c>
      <c r="F452" s="290" t="s">
        <v>151</v>
      </c>
      <c r="G452" s="461" t="s">
        <v>188</v>
      </c>
      <c r="H452" s="291"/>
      <c r="I452" s="291"/>
      <c r="J452" s="291"/>
      <c r="K452" s="291"/>
      <c r="L452" s="292"/>
      <c r="M452" s="292"/>
      <c r="N452" s="292"/>
      <c r="O452" s="292"/>
      <c r="P452" s="294"/>
      <c r="Q452" s="294"/>
      <c r="R452" s="294"/>
      <c r="S452" s="294">
        <v>838</v>
      </c>
      <c r="T452" s="294"/>
      <c r="U452" s="294"/>
      <c r="V452" s="431"/>
      <c r="W452" s="294"/>
      <c r="X452" s="294"/>
      <c r="Y452" s="294">
        <f>IF(NFI_Expiration=1,IF($A452&lt;VLOOKUP(H$5,NFI,5,0),1,0)*Table_NFI[[#This Row],[Hygiene Kit]],Table_NFI[Hygiene Kit])</f>
        <v>0</v>
      </c>
      <c r="Z452" s="294">
        <f>IF(NFI_Expiration=1,IF($A452&lt;VLOOKUP(I$5,NFI,5,0),1,0)*Table_NFI[[#This Row],[NFI Core Kit]],Table_NFI[NFI Core Kit])</f>
        <v>0</v>
      </c>
      <c r="AA452" s="294">
        <f>IF(NFI_Expiration=1,IF($A452&lt;VLOOKUP(J$5,NFI,5,0),1,0)*Table_NFI[[#This Row],[Sanitary Kit]],Table_NFI[Sanitary Kit])</f>
        <v>0</v>
      </c>
      <c r="AB452" s="294">
        <f>IF(NFI_Expiration=1,IF($A452&lt;VLOOKUP(K$5,NFI,5,0),1,0)*Table_NFI[[#This Row],[Mosquito net]],Table_NFI[Mosquito net])</f>
        <v>0</v>
      </c>
      <c r="AC452" s="294">
        <f>IF(NFI_Expiration=1,IF($A452&lt;VLOOKUP(L$5,NFI,5,0),1,0)*Table_NFI[[#This Row],[Tarpaulin]],Table_NFI[[#This Row],[Tarpaulin]])</f>
        <v>0</v>
      </c>
      <c r="AD452" s="294">
        <f>IF(NFI_Expiration=1,IF($A452&lt;VLOOKUP(M$5,NFI,5,0),1,0)*Table_NFI[[#This Row],[Blanket]],Table_NFI[[#This Row],[Blanket]])</f>
        <v>0</v>
      </c>
      <c r="AE452" s="294">
        <f>IF(NFI_Expiration=1,IF($A452&lt;VLOOKUP(N$5,NFI,5,0),1,0)*Table_NFI[[#This Row],[Kitchen Set]],Table_NFI[Kitchen Set])</f>
        <v>0</v>
      </c>
      <c r="AF452" s="294">
        <f>IF(NFI_Expiration=1,IF($A452&lt;VLOOKUP(O$5,NFI,5,0),1,0)*Table_NFI[[#This Row],[Clothes Kit]],Table_NFI[Clothes Kit])</f>
        <v>0</v>
      </c>
      <c r="AG452" s="294">
        <f>IF(NFI_Expiration=1,IF($A452&lt;VLOOKUP(P$5,NFI,5,0),1,0)*Table_NFI[[#This Row],[Plastic Bucket]],Table_NFI[Plastic Bucket])</f>
        <v>0</v>
      </c>
      <c r="AH452" s="294">
        <f>IF(NFI_Expiration=1,IF($A452&lt;VLOOKUP(Q$5,NFI,5,0),1,0)*Table_NFI[[#This Row],[Plastic Mat]],Table_NFI[Plastic Mat])*IF(Table_NFI[[#This Row],[Distribution Date]]&gt;"2014-04-01",1,2.5)</f>
        <v>0</v>
      </c>
      <c r="AI452" s="294">
        <f>IF(NFI_Expiration=1,IF($A452&lt;VLOOKUP(R$5,NFI,5,0),1,0)*Table_NFI[[#This Row],[Winter Clothes Adult]],Table_NFI[Winter Clothes Adult])</f>
        <v>0</v>
      </c>
      <c r="AJ452" s="294">
        <f>IF(NFI_Expiration=1,IF($A452&lt;VLOOKUP(S$5,NFI,5,0),1,0)*Table_NFI[[#This Row],[Winter Clothes Children]],Table_NFI[Winter Clothes Children])</f>
        <v>0</v>
      </c>
      <c r="AK452" s="294">
        <f>IF(NFI_Expiration=1,IF($A452&lt;VLOOKUP(T$5,NFI,5,0),1,0)*Table_NFI[[#This Row],[Winter Items Other]],Table_NFI[Winter Items Other])</f>
        <v>0</v>
      </c>
      <c r="AL452" s="294">
        <f>IF(NFI_Expiration=1,IF($A452&lt;VLOOKUP(M$5,NFI,5,0),1,0)*Table_NFI[[#This Row],[Winter Blanket]],Table_NFI[[#This Row],[Winter Blanket]])</f>
        <v>0</v>
      </c>
      <c r="AM452" s="294">
        <f>IF(Table_NFI[[#This Row],[Winter Clothes Adult]]+Table_NFI[[#This Row],[Winter Clothes Children]]+Table_NFI[[#This Row],[Winter Items Other]]+Table_NFI[[#This Row],[Winter Blanket]]&gt;0,1,0)</f>
        <v>1</v>
      </c>
      <c r="AN452" s="331">
        <f>IF(NFI_Expiration=1,IF($A452&lt;VLOOKUP(V$5,NFI,5,0),1,0)*Table_NFI[[#This Row],[Jerry Can]],Table_NFI[Jerry Can])</f>
        <v>0</v>
      </c>
      <c r="AO452" s="331">
        <f>IF(NFI_Expiration=1,IF($A452&lt;VLOOKUP(V$5,NFI,5,0),1,0)*Table_NFI[[#This Row],[Shelter Tool kit]],Table_NFI[Shelter Tool kit])</f>
        <v>0</v>
      </c>
      <c r="AP452" s="331">
        <f>IF(NFI_Expiration=1,IF($A452&lt;VLOOKUP(V$5,NFI,5,0),1,0)*Table_NFI[[#This Row],[Tent]],Table_NFI[Tent])</f>
        <v>0</v>
      </c>
      <c r="AQ452" s="467" t="str">
        <f>IFERROR(VLOOKUP(Table_NFI[[#This Row],[Camp Name]],CL,2,0),"")</f>
        <v>MMR001CMP129</v>
      </c>
      <c r="AR452" s="835">
        <f ca="1">IF(Table_NFI[[#This Row],[Pcode]]="","",IF(OFFSET(CampList[Opening Date],MATCH(Table_NFI[[#This Row],[Pcode]],CampList[CP_Pcode],0)-1,0,1,1)&gt;=NFI_Monitor_Date,1,0))</f>
        <v>0</v>
      </c>
      <c r="AS452" s="467" t="str">
        <f>IFERROR(VLOOKUP(Table_NFI[[#This Row],[Camp Name]],CL,3,0),"")</f>
        <v>Open</v>
      </c>
      <c r="AT452" s="294" t="str">
        <f ca="1">IF(Table_NFI[[#This Row],[Pcode]]="","",OFFSET(CampList[Priority],MATCH(Table_NFI[[#This Row],[Pcode]],CampList[CP_Pcode],0)-1,0,1,1))</f>
        <v>P2</v>
      </c>
      <c r="AU452" s="293">
        <f>IFERROR(Table_NFI[[#This Row],[Kitchen Set]]/VLOOKUP(Table_NFI[[#This Row],[Camp Name]],CL,4,0),"")</f>
        <v>0</v>
      </c>
      <c r="AV452" s="461" t="s">
        <v>1092</v>
      </c>
      <c r="AW452" s="463"/>
    </row>
    <row r="453" spans="1:49" s="464" customFormat="1" ht="14.45" customHeight="1" x14ac:dyDescent="0.25">
      <c r="A453" s="297">
        <f t="shared" si="6"/>
        <v>35.766666666666666</v>
      </c>
      <c r="B453" s="460">
        <v>41663</v>
      </c>
      <c r="C453" s="461" t="s">
        <v>452</v>
      </c>
      <c r="D453" s="462" t="s">
        <v>452</v>
      </c>
      <c r="E453" s="461" t="s">
        <v>380</v>
      </c>
      <c r="F453" s="461" t="s">
        <v>185</v>
      </c>
      <c r="G453" s="290" t="s">
        <v>219</v>
      </c>
      <c r="H453" s="291"/>
      <c r="I453" s="291"/>
      <c r="J453" s="291"/>
      <c r="K453" s="291">
        <v>60</v>
      </c>
      <c r="L453" s="292">
        <v>30</v>
      </c>
      <c r="M453" s="292">
        <v>60</v>
      </c>
      <c r="N453" s="292">
        <v>30</v>
      </c>
      <c r="O453" s="292"/>
      <c r="P453" s="294">
        <v>30</v>
      </c>
      <c r="Q453" s="294">
        <v>150</v>
      </c>
      <c r="R453" s="294"/>
      <c r="S453" s="294"/>
      <c r="T453" s="294"/>
      <c r="U453" s="294"/>
      <c r="V453" s="431"/>
      <c r="W453" s="294"/>
      <c r="X453" s="294"/>
      <c r="Y453" s="294">
        <f>IF(NFI_Expiration=1,IF($A453&lt;VLOOKUP(H$5,NFI,5,0),1,0)*Table_NFI[[#This Row],[Hygiene Kit]],Table_NFI[Hygiene Kit])</f>
        <v>0</v>
      </c>
      <c r="Z453" s="294">
        <f>IF(NFI_Expiration=1,IF($A453&lt;VLOOKUP(I$5,NFI,5,0),1,0)*Table_NFI[[#This Row],[NFI Core Kit]],Table_NFI[NFI Core Kit])</f>
        <v>0</v>
      </c>
      <c r="AA453" s="294">
        <f>IF(NFI_Expiration=1,IF($A453&lt;VLOOKUP(J$5,NFI,5,0),1,0)*Table_NFI[[#This Row],[Sanitary Kit]],Table_NFI[Sanitary Kit])</f>
        <v>0</v>
      </c>
      <c r="AB453" s="294">
        <f>IF(NFI_Expiration=1,IF($A453&lt;VLOOKUP(K$5,NFI,5,0),1,0)*Table_NFI[[#This Row],[Mosquito net]],Table_NFI[Mosquito net])</f>
        <v>0</v>
      </c>
      <c r="AC453" s="294">
        <f>IF(NFI_Expiration=1,IF($A453&lt;VLOOKUP(L$5,NFI,5,0),1,0)*Table_NFI[[#This Row],[Tarpaulin]],Table_NFI[[#This Row],[Tarpaulin]])</f>
        <v>0</v>
      </c>
      <c r="AD453" s="294">
        <f>IF(NFI_Expiration=1,IF($A453&lt;VLOOKUP(M$5,NFI,5,0),1,0)*Table_NFI[[#This Row],[Blanket]],Table_NFI[[#This Row],[Blanket]])</f>
        <v>0</v>
      </c>
      <c r="AE453" s="294">
        <f>IF(NFI_Expiration=1,IF($A453&lt;VLOOKUP(N$5,NFI,5,0),1,0)*Table_NFI[[#This Row],[Kitchen Set]],Table_NFI[Kitchen Set])</f>
        <v>0</v>
      </c>
      <c r="AF453" s="294">
        <f>IF(NFI_Expiration=1,IF($A453&lt;VLOOKUP(O$5,NFI,5,0),1,0)*Table_NFI[[#This Row],[Clothes Kit]],Table_NFI[Clothes Kit])</f>
        <v>0</v>
      </c>
      <c r="AG453" s="294">
        <f>IF(NFI_Expiration=1,IF($A453&lt;VLOOKUP(P$5,NFI,5,0),1,0)*Table_NFI[[#This Row],[Plastic Bucket]],Table_NFI[Plastic Bucket])</f>
        <v>0</v>
      </c>
      <c r="AH453" s="294">
        <f>IF(NFI_Expiration=1,IF($A453&lt;VLOOKUP(Q$5,NFI,5,0),1,0)*Table_NFI[[#This Row],[Plastic Mat]],Table_NFI[Plastic Mat])*IF(Table_NFI[[#This Row],[Distribution Date]]&gt;"2014-04-01",1,2.5)</f>
        <v>0</v>
      </c>
      <c r="AI453" s="294">
        <f>IF(NFI_Expiration=1,IF($A453&lt;VLOOKUP(R$5,NFI,5,0),1,0)*Table_NFI[[#This Row],[Winter Clothes Adult]],Table_NFI[Winter Clothes Adult])</f>
        <v>0</v>
      </c>
      <c r="AJ453" s="294">
        <f>IF(NFI_Expiration=1,IF($A453&lt;VLOOKUP(S$5,NFI,5,0),1,0)*Table_NFI[[#This Row],[Winter Clothes Children]],Table_NFI[Winter Clothes Children])</f>
        <v>0</v>
      </c>
      <c r="AK453" s="294">
        <f>IF(NFI_Expiration=1,IF($A453&lt;VLOOKUP(T$5,NFI,5,0),1,0)*Table_NFI[[#This Row],[Winter Items Other]],Table_NFI[Winter Items Other])</f>
        <v>0</v>
      </c>
      <c r="AL453" s="294">
        <f>IF(NFI_Expiration=1,IF($A453&lt;VLOOKUP(M$5,NFI,5,0),1,0)*Table_NFI[[#This Row],[Winter Blanket]],Table_NFI[[#This Row],[Winter Blanket]])</f>
        <v>0</v>
      </c>
      <c r="AM453" s="294">
        <f>IF(Table_NFI[[#This Row],[Winter Clothes Adult]]+Table_NFI[[#This Row],[Winter Clothes Children]]+Table_NFI[[#This Row],[Winter Items Other]]+Table_NFI[[#This Row],[Winter Blanket]]&gt;0,1,0)</f>
        <v>0</v>
      </c>
      <c r="AN453" s="331">
        <f>IF(NFI_Expiration=1,IF($A453&lt;VLOOKUP(V$5,NFI,5,0),1,0)*Table_NFI[[#This Row],[Jerry Can]],Table_NFI[Jerry Can])</f>
        <v>0</v>
      </c>
      <c r="AO453" s="331">
        <f>IF(NFI_Expiration=1,IF($A453&lt;VLOOKUP(V$5,NFI,5,0),1,0)*Table_NFI[[#This Row],[Shelter Tool kit]],Table_NFI[Shelter Tool kit])</f>
        <v>0</v>
      </c>
      <c r="AP453" s="331">
        <f>IF(NFI_Expiration=1,IF($A453&lt;VLOOKUP(V$5,NFI,5,0),1,0)*Table_NFI[[#This Row],[Tent]],Table_NFI[Tent])</f>
        <v>0</v>
      </c>
      <c r="AQ453" s="467" t="str">
        <f>IFERROR(VLOOKUP(Table_NFI[[#This Row],[Camp Name]],CL,2,0),"")</f>
        <v>MMR001CMP126</v>
      </c>
      <c r="AR453" s="835">
        <f ca="1">IF(Table_NFI[[#This Row],[Pcode]]="","",IF(OFFSET(CampList[Opening Date],MATCH(Table_NFI[[#This Row],[Pcode]],CampList[CP_Pcode],0)-1,0,1,1)&gt;=NFI_Monitor_Date,1,0))</f>
        <v>0</v>
      </c>
      <c r="AS453" s="467" t="str">
        <f>IFERROR(VLOOKUP(Table_NFI[[#This Row],[Camp Name]],CL,3,0),"")</f>
        <v>Open</v>
      </c>
      <c r="AT453" s="294" t="str">
        <f ca="1">IF(Table_NFI[[#This Row],[Pcode]]="","",OFFSET(CampList[Priority],MATCH(Table_NFI[[#This Row],[Pcode]],CampList[CP_Pcode],0)-1,0,1,1))</f>
        <v>P2</v>
      </c>
      <c r="AU453" s="293">
        <f>IFERROR(Table_NFI[[#This Row],[Kitchen Set]]/VLOOKUP(Table_NFI[[#This Row],[Camp Name]],CL,4,0),"")</f>
        <v>7.3170731707317073E-4</v>
      </c>
      <c r="AV453" s="461" t="s">
        <v>1092</v>
      </c>
      <c r="AW453" s="463"/>
    </row>
    <row r="454" spans="1:49" s="464" customFormat="1" ht="14.45" customHeight="1" x14ac:dyDescent="0.25">
      <c r="A454" s="297">
        <f t="shared" ref="A454:A517" si="7">IF(ISBLANK(B454),"",(Report_Date-B454)/30)</f>
        <v>35.9</v>
      </c>
      <c r="B454" s="460">
        <v>41659</v>
      </c>
      <c r="C454" s="461" t="s">
        <v>453</v>
      </c>
      <c r="D454" s="461" t="s">
        <v>506</v>
      </c>
      <c r="E454" s="461" t="s">
        <v>380</v>
      </c>
      <c r="F454" s="461" t="s">
        <v>310</v>
      </c>
      <c r="G454" s="461" t="s">
        <v>322</v>
      </c>
      <c r="H454" s="291"/>
      <c r="I454" s="291"/>
      <c r="J454" s="291"/>
      <c r="K454" s="291"/>
      <c r="L454" s="292"/>
      <c r="M454" s="292"/>
      <c r="N454" s="292"/>
      <c r="O454" s="292"/>
      <c r="P454" s="294"/>
      <c r="Q454" s="294"/>
      <c r="R454" s="294">
        <v>1497</v>
      </c>
      <c r="S454" s="294">
        <v>925</v>
      </c>
      <c r="T454" s="294"/>
      <c r="U454" s="294"/>
      <c r="V454" s="431"/>
      <c r="W454" s="294"/>
      <c r="X454" s="294"/>
      <c r="Y454" s="294">
        <f>IF(NFI_Expiration=1,IF($A454&lt;VLOOKUP(H$5,NFI,5,0),1,0)*Table_NFI[[#This Row],[Hygiene Kit]],Table_NFI[Hygiene Kit])</f>
        <v>0</v>
      </c>
      <c r="Z454" s="294">
        <f>IF(NFI_Expiration=1,IF($A454&lt;VLOOKUP(I$5,NFI,5,0),1,0)*Table_NFI[[#This Row],[NFI Core Kit]],Table_NFI[NFI Core Kit])</f>
        <v>0</v>
      </c>
      <c r="AA454" s="294">
        <f>IF(NFI_Expiration=1,IF($A454&lt;VLOOKUP(J$5,NFI,5,0),1,0)*Table_NFI[[#This Row],[Sanitary Kit]],Table_NFI[Sanitary Kit])</f>
        <v>0</v>
      </c>
      <c r="AB454" s="294">
        <f>IF(NFI_Expiration=1,IF($A454&lt;VLOOKUP(K$5,NFI,5,0),1,0)*Table_NFI[[#This Row],[Mosquito net]],Table_NFI[Mosquito net])</f>
        <v>0</v>
      </c>
      <c r="AC454" s="294">
        <f>IF(NFI_Expiration=1,IF($A454&lt;VLOOKUP(L$5,NFI,5,0),1,0)*Table_NFI[[#This Row],[Tarpaulin]],Table_NFI[[#This Row],[Tarpaulin]])</f>
        <v>0</v>
      </c>
      <c r="AD454" s="294">
        <f>IF(NFI_Expiration=1,IF($A454&lt;VLOOKUP(M$5,NFI,5,0),1,0)*Table_NFI[[#This Row],[Blanket]],Table_NFI[[#This Row],[Blanket]])</f>
        <v>0</v>
      </c>
      <c r="AE454" s="294">
        <f>IF(NFI_Expiration=1,IF($A454&lt;VLOOKUP(N$5,NFI,5,0),1,0)*Table_NFI[[#This Row],[Kitchen Set]],Table_NFI[Kitchen Set])</f>
        <v>0</v>
      </c>
      <c r="AF454" s="294">
        <f>IF(NFI_Expiration=1,IF($A454&lt;VLOOKUP(O$5,NFI,5,0),1,0)*Table_NFI[[#This Row],[Clothes Kit]],Table_NFI[Clothes Kit])</f>
        <v>0</v>
      </c>
      <c r="AG454" s="294">
        <f>IF(NFI_Expiration=1,IF($A454&lt;VLOOKUP(P$5,NFI,5,0),1,0)*Table_NFI[[#This Row],[Plastic Bucket]],Table_NFI[Plastic Bucket])</f>
        <v>0</v>
      </c>
      <c r="AH454" s="294">
        <f>IF(NFI_Expiration=1,IF($A454&lt;VLOOKUP(Q$5,NFI,5,0),1,0)*Table_NFI[[#This Row],[Plastic Mat]],Table_NFI[Plastic Mat])*IF(Table_NFI[[#This Row],[Distribution Date]]&gt;"2014-04-01",1,2.5)</f>
        <v>0</v>
      </c>
      <c r="AI454" s="294">
        <f>IF(NFI_Expiration=1,IF($A454&lt;VLOOKUP(R$5,NFI,5,0),1,0)*Table_NFI[[#This Row],[Winter Clothes Adult]],Table_NFI[Winter Clothes Adult])</f>
        <v>0</v>
      </c>
      <c r="AJ454" s="294">
        <f>IF(NFI_Expiration=1,IF($A454&lt;VLOOKUP(S$5,NFI,5,0),1,0)*Table_NFI[[#This Row],[Winter Clothes Children]],Table_NFI[Winter Clothes Children])</f>
        <v>0</v>
      </c>
      <c r="AK454" s="294">
        <f>IF(NFI_Expiration=1,IF($A454&lt;VLOOKUP(T$5,NFI,5,0),1,0)*Table_NFI[[#This Row],[Winter Items Other]],Table_NFI[Winter Items Other])</f>
        <v>0</v>
      </c>
      <c r="AL454" s="294">
        <f>IF(NFI_Expiration=1,IF($A454&lt;VLOOKUP(M$5,NFI,5,0),1,0)*Table_NFI[[#This Row],[Winter Blanket]],Table_NFI[[#This Row],[Winter Blanket]])</f>
        <v>0</v>
      </c>
      <c r="AM454" s="294">
        <f>IF(Table_NFI[[#This Row],[Winter Clothes Adult]]+Table_NFI[[#This Row],[Winter Clothes Children]]+Table_NFI[[#This Row],[Winter Items Other]]+Table_NFI[[#This Row],[Winter Blanket]]&gt;0,1,0)</f>
        <v>1</v>
      </c>
      <c r="AN454" s="331">
        <f>IF(NFI_Expiration=1,IF($A454&lt;VLOOKUP(V$5,NFI,5,0),1,0)*Table_NFI[[#This Row],[Jerry Can]],Table_NFI[Jerry Can])</f>
        <v>0</v>
      </c>
      <c r="AO454" s="331">
        <f>IF(NFI_Expiration=1,IF($A454&lt;VLOOKUP(V$5,NFI,5,0),1,0)*Table_NFI[[#This Row],[Shelter Tool kit]],Table_NFI[Shelter Tool kit])</f>
        <v>0</v>
      </c>
      <c r="AP454" s="331">
        <f>IF(NFI_Expiration=1,IF($A454&lt;VLOOKUP(V$5,NFI,5,0),1,0)*Table_NFI[[#This Row],[Tent]],Table_NFI[Tent])</f>
        <v>0</v>
      </c>
      <c r="AQ454" s="467" t="str">
        <f>IFERROR(VLOOKUP(Table_NFI[[#This Row],[Camp Name]],CL,2,0),"")</f>
        <v>MMR001CMP119</v>
      </c>
      <c r="AR454" s="835">
        <f ca="1">IF(Table_NFI[[#This Row],[Pcode]]="","",IF(OFFSET(CampList[Opening Date],MATCH(Table_NFI[[#This Row],[Pcode]],CampList[CP_Pcode],0)-1,0,1,1)&gt;=NFI_Monitor_Date,1,0))</f>
        <v>0</v>
      </c>
      <c r="AS454" s="467" t="str">
        <f>IFERROR(VLOOKUP(Table_NFI[[#This Row],[Camp Name]],CL,3,0),"")</f>
        <v>Open</v>
      </c>
      <c r="AT454" s="294" t="str">
        <f ca="1">IF(Table_NFI[[#This Row],[Pcode]]="","",OFFSET(CampList[Priority],MATCH(Table_NFI[[#This Row],[Pcode]],CampList[CP_Pcode],0)-1,0,1,1))</f>
        <v>P2</v>
      </c>
      <c r="AU454" s="293">
        <f>IFERROR(Table_NFI[[#This Row],[Kitchen Set]]/VLOOKUP(Table_NFI[[#This Row],[Camp Name]],CL,4,0),"")</f>
        <v>0</v>
      </c>
      <c r="AV454" s="461" t="s">
        <v>1092</v>
      </c>
      <c r="AW454" s="463"/>
    </row>
    <row r="455" spans="1:49" s="464" customFormat="1" ht="14.45" customHeight="1" x14ac:dyDescent="0.25">
      <c r="A455" s="297">
        <f t="shared" si="7"/>
        <v>35.9</v>
      </c>
      <c r="B455" s="460">
        <v>41659</v>
      </c>
      <c r="C455" s="461" t="s">
        <v>1094</v>
      </c>
      <c r="D455" s="461" t="s">
        <v>900</v>
      </c>
      <c r="E455" s="461" t="s">
        <v>380</v>
      </c>
      <c r="F455" s="461" t="s">
        <v>892</v>
      </c>
      <c r="G455" s="461" t="s">
        <v>894</v>
      </c>
      <c r="H455" s="291"/>
      <c r="I455" s="291"/>
      <c r="J455" s="291"/>
      <c r="K455" s="291">
        <v>8</v>
      </c>
      <c r="L455" s="292">
        <v>16</v>
      </c>
      <c r="M455" s="292">
        <v>16</v>
      </c>
      <c r="N455" s="292">
        <v>8</v>
      </c>
      <c r="O455" s="292"/>
      <c r="P455" s="294"/>
      <c r="Q455" s="294"/>
      <c r="R455" s="294">
        <v>19</v>
      </c>
      <c r="S455" s="294">
        <v>9</v>
      </c>
      <c r="T455" s="294"/>
      <c r="U455" s="294"/>
      <c r="V455" s="431"/>
      <c r="W455" s="294"/>
      <c r="X455" s="294"/>
      <c r="Y455" s="294">
        <f>IF(NFI_Expiration=1,IF($A455&lt;VLOOKUP(H$5,NFI,5,0),1,0)*Table_NFI[[#This Row],[Hygiene Kit]],Table_NFI[Hygiene Kit])</f>
        <v>0</v>
      </c>
      <c r="Z455" s="294">
        <f>IF(NFI_Expiration=1,IF($A455&lt;VLOOKUP(I$5,NFI,5,0),1,0)*Table_NFI[[#This Row],[NFI Core Kit]],Table_NFI[NFI Core Kit])</f>
        <v>0</v>
      </c>
      <c r="AA455" s="294">
        <f>IF(NFI_Expiration=1,IF($A455&lt;VLOOKUP(J$5,NFI,5,0),1,0)*Table_NFI[[#This Row],[Sanitary Kit]],Table_NFI[Sanitary Kit])</f>
        <v>0</v>
      </c>
      <c r="AB455" s="294">
        <f>IF(NFI_Expiration=1,IF($A455&lt;VLOOKUP(K$5,NFI,5,0),1,0)*Table_NFI[[#This Row],[Mosquito net]],Table_NFI[Mosquito net])</f>
        <v>0</v>
      </c>
      <c r="AC455" s="294">
        <f>IF(NFI_Expiration=1,IF($A455&lt;VLOOKUP(L$5,NFI,5,0),1,0)*Table_NFI[[#This Row],[Tarpaulin]],Table_NFI[[#This Row],[Tarpaulin]])</f>
        <v>0</v>
      </c>
      <c r="AD455" s="294">
        <f>IF(NFI_Expiration=1,IF($A455&lt;VLOOKUP(M$5,NFI,5,0),1,0)*Table_NFI[[#This Row],[Blanket]],Table_NFI[[#This Row],[Blanket]])</f>
        <v>0</v>
      </c>
      <c r="AE455" s="294">
        <f>IF(NFI_Expiration=1,IF($A455&lt;VLOOKUP(N$5,NFI,5,0),1,0)*Table_NFI[[#This Row],[Kitchen Set]],Table_NFI[Kitchen Set])</f>
        <v>0</v>
      </c>
      <c r="AF455" s="294">
        <f>IF(NFI_Expiration=1,IF($A455&lt;VLOOKUP(O$5,NFI,5,0),1,0)*Table_NFI[[#This Row],[Clothes Kit]],Table_NFI[Clothes Kit])</f>
        <v>0</v>
      </c>
      <c r="AG455" s="294">
        <f>IF(NFI_Expiration=1,IF($A455&lt;VLOOKUP(P$5,NFI,5,0),1,0)*Table_NFI[[#This Row],[Plastic Bucket]],Table_NFI[Plastic Bucket])</f>
        <v>0</v>
      </c>
      <c r="AH455" s="294">
        <f>IF(NFI_Expiration=1,IF($A455&lt;VLOOKUP(Q$5,NFI,5,0),1,0)*Table_NFI[[#This Row],[Plastic Mat]],Table_NFI[Plastic Mat])*IF(Table_NFI[[#This Row],[Distribution Date]]&gt;"2014-04-01",1,2.5)</f>
        <v>0</v>
      </c>
      <c r="AI455" s="294">
        <f>IF(NFI_Expiration=1,IF($A455&lt;VLOOKUP(R$5,NFI,5,0),1,0)*Table_NFI[[#This Row],[Winter Clothes Adult]],Table_NFI[Winter Clothes Adult])</f>
        <v>0</v>
      </c>
      <c r="AJ455" s="294">
        <f>IF(NFI_Expiration=1,IF($A455&lt;VLOOKUP(S$5,NFI,5,0),1,0)*Table_NFI[[#This Row],[Winter Clothes Children]],Table_NFI[Winter Clothes Children])</f>
        <v>0</v>
      </c>
      <c r="AK455" s="294">
        <f>IF(NFI_Expiration=1,IF($A455&lt;VLOOKUP(T$5,NFI,5,0),1,0)*Table_NFI[[#This Row],[Winter Items Other]],Table_NFI[Winter Items Other])</f>
        <v>0</v>
      </c>
      <c r="AL455" s="294">
        <f>IF(NFI_Expiration=1,IF($A455&lt;VLOOKUP(M$5,NFI,5,0),1,0)*Table_NFI[[#This Row],[Winter Blanket]],Table_NFI[[#This Row],[Winter Blanket]])</f>
        <v>0</v>
      </c>
      <c r="AM455" s="294">
        <f>IF(Table_NFI[[#This Row],[Winter Clothes Adult]]+Table_NFI[[#This Row],[Winter Clothes Children]]+Table_NFI[[#This Row],[Winter Items Other]]+Table_NFI[[#This Row],[Winter Blanket]]&gt;0,1,0)</f>
        <v>1</v>
      </c>
      <c r="AN455" s="331">
        <f>IF(NFI_Expiration=1,IF($A455&lt;VLOOKUP(V$5,NFI,5,0),1,0)*Table_NFI[[#This Row],[Jerry Can]],Table_NFI[Jerry Can])</f>
        <v>0</v>
      </c>
      <c r="AO455" s="331">
        <f>IF(NFI_Expiration=1,IF($A455&lt;VLOOKUP(V$5,NFI,5,0),1,0)*Table_NFI[[#This Row],[Shelter Tool kit]],Table_NFI[Shelter Tool kit])</f>
        <v>0</v>
      </c>
      <c r="AP455" s="331">
        <f>IF(NFI_Expiration=1,IF($A455&lt;VLOOKUP(V$5,NFI,5,0),1,0)*Table_NFI[[#This Row],[Tent]],Table_NFI[Tent])</f>
        <v>0</v>
      </c>
      <c r="AQ455" s="467" t="str">
        <f>IFERROR(VLOOKUP(Table_NFI[[#This Row],[Camp Name]],CL,2,0),"")</f>
        <v>MMR001CMP221</v>
      </c>
      <c r="AR455" s="835">
        <f ca="1">IF(Table_NFI[[#This Row],[Pcode]]="","",IF(OFFSET(CampList[Opening Date],MATCH(Table_NFI[[#This Row],[Pcode]],CampList[CP_Pcode],0)-1,0,1,1)&gt;=NFI_Monitor_Date,1,0))</f>
        <v>0</v>
      </c>
      <c r="AS455" s="467" t="str">
        <f>IFERROR(VLOOKUP(Table_NFI[[#This Row],[Camp Name]],CL,3,0),"")</f>
        <v>Closed</v>
      </c>
      <c r="AT455" s="294" t="str">
        <f ca="1">IF(Table_NFI[[#This Row],[Pcode]]="","",OFFSET(CampList[Priority],MATCH(Table_NFI[[#This Row],[Pcode]],CampList[CP_Pcode],0)-1,0,1,1))</f>
        <v>P3</v>
      </c>
      <c r="AU455" s="293">
        <f>IFERROR(Table_NFI[[#This Row],[Kitchen Set]]/VLOOKUP(Table_NFI[[#This Row],[Camp Name]],CL,4,0),"")</f>
        <v>1.9268750903222699E-4</v>
      </c>
      <c r="AV455" s="461"/>
      <c r="AW455" s="463"/>
    </row>
    <row r="456" spans="1:49" s="464" customFormat="1" ht="14.45" customHeight="1" x14ac:dyDescent="0.25">
      <c r="A456" s="297">
        <f t="shared" si="7"/>
        <v>35.9</v>
      </c>
      <c r="B456" s="460">
        <v>41659</v>
      </c>
      <c r="C456" s="461" t="s">
        <v>1094</v>
      </c>
      <c r="D456" s="461" t="s">
        <v>900</v>
      </c>
      <c r="E456" s="461" t="s">
        <v>380</v>
      </c>
      <c r="F456" s="461" t="s">
        <v>300</v>
      </c>
      <c r="G456" s="461" t="s">
        <v>890</v>
      </c>
      <c r="H456" s="291"/>
      <c r="I456" s="291"/>
      <c r="J456" s="291"/>
      <c r="K456" s="291">
        <v>17</v>
      </c>
      <c r="L456" s="292">
        <v>34</v>
      </c>
      <c r="M456" s="292">
        <v>34</v>
      </c>
      <c r="N456" s="292">
        <v>17</v>
      </c>
      <c r="O456" s="292"/>
      <c r="P456" s="294"/>
      <c r="Q456" s="294"/>
      <c r="R456" s="294">
        <v>31</v>
      </c>
      <c r="S456" s="294">
        <v>28</v>
      </c>
      <c r="T456" s="294"/>
      <c r="U456" s="294"/>
      <c r="V456" s="431"/>
      <c r="W456" s="294"/>
      <c r="X456" s="294"/>
      <c r="Y456" s="294">
        <f>IF(NFI_Expiration=1,IF($A456&lt;VLOOKUP(H$5,NFI,5,0),1,0)*Table_NFI[[#This Row],[Hygiene Kit]],Table_NFI[Hygiene Kit])</f>
        <v>0</v>
      </c>
      <c r="Z456" s="294">
        <f>IF(NFI_Expiration=1,IF($A456&lt;VLOOKUP(I$5,NFI,5,0),1,0)*Table_NFI[[#This Row],[NFI Core Kit]],Table_NFI[NFI Core Kit])</f>
        <v>0</v>
      </c>
      <c r="AA456" s="294">
        <f>IF(NFI_Expiration=1,IF($A456&lt;VLOOKUP(J$5,NFI,5,0),1,0)*Table_NFI[[#This Row],[Sanitary Kit]],Table_NFI[Sanitary Kit])</f>
        <v>0</v>
      </c>
      <c r="AB456" s="294">
        <f>IF(NFI_Expiration=1,IF($A456&lt;VLOOKUP(K$5,NFI,5,0),1,0)*Table_NFI[[#This Row],[Mosquito net]],Table_NFI[Mosquito net])</f>
        <v>0</v>
      </c>
      <c r="AC456" s="294">
        <f>IF(NFI_Expiration=1,IF($A456&lt;VLOOKUP(L$5,NFI,5,0),1,0)*Table_NFI[[#This Row],[Tarpaulin]],Table_NFI[[#This Row],[Tarpaulin]])</f>
        <v>0</v>
      </c>
      <c r="AD456" s="294">
        <f>IF(NFI_Expiration=1,IF($A456&lt;VLOOKUP(M$5,NFI,5,0),1,0)*Table_NFI[[#This Row],[Blanket]],Table_NFI[[#This Row],[Blanket]])</f>
        <v>0</v>
      </c>
      <c r="AE456" s="294">
        <f>IF(NFI_Expiration=1,IF($A456&lt;VLOOKUP(N$5,NFI,5,0),1,0)*Table_NFI[[#This Row],[Kitchen Set]],Table_NFI[Kitchen Set])</f>
        <v>0</v>
      </c>
      <c r="AF456" s="294">
        <f>IF(NFI_Expiration=1,IF($A456&lt;VLOOKUP(O$5,NFI,5,0),1,0)*Table_NFI[[#This Row],[Clothes Kit]],Table_NFI[Clothes Kit])</f>
        <v>0</v>
      </c>
      <c r="AG456" s="294">
        <f>IF(NFI_Expiration=1,IF($A456&lt;VLOOKUP(P$5,NFI,5,0),1,0)*Table_NFI[[#This Row],[Plastic Bucket]],Table_NFI[Plastic Bucket])</f>
        <v>0</v>
      </c>
      <c r="AH456" s="294">
        <f>IF(NFI_Expiration=1,IF($A456&lt;VLOOKUP(Q$5,NFI,5,0),1,0)*Table_NFI[[#This Row],[Plastic Mat]],Table_NFI[Plastic Mat])*IF(Table_NFI[[#This Row],[Distribution Date]]&gt;"2014-04-01",1,2.5)</f>
        <v>0</v>
      </c>
      <c r="AI456" s="294">
        <f>IF(NFI_Expiration=1,IF($A456&lt;VLOOKUP(R$5,NFI,5,0),1,0)*Table_NFI[[#This Row],[Winter Clothes Adult]],Table_NFI[Winter Clothes Adult])</f>
        <v>0</v>
      </c>
      <c r="AJ456" s="294">
        <f>IF(NFI_Expiration=1,IF($A456&lt;VLOOKUP(S$5,NFI,5,0),1,0)*Table_NFI[[#This Row],[Winter Clothes Children]],Table_NFI[Winter Clothes Children])</f>
        <v>0</v>
      </c>
      <c r="AK456" s="294">
        <f>IF(NFI_Expiration=1,IF($A456&lt;VLOOKUP(T$5,NFI,5,0),1,0)*Table_NFI[[#This Row],[Winter Items Other]],Table_NFI[Winter Items Other])</f>
        <v>0</v>
      </c>
      <c r="AL456" s="294">
        <f>IF(NFI_Expiration=1,IF($A456&lt;VLOOKUP(M$5,NFI,5,0),1,0)*Table_NFI[[#This Row],[Winter Blanket]],Table_NFI[[#This Row],[Winter Blanket]])</f>
        <v>0</v>
      </c>
      <c r="AM456" s="294">
        <f>IF(Table_NFI[[#This Row],[Winter Clothes Adult]]+Table_NFI[[#This Row],[Winter Clothes Children]]+Table_NFI[[#This Row],[Winter Items Other]]+Table_NFI[[#This Row],[Winter Blanket]]&gt;0,1,0)</f>
        <v>1</v>
      </c>
      <c r="AN456" s="331">
        <f>IF(NFI_Expiration=1,IF($A456&lt;VLOOKUP(V$5,NFI,5,0),1,0)*Table_NFI[[#This Row],[Jerry Can]],Table_NFI[Jerry Can])</f>
        <v>0</v>
      </c>
      <c r="AO456" s="331">
        <f>IF(NFI_Expiration=1,IF($A456&lt;VLOOKUP(V$5,NFI,5,0),1,0)*Table_NFI[[#This Row],[Shelter Tool kit]],Table_NFI[Shelter Tool kit])</f>
        <v>0</v>
      </c>
      <c r="AP456" s="331">
        <f>IF(NFI_Expiration=1,IF($A456&lt;VLOOKUP(V$5,NFI,5,0),1,0)*Table_NFI[[#This Row],[Tent]],Table_NFI[Tent])</f>
        <v>0</v>
      </c>
      <c r="AQ456" s="467" t="str">
        <f>IFERROR(VLOOKUP(Table_NFI[[#This Row],[Camp Name]],CL,2,0),"")</f>
        <v>MMR001CMP220</v>
      </c>
      <c r="AR456" s="835">
        <f ca="1">IF(Table_NFI[[#This Row],[Pcode]]="","",IF(OFFSET(CampList[Opening Date],MATCH(Table_NFI[[#This Row],[Pcode]],CampList[CP_Pcode],0)-1,0,1,1)&gt;=NFI_Monitor_Date,1,0))</f>
        <v>0</v>
      </c>
      <c r="AS456" s="467" t="str">
        <f>IFERROR(VLOOKUP(Table_NFI[[#This Row],[Camp Name]],CL,3,0),"")</f>
        <v>Closed</v>
      </c>
      <c r="AT456" s="294" t="str">
        <f ca="1">IF(Table_NFI[[#This Row],[Pcode]]="","",OFFSET(CampList[Priority],MATCH(Table_NFI[[#This Row],[Pcode]],CampList[CP_Pcode],0)-1,0,1,1))</f>
        <v>P3</v>
      </c>
      <c r="AU456" s="293">
        <f>IFERROR(Table_NFI[[#This Row],[Kitchen Set]]/VLOOKUP(Table_NFI[[#This Row],[Camp Name]],CL,4,0),"")</f>
        <v>4.0976691493720927E-4</v>
      </c>
      <c r="AV456" s="461"/>
      <c r="AW456" s="463"/>
    </row>
    <row r="457" spans="1:49" s="464" customFormat="1" ht="14.45" customHeight="1" x14ac:dyDescent="0.25">
      <c r="A457" s="297">
        <f t="shared" si="7"/>
        <v>35.9</v>
      </c>
      <c r="B457" s="460">
        <v>41659</v>
      </c>
      <c r="C457" s="461" t="s">
        <v>453</v>
      </c>
      <c r="D457" s="461" t="s">
        <v>506</v>
      </c>
      <c r="E457" s="461" t="s">
        <v>380</v>
      </c>
      <c r="F457" s="461" t="s">
        <v>310</v>
      </c>
      <c r="G457" s="461" t="s">
        <v>355</v>
      </c>
      <c r="H457" s="291"/>
      <c r="I457" s="291"/>
      <c r="J457" s="291"/>
      <c r="K457" s="291"/>
      <c r="L457" s="292"/>
      <c r="M457" s="292"/>
      <c r="N457" s="292"/>
      <c r="O457" s="292">
        <v>127</v>
      </c>
      <c r="P457" s="294"/>
      <c r="Q457" s="294"/>
      <c r="R457" s="294"/>
      <c r="S457" s="294"/>
      <c r="T457" s="294"/>
      <c r="U457" s="294"/>
      <c r="V457" s="431"/>
      <c r="W457" s="294"/>
      <c r="X457" s="294"/>
      <c r="Y457" s="294">
        <f>IF(NFI_Expiration=1,IF($A457&lt;VLOOKUP(H$5,NFI,5,0),1,0)*Table_NFI[[#This Row],[Hygiene Kit]],Table_NFI[Hygiene Kit])</f>
        <v>0</v>
      </c>
      <c r="Z457" s="294">
        <f>IF(NFI_Expiration=1,IF($A457&lt;VLOOKUP(I$5,NFI,5,0),1,0)*Table_NFI[[#This Row],[NFI Core Kit]],Table_NFI[NFI Core Kit])</f>
        <v>0</v>
      </c>
      <c r="AA457" s="294">
        <f>IF(NFI_Expiration=1,IF($A457&lt;VLOOKUP(J$5,NFI,5,0),1,0)*Table_NFI[[#This Row],[Sanitary Kit]],Table_NFI[Sanitary Kit])</f>
        <v>0</v>
      </c>
      <c r="AB457" s="294">
        <f>IF(NFI_Expiration=1,IF($A457&lt;VLOOKUP(K$5,NFI,5,0),1,0)*Table_NFI[[#This Row],[Mosquito net]],Table_NFI[Mosquito net])</f>
        <v>0</v>
      </c>
      <c r="AC457" s="294">
        <f>IF(NFI_Expiration=1,IF($A457&lt;VLOOKUP(L$5,NFI,5,0),1,0)*Table_NFI[[#This Row],[Tarpaulin]],Table_NFI[[#This Row],[Tarpaulin]])</f>
        <v>0</v>
      </c>
      <c r="AD457" s="294">
        <f>IF(NFI_Expiration=1,IF($A457&lt;VLOOKUP(M$5,NFI,5,0),1,0)*Table_NFI[[#This Row],[Blanket]],Table_NFI[[#This Row],[Blanket]])</f>
        <v>0</v>
      </c>
      <c r="AE457" s="294">
        <f>IF(NFI_Expiration=1,IF($A457&lt;VLOOKUP(N$5,NFI,5,0),1,0)*Table_NFI[[#This Row],[Kitchen Set]],Table_NFI[Kitchen Set])</f>
        <v>0</v>
      </c>
      <c r="AF457" s="294">
        <f>IF(NFI_Expiration=1,IF($A457&lt;VLOOKUP(O$5,NFI,5,0),1,0)*Table_NFI[[#This Row],[Clothes Kit]],Table_NFI[Clothes Kit])</f>
        <v>0</v>
      </c>
      <c r="AG457" s="294">
        <f>IF(NFI_Expiration=1,IF($A457&lt;VLOOKUP(P$5,NFI,5,0),1,0)*Table_NFI[[#This Row],[Plastic Bucket]],Table_NFI[Plastic Bucket])</f>
        <v>0</v>
      </c>
      <c r="AH457" s="294">
        <f>IF(NFI_Expiration=1,IF($A457&lt;VLOOKUP(Q$5,NFI,5,0),1,0)*Table_NFI[[#This Row],[Plastic Mat]],Table_NFI[Plastic Mat])*IF(Table_NFI[[#This Row],[Distribution Date]]&gt;"2014-04-01",1,2.5)</f>
        <v>0</v>
      </c>
      <c r="AI457" s="294">
        <f>IF(NFI_Expiration=1,IF($A457&lt;VLOOKUP(R$5,NFI,5,0),1,0)*Table_NFI[[#This Row],[Winter Clothes Adult]],Table_NFI[Winter Clothes Adult])</f>
        <v>0</v>
      </c>
      <c r="AJ457" s="294">
        <f>IF(NFI_Expiration=1,IF($A457&lt;VLOOKUP(S$5,NFI,5,0),1,0)*Table_NFI[[#This Row],[Winter Clothes Children]],Table_NFI[Winter Clothes Children])</f>
        <v>0</v>
      </c>
      <c r="AK457" s="294">
        <f>IF(NFI_Expiration=1,IF($A457&lt;VLOOKUP(T$5,NFI,5,0),1,0)*Table_NFI[[#This Row],[Winter Items Other]],Table_NFI[Winter Items Other])</f>
        <v>0</v>
      </c>
      <c r="AL457" s="294">
        <f>IF(NFI_Expiration=1,IF($A457&lt;VLOOKUP(M$5,NFI,5,0),1,0)*Table_NFI[[#This Row],[Winter Blanket]],Table_NFI[[#This Row],[Winter Blanket]])</f>
        <v>0</v>
      </c>
      <c r="AM457" s="294">
        <f>IF(Table_NFI[[#This Row],[Winter Clothes Adult]]+Table_NFI[[#This Row],[Winter Clothes Children]]+Table_NFI[[#This Row],[Winter Items Other]]+Table_NFI[[#This Row],[Winter Blanket]]&gt;0,1,0)</f>
        <v>0</v>
      </c>
      <c r="AN457" s="331">
        <f>IF(NFI_Expiration=1,IF($A457&lt;VLOOKUP(V$5,NFI,5,0),1,0)*Table_NFI[[#This Row],[Jerry Can]],Table_NFI[Jerry Can])</f>
        <v>0</v>
      </c>
      <c r="AO457" s="331">
        <f>IF(NFI_Expiration=1,IF($A457&lt;VLOOKUP(V$5,NFI,5,0),1,0)*Table_NFI[[#This Row],[Shelter Tool kit]],Table_NFI[Shelter Tool kit])</f>
        <v>0</v>
      </c>
      <c r="AP457" s="331">
        <f>IF(NFI_Expiration=1,IF($A457&lt;VLOOKUP(V$5,NFI,5,0),1,0)*Table_NFI[[#This Row],[Tent]],Table_NFI[Tent])</f>
        <v>0</v>
      </c>
      <c r="AQ457" s="467" t="str">
        <f>IFERROR(VLOOKUP(Table_NFI[[#This Row],[Camp Name]],CL,2,0),"")</f>
        <v>MMR001CMP160</v>
      </c>
      <c r="AR457" s="835">
        <f ca="1">IF(Table_NFI[[#This Row],[Pcode]]="","",IF(OFFSET(CampList[Opening Date],MATCH(Table_NFI[[#This Row],[Pcode]],CampList[CP_Pcode],0)-1,0,1,1)&gt;=NFI_Monitor_Date,1,0))</f>
        <v>0</v>
      </c>
      <c r="AS457" s="467" t="str">
        <f>IFERROR(VLOOKUP(Table_NFI[[#This Row],[Camp Name]],CL,3,0),"")</f>
        <v>Open</v>
      </c>
      <c r="AT457" s="294" t="str">
        <f ca="1">IF(Table_NFI[[#This Row],[Pcode]]="","",OFFSET(CampList[Priority],MATCH(Table_NFI[[#This Row],[Pcode]],CampList[CP_Pcode],0)-1,0,1,1))</f>
        <v>P1</v>
      </c>
      <c r="AU457" s="293">
        <f>IFERROR(Table_NFI[[#This Row],[Kitchen Set]]/VLOOKUP(Table_NFI[[#This Row],[Camp Name]],CL,4,0),"")</f>
        <v>0</v>
      </c>
      <c r="AV457" s="461" t="s">
        <v>1092</v>
      </c>
      <c r="AW457" s="463"/>
    </row>
    <row r="458" spans="1:49" s="464" customFormat="1" x14ac:dyDescent="0.25">
      <c r="A458" s="297">
        <f t="shared" si="7"/>
        <v>35.9</v>
      </c>
      <c r="B458" s="460">
        <v>41659</v>
      </c>
      <c r="C458" s="461" t="s">
        <v>453</v>
      </c>
      <c r="D458" s="461" t="s">
        <v>506</v>
      </c>
      <c r="E458" s="461" t="s">
        <v>380</v>
      </c>
      <c r="F458" s="461" t="s">
        <v>310</v>
      </c>
      <c r="G458" s="461" t="s">
        <v>355</v>
      </c>
      <c r="H458" s="291"/>
      <c r="I458" s="291"/>
      <c r="J458" s="291"/>
      <c r="K458" s="291"/>
      <c r="L458" s="292"/>
      <c r="M458" s="292"/>
      <c r="N458" s="292"/>
      <c r="O458" s="292"/>
      <c r="P458" s="294"/>
      <c r="Q458" s="294"/>
      <c r="R458" s="294">
        <v>443</v>
      </c>
      <c r="S458" s="294">
        <v>218</v>
      </c>
      <c r="T458" s="294"/>
      <c r="U458" s="294"/>
      <c r="V458" s="431"/>
      <c r="W458" s="294"/>
      <c r="X458" s="294"/>
      <c r="Y458" s="294">
        <f>IF(NFI_Expiration=1,IF($A458&lt;VLOOKUP(H$5,NFI,5,0),1,0)*Table_NFI[[#This Row],[Hygiene Kit]],Table_NFI[Hygiene Kit])</f>
        <v>0</v>
      </c>
      <c r="Z458" s="294">
        <f>IF(NFI_Expiration=1,IF($A458&lt;VLOOKUP(I$5,NFI,5,0),1,0)*Table_NFI[[#This Row],[NFI Core Kit]],Table_NFI[NFI Core Kit])</f>
        <v>0</v>
      </c>
      <c r="AA458" s="294">
        <f>IF(NFI_Expiration=1,IF($A458&lt;VLOOKUP(J$5,NFI,5,0),1,0)*Table_NFI[[#This Row],[Sanitary Kit]],Table_NFI[Sanitary Kit])</f>
        <v>0</v>
      </c>
      <c r="AB458" s="294">
        <f>IF(NFI_Expiration=1,IF($A458&lt;VLOOKUP(K$5,NFI,5,0),1,0)*Table_NFI[[#This Row],[Mosquito net]],Table_NFI[Mosquito net])</f>
        <v>0</v>
      </c>
      <c r="AC458" s="294">
        <f>IF(NFI_Expiration=1,IF($A458&lt;VLOOKUP(L$5,NFI,5,0),1,0)*Table_NFI[[#This Row],[Tarpaulin]],Table_NFI[[#This Row],[Tarpaulin]])</f>
        <v>0</v>
      </c>
      <c r="AD458" s="294">
        <f>IF(NFI_Expiration=1,IF($A458&lt;VLOOKUP(M$5,NFI,5,0),1,0)*Table_NFI[[#This Row],[Blanket]],Table_NFI[[#This Row],[Blanket]])</f>
        <v>0</v>
      </c>
      <c r="AE458" s="294">
        <f>IF(NFI_Expiration=1,IF($A458&lt;VLOOKUP(N$5,NFI,5,0),1,0)*Table_NFI[[#This Row],[Kitchen Set]],Table_NFI[Kitchen Set])</f>
        <v>0</v>
      </c>
      <c r="AF458" s="294">
        <f>IF(NFI_Expiration=1,IF($A458&lt;VLOOKUP(O$5,NFI,5,0),1,0)*Table_NFI[[#This Row],[Clothes Kit]],Table_NFI[Clothes Kit])</f>
        <v>0</v>
      </c>
      <c r="AG458" s="294">
        <f>IF(NFI_Expiration=1,IF($A458&lt;VLOOKUP(P$5,NFI,5,0),1,0)*Table_NFI[[#This Row],[Plastic Bucket]],Table_NFI[Plastic Bucket])</f>
        <v>0</v>
      </c>
      <c r="AH458" s="294">
        <f>IF(NFI_Expiration=1,IF($A458&lt;VLOOKUP(Q$5,NFI,5,0),1,0)*Table_NFI[[#This Row],[Plastic Mat]],Table_NFI[Plastic Mat])*IF(Table_NFI[[#This Row],[Distribution Date]]&gt;"2014-04-01",1,2.5)</f>
        <v>0</v>
      </c>
      <c r="AI458" s="294">
        <f>IF(NFI_Expiration=1,IF($A458&lt;VLOOKUP(R$5,NFI,5,0),1,0)*Table_NFI[[#This Row],[Winter Clothes Adult]],Table_NFI[Winter Clothes Adult])</f>
        <v>0</v>
      </c>
      <c r="AJ458" s="294">
        <f>IF(NFI_Expiration=1,IF($A458&lt;VLOOKUP(S$5,NFI,5,0),1,0)*Table_NFI[[#This Row],[Winter Clothes Children]],Table_NFI[Winter Clothes Children])</f>
        <v>0</v>
      </c>
      <c r="AK458" s="294">
        <f>IF(NFI_Expiration=1,IF($A458&lt;VLOOKUP(T$5,NFI,5,0),1,0)*Table_NFI[[#This Row],[Winter Items Other]],Table_NFI[Winter Items Other])</f>
        <v>0</v>
      </c>
      <c r="AL458" s="294">
        <f>IF(NFI_Expiration=1,IF($A458&lt;VLOOKUP(M$5,NFI,5,0),1,0)*Table_NFI[[#This Row],[Winter Blanket]],Table_NFI[[#This Row],[Winter Blanket]])</f>
        <v>0</v>
      </c>
      <c r="AM458" s="294">
        <f>IF(Table_NFI[[#This Row],[Winter Clothes Adult]]+Table_NFI[[#This Row],[Winter Clothes Children]]+Table_NFI[[#This Row],[Winter Items Other]]+Table_NFI[[#This Row],[Winter Blanket]]&gt;0,1,0)</f>
        <v>1</v>
      </c>
      <c r="AN458" s="331">
        <f>IF(NFI_Expiration=1,IF($A458&lt;VLOOKUP(V$5,NFI,5,0),1,0)*Table_NFI[[#This Row],[Jerry Can]],Table_NFI[Jerry Can])</f>
        <v>0</v>
      </c>
      <c r="AO458" s="331">
        <f>IF(NFI_Expiration=1,IF($A458&lt;VLOOKUP(V$5,NFI,5,0),1,0)*Table_NFI[[#This Row],[Shelter Tool kit]],Table_NFI[Shelter Tool kit])</f>
        <v>0</v>
      </c>
      <c r="AP458" s="331">
        <f>IF(NFI_Expiration=1,IF($A458&lt;VLOOKUP(V$5,NFI,5,0),1,0)*Table_NFI[[#This Row],[Tent]],Table_NFI[Tent])</f>
        <v>0</v>
      </c>
      <c r="AQ458" s="467" t="str">
        <f>IFERROR(VLOOKUP(Table_NFI[[#This Row],[Camp Name]],CL,2,0),"")</f>
        <v>MMR001CMP160</v>
      </c>
      <c r="AR458" s="835">
        <f ca="1">IF(Table_NFI[[#This Row],[Pcode]]="","",IF(OFFSET(CampList[Opening Date],MATCH(Table_NFI[[#This Row],[Pcode]],CampList[CP_Pcode],0)-1,0,1,1)&gt;=NFI_Monitor_Date,1,0))</f>
        <v>0</v>
      </c>
      <c r="AS458" s="467" t="str">
        <f>IFERROR(VLOOKUP(Table_NFI[[#This Row],[Camp Name]],CL,3,0),"")</f>
        <v>Open</v>
      </c>
      <c r="AT458" s="294" t="str">
        <f ca="1">IF(Table_NFI[[#This Row],[Pcode]]="","",OFFSET(CampList[Priority],MATCH(Table_NFI[[#This Row],[Pcode]],CampList[CP_Pcode],0)-1,0,1,1))</f>
        <v>P1</v>
      </c>
      <c r="AU458" s="293">
        <f>IFERROR(Table_NFI[[#This Row],[Kitchen Set]]/VLOOKUP(Table_NFI[[#This Row],[Camp Name]],CL,4,0),"")</f>
        <v>0</v>
      </c>
      <c r="AV458" s="461" t="s">
        <v>1092</v>
      </c>
      <c r="AW458" s="463"/>
    </row>
    <row r="459" spans="1:49" s="464" customFormat="1" x14ac:dyDescent="0.25">
      <c r="A459" s="297">
        <f t="shared" si="7"/>
        <v>35.9</v>
      </c>
      <c r="B459" s="460">
        <v>41659</v>
      </c>
      <c r="C459" s="461" t="s">
        <v>1094</v>
      </c>
      <c r="D459" s="461" t="s">
        <v>900</v>
      </c>
      <c r="E459" s="461" t="s">
        <v>380</v>
      </c>
      <c r="F459" s="461" t="s">
        <v>300</v>
      </c>
      <c r="G459" s="461" t="s">
        <v>301</v>
      </c>
      <c r="H459" s="291"/>
      <c r="I459" s="291"/>
      <c r="J459" s="291"/>
      <c r="K459" s="291">
        <v>18</v>
      </c>
      <c r="L459" s="292">
        <v>36</v>
      </c>
      <c r="M459" s="292">
        <v>36</v>
      </c>
      <c r="N459" s="292">
        <v>18</v>
      </c>
      <c r="O459" s="292"/>
      <c r="P459" s="294"/>
      <c r="Q459" s="294"/>
      <c r="R459" s="294">
        <v>53</v>
      </c>
      <c r="S459" s="294">
        <v>42</v>
      </c>
      <c r="T459" s="294"/>
      <c r="U459" s="294"/>
      <c r="V459" s="431"/>
      <c r="W459" s="294"/>
      <c r="X459" s="294"/>
      <c r="Y459" s="294">
        <f>IF(NFI_Expiration=1,IF($A459&lt;VLOOKUP(H$5,NFI,5,0),1,0)*Table_NFI[[#This Row],[Hygiene Kit]],Table_NFI[Hygiene Kit])</f>
        <v>0</v>
      </c>
      <c r="Z459" s="294">
        <f>IF(NFI_Expiration=1,IF($A459&lt;VLOOKUP(I$5,NFI,5,0),1,0)*Table_NFI[[#This Row],[NFI Core Kit]],Table_NFI[NFI Core Kit])</f>
        <v>0</v>
      </c>
      <c r="AA459" s="294">
        <f>IF(NFI_Expiration=1,IF($A459&lt;VLOOKUP(J$5,NFI,5,0),1,0)*Table_NFI[[#This Row],[Sanitary Kit]],Table_NFI[Sanitary Kit])</f>
        <v>0</v>
      </c>
      <c r="AB459" s="294">
        <f>IF(NFI_Expiration=1,IF($A459&lt;VLOOKUP(K$5,NFI,5,0),1,0)*Table_NFI[[#This Row],[Mosquito net]],Table_NFI[Mosquito net])</f>
        <v>0</v>
      </c>
      <c r="AC459" s="294">
        <f>IF(NFI_Expiration=1,IF($A459&lt;VLOOKUP(L$5,NFI,5,0),1,0)*Table_NFI[[#This Row],[Tarpaulin]],Table_NFI[[#This Row],[Tarpaulin]])</f>
        <v>0</v>
      </c>
      <c r="AD459" s="294">
        <f>IF(NFI_Expiration=1,IF($A459&lt;VLOOKUP(M$5,NFI,5,0),1,0)*Table_NFI[[#This Row],[Blanket]],Table_NFI[[#This Row],[Blanket]])</f>
        <v>0</v>
      </c>
      <c r="AE459" s="294">
        <f>IF(NFI_Expiration=1,IF($A459&lt;VLOOKUP(N$5,NFI,5,0),1,0)*Table_NFI[[#This Row],[Kitchen Set]],Table_NFI[Kitchen Set])</f>
        <v>0</v>
      </c>
      <c r="AF459" s="294">
        <f>IF(NFI_Expiration=1,IF($A459&lt;VLOOKUP(O$5,NFI,5,0),1,0)*Table_NFI[[#This Row],[Clothes Kit]],Table_NFI[Clothes Kit])</f>
        <v>0</v>
      </c>
      <c r="AG459" s="294">
        <f>IF(NFI_Expiration=1,IF($A459&lt;VLOOKUP(P$5,NFI,5,0),1,0)*Table_NFI[[#This Row],[Plastic Bucket]],Table_NFI[Plastic Bucket])</f>
        <v>0</v>
      </c>
      <c r="AH459" s="294">
        <f>IF(NFI_Expiration=1,IF($A459&lt;VLOOKUP(Q$5,NFI,5,0),1,0)*Table_NFI[[#This Row],[Plastic Mat]],Table_NFI[Plastic Mat])*IF(Table_NFI[[#This Row],[Distribution Date]]&gt;"2014-04-01",1,2.5)</f>
        <v>0</v>
      </c>
      <c r="AI459" s="294">
        <f>IF(NFI_Expiration=1,IF($A459&lt;VLOOKUP(R$5,NFI,5,0),1,0)*Table_NFI[[#This Row],[Winter Clothes Adult]],Table_NFI[Winter Clothes Adult])</f>
        <v>0</v>
      </c>
      <c r="AJ459" s="294">
        <f>IF(NFI_Expiration=1,IF($A459&lt;VLOOKUP(S$5,NFI,5,0),1,0)*Table_NFI[[#This Row],[Winter Clothes Children]],Table_NFI[Winter Clothes Children])</f>
        <v>0</v>
      </c>
      <c r="AK459" s="294">
        <f>IF(NFI_Expiration=1,IF($A459&lt;VLOOKUP(T$5,NFI,5,0),1,0)*Table_NFI[[#This Row],[Winter Items Other]],Table_NFI[Winter Items Other])</f>
        <v>0</v>
      </c>
      <c r="AL459" s="294">
        <f>IF(NFI_Expiration=1,IF($A459&lt;VLOOKUP(M$5,NFI,5,0),1,0)*Table_NFI[[#This Row],[Winter Blanket]],Table_NFI[[#This Row],[Winter Blanket]])</f>
        <v>0</v>
      </c>
      <c r="AM459" s="294">
        <f>IF(Table_NFI[[#This Row],[Winter Clothes Adult]]+Table_NFI[[#This Row],[Winter Clothes Children]]+Table_NFI[[#This Row],[Winter Items Other]]+Table_NFI[[#This Row],[Winter Blanket]]&gt;0,1,0)</f>
        <v>1</v>
      </c>
      <c r="AN459" s="331">
        <f>IF(NFI_Expiration=1,IF($A459&lt;VLOOKUP(V$5,NFI,5,0),1,0)*Table_NFI[[#This Row],[Jerry Can]],Table_NFI[Jerry Can])</f>
        <v>0</v>
      </c>
      <c r="AO459" s="331">
        <f>IF(NFI_Expiration=1,IF($A459&lt;VLOOKUP(V$5,NFI,5,0),1,0)*Table_NFI[[#This Row],[Shelter Tool kit]],Table_NFI[Shelter Tool kit])</f>
        <v>0</v>
      </c>
      <c r="AP459" s="331">
        <f>IF(NFI_Expiration=1,IF($A459&lt;VLOOKUP(V$5,NFI,5,0),1,0)*Table_NFI[[#This Row],[Tent]],Table_NFI[Tent])</f>
        <v>0</v>
      </c>
      <c r="AQ459" s="467" t="str">
        <f>IFERROR(VLOOKUP(Table_NFI[[#This Row],[Camp Name]],CL,2,0),"")</f>
        <v>MMR001CMP075</v>
      </c>
      <c r="AR459" s="835">
        <f ca="1">IF(Table_NFI[[#This Row],[Pcode]]="","",IF(OFFSET(CampList[Opening Date],MATCH(Table_NFI[[#This Row],[Pcode]],CampList[CP_Pcode],0)-1,0,1,1)&gt;=NFI_Monitor_Date,1,0))</f>
        <v>0</v>
      </c>
      <c r="AS459" s="467" t="str">
        <f>IFERROR(VLOOKUP(Table_NFI[[#This Row],[Camp Name]],CL,3,0),"")</f>
        <v>Open</v>
      </c>
      <c r="AT459" s="294" t="str">
        <f ca="1">IF(Table_NFI[[#This Row],[Pcode]]="","",OFFSET(CampList[Priority],MATCH(Table_NFI[[#This Row],[Pcode]],CampList[CP_Pcode],0)-1,0,1,1))</f>
        <v>P3</v>
      </c>
      <c r="AU459" s="293" t="str">
        <f>IFERROR(Table_NFI[[#This Row],[Kitchen Set]]/VLOOKUP(Table_NFI[[#This Row],[Camp Name]],CL,4,0),"")</f>
        <v/>
      </c>
      <c r="AV459" s="461"/>
      <c r="AW459" s="463"/>
    </row>
    <row r="460" spans="1:49" s="464" customFormat="1" ht="14.45" customHeight="1" x14ac:dyDescent="0.25">
      <c r="A460" s="297">
        <f t="shared" si="7"/>
        <v>36.033333333333331</v>
      </c>
      <c r="B460" s="460">
        <v>41655</v>
      </c>
      <c r="C460" s="461" t="s">
        <v>452</v>
      </c>
      <c r="D460" s="462" t="s">
        <v>452</v>
      </c>
      <c r="E460" s="461" t="s">
        <v>380</v>
      </c>
      <c r="F460" s="290" t="s">
        <v>151</v>
      </c>
      <c r="G460" s="290" t="s">
        <v>188</v>
      </c>
      <c r="H460" s="291"/>
      <c r="I460" s="291"/>
      <c r="J460" s="291"/>
      <c r="K460" s="291">
        <v>45</v>
      </c>
      <c r="L460" s="292">
        <v>30</v>
      </c>
      <c r="M460" s="292">
        <v>45</v>
      </c>
      <c r="N460" s="292">
        <v>30</v>
      </c>
      <c r="O460" s="292"/>
      <c r="P460" s="294">
        <v>30</v>
      </c>
      <c r="Q460" s="294">
        <v>150</v>
      </c>
      <c r="R460" s="294"/>
      <c r="S460" s="294"/>
      <c r="T460" s="294"/>
      <c r="U460" s="294"/>
      <c r="V460" s="431"/>
      <c r="W460" s="294"/>
      <c r="X460" s="294"/>
      <c r="Y460" s="294">
        <f>IF(NFI_Expiration=1,IF($A460&lt;VLOOKUP(H$5,NFI,5,0),1,0)*Table_NFI[[#This Row],[Hygiene Kit]],Table_NFI[Hygiene Kit])</f>
        <v>0</v>
      </c>
      <c r="Z460" s="294">
        <f>IF(NFI_Expiration=1,IF($A460&lt;VLOOKUP(I$5,NFI,5,0),1,0)*Table_NFI[[#This Row],[NFI Core Kit]],Table_NFI[NFI Core Kit])</f>
        <v>0</v>
      </c>
      <c r="AA460" s="294">
        <f>IF(NFI_Expiration=1,IF($A460&lt;VLOOKUP(J$5,NFI,5,0),1,0)*Table_NFI[[#This Row],[Sanitary Kit]],Table_NFI[Sanitary Kit])</f>
        <v>0</v>
      </c>
      <c r="AB460" s="294">
        <f>IF(NFI_Expiration=1,IF($A460&lt;VLOOKUP(K$5,NFI,5,0),1,0)*Table_NFI[[#This Row],[Mosquito net]],Table_NFI[Mosquito net])</f>
        <v>0</v>
      </c>
      <c r="AC460" s="294">
        <f>IF(NFI_Expiration=1,IF($A460&lt;VLOOKUP(L$5,NFI,5,0),1,0)*Table_NFI[[#This Row],[Tarpaulin]],Table_NFI[[#This Row],[Tarpaulin]])</f>
        <v>0</v>
      </c>
      <c r="AD460" s="294">
        <f>IF(NFI_Expiration=1,IF($A460&lt;VLOOKUP(M$5,NFI,5,0),1,0)*Table_NFI[[#This Row],[Blanket]],Table_NFI[[#This Row],[Blanket]])</f>
        <v>0</v>
      </c>
      <c r="AE460" s="294">
        <f>IF(NFI_Expiration=1,IF($A460&lt;VLOOKUP(N$5,NFI,5,0),1,0)*Table_NFI[[#This Row],[Kitchen Set]],Table_NFI[Kitchen Set])</f>
        <v>0</v>
      </c>
      <c r="AF460" s="294">
        <f>IF(NFI_Expiration=1,IF($A460&lt;VLOOKUP(O$5,NFI,5,0),1,0)*Table_NFI[[#This Row],[Clothes Kit]],Table_NFI[Clothes Kit])</f>
        <v>0</v>
      </c>
      <c r="AG460" s="294">
        <f>IF(NFI_Expiration=1,IF($A460&lt;VLOOKUP(P$5,NFI,5,0),1,0)*Table_NFI[[#This Row],[Plastic Bucket]],Table_NFI[Plastic Bucket])</f>
        <v>0</v>
      </c>
      <c r="AH460" s="294">
        <f>IF(NFI_Expiration=1,IF($A460&lt;VLOOKUP(Q$5,NFI,5,0),1,0)*Table_NFI[[#This Row],[Plastic Mat]],Table_NFI[Plastic Mat])*IF(Table_NFI[[#This Row],[Distribution Date]]&gt;"2014-04-01",1,2.5)</f>
        <v>0</v>
      </c>
      <c r="AI460" s="294">
        <f>IF(NFI_Expiration=1,IF($A460&lt;VLOOKUP(R$5,NFI,5,0),1,0)*Table_NFI[[#This Row],[Winter Clothes Adult]],Table_NFI[Winter Clothes Adult])</f>
        <v>0</v>
      </c>
      <c r="AJ460" s="294">
        <f>IF(NFI_Expiration=1,IF($A460&lt;VLOOKUP(S$5,NFI,5,0),1,0)*Table_NFI[[#This Row],[Winter Clothes Children]],Table_NFI[Winter Clothes Children])</f>
        <v>0</v>
      </c>
      <c r="AK460" s="294">
        <f>IF(NFI_Expiration=1,IF($A460&lt;VLOOKUP(T$5,NFI,5,0),1,0)*Table_NFI[[#This Row],[Winter Items Other]],Table_NFI[Winter Items Other])</f>
        <v>0</v>
      </c>
      <c r="AL460" s="294">
        <f>IF(NFI_Expiration=1,IF($A460&lt;VLOOKUP(M$5,NFI,5,0),1,0)*Table_NFI[[#This Row],[Winter Blanket]],Table_NFI[[#This Row],[Winter Blanket]])</f>
        <v>0</v>
      </c>
      <c r="AM460" s="294">
        <f>IF(Table_NFI[[#This Row],[Winter Clothes Adult]]+Table_NFI[[#This Row],[Winter Clothes Children]]+Table_NFI[[#This Row],[Winter Items Other]]+Table_NFI[[#This Row],[Winter Blanket]]&gt;0,1,0)</f>
        <v>0</v>
      </c>
      <c r="AN460" s="331">
        <f>IF(NFI_Expiration=1,IF($A460&lt;VLOOKUP(V$5,NFI,5,0),1,0)*Table_NFI[[#This Row],[Jerry Can]],Table_NFI[Jerry Can])</f>
        <v>0</v>
      </c>
      <c r="AO460" s="331">
        <f>IF(NFI_Expiration=1,IF($A460&lt;VLOOKUP(V$5,NFI,5,0),1,0)*Table_NFI[[#This Row],[Shelter Tool kit]],Table_NFI[Shelter Tool kit])</f>
        <v>0</v>
      </c>
      <c r="AP460" s="331">
        <f>IF(NFI_Expiration=1,IF($A460&lt;VLOOKUP(V$5,NFI,5,0),1,0)*Table_NFI[[#This Row],[Tent]],Table_NFI[Tent])</f>
        <v>0</v>
      </c>
      <c r="AQ460" s="467" t="str">
        <f>IFERROR(VLOOKUP(Table_NFI[[#This Row],[Camp Name]],CL,2,0),"")</f>
        <v>MMR001CMP129</v>
      </c>
      <c r="AR460" s="835">
        <f ca="1">IF(Table_NFI[[#This Row],[Pcode]]="","",IF(OFFSET(CampList[Opening Date],MATCH(Table_NFI[[#This Row],[Pcode]],CampList[CP_Pcode],0)-1,0,1,1)&gt;=NFI_Monitor_Date,1,0))</f>
        <v>0</v>
      </c>
      <c r="AS460" s="467" t="str">
        <f>IFERROR(VLOOKUP(Table_NFI[[#This Row],[Camp Name]],CL,3,0),"")</f>
        <v>Open</v>
      </c>
      <c r="AT460" s="294" t="str">
        <f ca="1">IF(Table_NFI[[#This Row],[Pcode]]="","",OFFSET(CampList[Priority],MATCH(Table_NFI[[#This Row],[Pcode]],CampList[CP_Pcode],0)-1,0,1,1))</f>
        <v>P2</v>
      </c>
      <c r="AU460" s="293">
        <f>IFERROR(Table_NFI[[#This Row],[Kitchen Set]]/VLOOKUP(Table_NFI[[#This Row],[Camp Name]],CL,4,0),"")</f>
        <v>7.3498787270010043E-4</v>
      </c>
      <c r="AV460" s="461" t="s">
        <v>1092</v>
      </c>
      <c r="AW460" s="463"/>
    </row>
    <row r="461" spans="1:49" s="464" customFormat="1" ht="14.45" customHeight="1" x14ac:dyDescent="0.25">
      <c r="A461" s="297">
        <f t="shared" si="7"/>
        <v>36.033333333333331</v>
      </c>
      <c r="B461" s="460">
        <v>41655</v>
      </c>
      <c r="C461" s="461" t="s">
        <v>453</v>
      </c>
      <c r="D461" s="461" t="s">
        <v>506</v>
      </c>
      <c r="E461" s="461" t="s">
        <v>380</v>
      </c>
      <c r="F461" s="461" t="s">
        <v>310</v>
      </c>
      <c r="G461" s="461" t="s">
        <v>322</v>
      </c>
      <c r="H461" s="291"/>
      <c r="I461" s="291"/>
      <c r="J461" s="291"/>
      <c r="K461" s="291"/>
      <c r="L461" s="292"/>
      <c r="M461" s="292"/>
      <c r="N461" s="292"/>
      <c r="O461" s="292">
        <v>600</v>
      </c>
      <c r="P461" s="294"/>
      <c r="Q461" s="294"/>
      <c r="R461" s="294"/>
      <c r="S461" s="294"/>
      <c r="T461" s="294"/>
      <c r="U461" s="294"/>
      <c r="V461" s="431"/>
      <c r="W461" s="294"/>
      <c r="X461" s="294"/>
      <c r="Y461" s="294">
        <f>IF(NFI_Expiration=1,IF($A461&lt;VLOOKUP(H$5,NFI,5,0),1,0)*Table_NFI[[#This Row],[Hygiene Kit]],Table_NFI[Hygiene Kit])</f>
        <v>0</v>
      </c>
      <c r="Z461" s="294">
        <f>IF(NFI_Expiration=1,IF($A461&lt;VLOOKUP(I$5,NFI,5,0),1,0)*Table_NFI[[#This Row],[NFI Core Kit]],Table_NFI[NFI Core Kit])</f>
        <v>0</v>
      </c>
      <c r="AA461" s="294">
        <f>IF(NFI_Expiration=1,IF($A461&lt;VLOOKUP(J$5,NFI,5,0),1,0)*Table_NFI[[#This Row],[Sanitary Kit]],Table_NFI[Sanitary Kit])</f>
        <v>0</v>
      </c>
      <c r="AB461" s="294">
        <f>IF(NFI_Expiration=1,IF($A461&lt;VLOOKUP(K$5,NFI,5,0),1,0)*Table_NFI[[#This Row],[Mosquito net]],Table_NFI[Mosquito net])</f>
        <v>0</v>
      </c>
      <c r="AC461" s="294">
        <f>IF(NFI_Expiration=1,IF($A461&lt;VLOOKUP(L$5,NFI,5,0),1,0)*Table_NFI[[#This Row],[Tarpaulin]],Table_NFI[[#This Row],[Tarpaulin]])</f>
        <v>0</v>
      </c>
      <c r="AD461" s="294">
        <f>IF(NFI_Expiration=1,IF($A461&lt;VLOOKUP(M$5,NFI,5,0),1,0)*Table_NFI[[#This Row],[Blanket]],Table_NFI[[#This Row],[Blanket]])</f>
        <v>0</v>
      </c>
      <c r="AE461" s="294">
        <f>IF(NFI_Expiration=1,IF($A461&lt;VLOOKUP(N$5,NFI,5,0),1,0)*Table_NFI[[#This Row],[Kitchen Set]],Table_NFI[Kitchen Set])</f>
        <v>0</v>
      </c>
      <c r="AF461" s="294">
        <f>IF(NFI_Expiration=1,IF($A461&lt;VLOOKUP(O$5,NFI,5,0),1,0)*Table_NFI[[#This Row],[Clothes Kit]],Table_NFI[Clothes Kit])</f>
        <v>0</v>
      </c>
      <c r="AG461" s="294">
        <f>IF(NFI_Expiration=1,IF($A461&lt;VLOOKUP(P$5,NFI,5,0),1,0)*Table_NFI[[#This Row],[Plastic Bucket]],Table_NFI[Plastic Bucket])</f>
        <v>0</v>
      </c>
      <c r="AH461" s="294">
        <f>IF(NFI_Expiration=1,IF($A461&lt;VLOOKUP(Q$5,NFI,5,0),1,0)*Table_NFI[[#This Row],[Plastic Mat]],Table_NFI[Plastic Mat])*IF(Table_NFI[[#This Row],[Distribution Date]]&gt;"2014-04-01",1,2.5)</f>
        <v>0</v>
      </c>
      <c r="AI461" s="294">
        <f>IF(NFI_Expiration=1,IF($A461&lt;VLOOKUP(R$5,NFI,5,0),1,0)*Table_NFI[[#This Row],[Winter Clothes Adult]],Table_NFI[Winter Clothes Adult])</f>
        <v>0</v>
      </c>
      <c r="AJ461" s="294">
        <f>IF(NFI_Expiration=1,IF($A461&lt;VLOOKUP(S$5,NFI,5,0),1,0)*Table_NFI[[#This Row],[Winter Clothes Children]],Table_NFI[Winter Clothes Children])</f>
        <v>0</v>
      </c>
      <c r="AK461" s="294">
        <f>IF(NFI_Expiration=1,IF($A461&lt;VLOOKUP(T$5,NFI,5,0),1,0)*Table_NFI[[#This Row],[Winter Items Other]],Table_NFI[Winter Items Other])</f>
        <v>0</v>
      </c>
      <c r="AL461" s="294">
        <f>IF(NFI_Expiration=1,IF($A461&lt;VLOOKUP(M$5,NFI,5,0),1,0)*Table_NFI[[#This Row],[Winter Blanket]],Table_NFI[[#This Row],[Winter Blanket]])</f>
        <v>0</v>
      </c>
      <c r="AM461" s="294">
        <f>IF(Table_NFI[[#This Row],[Winter Clothes Adult]]+Table_NFI[[#This Row],[Winter Clothes Children]]+Table_NFI[[#This Row],[Winter Items Other]]+Table_NFI[[#This Row],[Winter Blanket]]&gt;0,1,0)</f>
        <v>0</v>
      </c>
      <c r="AN461" s="331">
        <f>IF(NFI_Expiration=1,IF($A461&lt;VLOOKUP(V$5,NFI,5,0),1,0)*Table_NFI[[#This Row],[Jerry Can]],Table_NFI[Jerry Can])</f>
        <v>0</v>
      </c>
      <c r="AO461" s="331">
        <f>IF(NFI_Expiration=1,IF($A461&lt;VLOOKUP(V$5,NFI,5,0),1,0)*Table_NFI[[#This Row],[Shelter Tool kit]],Table_NFI[Shelter Tool kit])</f>
        <v>0</v>
      </c>
      <c r="AP461" s="331">
        <f>IF(NFI_Expiration=1,IF($A461&lt;VLOOKUP(V$5,NFI,5,0),1,0)*Table_NFI[[#This Row],[Tent]],Table_NFI[Tent])</f>
        <v>0</v>
      </c>
      <c r="AQ461" s="467" t="str">
        <f>IFERROR(VLOOKUP(Table_NFI[[#This Row],[Camp Name]],CL,2,0),"")</f>
        <v>MMR001CMP119</v>
      </c>
      <c r="AR461" s="835">
        <f ca="1">IF(Table_NFI[[#This Row],[Pcode]]="","",IF(OFFSET(CampList[Opening Date],MATCH(Table_NFI[[#This Row],[Pcode]],CampList[CP_Pcode],0)-1,0,1,1)&gt;=NFI_Monitor_Date,1,0))</f>
        <v>0</v>
      </c>
      <c r="AS461" s="467" t="str">
        <f>IFERROR(VLOOKUP(Table_NFI[[#This Row],[Camp Name]],CL,3,0),"")</f>
        <v>Open</v>
      </c>
      <c r="AT461" s="294" t="str">
        <f ca="1">IF(Table_NFI[[#This Row],[Pcode]]="","",OFFSET(CampList[Priority],MATCH(Table_NFI[[#This Row],[Pcode]],CampList[CP_Pcode],0)-1,0,1,1))</f>
        <v>P2</v>
      </c>
      <c r="AU461" s="293">
        <f>IFERROR(Table_NFI[[#This Row],[Kitchen Set]]/VLOOKUP(Table_NFI[[#This Row],[Camp Name]],CL,4,0),"")</f>
        <v>0</v>
      </c>
      <c r="AV461" s="461" t="s">
        <v>1092</v>
      </c>
      <c r="AW461" s="463"/>
    </row>
    <row r="462" spans="1:49" s="464" customFormat="1" ht="14.45" customHeight="1" x14ac:dyDescent="0.25">
      <c r="A462" s="297">
        <f t="shared" si="7"/>
        <v>36.1</v>
      </c>
      <c r="B462" s="460">
        <v>41653</v>
      </c>
      <c r="C462" s="461" t="s">
        <v>453</v>
      </c>
      <c r="D462" s="461" t="s">
        <v>506</v>
      </c>
      <c r="E462" s="461" t="s">
        <v>380</v>
      </c>
      <c r="F462" s="461" t="s">
        <v>310</v>
      </c>
      <c r="G462" s="461" t="s">
        <v>334</v>
      </c>
      <c r="H462" s="291"/>
      <c r="I462" s="291"/>
      <c r="J462" s="291"/>
      <c r="K462" s="291"/>
      <c r="L462" s="292"/>
      <c r="M462" s="292"/>
      <c r="N462" s="292"/>
      <c r="O462" s="292">
        <v>180</v>
      </c>
      <c r="P462" s="294"/>
      <c r="Q462" s="294"/>
      <c r="R462" s="294"/>
      <c r="S462" s="294"/>
      <c r="T462" s="294"/>
      <c r="U462" s="294"/>
      <c r="V462" s="431"/>
      <c r="W462" s="294"/>
      <c r="X462" s="294"/>
      <c r="Y462" s="294">
        <f>IF(NFI_Expiration=1,IF($A462&lt;VLOOKUP(H$5,NFI,5,0),1,0)*Table_NFI[[#This Row],[Hygiene Kit]],Table_NFI[Hygiene Kit])</f>
        <v>0</v>
      </c>
      <c r="Z462" s="294">
        <f>IF(NFI_Expiration=1,IF($A462&lt;VLOOKUP(I$5,NFI,5,0),1,0)*Table_NFI[[#This Row],[NFI Core Kit]],Table_NFI[NFI Core Kit])</f>
        <v>0</v>
      </c>
      <c r="AA462" s="294">
        <f>IF(NFI_Expiration=1,IF($A462&lt;VLOOKUP(J$5,NFI,5,0),1,0)*Table_NFI[[#This Row],[Sanitary Kit]],Table_NFI[Sanitary Kit])</f>
        <v>0</v>
      </c>
      <c r="AB462" s="294">
        <f>IF(NFI_Expiration=1,IF($A462&lt;VLOOKUP(K$5,NFI,5,0),1,0)*Table_NFI[[#This Row],[Mosquito net]],Table_NFI[Mosquito net])</f>
        <v>0</v>
      </c>
      <c r="AC462" s="294">
        <f>IF(NFI_Expiration=1,IF($A462&lt;VLOOKUP(L$5,NFI,5,0),1,0)*Table_NFI[[#This Row],[Tarpaulin]],Table_NFI[[#This Row],[Tarpaulin]])</f>
        <v>0</v>
      </c>
      <c r="AD462" s="294">
        <f>IF(NFI_Expiration=1,IF($A462&lt;VLOOKUP(M$5,NFI,5,0),1,0)*Table_NFI[[#This Row],[Blanket]],Table_NFI[[#This Row],[Blanket]])</f>
        <v>0</v>
      </c>
      <c r="AE462" s="294">
        <f>IF(NFI_Expiration=1,IF($A462&lt;VLOOKUP(N$5,NFI,5,0),1,0)*Table_NFI[[#This Row],[Kitchen Set]],Table_NFI[Kitchen Set])</f>
        <v>0</v>
      </c>
      <c r="AF462" s="294">
        <f>IF(NFI_Expiration=1,IF($A462&lt;VLOOKUP(O$5,NFI,5,0),1,0)*Table_NFI[[#This Row],[Clothes Kit]],Table_NFI[Clothes Kit])</f>
        <v>0</v>
      </c>
      <c r="AG462" s="294">
        <f>IF(NFI_Expiration=1,IF($A462&lt;VLOOKUP(P$5,NFI,5,0),1,0)*Table_NFI[[#This Row],[Plastic Bucket]],Table_NFI[Plastic Bucket])</f>
        <v>0</v>
      </c>
      <c r="AH462" s="294">
        <f>IF(NFI_Expiration=1,IF($A462&lt;VLOOKUP(Q$5,NFI,5,0),1,0)*Table_NFI[[#This Row],[Plastic Mat]],Table_NFI[Plastic Mat])*IF(Table_NFI[[#This Row],[Distribution Date]]&gt;"2014-04-01",1,2.5)</f>
        <v>0</v>
      </c>
      <c r="AI462" s="294">
        <f>IF(NFI_Expiration=1,IF($A462&lt;VLOOKUP(R$5,NFI,5,0),1,0)*Table_NFI[[#This Row],[Winter Clothes Adult]],Table_NFI[Winter Clothes Adult])</f>
        <v>0</v>
      </c>
      <c r="AJ462" s="294">
        <f>IF(NFI_Expiration=1,IF($A462&lt;VLOOKUP(S$5,NFI,5,0),1,0)*Table_NFI[[#This Row],[Winter Clothes Children]],Table_NFI[Winter Clothes Children])</f>
        <v>0</v>
      </c>
      <c r="AK462" s="294">
        <f>IF(NFI_Expiration=1,IF($A462&lt;VLOOKUP(T$5,NFI,5,0),1,0)*Table_NFI[[#This Row],[Winter Items Other]],Table_NFI[Winter Items Other])</f>
        <v>0</v>
      </c>
      <c r="AL462" s="294">
        <f>IF(NFI_Expiration=1,IF($A462&lt;VLOOKUP(M$5,NFI,5,0),1,0)*Table_NFI[[#This Row],[Winter Blanket]],Table_NFI[[#This Row],[Winter Blanket]])</f>
        <v>0</v>
      </c>
      <c r="AM462" s="294">
        <f>IF(Table_NFI[[#This Row],[Winter Clothes Adult]]+Table_NFI[[#This Row],[Winter Clothes Children]]+Table_NFI[[#This Row],[Winter Items Other]]+Table_NFI[[#This Row],[Winter Blanket]]&gt;0,1,0)</f>
        <v>0</v>
      </c>
      <c r="AN462" s="331">
        <f>IF(NFI_Expiration=1,IF($A462&lt;VLOOKUP(V$5,NFI,5,0),1,0)*Table_NFI[[#This Row],[Jerry Can]],Table_NFI[Jerry Can])</f>
        <v>0</v>
      </c>
      <c r="AO462" s="331">
        <f>IF(NFI_Expiration=1,IF($A462&lt;VLOOKUP(V$5,NFI,5,0),1,0)*Table_NFI[[#This Row],[Shelter Tool kit]],Table_NFI[Shelter Tool kit])</f>
        <v>0</v>
      </c>
      <c r="AP462" s="331">
        <f>IF(NFI_Expiration=1,IF($A462&lt;VLOOKUP(V$5,NFI,5,0),1,0)*Table_NFI[[#This Row],[Tent]],Table_NFI[Tent])</f>
        <v>0</v>
      </c>
      <c r="AQ462" s="467" t="str">
        <f>IFERROR(VLOOKUP(Table_NFI[[#This Row],[Camp Name]],CL,2,0),"")</f>
        <v>MMR001CMP113</v>
      </c>
      <c r="AR462" s="835">
        <f ca="1">IF(Table_NFI[[#This Row],[Pcode]]="","",IF(OFFSET(CampList[Opening Date],MATCH(Table_NFI[[#This Row],[Pcode]],CampList[CP_Pcode],0)-1,0,1,1)&gt;=NFI_Monitor_Date,1,0))</f>
        <v>0</v>
      </c>
      <c r="AS462" s="467" t="str">
        <f>IFERROR(VLOOKUP(Table_NFI[[#This Row],[Camp Name]],CL,3,0),"")</f>
        <v>Open</v>
      </c>
      <c r="AT462" s="294" t="str">
        <f ca="1">IF(Table_NFI[[#This Row],[Pcode]]="","",OFFSET(CampList[Priority],MATCH(Table_NFI[[#This Row],[Pcode]],CampList[CP_Pcode],0)-1,0,1,1))</f>
        <v>P1</v>
      </c>
      <c r="AU462" s="293">
        <f>IFERROR(Table_NFI[[#This Row],[Kitchen Set]]/VLOOKUP(Table_NFI[[#This Row],[Camp Name]],CL,4,0),"")</f>
        <v>0</v>
      </c>
      <c r="AV462" s="461" t="s">
        <v>1092</v>
      </c>
      <c r="AW462" s="463"/>
    </row>
    <row r="463" spans="1:49" s="464" customFormat="1" ht="14.45" customHeight="1" x14ac:dyDescent="0.25">
      <c r="A463" s="297">
        <f t="shared" si="7"/>
        <v>36.1</v>
      </c>
      <c r="B463" s="460">
        <v>41653</v>
      </c>
      <c r="C463" s="461" t="s">
        <v>453</v>
      </c>
      <c r="D463" s="461" t="s">
        <v>506</v>
      </c>
      <c r="E463" s="461" t="s">
        <v>380</v>
      </c>
      <c r="F463" s="461" t="s">
        <v>310</v>
      </c>
      <c r="G463" s="461" t="s">
        <v>334</v>
      </c>
      <c r="H463" s="291"/>
      <c r="I463" s="291"/>
      <c r="J463" s="291"/>
      <c r="K463" s="291"/>
      <c r="L463" s="292"/>
      <c r="M463" s="292"/>
      <c r="N463" s="292"/>
      <c r="O463" s="292"/>
      <c r="P463" s="294"/>
      <c r="Q463" s="294"/>
      <c r="R463" s="294">
        <v>501</v>
      </c>
      <c r="S463" s="294">
        <v>335</v>
      </c>
      <c r="T463" s="294"/>
      <c r="U463" s="294"/>
      <c r="V463" s="431"/>
      <c r="W463" s="294"/>
      <c r="X463" s="294"/>
      <c r="Y463" s="294">
        <f>IF(NFI_Expiration=1,IF($A463&lt;VLOOKUP(H$5,NFI,5,0),1,0)*Table_NFI[[#This Row],[Hygiene Kit]],Table_NFI[Hygiene Kit])</f>
        <v>0</v>
      </c>
      <c r="Z463" s="294">
        <f>IF(NFI_Expiration=1,IF($A463&lt;VLOOKUP(I$5,NFI,5,0),1,0)*Table_NFI[[#This Row],[NFI Core Kit]],Table_NFI[NFI Core Kit])</f>
        <v>0</v>
      </c>
      <c r="AA463" s="294">
        <f>IF(NFI_Expiration=1,IF($A463&lt;VLOOKUP(J$5,NFI,5,0),1,0)*Table_NFI[[#This Row],[Sanitary Kit]],Table_NFI[Sanitary Kit])</f>
        <v>0</v>
      </c>
      <c r="AB463" s="294">
        <f>IF(NFI_Expiration=1,IF($A463&lt;VLOOKUP(K$5,NFI,5,0),1,0)*Table_NFI[[#This Row],[Mosquito net]],Table_NFI[Mosquito net])</f>
        <v>0</v>
      </c>
      <c r="AC463" s="294">
        <f>IF(NFI_Expiration=1,IF($A463&lt;VLOOKUP(L$5,NFI,5,0),1,0)*Table_NFI[[#This Row],[Tarpaulin]],Table_NFI[[#This Row],[Tarpaulin]])</f>
        <v>0</v>
      </c>
      <c r="AD463" s="294">
        <f>IF(NFI_Expiration=1,IF($A463&lt;VLOOKUP(M$5,NFI,5,0),1,0)*Table_NFI[[#This Row],[Blanket]],Table_NFI[[#This Row],[Blanket]])</f>
        <v>0</v>
      </c>
      <c r="AE463" s="294">
        <f>IF(NFI_Expiration=1,IF($A463&lt;VLOOKUP(N$5,NFI,5,0),1,0)*Table_NFI[[#This Row],[Kitchen Set]],Table_NFI[Kitchen Set])</f>
        <v>0</v>
      </c>
      <c r="AF463" s="294">
        <f>IF(NFI_Expiration=1,IF($A463&lt;VLOOKUP(O$5,NFI,5,0),1,0)*Table_NFI[[#This Row],[Clothes Kit]],Table_NFI[Clothes Kit])</f>
        <v>0</v>
      </c>
      <c r="AG463" s="294">
        <f>IF(NFI_Expiration=1,IF($A463&lt;VLOOKUP(P$5,NFI,5,0),1,0)*Table_NFI[[#This Row],[Plastic Bucket]],Table_NFI[Plastic Bucket])</f>
        <v>0</v>
      </c>
      <c r="AH463" s="294">
        <f>IF(NFI_Expiration=1,IF($A463&lt;VLOOKUP(Q$5,NFI,5,0),1,0)*Table_NFI[[#This Row],[Plastic Mat]],Table_NFI[Plastic Mat])*IF(Table_NFI[[#This Row],[Distribution Date]]&gt;"2014-04-01",1,2.5)</f>
        <v>0</v>
      </c>
      <c r="AI463" s="294">
        <f>IF(NFI_Expiration=1,IF($A463&lt;VLOOKUP(R$5,NFI,5,0),1,0)*Table_NFI[[#This Row],[Winter Clothes Adult]],Table_NFI[Winter Clothes Adult])</f>
        <v>0</v>
      </c>
      <c r="AJ463" s="294">
        <f>IF(NFI_Expiration=1,IF($A463&lt;VLOOKUP(S$5,NFI,5,0),1,0)*Table_NFI[[#This Row],[Winter Clothes Children]],Table_NFI[Winter Clothes Children])</f>
        <v>0</v>
      </c>
      <c r="AK463" s="294">
        <f>IF(NFI_Expiration=1,IF($A463&lt;VLOOKUP(T$5,NFI,5,0),1,0)*Table_NFI[[#This Row],[Winter Items Other]],Table_NFI[Winter Items Other])</f>
        <v>0</v>
      </c>
      <c r="AL463" s="294">
        <f>IF(NFI_Expiration=1,IF($A463&lt;VLOOKUP(M$5,NFI,5,0),1,0)*Table_NFI[[#This Row],[Winter Blanket]],Table_NFI[[#This Row],[Winter Blanket]])</f>
        <v>0</v>
      </c>
      <c r="AM463" s="294">
        <f>IF(Table_NFI[[#This Row],[Winter Clothes Adult]]+Table_NFI[[#This Row],[Winter Clothes Children]]+Table_NFI[[#This Row],[Winter Items Other]]+Table_NFI[[#This Row],[Winter Blanket]]&gt;0,1,0)</f>
        <v>1</v>
      </c>
      <c r="AN463" s="331">
        <f>IF(NFI_Expiration=1,IF($A463&lt;VLOOKUP(V$5,NFI,5,0),1,0)*Table_NFI[[#This Row],[Jerry Can]],Table_NFI[Jerry Can])</f>
        <v>0</v>
      </c>
      <c r="AO463" s="331">
        <f>IF(NFI_Expiration=1,IF($A463&lt;VLOOKUP(V$5,NFI,5,0),1,0)*Table_NFI[[#This Row],[Shelter Tool kit]],Table_NFI[Shelter Tool kit])</f>
        <v>0</v>
      </c>
      <c r="AP463" s="331">
        <f>IF(NFI_Expiration=1,IF($A463&lt;VLOOKUP(V$5,NFI,5,0),1,0)*Table_NFI[[#This Row],[Tent]],Table_NFI[Tent])</f>
        <v>0</v>
      </c>
      <c r="AQ463" s="467" t="str">
        <f>IFERROR(VLOOKUP(Table_NFI[[#This Row],[Camp Name]],CL,2,0),"")</f>
        <v>MMR001CMP113</v>
      </c>
      <c r="AR463" s="835">
        <f ca="1">IF(Table_NFI[[#This Row],[Pcode]]="","",IF(OFFSET(CampList[Opening Date],MATCH(Table_NFI[[#This Row],[Pcode]],CampList[CP_Pcode],0)-1,0,1,1)&gt;=NFI_Monitor_Date,1,0))</f>
        <v>0</v>
      </c>
      <c r="AS463" s="467" t="str">
        <f>IFERROR(VLOOKUP(Table_NFI[[#This Row],[Camp Name]],CL,3,0),"")</f>
        <v>Open</v>
      </c>
      <c r="AT463" s="294" t="str">
        <f ca="1">IF(Table_NFI[[#This Row],[Pcode]]="","",OFFSET(CampList[Priority],MATCH(Table_NFI[[#This Row],[Pcode]],CampList[CP_Pcode],0)-1,0,1,1))</f>
        <v>P1</v>
      </c>
      <c r="AU463" s="293">
        <f>IFERROR(Table_NFI[[#This Row],[Kitchen Set]]/VLOOKUP(Table_NFI[[#This Row],[Camp Name]],CL,4,0),"")</f>
        <v>0</v>
      </c>
      <c r="AV463" s="461" t="s">
        <v>1092</v>
      </c>
      <c r="AW463" s="463"/>
    </row>
    <row r="464" spans="1:49" s="464" customFormat="1" ht="14.45" customHeight="1" x14ac:dyDescent="0.25">
      <c r="A464" s="297">
        <f t="shared" si="7"/>
        <v>36.1</v>
      </c>
      <c r="B464" s="460">
        <v>41653</v>
      </c>
      <c r="C464" s="461" t="s">
        <v>452</v>
      </c>
      <c r="D464" s="462" t="s">
        <v>452</v>
      </c>
      <c r="E464" s="461" t="s">
        <v>380</v>
      </c>
      <c r="F464" s="290" t="s">
        <v>151</v>
      </c>
      <c r="G464" s="290" t="s">
        <v>198</v>
      </c>
      <c r="H464" s="291"/>
      <c r="I464" s="291"/>
      <c r="J464" s="291"/>
      <c r="K464" s="291">
        <v>140</v>
      </c>
      <c r="L464" s="292">
        <v>70</v>
      </c>
      <c r="M464" s="292">
        <v>140</v>
      </c>
      <c r="N464" s="292">
        <v>70</v>
      </c>
      <c r="O464" s="292"/>
      <c r="P464" s="294">
        <v>70</v>
      </c>
      <c r="Q464" s="294">
        <v>350</v>
      </c>
      <c r="R464" s="294"/>
      <c r="S464" s="294"/>
      <c r="T464" s="294"/>
      <c r="U464" s="294"/>
      <c r="V464" s="431"/>
      <c r="W464" s="294"/>
      <c r="X464" s="294"/>
      <c r="Y464" s="294">
        <f>IF(NFI_Expiration=1,IF($A464&lt;VLOOKUP(H$5,NFI,5,0),1,0)*Table_NFI[[#This Row],[Hygiene Kit]],Table_NFI[Hygiene Kit])</f>
        <v>0</v>
      </c>
      <c r="Z464" s="294">
        <f>IF(NFI_Expiration=1,IF($A464&lt;VLOOKUP(I$5,NFI,5,0),1,0)*Table_NFI[[#This Row],[NFI Core Kit]],Table_NFI[NFI Core Kit])</f>
        <v>0</v>
      </c>
      <c r="AA464" s="294">
        <f>IF(NFI_Expiration=1,IF($A464&lt;VLOOKUP(J$5,NFI,5,0),1,0)*Table_NFI[[#This Row],[Sanitary Kit]],Table_NFI[Sanitary Kit])</f>
        <v>0</v>
      </c>
      <c r="AB464" s="294">
        <f>IF(NFI_Expiration=1,IF($A464&lt;VLOOKUP(K$5,NFI,5,0),1,0)*Table_NFI[[#This Row],[Mosquito net]],Table_NFI[Mosquito net])</f>
        <v>0</v>
      </c>
      <c r="AC464" s="294">
        <f>IF(NFI_Expiration=1,IF($A464&lt;VLOOKUP(L$5,NFI,5,0),1,0)*Table_NFI[[#This Row],[Tarpaulin]],Table_NFI[[#This Row],[Tarpaulin]])</f>
        <v>0</v>
      </c>
      <c r="AD464" s="294">
        <f>IF(NFI_Expiration=1,IF($A464&lt;VLOOKUP(M$5,NFI,5,0),1,0)*Table_NFI[[#This Row],[Blanket]],Table_NFI[[#This Row],[Blanket]])</f>
        <v>0</v>
      </c>
      <c r="AE464" s="294">
        <f>IF(NFI_Expiration=1,IF($A464&lt;VLOOKUP(N$5,NFI,5,0),1,0)*Table_NFI[[#This Row],[Kitchen Set]],Table_NFI[Kitchen Set])</f>
        <v>0</v>
      </c>
      <c r="AF464" s="294">
        <f>IF(NFI_Expiration=1,IF($A464&lt;VLOOKUP(O$5,NFI,5,0),1,0)*Table_NFI[[#This Row],[Clothes Kit]],Table_NFI[Clothes Kit])</f>
        <v>0</v>
      </c>
      <c r="AG464" s="294">
        <f>IF(NFI_Expiration=1,IF($A464&lt;VLOOKUP(P$5,NFI,5,0),1,0)*Table_NFI[[#This Row],[Plastic Bucket]],Table_NFI[Plastic Bucket])</f>
        <v>0</v>
      </c>
      <c r="AH464" s="294">
        <f>IF(NFI_Expiration=1,IF($A464&lt;VLOOKUP(Q$5,NFI,5,0),1,0)*Table_NFI[[#This Row],[Plastic Mat]],Table_NFI[Plastic Mat])*IF(Table_NFI[[#This Row],[Distribution Date]]&gt;"2014-04-01",1,2.5)</f>
        <v>0</v>
      </c>
      <c r="AI464" s="294">
        <f>IF(NFI_Expiration=1,IF($A464&lt;VLOOKUP(R$5,NFI,5,0),1,0)*Table_NFI[[#This Row],[Winter Clothes Adult]],Table_NFI[Winter Clothes Adult])</f>
        <v>0</v>
      </c>
      <c r="AJ464" s="294">
        <f>IF(NFI_Expiration=1,IF($A464&lt;VLOOKUP(S$5,NFI,5,0),1,0)*Table_NFI[[#This Row],[Winter Clothes Children]],Table_NFI[Winter Clothes Children])</f>
        <v>0</v>
      </c>
      <c r="AK464" s="294">
        <f>IF(NFI_Expiration=1,IF($A464&lt;VLOOKUP(T$5,NFI,5,0),1,0)*Table_NFI[[#This Row],[Winter Items Other]],Table_NFI[Winter Items Other])</f>
        <v>0</v>
      </c>
      <c r="AL464" s="294">
        <f>IF(NFI_Expiration=1,IF($A464&lt;VLOOKUP(M$5,NFI,5,0),1,0)*Table_NFI[[#This Row],[Winter Blanket]],Table_NFI[[#This Row],[Winter Blanket]])</f>
        <v>0</v>
      </c>
      <c r="AM464" s="294">
        <f>IF(Table_NFI[[#This Row],[Winter Clothes Adult]]+Table_NFI[[#This Row],[Winter Clothes Children]]+Table_NFI[[#This Row],[Winter Items Other]]+Table_NFI[[#This Row],[Winter Blanket]]&gt;0,1,0)</f>
        <v>0</v>
      </c>
      <c r="AN464" s="331">
        <f>IF(NFI_Expiration=1,IF($A464&lt;VLOOKUP(V$5,NFI,5,0),1,0)*Table_NFI[[#This Row],[Jerry Can]],Table_NFI[Jerry Can])</f>
        <v>0</v>
      </c>
      <c r="AO464" s="331">
        <f>IF(NFI_Expiration=1,IF($A464&lt;VLOOKUP(V$5,NFI,5,0),1,0)*Table_NFI[[#This Row],[Shelter Tool kit]],Table_NFI[Shelter Tool kit])</f>
        <v>0</v>
      </c>
      <c r="AP464" s="331">
        <f>IF(NFI_Expiration=1,IF($A464&lt;VLOOKUP(V$5,NFI,5,0),1,0)*Table_NFI[[#This Row],[Tent]],Table_NFI[Tent])</f>
        <v>0</v>
      </c>
      <c r="AQ464" s="467" t="str">
        <f>IFERROR(VLOOKUP(Table_NFI[[#This Row],[Camp Name]],CL,2,0),"")</f>
        <v>MMR001CMP128</v>
      </c>
      <c r="AR464" s="835">
        <f ca="1">IF(Table_NFI[[#This Row],[Pcode]]="","",IF(OFFSET(CampList[Opening Date],MATCH(Table_NFI[[#This Row],[Pcode]],CampList[CP_Pcode],0)-1,0,1,1)&gt;=NFI_Monitor_Date,1,0))</f>
        <v>0</v>
      </c>
      <c r="AS464" s="467" t="str">
        <f>IFERROR(VLOOKUP(Table_NFI[[#This Row],[Camp Name]],CL,3,0),"")</f>
        <v>Open</v>
      </c>
      <c r="AT464" s="294" t="str">
        <f ca="1">IF(Table_NFI[[#This Row],[Pcode]]="","",OFFSET(CampList[Priority],MATCH(Table_NFI[[#This Row],[Pcode]],CampList[CP_Pcode],0)-1,0,1,1))</f>
        <v>P2</v>
      </c>
      <c r="AU464" s="293">
        <f>IFERROR(Table_NFI[[#This Row],[Kitchen Set]]/VLOOKUP(Table_NFI[[#This Row],[Camp Name]],CL,4,0),"")</f>
        <v>1.7149717029669011E-3</v>
      </c>
      <c r="AV464" s="461" t="s">
        <v>1092</v>
      </c>
      <c r="AW464" s="463"/>
    </row>
    <row r="465" spans="1:49" s="464" customFormat="1" ht="14.45" customHeight="1" x14ac:dyDescent="0.25">
      <c r="A465" s="297">
        <f t="shared" si="7"/>
        <v>36.166666666666664</v>
      </c>
      <c r="B465" s="460">
        <v>41651</v>
      </c>
      <c r="C465" s="461" t="s">
        <v>453</v>
      </c>
      <c r="D465" s="461" t="s">
        <v>506</v>
      </c>
      <c r="E465" s="461" t="s">
        <v>380</v>
      </c>
      <c r="F465" s="461" t="s">
        <v>185</v>
      </c>
      <c r="G465" s="461" t="s">
        <v>192</v>
      </c>
      <c r="H465" s="291"/>
      <c r="I465" s="291"/>
      <c r="J465" s="291"/>
      <c r="K465" s="291"/>
      <c r="L465" s="292"/>
      <c r="M465" s="292"/>
      <c r="N465" s="292"/>
      <c r="O465" s="292">
        <v>125</v>
      </c>
      <c r="P465" s="294"/>
      <c r="Q465" s="294"/>
      <c r="R465" s="294"/>
      <c r="S465" s="294"/>
      <c r="T465" s="294"/>
      <c r="U465" s="294"/>
      <c r="V465" s="431"/>
      <c r="W465" s="294"/>
      <c r="X465" s="294"/>
      <c r="Y465" s="294">
        <f>IF(NFI_Expiration=1,IF($A465&lt;VLOOKUP(H$5,NFI,5,0),1,0)*Table_NFI[[#This Row],[Hygiene Kit]],Table_NFI[Hygiene Kit])</f>
        <v>0</v>
      </c>
      <c r="Z465" s="294">
        <f>IF(NFI_Expiration=1,IF($A465&lt;VLOOKUP(I$5,NFI,5,0),1,0)*Table_NFI[[#This Row],[NFI Core Kit]],Table_NFI[NFI Core Kit])</f>
        <v>0</v>
      </c>
      <c r="AA465" s="294">
        <f>IF(NFI_Expiration=1,IF($A465&lt;VLOOKUP(J$5,NFI,5,0),1,0)*Table_NFI[[#This Row],[Sanitary Kit]],Table_NFI[Sanitary Kit])</f>
        <v>0</v>
      </c>
      <c r="AB465" s="294">
        <f>IF(NFI_Expiration=1,IF($A465&lt;VLOOKUP(K$5,NFI,5,0),1,0)*Table_NFI[[#This Row],[Mosquito net]],Table_NFI[Mosquito net])</f>
        <v>0</v>
      </c>
      <c r="AC465" s="294">
        <f>IF(NFI_Expiration=1,IF($A465&lt;VLOOKUP(L$5,NFI,5,0),1,0)*Table_NFI[[#This Row],[Tarpaulin]],Table_NFI[[#This Row],[Tarpaulin]])</f>
        <v>0</v>
      </c>
      <c r="AD465" s="294">
        <f>IF(NFI_Expiration=1,IF($A465&lt;VLOOKUP(M$5,NFI,5,0),1,0)*Table_NFI[[#This Row],[Blanket]],Table_NFI[[#This Row],[Blanket]])</f>
        <v>0</v>
      </c>
      <c r="AE465" s="294">
        <f>IF(NFI_Expiration=1,IF($A465&lt;VLOOKUP(N$5,NFI,5,0),1,0)*Table_NFI[[#This Row],[Kitchen Set]],Table_NFI[Kitchen Set])</f>
        <v>0</v>
      </c>
      <c r="AF465" s="294">
        <f>IF(NFI_Expiration=1,IF($A465&lt;VLOOKUP(O$5,NFI,5,0),1,0)*Table_NFI[[#This Row],[Clothes Kit]],Table_NFI[Clothes Kit])</f>
        <v>0</v>
      </c>
      <c r="AG465" s="294">
        <f>IF(NFI_Expiration=1,IF($A465&lt;VLOOKUP(P$5,NFI,5,0),1,0)*Table_NFI[[#This Row],[Plastic Bucket]],Table_NFI[Plastic Bucket])</f>
        <v>0</v>
      </c>
      <c r="AH465" s="294">
        <f>IF(NFI_Expiration=1,IF($A465&lt;VLOOKUP(Q$5,NFI,5,0),1,0)*Table_NFI[[#This Row],[Plastic Mat]],Table_NFI[Plastic Mat])*IF(Table_NFI[[#This Row],[Distribution Date]]&gt;"2014-04-01",1,2.5)</f>
        <v>0</v>
      </c>
      <c r="AI465" s="294">
        <f>IF(NFI_Expiration=1,IF($A465&lt;VLOOKUP(R$5,NFI,5,0),1,0)*Table_NFI[[#This Row],[Winter Clothes Adult]],Table_NFI[Winter Clothes Adult])</f>
        <v>0</v>
      </c>
      <c r="AJ465" s="294">
        <f>IF(NFI_Expiration=1,IF($A465&lt;VLOOKUP(S$5,NFI,5,0),1,0)*Table_NFI[[#This Row],[Winter Clothes Children]],Table_NFI[Winter Clothes Children])</f>
        <v>0</v>
      </c>
      <c r="AK465" s="294">
        <f>IF(NFI_Expiration=1,IF($A465&lt;VLOOKUP(T$5,NFI,5,0),1,0)*Table_NFI[[#This Row],[Winter Items Other]],Table_NFI[Winter Items Other])</f>
        <v>0</v>
      </c>
      <c r="AL465" s="294">
        <f>IF(NFI_Expiration=1,IF($A465&lt;VLOOKUP(M$5,NFI,5,0),1,0)*Table_NFI[[#This Row],[Winter Blanket]],Table_NFI[[#This Row],[Winter Blanket]])</f>
        <v>0</v>
      </c>
      <c r="AM465" s="294">
        <f>IF(Table_NFI[[#This Row],[Winter Clothes Adult]]+Table_NFI[[#This Row],[Winter Clothes Children]]+Table_NFI[[#This Row],[Winter Items Other]]+Table_NFI[[#This Row],[Winter Blanket]]&gt;0,1,0)</f>
        <v>0</v>
      </c>
      <c r="AN465" s="331">
        <f>IF(NFI_Expiration=1,IF($A465&lt;VLOOKUP(V$5,NFI,5,0),1,0)*Table_NFI[[#This Row],[Jerry Can]],Table_NFI[Jerry Can])</f>
        <v>0</v>
      </c>
      <c r="AO465" s="331">
        <f>IF(NFI_Expiration=1,IF($A465&lt;VLOOKUP(V$5,NFI,5,0),1,0)*Table_NFI[[#This Row],[Shelter Tool kit]],Table_NFI[Shelter Tool kit])</f>
        <v>0</v>
      </c>
      <c r="AP465" s="331">
        <f>IF(NFI_Expiration=1,IF($A465&lt;VLOOKUP(V$5,NFI,5,0),1,0)*Table_NFI[[#This Row],[Tent]],Table_NFI[Tent])</f>
        <v>0</v>
      </c>
      <c r="AQ465" s="467" t="str">
        <f>IFERROR(VLOOKUP(Table_NFI[[#This Row],[Camp Name]],CL,2,0),"")</f>
        <v>MMR001CMP123</v>
      </c>
      <c r="AR465" s="835">
        <f ca="1">IF(Table_NFI[[#This Row],[Pcode]]="","",IF(OFFSET(CampList[Opening Date],MATCH(Table_NFI[[#This Row],[Pcode]],CampList[CP_Pcode],0)-1,0,1,1)&gt;=NFI_Monitor_Date,1,0))</f>
        <v>0</v>
      </c>
      <c r="AS465" s="467" t="str">
        <f>IFERROR(VLOOKUP(Table_NFI[[#This Row],[Camp Name]],CL,3,0),"")</f>
        <v>Open</v>
      </c>
      <c r="AT465" s="294" t="str">
        <f ca="1">IF(Table_NFI[[#This Row],[Pcode]]="","",OFFSET(CampList[Priority],MATCH(Table_NFI[[#This Row],[Pcode]],CampList[CP_Pcode],0)-1,0,1,1))</f>
        <v>P2</v>
      </c>
      <c r="AU465" s="293">
        <f>IFERROR(Table_NFI[[#This Row],[Kitchen Set]]/VLOOKUP(Table_NFI[[#This Row],[Camp Name]],CL,4,0),"")</f>
        <v>0</v>
      </c>
      <c r="AV465" s="461" t="s">
        <v>1092</v>
      </c>
      <c r="AW465" s="463"/>
    </row>
    <row r="466" spans="1:49" s="464" customFormat="1" x14ac:dyDescent="0.25">
      <c r="A466" s="297">
        <f t="shared" si="7"/>
        <v>36.166666666666664</v>
      </c>
      <c r="B466" s="460">
        <v>41651</v>
      </c>
      <c r="C466" s="461" t="s">
        <v>453</v>
      </c>
      <c r="D466" s="461" t="s">
        <v>506</v>
      </c>
      <c r="E466" s="461" t="s">
        <v>380</v>
      </c>
      <c r="F466" s="461" t="s">
        <v>185</v>
      </c>
      <c r="G466" s="461" t="s">
        <v>192</v>
      </c>
      <c r="H466" s="291"/>
      <c r="I466" s="291"/>
      <c r="J466" s="291"/>
      <c r="K466" s="291"/>
      <c r="L466" s="292"/>
      <c r="M466" s="292"/>
      <c r="N466" s="292"/>
      <c r="O466" s="292"/>
      <c r="P466" s="294"/>
      <c r="Q466" s="294"/>
      <c r="R466" s="294">
        <v>393</v>
      </c>
      <c r="S466" s="294">
        <v>232</v>
      </c>
      <c r="T466" s="294"/>
      <c r="U466" s="294"/>
      <c r="V466" s="431"/>
      <c r="W466" s="331"/>
      <c r="X466" s="331"/>
      <c r="Y466" s="294">
        <f>IF(NFI_Expiration=1,IF($A466&lt;VLOOKUP(H$5,NFI,5,0),1,0)*Table_NFI[[#This Row],[Hygiene Kit]],Table_NFI[Hygiene Kit])</f>
        <v>0</v>
      </c>
      <c r="Z466" s="294">
        <f>IF(NFI_Expiration=1,IF($A466&lt;VLOOKUP(I$5,NFI,5,0),1,0)*Table_NFI[[#This Row],[NFI Core Kit]],Table_NFI[NFI Core Kit])</f>
        <v>0</v>
      </c>
      <c r="AA466" s="294">
        <f>IF(NFI_Expiration=1,IF($A466&lt;VLOOKUP(J$5,NFI,5,0),1,0)*Table_NFI[[#This Row],[Sanitary Kit]],Table_NFI[Sanitary Kit])</f>
        <v>0</v>
      </c>
      <c r="AB466" s="294">
        <f>IF(NFI_Expiration=1,IF($A466&lt;VLOOKUP(K$5,NFI,5,0),1,0)*Table_NFI[[#This Row],[Mosquito net]],Table_NFI[Mosquito net])</f>
        <v>0</v>
      </c>
      <c r="AC466" s="294">
        <f>IF(NFI_Expiration=1,IF($A466&lt;VLOOKUP(L$5,NFI,5,0),1,0)*Table_NFI[[#This Row],[Tarpaulin]],Table_NFI[[#This Row],[Tarpaulin]])</f>
        <v>0</v>
      </c>
      <c r="AD466" s="294">
        <f>IF(NFI_Expiration=1,IF($A466&lt;VLOOKUP(M$5,NFI,5,0),1,0)*Table_NFI[[#This Row],[Blanket]],Table_NFI[[#This Row],[Blanket]])</f>
        <v>0</v>
      </c>
      <c r="AE466" s="294">
        <f>IF(NFI_Expiration=1,IF($A466&lt;VLOOKUP(N$5,NFI,5,0),1,0)*Table_NFI[[#This Row],[Kitchen Set]],Table_NFI[Kitchen Set])</f>
        <v>0</v>
      </c>
      <c r="AF466" s="294">
        <f>IF(NFI_Expiration=1,IF($A466&lt;VLOOKUP(O$5,NFI,5,0),1,0)*Table_NFI[[#This Row],[Clothes Kit]],Table_NFI[Clothes Kit])</f>
        <v>0</v>
      </c>
      <c r="AG466" s="294">
        <f>IF(NFI_Expiration=1,IF($A466&lt;VLOOKUP(P$5,NFI,5,0),1,0)*Table_NFI[[#This Row],[Plastic Bucket]],Table_NFI[Plastic Bucket])</f>
        <v>0</v>
      </c>
      <c r="AH466" s="294">
        <f>IF(NFI_Expiration=1,IF($A466&lt;VLOOKUP(Q$5,NFI,5,0),1,0)*Table_NFI[[#This Row],[Plastic Mat]],Table_NFI[Plastic Mat])*IF(Table_NFI[[#This Row],[Distribution Date]]&gt;"2014-04-01",1,2.5)</f>
        <v>0</v>
      </c>
      <c r="AI466" s="294">
        <f>IF(NFI_Expiration=1,IF($A466&lt;VLOOKUP(R$5,NFI,5,0),1,0)*Table_NFI[[#This Row],[Winter Clothes Adult]],Table_NFI[Winter Clothes Adult])</f>
        <v>0</v>
      </c>
      <c r="AJ466" s="294">
        <f>IF(NFI_Expiration=1,IF($A466&lt;VLOOKUP(S$5,NFI,5,0),1,0)*Table_NFI[[#This Row],[Winter Clothes Children]],Table_NFI[Winter Clothes Children])</f>
        <v>0</v>
      </c>
      <c r="AK466" s="294">
        <f>IF(NFI_Expiration=1,IF($A466&lt;VLOOKUP(T$5,NFI,5,0),1,0)*Table_NFI[[#This Row],[Winter Items Other]],Table_NFI[Winter Items Other])</f>
        <v>0</v>
      </c>
      <c r="AL466" s="294">
        <f>IF(NFI_Expiration=1,IF($A466&lt;VLOOKUP(M$5,NFI,5,0),1,0)*Table_NFI[[#This Row],[Winter Blanket]],Table_NFI[[#This Row],[Winter Blanket]])</f>
        <v>0</v>
      </c>
      <c r="AM466" s="294">
        <f>IF(Table_NFI[[#This Row],[Winter Clothes Adult]]+Table_NFI[[#This Row],[Winter Clothes Children]]+Table_NFI[[#This Row],[Winter Items Other]]+Table_NFI[[#This Row],[Winter Blanket]]&gt;0,1,0)</f>
        <v>1</v>
      </c>
      <c r="AN466" s="331">
        <f>IF(NFI_Expiration=1,IF($A466&lt;VLOOKUP(V$5,NFI,5,0),1,0)*Table_NFI[[#This Row],[Jerry Can]],Table_NFI[Jerry Can])</f>
        <v>0</v>
      </c>
      <c r="AO466" s="331">
        <f>IF(NFI_Expiration=1,IF($A466&lt;VLOOKUP(V$5,NFI,5,0),1,0)*Table_NFI[[#This Row],[Shelter Tool kit]],Table_NFI[Shelter Tool kit])</f>
        <v>0</v>
      </c>
      <c r="AP466" s="331">
        <f>IF(NFI_Expiration=1,IF($A466&lt;VLOOKUP(V$5,NFI,5,0),1,0)*Table_NFI[[#This Row],[Tent]],Table_NFI[Tent])</f>
        <v>0</v>
      </c>
      <c r="AQ466" s="467" t="str">
        <f>IFERROR(VLOOKUP(Table_NFI[[#This Row],[Camp Name]],CL,2,0),"")</f>
        <v>MMR001CMP123</v>
      </c>
      <c r="AR466" s="835">
        <f ca="1">IF(Table_NFI[[#This Row],[Pcode]]="","",IF(OFFSET(CampList[Opening Date],MATCH(Table_NFI[[#This Row],[Pcode]],CampList[CP_Pcode],0)-1,0,1,1)&gt;=NFI_Monitor_Date,1,0))</f>
        <v>0</v>
      </c>
      <c r="AS466" s="467" t="str">
        <f>IFERROR(VLOOKUP(Table_NFI[[#This Row],[Camp Name]],CL,3,0),"")</f>
        <v>Open</v>
      </c>
      <c r="AT466" s="294" t="str">
        <f ca="1">IF(Table_NFI[[#This Row],[Pcode]]="","",OFFSET(CampList[Priority],MATCH(Table_NFI[[#This Row],[Pcode]],CampList[CP_Pcode],0)-1,0,1,1))</f>
        <v>P2</v>
      </c>
      <c r="AU466" s="293">
        <f>IFERROR(Table_NFI[[#This Row],[Kitchen Set]]/VLOOKUP(Table_NFI[[#This Row],[Camp Name]],CL,4,0),"")</f>
        <v>0</v>
      </c>
      <c r="AV466" s="461" t="s">
        <v>1092</v>
      </c>
      <c r="AW466" s="463"/>
    </row>
    <row r="467" spans="1:49" s="464" customFormat="1" ht="14.45" customHeight="1" x14ac:dyDescent="0.25">
      <c r="A467" s="297">
        <f t="shared" si="7"/>
        <v>36.200000000000003</v>
      </c>
      <c r="B467" s="460">
        <v>41650</v>
      </c>
      <c r="C467" s="465" t="s">
        <v>452</v>
      </c>
      <c r="D467" s="465"/>
      <c r="E467" s="465" t="s">
        <v>380</v>
      </c>
      <c r="F467" s="465" t="s">
        <v>5</v>
      </c>
      <c r="G467" s="465" t="s">
        <v>366</v>
      </c>
      <c r="H467" s="292"/>
      <c r="I467" s="292"/>
      <c r="J467" s="292"/>
      <c r="K467" s="292"/>
      <c r="L467" s="292">
        <v>10</v>
      </c>
      <c r="M467" s="292"/>
      <c r="N467" s="292"/>
      <c r="O467" s="292"/>
      <c r="P467" s="294"/>
      <c r="Q467" s="294"/>
      <c r="R467" s="294"/>
      <c r="S467" s="294"/>
      <c r="T467" s="294"/>
      <c r="U467" s="294"/>
      <c r="V467" s="431"/>
      <c r="W467" s="294"/>
      <c r="X467" s="294"/>
      <c r="Y467" s="294">
        <f>IF(NFI_Expiration=1,IF($A467&lt;VLOOKUP(H$5,NFI,5,0),1,0)*Table_NFI[[#This Row],[Hygiene Kit]],Table_NFI[Hygiene Kit])</f>
        <v>0</v>
      </c>
      <c r="Z467" s="294">
        <f>IF(NFI_Expiration=1,IF($A467&lt;VLOOKUP(I$5,NFI,5,0),1,0)*Table_NFI[[#This Row],[NFI Core Kit]],Table_NFI[NFI Core Kit])</f>
        <v>0</v>
      </c>
      <c r="AA467" s="294">
        <f>IF(NFI_Expiration=1,IF($A467&lt;VLOOKUP(J$5,NFI,5,0),1,0)*Table_NFI[[#This Row],[Sanitary Kit]],Table_NFI[Sanitary Kit])</f>
        <v>0</v>
      </c>
      <c r="AB467" s="294">
        <f>IF(NFI_Expiration=1,IF($A467&lt;VLOOKUP(K$5,NFI,5,0),1,0)*Table_NFI[[#This Row],[Mosquito net]],Table_NFI[Mosquito net])</f>
        <v>0</v>
      </c>
      <c r="AC467" s="294">
        <f>IF(NFI_Expiration=1,IF($A467&lt;VLOOKUP(L$5,NFI,5,0),1,0)*Table_NFI[[#This Row],[Tarpaulin]],Table_NFI[[#This Row],[Tarpaulin]])</f>
        <v>0</v>
      </c>
      <c r="AD467" s="294">
        <f>IF(NFI_Expiration=1,IF($A467&lt;VLOOKUP(M$5,NFI,5,0),1,0)*Table_NFI[[#This Row],[Blanket]],Table_NFI[[#This Row],[Blanket]])</f>
        <v>0</v>
      </c>
      <c r="AE467" s="294">
        <f>IF(NFI_Expiration=1,IF($A467&lt;VLOOKUP(N$5,NFI,5,0),1,0)*Table_NFI[[#This Row],[Kitchen Set]],Table_NFI[Kitchen Set])</f>
        <v>0</v>
      </c>
      <c r="AF467" s="294">
        <f>IF(NFI_Expiration=1,IF($A467&lt;VLOOKUP(O$5,NFI,5,0),1,0)*Table_NFI[[#This Row],[Clothes Kit]],Table_NFI[Clothes Kit])</f>
        <v>0</v>
      </c>
      <c r="AG467" s="294">
        <f>IF(NFI_Expiration=1,IF($A467&lt;VLOOKUP(P$5,NFI,5,0),1,0)*Table_NFI[[#This Row],[Plastic Bucket]],Table_NFI[Plastic Bucket])</f>
        <v>0</v>
      </c>
      <c r="AH467" s="294">
        <f>IF(NFI_Expiration=1,IF($A467&lt;VLOOKUP(Q$5,NFI,5,0),1,0)*Table_NFI[[#This Row],[Plastic Mat]],Table_NFI[Plastic Mat])*IF(Table_NFI[[#This Row],[Distribution Date]]&gt;"2014-04-01",1,2.5)</f>
        <v>0</v>
      </c>
      <c r="AI467" s="294">
        <f>IF(NFI_Expiration=1,IF($A467&lt;VLOOKUP(R$5,NFI,5,0),1,0)*Table_NFI[[#This Row],[Winter Clothes Adult]],Table_NFI[Winter Clothes Adult])</f>
        <v>0</v>
      </c>
      <c r="AJ467" s="294">
        <f>IF(NFI_Expiration=1,IF($A467&lt;VLOOKUP(S$5,NFI,5,0),1,0)*Table_NFI[[#This Row],[Winter Clothes Children]],Table_NFI[Winter Clothes Children])</f>
        <v>0</v>
      </c>
      <c r="AK467" s="294">
        <f>IF(NFI_Expiration=1,IF($A467&lt;VLOOKUP(T$5,NFI,5,0),1,0)*Table_NFI[[#This Row],[Winter Items Other]],Table_NFI[Winter Items Other])</f>
        <v>0</v>
      </c>
      <c r="AL467" s="294">
        <f>IF(NFI_Expiration=1,IF($A467&lt;VLOOKUP(M$5,NFI,5,0),1,0)*Table_NFI[[#This Row],[Winter Blanket]],Table_NFI[[#This Row],[Winter Blanket]])</f>
        <v>0</v>
      </c>
      <c r="AM467" s="294">
        <f>IF(Table_NFI[[#This Row],[Winter Clothes Adult]]+Table_NFI[[#This Row],[Winter Clothes Children]]+Table_NFI[[#This Row],[Winter Items Other]]+Table_NFI[[#This Row],[Winter Blanket]]&gt;0,1,0)</f>
        <v>0</v>
      </c>
      <c r="AN467" s="331">
        <f>IF(NFI_Expiration=1,IF($A467&lt;VLOOKUP(V$5,NFI,5,0),1,0)*Table_NFI[[#This Row],[Jerry Can]],Table_NFI[Jerry Can])</f>
        <v>0</v>
      </c>
      <c r="AO467" s="331">
        <f>IF(NFI_Expiration=1,IF($A467&lt;VLOOKUP(V$5,NFI,5,0),1,0)*Table_NFI[[#This Row],[Shelter Tool kit]],Table_NFI[Shelter Tool kit])</f>
        <v>0</v>
      </c>
      <c r="AP467" s="331">
        <f>IF(NFI_Expiration=1,IF($A467&lt;VLOOKUP(V$5,NFI,5,0),1,0)*Table_NFI[[#This Row],[Tent]],Table_NFI[Tent])</f>
        <v>0</v>
      </c>
      <c r="AQ467" s="467" t="str">
        <f>IFERROR(VLOOKUP(Table_NFI[[#This Row],[Camp Name]],CL,2,0),"")</f>
        <v>MMR001CMP193</v>
      </c>
      <c r="AR467" s="835">
        <f ca="1">IF(Table_NFI[[#This Row],[Pcode]]="","",IF(OFFSET(CampList[Opening Date],MATCH(Table_NFI[[#This Row],[Pcode]],CampList[CP_Pcode],0)-1,0,1,1)&gt;=NFI_Monitor_Date,1,0))</f>
        <v>0</v>
      </c>
      <c r="AS467" s="467" t="str">
        <f>IFERROR(VLOOKUP(Table_NFI[[#This Row],[Camp Name]],CL,3,0),"")</f>
        <v>Open</v>
      </c>
      <c r="AT467" s="294" t="str">
        <f ca="1">IF(Table_NFI[[#This Row],[Pcode]]="","",OFFSET(CampList[Priority],MATCH(Table_NFI[[#This Row],[Pcode]],CampList[CP_Pcode],0)-1,0,1,1))</f>
        <v>P4</v>
      </c>
      <c r="AU467" s="293">
        <f>IFERROR(Table_NFI[[#This Row],[Kitchen Set]]/VLOOKUP(Table_NFI[[#This Row],[Camp Name]],CL,4,0),"")</f>
        <v>0</v>
      </c>
      <c r="AV467" s="465"/>
      <c r="AW467" s="468"/>
    </row>
    <row r="468" spans="1:49" s="464" customFormat="1" ht="14.45" customHeight="1" x14ac:dyDescent="0.25">
      <c r="A468" s="297">
        <f t="shared" si="7"/>
        <v>36.266666666666666</v>
      </c>
      <c r="B468" s="460">
        <v>41648</v>
      </c>
      <c r="C468" s="461" t="s">
        <v>905</v>
      </c>
      <c r="D468" s="461" t="s">
        <v>460</v>
      </c>
      <c r="E468" s="461" t="s">
        <v>380</v>
      </c>
      <c r="F468" s="461" t="s">
        <v>151</v>
      </c>
      <c r="G468" s="461" t="s">
        <v>884</v>
      </c>
      <c r="H468" s="291"/>
      <c r="I468" s="291"/>
      <c r="J468" s="291"/>
      <c r="K468" s="291"/>
      <c r="L468" s="292"/>
      <c r="M468" s="292"/>
      <c r="N468" s="292"/>
      <c r="O468" s="292"/>
      <c r="P468" s="294"/>
      <c r="Q468" s="294"/>
      <c r="R468" s="294">
        <v>142</v>
      </c>
      <c r="S468" s="294">
        <v>284</v>
      </c>
      <c r="T468" s="294">
        <v>852</v>
      </c>
      <c r="U468" s="294">
        <v>426</v>
      </c>
      <c r="V468" s="431"/>
      <c r="W468" s="294"/>
      <c r="X468" s="294"/>
      <c r="Y468" s="294">
        <f>IF(NFI_Expiration=1,IF($A468&lt;VLOOKUP(H$5,NFI,5,0),1,0)*Table_NFI[[#This Row],[Hygiene Kit]],Table_NFI[Hygiene Kit])</f>
        <v>0</v>
      </c>
      <c r="Z468" s="294">
        <f>IF(NFI_Expiration=1,IF($A468&lt;VLOOKUP(I$5,NFI,5,0),1,0)*Table_NFI[[#This Row],[NFI Core Kit]],Table_NFI[NFI Core Kit])</f>
        <v>0</v>
      </c>
      <c r="AA468" s="294">
        <f>IF(NFI_Expiration=1,IF($A468&lt;VLOOKUP(J$5,NFI,5,0),1,0)*Table_NFI[[#This Row],[Sanitary Kit]],Table_NFI[Sanitary Kit])</f>
        <v>0</v>
      </c>
      <c r="AB468" s="294">
        <f>IF(NFI_Expiration=1,IF($A468&lt;VLOOKUP(K$5,NFI,5,0),1,0)*Table_NFI[[#This Row],[Mosquito net]],Table_NFI[Mosquito net])</f>
        <v>0</v>
      </c>
      <c r="AC468" s="294">
        <f>IF(NFI_Expiration=1,IF($A468&lt;VLOOKUP(L$5,NFI,5,0),1,0)*Table_NFI[[#This Row],[Tarpaulin]],Table_NFI[[#This Row],[Tarpaulin]])</f>
        <v>0</v>
      </c>
      <c r="AD468" s="294">
        <f>IF(NFI_Expiration=1,IF($A468&lt;VLOOKUP(M$5,NFI,5,0),1,0)*Table_NFI[[#This Row],[Blanket]],Table_NFI[[#This Row],[Blanket]])</f>
        <v>0</v>
      </c>
      <c r="AE468" s="294">
        <f>IF(NFI_Expiration=1,IF($A468&lt;VLOOKUP(N$5,NFI,5,0),1,0)*Table_NFI[[#This Row],[Kitchen Set]],Table_NFI[Kitchen Set])</f>
        <v>0</v>
      </c>
      <c r="AF468" s="294">
        <f>IF(NFI_Expiration=1,IF($A468&lt;VLOOKUP(O$5,NFI,5,0),1,0)*Table_NFI[[#This Row],[Clothes Kit]],Table_NFI[Clothes Kit])</f>
        <v>0</v>
      </c>
      <c r="AG468" s="294">
        <f>IF(NFI_Expiration=1,IF($A468&lt;VLOOKUP(P$5,NFI,5,0),1,0)*Table_NFI[[#This Row],[Plastic Bucket]],Table_NFI[Plastic Bucket])</f>
        <v>0</v>
      </c>
      <c r="AH468" s="294">
        <f>IF(NFI_Expiration=1,IF($A468&lt;VLOOKUP(Q$5,NFI,5,0),1,0)*Table_NFI[[#This Row],[Plastic Mat]],Table_NFI[Plastic Mat])*IF(Table_NFI[[#This Row],[Distribution Date]]&gt;"2014-04-01",1,2.5)</f>
        <v>0</v>
      </c>
      <c r="AI468" s="294">
        <f>IF(NFI_Expiration=1,IF($A468&lt;VLOOKUP(R$5,NFI,5,0),1,0)*Table_NFI[[#This Row],[Winter Clothes Adult]],Table_NFI[Winter Clothes Adult])</f>
        <v>0</v>
      </c>
      <c r="AJ468" s="294">
        <f>IF(NFI_Expiration=1,IF($A468&lt;VLOOKUP(S$5,NFI,5,0),1,0)*Table_NFI[[#This Row],[Winter Clothes Children]],Table_NFI[Winter Clothes Children])</f>
        <v>0</v>
      </c>
      <c r="AK468" s="294">
        <f>IF(NFI_Expiration=1,IF($A468&lt;VLOOKUP(T$5,NFI,5,0),1,0)*Table_NFI[[#This Row],[Winter Items Other]],Table_NFI[Winter Items Other])</f>
        <v>0</v>
      </c>
      <c r="AL468" s="294">
        <f>IF(NFI_Expiration=1,IF($A468&lt;VLOOKUP(M$5,NFI,5,0),1,0)*Table_NFI[[#This Row],[Winter Blanket]],Table_NFI[[#This Row],[Winter Blanket]])</f>
        <v>0</v>
      </c>
      <c r="AM468" s="294">
        <f>IF(Table_NFI[[#This Row],[Winter Clothes Adult]]+Table_NFI[[#This Row],[Winter Clothes Children]]+Table_NFI[[#This Row],[Winter Items Other]]+Table_NFI[[#This Row],[Winter Blanket]]&gt;0,1,0)</f>
        <v>1</v>
      </c>
      <c r="AN468" s="331">
        <f>IF(NFI_Expiration=1,IF($A468&lt;VLOOKUP(V$5,NFI,5,0),1,0)*Table_NFI[[#This Row],[Jerry Can]],Table_NFI[Jerry Can])</f>
        <v>0</v>
      </c>
      <c r="AO468" s="331">
        <f>IF(NFI_Expiration=1,IF($A468&lt;VLOOKUP(V$5,NFI,5,0),1,0)*Table_NFI[[#This Row],[Shelter Tool kit]],Table_NFI[Shelter Tool kit])</f>
        <v>0</v>
      </c>
      <c r="AP468" s="331">
        <f>IF(NFI_Expiration=1,IF($A468&lt;VLOOKUP(V$5,NFI,5,0),1,0)*Table_NFI[[#This Row],[Tent]],Table_NFI[Tent])</f>
        <v>0</v>
      </c>
      <c r="AQ468" s="467" t="str">
        <f>IFERROR(VLOOKUP(Table_NFI[[#This Row],[Camp Name]],CL,2,0),"")</f>
        <v>MMR001CMP217</v>
      </c>
      <c r="AR468" s="835">
        <f ca="1">IF(Table_NFI[[#This Row],[Pcode]]="","",IF(OFFSET(CampList[Opening Date],MATCH(Table_NFI[[#This Row],[Pcode]],CampList[CP_Pcode],0)-1,0,1,1)&gt;=NFI_Monitor_Date,1,0))</f>
        <v>0</v>
      </c>
      <c r="AS468" s="467" t="str">
        <f>IFERROR(VLOOKUP(Table_NFI[[#This Row],[Camp Name]],CL,3,0),"")</f>
        <v>Closed</v>
      </c>
      <c r="AT468" s="294" t="str">
        <f ca="1">IF(Table_NFI[[#This Row],[Pcode]]="","",OFFSET(CampList[Priority],MATCH(Table_NFI[[#This Row],[Pcode]],CampList[CP_Pcode],0)-1,0,1,1))</f>
        <v/>
      </c>
      <c r="AU468" s="293" t="str">
        <f>IFERROR(Table_NFI[[#This Row],[Kitchen Set]]/VLOOKUP(Table_NFI[[#This Row],[Camp Name]],CL,4,0),"")</f>
        <v/>
      </c>
      <c r="AV468" s="461"/>
      <c r="AW468" s="463"/>
    </row>
    <row r="469" spans="1:49" s="464" customFormat="1" ht="14.45" customHeight="1" x14ac:dyDescent="0.25">
      <c r="A469" s="297">
        <f t="shared" si="7"/>
        <v>36.333333333333336</v>
      </c>
      <c r="B469" s="460">
        <v>41646</v>
      </c>
      <c r="C469" s="461" t="s">
        <v>452</v>
      </c>
      <c r="D469" s="462" t="s">
        <v>452</v>
      </c>
      <c r="E469" s="461" t="s">
        <v>380</v>
      </c>
      <c r="F469" s="290" t="s">
        <v>5</v>
      </c>
      <c r="G469" s="290" t="s">
        <v>22</v>
      </c>
      <c r="H469" s="291"/>
      <c r="I469" s="291"/>
      <c r="J469" s="291"/>
      <c r="K469" s="291">
        <v>44</v>
      </c>
      <c r="L469" s="292">
        <v>30</v>
      </c>
      <c r="M469" s="292">
        <v>44</v>
      </c>
      <c r="N469" s="292">
        <v>20</v>
      </c>
      <c r="O469" s="292">
        <v>20</v>
      </c>
      <c r="P469" s="294"/>
      <c r="Q469" s="294"/>
      <c r="R469" s="294"/>
      <c r="S469" s="294"/>
      <c r="T469" s="294"/>
      <c r="U469" s="294"/>
      <c r="V469" s="431"/>
      <c r="W469" s="294"/>
      <c r="X469" s="294"/>
      <c r="Y469" s="294">
        <f>IF(NFI_Expiration=1,IF($A469&lt;VLOOKUP(H$5,NFI,5,0),1,0)*Table_NFI[[#This Row],[Hygiene Kit]],Table_NFI[Hygiene Kit])</f>
        <v>0</v>
      </c>
      <c r="Z469" s="294">
        <f>IF(NFI_Expiration=1,IF($A469&lt;VLOOKUP(I$5,NFI,5,0),1,0)*Table_NFI[[#This Row],[NFI Core Kit]],Table_NFI[NFI Core Kit])</f>
        <v>0</v>
      </c>
      <c r="AA469" s="294">
        <f>IF(NFI_Expiration=1,IF($A469&lt;VLOOKUP(J$5,NFI,5,0),1,0)*Table_NFI[[#This Row],[Sanitary Kit]],Table_NFI[Sanitary Kit])</f>
        <v>0</v>
      </c>
      <c r="AB469" s="294">
        <f>IF(NFI_Expiration=1,IF($A469&lt;VLOOKUP(K$5,NFI,5,0),1,0)*Table_NFI[[#This Row],[Mosquito net]],Table_NFI[Mosquito net])</f>
        <v>0</v>
      </c>
      <c r="AC469" s="294">
        <f>IF(NFI_Expiration=1,IF($A469&lt;VLOOKUP(L$5,NFI,5,0),1,0)*Table_NFI[[#This Row],[Tarpaulin]],Table_NFI[[#This Row],[Tarpaulin]])</f>
        <v>0</v>
      </c>
      <c r="AD469" s="294">
        <f>IF(NFI_Expiration=1,IF($A469&lt;VLOOKUP(M$5,NFI,5,0),1,0)*Table_NFI[[#This Row],[Blanket]],Table_NFI[[#This Row],[Blanket]])</f>
        <v>0</v>
      </c>
      <c r="AE469" s="294">
        <f>IF(NFI_Expiration=1,IF($A469&lt;VLOOKUP(N$5,NFI,5,0),1,0)*Table_NFI[[#This Row],[Kitchen Set]],Table_NFI[Kitchen Set])</f>
        <v>0</v>
      </c>
      <c r="AF469" s="294">
        <f>IF(NFI_Expiration=1,IF($A469&lt;VLOOKUP(O$5,NFI,5,0),1,0)*Table_NFI[[#This Row],[Clothes Kit]],Table_NFI[Clothes Kit])</f>
        <v>0</v>
      </c>
      <c r="AG469" s="294">
        <f>IF(NFI_Expiration=1,IF($A469&lt;VLOOKUP(P$5,NFI,5,0),1,0)*Table_NFI[[#This Row],[Plastic Bucket]],Table_NFI[Plastic Bucket])</f>
        <v>0</v>
      </c>
      <c r="AH469" s="294">
        <f>IF(NFI_Expiration=1,IF($A469&lt;VLOOKUP(Q$5,NFI,5,0),1,0)*Table_NFI[[#This Row],[Plastic Mat]],Table_NFI[Plastic Mat])*IF(Table_NFI[[#This Row],[Distribution Date]]&gt;"2014-04-01",1,2.5)</f>
        <v>0</v>
      </c>
      <c r="AI469" s="294">
        <f>IF(NFI_Expiration=1,IF($A469&lt;VLOOKUP(R$5,NFI,5,0),1,0)*Table_NFI[[#This Row],[Winter Clothes Adult]],Table_NFI[Winter Clothes Adult])</f>
        <v>0</v>
      </c>
      <c r="AJ469" s="294">
        <f>IF(NFI_Expiration=1,IF($A469&lt;VLOOKUP(S$5,NFI,5,0),1,0)*Table_NFI[[#This Row],[Winter Clothes Children]],Table_NFI[Winter Clothes Children])</f>
        <v>0</v>
      </c>
      <c r="AK469" s="294">
        <f>IF(NFI_Expiration=1,IF($A469&lt;VLOOKUP(T$5,NFI,5,0),1,0)*Table_NFI[[#This Row],[Winter Items Other]],Table_NFI[Winter Items Other])</f>
        <v>0</v>
      </c>
      <c r="AL469" s="294">
        <f>IF(NFI_Expiration=1,IF($A469&lt;VLOOKUP(M$5,NFI,5,0),1,0)*Table_NFI[[#This Row],[Winter Blanket]],Table_NFI[[#This Row],[Winter Blanket]])</f>
        <v>0</v>
      </c>
      <c r="AM469" s="294">
        <f>IF(Table_NFI[[#This Row],[Winter Clothes Adult]]+Table_NFI[[#This Row],[Winter Clothes Children]]+Table_NFI[[#This Row],[Winter Items Other]]+Table_NFI[[#This Row],[Winter Blanket]]&gt;0,1,0)</f>
        <v>0</v>
      </c>
      <c r="AN469" s="331">
        <f>IF(NFI_Expiration=1,IF($A469&lt;VLOOKUP(V$5,NFI,5,0),1,0)*Table_NFI[[#This Row],[Jerry Can]],Table_NFI[Jerry Can])</f>
        <v>0</v>
      </c>
      <c r="AO469" s="331">
        <f>IF(NFI_Expiration=1,IF($A469&lt;VLOOKUP(V$5,NFI,5,0),1,0)*Table_NFI[[#This Row],[Shelter Tool kit]],Table_NFI[Shelter Tool kit])</f>
        <v>0</v>
      </c>
      <c r="AP469" s="331">
        <f>IF(NFI_Expiration=1,IF($A469&lt;VLOOKUP(V$5,NFI,5,0),1,0)*Table_NFI[[#This Row],[Tent]],Table_NFI[Tent])</f>
        <v>0</v>
      </c>
      <c r="AQ469" s="467" t="str">
        <f>IFERROR(VLOOKUP(Table_NFI[[#This Row],[Camp Name]],CL,2,0),"")</f>
        <v>MMR001CMP047</v>
      </c>
      <c r="AR469" s="835">
        <f ca="1">IF(Table_NFI[[#This Row],[Pcode]]="","",IF(OFFSET(CampList[Opening Date],MATCH(Table_NFI[[#This Row],[Pcode]],CampList[CP_Pcode],0)-1,0,1,1)&gt;=NFI_Monitor_Date,1,0))</f>
        <v>0</v>
      </c>
      <c r="AS469" s="467" t="str">
        <f>IFERROR(VLOOKUP(Table_NFI[[#This Row],[Camp Name]],CL,3,0),"")</f>
        <v>Open</v>
      </c>
      <c r="AT469" s="294" t="str">
        <f ca="1">IF(Table_NFI[[#This Row],[Pcode]]="","",OFFSET(CampList[Priority],MATCH(Table_NFI[[#This Row],[Pcode]],CampList[CP_Pcode],0)-1,0,1,1))</f>
        <v>P4</v>
      </c>
      <c r="AU469" s="293">
        <f>IFERROR(Table_NFI[[#This Row],[Kitchen Set]]/VLOOKUP(Table_NFI[[#This Row],[Camp Name]],CL,4,0),"")</f>
        <v>4.9109883364027013E-4</v>
      </c>
      <c r="AV469" s="461" t="s">
        <v>1092</v>
      </c>
      <c r="AW469" s="463"/>
    </row>
    <row r="470" spans="1:49" s="464" customFormat="1" ht="14.45" customHeight="1" x14ac:dyDescent="0.25">
      <c r="A470" s="297">
        <f t="shared" si="7"/>
        <v>36.533333333333331</v>
      </c>
      <c r="B470" s="460">
        <v>41640</v>
      </c>
      <c r="C470" s="461" t="s">
        <v>1037</v>
      </c>
      <c r="D470" s="461" t="s">
        <v>900</v>
      </c>
      <c r="E470" s="461" t="s">
        <v>380</v>
      </c>
      <c r="F470" s="290" t="s">
        <v>180</v>
      </c>
      <c r="G470" s="461" t="s">
        <v>183</v>
      </c>
      <c r="H470" s="291"/>
      <c r="I470" s="291"/>
      <c r="J470" s="291"/>
      <c r="K470" s="291"/>
      <c r="L470" s="292"/>
      <c r="M470" s="292"/>
      <c r="N470" s="292">
        <v>12</v>
      </c>
      <c r="O470" s="292"/>
      <c r="P470" s="294"/>
      <c r="Q470" s="294"/>
      <c r="R470" s="294"/>
      <c r="S470" s="294"/>
      <c r="T470" s="294"/>
      <c r="U470" s="294"/>
      <c r="V470" s="431"/>
      <c r="W470" s="294"/>
      <c r="X470" s="294"/>
      <c r="Y470" s="294">
        <f>IF(NFI_Expiration=1,IF($A470&lt;VLOOKUP(H$5,NFI,5,0),1,0)*Table_NFI[[#This Row],[Hygiene Kit]],Table_NFI[Hygiene Kit])</f>
        <v>0</v>
      </c>
      <c r="Z470" s="294">
        <f>IF(NFI_Expiration=1,IF($A470&lt;VLOOKUP(I$5,NFI,5,0),1,0)*Table_NFI[[#This Row],[NFI Core Kit]],Table_NFI[NFI Core Kit])</f>
        <v>0</v>
      </c>
      <c r="AA470" s="294">
        <f>IF(NFI_Expiration=1,IF($A470&lt;VLOOKUP(J$5,NFI,5,0),1,0)*Table_NFI[[#This Row],[Sanitary Kit]],Table_NFI[Sanitary Kit])</f>
        <v>0</v>
      </c>
      <c r="AB470" s="294">
        <f>IF(NFI_Expiration=1,IF($A470&lt;VLOOKUP(K$5,NFI,5,0),1,0)*Table_NFI[[#This Row],[Mosquito net]],Table_NFI[Mosquito net])</f>
        <v>0</v>
      </c>
      <c r="AC470" s="294">
        <f>IF(NFI_Expiration=1,IF($A470&lt;VLOOKUP(L$5,NFI,5,0),1,0)*Table_NFI[[#This Row],[Tarpaulin]],Table_NFI[[#This Row],[Tarpaulin]])</f>
        <v>0</v>
      </c>
      <c r="AD470" s="294">
        <f>IF(NFI_Expiration=1,IF($A470&lt;VLOOKUP(M$5,NFI,5,0),1,0)*Table_NFI[[#This Row],[Blanket]],Table_NFI[[#This Row],[Blanket]])</f>
        <v>0</v>
      </c>
      <c r="AE470" s="294">
        <f>IF(NFI_Expiration=1,IF($A470&lt;VLOOKUP(N$5,NFI,5,0),1,0)*Table_NFI[[#This Row],[Kitchen Set]],Table_NFI[Kitchen Set])</f>
        <v>0</v>
      </c>
      <c r="AF470" s="294">
        <f>IF(NFI_Expiration=1,IF($A470&lt;VLOOKUP(O$5,NFI,5,0),1,0)*Table_NFI[[#This Row],[Clothes Kit]],Table_NFI[Clothes Kit])</f>
        <v>0</v>
      </c>
      <c r="AG470" s="294">
        <f>IF(NFI_Expiration=1,IF($A470&lt;VLOOKUP(P$5,NFI,5,0),1,0)*Table_NFI[[#This Row],[Plastic Bucket]],Table_NFI[Plastic Bucket])</f>
        <v>0</v>
      </c>
      <c r="AH470" s="294">
        <f>IF(NFI_Expiration=1,IF($A470&lt;VLOOKUP(Q$5,NFI,5,0),1,0)*Table_NFI[[#This Row],[Plastic Mat]],Table_NFI[Plastic Mat])*IF(Table_NFI[[#This Row],[Distribution Date]]&gt;"2014-04-01",1,2.5)</f>
        <v>0</v>
      </c>
      <c r="AI470" s="294">
        <f>IF(NFI_Expiration=1,IF($A470&lt;VLOOKUP(R$5,NFI,5,0),1,0)*Table_NFI[[#This Row],[Winter Clothes Adult]],Table_NFI[Winter Clothes Adult])</f>
        <v>0</v>
      </c>
      <c r="AJ470" s="294">
        <f>IF(NFI_Expiration=1,IF($A470&lt;VLOOKUP(S$5,NFI,5,0),1,0)*Table_NFI[[#This Row],[Winter Clothes Children]],Table_NFI[Winter Clothes Children])</f>
        <v>0</v>
      </c>
      <c r="AK470" s="294">
        <f>IF(NFI_Expiration=1,IF($A470&lt;VLOOKUP(T$5,NFI,5,0),1,0)*Table_NFI[[#This Row],[Winter Items Other]],Table_NFI[Winter Items Other])</f>
        <v>0</v>
      </c>
      <c r="AL470" s="294">
        <f>IF(NFI_Expiration=1,IF($A470&lt;VLOOKUP(M$5,NFI,5,0),1,0)*Table_NFI[[#This Row],[Winter Blanket]],Table_NFI[[#This Row],[Winter Blanket]])</f>
        <v>0</v>
      </c>
      <c r="AM470" s="294">
        <f>IF(Table_NFI[[#This Row],[Winter Clothes Adult]]+Table_NFI[[#This Row],[Winter Clothes Children]]+Table_NFI[[#This Row],[Winter Items Other]]+Table_NFI[[#This Row],[Winter Blanket]]&gt;0,1,0)</f>
        <v>0</v>
      </c>
      <c r="AN470" s="331">
        <f>IF(NFI_Expiration=1,IF($A470&lt;VLOOKUP(V$5,NFI,5,0),1,0)*Table_NFI[[#This Row],[Jerry Can]],Table_NFI[Jerry Can])</f>
        <v>0</v>
      </c>
      <c r="AO470" s="331">
        <f>IF(NFI_Expiration=1,IF($A470&lt;VLOOKUP(V$5,NFI,5,0),1,0)*Table_NFI[[#This Row],[Shelter Tool kit]],Table_NFI[Shelter Tool kit])</f>
        <v>0</v>
      </c>
      <c r="AP470" s="331">
        <f>IF(NFI_Expiration=1,IF($A470&lt;VLOOKUP(V$5,NFI,5,0),1,0)*Table_NFI[[#This Row],[Tent]],Table_NFI[Tent])</f>
        <v>0</v>
      </c>
      <c r="AQ470" s="467" t="str">
        <f>IFERROR(VLOOKUP(Table_NFI[[#This Row],[Camp Name]],CL,2,0),"")</f>
        <v>MMR001CMP081</v>
      </c>
      <c r="AR470" s="835">
        <f ca="1">IF(Table_NFI[[#This Row],[Pcode]]="","",IF(OFFSET(CampList[Opening Date],MATCH(Table_NFI[[#This Row],[Pcode]],CampList[CP_Pcode],0)-1,0,1,1)&gt;=NFI_Monitor_Date,1,0))</f>
        <v>0</v>
      </c>
      <c r="AS470" s="467" t="str">
        <f>IFERROR(VLOOKUP(Table_NFI[[#This Row],[Camp Name]],CL,3,0),"")</f>
        <v>Closed</v>
      </c>
      <c r="AT470" s="294" t="str">
        <f ca="1">IF(Table_NFI[[#This Row],[Pcode]]="","",OFFSET(CampList[Priority],MATCH(Table_NFI[[#This Row],[Pcode]],CampList[CP_Pcode],0)-1,0,1,1))</f>
        <v>P4</v>
      </c>
      <c r="AU470" s="293">
        <f>IFERROR(Table_NFI[[#This Row],[Kitchen Set]]/VLOOKUP(Table_NFI[[#This Row],[Camp Name]],CL,4,0),"")</f>
        <v>2.9290439112499695E-4</v>
      </c>
      <c r="AV470" s="461" t="s">
        <v>1092</v>
      </c>
      <c r="AW470" s="463"/>
    </row>
    <row r="471" spans="1:49" s="464" customFormat="1" ht="14.45" customHeight="1" x14ac:dyDescent="0.25">
      <c r="A471" s="297">
        <f t="shared" si="7"/>
        <v>36.533333333333331</v>
      </c>
      <c r="B471" s="460">
        <v>41640</v>
      </c>
      <c r="C471" s="461" t="s">
        <v>1037</v>
      </c>
      <c r="D471" s="461" t="s">
        <v>900</v>
      </c>
      <c r="E471" s="461" t="s">
        <v>380</v>
      </c>
      <c r="F471" s="461" t="s">
        <v>173</v>
      </c>
      <c r="G471" s="461" t="s">
        <v>176</v>
      </c>
      <c r="H471" s="291"/>
      <c r="I471" s="291"/>
      <c r="J471" s="291"/>
      <c r="K471" s="291"/>
      <c r="L471" s="292"/>
      <c r="M471" s="292"/>
      <c r="N471" s="292">
        <v>14</v>
      </c>
      <c r="O471" s="292"/>
      <c r="P471" s="294"/>
      <c r="Q471" s="294"/>
      <c r="R471" s="294"/>
      <c r="S471" s="294"/>
      <c r="T471" s="294"/>
      <c r="U471" s="294"/>
      <c r="V471" s="431"/>
      <c r="W471" s="294"/>
      <c r="X471" s="294"/>
      <c r="Y471" s="294">
        <f>IF(NFI_Expiration=1,IF($A471&lt;VLOOKUP(H$5,NFI,5,0),1,0)*Table_NFI[[#This Row],[Hygiene Kit]],Table_NFI[Hygiene Kit])</f>
        <v>0</v>
      </c>
      <c r="Z471" s="294">
        <f>IF(NFI_Expiration=1,IF($A471&lt;VLOOKUP(I$5,NFI,5,0),1,0)*Table_NFI[[#This Row],[NFI Core Kit]],Table_NFI[NFI Core Kit])</f>
        <v>0</v>
      </c>
      <c r="AA471" s="294">
        <f>IF(NFI_Expiration=1,IF($A471&lt;VLOOKUP(J$5,NFI,5,0),1,0)*Table_NFI[[#This Row],[Sanitary Kit]],Table_NFI[Sanitary Kit])</f>
        <v>0</v>
      </c>
      <c r="AB471" s="294">
        <f>IF(NFI_Expiration=1,IF($A471&lt;VLOOKUP(K$5,NFI,5,0),1,0)*Table_NFI[[#This Row],[Mosquito net]],Table_NFI[Mosquito net])</f>
        <v>0</v>
      </c>
      <c r="AC471" s="294">
        <f>IF(NFI_Expiration=1,IF($A471&lt;VLOOKUP(L$5,NFI,5,0),1,0)*Table_NFI[[#This Row],[Tarpaulin]],Table_NFI[[#This Row],[Tarpaulin]])</f>
        <v>0</v>
      </c>
      <c r="AD471" s="294">
        <f>IF(NFI_Expiration=1,IF($A471&lt;VLOOKUP(M$5,NFI,5,0),1,0)*Table_NFI[[#This Row],[Blanket]],Table_NFI[[#This Row],[Blanket]])</f>
        <v>0</v>
      </c>
      <c r="AE471" s="294">
        <f>IF(NFI_Expiration=1,IF($A471&lt;VLOOKUP(N$5,NFI,5,0),1,0)*Table_NFI[[#This Row],[Kitchen Set]],Table_NFI[Kitchen Set])</f>
        <v>0</v>
      </c>
      <c r="AF471" s="294">
        <f>IF(NFI_Expiration=1,IF($A471&lt;VLOOKUP(O$5,NFI,5,0),1,0)*Table_NFI[[#This Row],[Clothes Kit]],Table_NFI[Clothes Kit])</f>
        <v>0</v>
      </c>
      <c r="AG471" s="294">
        <f>IF(NFI_Expiration=1,IF($A471&lt;VLOOKUP(P$5,NFI,5,0),1,0)*Table_NFI[[#This Row],[Plastic Bucket]],Table_NFI[Plastic Bucket])</f>
        <v>0</v>
      </c>
      <c r="AH471" s="294">
        <f>IF(NFI_Expiration=1,IF($A471&lt;VLOOKUP(Q$5,NFI,5,0),1,0)*Table_NFI[[#This Row],[Plastic Mat]],Table_NFI[Plastic Mat])*IF(Table_NFI[[#This Row],[Distribution Date]]&gt;"2014-04-01",1,2.5)</f>
        <v>0</v>
      </c>
      <c r="AI471" s="294">
        <f>IF(NFI_Expiration=1,IF($A471&lt;VLOOKUP(R$5,NFI,5,0),1,0)*Table_NFI[[#This Row],[Winter Clothes Adult]],Table_NFI[Winter Clothes Adult])</f>
        <v>0</v>
      </c>
      <c r="AJ471" s="294">
        <f>IF(NFI_Expiration=1,IF($A471&lt;VLOOKUP(S$5,NFI,5,0),1,0)*Table_NFI[[#This Row],[Winter Clothes Children]],Table_NFI[Winter Clothes Children])</f>
        <v>0</v>
      </c>
      <c r="AK471" s="294">
        <f>IF(NFI_Expiration=1,IF($A471&lt;VLOOKUP(T$5,NFI,5,0),1,0)*Table_NFI[[#This Row],[Winter Items Other]],Table_NFI[Winter Items Other])</f>
        <v>0</v>
      </c>
      <c r="AL471" s="294">
        <f>IF(NFI_Expiration=1,IF($A471&lt;VLOOKUP(M$5,NFI,5,0),1,0)*Table_NFI[[#This Row],[Winter Blanket]],Table_NFI[[#This Row],[Winter Blanket]])</f>
        <v>0</v>
      </c>
      <c r="AM471" s="294">
        <f>IF(Table_NFI[[#This Row],[Winter Clothes Adult]]+Table_NFI[[#This Row],[Winter Clothes Children]]+Table_NFI[[#This Row],[Winter Items Other]]+Table_NFI[[#This Row],[Winter Blanket]]&gt;0,1,0)</f>
        <v>0</v>
      </c>
      <c r="AN471" s="331">
        <f>IF(NFI_Expiration=1,IF($A471&lt;VLOOKUP(V$5,NFI,5,0),1,0)*Table_NFI[[#This Row],[Jerry Can]],Table_NFI[Jerry Can])</f>
        <v>0</v>
      </c>
      <c r="AO471" s="331">
        <f>IF(NFI_Expiration=1,IF($A471&lt;VLOOKUP(V$5,NFI,5,0),1,0)*Table_NFI[[#This Row],[Shelter Tool kit]],Table_NFI[Shelter Tool kit])</f>
        <v>0</v>
      </c>
      <c r="AP471" s="331">
        <f>IF(NFI_Expiration=1,IF($A471&lt;VLOOKUP(V$5,NFI,5,0),1,0)*Table_NFI[[#This Row],[Tent]],Table_NFI[Tent])</f>
        <v>0</v>
      </c>
      <c r="AQ471" s="467" t="str">
        <f>IFERROR(VLOOKUP(Table_NFI[[#This Row],[Camp Name]],CL,2,0),"")</f>
        <v>MMR001CMP077</v>
      </c>
      <c r="AR471" s="835">
        <f ca="1">IF(Table_NFI[[#This Row],[Pcode]]="","",IF(OFFSET(CampList[Opening Date],MATCH(Table_NFI[[#This Row],[Pcode]],CampList[CP_Pcode],0)-1,0,1,1)&gt;=NFI_Monitor_Date,1,0))</f>
        <v>0</v>
      </c>
      <c r="AS471" s="467" t="str">
        <f>IFERROR(VLOOKUP(Table_NFI[[#This Row],[Camp Name]],CL,3,0),"")</f>
        <v>Open</v>
      </c>
      <c r="AT471" s="294" t="str">
        <f ca="1">IF(Table_NFI[[#This Row],[Pcode]]="","",OFFSET(CampList[Priority],MATCH(Table_NFI[[#This Row],[Pcode]],CampList[CP_Pcode],0)-1,0,1,1))</f>
        <v>P4</v>
      </c>
      <c r="AU471" s="293">
        <f>IFERROR(Table_NFI[[#This Row],[Kitchen Set]]/VLOOKUP(Table_NFI[[#This Row],[Camp Name]],CL,4,0),"")</f>
        <v>3.4121374603948332E-4</v>
      </c>
      <c r="AV471" s="461" t="s">
        <v>1092</v>
      </c>
      <c r="AW471" s="463"/>
    </row>
    <row r="472" spans="1:49" s="464" customFormat="1" ht="14.45" customHeight="1" x14ac:dyDescent="0.25">
      <c r="A472" s="297">
        <f t="shared" si="7"/>
        <v>36.533333333333331</v>
      </c>
      <c r="B472" s="460">
        <v>41640</v>
      </c>
      <c r="C472" s="461" t="s">
        <v>1037</v>
      </c>
      <c r="D472" s="461" t="s">
        <v>900</v>
      </c>
      <c r="E472" s="461" t="s">
        <v>380</v>
      </c>
      <c r="F472" s="461" t="s">
        <v>173</v>
      </c>
      <c r="G472" s="461" t="s">
        <v>178</v>
      </c>
      <c r="H472" s="291"/>
      <c r="I472" s="291"/>
      <c r="J472" s="291"/>
      <c r="K472" s="291"/>
      <c r="L472" s="292"/>
      <c r="M472" s="292"/>
      <c r="N472" s="292">
        <v>13</v>
      </c>
      <c r="O472" s="292"/>
      <c r="P472" s="294"/>
      <c r="Q472" s="294"/>
      <c r="R472" s="294"/>
      <c r="S472" s="294"/>
      <c r="T472" s="294"/>
      <c r="U472" s="294"/>
      <c r="V472" s="431"/>
      <c r="W472" s="294"/>
      <c r="X472" s="294"/>
      <c r="Y472" s="294">
        <f>IF(NFI_Expiration=1,IF($A472&lt;VLOOKUP(H$5,NFI,5,0),1,0)*Table_NFI[[#This Row],[Hygiene Kit]],Table_NFI[Hygiene Kit])</f>
        <v>0</v>
      </c>
      <c r="Z472" s="294">
        <f>IF(NFI_Expiration=1,IF($A472&lt;VLOOKUP(I$5,NFI,5,0),1,0)*Table_NFI[[#This Row],[NFI Core Kit]],Table_NFI[NFI Core Kit])</f>
        <v>0</v>
      </c>
      <c r="AA472" s="294">
        <f>IF(NFI_Expiration=1,IF($A472&lt;VLOOKUP(J$5,NFI,5,0),1,0)*Table_NFI[[#This Row],[Sanitary Kit]],Table_NFI[Sanitary Kit])</f>
        <v>0</v>
      </c>
      <c r="AB472" s="294">
        <f>IF(NFI_Expiration=1,IF($A472&lt;VLOOKUP(K$5,NFI,5,0),1,0)*Table_NFI[[#This Row],[Mosquito net]],Table_NFI[Mosquito net])</f>
        <v>0</v>
      </c>
      <c r="AC472" s="294">
        <f>IF(NFI_Expiration=1,IF($A472&lt;VLOOKUP(L$5,NFI,5,0),1,0)*Table_NFI[[#This Row],[Tarpaulin]],Table_NFI[[#This Row],[Tarpaulin]])</f>
        <v>0</v>
      </c>
      <c r="AD472" s="294">
        <f>IF(NFI_Expiration=1,IF($A472&lt;VLOOKUP(M$5,NFI,5,0),1,0)*Table_NFI[[#This Row],[Blanket]],Table_NFI[[#This Row],[Blanket]])</f>
        <v>0</v>
      </c>
      <c r="AE472" s="294">
        <f>IF(NFI_Expiration=1,IF($A472&lt;VLOOKUP(N$5,NFI,5,0),1,0)*Table_NFI[[#This Row],[Kitchen Set]],Table_NFI[Kitchen Set])</f>
        <v>0</v>
      </c>
      <c r="AF472" s="294">
        <f>IF(NFI_Expiration=1,IF($A472&lt;VLOOKUP(O$5,NFI,5,0),1,0)*Table_NFI[[#This Row],[Clothes Kit]],Table_NFI[Clothes Kit])</f>
        <v>0</v>
      </c>
      <c r="AG472" s="294">
        <f>IF(NFI_Expiration=1,IF($A472&lt;VLOOKUP(P$5,NFI,5,0),1,0)*Table_NFI[[#This Row],[Plastic Bucket]],Table_NFI[Plastic Bucket])</f>
        <v>0</v>
      </c>
      <c r="AH472" s="294">
        <f>IF(NFI_Expiration=1,IF($A472&lt;VLOOKUP(Q$5,NFI,5,0),1,0)*Table_NFI[[#This Row],[Plastic Mat]],Table_NFI[Plastic Mat])*IF(Table_NFI[[#This Row],[Distribution Date]]&gt;"2014-04-01",1,2.5)</f>
        <v>0</v>
      </c>
      <c r="AI472" s="294">
        <f>IF(NFI_Expiration=1,IF($A472&lt;VLOOKUP(R$5,NFI,5,0),1,0)*Table_NFI[[#This Row],[Winter Clothes Adult]],Table_NFI[Winter Clothes Adult])</f>
        <v>0</v>
      </c>
      <c r="AJ472" s="294">
        <f>IF(NFI_Expiration=1,IF($A472&lt;VLOOKUP(S$5,NFI,5,0),1,0)*Table_NFI[[#This Row],[Winter Clothes Children]],Table_NFI[Winter Clothes Children])</f>
        <v>0</v>
      </c>
      <c r="AK472" s="294">
        <f>IF(NFI_Expiration=1,IF($A472&lt;VLOOKUP(T$5,NFI,5,0),1,0)*Table_NFI[[#This Row],[Winter Items Other]],Table_NFI[Winter Items Other])</f>
        <v>0</v>
      </c>
      <c r="AL472" s="294">
        <f>IF(NFI_Expiration=1,IF($A472&lt;VLOOKUP(M$5,NFI,5,0),1,0)*Table_NFI[[#This Row],[Winter Blanket]],Table_NFI[[#This Row],[Winter Blanket]])</f>
        <v>0</v>
      </c>
      <c r="AM472" s="294">
        <f>IF(Table_NFI[[#This Row],[Winter Clothes Adult]]+Table_NFI[[#This Row],[Winter Clothes Children]]+Table_NFI[[#This Row],[Winter Items Other]]+Table_NFI[[#This Row],[Winter Blanket]]&gt;0,1,0)</f>
        <v>0</v>
      </c>
      <c r="AN472" s="331">
        <f>IF(NFI_Expiration=1,IF($A472&lt;VLOOKUP(V$5,NFI,5,0),1,0)*Table_NFI[[#This Row],[Jerry Can]],Table_NFI[Jerry Can])</f>
        <v>0</v>
      </c>
      <c r="AO472" s="331">
        <f>IF(NFI_Expiration=1,IF($A472&lt;VLOOKUP(V$5,NFI,5,0),1,0)*Table_NFI[[#This Row],[Shelter Tool kit]],Table_NFI[Shelter Tool kit])</f>
        <v>0</v>
      </c>
      <c r="AP472" s="331">
        <f>IF(NFI_Expiration=1,IF($A472&lt;VLOOKUP(V$5,NFI,5,0),1,0)*Table_NFI[[#This Row],[Tent]],Table_NFI[Tent])</f>
        <v>0</v>
      </c>
      <c r="AQ472" s="467" t="str">
        <f>IFERROR(VLOOKUP(Table_NFI[[#This Row],[Camp Name]],CL,2,0),"")</f>
        <v>MMR001CMP079</v>
      </c>
      <c r="AR472" s="835">
        <f ca="1">IF(Table_NFI[[#This Row],[Pcode]]="","",IF(OFFSET(CampList[Opening Date],MATCH(Table_NFI[[#This Row],[Pcode]],CampList[CP_Pcode],0)-1,0,1,1)&gt;=NFI_Monitor_Date,1,0))</f>
        <v>0</v>
      </c>
      <c r="AS472" s="467" t="str">
        <f>IFERROR(VLOOKUP(Table_NFI[[#This Row],[Camp Name]],CL,3,0),"")</f>
        <v>Open</v>
      </c>
      <c r="AT472" s="294" t="str">
        <f ca="1">IF(Table_NFI[[#This Row],[Pcode]]="","",OFFSET(CampList[Priority],MATCH(Table_NFI[[#This Row],[Pcode]],CampList[CP_Pcode],0)-1,0,1,1))</f>
        <v>P4</v>
      </c>
      <c r="AU472" s="293">
        <f>IFERROR(Table_NFI[[#This Row],[Kitchen Set]]/VLOOKUP(Table_NFI[[#This Row],[Camp Name]],CL,4,0),"")</f>
        <v>3.1731309038541335E-4</v>
      </c>
      <c r="AV472" s="461" t="s">
        <v>1092</v>
      </c>
      <c r="AW472" s="463"/>
    </row>
    <row r="473" spans="1:49" s="464" customFormat="1" ht="14.45" customHeight="1" x14ac:dyDescent="0.25">
      <c r="A473" s="297">
        <f t="shared" si="7"/>
        <v>36.533333333333331</v>
      </c>
      <c r="B473" s="460">
        <v>41640</v>
      </c>
      <c r="C473" s="461" t="s">
        <v>1037</v>
      </c>
      <c r="D473" s="461" t="s">
        <v>900</v>
      </c>
      <c r="E473" s="461" t="s">
        <v>380</v>
      </c>
      <c r="F473" s="461" t="s">
        <v>27</v>
      </c>
      <c r="G473" s="461" t="s">
        <v>864</v>
      </c>
      <c r="H473" s="291"/>
      <c r="I473" s="291"/>
      <c r="J473" s="291"/>
      <c r="K473" s="291"/>
      <c r="L473" s="292"/>
      <c r="M473" s="292"/>
      <c r="N473" s="292">
        <v>92</v>
      </c>
      <c r="O473" s="292"/>
      <c r="P473" s="294"/>
      <c r="Q473" s="294"/>
      <c r="R473" s="294"/>
      <c r="S473" s="294"/>
      <c r="T473" s="294"/>
      <c r="U473" s="294"/>
      <c r="V473" s="431"/>
      <c r="W473" s="294"/>
      <c r="X473" s="294"/>
      <c r="Y473" s="294">
        <f>IF(NFI_Expiration=1,IF($A473&lt;VLOOKUP(H$5,NFI,5,0),1,0)*Table_NFI[[#This Row],[Hygiene Kit]],Table_NFI[Hygiene Kit])</f>
        <v>0</v>
      </c>
      <c r="Z473" s="294">
        <f>IF(NFI_Expiration=1,IF($A473&lt;VLOOKUP(I$5,NFI,5,0),1,0)*Table_NFI[[#This Row],[NFI Core Kit]],Table_NFI[NFI Core Kit])</f>
        <v>0</v>
      </c>
      <c r="AA473" s="294">
        <f>IF(NFI_Expiration=1,IF($A473&lt;VLOOKUP(J$5,NFI,5,0),1,0)*Table_NFI[[#This Row],[Sanitary Kit]],Table_NFI[Sanitary Kit])</f>
        <v>0</v>
      </c>
      <c r="AB473" s="294">
        <f>IF(NFI_Expiration=1,IF($A473&lt;VLOOKUP(K$5,NFI,5,0),1,0)*Table_NFI[[#This Row],[Mosquito net]],Table_NFI[Mosquito net])</f>
        <v>0</v>
      </c>
      <c r="AC473" s="294">
        <f>IF(NFI_Expiration=1,IF($A473&lt;VLOOKUP(L$5,NFI,5,0),1,0)*Table_NFI[[#This Row],[Tarpaulin]],Table_NFI[[#This Row],[Tarpaulin]])</f>
        <v>0</v>
      </c>
      <c r="AD473" s="294">
        <f>IF(NFI_Expiration=1,IF($A473&lt;VLOOKUP(M$5,NFI,5,0),1,0)*Table_NFI[[#This Row],[Blanket]],Table_NFI[[#This Row],[Blanket]])</f>
        <v>0</v>
      </c>
      <c r="AE473" s="294">
        <f>IF(NFI_Expiration=1,IF($A473&lt;VLOOKUP(N$5,NFI,5,0),1,0)*Table_NFI[[#This Row],[Kitchen Set]],Table_NFI[Kitchen Set])</f>
        <v>0</v>
      </c>
      <c r="AF473" s="294">
        <f>IF(NFI_Expiration=1,IF($A473&lt;VLOOKUP(O$5,NFI,5,0),1,0)*Table_NFI[[#This Row],[Clothes Kit]],Table_NFI[Clothes Kit])</f>
        <v>0</v>
      </c>
      <c r="AG473" s="294">
        <f>IF(NFI_Expiration=1,IF($A473&lt;VLOOKUP(P$5,NFI,5,0),1,0)*Table_NFI[[#This Row],[Plastic Bucket]],Table_NFI[Plastic Bucket])</f>
        <v>0</v>
      </c>
      <c r="AH473" s="294">
        <f>IF(NFI_Expiration=1,IF($A473&lt;VLOOKUP(Q$5,NFI,5,0),1,0)*Table_NFI[[#This Row],[Plastic Mat]],Table_NFI[Plastic Mat])*IF(Table_NFI[[#This Row],[Distribution Date]]&gt;"2014-04-01",1,2.5)</f>
        <v>0</v>
      </c>
      <c r="AI473" s="294">
        <f>IF(NFI_Expiration=1,IF($A473&lt;VLOOKUP(R$5,NFI,5,0),1,0)*Table_NFI[[#This Row],[Winter Clothes Adult]],Table_NFI[Winter Clothes Adult])</f>
        <v>0</v>
      </c>
      <c r="AJ473" s="294">
        <f>IF(NFI_Expiration=1,IF($A473&lt;VLOOKUP(S$5,NFI,5,0),1,0)*Table_NFI[[#This Row],[Winter Clothes Children]],Table_NFI[Winter Clothes Children])</f>
        <v>0</v>
      </c>
      <c r="AK473" s="294">
        <f>IF(NFI_Expiration=1,IF($A473&lt;VLOOKUP(T$5,NFI,5,0),1,0)*Table_NFI[[#This Row],[Winter Items Other]],Table_NFI[Winter Items Other])</f>
        <v>0</v>
      </c>
      <c r="AL473" s="294">
        <f>IF(NFI_Expiration=1,IF($A473&lt;VLOOKUP(M$5,NFI,5,0),1,0)*Table_NFI[[#This Row],[Winter Blanket]],Table_NFI[[#This Row],[Winter Blanket]])</f>
        <v>0</v>
      </c>
      <c r="AM473" s="294">
        <f>IF(Table_NFI[[#This Row],[Winter Clothes Adult]]+Table_NFI[[#This Row],[Winter Clothes Children]]+Table_NFI[[#This Row],[Winter Items Other]]+Table_NFI[[#This Row],[Winter Blanket]]&gt;0,1,0)</f>
        <v>0</v>
      </c>
      <c r="AN473" s="331">
        <f>IF(NFI_Expiration=1,IF($A473&lt;VLOOKUP(V$5,NFI,5,0),1,0)*Table_NFI[[#This Row],[Jerry Can]],Table_NFI[Jerry Can])</f>
        <v>0</v>
      </c>
      <c r="AO473" s="331">
        <f>IF(NFI_Expiration=1,IF($A473&lt;VLOOKUP(V$5,NFI,5,0),1,0)*Table_NFI[[#This Row],[Shelter Tool kit]],Table_NFI[Shelter Tool kit])</f>
        <v>0</v>
      </c>
      <c r="AP473" s="331">
        <f>IF(NFI_Expiration=1,IF($A473&lt;VLOOKUP(V$5,NFI,5,0),1,0)*Table_NFI[[#This Row],[Tent]],Table_NFI[Tent])</f>
        <v>0</v>
      </c>
      <c r="AQ473" s="467" t="str">
        <f>IFERROR(VLOOKUP(Table_NFI[[#This Row],[Camp Name]],CL,2,0),"")</f>
        <v>MMR001CMP210</v>
      </c>
      <c r="AR473" s="835">
        <f ca="1">IF(Table_NFI[[#This Row],[Pcode]]="","",IF(OFFSET(CampList[Opening Date],MATCH(Table_NFI[[#This Row],[Pcode]],CampList[CP_Pcode],0)-1,0,1,1)&gt;=NFI_Monitor_Date,1,0))</f>
        <v>0</v>
      </c>
      <c r="AS473" s="467" t="str">
        <f>IFERROR(VLOOKUP(Table_NFI[[#This Row],[Camp Name]],CL,3,0),"")</f>
        <v>Open</v>
      </c>
      <c r="AT473" s="294" t="str">
        <f ca="1">IF(Table_NFI[[#This Row],[Pcode]]="","",OFFSET(CampList[Priority],MATCH(Table_NFI[[#This Row],[Pcode]],CampList[CP_Pcode],0)-1,0,1,1))</f>
        <v>P1</v>
      </c>
      <c r="AU473" s="293">
        <f>IFERROR(Table_NFI[[#This Row],[Kitchen Set]]/VLOOKUP(Table_NFI[[#This Row],[Camp Name]],CL,4,0),"")</f>
        <v>2.2389330997055318E-3</v>
      </c>
      <c r="AV473" s="461" t="s">
        <v>1092</v>
      </c>
      <c r="AW473" s="463"/>
    </row>
    <row r="474" spans="1:49" s="464" customFormat="1" ht="14.45" customHeight="1" x14ac:dyDescent="0.25">
      <c r="A474" s="297">
        <f t="shared" si="7"/>
        <v>36.833333333333336</v>
      </c>
      <c r="B474" s="460">
        <v>41631</v>
      </c>
      <c r="C474" s="461" t="s">
        <v>452</v>
      </c>
      <c r="D474" s="462" t="s">
        <v>452</v>
      </c>
      <c r="E474" s="461" t="s">
        <v>380</v>
      </c>
      <c r="F474" s="290" t="s">
        <v>5</v>
      </c>
      <c r="G474" s="290" t="s">
        <v>6</v>
      </c>
      <c r="H474" s="291"/>
      <c r="I474" s="291"/>
      <c r="J474" s="291">
        <v>10</v>
      </c>
      <c r="K474" s="291">
        <v>10</v>
      </c>
      <c r="L474" s="292">
        <v>7</v>
      </c>
      <c r="M474" s="292">
        <v>10</v>
      </c>
      <c r="N474" s="292">
        <v>7</v>
      </c>
      <c r="O474" s="292">
        <v>7</v>
      </c>
      <c r="P474" s="294"/>
      <c r="Q474" s="294"/>
      <c r="R474" s="294"/>
      <c r="S474" s="294"/>
      <c r="T474" s="294"/>
      <c r="U474" s="294"/>
      <c r="V474" s="431"/>
      <c r="W474" s="294"/>
      <c r="X474" s="294"/>
      <c r="Y474" s="294">
        <f>IF(NFI_Expiration=1,IF($A474&lt;VLOOKUP(H$5,NFI,5,0),1,0)*Table_NFI[[#This Row],[Hygiene Kit]],Table_NFI[Hygiene Kit])</f>
        <v>0</v>
      </c>
      <c r="Z474" s="294">
        <f>IF(NFI_Expiration=1,IF($A474&lt;VLOOKUP(I$5,NFI,5,0),1,0)*Table_NFI[[#This Row],[NFI Core Kit]],Table_NFI[NFI Core Kit])</f>
        <v>0</v>
      </c>
      <c r="AA474" s="294">
        <f>IF(NFI_Expiration=1,IF($A474&lt;VLOOKUP(J$5,NFI,5,0),1,0)*Table_NFI[[#This Row],[Sanitary Kit]],Table_NFI[Sanitary Kit])</f>
        <v>0</v>
      </c>
      <c r="AB474" s="294">
        <f>IF(NFI_Expiration=1,IF($A474&lt;VLOOKUP(K$5,NFI,5,0),1,0)*Table_NFI[[#This Row],[Mosquito net]],Table_NFI[Mosquito net])</f>
        <v>0</v>
      </c>
      <c r="AC474" s="294">
        <f>IF(NFI_Expiration=1,IF($A474&lt;VLOOKUP(L$5,NFI,5,0),1,0)*Table_NFI[[#This Row],[Tarpaulin]],Table_NFI[[#This Row],[Tarpaulin]])</f>
        <v>0</v>
      </c>
      <c r="AD474" s="294">
        <f>IF(NFI_Expiration=1,IF($A474&lt;VLOOKUP(M$5,NFI,5,0),1,0)*Table_NFI[[#This Row],[Blanket]],Table_NFI[[#This Row],[Blanket]])</f>
        <v>0</v>
      </c>
      <c r="AE474" s="294">
        <f>IF(NFI_Expiration=1,IF($A474&lt;VLOOKUP(N$5,NFI,5,0),1,0)*Table_NFI[[#This Row],[Kitchen Set]],Table_NFI[Kitchen Set])</f>
        <v>0</v>
      </c>
      <c r="AF474" s="294">
        <f>IF(NFI_Expiration=1,IF($A474&lt;VLOOKUP(O$5,NFI,5,0),1,0)*Table_NFI[[#This Row],[Clothes Kit]],Table_NFI[Clothes Kit])</f>
        <v>0</v>
      </c>
      <c r="AG474" s="294">
        <f>IF(NFI_Expiration=1,IF($A474&lt;VLOOKUP(P$5,NFI,5,0),1,0)*Table_NFI[[#This Row],[Plastic Bucket]],Table_NFI[Plastic Bucket])</f>
        <v>0</v>
      </c>
      <c r="AH474" s="294">
        <f>IF(NFI_Expiration=1,IF($A474&lt;VLOOKUP(Q$5,NFI,5,0),1,0)*Table_NFI[[#This Row],[Plastic Mat]],Table_NFI[Plastic Mat])*IF(Table_NFI[[#This Row],[Distribution Date]]&gt;"2014-04-01",1,2.5)</f>
        <v>0</v>
      </c>
      <c r="AI474" s="294">
        <f>IF(NFI_Expiration=1,IF($A474&lt;VLOOKUP(R$5,NFI,5,0),1,0)*Table_NFI[[#This Row],[Winter Clothes Adult]],Table_NFI[Winter Clothes Adult])</f>
        <v>0</v>
      </c>
      <c r="AJ474" s="294">
        <f>IF(NFI_Expiration=1,IF($A474&lt;VLOOKUP(S$5,NFI,5,0),1,0)*Table_NFI[[#This Row],[Winter Clothes Children]],Table_NFI[Winter Clothes Children])</f>
        <v>0</v>
      </c>
      <c r="AK474" s="294">
        <f>IF(NFI_Expiration=1,IF($A474&lt;VLOOKUP(T$5,NFI,5,0),1,0)*Table_NFI[[#This Row],[Winter Items Other]],Table_NFI[Winter Items Other])</f>
        <v>0</v>
      </c>
      <c r="AL474" s="294">
        <f>IF(NFI_Expiration=1,IF($A474&lt;VLOOKUP(M$5,NFI,5,0),1,0)*Table_NFI[[#This Row],[Winter Blanket]],Table_NFI[[#This Row],[Winter Blanket]])</f>
        <v>0</v>
      </c>
      <c r="AM474" s="294">
        <f>IF(Table_NFI[[#This Row],[Winter Clothes Adult]]+Table_NFI[[#This Row],[Winter Clothes Children]]+Table_NFI[[#This Row],[Winter Items Other]]+Table_NFI[[#This Row],[Winter Blanket]]&gt;0,1,0)</f>
        <v>0</v>
      </c>
      <c r="AN474" s="331">
        <f>IF(NFI_Expiration=1,IF($A474&lt;VLOOKUP(V$5,NFI,5,0),1,0)*Table_NFI[[#This Row],[Jerry Can]],Table_NFI[Jerry Can])</f>
        <v>0</v>
      </c>
      <c r="AO474" s="331">
        <f>IF(NFI_Expiration=1,IF($A474&lt;VLOOKUP(V$5,NFI,5,0),1,0)*Table_NFI[[#This Row],[Shelter Tool kit]],Table_NFI[Shelter Tool kit])</f>
        <v>0</v>
      </c>
      <c r="AP474" s="331">
        <f>IF(NFI_Expiration=1,IF($A474&lt;VLOOKUP(V$5,NFI,5,0),1,0)*Table_NFI[[#This Row],[Tent]],Table_NFI[Tent])</f>
        <v>0</v>
      </c>
      <c r="AQ474" s="467" t="str">
        <f>IFERROR(VLOOKUP(Table_NFI[[#This Row],[Camp Name]],CL,2,0),"")</f>
        <v>MMR001CMP050</v>
      </c>
      <c r="AR474" s="835">
        <f ca="1">IF(Table_NFI[[#This Row],[Pcode]]="","",IF(OFFSET(CampList[Opening Date],MATCH(Table_NFI[[#This Row],[Pcode]],CampList[CP_Pcode],0)-1,0,1,1)&gt;=NFI_Monitor_Date,1,0))</f>
        <v>0</v>
      </c>
      <c r="AS474" s="467" t="str">
        <f>IFERROR(VLOOKUP(Table_NFI[[#This Row],[Camp Name]],CL,3,0),"")</f>
        <v>Open</v>
      </c>
      <c r="AT474" s="294" t="str">
        <f ca="1">IF(Table_NFI[[#This Row],[Pcode]]="","",OFFSET(CampList[Priority],MATCH(Table_NFI[[#This Row],[Pcode]],CampList[CP_Pcode],0)-1,0,1,1))</f>
        <v>P4</v>
      </c>
      <c r="AU474" s="293">
        <f>IFERROR(Table_NFI[[#This Row],[Kitchen Set]]/VLOOKUP(Table_NFI[[#This Row],[Camp Name]],CL,4,0),"")</f>
        <v>1.7136701919310616E-4</v>
      </c>
      <c r="AV474" s="461" t="s">
        <v>1092</v>
      </c>
      <c r="AW474" s="463"/>
    </row>
    <row r="475" spans="1:49" s="464" customFormat="1" ht="14.45" customHeight="1" x14ac:dyDescent="0.25">
      <c r="A475" s="297">
        <f t="shared" si="7"/>
        <v>36.833333333333336</v>
      </c>
      <c r="B475" s="460">
        <v>41631</v>
      </c>
      <c r="C475" s="461" t="s">
        <v>905</v>
      </c>
      <c r="D475" s="461" t="s">
        <v>460</v>
      </c>
      <c r="E475" s="461" t="s">
        <v>380</v>
      </c>
      <c r="F475" s="461" t="s">
        <v>310</v>
      </c>
      <c r="G475" s="461" t="s">
        <v>813</v>
      </c>
      <c r="H475" s="291"/>
      <c r="I475" s="291"/>
      <c r="J475" s="291"/>
      <c r="K475" s="291"/>
      <c r="L475" s="292"/>
      <c r="M475" s="292"/>
      <c r="N475" s="292"/>
      <c r="O475" s="292"/>
      <c r="P475" s="294"/>
      <c r="Q475" s="294"/>
      <c r="R475" s="294">
        <v>2</v>
      </c>
      <c r="S475" s="294">
        <v>111</v>
      </c>
      <c r="T475" s="294">
        <v>226</v>
      </c>
      <c r="U475" s="294">
        <v>113</v>
      </c>
      <c r="V475" s="431"/>
      <c r="W475" s="294"/>
      <c r="X475" s="294"/>
      <c r="Y475" s="294">
        <f>IF(NFI_Expiration=1,IF($A475&lt;VLOOKUP(H$5,NFI,5,0),1,0)*Table_NFI[[#This Row],[Hygiene Kit]],Table_NFI[Hygiene Kit])</f>
        <v>0</v>
      </c>
      <c r="Z475" s="294">
        <f>IF(NFI_Expiration=1,IF($A475&lt;VLOOKUP(I$5,NFI,5,0),1,0)*Table_NFI[[#This Row],[NFI Core Kit]],Table_NFI[NFI Core Kit])</f>
        <v>0</v>
      </c>
      <c r="AA475" s="294">
        <f>IF(NFI_Expiration=1,IF($A475&lt;VLOOKUP(J$5,NFI,5,0),1,0)*Table_NFI[[#This Row],[Sanitary Kit]],Table_NFI[Sanitary Kit])</f>
        <v>0</v>
      </c>
      <c r="AB475" s="294">
        <f>IF(NFI_Expiration=1,IF($A475&lt;VLOOKUP(K$5,NFI,5,0),1,0)*Table_NFI[[#This Row],[Mosquito net]],Table_NFI[Mosquito net])</f>
        <v>0</v>
      </c>
      <c r="AC475" s="294">
        <f>IF(NFI_Expiration=1,IF($A475&lt;VLOOKUP(L$5,NFI,5,0),1,0)*Table_NFI[[#This Row],[Tarpaulin]],Table_NFI[[#This Row],[Tarpaulin]])</f>
        <v>0</v>
      </c>
      <c r="AD475" s="294">
        <f>IF(NFI_Expiration=1,IF($A475&lt;VLOOKUP(M$5,NFI,5,0),1,0)*Table_NFI[[#This Row],[Blanket]],Table_NFI[[#This Row],[Blanket]])</f>
        <v>0</v>
      </c>
      <c r="AE475" s="294">
        <f>IF(NFI_Expiration=1,IF($A475&lt;VLOOKUP(N$5,NFI,5,0),1,0)*Table_NFI[[#This Row],[Kitchen Set]],Table_NFI[Kitchen Set])</f>
        <v>0</v>
      </c>
      <c r="AF475" s="294">
        <f>IF(NFI_Expiration=1,IF($A475&lt;VLOOKUP(O$5,NFI,5,0),1,0)*Table_NFI[[#This Row],[Clothes Kit]],Table_NFI[Clothes Kit])</f>
        <v>0</v>
      </c>
      <c r="AG475" s="294">
        <f>IF(NFI_Expiration=1,IF($A475&lt;VLOOKUP(P$5,NFI,5,0),1,0)*Table_NFI[[#This Row],[Plastic Bucket]],Table_NFI[Plastic Bucket])</f>
        <v>0</v>
      </c>
      <c r="AH475" s="294">
        <f>IF(NFI_Expiration=1,IF($A475&lt;VLOOKUP(Q$5,NFI,5,0),1,0)*Table_NFI[[#This Row],[Plastic Mat]],Table_NFI[Plastic Mat])*IF(Table_NFI[[#This Row],[Distribution Date]]&gt;"2014-04-01",1,2.5)</f>
        <v>0</v>
      </c>
      <c r="AI475" s="294">
        <f>IF(NFI_Expiration=1,IF($A475&lt;VLOOKUP(R$5,NFI,5,0),1,0)*Table_NFI[[#This Row],[Winter Clothes Adult]],Table_NFI[Winter Clothes Adult])</f>
        <v>0</v>
      </c>
      <c r="AJ475" s="294">
        <f>IF(NFI_Expiration=1,IF($A475&lt;VLOOKUP(S$5,NFI,5,0),1,0)*Table_NFI[[#This Row],[Winter Clothes Children]],Table_NFI[Winter Clothes Children])</f>
        <v>0</v>
      </c>
      <c r="AK475" s="294">
        <f>IF(NFI_Expiration=1,IF($A475&lt;VLOOKUP(T$5,NFI,5,0),1,0)*Table_NFI[[#This Row],[Winter Items Other]],Table_NFI[Winter Items Other])</f>
        <v>0</v>
      </c>
      <c r="AL475" s="294">
        <f>IF(NFI_Expiration=1,IF($A475&lt;VLOOKUP(M$5,NFI,5,0),1,0)*Table_NFI[[#This Row],[Winter Blanket]],Table_NFI[[#This Row],[Winter Blanket]])</f>
        <v>0</v>
      </c>
      <c r="AM475" s="294">
        <f>IF(Table_NFI[[#This Row],[Winter Clothes Adult]]+Table_NFI[[#This Row],[Winter Clothes Children]]+Table_NFI[[#This Row],[Winter Items Other]]+Table_NFI[[#This Row],[Winter Blanket]]&gt;0,1,0)</f>
        <v>1</v>
      </c>
      <c r="AN475" s="331">
        <f>IF(NFI_Expiration=1,IF($A475&lt;VLOOKUP(V$5,NFI,5,0),1,0)*Table_NFI[[#This Row],[Jerry Can]],Table_NFI[Jerry Can])</f>
        <v>0</v>
      </c>
      <c r="AO475" s="331">
        <f>IF(NFI_Expiration=1,IF($A475&lt;VLOOKUP(V$5,NFI,5,0),1,0)*Table_NFI[[#This Row],[Shelter Tool kit]],Table_NFI[Shelter Tool kit])</f>
        <v>0</v>
      </c>
      <c r="AP475" s="331">
        <f>IF(NFI_Expiration=1,IF($A475&lt;VLOOKUP(V$5,NFI,5,0),1,0)*Table_NFI[[#This Row],[Tent]],Table_NFI[Tent])</f>
        <v>0</v>
      </c>
      <c r="AQ475" s="467" t="str">
        <f>IFERROR(VLOOKUP(Table_NFI[[#This Row],[Camp Name]],CL,2,0),"")</f>
        <v>MMR001CMP208</v>
      </c>
      <c r="AR475" s="835">
        <f ca="1">IF(Table_NFI[[#This Row],[Pcode]]="","",IF(OFFSET(CampList[Opening Date],MATCH(Table_NFI[[#This Row],[Pcode]],CampList[CP_Pcode],0)-1,0,1,1)&gt;=NFI_Monitor_Date,1,0))</f>
        <v>0</v>
      </c>
      <c r="AS475" s="467" t="str">
        <f>IFERROR(VLOOKUP(Table_NFI[[#This Row],[Camp Name]],CL,3,0),"")</f>
        <v>Open</v>
      </c>
      <c r="AT475" s="294" t="str">
        <f ca="1">IF(Table_NFI[[#This Row],[Pcode]]="","",OFFSET(CampList[Priority],MATCH(Table_NFI[[#This Row],[Pcode]],CampList[CP_Pcode],0)-1,0,1,1))</f>
        <v>P2</v>
      </c>
      <c r="AU475" s="293" t="str">
        <f>IFERROR(Table_NFI[[#This Row],[Kitchen Set]]/VLOOKUP(Table_NFI[[#This Row],[Camp Name]],CL,4,0),"")</f>
        <v/>
      </c>
      <c r="AV475" s="461"/>
      <c r="AW475" s="463"/>
    </row>
    <row r="476" spans="1:49" s="464" customFormat="1" ht="14.45" customHeight="1" x14ac:dyDescent="0.25">
      <c r="A476" s="297">
        <f t="shared" si="7"/>
        <v>36.833333333333336</v>
      </c>
      <c r="B476" s="460">
        <v>41631</v>
      </c>
      <c r="C476" s="461" t="s">
        <v>905</v>
      </c>
      <c r="D476" s="461" t="s">
        <v>460</v>
      </c>
      <c r="E476" s="461" t="s">
        <v>380</v>
      </c>
      <c r="F476" s="461" t="s">
        <v>310</v>
      </c>
      <c r="G476" s="461" t="s">
        <v>318</v>
      </c>
      <c r="H476" s="291"/>
      <c r="I476" s="291"/>
      <c r="J476" s="291"/>
      <c r="K476" s="291"/>
      <c r="L476" s="292"/>
      <c r="M476" s="292"/>
      <c r="N476" s="292"/>
      <c r="O476" s="292"/>
      <c r="P476" s="294"/>
      <c r="Q476" s="294"/>
      <c r="R476" s="294">
        <v>59</v>
      </c>
      <c r="S476" s="294">
        <v>196</v>
      </c>
      <c r="T476" s="294">
        <v>510</v>
      </c>
      <c r="U476" s="294">
        <v>255</v>
      </c>
      <c r="V476" s="431"/>
      <c r="W476" s="294"/>
      <c r="X476" s="294"/>
      <c r="Y476" s="294">
        <f>IF(NFI_Expiration=1,IF($A476&lt;VLOOKUP(H$5,NFI,5,0),1,0)*Table_NFI[[#This Row],[Hygiene Kit]],Table_NFI[Hygiene Kit])</f>
        <v>0</v>
      </c>
      <c r="Z476" s="294">
        <f>IF(NFI_Expiration=1,IF($A476&lt;VLOOKUP(I$5,NFI,5,0),1,0)*Table_NFI[[#This Row],[NFI Core Kit]],Table_NFI[NFI Core Kit])</f>
        <v>0</v>
      </c>
      <c r="AA476" s="294">
        <f>IF(NFI_Expiration=1,IF($A476&lt;VLOOKUP(J$5,NFI,5,0),1,0)*Table_NFI[[#This Row],[Sanitary Kit]],Table_NFI[Sanitary Kit])</f>
        <v>0</v>
      </c>
      <c r="AB476" s="294">
        <f>IF(NFI_Expiration=1,IF($A476&lt;VLOOKUP(K$5,NFI,5,0),1,0)*Table_NFI[[#This Row],[Mosquito net]],Table_NFI[Mosquito net])</f>
        <v>0</v>
      </c>
      <c r="AC476" s="294">
        <f>IF(NFI_Expiration=1,IF($A476&lt;VLOOKUP(L$5,NFI,5,0),1,0)*Table_NFI[[#This Row],[Tarpaulin]],Table_NFI[[#This Row],[Tarpaulin]])</f>
        <v>0</v>
      </c>
      <c r="AD476" s="294">
        <f>IF(NFI_Expiration=1,IF($A476&lt;VLOOKUP(M$5,NFI,5,0),1,0)*Table_NFI[[#This Row],[Blanket]],Table_NFI[[#This Row],[Blanket]])</f>
        <v>0</v>
      </c>
      <c r="AE476" s="294">
        <f>IF(NFI_Expiration=1,IF($A476&lt;VLOOKUP(N$5,NFI,5,0),1,0)*Table_NFI[[#This Row],[Kitchen Set]],Table_NFI[Kitchen Set])</f>
        <v>0</v>
      </c>
      <c r="AF476" s="294">
        <f>IF(NFI_Expiration=1,IF($A476&lt;VLOOKUP(O$5,NFI,5,0),1,0)*Table_NFI[[#This Row],[Clothes Kit]],Table_NFI[Clothes Kit])</f>
        <v>0</v>
      </c>
      <c r="AG476" s="294">
        <f>IF(NFI_Expiration=1,IF($A476&lt;VLOOKUP(P$5,NFI,5,0),1,0)*Table_NFI[[#This Row],[Plastic Bucket]],Table_NFI[Plastic Bucket])</f>
        <v>0</v>
      </c>
      <c r="AH476" s="294">
        <f>IF(NFI_Expiration=1,IF($A476&lt;VLOOKUP(Q$5,NFI,5,0),1,0)*Table_NFI[[#This Row],[Plastic Mat]],Table_NFI[Plastic Mat])*IF(Table_NFI[[#This Row],[Distribution Date]]&gt;"2014-04-01",1,2.5)</f>
        <v>0</v>
      </c>
      <c r="AI476" s="294">
        <f>IF(NFI_Expiration=1,IF($A476&lt;VLOOKUP(R$5,NFI,5,0),1,0)*Table_NFI[[#This Row],[Winter Clothes Adult]],Table_NFI[Winter Clothes Adult])</f>
        <v>0</v>
      </c>
      <c r="AJ476" s="294">
        <f>IF(NFI_Expiration=1,IF($A476&lt;VLOOKUP(S$5,NFI,5,0),1,0)*Table_NFI[[#This Row],[Winter Clothes Children]],Table_NFI[Winter Clothes Children])</f>
        <v>0</v>
      </c>
      <c r="AK476" s="294">
        <f>IF(NFI_Expiration=1,IF($A476&lt;VLOOKUP(T$5,NFI,5,0),1,0)*Table_NFI[[#This Row],[Winter Items Other]],Table_NFI[Winter Items Other])</f>
        <v>0</v>
      </c>
      <c r="AL476" s="294">
        <f>IF(NFI_Expiration=1,IF($A476&lt;VLOOKUP(M$5,NFI,5,0),1,0)*Table_NFI[[#This Row],[Winter Blanket]],Table_NFI[[#This Row],[Winter Blanket]])</f>
        <v>0</v>
      </c>
      <c r="AM476" s="294">
        <f>IF(Table_NFI[[#This Row],[Winter Clothes Adult]]+Table_NFI[[#This Row],[Winter Clothes Children]]+Table_NFI[[#This Row],[Winter Items Other]]+Table_NFI[[#This Row],[Winter Blanket]]&gt;0,1,0)</f>
        <v>1</v>
      </c>
      <c r="AN476" s="331">
        <f>IF(NFI_Expiration=1,IF($A476&lt;VLOOKUP(V$5,NFI,5,0),1,0)*Table_NFI[[#This Row],[Jerry Can]],Table_NFI[Jerry Can])</f>
        <v>0</v>
      </c>
      <c r="AO476" s="331">
        <f>IF(NFI_Expiration=1,IF($A476&lt;VLOOKUP(V$5,NFI,5,0),1,0)*Table_NFI[[#This Row],[Shelter Tool kit]],Table_NFI[Shelter Tool kit])</f>
        <v>0</v>
      </c>
      <c r="AP476" s="331">
        <f>IF(NFI_Expiration=1,IF($A476&lt;VLOOKUP(V$5,NFI,5,0),1,0)*Table_NFI[[#This Row],[Tent]],Table_NFI[Tent])</f>
        <v>0</v>
      </c>
      <c r="AQ476" s="467" t="str">
        <f>IFERROR(VLOOKUP(Table_NFI[[#This Row],[Camp Name]],CL,2,0),"")</f>
        <v>MMR001CMP032</v>
      </c>
      <c r="AR476" s="835">
        <f ca="1">IF(Table_NFI[[#This Row],[Pcode]]="","",IF(OFFSET(CampList[Opening Date],MATCH(Table_NFI[[#This Row],[Pcode]],CampList[CP_Pcode],0)-1,0,1,1)&gt;=NFI_Monitor_Date,1,0))</f>
        <v>0</v>
      </c>
      <c r="AS476" s="467" t="str">
        <f>IFERROR(VLOOKUP(Table_NFI[[#This Row],[Camp Name]],CL,3,0),"")</f>
        <v>Open</v>
      </c>
      <c r="AT476" s="294" t="str">
        <f ca="1">IF(Table_NFI[[#This Row],[Pcode]]="","",OFFSET(CampList[Priority],MATCH(Table_NFI[[#This Row],[Pcode]],CampList[CP_Pcode],0)-1,0,1,1))</f>
        <v>P4</v>
      </c>
      <c r="AU476" s="293">
        <f>IFERROR(Table_NFI[[#This Row],[Kitchen Set]]/VLOOKUP(Table_NFI[[#This Row],[Camp Name]],CL,4,0),"")</f>
        <v>0</v>
      </c>
      <c r="AV476" s="461"/>
      <c r="AW476" s="463"/>
    </row>
    <row r="477" spans="1:49" s="464" customFormat="1" ht="14.45" customHeight="1" x14ac:dyDescent="0.25">
      <c r="A477" s="297">
        <f t="shared" si="7"/>
        <v>36.9</v>
      </c>
      <c r="B477" s="460">
        <v>41629</v>
      </c>
      <c r="C477" s="461" t="s">
        <v>905</v>
      </c>
      <c r="D477" s="461" t="s">
        <v>460</v>
      </c>
      <c r="E477" s="461" t="s">
        <v>380</v>
      </c>
      <c r="F477" s="461" t="s">
        <v>310</v>
      </c>
      <c r="G477" s="461" t="s">
        <v>349</v>
      </c>
      <c r="H477" s="291"/>
      <c r="I477" s="291"/>
      <c r="J477" s="291"/>
      <c r="K477" s="291"/>
      <c r="L477" s="292"/>
      <c r="M477" s="292"/>
      <c r="N477" s="292"/>
      <c r="O477" s="292"/>
      <c r="P477" s="294"/>
      <c r="Q477" s="294"/>
      <c r="R477" s="294">
        <v>75</v>
      </c>
      <c r="S477" s="294">
        <v>139</v>
      </c>
      <c r="T477" s="294">
        <v>428</v>
      </c>
      <c r="U477" s="294">
        <v>214</v>
      </c>
      <c r="V477" s="431"/>
      <c r="W477" s="294"/>
      <c r="X477" s="294"/>
      <c r="Y477" s="294">
        <f>IF(NFI_Expiration=1,IF($A477&lt;VLOOKUP(H$5,NFI,5,0),1,0)*Table_NFI[[#This Row],[Hygiene Kit]],Table_NFI[Hygiene Kit])</f>
        <v>0</v>
      </c>
      <c r="Z477" s="294">
        <f>IF(NFI_Expiration=1,IF($A477&lt;VLOOKUP(I$5,NFI,5,0),1,0)*Table_NFI[[#This Row],[NFI Core Kit]],Table_NFI[NFI Core Kit])</f>
        <v>0</v>
      </c>
      <c r="AA477" s="294">
        <f>IF(NFI_Expiration=1,IF($A477&lt;VLOOKUP(J$5,NFI,5,0),1,0)*Table_NFI[[#This Row],[Sanitary Kit]],Table_NFI[Sanitary Kit])</f>
        <v>0</v>
      </c>
      <c r="AB477" s="294">
        <f>IF(NFI_Expiration=1,IF($A477&lt;VLOOKUP(K$5,NFI,5,0),1,0)*Table_NFI[[#This Row],[Mosquito net]],Table_NFI[Mosquito net])</f>
        <v>0</v>
      </c>
      <c r="AC477" s="294">
        <f>IF(NFI_Expiration=1,IF($A477&lt;VLOOKUP(L$5,NFI,5,0),1,0)*Table_NFI[[#This Row],[Tarpaulin]],Table_NFI[[#This Row],[Tarpaulin]])</f>
        <v>0</v>
      </c>
      <c r="AD477" s="294">
        <f>IF(NFI_Expiration=1,IF($A477&lt;VLOOKUP(M$5,NFI,5,0),1,0)*Table_NFI[[#This Row],[Blanket]],Table_NFI[[#This Row],[Blanket]])</f>
        <v>0</v>
      </c>
      <c r="AE477" s="294">
        <f>IF(NFI_Expiration=1,IF($A477&lt;VLOOKUP(N$5,NFI,5,0),1,0)*Table_NFI[[#This Row],[Kitchen Set]],Table_NFI[Kitchen Set])</f>
        <v>0</v>
      </c>
      <c r="AF477" s="294">
        <f>IF(NFI_Expiration=1,IF($A477&lt;VLOOKUP(O$5,NFI,5,0),1,0)*Table_NFI[[#This Row],[Clothes Kit]],Table_NFI[Clothes Kit])</f>
        <v>0</v>
      </c>
      <c r="AG477" s="294">
        <f>IF(NFI_Expiration=1,IF($A477&lt;VLOOKUP(P$5,NFI,5,0),1,0)*Table_NFI[[#This Row],[Plastic Bucket]],Table_NFI[Plastic Bucket])</f>
        <v>0</v>
      </c>
      <c r="AH477" s="294">
        <f>IF(NFI_Expiration=1,IF($A477&lt;VLOOKUP(Q$5,NFI,5,0),1,0)*Table_NFI[[#This Row],[Plastic Mat]],Table_NFI[Plastic Mat])*IF(Table_NFI[[#This Row],[Distribution Date]]&gt;"2014-04-01",1,2.5)</f>
        <v>0</v>
      </c>
      <c r="AI477" s="294">
        <f>IF(NFI_Expiration=1,IF($A477&lt;VLOOKUP(R$5,NFI,5,0),1,0)*Table_NFI[[#This Row],[Winter Clothes Adult]],Table_NFI[Winter Clothes Adult])</f>
        <v>0</v>
      </c>
      <c r="AJ477" s="294">
        <f>IF(NFI_Expiration=1,IF($A477&lt;VLOOKUP(S$5,NFI,5,0),1,0)*Table_NFI[[#This Row],[Winter Clothes Children]],Table_NFI[Winter Clothes Children])</f>
        <v>0</v>
      </c>
      <c r="AK477" s="294">
        <f>IF(NFI_Expiration=1,IF($A477&lt;VLOOKUP(T$5,NFI,5,0),1,0)*Table_NFI[[#This Row],[Winter Items Other]],Table_NFI[Winter Items Other])</f>
        <v>0</v>
      </c>
      <c r="AL477" s="294">
        <f>IF(NFI_Expiration=1,IF($A477&lt;VLOOKUP(M$5,NFI,5,0),1,0)*Table_NFI[[#This Row],[Winter Blanket]],Table_NFI[[#This Row],[Winter Blanket]])</f>
        <v>0</v>
      </c>
      <c r="AM477" s="294">
        <f>IF(Table_NFI[[#This Row],[Winter Clothes Adult]]+Table_NFI[[#This Row],[Winter Clothes Children]]+Table_NFI[[#This Row],[Winter Items Other]]+Table_NFI[[#This Row],[Winter Blanket]]&gt;0,1,0)</f>
        <v>1</v>
      </c>
      <c r="AN477" s="331">
        <f>IF(NFI_Expiration=1,IF($A477&lt;VLOOKUP(V$5,NFI,5,0),1,0)*Table_NFI[[#This Row],[Jerry Can]],Table_NFI[Jerry Can])</f>
        <v>0</v>
      </c>
      <c r="AO477" s="331">
        <f>IF(NFI_Expiration=1,IF($A477&lt;VLOOKUP(V$5,NFI,5,0),1,0)*Table_NFI[[#This Row],[Shelter Tool kit]],Table_NFI[Shelter Tool kit])</f>
        <v>0</v>
      </c>
      <c r="AP477" s="331">
        <f>IF(NFI_Expiration=1,IF($A477&lt;VLOOKUP(V$5,NFI,5,0),1,0)*Table_NFI[[#This Row],[Tent]],Table_NFI[Tent])</f>
        <v>0</v>
      </c>
      <c r="AQ477" s="467" t="str">
        <f>IFERROR(VLOOKUP(Table_NFI[[#This Row],[Camp Name]],CL,2,0),"")</f>
        <v>MMR001CMP037</v>
      </c>
      <c r="AR477" s="835">
        <f ca="1">IF(Table_NFI[[#This Row],[Pcode]]="","",IF(OFFSET(CampList[Opening Date],MATCH(Table_NFI[[#This Row],[Pcode]],CampList[CP_Pcode],0)-1,0,1,1)&gt;=NFI_Monitor_Date,1,0))</f>
        <v>0</v>
      </c>
      <c r="AS477" s="467" t="str">
        <f>IFERROR(VLOOKUP(Table_NFI[[#This Row],[Camp Name]],CL,3,0),"")</f>
        <v>Open</v>
      </c>
      <c r="AT477" s="294" t="str">
        <f ca="1">IF(Table_NFI[[#This Row],[Pcode]]="","",OFFSET(CampList[Priority],MATCH(Table_NFI[[#This Row],[Pcode]],CampList[CP_Pcode],0)-1,0,1,1))</f>
        <v>P4</v>
      </c>
      <c r="AU477" s="293">
        <f>IFERROR(Table_NFI[[#This Row],[Kitchen Set]]/VLOOKUP(Table_NFI[[#This Row],[Camp Name]],CL,4,0),"")</f>
        <v>0</v>
      </c>
      <c r="AV477" s="461"/>
      <c r="AW477" s="463"/>
    </row>
    <row r="478" spans="1:49" s="464" customFormat="1" ht="14.45" customHeight="1" x14ac:dyDescent="0.25">
      <c r="A478" s="297">
        <f t="shared" si="7"/>
        <v>36.93333333333333</v>
      </c>
      <c r="B478" s="460">
        <v>41628</v>
      </c>
      <c r="C478" s="461" t="s">
        <v>905</v>
      </c>
      <c r="D478" s="461" t="s">
        <v>460</v>
      </c>
      <c r="E478" s="461" t="s">
        <v>380</v>
      </c>
      <c r="F478" s="461" t="s">
        <v>310</v>
      </c>
      <c r="G478" s="461" t="s">
        <v>328</v>
      </c>
      <c r="H478" s="291"/>
      <c r="I478" s="291"/>
      <c r="J478" s="291"/>
      <c r="K478" s="291"/>
      <c r="L478" s="292"/>
      <c r="M478" s="292"/>
      <c r="N478" s="292"/>
      <c r="O478" s="292"/>
      <c r="P478" s="294"/>
      <c r="Q478" s="294"/>
      <c r="R478" s="294">
        <v>141</v>
      </c>
      <c r="S478" s="294">
        <v>265</v>
      </c>
      <c r="T478" s="294">
        <v>812</v>
      </c>
      <c r="U478" s="294">
        <v>406</v>
      </c>
      <c r="V478" s="431"/>
      <c r="W478" s="294"/>
      <c r="X478" s="294"/>
      <c r="Y478" s="294">
        <f>IF(NFI_Expiration=1,IF($A478&lt;VLOOKUP(H$5,NFI,5,0),1,0)*Table_NFI[[#This Row],[Hygiene Kit]],Table_NFI[Hygiene Kit])</f>
        <v>0</v>
      </c>
      <c r="Z478" s="294">
        <f>IF(NFI_Expiration=1,IF($A478&lt;VLOOKUP(I$5,NFI,5,0),1,0)*Table_NFI[[#This Row],[NFI Core Kit]],Table_NFI[NFI Core Kit])</f>
        <v>0</v>
      </c>
      <c r="AA478" s="294">
        <f>IF(NFI_Expiration=1,IF($A478&lt;VLOOKUP(J$5,NFI,5,0),1,0)*Table_NFI[[#This Row],[Sanitary Kit]],Table_NFI[Sanitary Kit])</f>
        <v>0</v>
      </c>
      <c r="AB478" s="294">
        <f>IF(NFI_Expiration=1,IF($A478&lt;VLOOKUP(K$5,NFI,5,0),1,0)*Table_NFI[[#This Row],[Mosquito net]],Table_NFI[Mosquito net])</f>
        <v>0</v>
      </c>
      <c r="AC478" s="294">
        <f>IF(NFI_Expiration=1,IF($A478&lt;VLOOKUP(L$5,NFI,5,0),1,0)*Table_NFI[[#This Row],[Tarpaulin]],Table_NFI[[#This Row],[Tarpaulin]])</f>
        <v>0</v>
      </c>
      <c r="AD478" s="294">
        <f>IF(NFI_Expiration=1,IF($A478&lt;VLOOKUP(M$5,NFI,5,0),1,0)*Table_NFI[[#This Row],[Blanket]],Table_NFI[[#This Row],[Blanket]])</f>
        <v>0</v>
      </c>
      <c r="AE478" s="294">
        <f>IF(NFI_Expiration=1,IF($A478&lt;VLOOKUP(N$5,NFI,5,0),1,0)*Table_NFI[[#This Row],[Kitchen Set]],Table_NFI[Kitchen Set])</f>
        <v>0</v>
      </c>
      <c r="AF478" s="294">
        <f>IF(NFI_Expiration=1,IF($A478&lt;VLOOKUP(O$5,NFI,5,0),1,0)*Table_NFI[[#This Row],[Clothes Kit]],Table_NFI[Clothes Kit])</f>
        <v>0</v>
      </c>
      <c r="AG478" s="294">
        <f>IF(NFI_Expiration=1,IF($A478&lt;VLOOKUP(P$5,NFI,5,0),1,0)*Table_NFI[[#This Row],[Plastic Bucket]],Table_NFI[Plastic Bucket])</f>
        <v>0</v>
      </c>
      <c r="AH478" s="294">
        <f>IF(NFI_Expiration=1,IF($A478&lt;VLOOKUP(Q$5,NFI,5,0),1,0)*Table_NFI[[#This Row],[Plastic Mat]],Table_NFI[Plastic Mat])*IF(Table_NFI[[#This Row],[Distribution Date]]&gt;"2014-04-01",1,2.5)</f>
        <v>0</v>
      </c>
      <c r="AI478" s="294">
        <f>IF(NFI_Expiration=1,IF($A478&lt;VLOOKUP(R$5,NFI,5,0),1,0)*Table_NFI[[#This Row],[Winter Clothes Adult]],Table_NFI[Winter Clothes Adult])</f>
        <v>0</v>
      </c>
      <c r="AJ478" s="294">
        <f>IF(NFI_Expiration=1,IF($A478&lt;VLOOKUP(S$5,NFI,5,0),1,0)*Table_NFI[[#This Row],[Winter Clothes Children]],Table_NFI[Winter Clothes Children])</f>
        <v>0</v>
      </c>
      <c r="AK478" s="294">
        <f>IF(NFI_Expiration=1,IF($A478&lt;VLOOKUP(T$5,NFI,5,0),1,0)*Table_NFI[[#This Row],[Winter Items Other]],Table_NFI[Winter Items Other])</f>
        <v>0</v>
      </c>
      <c r="AL478" s="294">
        <f>IF(NFI_Expiration=1,IF($A478&lt;VLOOKUP(M$5,NFI,5,0),1,0)*Table_NFI[[#This Row],[Winter Blanket]],Table_NFI[[#This Row],[Winter Blanket]])</f>
        <v>0</v>
      </c>
      <c r="AM478" s="294">
        <f>IF(Table_NFI[[#This Row],[Winter Clothes Adult]]+Table_NFI[[#This Row],[Winter Clothes Children]]+Table_NFI[[#This Row],[Winter Items Other]]+Table_NFI[[#This Row],[Winter Blanket]]&gt;0,1,0)</f>
        <v>1</v>
      </c>
      <c r="AN478" s="331">
        <f>IF(NFI_Expiration=1,IF($A478&lt;VLOOKUP(V$5,NFI,5,0),1,0)*Table_NFI[[#This Row],[Jerry Can]],Table_NFI[Jerry Can])</f>
        <v>0</v>
      </c>
      <c r="AO478" s="331">
        <f>IF(NFI_Expiration=1,IF($A478&lt;VLOOKUP(V$5,NFI,5,0),1,0)*Table_NFI[[#This Row],[Shelter Tool kit]],Table_NFI[Shelter Tool kit])</f>
        <v>0</v>
      </c>
      <c r="AP478" s="331">
        <f>IF(NFI_Expiration=1,IF($A478&lt;VLOOKUP(V$5,NFI,5,0),1,0)*Table_NFI[[#This Row],[Tent]],Table_NFI[Tent])</f>
        <v>0</v>
      </c>
      <c r="AQ478" s="467" t="str">
        <f>IFERROR(VLOOKUP(Table_NFI[[#This Row],[Camp Name]],CL,2,0),"")</f>
        <v>MMR001CMP031</v>
      </c>
      <c r="AR478" s="835">
        <f ca="1">IF(Table_NFI[[#This Row],[Pcode]]="","",IF(OFFSET(CampList[Opening Date],MATCH(Table_NFI[[#This Row],[Pcode]],CampList[CP_Pcode],0)-1,0,1,1)&gt;=NFI_Monitor_Date,1,0))</f>
        <v>0</v>
      </c>
      <c r="AS478" s="467" t="str">
        <f>IFERROR(VLOOKUP(Table_NFI[[#This Row],[Camp Name]],CL,3,0),"")</f>
        <v>Open</v>
      </c>
      <c r="AT478" s="294" t="str">
        <f ca="1">IF(Table_NFI[[#This Row],[Pcode]]="","",OFFSET(CampList[Priority],MATCH(Table_NFI[[#This Row],[Pcode]],CampList[CP_Pcode],0)-1,0,1,1))</f>
        <v>P4</v>
      </c>
      <c r="AU478" s="293">
        <f>IFERROR(Table_NFI[[#This Row],[Kitchen Set]]/VLOOKUP(Table_NFI[[#This Row],[Camp Name]],CL,4,0),"")</f>
        <v>0</v>
      </c>
      <c r="AV478" s="461"/>
      <c r="AW478" s="463"/>
    </row>
    <row r="479" spans="1:49" s="464" customFormat="1" ht="14.45" customHeight="1" x14ac:dyDescent="0.25">
      <c r="A479" s="297">
        <f t="shared" si="7"/>
        <v>36.93333333333333</v>
      </c>
      <c r="B479" s="460">
        <v>41628</v>
      </c>
      <c r="C479" s="461" t="s">
        <v>905</v>
      </c>
      <c r="D479" s="461" t="s">
        <v>460</v>
      </c>
      <c r="E479" s="461" t="s">
        <v>380</v>
      </c>
      <c r="F479" s="461" t="s">
        <v>310</v>
      </c>
      <c r="G479" s="461" t="s">
        <v>326</v>
      </c>
      <c r="H479" s="291"/>
      <c r="I479" s="291"/>
      <c r="J479" s="291"/>
      <c r="K479" s="291"/>
      <c r="L479" s="292"/>
      <c r="M479" s="292"/>
      <c r="N479" s="292"/>
      <c r="O479" s="292"/>
      <c r="P479" s="294"/>
      <c r="Q479" s="294"/>
      <c r="R479" s="294">
        <v>47</v>
      </c>
      <c r="S479" s="294">
        <v>85</v>
      </c>
      <c r="T479" s="294">
        <v>264</v>
      </c>
      <c r="U479" s="294">
        <v>132</v>
      </c>
      <c r="V479" s="431"/>
      <c r="W479" s="294"/>
      <c r="X479" s="294"/>
      <c r="Y479" s="294">
        <f>IF(NFI_Expiration=1,IF($A479&lt;VLOOKUP(H$5,NFI,5,0),1,0)*Table_NFI[[#This Row],[Hygiene Kit]],Table_NFI[Hygiene Kit])</f>
        <v>0</v>
      </c>
      <c r="Z479" s="294">
        <f>IF(NFI_Expiration=1,IF($A479&lt;VLOOKUP(I$5,NFI,5,0),1,0)*Table_NFI[[#This Row],[NFI Core Kit]],Table_NFI[NFI Core Kit])</f>
        <v>0</v>
      </c>
      <c r="AA479" s="294">
        <f>IF(NFI_Expiration=1,IF($A479&lt;VLOOKUP(J$5,NFI,5,0),1,0)*Table_NFI[[#This Row],[Sanitary Kit]],Table_NFI[Sanitary Kit])</f>
        <v>0</v>
      </c>
      <c r="AB479" s="294">
        <f>IF(NFI_Expiration=1,IF($A479&lt;VLOOKUP(K$5,NFI,5,0),1,0)*Table_NFI[[#This Row],[Mosquito net]],Table_NFI[Mosquito net])</f>
        <v>0</v>
      </c>
      <c r="AC479" s="294">
        <f>IF(NFI_Expiration=1,IF($A479&lt;VLOOKUP(L$5,NFI,5,0),1,0)*Table_NFI[[#This Row],[Tarpaulin]],Table_NFI[[#This Row],[Tarpaulin]])</f>
        <v>0</v>
      </c>
      <c r="AD479" s="294">
        <f>IF(NFI_Expiration=1,IF($A479&lt;VLOOKUP(M$5,NFI,5,0),1,0)*Table_NFI[[#This Row],[Blanket]],Table_NFI[[#This Row],[Blanket]])</f>
        <v>0</v>
      </c>
      <c r="AE479" s="294">
        <f>IF(NFI_Expiration=1,IF($A479&lt;VLOOKUP(N$5,NFI,5,0),1,0)*Table_NFI[[#This Row],[Kitchen Set]],Table_NFI[Kitchen Set])</f>
        <v>0</v>
      </c>
      <c r="AF479" s="294">
        <f>IF(NFI_Expiration=1,IF($A479&lt;VLOOKUP(O$5,NFI,5,0),1,0)*Table_NFI[[#This Row],[Clothes Kit]],Table_NFI[Clothes Kit])</f>
        <v>0</v>
      </c>
      <c r="AG479" s="294">
        <f>IF(NFI_Expiration=1,IF($A479&lt;VLOOKUP(P$5,NFI,5,0),1,0)*Table_NFI[[#This Row],[Plastic Bucket]],Table_NFI[Plastic Bucket])</f>
        <v>0</v>
      </c>
      <c r="AH479" s="294">
        <f>IF(NFI_Expiration=1,IF($A479&lt;VLOOKUP(Q$5,NFI,5,0),1,0)*Table_NFI[[#This Row],[Plastic Mat]],Table_NFI[Plastic Mat])*IF(Table_NFI[[#This Row],[Distribution Date]]&gt;"2014-04-01",1,2.5)</f>
        <v>0</v>
      </c>
      <c r="AI479" s="294">
        <f>IF(NFI_Expiration=1,IF($A479&lt;VLOOKUP(R$5,NFI,5,0),1,0)*Table_NFI[[#This Row],[Winter Clothes Adult]],Table_NFI[Winter Clothes Adult])</f>
        <v>0</v>
      </c>
      <c r="AJ479" s="294">
        <f>IF(NFI_Expiration=1,IF($A479&lt;VLOOKUP(S$5,NFI,5,0),1,0)*Table_NFI[[#This Row],[Winter Clothes Children]],Table_NFI[Winter Clothes Children])</f>
        <v>0</v>
      </c>
      <c r="AK479" s="294">
        <f>IF(NFI_Expiration=1,IF($A479&lt;VLOOKUP(T$5,NFI,5,0),1,0)*Table_NFI[[#This Row],[Winter Items Other]],Table_NFI[Winter Items Other])</f>
        <v>0</v>
      </c>
      <c r="AL479" s="294">
        <f>IF(NFI_Expiration=1,IF($A479&lt;VLOOKUP(M$5,NFI,5,0),1,0)*Table_NFI[[#This Row],[Winter Blanket]],Table_NFI[[#This Row],[Winter Blanket]])</f>
        <v>0</v>
      </c>
      <c r="AM479" s="294">
        <f>IF(Table_NFI[[#This Row],[Winter Clothes Adult]]+Table_NFI[[#This Row],[Winter Clothes Children]]+Table_NFI[[#This Row],[Winter Items Other]]+Table_NFI[[#This Row],[Winter Blanket]]&gt;0,1,0)</f>
        <v>1</v>
      </c>
      <c r="AN479" s="331">
        <f>IF(NFI_Expiration=1,IF($A479&lt;VLOOKUP(V$5,NFI,5,0),1,0)*Table_NFI[[#This Row],[Jerry Can]],Table_NFI[Jerry Can])</f>
        <v>0</v>
      </c>
      <c r="AO479" s="331">
        <f>IF(NFI_Expiration=1,IF($A479&lt;VLOOKUP(V$5,NFI,5,0),1,0)*Table_NFI[[#This Row],[Shelter Tool kit]],Table_NFI[Shelter Tool kit])</f>
        <v>0</v>
      </c>
      <c r="AP479" s="331">
        <f>IF(NFI_Expiration=1,IF($A479&lt;VLOOKUP(V$5,NFI,5,0),1,0)*Table_NFI[[#This Row],[Tent]],Table_NFI[Tent])</f>
        <v>0</v>
      </c>
      <c r="AQ479" s="467" t="str">
        <f>IFERROR(VLOOKUP(Table_NFI[[#This Row],[Camp Name]],CL,2,0),"")</f>
        <v>MMR001CMP039</v>
      </c>
      <c r="AR479" s="835">
        <f ca="1">IF(Table_NFI[[#This Row],[Pcode]]="","",IF(OFFSET(CampList[Opening Date],MATCH(Table_NFI[[#This Row],[Pcode]],CampList[CP_Pcode],0)-1,0,1,1)&gt;=NFI_Monitor_Date,1,0))</f>
        <v>0</v>
      </c>
      <c r="AS479" s="467" t="str">
        <f>IFERROR(VLOOKUP(Table_NFI[[#This Row],[Camp Name]],CL,3,0),"")</f>
        <v>Open</v>
      </c>
      <c r="AT479" s="294" t="str">
        <f ca="1">IF(Table_NFI[[#This Row],[Pcode]]="","",OFFSET(CampList[Priority],MATCH(Table_NFI[[#This Row],[Pcode]],CampList[CP_Pcode],0)-1,0,1,1))</f>
        <v>P4</v>
      </c>
      <c r="AU479" s="293">
        <f>IFERROR(Table_NFI[[#This Row],[Kitchen Set]]/VLOOKUP(Table_NFI[[#This Row],[Camp Name]],CL,4,0),"")</f>
        <v>0</v>
      </c>
      <c r="AV479" s="461"/>
      <c r="AW479" s="463"/>
    </row>
    <row r="480" spans="1:49" s="464" customFormat="1" ht="14.45" customHeight="1" x14ac:dyDescent="0.25">
      <c r="A480" s="297">
        <f t="shared" si="7"/>
        <v>36.93333333333333</v>
      </c>
      <c r="B480" s="460">
        <v>41628</v>
      </c>
      <c r="C480" s="461" t="s">
        <v>905</v>
      </c>
      <c r="D480" s="461" t="s">
        <v>460</v>
      </c>
      <c r="E480" s="461" t="s">
        <v>380</v>
      </c>
      <c r="F480" s="461" t="s">
        <v>310</v>
      </c>
      <c r="G480" s="461" t="s">
        <v>351</v>
      </c>
      <c r="H480" s="291"/>
      <c r="I480" s="291"/>
      <c r="J480" s="291"/>
      <c r="K480" s="291"/>
      <c r="L480" s="292"/>
      <c r="M480" s="292"/>
      <c r="N480" s="292"/>
      <c r="O480" s="292"/>
      <c r="P480" s="294"/>
      <c r="Q480" s="294"/>
      <c r="R480" s="294">
        <v>102</v>
      </c>
      <c r="S480" s="294">
        <v>188</v>
      </c>
      <c r="T480" s="294">
        <v>580</v>
      </c>
      <c r="U480" s="294">
        <v>290</v>
      </c>
      <c r="V480" s="431"/>
      <c r="W480" s="294"/>
      <c r="X480" s="294"/>
      <c r="Y480" s="294">
        <f>IF(NFI_Expiration=1,IF($A480&lt;VLOOKUP(H$5,NFI,5,0),1,0)*Table_NFI[[#This Row],[Hygiene Kit]],Table_NFI[Hygiene Kit])</f>
        <v>0</v>
      </c>
      <c r="Z480" s="294">
        <f>IF(NFI_Expiration=1,IF($A480&lt;VLOOKUP(I$5,NFI,5,0),1,0)*Table_NFI[[#This Row],[NFI Core Kit]],Table_NFI[NFI Core Kit])</f>
        <v>0</v>
      </c>
      <c r="AA480" s="294">
        <f>IF(NFI_Expiration=1,IF($A480&lt;VLOOKUP(J$5,NFI,5,0),1,0)*Table_NFI[[#This Row],[Sanitary Kit]],Table_NFI[Sanitary Kit])</f>
        <v>0</v>
      </c>
      <c r="AB480" s="294">
        <f>IF(NFI_Expiration=1,IF($A480&lt;VLOOKUP(K$5,NFI,5,0),1,0)*Table_NFI[[#This Row],[Mosquito net]],Table_NFI[Mosquito net])</f>
        <v>0</v>
      </c>
      <c r="AC480" s="294">
        <f>IF(NFI_Expiration=1,IF($A480&lt;VLOOKUP(L$5,NFI,5,0),1,0)*Table_NFI[[#This Row],[Tarpaulin]],Table_NFI[[#This Row],[Tarpaulin]])</f>
        <v>0</v>
      </c>
      <c r="AD480" s="294">
        <f>IF(NFI_Expiration=1,IF($A480&lt;VLOOKUP(M$5,NFI,5,0),1,0)*Table_NFI[[#This Row],[Blanket]],Table_NFI[[#This Row],[Blanket]])</f>
        <v>0</v>
      </c>
      <c r="AE480" s="294">
        <f>IF(NFI_Expiration=1,IF($A480&lt;VLOOKUP(N$5,NFI,5,0),1,0)*Table_NFI[[#This Row],[Kitchen Set]],Table_NFI[Kitchen Set])</f>
        <v>0</v>
      </c>
      <c r="AF480" s="294">
        <f>IF(NFI_Expiration=1,IF($A480&lt;VLOOKUP(O$5,NFI,5,0),1,0)*Table_NFI[[#This Row],[Clothes Kit]],Table_NFI[Clothes Kit])</f>
        <v>0</v>
      </c>
      <c r="AG480" s="294">
        <f>IF(NFI_Expiration=1,IF($A480&lt;VLOOKUP(P$5,NFI,5,0),1,0)*Table_NFI[[#This Row],[Plastic Bucket]],Table_NFI[Plastic Bucket])</f>
        <v>0</v>
      </c>
      <c r="AH480" s="294">
        <f>IF(NFI_Expiration=1,IF($A480&lt;VLOOKUP(Q$5,NFI,5,0),1,0)*Table_NFI[[#This Row],[Plastic Mat]],Table_NFI[Plastic Mat])*IF(Table_NFI[[#This Row],[Distribution Date]]&gt;"2014-04-01",1,2.5)</f>
        <v>0</v>
      </c>
      <c r="AI480" s="294">
        <f>IF(NFI_Expiration=1,IF($A480&lt;VLOOKUP(R$5,NFI,5,0),1,0)*Table_NFI[[#This Row],[Winter Clothes Adult]],Table_NFI[Winter Clothes Adult])</f>
        <v>0</v>
      </c>
      <c r="AJ480" s="294">
        <f>IF(NFI_Expiration=1,IF($A480&lt;VLOOKUP(S$5,NFI,5,0),1,0)*Table_NFI[[#This Row],[Winter Clothes Children]],Table_NFI[Winter Clothes Children])</f>
        <v>0</v>
      </c>
      <c r="AK480" s="294">
        <f>IF(NFI_Expiration=1,IF($A480&lt;VLOOKUP(T$5,NFI,5,0),1,0)*Table_NFI[[#This Row],[Winter Items Other]],Table_NFI[Winter Items Other])</f>
        <v>0</v>
      </c>
      <c r="AL480" s="294">
        <f>IF(NFI_Expiration=1,IF($A480&lt;VLOOKUP(M$5,NFI,5,0),1,0)*Table_NFI[[#This Row],[Winter Blanket]],Table_NFI[[#This Row],[Winter Blanket]])</f>
        <v>0</v>
      </c>
      <c r="AM480" s="294">
        <f>IF(Table_NFI[[#This Row],[Winter Clothes Adult]]+Table_NFI[[#This Row],[Winter Clothes Children]]+Table_NFI[[#This Row],[Winter Items Other]]+Table_NFI[[#This Row],[Winter Blanket]]&gt;0,1,0)</f>
        <v>1</v>
      </c>
      <c r="AN480" s="331">
        <f>IF(NFI_Expiration=1,IF($A480&lt;VLOOKUP(V$5,NFI,5,0),1,0)*Table_NFI[[#This Row],[Jerry Can]],Table_NFI[Jerry Can])</f>
        <v>0</v>
      </c>
      <c r="AO480" s="331">
        <f>IF(NFI_Expiration=1,IF($A480&lt;VLOOKUP(V$5,NFI,5,0),1,0)*Table_NFI[[#This Row],[Shelter Tool kit]],Table_NFI[Shelter Tool kit])</f>
        <v>0</v>
      </c>
      <c r="AP480" s="331">
        <f>IF(NFI_Expiration=1,IF($A480&lt;VLOOKUP(V$5,NFI,5,0),1,0)*Table_NFI[[#This Row],[Tent]],Table_NFI[Tent])</f>
        <v>0</v>
      </c>
      <c r="AQ480" s="467" t="str">
        <f>IFERROR(VLOOKUP(Table_NFI[[#This Row],[Camp Name]],CL,2,0),"")</f>
        <v>MMR001CMP026</v>
      </c>
      <c r="AR480" s="835">
        <f ca="1">IF(Table_NFI[[#This Row],[Pcode]]="","",IF(OFFSET(CampList[Opening Date],MATCH(Table_NFI[[#This Row],[Pcode]],CampList[CP_Pcode],0)-1,0,1,1)&gt;=NFI_Monitor_Date,1,0))</f>
        <v>0</v>
      </c>
      <c r="AS480" s="467" t="str">
        <f>IFERROR(VLOOKUP(Table_NFI[[#This Row],[Camp Name]],CL,3,0),"")</f>
        <v>Open</v>
      </c>
      <c r="AT480" s="294" t="str">
        <f ca="1">IF(Table_NFI[[#This Row],[Pcode]]="","",OFFSET(CampList[Priority],MATCH(Table_NFI[[#This Row],[Pcode]],CampList[CP_Pcode],0)-1,0,1,1))</f>
        <v>P4</v>
      </c>
      <c r="AU480" s="293">
        <f>IFERROR(Table_NFI[[#This Row],[Kitchen Set]]/VLOOKUP(Table_NFI[[#This Row],[Camp Name]],CL,4,0),"")</f>
        <v>0</v>
      </c>
      <c r="AV480" s="461"/>
      <c r="AW480" s="463"/>
    </row>
    <row r="481" spans="1:49" s="464" customFormat="1" ht="14.45" customHeight="1" x14ac:dyDescent="0.25">
      <c r="A481" s="297">
        <f t="shared" si="7"/>
        <v>36.966666666666669</v>
      </c>
      <c r="B481" s="460">
        <v>41627</v>
      </c>
      <c r="C481" s="461" t="s">
        <v>905</v>
      </c>
      <c r="D481" s="461" t="s">
        <v>460</v>
      </c>
      <c r="E481" s="461" t="s">
        <v>380</v>
      </c>
      <c r="F481" s="461" t="s">
        <v>310</v>
      </c>
      <c r="G481" s="461" t="s">
        <v>324</v>
      </c>
      <c r="H481" s="291"/>
      <c r="I481" s="291"/>
      <c r="J481" s="291"/>
      <c r="K481" s="291"/>
      <c r="L481" s="292"/>
      <c r="M481" s="292"/>
      <c r="N481" s="292"/>
      <c r="O481" s="292"/>
      <c r="P481" s="294"/>
      <c r="Q481" s="294"/>
      <c r="R481" s="294">
        <v>414</v>
      </c>
      <c r="S481" s="294">
        <v>764</v>
      </c>
      <c r="T481" s="294">
        <v>2356</v>
      </c>
      <c r="U481" s="294">
        <v>1178</v>
      </c>
      <c r="V481" s="431"/>
      <c r="W481" s="294"/>
      <c r="X481" s="294"/>
      <c r="Y481" s="294">
        <f>IF(NFI_Expiration=1,IF($A481&lt;VLOOKUP(H$5,NFI,5,0),1,0)*Table_NFI[[#This Row],[Hygiene Kit]],Table_NFI[Hygiene Kit])</f>
        <v>0</v>
      </c>
      <c r="Z481" s="294">
        <f>IF(NFI_Expiration=1,IF($A481&lt;VLOOKUP(I$5,NFI,5,0),1,0)*Table_NFI[[#This Row],[NFI Core Kit]],Table_NFI[NFI Core Kit])</f>
        <v>0</v>
      </c>
      <c r="AA481" s="294">
        <f>IF(NFI_Expiration=1,IF($A481&lt;VLOOKUP(J$5,NFI,5,0),1,0)*Table_NFI[[#This Row],[Sanitary Kit]],Table_NFI[Sanitary Kit])</f>
        <v>0</v>
      </c>
      <c r="AB481" s="294">
        <f>IF(NFI_Expiration=1,IF($A481&lt;VLOOKUP(K$5,NFI,5,0),1,0)*Table_NFI[[#This Row],[Mosquito net]],Table_NFI[Mosquito net])</f>
        <v>0</v>
      </c>
      <c r="AC481" s="294">
        <f>IF(NFI_Expiration=1,IF($A481&lt;VLOOKUP(L$5,NFI,5,0),1,0)*Table_NFI[[#This Row],[Tarpaulin]],Table_NFI[[#This Row],[Tarpaulin]])</f>
        <v>0</v>
      </c>
      <c r="AD481" s="294">
        <f>IF(NFI_Expiration=1,IF($A481&lt;VLOOKUP(M$5,NFI,5,0),1,0)*Table_NFI[[#This Row],[Blanket]],Table_NFI[[#This Row],[Blanket]])</f>
        <v>0</v>
      </c>
      <c r="AE481" s="294">
        <f>IF(NFI_Expiration=1,IF($A481&lt;VLOOKUP(N$5,NFI,5,0),1,0)*Table_NFI[[#This Row],[Kitchen Set]],Table_NFI[Kitchen Set])</f>
        <v>0</v>
      </c>
      <c r="AF481" s="294">
        <f>IF(NFI_Expiration=1,IF($A481&lt;VLOOKUP(O$5,NFI,5,0),1,0)*Table_NFI[[#This Row],[Clothes Kit]],Table_NFI[Clothes Kit])</f>
        <v>0</v>
      </c>
      <c r="AG481" s="294">
        <f>IF(NFI_Expiration=1,IF($A481&lt;VLOOKUP(P$5,NFI,5,0),1,0)*Table_NFI[[#This Row],[Plastic Bucket]],Table_NFI[Plastic Bucket])</f>
        <v>0</v>
      </c>
      <c r="AH481" s="294">
        <f>IF(NFI_Expiration=1,IF($A481&lt;VLOOKUP(Q$5,NFI,5,0),1,0)*Table_NFI[[#This Row],[Plastic Mat]],Table_NFI[Plastic Mat])*IF(Table_NFI[[#This Row],[Distribution Date]]&gt;"2014-04-01",1,2.5)</f>
        <v>0</v>
      </c>
      <c r="AI481" s="294">
        <f>IF(NFI_Expiration=1,IF($A481&lt;VLOOKUP(R$5,NFI,5,0),1,0)*Table_NFI[[#This Row],[Winter Clothes Adult]],Table_NFI[Winter Clothes Adult])</f>
        <v>0</v>
      </c>
      <c r="AJ481" s="294">
        <f>IF(NFI_Expiration=1,IF($A481&lt;VLOOKUP(S$5,NFI,5,0),1,0)*Table_NFI[[#This Row],[Winter Clothes Children]],Table_NFI[Winter Clothes Children])</f>
        <v>0</v>
      </c>
      <c r="AK481" s="294">
        <f>IF(NFI_Expiration=1,IF($A481&lt;VLOOKUP(T$5,NFI,5,0),1,0)*Table_NFI[[#This Row],[Winter Items Other]],Table_NFI[Winter Items Other])</f>
        <v>0</v>
      </c>
      <c r="AL481" s="294">
        <f>IF(NFI_Expiration=1,IF($A481&lt;VLOOKUP(M$5,NFI,5,0),1,0)*Table_NFI[[#This Row],[Winter Blanket]],Table_NFI[[#This Row],[Winter Blanket]])</f>
        <v>0</v>
      </c>
      <c r="AM481" s="294">
        <f>IF(Table_NFI[[#This Row],[Winter Clothes Adult]]+Table_NFI[[#This Row],[Winter Clothes Children]]+Table_NFI[[#This Row],[Winter Items Other]]+Table_NFI[[#This Row],[Winter Blanket]]&gt;0,1,0)</f>
        <v>1</v>
      </c>
      <c r="AN481" s="331">
        <f>IF(NFI_Expiration=1,IF($A481&lt;VLOOKUP(V$5,NFI,5,0),1,0)*Table_NFI[[#This Row],[Jerry Can]],Table_NFI[Jerry Can])</f>
        <v>0</v>
      </c>
      <c r="AO481" s="331">
        <f>IF(NFI_Expiration=1,IF($A481&lt;VLOOKUP(V$5,NFI,5,0),1,0)*Table_NFI[[#This Row],[Shelter Tool kit]],Table_NFI[Shelter Tool kit])</f>
        <v>0</v>
      </c>
      <c r="AP481" s="331">
        <f>IF(NFI_Expiration=1,IF($A481&lt;VLOOKUP(V$5,NFI,5,0),1,0)*Table_NFI[[#This Row],[Tent]],Table_NFI[Tent])</f>
        <v>0</v>
      </c>
      <c r="AQ481" s="467" t="str">
        <f>IFERROR(VLOOKUP(Table_NFI[[#This Row],[Camp Name]],CL,2,0),"")</f>
        <v>MMR001CMP040</v>
      </c>
      <c r="AR481" s="835">
        <f ca="1">IF(Table_NFI[[#This Row],[Pcode]]="","",IF(OFFSET(CampList[Opening Date],MATCH(Table_NFI[[#This Row],[Pcode]],CampList[CP_Pcode],0)-1,0,1,1)&gt;=NFI_Monitor_Date,1,0))</f>
        <v>0</v>
      </c>
      <c r="AS481" s="467" t="str">
        <f>IFERROR(VLOOKUP(Table_NFI[[#This Row],[Camp Name]],CL,3,0),"")</f>
        <v>Open</v>
      </c>
      <c r="AT481" s="294" t="str">
        <f ca="1">IF(Table_NFI[[#This Row],[Pcode]]="","",OFFSET(CampList[Priority],MATCH(Table_NFI[[#This Row],[Pcode]],CampList[CP_Pcode],0)-1,0,1,1))</f>
        <v>P4</v>
      </c>
      <c r="AU481" s="293">
        <f>IFERROR(Table_NFI[[#This Row],[Kitchen Set]]/VLOOKUP(Table_NFI[[#This Row],[Camp Name]],CL,4,0),"")</f>
        <v>0</v>
      </c>
      <c r="AV481" s="461"/>
      <c r="AW481" s="463"/>
    </row>
    <row r="482" spans="1:49" s="464" customFormat="1" ht="14.45" customHeight="1" x14ac:dyDescent="0.25">
      <c r="A482" s="297">
        <f t="shared" si="7"/>
        <v>37</v>
      </c>
      <c r="B482" s="460">
        <v>41626</v>
      </c>
      <c r="C482" s="461" t="s">
        <v>905</v>
      </c>
      <c r="D482" s="461" t="s">
        <v>460</v>
      </c>
      <c r="E482" s="461" t="s">
        <v>380</v>
      </c>
      <c r="F482" s="461" t="s">
        <v>310</v>
      </c>
      <c r="G482" s="461" t="s">
        <v>313</v>
      </c>
      <c r="H482" s="291"/>
      <c r="I482" s="291"/>
      <c r="J482" s="291"/>
      <c r="K482" s="291"/>
      <c r="L482" s="292"/>
      <c r="M482" s="292"/>
      <c r="N482" s="292"/>
      <c r="O482" s="292"/>
      <c r="P482" s="294"/>
      <c r="Q482" s="294"/>
      <c r="R482" s="294">
        <v>134</v>
      </c>
      <c r="S482" s="294">
        <v>238</v>
      </c>
      <c r="T482" s="294">
        <v>744</v>
      </c>
      <c r="U482" s="294">
        <v>372</v>
      </c>
      <c r="V482" s="431"/>
      <c r="W482" s="294"/>
      <c r="X482" s="294"/>
      <c r="Y482" s="294">
        <f>IF(NFI_Expiration=1,IF($A482&lt;VLOOKUP(H$5,NFI,5,0),1,0)*Table_NFI[[#This Row],[Hygiene Kit]],Table_NFI[Hygiene Kit])</f>
        <v>0</v>
      </c>
      <c r="Z482" s="294">
        <f>IF(NFI_Expiration=1,IF($A482&lt;VLOOKUP(I$5,NFI,5,0),1,0)*Table_NFI[[#This Row],[NFI Core Kit]],Table_NFI[NFI Core Kit])</f>
        <v>0</v>
      </c>
      <c r="AA482" s="294">
        <f>IF(NFI_Expiration=1,IF($A482&lt;VLOOKUP(J$5,NFI,5,0),1,0)*Table_NFI[[#This Row],[Sanitary Kit]],Table_NFI[Sanitary Kit])</f>
        <v>0</v>
      </c>
      <c r="AB482" s="294">
        <f>IF(NFI_Expiration=1,IF($A482&lt;VLOOKUP(K$5,NFI,5,0),1,0)*Table_NFI[[#This Row],[Mosquito net]],Table_NFI[Mosquito net])</f>
        <v>0</v>
      </c>
      <c r="AC482" s="294">
        <f>IF(NFI_Expiration=1,IF($A482&lt;VLOOKUP(L$5,NFI,5,0),1,0)*Table_NFI[[#This Row],[Tarpaulin]],Table_NFI[[#This Row],[Tarpaulin]])</f>
        <v>0</v>
      </c>
      <c r="AD482" s="294">
        <f>IF(NFI_Expiration=1,IF($A482&lt;VLOOKUP(M$5,NFI,5,0),1,0)*Table_NFI[[#This Row],[Blanket]],Table_NFI[[#This Row],[Blanket]])</f>
        <v>0</v>
      </c>
      <c r="AE482" s="294">
        <f>IF(NFI_Expiration=1,IF($A482&lt;VLOOKUP(N$5,NFI,5,0),1,0)*Table_NFI[[#This Row],[Kitchen Set]],Table_NFI[Kitchen Set])</f>
        <v>0</v>
      </c>
      <c r="AF482" s="294">
        <f>IF(NFI_Expiration=1,IF($A482&lt;VLOOKUP(O$5,NFI,5,0),1,0)*Table_NFI[[#This Row],[Clothes Kit]],Table_NFI[Clothes Kit])</f>
        <v>0</v>
      </c>
      <c r="AG482" s="294">
        <f>IF(NFI_Expiration=1,IF($A482&lt;VLOOKUP(P$5,NFI,5,0),1,0)*Table_NFI[[#This Row],[Plastic Bucket]],Table_NFI[Plastic Bucket])</f>
        <v>0</v>
      </c>
      <c r="AH482" s="294">
        <f>IF(NFI_Expiration=1,IF($A482&lt;VLOOKUP(Q$5,NFI,5,0),1,0)*Table_NFI[[#This Row],[Plastic Mat]],Table_NFI[Plastic Mat])*IF(Table_NFI[[#This Row],[Distribution Date]]&gt;"2014-04-01",1,2.5)</f>
        <v>0</v>
      </c>
      <c r="AI482" s="294">
        <f>IF(NFI_Expiration=1,IF($A482&lt;VLOOKUP(R$5,NFI,5,0),1,0)*Table_NFI[[#This Row],[Winter Clothes Adult]],Table_NFI[Winter Clothes Adult])</f>
        <v>0</v>
      </c>
      <c r="AJ482" s="294">
        <f>IF(NFI_Expiration=1,IF($A482&lt;VLOOKUP(S$5,NFI,5,0),1,0)*Table_NFI[[#This Row],[Winter Clothes Children]],Table_NFI[Winter Clothes Children])</f>
        <v>0</v>
      </c>
      <c r="AK482" s="294">
        <f>IF(NFI_Expiration=1,IF($A482&lt;VLOOKUP(T$5,NFI,5,0),1,0)*Table_NFI[[#This Row],[Winter Items Other]],Table_NFI[Winter Items Other])</f>
        <v>0</v>
      </c>
      <c r="AL482" s="294">
        <f>IF(NFI_Expiration=1,IF($A482&lt;VLOOKUP(M$5,NFI,5,0),1,0)*Table_NFI[[#This Row],[Winter Blanket]],Table_NFI[[#This Row],[Winter Blanket]])</f>
        <v>0</v>
      </c>
      <c r="AM482" s="294">
        <f>IF(Table_NFI[[#This Row],[Winter Clothes Adult]]+Table_NFI[[#This Row],[Winter Clothes Children]]+Table_NFI[[#This Row],[Winter Items Other]]+Table_NFI[[#This Row],[Winter Blanket]]&gt;0,1,0)</f>
        <v>1</v>
      </c>
      <c r="AN482" s="331">
        <f>IF(NFI_Expiration=1,IF($A482&lt;VLOOKUP(V$5,NFI,5,0),1,0)*Table_NFI[[#This Row],[Jerry Can]],Table_NFI[Jerry Can])</f>
        <v>0</v>
      </c>
      <c r="AO482" s="331">
        <f>IF(NFI_Expiration=1,IF($A482&lt;VLOOKUP(V$5,NFI,5,0),1,0)*Table_NFI[[#This Row],[Shelter Tool kit]],Table_NFI[Shelter Tool kit])</f>
        <v>0</v>
      </c>
      <c r="AP482" s="331">
        <f>IF(NFI_Expiration=1,IF($A482&lt;VLOOKUP(V$5,NFI,5,0),1,0)*Table_NFI[[#This Row],[Tent]],Table_NFI[Tent])</f>
        <v>0</v>
      </c>
      <c r="AQ482" s="467" t="str">
        <f>IFERROR(VLOOKUP(Table_NFI[[#This Row],[Camp Name]],CL,2,0),"")</f>
        <v>MMR001CMP028</v>
      </c>
      <c r="AR482" s="835">
        <f ca="1">IF(Table_NFI[[#This Row],[Pcode]]="","",IF(OFFSET(CampList[Opening Date],MATCH(Table_NFI[[#This Row],[Pcode]],CampList[CP_Pcode],0)-1,0,1,1)&gt;=NFI_Monitor_Date,1,0))</f>
        <v>0</v>
      </c>
      <c r="AS482" s="467" t="str">
        <f>IFERROR(VLOOKUP(Table_NFI[[#This Row],[Camp Name]],CL,3,0),"")</f>
        <v>Open</v>
      </c>
      <c r="AT482" s="294" t="str">
        <f ca="1">IF(Table_NFI[[#This Row],[Pcode]]="","",OFFSET(CampList[Priority],MATCH(Table_NFI[[#This Row],[Pcode]],CampList[CP_Pcode],0)-1,0,1,1))</f>
        <v>P4</v>
      </c>
      <c r="AU482" s="293">
        <f>IFERROR(Table_NFI[[#This Row],[Kitchen Set]]/VLOOKUP(Table_NFI[[#This Row],[Camp Name]],CL,4,0),"")</f>
        <v>0</v>
      </c>
      <c r="AV482" s="461"/>
      <c r="AW482" s="463"/>
    </row>
    <row r="483" spans="1:49" s="464" customFormat="1" ht="14.45" customHeight="1" x14ac:dyDescent="0.25">
      <c r="A483" s="297">
        <f t="shared" si="7"/>
        <v>37</v>
      </c>
      <c r="B483" s="460">
        <v>41626</v>
      </c>
      <c r="C483" s="461" t="s">
        <v>452</v>
      </c>
      <c r="D483" s="462" t="s">
        <v>452</v>
      </c>
      <c r="E483" s="461" t="s">
        <v>380</v>
      </c>
      <c r="F483" s="290" t="s">
        <v>5</v>
      </c>
      <c r="G483" s="290" t="s">
        <v>12</v>
      </c>
      <c r="H483" s="291"/>
      <c r="I483" s="291"/>
      <c r="J483" s="291"/>
      <c r="K483" s="291"/>
      <c r="L483" s="292">
        <v>4</v>
      </c>
      <c r="M483" s="292"/>
      <c r="N483" s="292"/>
      <c r="O483" s="292"/>
      <c r="P483" s="294"/>
      <c r="Q483" s="294"/>
      <c r="R483" s="294"/>
      <c r="S483" s="294"/>
      <c r="T483" s="294"/>
      <c r="U483" s="294"/>
      <c r="V483" s="431"/>
      <c r="W483" s="294"/>
      <c r="X483" s="294"/>
      <c r="Y483" s="294">
        <f>IF(NFI_Expiration=1,IF($A483&lt;VLOOKUP(H$5,NFI,5,0),1,0)*Table_NFI[[#This Row],[Hygiene Kit]],Table_NFI[Hygiene Kit])</f>
        <v>0</v>
      </c>
      <c r="Z483" s="294">
        <f>IF(NFI_Expiration=1,IF($A483&lt;VLOOKUP(I$5,NFI,5,0),1,0)*Table_NFI[[#This Row],[NFI Core Kit]],Table_NFI[NFI Core Kit])</f>
        <v>0</v>
      </c>
      <c r="AA483" s="294">
        <f>IF(NFI_Expiration=1,IF($A483&lt;VLOOKUP(J$5,NFI,5,0),1,0)*Table_NFI[[#This Row],[Sanitary Kit]],Table_NFI[Sanitary Kit])</f>
        <v>0</v>
      </c>
      <c r="AB483" s="294">
        <f>IF(NFI_Expiration=1,IF($A483&lt;VLOOKUP(K$5,NFI,5,0),1,0)*Table_NFI[[#This Row],[Mosquito net]],Table_NFI[Mosquito net])</f>
        <v>0</v>
      </c>
      <c r="AC483" s="294">
        <f>IF(NFI_Expiration=1,IF($A483&lt;VLOOKUP(L$5,NFI,5,0),1,0)*Table_NFI[[#This Row],[Tarpaulin]],Table_NFI[[#This Row],[Tarpaulin]])</f>
        <v>0</v>
      </c>
      <c r="AD483" s="294">
        <f>IF(NFI_Expiration=1,IF($A483&lt;VLOOKUP(M$5,NFI,5,0),1,0)*Table_NFI[[#This Row],[Blanket]],Table_NFI[[#This Row],[Blanket]])</f>
        <v>0</v>
      </c>
      <c r="AE483" s="294">
        <f>IF(NFI_Expiration=1,IF($A483&lt;VLOOKUP(N$5,NFI,5,0),1,0)*Table_NFI[[#This Row],[Kitchen Set]],Table_NFI[Kitchen Set])</f>
        <v>0</v>
      </c>
      <c r="AF483" s="294">
        <f>IF(NFI_Expiration=1,IF($A483&lt;VLOOKUP(O$5,NFI,5,0),1,0)*Table_NFI[[#This Row],[Clothes Kit]],Table_NFI[Clothes Kit])</f>
        <v>0</v>
      </c>
      <c r="AG483" s="294">
        <f>IF(NFI_Expiration=1,IF($A483&lt;VLOOKUP(P$5,NFI,5,0),1,0)*Table_NFI[[#This Row],[Plastic Bucket]],Table_NFI[Plastic Bucket])</f>
        <v>0</v>
      </c>
      <c r="AH483" s="294">
        <f>IF(NFI_Expiration=1,IF($A483&lt;VLOOKUP(Q$5,NFI,5,0),1,0)*Table_NFI[[#This Row],[Plastic Mat]],Table_NFI[Plastic Mat])*IF(Table_NFI[[#This Row],[Distribution Date]]&gt;"2014-04-01",1,2.5)</f>
        <v>0</v>
      </c>
      <c r="AI483" s="294">
        <f>IF(NFI_Expiration=1,IF($A483&lt;VLOOKUP(R$5,NFI,5,0),1,0)*Table_NFI[[#This Row],[Winter Clothes Adult]],Table_NFI[Winter Clothes Adult])</f>
        <v>0</v>
      </c>
      <c r="AJ483" s="294">
        <f>IF(NFI_Expiration=1,IF($A483&lt;VLOOKUP(S$5,NFI,5,0),1,0)*Table_NFI[[#This Row],[Winter Clothes Children]],Table_NFI[Winter Clothes Children])</f>
        <v>0</v>
      </c>
      <c r="AK483" s="294">
        <f>IF(NFI_Expiration=1,IF($A483&lt;VLOOKUP(T$5,NFI,5,0),1,0)*Table_NFI[[#This Row],[Winter Items Other]],Table_NFI[Winter Items Other])</f>
        <v>0</v>
      </c>
      <c r="AL483" s="294">
        <f>IF(NFI_Expiration=1,IF($A483&lt;VLOOKUP(M$5,NFI,5,0),1,0)*Table_NFI[[#This Row],[Winter Blanket]],Table_NFI[[#This Row],[Winter Blanket]])</f>
        <v>0</v>
      </c>
      <c r="AM483" s="294">
        <f>IF(Table_NFI[[#This Row],[Winter Clothes Adult]]+Table_NFI[[#This Row],[Winter Clothes Children]]+Table_NFI[[#This Row],[Winter Items Other]]+Table_NFI[[#This Row],[Winter Blanket]]&gt;0,1,0)</f>
        <v>0</v>
      </c>
      <c r="AN483" s="331">
        <f>IF(NFI_Expiration=1,IF($A483&lt;VLOOKUP(V$5,NFI,5,0),1,0)*Table_NFI[[#This Row],[Jerry Can]],Table_NFI[Jerry Can])</f>
        <v>0</v>
      </c>
      <c r="AO483" s="331">
        <f>IF(NFI_Expiration=1,IF($A483&lt;VLOOKUP(V$5,NFI,5,0),1,0)*Table_NFI[[#This Row],[Shelter Tool kit]],Table_NFI[Shelter Tool kit])</f>
        <v>0</v>
      </c>
      <c r="AP483" s="331">
        <f>IF(NFI_Expiration=1,IF($A483&lt;VLOOKUP(V$5,NFI,5,0),1,0)*Table_NFI[[#This Row],[Tent]],Table_NFI[Tent])</f>
        <v>0</v>
      </c>
      <c r="AQ483" s="467" t="str">
        <f>IFERROR(VLOOKUP(Table_NFI[[#This Row],[Camp Name]],CL,2,0),"")</f>
        <v>MMR001CMP163</v>
      </c>
      <c r="AR483" s="835">
        <f ca="1">IF(Table_NFI[[#This Row],[Pcode]]="","",IF(OFFSET(CampList[Opening Date],MATCH(Table_NFI[[#This Row],[Pcode]],CampList[CP_Pcode],0)-1,0,1,1)&gt;=NFI_Monitor_Date,1,0))</f>
        <v>0</v>
      </c>
      <c r="AS483" s="467" t="str">
        <f>IFERROR(VLOOKUP(Table_NFI[[#This Row],[Camp Name]],CL,3,0),"")</f>
        <v>Open</v>
      </c>
      <c r="AT483" s="294" t="str">
        <f ca="1">IF(Table_NFI[[#This Row],[Pcode]]="","",OFFSET(CampList[Priority],MATCH(Table_NFI[[#This Row],[Pcode]],CampList[CP_Pcode],0)-1,0,1,1))</f>
        <v>P4</v>
      </c>
      <c r="AU483" s="293" t="str">
        <f>IFERROR(Table_NFI[[#This Row],[Kitchen Set]]/VLOOKUP(Table_NFI[[#This Row],[Camp Name]],CL,4,0),"")</f>
        <v/>
      </c>
      <c r="AV483" s="461" t="s">
        <v>1092</v>
      </c>
      <c r="AW483" s="463"/>
    </row>
    <row r="484" spans="1:49" s="464" customFormat="1" ht="14.45" customHeight="1" x14ac:dyDescent="0.25">
      <c r="A484" s="297">
        <f t="shared" si="7"/>
        <v>37</v>
      </c>
      <c r="B484" s="460">
        <v>41626</v>
      </c>
      <c r="C484" s="461" t="s">
        <v>905</v>
      </c>
      <c r="D484" s="461" t="s">
        <v>460</v>
      </c>
      <c r="E484" s="461" t="s">
        <v>380</v>
      </c>
      <c r="F484" s="290" t="s">
        <v>310</v>
      </c>
      <c r="G484" s="461" t="s">
        <v>320</v>
      </c>
      <c r="H484" s="291"/>
      <c r="I484" s="291"/>
      <c r="J484" s="291"/>
      <c r="K484" s="291"/>
      <c r="L484" s="292"/>
      <c r="M484" s="292"/>
      <c r="N484" s="292"/>
      <c r="O484" s="292"/>
      <c r="P484" s="294"/>
      <c r="Q484" s="294"/>
      <c r="R484" s="294">
        <v>23</v>
      </c>
      <c r="S484" s="294">
        <v>45</v>
      </c>
      <c r="T484" s="294">
        <v>136</v>
      </c>
      <c r="U484" s="294">
        <v>68</v>
      </c>
      <c r="V484" s="431"/>
      <c r="W484" s="294"/>
      <c r="X484" s="294"/>
      <c r="Y484" s="294">
        <f>IF(NFI_Expiration=1,IF($A484&lt;VLOOKUP(H$5,NFI,5,0),1,0)*Table_NFI[[#This Row],[Hygiene Kit]],Table_NFI[Hygiene Kit])</f>
        <v>0</v>
      </c>
      <c r="Z484" s="294">
        <f>IF(NFI_Expiration=1,IF($A484&lt;VLOOKUP(I$5,NFI,5,0),1,0)*Table_NFI[[#This Row],[NFI Core Kit]],Table_NFI[NFI Core Kit])</f>
        <v>0</v>
      </c>
      <c r="AA484" s="294">
        <f>IF(NFI_Expiration=1,IF($A484&lt;VLOOKUP(J$5,NFI,5,0),1,0)*Table_NFI[[#This Row],[Sanitary Kit]],Table_NFI[Sanitary Kit])</f>
        <v>0</v>
      </c>
      <c r="AB484" s="294">
        <f>IF(NFI_Expiration=1,IF($A484&lt;VLOOKUP(K$5,NFI,5,0),1,0)*Table_NFI[[#This Row],[Mosquito net]],Table_NFI[Mosquito net])</f>
        <v>0</v>
      </c>
      <c r="AC484" s="294">
        <f>IF(NFI_Expiration=1,IF($A484&lt;VLOOKUP(L$5,NFI,5,0),1,0)*Table_NFI[[#This Row],[Tarpaulin]],Table_NFI[[#This Row],[Tarpaulin]])</f>
        <v>0</v>
      </c>
      <c r="AD484" s="294">
        <f>IF(NFI_Expiration=1,IF($A484&lt;VLOOKUP(M$5,NFI,5,0),1,0)*Table_NFI[[#This Row],[Blanket]],Table_NFI[[#This Row],[Blanket]])</f>
        <v>0</v>
      </c>
      <c r="AE484" s="294">
        <f>IF(NFI_Expiration=1,IF($A484&lt;VLOOKUP(N$5,NFI,5,0),1,0)*Table_NFI[[#This Row],[Kitchen Set]],Table_NFI[Kitchen Set])</f>
        <v>0</v>
      </c>
      <c r="AF484" s="294">
        <f>IF(NFI_Expiration=1,IF($A484&lt;VLOOKUP(O$5,NFI,5,0),1,0)*Table_NFI[[#This Row],[Clothes Kit]],Table_NFI[Clothes Kit])</f>
        <v>0</v>
      </c>
      <c r="AG484" s="294">
        <f>IF(NFI_Expiration=1,IF($A484&lt;VLOOKUP(P$5,NFI,5,0),1,0)*Table_NFI[[#This Row],[Plastic Bucket]],Table_NFI[Plastic Bucket])</f>
        <v>0</v>
      </c>
      <c r="AH484" s="294">
        <f>IF(NFI_Expiration=1,IF($A484&lt;VLOOKUP(Q$5,NFI,5,0),1,0)*Table_NFI[[#This Row],[Plastic Mat]],Table_NFI[Plastic Mat])*IF(Table_NFI[[#This Row],[Distribution Date]]&gt;"2014-04-01",1,2.5)</f>
        <v>0</v>
      </c>
      <c r="AI484" s="294">
        <f>IF(NFI_Expiration=1,IF($A484&lt;VLOOKUP(R$5,NFI,5,0),1,0)*Table_NFI[[#This Row],[Winter Clothes Adult]],Table_NFI[Winter Clothes Adult])</f>
        <v>0</v>
      </c>
      <c r="AJ484" s="294">
        <f>IF(NFI_Expiration=1,IF($A484&lt;VLOOKUP(S$5,NFI,5,0),1,0)*Table_NFI[[#This Row],[Winter Clothes Children]],Table_NFI[Winter Clothes Children])</f>
        <v>0</v>
      </c>
      <c r="AK484" s="294">
        <f>IF(NFI_Expiration=1,IF($A484&lt;VLOOKUP(T$5,NFI,5,0),1,0)*Table_NFI[[#This Row],[Winter Items Other]],Table_NFI[Winter Items Other])</f>
        <v>0</v>
      </c>
      <c r="AL484" s="294">
        <f>IF(NFI_Expiration=1,IF($A484&lt;VLOOKUP(M$5,NFI,5,0),1,0)*Table_NFI[[#This Row],[Winter Blanket]],Table_NFI[[#This Row],[Winter Blanket]])</f>
        <v>0</v>
      </c>
      <c r="AM484" s="294">
        <f>IF(Table_NFI[[#This Row],[Winter Clothes Adult]]+Table_NFI[[#This Row],[Winter Clothes Children]]+Table_NFI[[#This Row],[Winter Items Other]]+Table_NFI[[#This Row],[Winter Blanket]]&gt;0,1,0)</f>
        <v>1</v>
      </c>
      <c r="AN484" s="331">
        <f>IF(NFI_Expiration=1,IF($A484&lt;VLOOKUP(V$5,NFI,5,0),1,0)*Table_NFI[[#This Row],[Jerry Can]],Table_NFI[Jerry Can])</f>
        <v>0</v>
      </c>
      <c r="AO484" s="331">
        <f>IF(NFI_Expiration=1,IF($A484&lt;VLOOKUP(V$5,NFI,5,0),1,0)*Table_NFI[[#This Row],[Shelter Tool kit]],Table_NFI[Shelter Tool kit])</f>
        <v>0</v>
      </c>
      <c r="AP484" s="331">
        <f>IF(NFI_Expiration=1,IF($A484&lt;VLOOKUP(V$5,NFI,5,0),1,0)*Table_NFI[[#This Row],[Tent]],Table_NFI[Tent])</f>
        <v>0</v>
      </c>
      <c r="AQ484" s="467" t="str">
        <f>IFERROR(VLOOKUP(Table_NFI[[#This Row],[Camp Name]],CL,2,0),"")</f>
        <v>MMR001CMP027</v>
      </c>
      <c r="AR484" s="835">
        <f ca="1">IF(Table_NFI[[#This Row],[Pcode]]="","",IF(OFFSET(CampList[Opening Date],MATCH(Table_NFI[[#This Row],[Pcode]],CampList[CP_Pcode],0)-1,0,1,1)&gt;=NFI_Monitor_Date,1,0))</f>
        <v>0</v>
      </c>
      <c r="AS484" s="467" t="str">
        <f>IFERROR(VLOOKUP(Table_NFI[[#This Row],[Camp Name]],CL,3,0),"")</f>
        <v>Open</v>
      </c>
      <c r="AT484" s="294" t="str">
        <f ca="1">IF(Table_NFI[[#This Row],[Pcode]]="","",OFFSET(CampList[Priority],MATCH(Table_NFI[[#This Row],[Pcode]],CampList[CP_Pcode],0)-1,0,1,1))</f>
        <v>P4</v>
      </c>
      <c r="AU484" s="293">
        <f>IFERROR(Table_NFI[[#This Row],[Kitchen Set]]/VLOOKUP(Table_NFI[[#This Row],[Camp Name]],CL,4,0),"")</f>
        <v>0</v>
      </c>
      <c r="AV484" s="461"/>
      <c r="AW484" s="463"/>
    </row>
    <row r="485" spans="1:49" s="464" customFormat="1" ht="14.45" customHeight="1" x14ac:dyDescent="0.25">
      <c r="A485" s="297">
        <f t="shared" si="7"/>
        <v>37</v>
      </c>
      <c r="B485" s="460">
        <v>41626</v>
      </c>
      <c r="C485" s="461" t="s">
        <v>905</v>
      </c>
      <c r="D485" s="461" t="s">
        <v>460</v>
      </c>
      <c r="E485" s="461" t="s">
        <v>380</v>
      </c>
      <c r="F485" s="461" t="s">
        <v>310</v>
      </c>
      <c r="G485" s="461" t="s">
        <v>338</v>
      </c>
      <c r="H485" s="291"/>
      <c r="I485" s="291"/>
      <c r="J485" s="291"/>
      <c r="K485" s="291"/>
      <c r="L485" s="292"/>
      <c r="M485" s="292"/>
      <c r="N485" s="292"/>
      <c r="O485" s="292"/>
      <c r="P485" s="294"/>
      <c r="Q485" s="294"/>
      <c r="R485" s="294">
        <v>30</v>
      </c>
      <c r="S485" s="294">
        <v>57</v>
      </c>
      <c r="T485" s="294">
        <v>174</v>
      </c>
      <c r="U485" s="294">
        <v>87</v>
      </c>
      <c r="V485" s="431"/>
      <c r="W485" s="294"/>
      <c r="X485" s="294"/>
      <c r="Y485" s="294">
        <f>IF(NFI_Expiration=1,IF($A485&lt;VLOOKUP(H$5,NFI,5,0),1,0)*Table_NFI[[#This Row],[Hygiene Kit]],Table_NFI[Hygiene Kit])</f>
        <v>0</v>
      </c>
      <c r="Z485" s="294">
        <f>IF(NFI_Expiration=1,IF($A485&lt;VLOOKUP(I$5,NFI,5,0),1,0)*Table_NFI[[#This Row],[NFI Core Kit]],Table_NFI[NFI Core Kit])</f>
        <v>0</v>
      </c>
      <c r="AA485" s="294">
        <f>IF(NFI_Expiration=1,IF($A485&lt;VLOOKUP(J$5,NFI,5,0),1,0)*Table_NFI[[#This Row],[Sanitary Kit]],Table_NFI[Sanitary Kit])</f>
        <v>0</v>
      </c>
      <c r="AB485" s="294">
        <f>IF(NFI_Expiration=1,IF($A485&lt;VLOOKUP(K$5,NFI,5,0),1,0)*Table_NFI[[#This Row],[Mosquito net]],Table_NFI[Mosquito net])</f>
        <v>0</v>
      </c>
      <c r="AC485" s="294">
        <f>IF(NFI_Expiration=1,IF($A485&lt;VLOOKUP(L$5,NFI,5,0),1,0)*Table_NFI[[#This Row],[Tarpaulin]],Table_NFI[[#This Row],[Tarpaulin]])</f>
        <v>0</v>
      </c>
      <c r="AD485" s="294">
        <f>IF(NFI_Expiration=1,IF($A485&lt;VLOOKUP(M$5,NFI,5,0),1,0)*Table_NFI[[#This Row],[Blanket]],Table_NFI[[#This Row],[Blanket]])</f>
        <v>0</v>
      </c>
      <c r="AE485" s="294">
        <f>IF(NFI_Expiration=1,IF($A485&lt;VLOOKUP(N$5,NFI,5,0),1,0)*Table_NFI[[#This Row],[Kitchen Set]],Table_NFI[Kitchen Set])</f>
        <v>0</v>
      </c>
      <c r="AF485" s="294">
        <f>IF(NFI_Expiration=1,IF($A485&lt;VLOOKUP(O$5,NFI,5,0),1,0)*Table_NFI[[#This Row],[Clothes Kit]],Table_NFI[Clothes Kit])</f>
        <v>0</v>
      </c>
      <c r="AG485" s="294">
        <f>IF(NFI_Expiration=1,IF($A485&lt;VLOOKUP(P$5,NFI,5,0),1,0)*Table_NFI[[#This Row],[Plastic Bucket]],Table_NFI[Plastic Bucket])</f>
        <v>0</v>
      </c>
      <c r="AH485" s="294">
        <f>IF(NFI_Expiration=1,IF($A485&lt;VLOOKUP(Q$5,NFI,5,0),1,0)*Table_NFI[[#This Row],[Plastic Mat]],Table_NFI[Plastic Mat])*IF(Table_NFI[[#This Row],[Distribution Date]]&gt;"2014-04-01",1,2.5)</f>
        <v>0</v>
      </c>
      <c r="AI485" s="294">
        <f>IF(NFI_Expiration=1,IF($A485&lt;VLOOKUP(R$5,NFI,5,0),1,0)*Table_NFI[[#This Row],[Winter Clothes Adult]],Table_NFI[Winter Clothes Adult])</f>
        <v>0</v>
      </c>
      <c r="AJ485" s="294">
        <f>IF(NFI_Expiration=1,IF($A485&lt;VLOOKUP(S$5,NFI,5,0),1,0)*Table_NFI[[#This Row],[Winter Clothes Children]],Table_NFI[Winter Clothes Children])</f>
        <v>0</v>
      </c>
      <c r="AK485" s="294">
        <f>IF(NFI_Expiration=1,IF($A485&lt;VLOOKUP(T$5,NFI,5,0),1,0)*Table_NFI[[#This Row],[Winter Items Other]],Table_NFI[Winter Items Other])</f>
        <v>0</v>
      </c>
      <c r="AL485" s="294">
        <f>IF(NFI_Expiration=1,IF($A485&lt;VLOOKUP(M$5,NFI,5,0),1,0)*Table_NFI[[#This Row],[Winter Blanket]],Table_NFI[[#This Row],[Winter Blanket]])</f>
        <v>0</v>
      </c>
      <c r="AM485" s="294">
        <f>IF(Table_NFI[[#This Row],[Winter Clothes Adult]]+Table_NFI[[#This Row],[Winter Clothes Children]]+Table_NFI[[#This Row],[Winter Items Other]]+Table_NFI[[#This Row],[Winter Blanket]]&gt;0,1,0)</f>
        <v>1</v>
      </c>
      <c r="AN485" s="331">
        <f>IF(NFI_Expiration=1,IF($A485&lt;VLOOKUP(V$5,NFI,5,0),1,0)*Table_NFI[[#This Row],[Jerry Can]],Table_NFI[Jerry Can])</f>
        <v>0</v>
      </c>
      <c r="AO485" s="331">
        <f>IF(NFI_Expiration=1,IF($A485&lt;VLOOKUP(V$5,NFI,5,0),1,0)*Table_NFI[[#This Row],[Shelter Tool kit]],Table_NFI[Shelter Tool kit])</f>
        <v>0</v>
      </c>
      <c r="AP485" s="331">
        <f>IF(NFI_Expiration=1,IF($A485&lt;VLOOKUP(V$5,NFI,5,0),1,0)*Table_NFI[[#This Row],[Tent]],Table_NFI[Tent])</f>
        <v>0</v>
      </c>
      <c r="AQ485" s="467" t="str">
        <f>IFERROR(VLOOKUP(Table_NFI[[#This Row],[Camp Name]],CL,2,0),"")</f>
        <v>MMR001CMP030</v>
      </c>
      <c r="AR485" s="835">
        <f ca="1">IF(Table_NFI[[#This Row],[Pcode]]="","",IF(OFFSET(CampList[Opening Date],MATCH(Table_NFI[[#This Row],[Pcode]],CampList[CP_Pcode],0)-1,0,1,1)&gt;=NFI_Monitor_Date,1,0))</f>
        <v>0</v>
      </c>
      <c r="AS485" s="467" t="str">
        <f>IFERROR(VLOOKUP(Table_NFI[[#This Row],[Camp Name]],CL,3,0),"")</f>
        <v>Open</v>
      </c>
      <c r="AT485" s="294" t="str">
        <f ca="1">IF(Table_NFI[[#This Row],[Pcode]]="","",OFFSET(CampList[Priority],MATCH(Table_NFI[[#This Row],[Pcode]],CampList[CP_Pcode],0)-1,0,1,1))</f>
        <v>P4</v>
      </c>
      <c r="AU485" s="293">
        <f>IFERROR(Table_NFI[[#This Row],[Kitchen Set]]/VLOOKUP(Table_NFI[[#This Row],[Camp Name]],CL,4,0),"")</f>
        <v>0</v>
      </c>
      <c r="AV485" s="461"/>
      <c r="AW485" s="463"/>
    </row>
    <row r="486" spans="1:49" s="464" customFormat="1" ht="14.45" customHeight="1" x14ac:dyDescent="0.25">
      <c r="A486" s="297">
        <f t="shared" si="7"/>
        <v>37.033333333333331</v>
      </c>
      <c r="B486" s="460">
        <v>41625</v>
      </c>
      <c r="C486" s="461" t="s">
        <v>905</v>
      </c>
      <c r="D486" s="461" t="s">
        <v>460</v>
      </c>
      <c r="E486" s="461" t="s">
        <v>380</v>
      </c>
      <c r="F486" s="290" t="s">
        <v>310</v>
      </c>
      <c r="G486" s="461" t="s">
        <v>342</v>
      </c>
      <c r="H486" s="291"/>
      <c r="I486" s="291"/>
      <c r="J486" s="291"/>
      <c r="K486" s="291"/>
      <c r="L486" s="292"/>
      <c r="M486" s="292"/>
      <c r="N486" s="292"/>
      <c r="O486" s="292"/>
      <c r="P486" s="294"/>
      <c r="Q486" s="294"/>
      <c r="R486" s="294">
        <v>73</v>
      </c>
      <c r="S486" s="294">
        <v>146</v>
      </c>
      <c r="T486" s="294">
        <v>438</v>
      </c>
      <c r="U486" s="294">
        <v>219</v>
      </c>
      <c r="V486" s="431"/>
      <c r="W486" s="294"/>
      <c r="X486" s="294"/>
      <c r="Y486" s="294">
        <f>IF(NFI_Expiration=1,IF($A486&lt;VLOOKUP(H$5,NFI,5,0),1,0)*Table_NFI[[#This Row],[Hygiene Kit]],Table_NFI[Hygiene Kit])</f>
        <v>0</v>
      </c>
      <c r="Z486" s="294">
        <f>IF(NFI_Expiration=1,IF($A486&lt;VLOOKUP(I$5,NFI,5,0),1,0)*Table_NFI[[#This Row],[NFI Core Kit]],Table_NFI[NFI Core Kit])</f>
        <v>0</v>
      </c>
      <c r="AA486" s="294">
        <f>IF(NFI_Expiration=1,IF($A486&lt;VLOOKUP(J$5,NFI,5,0),1,0)*Table_NFI[[#This Row],[Sanitary Kit]],Table_NFI[Sanitary Kit])</f>
        <v>0</v>
      </c>
      <c r="AB486" s="294">
        <f>IF(NFI_Expiration=1,IF($A486&lt;VLOOKUP(K$5,NFI,5,0),1,0)*Table_NFI[[#This Row],[Mosquito net]],Table_NFI[Mosquito net])</f>
        <v>0</v>
      </c>
      <c r="AC486" s="294">
        <f>IF(NFI_Expiration=1,IF($A486&lt;VLOOKUP(L$5,NFI,5,0),1,0)*Table_NFI[[#This Row],[Tarpaulin]],Table_NFI[[#This Row],[Tarpaulin]])</f>
        <v>0</v>
      </c>
      <c r="AD486" s="294">
        <f>IF(NFI_Expiration=1,IF($A486&lt;VLOOKUP(M$5,NFI,5,0),1,0)*Table_NFI[[#This Row],[Blanket]],Table_NFI[[#This Row],[Blanket]])</f>
        <v>0</v>
      </c>
      <c r="AE486" s="294">
        <f>IF(NFI_Expiration=1,IF($A486&lt;VLOOKUP(N$5,NFI,5,0),1,0)*Table_NFI[[#This Row],[Kitchen Set]],Table_NFI[Kitchen Set])</f>
        <v>0</v>
      </c>
      <c r="AF486" s="294">
        <f>IF(NFI_Expiration=1,IF($A486&lt;VLOOKUP(O$5,NFI,5,0),1,0)*Table_NFI[[#This Row],[Clothes Kit]],Table_NFI[Clothes Kit])</f>
        <v>0</v>
      </c>
      <c r="AG486" s="294">
        <f>IF(NFI_Expiration=1,IF($A486&lt;VLOOKUP(P$5,NFI,5,0),1,0)*Table_NFI[[#This Row],[Plastic Bucket]],Table_NFI[Plastic Bucket])</f>
        <v>0</v>
      </c>
      <c r="AH486" s="294">
        <f>IF(NFI_Expiration=1,IF($A486&lt;VLOOKUP(Q$5,NFI,5,0),1,0)*Table_NFI[[#This Row],[Plastic Mat]],Table_NFI[Plastic Mat])*IF(Table_NFI[[#This Row],[Distribution Date]]&gt;"2014-04-01",1,2.5)</f>
        <v>0</v>
      </c>
      <c r="AI486" s="294">
        <f>IF(NFI_Expiration=1,IF($A486&lt;VLOOKUP(R$5,NFI,5,0),1,0)*Table_NFI[[#This Row],[Winter Clothes Adult]],Table_NFI[Winter Clothes Adult])</f>
        <v>0</v>
      </c>
      <c r="AJ486" s="294">
        <f>IF(NFI_Expiration=1,IF($A486&lt;VLOOKUP(S$5,NFI,5,0),1,0)*Table_NFI[[#This Row],[Winter Clothes Children]],Table_NFI[Winter Clothes Children])</f>
        <v>0</v>
      </c>
      <c r="AK486" s="294">
        <f>IF(NFI_Expiration=1,IF($A486&lt;VLOOKUP(T$5,NFI,5,0),1,0)*Table_NFI[[#This Row],[Winter Items Other]],Table_NFI[Winter Items Other])</f>
        <v>0</v>
      </c>
      <c r="AL486" s="294">
        <f>IF(NFI_Expiration=1,IF($A486&lt;VLOOKUP(M$5,NFI,5,0),1,0)*Table_NFI[[#This Row],[Winter Blanket]],Table_NFI[[#This Row],[Winter Blanket]])</f>
        <v>0</v>
      </c>
      <c r="AM486" s="294">
        <f>IF(Table_NFI[[#This Row],[Winter Clothes Adult]]+Table_NFI[[#This Row],[Winter Clothes Children]]+Table_NFI[[#This Row],[Winter Items Other]]+Table_NFI[[#This Row],[Winter Blanket]]&gt;0,1,0)</f>
        <v>1</v>
      </c>
      <c r="AN486" s="331">
        <f>IF(NFI_Expiration=1,IF($A486&lt;VLOOKUP(V$5,NFI,5,0),1,0)*Table_NFI[[#This Row],[Jerry Can]],Table_NFI[Jerry Can])</f>
        <v>0</v>
      </c>
      <c r="AO486" s="331">
        <f>IF(NFI_Expiration=1,IF($A486&lt;VLOOKUP(V$5,NFI,5,0),1,0)*Table_NFI[[#This Row],[Shelter Tool kit]],Table_NFI[Shelter Tool kit])</f>
        <v>0</v>
      </c>
      <c r="AP486" s="331">
        <f>IF(NFI_Expiration=1,IF($A486&lt;VLOOKUP(V$5,NFI,5,0),1,0)*Table_NFI[[#This Row],[Tent]],Table_NFI[Tent])</f>
        <v>0</v>
      </c>
      <c r="AQ486" s="467" t="str">
        <f>IFERROR(VLOOKUP(Table_NFI[[#This Row],[Camp Name]],CL,2,0),"")</f>
        <v>MMR001CMP025</v>
      </c>
      <c r="AR486" s="835">
        <f ca="1">IF(Table_NFI[[#This Row],[Pcode]]="","",IF(OFFSET(CampList[Opening Date],MATCH(Table_NFI[[#This Row],[Pcode]],CampList[CP_Pcode],0)-1,0,1,1)&gt;=NFI_Monitor_Date,1,0))</f>
        <v>0</v>
      </c>
      <c r="AS486" s="467" t="str">
        <f>IFERROR(VLOOKUP(Table_NFI[[#This Row],[Camp Name]],CL,3,0),"")</f>
        <v>Open</v>
      </c>
      <c r="AT486" s="294" t="str">
        <f ca="1">IF(Table_NFI[[#This Row],[Pcode]]="","",OFFSET(CampList[Priority],MATCH(Table_NFI[[#This Row],[Pcode]],CampList[CP_Pcode],0)-1,0,1,1))</f>
        <v>P4</v>
      </c>
      <c r="AU486" s="293">
        <f>IFERROR(Table_NFI[[#This Row],[Kitchen Set]]/VLOOKUP(Table_NFI[[#This Row],[Camp Name]],CL,4,0),"")</f>
        <v>0</v>
      </c>
      <c r="AV486" s="461"/>
      <c r="AW486" s="463"/>
    </row>
    <row r="487" spans="1:49" s="464" customFormat="1" ht="14.45" customHeight="1" x14ac:dyDescent="0.25">
      <c r="A487" s="297">
        <f t="shared" si="7"/>
        <v>37.033333333333331</v>
      </c>
      <c r="B487" s="460">
        <v>41625</v>
      </c>
      <c r="C487" s="461" t="s">
        <v>905</v>
      </c>
      <c r="D487" s="461" t="s">
        <v>460</v>
      </c>
      <c r="E487" s="461" t="s">
        <v>380</v>
      </c>
      <c r="F487" s="461" t="s">
        <v>310</v>
      </c>
      <c r="G487" s="461" t="s">
        <v>347</v>
      </c>
      <c r="H487" s="291"/>
      <c r="I487" s="291"/>
      <c r="J487" s="291"/>
      <c r="K487" s="291"/>
      <c r="L487" s="292"/>
      <c r="M487" s="292"/>
      <c r="N487" s="292"/>
      <c r="O487" s="292"/>
      <c r="P487" s="294"/>
      <c r="Q487" s="294"/>
      <c r="R487" s="294">
        <v>188</v>
      </c>
      <c r="S487" s="294">
        <v>343</v>
      </c>
      <c r="T487" s="294">
        <v>1062</v>
      </c>
      <c r="U487" s="294">
        <v>531</v>
      </c>
      <c r="V487" s="431"/>
      <c r="W487" s="294"/>
      <c r="X487" s="294"/>
      <c r="Y487" s="294">
        <f>IF(NFI_Expiration=1,IF($A487&lt;VLOOKUP(H$5,NFI,5,0),1,0)*Table_NFI[[#This Row],[Hygiene Kit]],Table_NFI[Hygiene Kit])</f>
        <v>0</v>
      </c>
      <c r="Z487" s="294">
        <f>IF(NFI_Expiration=1,IF($A487&lt;VLOOKUP(I$5,NFI,5,0),1,0)*Table_NFI[[#This Row],[NFI Core Kit]],Table_NFI[NFI Core Kit])</f>
        <v>0</v>
      </c>
      <c r="AA487" s="294">
        <f>IF(NFI_Expiration=1,IF($A487&lt;VLOOKUP(J$5,NFI,5,0),1,0)*Table_NFI[[#This Row],[Sanitary Kit]],Table_NFI[Sanitary Kit])</f>
        <v>0</v>
      </c>
      <c r="AB487" s="294">
        <f>IF(NFI_Expiration=1,IF($A487&lt;VLOOKUP(K$5,NFI,5,0),1,0)*Table_NFI[[#This Row],[Mosquito net]],Table_NFI[Mosquito net])</f>
        <v>0</v>
      </c>
      <c r="AC487" s="294">
        <f>IF(NFI_Expiration=1,IF($A487&lt;VLOOKUP(L$5,NFI,5,0),1,0)*Table_NFI[[#This Row],[Tarpaulin]],Table_NFI[[#This Row],[Tarpaulin]])</f>
        <v>0</v>
      </c>
      <c r="AD487" s="294">
        <f>IF(NFI_Expiration=1,IF($A487&lt;VLOOKUP(M$5,NFI,5,0),1,0)*Table_NFI[[#This Row],[Blanket]],Table_NFI[[#This Row],[Blanket]])</f>
        <v>0</v>
      </c>
      <c r="AE487" s="294">
        <f>IF(NFI_Expiration=1,IF($A487&lt;VLOOKUP(N$5,NFI,5,0),1,0)*Table_NFI[[#This Row],[Kitchen Set]],Table_NFI[Kitchen Set])</f>
        <v>0</v>
      </c>
      <c r="AF487" s="294">
        <f>IF(NFI_Expiration=1,IF($A487&lt;VLOOKUP(O$5,NFI,5,0),1,0)*Table_NFI[[#This Row],[Clothes Kit]],Table_NFI[Clothes Kit])</f>
        <v>0</v>
      </c>
      <c r="AG487" s="294">
        <f>IF(NFI_Expiration=1,IF($A487&lt;VLOOKUP(P$5,NFI,5,0),1,0)*Table_NFI[[#This Row],[Plastic Bucket]],Table_NFI[Plastic Bucket])</f>
        <v>0</v>
      </c>
      <c r="AH487" s="294">
        <f>IF(NFI_Expiration=1,IF($A487&lt;VLOOKUP(Q$5,NFI,5,0),1,0)*Table_NFI[[#This Row],[Plastic Mat]],Table_NFI[Plastic Mat])*IF(Table_NFI[[#This Row],[Distribution Date]]&gt;"2014-04-01",1,2.5)</f>
        <v>0</v>
      </c>
      <c r="AI487" s="294">
        <f>IF(NFI_Expiration=1,IF($A487&lt;VLOOKUP(R$5,NFI,5,0),1,0)*Table_NFI[[#This Row],[Winter Clothes Adult]],Table_NFI[Winter Clothes Adult])</f>
        <v>0</v>
      </c>
      <c r="AJ487" s="294">
        <f>IF(NFI_Expiration=1,IF($A487&lt;VLOOKUP(S$5,NFI,5,0),1,0)*Table_NFI[[#This Row],[Winter Clothes Children]],Table_NFI[Winter Clothes Children])</f>
        <v>0</v>
      </c>
      <c r="AK487" s="294">
        <f>IF(NFI_Expiration=1,IF($A487&lt;VLOOKUP(T$5,NFI,5,0),1,0)*Table_NFI[[#This Row],[Winter Items Other]],Table_NFI[Winter Items Other])</f>
        <v>0</v>
      </c>
      <c r="AL487" s="294">
        <f>IF(NFI_Expiration=1,IF($A487&lt;VLOOKUP(M$5,NFI,5,0),1,0)*Table_NFI[[#This Row],[Winter Blanket]],Table_NFI[[#This Row],[Winter Blanket]])</f>
        <v>0</v>
      </c>
      <c r="AM487" s="294">
        <f>IF(Table_NFI[[#This Row],[Winter Clothes Adult]]+Table_NFI[[#This Row],[Winter Clothes Children]]+Table_NFI[[#This Row],[Winter Items Other]]+Table_NFI[[#This Row],[Winter Blanket]]&gt;0,1,0)</f>
        <v>1</v>
      </c>
      <c r="AN487" s="331">
        <f>IF(NFI_Expiration=1,IF($A487&lt;VLOOKUP(V$5,NFI,5,0),1,0)*Table_NFI[[#This Row],[Jerry Can]],Table_NFI[Jerry Can])</f>
        <v>0</v>
      </c>
      <c r="AO487" s="331">
        <f>IF(NFI_Expiration=1,IF($A487&lt;VLOOKUP(V$5,NFI,5,0),1,0)*Table_NFI[[#This Row],[Shelter Tool kit]],Table_NFI[Shelter Tool kit])</f>
        <v>0</v>
      </c>
      <c r="AP487" s="331">
        <f>IF(NFI_Expiration=1,IF($A487&lt;VLOOKUP(V$5,NFI,5,0),1,0)*Table_NFI[[#This Row],[Tent]],Table_NFI[Tent])</f>
        <v>0</v>
      </c>
      <c r="AQ487" s="467" t="str">
        <f>IFERROR(VLOOKUP(Table_NFI[[#This Row],[Camp Name]],CL,2,0),"")</f>
        <v>MMR001CMP041</v>
      </c>
      <c r="AR487" s="835">
        <f ca="1">IF(Table_NFI[[#This Row],[Pcode]]="","",IF(OFFSET(CampList[Opening Date],MATCH(Table_NFI[[#This Row],[Pcode]],CampList[CP_Pcode],0)-1,0,1,1)&gt;=NFI_Monitor_Date,1,0))</f>
        <v>0</v>
      </c>
      <c r="AS487" s="467" t="str">
        <f>IFERROR(VLOOKUP(Table_NFI[[#This Row],[Camp Name]],CL,3,0),"")</f>
        <v>Open</v>
      </c>
      <c r="AT487" s="294" t="str">
        <f ca="1">IF(Table_NFI[[#This Row],[Pcode]]="","",OFFSET(CampList[Priority],MATCH(Table_NFI[[#This Row],[Pcode]],CampList[CP_Pcode],0)-1,0,1,1))</f>
        <v>P1</v>
      </c>
      <c r="AU487" s="293">
        <f>IFERROR(Table_NFI[[#This Row],[Kitchen Set]]/VLOOKUP(Table_NFI[[#This Row],[Camp Name]],CL,4,0),"")</f>
        <v>0</v>
      </c>
      <c r="AV487" s="461"/>
      <c r="AW487" s="463"/>
    </row>
    <row r="488" spans="1:49" s="464" customFormat="1" ht="14.45" customHeight="1" x14ac:dyDescent="0.25">
      <c r="A488" s="297">
        <f t="shared" si="7"/>
        <v>37.06666666666667</v>
      </c>
      <c r="B488" s="460">
        <v>41624</v>
      </c>
      <c r="C488" s="461" t="s">
        <v>905</v>
      </c>
      <c r="D488" s="461" t="s">
        <v>460</v>
      </c>
      <c r="E488" s="461" t="s">
        <v>380</v>
      </c>
      <c r="F488" s="461" t="s">
        <v>310</v>
      </c>
      <c r="G488" s="461" t="s">
        <v>316</v>
      </c>
      <c r="H488" s="291"/>
      <c r="I488" s="291"/>
      <c r="J488" s="291"/>
      <c r="K488" s="291"/>
      <c r="L488" s="292"/>
      <c r="M488" s="292"/>
      <c r="N488" s="292"/>
      <c r="O488" s="292"/>
      <c r="P488" s="294"/>
      <c r="Q488" s="294"/>
      <c r="R488" s="294">
        <v>77</v>
      </c>
      <c r="S488" s="294">
        <v>153</v>
      </c>
      <c r="T488" s="294">
        <v>460</v>
      </c>
      <c r="U488" s="294">
        <v>230</v>
      </c>
      <c r="V488" s="431"/>
      <c r="W488" s="294"/>
      <c r="X488" s="294"/>
      <c r="Y488" s="294">
        <f>IF(NFI_Expiration=1,IF($A488&lt;VLOOKUP(H$5,NFI,5,0),1,0)*Table_NFI[[#This Row],[Hygiene Kit]],Table_NFI[Hygiene Kit])</f>
        <v>0</v>
      </c>
      <c r="Z488" s="294">
        <f>IF(NFI_Expiration=1,IF($A488&lt;VLOOKUP(I$5,NFI,5,0),1,0)*Table_NFI[[#This Row],[NFI Core Kit]],Table_NFI[NFI Core Kit])</f>
        <v>0</v>
      </c>
      <c r="AA488" s="294">
        <f>IF(NFI_Expiration=1,IF($A488&lt;VLOOKUP(J$5,NFI,5,0),1,0)*Table_NFI[[#This Row],[Sanitary Kit]],Table_NFI[Sanitary Kit])</f>
        <v>0</v>
      </c>
      <c r="AB488" s="294">
        <f>IF(NFI_Expiration=1,IF($A488&lt;VLOOKUP(K$5,NFI,5,0),1,0)*Table_NFI[[#This Row],[Mosquito net]],Table_NFI[Mosquito net])</f>
        <v>0</v>
      </c>
      <c r="AC488" s="294">
        <f>IF(NFI_Expiration=1,IF($A488&lt;VLOOKUP(L$5,NFI,5,0),1,0)*Table_NFI[[#This Row],[Tarpaulin]],Table_NFI[[#This Row],[Tarpaulin]])</f>
        <v>0</v>
      </c>
      <c r="AD488" s="294">
        <f>IF(NFI_Expiration=1,IF($A488&lt;VLOOKUP(M$5,NFI,5,0),1,0)*Table_NFI[[#This Row],[Blanket]],Table_NFI[[#This Row],[Blanket]])</f>
        <v>0</v>
      </c>
      <c r="AE488" s="294">
        <f>IF(NFI_Expiration=1,IF($A488&lt;VLOOKUP(N$5,NFI,5,0),1,0)*Table_NFI[[#This Row],[Kitchen Set]],Table_NFI[Kitchen Set])</f>
        <v>0</v>
      </c>
      <c r="AF488" s="294">
        <f>IF(NFI_Expiration=1,IF($A488&lt;VLOOKUP(O$5,NFI,5,0),1,0)*Table_NFI[[#This Row],[Clothes Kit]],Table_NFI[Clothes Kit])</f>
        <v>0</v>
      </c>
      <c r="AG488" s="294">
        <f>IF(NFI_Expiration=1,IF($A488&lt;VLOOKUP(P$5,NFI,5,0),1,0)*Table_NFI[[#This Row],[Plastic Bucket]],Table_NFI[Plastic Bucket])</f>
        <v>0</v>
      </c>
      <c r="AH488" s="294">
        <f>IF(NFI_Expiration=1,IF($A488&lt;VLOOKUP(Q$5,NFI,5,0),1,0)*Table_NFI[[#This Row],[Plastic Mat]],Table_NFI[Plastic Mat])*IF(Table_NFI[[#This Row],[Distribution Date]]&gt;"2014-04-01",1,2.5)</f>
        <v>0</v>
      </c>
      <c r="AI488" s="294">
        <f>IF(NFI_Expiration=1,IF($A488&lt;VLOOKUP(R$5,NFI,5,0),1,0)*Table_NFI[[#This Row],[Winter Clothes Adult]],Table_NFI[Winter Clothes Adult])</f>
        <v>0</v>
      </c>
      <c r="AJ488" s="294">
        <f>IF(NFI_Expiration=1,IF($A488&lt;VLOOKUP(S$5,NFI,5,0),1,0)*Table_NFI[[#This Row],[Winter Clothes Children]],Table_NFI[Winter Clothes Children])</f>
        <v>0</v>
      </c>
      <c r="AK488" s="294">
        <f>IF(NFI_Expiration=1,IF($A488&lt;VLOOKUP(T$5,NFI,5,0),1,0)*Table_NFI[[#This Row],[Winter Items Other]],Table_NFI[Winter Items Other])</f>
        <v>0</v>
      </c>
      <c r="AL488" s="294">
        <f>IF(NFI_Expiration=1,IF($A488&lt;VLOOKUP(M$5,NFI,5,0),1,0)*Table_NFI[[#This Row],[Winter Blanket]],Table_NFI[[#This Row],[Winter Blanket]])</f>
        <v>0</v>
      </c>
      <c r="AM488" s="294">
        <f>IF(Table_NFI[[#This Row],[Winter Clothes Adult]]+Table_NFI[[#This Row],[Winter Clothes Children]]+Table_NFI[[#This Row],[Winter Items Other]]+Table_NFI[[#This Row],[Winter Blanket]]&gt;0,1,0)</f>
        <v>1</v>
      </c>
      <c r="AN488" s="331">
        <f>IF(NFI_Expiration=1,IF($A488&lt;VLOOKUP(V$5,NFI,5,0),1,0)*Table_NFI[[#This Row],[Jerry Can]],Table_NFI[Jerry Can])</f>
        <v>0</v>
      </c>
      <c r="AO488" s="331">
        <f>IF(NFI_Expiration=1,IF($A488&lt;VLOOKUP(V$5,NFI,5,0),1,0)*Table_NFI[[#This Row],[Shelter Tool kit]],Table_NFI[Shelter Tool kit])</f>
        <v>0</v>
      </c>
      <c r="AP488" s="331">
        <f>IF(NFI_Expiration=1,IF($A488&lt;VLOOKUP(V$5,NFI,5,0),1,0)*Table_NFI[[#This Row],[Tent]],Table_NFI[Tent])</f>
        <v>0</v>
      </c>
      <c r="AQ488" s="467" t="str">
        <f>IFERROR(VLOOKUP(Table_NFI[[#This Row],[Camp Name]],CL,2,0),"")</f>
        <v>MMR001CMP038</v>
      </c>
      <c r="AR488" s="835">
        <f ca="1">IF(Table_NFI[[#This Row],[Pcode]]="","",IF(OFFSET(CampList[Opening Date],MATCH(Table_NFI[[#This Row],[Pcode]],CampList[CP_Pcode],0)-1,0,1,1)&gt;=NFI_Monitor_Date,1,0))</f>
        <v>0</v>
      </c>
      <c r="AS488" s="467" t="str">
        <f>IFERROR(VLOOKUP(Table_NFI[[#This Row],[Camp Name]],CL,3,0),"")</f>
        <v>Open</v>
      </c>
      <c r="AT488" s="294" t="str">
        <f ca="1">IF(Table_NFI[[#This Row],[Pcode]]="","",OFFSET(CampList[Priority],MATCH(Table_NFI[[#This Row],[Pcode]],CampList[CP_Pcode],0)-1,0,1,1))</f>
        <v>P4</v>
      </c>
      <c r="AU488" s="293">
        <f>IFERROR(Table_NFI[[#This Row],[Kitchen Set]]/VLOOKUP(Table_NFI[[#This Row],[Camp Name]],CL,4,0),"")</f>
        <v>0</v>
      </c>
      <c r="AV488" s="461"/>
      <c r="AW488" s="463"/>
    </row>
    <row r="489" spans="1:49" s="464" customFormat="1" ht="14.45" customHeight="1" x14ac:dyDescent="0.25">
      <c r="A489" s="297">
        <f t="shared" si="7"/>
        <v>37.166666666666664</v>
      </c>
      <c r="B489" s="460">
        <v>41621</v>
      </c>
      <c r="C489" s="461" t="s">
        <v>905</v>
      </c>
      <c r="D489" s="461" t="s">
        <v>905</v>
      </c>
      <c r="E489" s="461" t="s">
        <v>380</v>
      </c>
      <c r="F489" s="461" t="s">
        <v>151</v>
      </c>
      <c r="G489" s="461" t="s">
        <v>152</v>
      </c>
      <c r="H489" s="291"/>
      <c r="I489" s="291"/>
      <c r="J489" s="291"/>
      <c r="K489" s="291"/>
      <c r="L489" s="292"/>
      <c r="M489" s="292"/>
      <c r="N489" s="292"/>
      <c r="O489" s="292"/>
      <c r="P489" s="294"/>
      <c r="Q489" s="294"/>
      <c r="R489" s="294">
        <v>13</v>
      </c>
      <c r="S489" s="294">
        <v>53</v>
      </c>
      <c r="T489" s="294">
        <v>132</v>
      </c>
      <c r="U489" s="294">
        <v>66</v>
      </c>
      <c r="V489" s="431"/>
      <c r="W489" s="294"/>
      <c r="X489" s="294"/>
      <c r="Y489" s="294">
        <f>IF(NFI_Expiration=1,IF($A489&lt;VLOOKUP(H$5,NFI,5,0),1,0)*Table_NFI[[#This Row],[Hygiene Kit]],Table_NFI[Hygiene Kit])</f>
        <v>0</v>
      </c>
      <c r="Z489" s="294">
        <f>IF(NFI_Expiration=1,IF($A489&lt;VLOOKUP(I$5,NFI,5,0),1,0)*Table_NFI[[#This Row],[NFI Core Kit]],Table_NFI[NFI Core Kit])</f>
        <v>0</v>
      </c>
      <c r="AA489" s="294">
        <f>IF(NFI_Expiration=1,IF($A489&lt;VLOOKUP(J$5,NFI,5,0),1,0)*Table_NFI[[#This Row],[Sanitary Kit]],Table_NFI[Sanitary Kit])</f>
        <v>0</v>
      </c>
      <c r="AB489" s="294">
        <f>IF(NFI_Expiration=1,IF($A489&lt;VLOOKUP(K$5,NFI,5,0),1,0)*Table_NFI[[#This Row],[Mosquito net]],Table_NFI[Mosquito net])</f>
        <v>0</v>
      </c>
      <c r="AC489" s="294">
        <f>IF(NFI_Expiration=1,IF($A489&lt;VLOOKUP(L$5,NFI,5,0),1,0)*Table_NFI[[#This Row],[Tarpaulin]],Table_NFI[[#This Row],[Tarpaulin]])</f>
        <v>0</v>
      </c>
      <c r="AD489" s="294">
        <f>IF(NFI_Expiration=1,IF($A489&lt;VLOOKUP(M$5,NFI,5,0),1,0)*Table_NFI[[#This Row],[Blanket]],Table_NFI[[#This Row],[Blanket]])</f>
        <v>0</v>
      </c>
      <c r="AE489" s="294">
        <f>IF(NFI_Expiration=1,IF($A489&lt;VLOOKUP(N$5,NFI,5,0),1,0)*Table_NFI[[#This Row],[Kitchen Set]],Table_NFI[Kitchen Set])</f>
        <v>0</v>
      </c>
      <c r="AF489" s="294">
        <f>IF(NFI_Expiration=1,IF($A489&lt;VLOOKUP(O$5,NFI,5,0),1,0)*Table_NFI[[#This Row],[Clothes Kit]],Table_NFI[Clothes Kit])</f>
        <v>0</v>
      </c>
      <c r="AG489" s="294">
        <f>IF(NFI_Expiration=1,IF($A489&lt;VLOOKUP(P$5,NFI,5,0),1,0)*Table_NFI[[#This Row],[Plastic Bucket]],Table_NFI[Plastic Bucket])</f>
        <v>0</v>
      </c>
      <c r="AH489" s="294">
        <f>IF(NFI_Expiration=1,IF($A489&lt;VLOOKUP(Q$5,NFI,5,0),1,0)*Table_NFI[[#This Row],[Plastic Mat]],Table_NFI[Plastic Mat])*IF(Table_NFI[[#This Row],[Distribution Date]]&gt;"2014-04-01",1,2.5)</f>
        <v>0</v>
      </c>
      <c r="AI489" s="294">
        <f>IF(NFI_Expiration=1,IF($A489&lt;VLOOKUP(R$5,NFI,5,0),1,0)*Table_NFI[[#This Row],[Winter Clothes Adult]],Table_NFI[Winter Clothes Adult])</f>
        <v>0</v>
      </c>
      <c r="AJ489" s="294">
        <f>IF(NFI_Expiration=1,IF($A489&lt;VLOOKUP(S$5,NFI,5,0),1,0)*Table_NFI[[#This Row],[Winter Clothes Children]],Table_NFI[Winter Clothes Children])</f>
        <v>0</v>
      </c>
      <c r="AK489" s="294">
        <f>IF(NFI_Expiration=1,IF($A489&lt;VLOOKUP(T$5,NFI,5,0),1,0)*Table_NFI[[#This Row],[Winter Items Other]],Table_NFI[Winter Items Other])</f>
        <v>0</v>
      </c>
      <c r="AL489" s="294">
        <f>IF(NFI_Expiration=1,IF($A489&lt;VLOOKUP(M$5,NFI,5,0),1,0)*Table_NFI[[#This Row],[Winter Blanket]],Table_NFI[[#This Row],[Winter Blanket]])</f>
        <v>0</v>
      </c>
      <c r="AM489" s="294">
        <f>IF(Table_NFI[[#This Row],[Winter Clothes Adult]]+Table_NFI[[#This Row],[Winter Clothes Children]]+Table_NFI[[#This Row],[Winter Items Other]]+Table_NFI[[#This Row],[Winter Blanket]]&gt;0,1,0)</f>
        <v>1</v>
      </c>
      <c r="AN489" s="331">
        <f>IF(NFI_Expiration=1,IF($A489&lt;VLOOKUP(V$5,NFI,5,0),1,0)*Table_NFI[[#This Row],[Jerry Can]],Table_NFI[Jerry Can])</f>
        <v>0</v>
      </c>
      <c r="AO489" s="331">
        <f>IF(NFI_Expiration=1,IF($A489&lt;VLOOKUP(V$5,NFI,5,0),1,0)*Table_NFI[[#This Row],[Shelter Tool kit]],Table_NFI[Shelter Tool kit])</f>
        <v>0</v>
      </c>
      <c r="AP489" s="331">
        <f>IF(NFI_Expiration=1,IF($A489&lt;VLOOKUP(V$5,NFI,5,0),1,0)*Table_NFI[[#This Row],[Tent]],Table_NFI[Tent])</f>
        <v>0</v>
      </c>
      <c r="AQ489" s="467" t="str">
        <f>IFERROR(VLOOKUP(Table_NFI[[#This Row],[Camp Name]],CL,2,0),"")</f>
        <v>MMR001CMP066</v>
      </c>
      <c r="AR489" s="835">
        <f ca="1">IF(Table_NFI[[#This Row],[Pcode]]="","",IF(OFFSET(CampList[Opening Date],MATCH(Table_NFI[[#This Row],[Pcode]],CampList[CP_Pcode],0)-1,0,1,1)&gt;=NFI_Monitor_Date,1,0))</f>
        <v>0</v>
      </c>
      <c r="AS489" s="467" t="str">
        <f>IFERROR(VLOOKUP(Table_NFI[[#This Row],[Camp Name]],CL,3,0),"")</f>
        <v>Open</v>
      </c>
      <c r="AT489" s="294" t="str">
        <f ca="1">IF(Table_NFI[[#This Row],[Pcode]]="","",OFFSET(CampList[Priority],MATCH(Table_NFI[[#This Row],[Pcode]],CampList[CP_Pcode],0)-1,0,1,1))</f>
        <v>P4</v>
      </c>
      <c r="AU489" s="293">
        <f>IFERROR(Table_NFI[[#This Row],[Kitchen Set]]/VLOOKUP(Table_NFI[[#This Row],[Camp Name]],CL,4,0),"")</f>
        <v>0</v>
      </c>
      <c r="AV489" s="461"/>
      <c r="AW489" s="463"/>
    </row>
    <row r="490" spans="1:49" s="464" customFormat="1" ht="14.45" customHeight="1" x14ac:dyDescent="0.25">
      <c r="A490" s="297">
        <f t="shared" si="7"/>
        <v>37.233333333333334</v>
      </c>
      <c r="B490" s="460">
        <v>41619</v>
      </c>
      <c r="C490" s="461" t="s">
        <v>1027</v>
      </c>
      <c r="D490" s="461" t="s">
        <v>1028</v>
      </c>
      <c r="E490" s="461" t="s">
        <v>380</v>
      </c>
      <c r="F490" s="290" t="s">
        <v>151</v>
      </c>
      <c r="G490" s="290" t="s">
        <v>188</v>
      </c>
      <c r="H490" s="291"/>
      <c r="I490" s="291"/>
      <c r="J490" s="291"/>
      <c r="K490" s="291"/>
      <c r="L490" s="292"/>
      <c r="M490" s="292">
        <v>278</v>
      </c>
      <c r="N490" s="292"/>
      <c r="O490" s="292"/>
      <c r="P490" s="294"/>
      <c r="Q490" s="294"/>
      <c r="R490" s="294"/>
      <c r="S490" s="294"/>
      <c r="T490" s="294"/>
      <c r="U490" s="294"/>
      <c r="V490" s="431"/>
      <c r="W490" s="294"/>
      <c r="X490" s="294"/>
      <c r="Y490" s="294">
        <f>IF(NFI_Expiration=1,IF($A490&lt;VLOOKUP(H$5,NFI,5,0),1,0)*Table_NFI[[#This Row],[Hygiene Kit]],Table_NFI[Hygiene Kit])</f>
        <v>0</v>
      </c>
      <c r="Z490" s="294">
        <f>IF(NFI_Expiration=1,IF($A490&lt;VLOOKUP(I$5,NFI,5,0),1,0)*Table_NFI[[#This Row],[NFI Core Kit]],Table_NFI[NFI Core Kit])</f>
        <v>0</v>
      </c>
      <c r="AA490" s="294">
        <f>IF(NFI_Expiration=1,IF($A490&lt;VLOOKUP(J$5,NFI,5,0),1,0)*Table_NFI[[#This Row],[Sanitary Kit]],Table_NFI[Sanitary Kit])</f>
        <v>0</v>
      </c>
      <c r="AB490" s="294">
        <f>IF(NFI_Expiration=1,IF($A490&lt;VLOOKUP(K$5,NFI,5,0),1,0)*Table_NFI[[#This Row],[Mosquito net]],Table_NFI[Mosquito net])</f>
        <v>0</v>
      </c>
      <c r="AC490" s="294">
        <f>IF(NFI_Expiration=1,IF($A490&lt;VLOOKUP(L$5,NFI,5,0),1,0)*Table_NFI[[#This Row],[Tarpaulin]],Table_NFI[[#This Row],[Tarpaulin]])</f>
        <v>0</v>
      </c>
      <c r="AD490" s="294">
        <f>IF(NFI_Expiration=1,IF($A490&lt;VLOOKUP(M$5,NFI,5,0),1,0)*Table_NFI[[#This Row],[Blanket]],Table_NFI[[#This Row],[Blanket]])</f>
        <v>0</v>
      </c>
      <c r="AE490" s="294">
        <f>IF(NFI_Expiration=1,IF($A490&lt;VLOOKUP(N$5,NFI,5,0),1,0)*Table_NFI[[#This Row],[Kitchen Set]],Table_NFI[Kitchen Set])</f>
        <v>0</v>
      </c>
      <c r="AF490" s="294">
        <f>IF(NFI_Expiration=1,IF($A490&lt;VLOOKUP(O$5,NFI,5,0),1,0)*Table_NFI[[#This Row],[Clothes Kit]],Table_NFI[Clothes Kit])</f>
        <v>0</v>
      </c>
      <c r="AG490" s="294">
        <f>IF(NFI_Expiration=1,IF($A490&lt;VLOOKUP(P$5,NFI,5,0),1,0)*Table_NFI[[#This Row],[Plastic Bucket]],Table_NFI[Plastic Bucket])</f>
        <v>0</v>
      </c>
      <c r="AH490" s="294">
        <f>IF(NFI_Expiration=1,IF($A490&lt;VLOOKUP(Q$5,NFI,5,0),1,0)*Table_NFI[[#This Row],[Plastic Mat]],Table_NFI[Plastic Mat])*IF(Table_NFI[[#This Row],[Distribution Date]]&gt;"2014-04-01",1,2.5)</f>
        <v>0</v>
      </c>
      <c r="AI490" s="294">
        <f>IF(NFI_Expiration=1,IF($A490&lt;VLOOKUP(R$5,NFI,5,0),1,0)*Table_NFI[[#This Row],[Winter Clothes Adult]],Table_NFI[Winter Clothes Adult])</f>
        <v>0</v>
      </c>
      <c r="AJ490" s="294">
        <f>IF(NFI_Expiration=1,IF($A490&lt;VLOOKUP(S$5,NFI,5,0),1,0)*Table_NFI[[#This Row],[Winter Clothes Children]],Table_NFI[Winter Clothes Children])</f>
        <v>0</v>
      </c>
      <c r="AK490" s="294">
        <f>IF(NFI_Expiration=1,IF($A490&lt;VLOOKUP(T$5,NFI,5,0),1,0)*Table_NFI[[#This Row],[Winter Items Other]],Table_NFI[Winter Items Other])</f>
        <v>0</v>
      </c>
      <c r="AL490" s="294">
        <f>IF(NFI_Expiration=1,IF($A490&lt;VLOOKUP(M$5,NFI,5,0),1,0)*Table_NFI[[#This Row],[Winter Blanket]],Table_NFI[[#This Row],[Winter Blanket]])</f>
        <v>0</v>
      </c>
      <c r="AM490" s="294">
        <f>IF(Table_NFI[[#This Row],[Winter Clothes Adult]]+Table_NFI[[#This Row],[Winter Clothes Children]]+Table_NFI[[#This Row],[Winter Items Other]]+Table_NFI[[#This Row],[Winter Blanket]]&gt;0,1,0)</f>
        <v>0</v>
      </c>
      <c r="AN490" s="331">
        <f>IF(NFI_Expiration=1,IF($A490&lt;VLOOKUP(V$5,NFI,5,0),1,0)*Table_NFI[[#This Row],[Jerry Can]],Table_NFI[Jerry Can])</f>
        <v>0</v>
      </c>
      <c r="AO490" s="331">
        <f>IF(NFI_Expiration=1,IF($A490&lt;VLOOKUP(V$5,NFI,5,0),1,0)*Table_NFI[[#This Row],[Shelter Tool kit]],Table_NFI[Shelter Tool kit])</f>
        <v>0</v>
      </c>
      <c r="AP490" s="331">
        <f>IF(NFI_Expiration=1,IF($A490&lt;VLOOKUP(V$5,NFI,5,0),1,0)*Table_NFI[[#This Row],[Tent]],Table_NFI[Tent])</f>
        <v>0</v>
      </c>
      <c r="AQ490" s="467" t="str">
        <f>IFERROR(VLOOKUP(Table_NFI[[#This Row],[Camp Name]],CL,2,0),"")</f>
        <v>MMR001CMP129</v>
      </c>
      <c r="AR490" s="835">
        <f ca="1">IF(Table_NFI[[#This Row],[Pcode]]="","",IF(OFFSET(CampList[Opening Date],MATCH(Table_NFI[[#This Row],[Pcode]],CampList[CP_Pcode],0)-1,0,1,1)&gt;=NFI_Monitor_Date,1,0))</f>
        <v>0</v>
      </c>
      <c r="AS490" s="467" t="str">
        <f>IFERROR(VLOOKUP(Table_NFI[[#This Row],[Camp Name]],CL,3,0),"")</f>
        <v>Open</v>
      </c>
      <c r="AT490" s="294" t="str">
        <f ca="1">IF(Table_NFI[[#This Row],[Pcode]]="","",OFFSET(CampList[Priority],MATCH(Table_NFI[[#This Row],[Pcode]],CampList[CP_Pcode],0)-1,0,1,1))</f>
        <v>P2</v>
      </c>
      <c r="AU490" s="293">
        <f>IFERROR(Table_NFI[[#This Row],[Kitchen Set]]/VLOOKUP(Table_NFI[[#This Row],[Camp Name]],CL,4,0),"")</f>
        <v>0</v>
      </c>
      <c r="AV490" s="461" t="s">
        <v>1092</v>
      </c>
      <c r="AW490" s="463"/>
    </row>
    <row r="491" spans="1:49" s="464" customFormat="1" ht="14.45" customHeight="1" x14ac:dyDescent="0.25">
      <c r="A491" s="297">
        <f t="shared" si="7"/>
        <v>37.233333333333334</v>
      </c>
      <c r="B491" s="460">
        <v>41619</v>
      </c>
      <c r="C491" s="461" t="s">
        <v>1027</v>
      </c>
      <c r="D491" s="461" t="s">
        <v>1028</v>
      </c>
      <c r="E491" s="461" t="s">
        <v>380</v>
      </c>
      <c r="F491" s="290" t="s">
        <v>151</v>
      </c>
      <c r="G491" s="461" t="s">
        <v>188</v>
      </c>
      <c r="H491" s="291"/>
      <c r="I491" s="291"/>
      <c r="J491" s="291"/>
      <c r="K491" s="291"/>
      <c r="L491" s="292"/>
      <c r="M491" s="292">
        <v>174</v>
      </c>
      <c r="N491" s="292"/>
      <c r="O491" s="292"/>
      <c r="P491" s="294"/>
      <c r="Q491" s="294"/>
      <c r="R491" s="294"/>
      <c r="S491" s="294"/>
      <c r="T491" s="294"/>
      <c r="U491" s="294"/>
      <c r="V491" s="431"/>
      <c r="W491" s="294"/>
      <c r="X491" s="294"/>
      <c r="Y491" s="294">
        <f>IF(NFI_Expiration=1,IF($A491&lt;VLOOKUP(H$5,NFI,5,0),1,0)*Table_NFI[[#This Row],[Hygiene Kit]],Table_NFI[Hygiene Kit])</f>
        <v>0</v>
      </c>
      <c r="Z491" s="294">
        <f>IF(NFI_Expiration=1,IF($A491&lt;VLOOKUP(I$5,NFI,5,0),1,0)*Table_NFI[[#This Row],[NFI Core Kit]],Table_NFI[NFI Core Kit])</f>
        <v>0</v>
      </c>
      <c r="AA491" s="294">
        <f>IF(NFI_Expiration=1,IF($A491&lt;VLOOKUP(J$5,NFI,5,0),1,0)*Table_NFI[[#This Row],[Sanitary Kit]],Table_NFI[Sanitary Kit])</f>
        <v>0</v>
      </c>
      <c r="AB491" s="294">
        <f>IF(NFI_Expiration=1,IF($A491&lt;VLOOKUP(K$5,NFI,5,0),1,0)*Table_NFI[[#This Row],[Mosquito net]],Table_NFI[Mosquito net])</f>
        <v>0</v>
      </c>
      <c r="AC491" s="294">
        <f>IF(NFI_Expiration=1,IF($A491&lt;VLOOKUP(L$5,NFI,5,0),1,0)*Table_NFI[[#This Row],[Tarpaulin]],Table_NFI[[#This Row],[Tarpaulin]])</f>
        <v>0</v>
      </c>
      <c r="AD491" s="294">
        <f>IF(NFI_Expiration=1,IF($A491&lt;VLOOKUP(M$5,NFI,5,0),1,0)*Table_NFI[[#This Row],[Blanket]],Table_NFI[[#This Row],[Blanket]])</f>
        <v>0</v>
      </c>
      <c r="AE491" s="294">
        <f>IF(NFI_Expiration=1,IF($A491&lt;VLOOKUP(N$5,NFI,5,0),1,0)*Table_NFI[[#This Row],[Kitchen Set]],Table_NFI[Kitchen Set])</f>
        <v>0</v>
      </c>
      <c r="AF491" s="294">
        <f>IF(NFI_Expiration=1,IF($A491&lt;VLOOKUP(O$5,NFI,5,0),1,0)*Table_NFI[[#This Row],[Clothes Kit]],Table_NFI[Clothes Kit])</f>
        <v>0</v>
      </c>
      <c r="AG491" s="294">
        <f>IF(NFI_Expiration=1,IF($A491&lt;VLOOKUP(P$5,NFI,5,0),1,0)*Table_NFI[[#This Row],[Plastic Bucket]],Table_NFI[Plastic Bucket])</f>
        <v>0</v>
      </c>
      <c r="AH491" s="294">
        <f>IF(NFI_Expiration=1,IF($A491&lt;VLOOKUP(Q$5,NFI,5,0),1,0)*Table_NFI[[#This Row],[Plastic Mat]],Table_NFI[Plastic Mat])*IF(Table_NFI[[#This Row],[Distribution Date]]&gt;"2014-04-01",1,2.5)</f>
        <v>0</v>
      </c>
      <c r="AI491" s="294">
        <f>IF(NFI_Expiration=1,IF($A491&lt;VLOOKUP(R$5,NFI,5,0),1,0)*Table_NFI[[#This Row],[Winter Clothes Adult]],Table_NFI[Winter Clothes Adult])</f>
        <v>0</v>
      </c>
      <c r="AJ491" s="294">
        <f>IF(NFI_Expiration=1,IF($A491&lt;VLOOKUP(S$5,NFI,5,0),1,0)*Table_NFI[[#This Row],[Winter Clothes Children]],Table_NFI[Winter Clothes Children])</f>
        <v>0</v>
      </c>
      <c r="AK491" s="294">
        <f>IF(NFI_Expiration=1,IF($A491&lt;VLOOKUP(T$5,NFI,5,0),1,0)*Table_NFI[[#This Row],[Winter Items Other]],Table_NFI[Winter Items Other])</f>
        <v>0</v>
      </c>
      <c r="AL491" s="294">
        <f>IF(NFI_Expiration=1,IF($A491&lt;VLOOKUP(M$5,NFI,5,0),1,0)*Table_NFI[[#This Row],[Winter Blanket]],Table_NFI[[#This Row],[Winter Blanket]])</f>
        <v>0</v>
      </c>
      <c r="AM491" s="294">
        <f>IF(Table_NFI[[#This Row],[Winter Clothes Adult]]+Table_NFI[[#This Row],[Winter Clothes Children]]+Table_NFI[[#This Row],[Winter Items Other]]+Table_NFI[[#This Row],[Winter Blanket]]&gt;0,1,0)</f>
        <v>0</v>
      </c>
      <c r="AN491" s="331">
        <f>IF(NFI_Expiration=1,IF($A491&lt;VLOOKUP(V$5,NFI,5,0),1,0)*Table_NFI[[#This Row],[Jerry Can]],Table_NFI[Jerry Can])</f>
        <v>0</v>
      </c>
      <c r="AO491" s="331">
        <f>IF(NFI_Expiration=1,IF($A491&lt;VLOOKUP(V$5,NFI,5,0),1,0)*Table_NFI[[#This Row],[Shelter Tool kit]],Table_NFI[Shelter Tool kit])</f>
        <v>0</v>
      </c>
      <c r="AP491" s="331">
        <f>IF(NFI_Expiration=1,IF($A491&lt;VLOOKUP(V$5,NFI,5,0),1,0)*Table_NFI[[#This Row],[Tent]],Table_NFI[Tent])</f>
        <v>0</v>
      </c>
      <c r="AQ491" s="467" t="str">
        <f>IFERROR(VLOOKUP(Table_NFI[[#This Row],[Camp Name]],CL,2,0),"")</f>
        <v>MMR001CMP129</v>
      </c>
      <c r="AR491" s="835">
        <f ca="1">IF(Table_NFI[[#This Row],[Pcode]]="","",IF(OFFSET(CampList[Opening Date],MATCH(Table_NFI[[#This Row],[Pcode]],CampList[CP_Pcode],0)-1,0,1,1)&gt;=NFI_Monitor_Date,1,0))</f>
        <v>0</v>
      </c>
      <c r="AS491" s="467" t="str">
        <f>IFERROR(VLOOKUP(Table_NFI[[#This Row],[Camp Name]],CL,3,0),"")</f>
        <v>Open</v>
      </c>
      <c r="AT491" s="294" t="str">
        <f ca="1">IF(Table_NFI[[#This Row],[Pcode]]="","",OFFSET(CampList[Priority],MATCH(Table_NFI[[#This Row],[Pcode]],CampList[CP_Pcode],0)-1,0,1,1))</f>
        <v>P2</v>
      </c>
      <c r="AU491" s="293">
        <f>IFERROR(Table_NFI[[#This Row],[Kitchen Set]]/VLOOKUP(Table_NFI[[#This Row],[Camp Name]],CL,4,0),"")</f>
        <v>0</v>
      </c>
      <c r="AV491" s="461" t="s">
        <v>1092</v>
      </c>
      <c r="AW491" s="463"/>
    </row>
    <row r="492" spans="1:49" s="464" customFormat="1" x14ac:dyDescent="0.25">
      <c r="A492" s="297">
        <f t="shared" si="7"/>
        <v>37.233333333333334</v>
      </c>
      <c r="B492" s="460">
        <v>41619</v>
      </c>
      <c r="C492" s="461" t="s">
        <v>1027</v>
      </c>
      <c r="D492" s="461" t="s">
        <v>1028</v>
      </c>
      <c r="E492" s="461" t="s">
        <v>380</v>
      </c>
      <c r="F492" s="290" t="s">
        <v>151</v>
      </c>
      <c r="G492" s="461" t="s">
        <v>198</v>
      </c>
      <c r="H492" s="291"/>
      <c r="I492" s="291"/>
      <c r="J492" s="291"/>
      <c r="K492" s="291"/>
      <c r="L492" s="292"/>
      <c r="M492" s="292">
        <v>543</v>
      </c>
      <c r="N492" s="292"/>
      <c r="O492" s="292"/>
      <c r="P492" s="294"/>
      <c r="Q492" s="294"/>
      <c r="R492" s="294"/>
      <c r="S492" s="294"/>
      <c r="T492" s="294"/>
      <c r="U492" s="294"/>
      <c r="V492" s="431"/>
      <c r="W492" s="294"/>
      <c r="X492" s="294"/>
      <c r="Y492" s="294">
        <f>IF(NFI_Expiration=1,IF($A492&lt;VLOOKUP(H$5,NFI,5,0),1,0)*Table_NFI[[#This Row],[Hygiene Kit]],Table_NFI[Hygiene Kit])</f>
        <v>0</v>
      </c>
      <c r="Z492" s="294">
        <f>IF(NFI_Expiration=1,IF($A492&lt;VLOOKUP(I$5,NFI,5,0),1,0)*Table_NFI[[#This Row],[NFI Core Kit]],Table_NFI[NFI Core Kit])</f>
        <v>0</v>
      </c>
      <c r="AA492" s="294">
        <f>IF(NFI_Expiration=1,IF($A492&lt;VLOOKUP(J$5,NFI,5,0),1,0)*Table_NFI[[#This Row],[Sanitary Kit]],Table_NFI[Sanitary Kit])</f>
        <v>0</v>
      </c>
      <c r="AB492" s="294">
        <f>IF(NFI_Expiration=1,IF($A492&lt;VLOOKUP(K$5,NFI,5,0),1,0)*Table_NFI[[#This Row],[Mosquito net]],Table_NFI[Mosquito net])</f>
        <v>0</v>
      </c>
      <c r="AC492" s="294">
        <f>IF(NFI_Expiration=1,IF($A492&lt;VLOOKUP(L$5,NFI,5,0),1,0)*Table_NFI[[#This Row],[Tarpaulin]],Table_NFI[[#This Row],[Tarpaulin]])</f>
        <v>0</v>
      </c>
      <c r="AD492" s="294">
        <f>IF(NFI_Expiration=1,IF($A492&lt;VLOOKUP(M$5,NFI,5,0),1,0)*Table_NFI[[#This Row],[Blanket]],Table_NFI[[#This Row],[Blanket]])</f>
        <v>0</v>
      </c>
      <c r="AE492" s="294">
        <f>IF(NFI_Expiration=1,IF($A492&lt;VLOOKUP(N$5,NFI,5,0),1,0)*Table_NFI[[#This Row],[Kitchen Set]],Table_NFI[Kitchen Set])</f>
        <v>0</v>
      </c>
      <c r="AF492" s="294">
        <f>IF(NFI_Expiration=1,IF($A492&lt;VLOOKUP(O$5,NFI,5,0),1,0)*Table_NFI[[#This Row],[Clothes Kit]],Table_NFI[Clothes Kit])</f>
        <v>0</v>
      </c>
      <c r="AG492" s="294">
        <f>IF(NFI_Expiration=1,IF($A492&lt;VLOOKUP(P$5,NFI,5,0),1,0)*Table_NFI[[#This Row],[Plastic Bucket]],Table_NFI[Plastic Bucket])</f>
        <v>0</v>
      </c>
      <c r="AH492" s="294">
        <f>IF(NFI_Expiration=1,IF($A492&lt;VLOOKUP(Q$5,NFI,5,0),1,0)*Table_NFI[[#This Row],[Plastic Mat]],Table_NFI[Plastic Mat])*IF(Table_NFI[[#This Row],[Distribution Date]]&gt;"2014-04-01",1,2.5)</f>
        <v>0</v>
      </c>
      <c r="AI492" s="294">
        <f>IF(NFI_Expiration=1,IF($A492&lt;VLOOKUP(R$5,NFI,5,0),1,0)*Table_NFI[[#This Row],[Winter Clothes Adult]],Table_NFI[Winter Clothes Adult])</f>
        <v>0</v>
      </c>
      <c r="AJ492" s="294">
        <f>IF(NFI_Expiration=1,IF($A492&lt;VLOOKUP(S$5,NFI,5,0),1,0)*Table_NFI[[#This Row],[Winter Clothes Children]],Table_NFI[Winter Clothes Children])</f>
        <v>0</v>
      </c>
      <c r="AK492" s="294">
        <f>IF(NFI_Expiration=1,IF($A492&lt;VLOOKUP(T$5,NFI,5,0),1,0)*Table_NFI[[#This Row],[Winter Items Other]],Table_NFI[Winter Items Other])</f>
        <v>0</v>
      </c>
      <c r="AL492" s="294">
        <f>IF(NFI_Expiration=1,IF($A492&lt;VLOOKUP(M$5,NFI,5,0),1,0)*Table_NFI[[#This Row],[Winter Blanket]],Table_NFI[[#This Row],[Winter Blanket]])</f>
        <v>0</v>
      </c>
      <c r="AM492" s="294">
        <f>IF(Table_NFI[[#This Row],[Winter Clothes Adult]]+Table_NFI[[#This Row],[Winter Clothes Children]]+Table_NFI[[#This Row],[Winter Items Other]]+Table_NFI[[#This Row],[Winter Blanket]]&gt;0,1,0)</f>
        <v>0</v>
      </c>
      <c r="AN492" s="331">
        <f>IF(NFI_Expiration=1,IF($A492&lt;VLOOKUP(V$5,NFI,5,0),1,0)*Table_NFI[[#This Row],[Jerry Can]],Table_NFI[Jerry Can])</f>
        <v>0</v>
      </c>
      <c r="AO492" s="331">
        <f>IF(NFI_Expiration=1,IF($A492&lt;VLOOKUP(V$5,NFI,5,0),1,0)*Table_NFI[[#This Row],[Shelter Tool kit]],Table_NFI[Shelter Tool kit])</f>
        <v>0</v>
      </c>
      <c r="AP492" s="331">
        <f>IF(NFI_Expiration=1,IF($A492&lt;VLOOKUP(V$5,NFI,5,0),1,0)*Table_NFI[[#This Row],[Tent]],Table_NFI[Tent])</f>
        <v>0</v>
      </c>
      <c r="AQ492" s="467" t="str">
        <f>IFERROR(VLOOKUP(Table_NFI[[#This Row],[Camp Name]],CL,2,0),"")</f>
        <v>MMR001CMP128</v>
      </c>
      <c r="AR492" s="835">
        <f ca="1">IF(Table_NFI[[#This Row],[Pcode]]="","",IF(OFFSET(CampList[Opening Date],MATCH(Table_NFI[[#This Row],[Pcode]],CampList[CP_Pcode],0)-1,0,1,1)&gt;=NFI_Monitor_Date,1,0))</f>
        <v>0</v>
      </c>
      <c r="AS492" s="467" t="str">
        <f>IFERROR(VLOOKUP(Table_NFI[[#This Row],[Camp Name]],CL,3,0),"")</f>
        <v>Open</v>
      </c>
      <c r="AT492" s="294" t="str">
        <f ca="1">IF(Table_NFI[[#This Row],[Pcode]]="","",OFFSET(CampList[Priority],MATCH(Table_NFI[[#This Row],[Pcode]],CampList[CP_Pcode],0)-1,0,1,1))</f>
        <v>P2</v>
      </c>
      <c r="AU492" s="293">
        <f>IFERROR(Table_NFI[[#This Row],[Kitchen Set]]/VLOOKUP(Table_NFI[[#This Row],[Camp Name]],CL,4,0),"")</f>
        <v>0</v>
      </c>
      <c r="AV492" s="461" t="s">
        <v>1092</v>
      </c>
      <c r="AW492" s="463"/>
    </row>
    <row r="493" spans="1:49" s="464" customFormat="1" x14ac:dyDescent="0.25">
      <c r="A493" s="297">
        <f t="shared" si="7"/>
        <v>37.233333333333334</v>
      </c>
      <c r="B493" s="460">
        <v>41619</v>
      </c>
      <c r="C493" s="461" t="s">
        <v>1027</v>
      </c>
      <c r="D493" s="461" t="s">
        <v>1028</v>
      </c>
      <c r="E493" s="461" t="s">
        <v>380</v>
      </c>
      <c r="F493" s="461" t="s">
        <v>151</v>
      </c>
      <c r="G493" s="461" t="s">
        <v>158</v>
      </c>
      <c r="H493" s="291"/>
      <c r="I493" s="291"/>
      <c r="J493" s="291"/>
      <c r="K493" s="291"/>
      <c r="L493" s="292"/>
      <c r="M493" s="292">
        <v>38</v>
      </c>
      <c r="N493" s="292"/>
      <c r="O493" s="292"/>
      <c r="P493" s="294"/>
      <c r="Q493" s="294"/>
      <c r="R493" s="294"/>
      <c r="S493" s="294"/>
      <c r="T493" s="294"/>
      <c r="U493" s="294"/>
      <c r="V493" s="431"/>
      <c r="W493" s="331"/>
      <c r="X493" s="331"/>
      <c r="Y493" s="294">
        <f>IF(NFI_Expiration=1,IF($A493&lt;VLOOKUP(H$5,NFI,5,0),1,0)*Table_NFI[[#This Row],[Hygiene Kit]],Table_NFI[Hygiene Kit])</f>
        <v>0</v>
      </c>
      <c r="Z493" s="294">
        <f>IF(NFI_Expiration=1,IF($A493&lt;VLOOKUP(I$5,NFI,5,0),1,0)*Table_NFI[[#This Row],[NFI Core Kit]],Table_NFI[NFI Core Kit])</f>
        <v>0</v>
      </c>
      <c r="AA493" s="294">
        <f>IF(NFI_Expiration=1,IF($A493&lt;VLOOKUP(J$5,NFI,5,0),1,0)*Table_NFI[[#This Row],[Sanitary Kit]],Table_NFI[Sanitary Kit])</f>
        <v>0</v>
      </c>
      <c r="AB493" s="294">
        <f>IF(NFI_Expiration=1,IF($A493&lt;VLOOKUP(K$5,NFI,5,0),1,0)*Table_NFI[[#This Row],[Mosquito net]],Table_NFI[Mosquito net])</f>
        <v>0</v>
      </c>
      <c r="AC493" s="294">
        <f>IF(NFI_Expiration=1,IF($A493&lt;VLOOKUP(L$5,NFI,5,0),1,0)*Table_NFI[[#This Row],[Tarpaulin]],Table_NFI[[#This Row],[Tarpaulin]])</f>
        <v>0</v>
      </c>
      <c r="AD493" s="294">
        <f>IF(NFI_Expiration=1,IF($A493&lt;VLOOKUP(M$5,NFI,5,0),1,0)*Table_NFI[[#This Row],[Blanket]],Table_NFI[[#This Row],[Blanket]])</f>
        <v>0</v>
      </c>
      <c r="AE493" s="294">
        <f>IF(NFI_Expiration=1,IF($A493&lt;VLOOKUP(N$5,NFI,5,0),1,0)*Table_NFI[[#This Row],[Kitchen Set]],Table_NFI[Kitchen Set])</f>
        <v>0</v>
      </c>
      <c r="AF493" s="294">
        <f>IF(NFI_Expiration=1,IF($A493&lt;VLOOKUP(O$5,NFI,5,0),1,0)*Table_NFI[[#This Row],[Clothes Kit]],Table_NFI[Clothes Kit])</f>
        <v>0</v>
      </c>
      <c r="AG493" s="294">
        <f>IF(NFI_Expiration=1,IF($A493&lt;VLOOKUP(P$5,NFI,5,0),1,0)*Table_NFI[[#This Row],[Plastic Bucket]],Table_NFI[Plastic Bucket])</f>
        <v>0</v>
      </c>
      <c r="AH493" s="294">
        <f>IF(NFI_Expiration=1,IF($A493&lt;VLOOKUP(Q$5,NFI,5,0),1,0)*Table_NFI[[#This Row],[Plastic Mat]],Table_NFI[Plastic Mat])*IF(Table_NFI[[#This Row],[Distribution Date]]&gt;"2014-04-01",1,2.5)</f>
        <v>0</v>
      </c>
      <c r="AI493" s="294">
        <f>IF(NFI_Expiration=1,IF($A493&lt;VLOOKUP(R$5,NFI,5,0),1,0)*Table_NFI[[#This Row],[Winter Clothes Adult]],Table_NFI[Winter Clothes Adult])</f>
        <v>0</v>
      </c>
      <c r="AJ493" s="294">
        <f>IF(NFI_Expiration=1,IF($A493&lt;VLOOKUP(S$5,NFI,5,0),1,0)*Table_NFI[[#This Row],[Winter Clothes Children]],Table_NFI[Winter Clothes Children])</f>
        <v>0</v>
      </c>
      <c r="AK493" s="294">
        <f>IF(NFI_Expiration=1,IF($A493&lt;VLOOKUP(T$5,NFI,5,0),1,0)*Table_NFI[[#This Row],[Winter Items Other]],Table_NFI[Winter Items Other])</f>
        <v>0</v>
      </c>
      <c r="AL493" s="294">
        <f>IF(NFI_Expiration=1,IF($A493&lt;VLOOKUP(M$5,NFI,5,0),1,0)*Table_NFI[[#This Row],[Winter Blanket]],Table_NFI[[#This Row],[Winter Blanket]])</f>
        <v>0</v>
      </c>
      <c r="AM493" s="294">
        <f>IF(Table_NFI[[#This Row],[Winter Clothes Adult]]+Table_NFI[[#This Row],[Winter Clothes Children]]+Table_NFI[[#This Row],[Winter Items Other]]+Table_NFI[[#This Row],[Winter Blanket]]&gt;0,1,0)</f>
        <v>0</v>
      </c>
      <c r="AN493" s="331">
        <f>IF(NFI_Expiration=1,IF($A493&lt;VLOOKUP(V$5,NFI,5,0),1,0)*Table_NFI[[#This Row],[Jerry Can]],Table_NFI[Jerry Can])</f>
        <v>0</v>
      </c>
      <c r="AO493" s="331">
        <f>IF(NFI_Expiration=1,IF($A493&lt;VLOOKUP(V$5,NFI,5,0),1,0)*Table_NFI[[#This Row],[Shelter Tool kit]],Table_NFI[Shelter Tool kit])</f>
        <v>0</v>
      </c>
      <c r="AP493" s="331">
        <f>IF(NFI_Expiration=1,IF($A493&lt;VLOOKUP(V$5,NFI,5,0),1,0)*Table_NFI[[#This Row],[Tent]],Table_NFI[Tent])</f>
        <v>0</v>
      </c>
      <c r="AQ493" s="467" t="str">
        <f>IFERROR(VLOOKUP(Table_NFI[[#This Row],[Camp Name]],CL,2,0),"")</f>
        <v>MMR001CMP135</v>
      </c>
      <c r="AR493" s="835">
        <f ca="1">IF(Table_NFI[[#This Row],[Pcode]]="","",IF(OFFSET(CampList[Opening Date],MATCH(Table_NFI[[#This Row],[Pcode]],CampList[CP_Pcode],0)-1,0,1,1)&gt;=NFI_Monitor_Date,1,0))</f>
        <v>0</v>
      </c>
      <c r="AS493" s="467" t="str">
        <f>IFERROR(VLOOKUP(Table_NFI[[#This Row],[Camp Name]],CL,3,0),"")</f>
        <v>Closed</v>
      </c>
      <c r="AT493" s="294" t="str">
        <f ca="1">IF(Table_NFI[[#This Row],[Pcode]]="","",OFFSET(CampList[Priority],MATCH(Table_NFI[[#This Row],[Pcode]],CampList[CP_Pcode],0)-1,0,1,1))</f>
        <v>P2</v>
      </c>
      <c r="AU493" s="293">
        <f>IFERROR(Table_NFI[[#This Row],[Kitchen Set]]/VLOOKUP(Table_NFI[[#This Row],[Camp Name]],CL,4,0),"")</f>
        <v>0</v>
      </c>
      <c r="AV493" s="461" t="s">
        <v>1092</v>
      </c>
      <c r="AW493" s="463"/>
    </row>
    <row r="494" spans="1:49" s="464" customFormat="1" x14ac:dyDescent="0.25">
      <c r="A494" s="297">
        <f t="shared" si="7"/>
        <v>37.233333333333334</v>
      </c>
      <c r="B494" s="460">
        <v>41619</v>
      </c>
      <c r="C494" s="461" t="s">
        <v>1027</v>
      </c>
      <c r="D494" s="461" t="s">
        <v>1028</v>
      </c>
      <c r="E494" s="461" t="s">
        <v>380</v>
      </c>
      <c r="F494" s="461" t="s">
        <v>185</v>
      </c>
      <c r="G494" s="461" t="s">
        <v>215</v>
      </c>
      <c r="H494" s="291"/>
      <c r="I494" s="291"/>
      <c r="J494" s="291"/>
      <c r="K494" s="291"/>
      <c r="L494" s="292"/>
      <c r="M494" s="292">
        <v>350</v>
      </c>
      <c r="N494" s="292"/>
      <c r="O494" s="292"/>
      <c r="P494" s="294"/>
      <c r="Q494" s="294"/>
      <c r="R494" s="294"/>
      <c r="S494" s="294"/>
      <c r="T494" s="294"/>
      <c r="U494" s="294"/>
      <c r="V494" s="431"/>
      <c r="W494" s="294"/>
      <c r="X494" s="294"/>
      <c r="Y494" s="294">
        <f>IF(NFI_Expiration=1,IF($A494&lt;VLOOKUP(H$5,NFI,5,0),1,0)*Table_NFI[[#This Row],[Hygiene Kit]],Table_NFI[Hygiene Kit])</f>
        <v>0</v>
      </c>
      <c r="Z494" s="294">
        <f>IF(NFI_Expiration=1,IF($A494&lt;VLOOKUP(I$5,NFI,5,0),1,0)*Table_NFI[[#This Row],[NFI Core Kit]],Table_NFI[NFI Core Kit])</f>
        <v>0</v>
      </c>
      <c r="AA494" s="294">
        <f>IF(NFI_Expiration=1,IF($A494&lt;VLOOKUP(J$5,NFI,5,0),1,0)*Table_NFI[[#This Row],[Sanitary Kit]],Table_NFI[Sanitary Kit])</f>
        <v>0</v>
      </c>
      <c r="AB494" s="294">
        <f>IF(NFI_Expiration=1,IF($A494&lt;VLOOKUP(K$5,NFI,5,0),1,0)*Table_NFI[[#This Row],[Mosquito net]],Table_NFI[Mosquito net])</f>
        <v>0</v>
      </c>
      <c r="AC494" s="294">
        <f>IF(NFI_Expiration=1,IF($A494&lt;VLOOKUP(L$5,NFI,5,0),1,0)*Table_NFI[[#This Row],[Tarpaulin]],Table_NFI[[#This Row],[Tarpaulin]])</f>
        <v>0</v>
      </c>
      <c r="AD494" s="294">
        <f>IF(NFI_Expiration=1,IF($A494&lt;VLOOKUP(M$5,NFI,5,0),1,0)*Table_NFI[[#This Row],[Blanket]],Table_NFI[[#This Row],[Blanket]])</f>
        <v>0</v>
      </c>
      <c r="AE494" s="294">
        <f>IF(NFI_Expiration=1,IF($A494&lt;VLOOKUP(N$5,NFI,5,0),1,0)*Table_NFI[[#This Row],[Kitchen Set]],Table_NFI[Kitchen Set])</f>
        <v>0</v>
      </c>
      <c r="AF494" s="294">
        <f>IF(NFI_Expiration=1,IF($A494&lt;VLOOKUP(O$5,NFI,5,0),1,0)*Table_NFI[[#This Row],[Clothes Kit]],Table_NFI[Clothes Kit])</f>
        <v>0</v>
      </c>
      <c r="AG494" s="294">
        <f>IF(NFI_Expiration=1,IF($A494&lt;VLOOKUP(P$5,NFI,5,0),1,0)*Table_NFI[[#This Row],[Plastic Bucket]],Table_NFI[Plastic Bucket])</f>
        <v>0</v>
      </c>
      <c r="AH494" s="294">
        <f>IF(NFI_Expiration=1,IF($A494&lt;VLOOKUP(Q$5,NFI,5,0),1,0)*Table_NFI[[#This Row],[Plastic Mat]],Table_NFI[Plastic Mat])*IF(Table_NFI[[#This Row],[Distribution Date]]&gt;"2014-04-01",1,2.5)</f>
        <v>0</v>
      </c>
      <c r="AI494" s="294">
        <f>IF(NFI_Expiration=1,IF($A494&lt;VLOOKUP(R$5,NFI,5,0),1,0)*Table_NFI[[#This Row],[Winter Clothes Adult]],Table_NFI[Winter Clothes Adult])</f>
        <v>0</v>
      </c>
      <c r="AJ494" s="294">
        <f>IF(NFI_Expiration=1,IF($A494&lt;VLOOKUP(S$5,NFI,5,0),1,0)*Table_NFI[[#This Row],[Winter Clothes Children]],Table_NFI[Winter Clothes Children])</f>
        <v>0</v>
      </c>
      <c r="AK494" s="294">
        <f>IF(NFI_Expiration=1,IF($A494&lt;VLOOKUP(T$5,NFI,5,0),1,0)*Table_NFI[[#This Row],[Winter Items Other]],Table_NFI[Winter Items Other])</f>
        <v>0</v>
      </c>
      <c r="AL494" s="294">
        <f>IF(NFI_Expiration=1,IF($A494&lt;VLOOKUP(M$5,NFI,5,0),1,0)*Table_NFI[[#This Row],[Winter Blanket]],Table_NFI[[#This Row],[Winter Blanket]])</f>
        <v>0</v>
      </c>
      <c r="AM494" s="294">
        <f>IF(Table_NFI[[#This Row],[Winter Clothes Adult]]+Table_NFI[[#This Row],[Winter Clothes Children]]+Table_NFI[[#This Row],[Winter Items Other]]+Table_NFI[[#This Row],[Winter Blanket]]&gt;0,1,0)</f>
        <v>0</v>
      </c>
      <c r="AN494" s="331">
        <f>IF(NFI_Expiration=1,IF($A494&lt;VLOOKUP(V$5,NFI,5,0),1,0)*Table_NFI[[#This Row],[Jerry Can]],Table_NFI[Jerry Can])</f>
        <v>0</v>
      </c>
      <c r="AO494" s="331">
        <f>IF(NFI_Expiration=1,IF($A494&lt;VLOOKUP(V$5,NFI,5,0),1,0)*Table_NFI[[#This Row],[Shelter Tool kit]],Table_NFI[Shelter Tool kit])</f>
        <v>0</v>
      </c>
      <c r="AP494" s="331">
        <f>IF(NFI_Expiration=1,IF($A494&lt;VLOOKUP(V$5,NFI,5,0),1,0)*Table_NFI[[#This Row],[Tent]],Table_NFI[Tent])</f>
        <v>0</v>
      </c>
      <c r="AQ494" s="467" t="str">
        <f>IFERROR(VLOOKUP(Table_NFI[[#This Row],[Camp Name]],CL,2,0),"")</f>
        <v>MMR001CMP131</v>
      </c>
      <c r="AR494" s="835">
        <f ca="1">IF(Table_NFI[[#This Row],[Pcode]]="","",IF(OFFSET(CampList[Opening Date],MATCH(Table_NFI[[#This Row],[Pcode]],CampList[CP_Pcode],0)-1,0,1,1)&gt;=NFI_Monitor_Date,1,0))</f>
        <v>0</v>
      </c>
      <c r="AS494" s="467" t="str">
        <f>IFERROR(VLOOKUP(Table_NFI[[#This Row],[Camp Name]],CL,3,0),"")</f>
        <v>Open</v>
      </c>
      <c r="AT494" s="294" t="str">
        <f ca="1">IF(Table_NFI[[#This Row],[Pcode]]="","",OFFSET(CampList[Priority],MATCH(Table_NFI[[#This Row],[Pcode]],CampList[CP_Pcode],0)-1,0,1,1))</f>
        <v>P1</v>
      </c>
      <c r="AU494" s="293">
        <f>IFERROR(Table_NFI[[#This Row],[Kitchen Set]]/VLOOKUP(Table_NFI[[#This Row],[Camp Name]],CL,4,0),"")</f>
        <v>0</v>
      </c>
      <c r="AV494" s="461" t="s">
        <v>1092</v>
      </c>
      <c r="AW494" s="463"/>
    </row>
    <row r="495" spans="1:49" s="464" customFormat="1" ht="14.45" customHeight="1" x14ac:dyDescent="0.25">
      <c r="A495" s="297">
        <f t="shared" si="7"/>
        <v>37.233333333333334</v>
      </c>
      <c r="B495" s="460">
        <v>41619</v>
      </c>
      <c r="C495" s="461" t="s">
        <v>1027</v>
      </c>
      <c r="D495" s="461" t="s">
        <v>1028</v>
      </c>
      <c r="E495" s="461" t="s">
        <v>380</v>
      </c>
      <c r="F495" s="461" t="s">
        <v>185</v>
      </c>
      <c r="G495" s="461" t="s">
        <v>219</v>
      </c>
      <c r="H495" s="291"/>
      <c r="I495" s="291"/>
      <c r="J495" s="291"/>
      <c r="K495" s="291"/>
      <c r="L495" s="292"/>
      <c r="M495" s="292">
        <v>417</v>
      </c>
      <c r="N495" s="292"/>
      <c r="O495" s="292"/>
      <c r="P495" s="294"/>
      <c r="Q495" s="294"/>
      <c r="R495" s="294"/>
      <c r="S495" s="294"/>
      <c r="T495" s="294"/>
      <c r="U495" s="294"/>
      <c r="V495" s="431"/>
      <c r="W495" s="294"/>
      <c r="X495" s="294"/>
      <c r="Y495" s="294">
        <f>IF(NFI_Expiration=1,IF($A495&lt;VLOOKUP(H$5,NFI,5,0),1,0)*Table_NFI[[#This Row],[Hygiene Kit]],Table_NFI[Hygiene Kit])</f>
        <v>0</v>
      </c>
      <c r="Z495" s="294">
        <f>IF(NFI_Expiration=1,IF($A495&lt;VLOOKUP(I$5,NFI,5,0),1,0)*Table_NFI[[#This Row],[NFI Core Kit]],Table_NFI[NFI Core Kit])</f>
        <v>0</v>
      </c>
      <c r="AA495" s="294">
        <f>IF(NFI_Expiration=1,IF($A495&lt;VLOOKUP(J$5,NFI,5,0),1,0)*Table_NFI[[#This Row],[Sanitary Kit]],Table_NFI[Sanitary Kit])</f>
        <v>0</v>
      </c>
      <c r="AB495" s="294">
        <f>IF(NFI_Expiration=1,IF($A495&lt;VLOOKUP(K$5,NFI,5,0),1,0)*Table_NFI[[#This Row],[Mosquito net]],Table_NFI[Mosquito net])</f>
        <v>0</v>
      </c>
      <c r="AC495" s="294">
        <f>IF(NFI_Expiration=1,IF($A495&lt;VLOOKUP(L$5,NFI,5,0),1,0)*Table_NFI[[#This Row],[Tarpaulin]],Table_NFI[[#This Row],[Tarpaulin]])</f>
        <v>0</v>
      </c>
      <c r="AD495" s="294">
        <f>IF(NFI_Expiration=1,IF($A495&lt;VLOOKUP(M$5,NFI,5,0),1,0)*Table_NFI[[#This Row],[Blanket]],Table_NFI[[#This Row],[Blanket]])</f>
        <v>0</v>
      </c>
      <c r="AE495" s="294">
        <f>IF(NFI_Expiration=1,IF($A495&lt;VLOOKUP(N$5,NFI,5,0),1,0)*Table_NFI[[#This Row],[Kitchen Set]],Table_NFI[Kitchen Set])</f>
        <v>0</v>
      </c>
      <c r="AF495" s="294">
        <f>IF(NFI_Expiration=1,IF($A495&lt;VLOOKUP(O$5,NFI,5,0),1,0)*Table_NFI[[#This Row],[Clothes Kit]],Table_NFI[Clothes Kit])</f>
        <v>0</v>
      </c>
      <c r="AG495" s="294">
        <f>IF(NFI_Expiration=1,IF($A495&lt;VLOOKUP(P$5,NFI,5,0),1,0)*Table_NFI[[#This Row],[Plastic Bucket]],Table_NFI[Plastic Bucket])</f>
        <v>0</v>
      </c>
      <c r="AH495" s="294">
        <f>IF(NFI_Expiration=1,IF($A495&lt;VLOOKUP(Q$5,NFI,5,0),1,0)*Table_NFI[[#This Row],[Plastic Mat]],Table_NFI[Plastic Mat])*IF(Table_NFI[[#This Row],[Distribution Date]]&gt;"2014-04-01",1,2.5)</f>
        <v>0</v>
      </c>
      <c r="AI495" s="294">
        <f>IF(NFI_Expiration=1,IF($A495&lt;VLOOKUP(R$5,NFI,5,0),1,0)*Table_NFI[[#This Row],[Winter Clothes Adult]],Table_NFI[Winter Clothes Adult])</f>
        <v>0</v>
      </c>
      <c r="AJ495" s="294">
        <f>IF(NFI_Expiration=1,IF($A495&lt;VLOOKUP(S$5,NFI,5,0),1,0)*Table_NFI[[#This Row],[Winter Clothes Children]],Table_NFI[Winter Clothes Children])</f>
        <v>0</v>
      </c>
      <c r="AK495" s="294">
        <f>IF(NFI_Expiration=1,IF($A495&lt;VLOOKUP(T$5,NFI,5,0),1,0)*Table_NFI[[#This Row],[Winter Items Other]],Table_NFI[Winter Items Other])</f>
        <v>0</v>
      </c>
      <c r="AL495" s="294">
        <f>IF(NFI_Expiration=1,IF($A495&lt;VLOOKUP(M$5,NFI,5,0),1,0)*Table_NFI[[#This Row],[Winter Blanket]],Table_NFI[[#This Row],[Winter Blanket]])</f>
        <v>0</v>
      </c>
      <c r="AM495" s="294">
        <f>IF(Table_NFI[[#This Row],[Winter Clothes Adult]]+Table_NFI[[#This Row],[Winter Clothes Children]]+Table_NFI[[#This Row],[Winter Items Other]]+Table_NFI[[#This Row],[Winter Blanket]]&gt;0,1,0)</f>
        <v>0</v>
      </c>
      <c r="AN495" s="331">
        <f>IF(NFI_Expiration=1,IF($A495&lt;VLOOKUP(V$5,NFI,5,0),1,0)*Table_NFI[[#This Row],[Jerry Can]],Table_NFI[Jerry Can])</f>
        <v>0</v>
      </c>
      <c r="AO495" s="331">
        <f>IF(NFI_Expiration=1,IF($A495&lt;VLOOKUP(V$5,NFI,5,0),1,0)*Table_NFI[[#This Row],[Shelter Tool kit]],Table_NFI[Shelter Tool kit])</f>
        <v>0</v>
      </c>
      <c r="AP495" s="331">
        <f>IF(NFI_Expiration=1,IF($A495&lt;VLOOKUP(V$5,NFI,5,0),1,0)*Table_NFI[[#This Row],[Tent]],Table_NFI[Tent])</f>
        <v>0</v>
      </c>
      <c r="AQ495" s="467" t="str">
        <f>IFERROR(VLOOKUP(Table_NFI[[#This Row],[Camp Name]],CL,2,0),"")</f>
        <v>MMR001CMP126</v>
      </c>
      <c r="AR495" s="835">
        <f ca="1">IF(Table_NFI[[#This Row],[Pcode]]="","",IF(OFFSET(CampList[Opening Date],MATCH(Table_NFI[[#This Row],[Pcode]],CampList[CP_Pcode],0)-1,0,1,1)&gt;=NFI_Monitor_Date,1,0))</f>
        <v>0</v>
      </c>
      <c r="AS495" s="467" t="str">
        <f>IFERROR(VLOOKUP(Table_NFI[[#This Row],[Camp Name]],CL,3,0),"")</f>
        <v>Open</v>
      </c>
      <c r="AT495" s="294" t="str">
        <f ca="1">IF(Table_NFI[[#This Row],[Pcode]]="","",OFFSET(CampList[Priority],MATCH(Table_NFI[[#This Row],[Pcode]],CampList[CP_Pcode],0)-1,0,1,1))</f>
        <v>P2</v>
      </c>
      <c r="AU495" s="293">
        <f>IFERROR(Table_NFI[[#This Row],[Kitchen Set]]/VLOOKUP(Table_NFI[[#This Row],[Camp Name]],CL,4,0),"")</f>
        <v>0</v>
      </c>
      <c r="AV495" s="461" t="s">
        <v>1092</v>
      </c>
      <c r="AW495" s="463"/>
    </row>
    <row r="496" spans="1:49" s="464" customFormat="1" ht="14.45" customHeight="1" x14ac:dyDescent="0.25">
      <c r="A496" s="297">
        <f t="shared" si="7"/>
        <v>37.266666666666666</v>
      </c>
      <c r="B496" s="460">
        <v>41618</v>
      </c>
      <c r="C496" s="461" t="s">
        <v>453</v>
      </c>
      <c r="D496" s="461"/>
      <c r="E496" s="461" t="s">
        <v>380</v>
      </c>
      <c r="F496" s="461" t="s">
        <v>151</v>
      </c>
      <c r="G496" s="461" t="s">
        <v>154</v>
      </c>
      <c r="H496" s="291"/>
      <c r="I496" s="291"/>
      <c r="J496" s="291"/>
      <c r="K496" s="291"/>
      <c r="L496" s="292"/>
      <c r="M496" s="292"/>
      <c r="N496" s="292"/>
      <c r="O496" s="292"/>
      <c r="P496" s="294"/>
      <c r="Q496" s="294"/>
      <c r="R496" s="294"/>
      <c r="S496" s="294">
        <v>256</v>
      </c>
      <c r="T496" s="294"/>
      <c r="U496" s="294"/>
      <c r="V496" s="431"/>
      <c r="W496" s="294"/>
      <c r="X496" s="294"/>
      <c r="Y496" s="294">
        <f>IF(NFI_Expiration=1,IF($A496&lt;VLOOKUP(H$5,NFI,5,0),1,0)*Table_NFI[[#This Row],[Hygiene Kit]],Table_NFI[Hygiene Kit])</f>
        <v>0</v>
      </c>
      <c r="Z496" s="294">
        <f>IF(NFI_Expiration=1,IF($A496&lt;VLOOKUP(I$5,NFI,5,0),1,0)*Table_NFI[[#This Row],[NFI Core Kit]],Table_NFI[NFI Core Kit])</f>
        <v>0</v>
      </c>
      <c r="AA496" s="294">
        <f>IF(NFI_Expiration=1,IF($A496&lt;VLOOKUP(J$5,NFI,5,0),1,0)*Table_NFI[[#This Row],[Sanitary Kit]],Table_NFI[Sanitary Kit])</f>
        <v>0</v>
      </c>
      <c r="AB496" s="294">
        <f>IF(NFI_Expiration=1,IF($A496&lt;VLOOKUP(K$5,NFI,5,0),1,0)*Table_NFI[[#This Row],[Mosquito net]],Table_NFI[Mosquito net])</f>
        <v>0</v>
      </c>
      <c r="AC496" s="294">
        <f>IF(NFI_Expiration=1,IF($A496&lt;VLOOKUP(L$5,NFI,5,0),1,0)*Table_NFI[[#This Row],[Tarpaulin]],Table_NFI[[#This Row],[Tarpaulin]])</f>
        <v>0</v>
      </c>
      <c r="AD496" s="294">
        <f>IF(NFI_Expiration=1,IF($A496&lt;VLOOKUP(M$5,NFI,5,0),1,0)*Table_NFI[[#This Row],[Blanket]],Table_NFI[[#This Row],[Blanket]])</f>
        <v>0</v>
      </c>
      <c r="AE496" s="294">
        <f>IF(NFI_Expiration=1,IF($A496&lt;VLOOKUP(N$5,NFI,5,0),1,0)*Table_NFI[[#This Row],[Kitchen Set]],Table_NFI[Kitchen Set])</f>
        <v>0</v>
      </c>
      <c r="AF496" s="294">
        <f>IF(NFI_Expiration=1,IF($A496&lt;VLOOKUP(O$5,NFI,5,0),1,0)*Table_NFI[[#This Row],[Clothes Kit]],Table_NFI[Clothes Kit])</f>
        <v>0</v>
      </c>
      <c r="AG496" s="294">
        <f>IF(NFI_Expiration=1,IF($A496&lt;VLOOKUP(P$5,NFI,5,0),1,0)*Table_NFI[[#This Row],[Plastic Bucket]],Table_NFI[Plastic Bucket])</f>
        <v>0</v>
      </c>
      <c r="AH496" s="294">
        <f>IF(NFI_Expiration=1,IF($A496&lt;VLOOKUP(Q$5,NFI,5,0),1,0)*Table_NFI[[#This Row],[Plastic Mat]],Table_NFI[Plastic Mat])*IF(Table_NFI[[#This Row],[Distribution Date]]&gt;"2014-04-01",1,2.5)</f>
        <v>0</v>
      </c>
      <c r="AI496" s="294">
        <f>IF(NFI_Expiration=1,IF($A496&lt;VLOOKUP(R$5,NFI,5,0),1,0)*Table_NFI[[#This Row],[Winter Clothes Adult]],Table_NFI[Winter Clothes Adult])</f>
        <v>0</v>
      </c>
      <c r="AJ496" s="294">
        <f>IF(NFI_Expiration=1,IF($A496&lt;VLOOKUP(S$5,NFI,5,0),1,0)*Table_NFI[[#This Row],[Winter Clothes Children]],Table_NFI[Winter Clothes Children])</f>
        <v>0</v>
      </c>
      <c r="AK496" s="294">
        <f>IF(NFI_Expiration=1,IF($A496&lt;VLOOKUP(T$5,NFI,5,0),1,0)*Table_NFI[[#This Row],[Winter Items Other]],Table_NFI[Winter Items Other])</f>
        <v>0</v>
      </c>
      <c r="AL496" s="294">
        <f>IF(NFI_Expiration=1,IF($A496&lt;VLOOKUP(M$5,NFI,5,0),1,0)*Table_NFI[[#This Row],[Winter Blanket]],Table_NFI[[#This Row],[Winter Blanket]])</f>
        <v>0</v>
      </c>
      <c r="AM496" s="294">
        <f>IF(Table_NFI[[#This Row],[Winter Clothes Adult]]+Table_NFI[[#This Row],[Winter Clothes Children]]+Table_NFI[[#This Row],[Winter Items Other]]+Table_NFI[[#This Row],[Winter Blanket]]&gt;0,1,0)</f>
        <v>1</v>
      </c>
      <c r="AN496" s="331">
        <f>IF(NFI_Expiration=1,IF($A496&lt;VLOOKUP(V$5,NFI,5,0),1,0)*Table_NFI[[#This Row],[Jerry Can]],Table_NFI[Jerry Can])</f>
        <v>0</v>
      </c>
      <c r="AO496" s="331">
        <f>IF(NFI_Expiration=1,IF($A496&lt;VLOOKUP(V$5,NFI,5,0),1,0)*Table_NFI[[#This Row],[Shelter Tool kit]],Table_NFI[Shelter Tool kit])</f>
        <v>0</v>
      </c>
      <c r="AP496" s="331">
        <f>IF(NFI_Expiration=1,IF($A496&lt;VLOOKUP(V$5,NFI,5,0),1,0)*Table_NFI[[#This Row],[Tent]],Table_NFI[Tent])</f>
        <v>0</v>
      </c>
      <c r="AQ496" s="467" t="str">
        <f>IFERROR(VLOOKUP(Table_NFI[[#This Row],[Camp Name]],CL,2,0),"")</f>
        <v>MMR001CMP132</v>
      </c>
      <c r="AR496" s="835">
        <f ca="1">IF(Table_NFI[[#This Row],[Pcode]]="","",IF(OFFSET(CampList[Opening Date],MATCH(Table_NFI[[#This Row],[Pcode]],CampList[CP_Pcode],0)-1,0,1,1)&gt;=NFI_Monitor_Date,1,0))</f>
        <v>0</v>
      </c>
      <c r="AS496" s="467" t="str">
        <f>IFERROR(VLOOKUP(Table_NFI[[#This Row],[Camp Name]],CL,3,0),"")</f>
        <v>Open</v>
      </c>
      <c r="AT496" s="294" t="str">
        <f ca="1">IF(Table_NFI[[#This Row],[Pcode]]="","",OFFSET(CampList[Priority],MATCH(Table_NFI[[#This Row],[Pcode]],CampList[CP_Pcode],0)-1,0,1,1))</f>
        <v>P4</v>
      </c>
      <c r="AU496" s="293">
        <f>IFERROR(Table_NFI[[#This Row],[Kitchen Set]]/VLOOKUP(Table_NFI[[#This Row],[Camp Name]],CL,4,0),"")</f>
        <v>0</v>
      </c>
      <c r="AV496" s="461" t="s">
        <v>1092</v>
      </c>
      <c r="AW496" s="463"/>
    </row>
    <row r="497" spans="1:49" s="464" customFormat="1" ht="14.45" customHeight="1" x14ac:dyDescent="0.25">
      <c r="A497" s="297">
        <f t="shared" si="7"/>
        <v>37.43333333333333</v>
      </c>
      <c r="B497" s="460">
        <v>41613</v>
      </c>
      <c r="C497" s="461" t="s">
        <v>905</v>
      </c>
      <c r="D497" s="461" t="s">
        <v>460</v>
      </c>
      <c r="E497" s="461" t="s">
        <v>380</v>
      </c>
      <c r="F497" s="461" t="s">
        <v>185</v>
      </c>
      <c r="G497" s="461" t="s">
        <v>192</v>
      </c>
      <c r="H497" s="291"/>
      <c r="I497" s="291"/>
      <c r="J497" s="291"/>
      <c r="K497" s="291"/>
      <c r="L497" s="292"/>
      <c r="M497" s="292"/>
      <c r="N497" s="292"/>
      <c r="O497" s="292"/>
      <c r="P497" s="294"/>
      <c r="Q497" s="294"/>
      <c r="R497" s="294">
        <v>120</v>
      </c>
      <c r="S497" s="294">
        <v>240</v>
      </c>
      <c r="T497" s="294">
        <v>720</v>
      </c>
      <c r="U497" s="294">
        <v>360</v>
      </c>
      <c r="V497" s="431"/>
      <c r="W497" s="294"/>
      <c r="X497" s="294"/>
      <c r="Y497" s="294">
        <f>IF(NFI_Expiration=1,IF($A497&lt;VLOOKUP(H$5,NFI,5,0),1,0)*Table_NFI[[#This Row],[Hygiene Kit]],Table_NFI[Hygiene Kit])</f>
        <v>0</v>
      </c>
      <c r="Z497" s="294">
        <f>IF(NFI_Expiration=1,IF($A497&lt;VLOOKUP(I$5,NFI,5,0),1,0)*Table_NFI[[#This Row],[NFI Core Kit]],Table_NFI[NFI Core Kit])</f>
        <v>0</v>
      </c>
      <c r="AA497" s="294">
        <f>IF(NFI_Expiration=1,IF($A497&lt;VLOOKUP(J$5,NFI,5,0),1,0)*Table_NFI[[#This Row],[Sanitary Kit]],Table_NFI[Sanitary Kit])</f>
        <v>0</v>
      </c>
      <c r="AB497" s="294">
        <f>IF(NFI_Expiration=1,IF($A497&lt;VLOOKUP(K$5,NFI,5,0),1,0)*Table_NFI[[#This Row],[Mosquito net]],Table_NFI[Mosquito net])</f>
        <v>0</v>
      </c>
      <c r="AC497" s="294">
        <f>IF(NFI_Expiration=1,IF($A497&lt;VLOOKUP(L$5,NFI,5,0),1,0)*Table_NFI[[#This Row],[Tarpaulin]],Table_NFI[[#This Row],[Tarpaulin]])</f>
        <v>0</v>
      </c>
      <c r="AD497" s="294">
        <f>IF(NFI_Expiration=1,IF($A497&lt;VLOOKUP(M$5,NFI,5,0),1,0)*Table_NFI[[#This Row],[Blanket]],Table_NFI[[#This Row],[Blanket]])</f>
        <v>0</v>
      </c>
      <c r="AE497" s="294">
        <f>IF(NFI_Expiration=1,IF($A497&lt;VLOOKUP(N$5,NFI,5,0),1,0)*Table_NFI[[#This Row],[Kitchen Set]],Table_NFI[Kitchen Set])</f>
        <v>0</v>
      </c>
      <c r="AF497" s="294">
        <f>IF(NFI_Expiration=1,IF($A497&lt;VLOOKUP(O$5,NFI,5,0),1,0)*Table_NFI[[#This Row],[Clothes Kit]],Table_NFI[Clothes Kit])</f>
        <v>0</v>
      </c>
      <c r="AG497" s="294">
        <f>IF(NFI_Expiration=1,IF($A497&lt;VLOOKUP(P$5,NFI,5,0),1,0)*Table_NFI[[#This Row],[Plastic Bucket]],Table_NFI[Plastic Bucket])</f>
        <v>0</v>
      </c>
      <c r="AH497" s="294">
        <f>IF(NFI_Expiration=1,IF($A497&lt;VLOOKUP(Q$5,NFI,5,0),1,0)*Table_NFI[[#This Row],[Plastic Mat]],Table_NFI[Plastic Mat])*IF(Table_NFI[[#This Row],[Distribution Date]]&gt;"2014-04-01",1,2.5)</f>
        <v>0</v>
      </c>
      <c r="AI497" s="294">
        <f>IF(NFI_Expiration=1,IF($A497&lt;VLOOKUP(R$5,NFI,5,0),1,0)*Table_NFI[[#This Row],[Winter Clothes Adult]],Table_NFI[Winter Clothes Adult])</f>
        <v>0</v>
      </c>
      <c r="AJ497" s="294">
        <f>IF(NFI_Expiration=1,IF($A497&lt;VLOOKUP(S$5,NFI,5,0),1,0)*Table_NFI[[#This Row],[Winter Clothes Children]],Table_NFI[Winter Clothes Children])</f>
        <v>0</v>
      </c>
      <c r="AK497" s="294">
        <f>IF(NFI_Expiration=1,IF($A497&lt;VLOOKUP(T$5,NFI,5,0),1,0)*Table_NFI[[#This Row],[Winter Items Other]],Table_NFI[Winter Items Other])</f>
        <v>0</v>
      </c>
      <c r="AL497" s="294">
        <f>IF(NFI_Expiration=1,IF($A497&lt;VLOOKUP(M$5,NFI,5,0),1,0)*Table_NFI[[#This Row],[Winter Blanket]],Table_NFI[[#This Row],[Winter Blanket]])</f>
        <v>0</v>
      </c>
      <c r="AM497" s="294">
        <f>IF(Table_NFI[[#This Row],[Winter Clothes Adult]]+Table_NFI[[#This Row],[Winter Clothes Children]]+Table_NFI[[#This Row],[Winter Items Other]]+Table_NFI[[#This Row],[Winter Blanket]]&gt;0,1,0)</f>
        <v>1</v>
      </c>
      <c r="AN497" s="331">
        <f>IF(NFI_Expiration=1,IF($A497&lt;VLOOKUP(V$5,NFI,5,0),1,0)*Table_NFI[[#This Row],[Jerry Can]],Table_NFI[Jerry Can])</f>
        <v>0</v>
      </c>
      <c r="AO497" s="331">
        <f>IF(NFI_Expiration=1,IF($A497&lt;VLOOKUP(V$5,NFI,5,0),1,0)*Table_NFI[[#This Row],[Shelter Tool kit]],Table_NFI[Shelter Tool kit])</f>
        <v>0</v>
      </c>
      <c r="AP497" s="331">
        <f>IF(NFI_Expiration=1,IF($A497&lt;VLOOKUP(V$5,NFI,5,0),1,0)*Table_NFI[[#This Row],[Tent]],Table_NFI[Tent])</f>
        <v>0</v>
      </c>
      <c r="AQ497" s="467" t="str">
        <f>IFERROR(VLOOKUP(Table_NFI[[#This Row],[Camp Name]],CL,2,0),"")</f>
        <v>MMR001CMP123</v>
      </c>
      <c r="AR497" s="835">
        <f ca="1">IF(Table_NFI[[#This Row],[Pcode]]="","",IF(OFFSET(CampList[Opening Date],MATCH(Table_NFI[[#This Row],[Pcode]],CampList[CP_Pcode],0)-1,0,1,1)&gt;=NFI_Monitor_Date,1,0))</f>
        <v>0</v>
      </c>
      <c r="AS497" s="467" t="str">
        <f>IFERROR(VLOOKUP(Table_NFI[[#This Row],[Camp Name]],CL,3,0),"")</f>
        <v>Open</v>
      </c>
      <c r="AT497" s="294" t="str">
        <f ca="1">IF(Table_NFI[[#This Row],[Pcode]]="","",OFFSET(CampList[Priority],MATCH(Table_NFI[[#This Row],[Pcode]],CampList[CP_Pcode],0)-1,0,1,1))</f>
        <v>P2</v>
      </c>
      <c r="AU497" s="293">
        <f>IFERROR(Table_NFI[[#This Row],[Kitchen Set]]/VLOOKUP(Table_NFI[[#This Row],[Camp Name]],CL,4,0),"")</f>
        <v>0</v>
      </c>
      <c r="AV497" s="461"/>
      <c r="AW497" s="463"/>
    </row>
    <row r="498" spans="1:49" s="464" customFormat="1" ht="14.45" customHeight="1" x14ac:dyDescent="0.25">
      <c r="A498" s="297">
        <f t="shared" si="7"/>
        <v>37.466666666666669</v>
      </c>
      <c r="B498" s="460">
        <v>41612</v>
      </c>
      <c r="C498" s="461" t="s">
        <v>452</v>
      </c>
      <c r="D498" s="462" t="s">
        <v>452</v>
      </c>
      <c r="E498" s="461" t="s">
        <v>380</v>
      </c>
      <c r="F498" s="290" t="s">
        <v>5</v>
      </c>
      <c r="G498" s="290" t="s">
        <v>512</v>
      </c>
      <c r="H498" s="291"/>
      <c r="I498" s="291"/>
      <c r="J498" s="291"/>
      <c r="K498" s="291"/>
      <c r="L498" s="292"/>
      <c r="M498" s="292">
        <v>10</v>
      </c>
      <c r="N498" s="292">
        <v>5</v>
      </c>
      <c r="O498" s="292">
        <v>5</v>
      </c>
      <c r="P498" s="294"/>
      <c r="Q498" s="294"/>
      <c r="R498" s="294"/>
      <c r="S498" s="294"/>
      <c r="T498" s="294"/>
      <c r="U498" s="294"/>
      <c r="V498" s="431"/>
      <c r="W498" s="294"/>
      <c r="X498" s="294"/>
      <c r="Y498" s="294">
        <f>IF(NFI_Expiration=1,IF($A498&lt;VLOOKUP(H$5,NFI,5,0),1,0)*Table_NFI[[#This Row],[Hygiene Kit]],Table_NFI[Hygiene Kit])</f>
        <v>0</v>
      </c>
      <c r="Z498" s="294">
        <f>IF(NFI_Expiration=1,IF($A498&lt;VLOOKUP(I$5,NFI,5,0),1,0)*Table_NFI[[#This Row],[NFI Core Kit]],Table_NFI[NFI Core Kit])</f>
        <v>0</v>
      </c>
      <c r="AA498" s="294">
        <f>IF(NFI_Expiration=1,IF($A498&lt;VLOOKUP(J$5,NFI,5,0),1,0)*Table_NFI[[#This Row],[Sanitary Kit]],Table_NFI[Sanitary Kit])</f>
        <v>0</v>
      </c>
      <c r="AB498" s="294">
        <f>IF(NFI_Expiration=1,IF($A498&lt;VLOOKUP(K$5,NFI,5,0),1,0)*Table_NFI[[#This Row],[Mosquito net]],Table_NFI[Mosquito net])</f>
        <v>0</v>
      </c>
      <c r="AC498" s="294">
        <f>IF(NFI_Expiration=1,IF($A498&lt;VLOOKUP(L$5,NFI,5,0),1,0)*Table_NFI[[#This Row],[Tarpaulin]],Table_NFI[[#This Row],[Tarpaulin]])</f>
        <v>0</v>
      </c>
      <c r="AD498" s="294">
        <f>IF(NFI_Expiration=1,IF($A498&lt;VLOOKUP(M$5,NFI,5,0),1,0)*Table_NFI[[#This Row],[Blanket]],Table_NFI[[#This Row],[Blanket]])</f>
        <v>0</v>
      </c>
      <c r="AE498" s="294">
        <f>IF(NFI_Expiration=1,IF($A498&lt;VLOOKUP(N$5,NFI,5,0),1,0)*Table_NFI[[#This Row],[Kitchen Set]],Table_NFI[Kitchen Set])</f>
        <v>0</v>
      </c>
      <c r="AF498" s="294">
        <f>IF(NFI_Expiration=1,IF($A498&lt;VLOOKUP(O$5,NFI,5,0),1,0)*Table_NFI[[#This Row],[Clothes Kit]],Table_NFI[Clothes Kit])</f>
        <v>0</v>
      </c>
      <c r="AG498" s="294">
        <f>IF(NFI_Expiration=1,IF($A498&lt;VLOOKUP(P$5,NFI,5,0),1,0)*Table_NFI[[#This Row],[Plastic Bucket]],Table_NFI[Plastic Bucket])</f>
        <v>0</v>
      </c>
      <c r="AH498" s="294">
        <f>IF(NFI_Expiration=1,IF($A498&lt;VLOOKUP(Q$5,NFI,5,0),1,0)*Table_NFI[[#This Row],[Plastic Mat]],Table_NFI[Plastic Mat])*IF(Table_NFI[[#This Row],[Distribution Date]]&gt;"2014-04-01",1,2.5)</f>
        <v>0</v>
      </c>
      <c r="AI498" s="294">
        <f>IF(NFI_Expiration=1,IF($A498&lt;VLOOKUP(R$5,NFI,5,0),1,0)*Table_NFI[[#This Row],[Winter Clothes Adult]],Table_NFI[Winter Clothes Adult])</f>
        <v>0</v>
      </c>
      <c r="AJ498" s="294">
        <f>IF(NFI_Expiration=1,IF($A498&lt;VLOOKUP(S$5,NFI,5,0),1,0)*Table_NFI[[#This Row],[Winter Clothes Children]],Table_NFI[Winter Clothes Children])</f>
        <v>0</v>
      </c>
      <c r="AK498" s="294">
        <f>IF(NFI_Expiration=1,IF($A498&lt;VLOOKUP(T$5,NFI,5,0),1,0)*Table_NFI[[#This Row],[Winter Items Other]],Table_NFI[Winter Items Other])</f>
        <v>0</v>
      </c>
      <c r="AL498" s="294">
        <f>IF(NFI_Expiration=1,IF($A498&lt;VLOOKUP(M$5,NFI,5,0),1,0)*Table_NFI[[#This Row],[Winter Blanket]],Table_NFI[[#This Row],[Winter Blanket]])</f>
        <v>0</v>
      </c>
      <c r="AM498" s="294">
        <f>IF(Table_NFI[[#This Row],[Winter Clothes Adult]]+Table_NFI[[#This Row],[Winter Clothes Children]]+Table_NFI[[#This Row],[Winter Items Other]]+Table_NFI[[#This Row],[Winter Blanket]]&gt;0,1,0)</f>
        <v>0</v>
      </c>
      <c r="AN498" s="331">
        <f>IF(NFI_Expiration=1,IF($A498&lt;VLOOKUP(V$5,NFI,5,0),1,0)*Table_NFI[[#This Row],[Jerry Can]],Table_NFI[Jerry Can])</f>
        <v>0</v>
      </c>
      <c r="AO498" s="331">
        <f>IF(NFI_Expiration=1,IF($A498&lt;VLOOKUP(V$5,NFI,5,0),1,0)*Table_NFI[[#This Row],[Shelter Tool kit]],Table_NFI[Shelter Tool kit])</f>
        <v>0</v>
      </c>
      <c r="AP498" s="331">
        <f>IF(NFI_Expiration=1,IF($A498&lt;VLOOKUP(V$5,NFI,5,0),1,0)*Table_NFI[[#This Row],[Tent]],Table_NFI[Tent])</f>
        <v>0</v>
      </c>
      <c r="AQ498" s="467" t="str">
        <f>IFERROR(VLOOKUP(Table_NFI[[#This Row],[Camp Name]],CL,2,0),"")</f>
        <v>MMR001CMP194</v>
      </c>
      <c r="AR498" s="835">
        <f ca="1">IF(Table_NFI[[#This Row],[Pcode]]="","",IF(OFFSET(CampList[Opening Date],MATCH(Table_NFI[[#This Row],[Pcode]],CampList[CP_Pcode],0)-1,0,1,1)&gt;=NFI_Monitor_Date,1,0))</f>
        <v>0</v>
      </c>
      <c r="AS498" s="467" t="str">
        <f>IFERROR(VLOOKUP(Table_NFI[[#This Row],[Camp Name]],CL,3,0),"")</f>
        <v>Open</v>
      </c>
      <c r="AT498" s="294" t="str">
        <f ca="1">IF(Table_NFI[[#This Row],[Pcode]]="","",OFFSET(CampList[Priority],MATCH(Table_NFI[[#This Row],[Pcode]],CampList[CP_Pcode],0)-1,0,1,1))</f>
        <v>P4</v>
      </c>
      <c r="AU498" s="293">
        <f>IFERROR(Table_NFI[[#This Row],[Kitchen Set]]/VLOOKUP(Table_NFI[[#This Row],[Camp Name]],CL,4,0),"")</f>
        <v>1.2258807953514599E-4</v>
      </c>
      <c r="AV498" s="461" t="s">
        <v>1092</v>
      </c>
      <c r="AW498" s="463"/>
    </row>
    <row r="499" spans="1:49" s="464" customFormat="1" ht="14.45" customHeight="1" x14ac:dyDescent="0.25">
      <c r="A499" s="297">
        <f t="shared" si="7"/>
        <v>37.466666666666669</v>
      </c>
      <c r="B499" s="460">
        <v>41612</v>
      </c>
      <c r="C499" s="461" t="s">
        <v>452</v>
      </c>
      <c r="D499" s="462" t="s">
        <v>452</v>
      </c>
      <c r="E499" s="461" t="s">
        <v>380</v>
      </c>
      <c r="F499" s="290" t="s">
        <v>5</v>
      </c>
      <c r="G499" s="290" t="s">
        <v>22</v>
      </c>
      <c r="H499" s="291"/>
      <c r="I499" s="291"/>
      <c r="J499" s="291"/>
      <c r="K499" s="291"/>
      <c r="L499" s="292"/>
      <c r="M499" s="292">
        <v>120</v>
      </c>
      <c r="N499" s="292"/>
      <c r="O499" s="292"/>
      <c r="P499" s="294"/>
      <c r="Q499" s="294"/>
      <c r="R499" s="294"/>
      <c r="S499" s="294"/>
      <c r="T499" s="294"/>
      <c r="U499" s="294"/>
      <c r="V499" s="431"/>
      <c r="W499" s="294"/>
      <c r="X499" s="294"/>
      <c r="Y499" s="294">
        <f>IF(NFI_Expiration=1,IF($A499&lt;VLOOKUP(H$5,NFI,5,0),1,0)*Table_NFI[[#This Row],[Hygiene Kit]],Table_NFI[Hygiene Kit])</f>
        <v>0</v>
      </c>
      <c r="Z499" s="294">
        <f>IF(NFI_Expiration=1,IF($A499&lt;VLOOKUP(I$5,NFI,5,0),1,0)*Table_NFI[[#This Row],[NFI Core Kit]],Table_NFI[NFI Core Kit])</f>
        <v>0</v>
      </c>
      <c r="AA499" s="294">
        <f>IF(NFI_Expiration=1,IF($A499&lt;VLOOKUP(J$5,NFI,5,0),1,0)*Table_NFI[[#This Row],[Sanitary Kit]],Table_NFI[Sanitary Kit])</f>
        <v>0</v>
      </c>
      <c r="AB499" s="294">
        <f>IF(NFI_Expiration=1,IF($A499&lt;VLOOKUP(K$5,NFI,5,0),1,0)*Table_NFI[[#This Row],[Mosquito net]],Table_NFI[Mosquito net])</f>
        <v>0</v>
      </c>
      <c r="AC499" s="294">
        <f>IF(NFI_Expiration=1,IF($A499&lt;VLOOKUP(L$5,NFI,5,0),1,0)*Table_NFI[[#This Row],[Tarpaulin]],Table_NFI[[#This Row],[Tarpaulin]])</f>
        <v>0</v>
      </c>
      <c r="AD499" s="294">
        <f>IF(NFI_Expiration=1,IF($A499&lt;VLOOKUP(M$5,NFI,5,0),1,0)*Table_NFI[[#This Row],[Blanket]],Table_NFI[[#This Row],[Blanket]])</f>
        <v>0</v>
      </c>
      <c r="AE499" s="294">
        <f>IF(NFI_Expiration=1,IF($A499&lt;VLOOKUP(N$5,NFI,5,0),1,0)*Table_NFI[[#This Row],[Kitchen Set]],Table_NFI[Kitchen Set])</f>
        <v>0</v>
      </c>
      <c r="AF499" s="294">
        <f>IF(NFI_Expiration=1,IF($A499&lt;VLOOKUP(O$5,NFI,5,0),1,0)*Table_NFI[[#This Row],[Clothes Kit]],Table_NFI[Clothes Kit])</f>
        <v>0</v>
      </c>
      <c r="AG499" s="294">
        <f>IF(NFI_Expiration=1,IF($A499&lt;VLOOKUP(P$5,NFI,5,0),1,0)*Table_NFI[[#This Row],[Plastic Bucket]],Table_NFI[Plastic Bucket])</f>
        <v>0</v>
      </c>
      <c r="AH499" s="294">
        <f>IF(NFI_Expiration=1,IF($A499&lt;VLOOKUP(Q$5,NFI,5,0),1,0)*Table_NFI[[#This Row],[Plastic Mat]],Table_NFI[Plastic Mat])*IF(Table_NFI[[#This Row],[Distribution Date]]&gt;"2014-04-01",1,2.5)</f>
        <v>0</v>
      </c>
      <c r="AI499" s="294">
        <f>IF(NFI_Expiration=1,IF($A499&lt;VLOOKUP(R$5,NFI,5,0),1,0)*Table_NFI[[#This Row],[Winter Clothes Adult]],Table_NFI[Winter Clothes Adult])</f>
        <v>0</v>
      </c>
      <c r="AJ499" s="294">
        <f>IF(NFI_Expiration=1,IF($A499&lt;VLOOKUP(S$5,NFI,5,0),1,0)*Table_NFI[[#This Row],[Winter Clothes Children]],Table_NFI[Winter Clothes Children])</f>
        <v>0</v>
      </c>
      <c r="AK499" s="294">
        <f>IF(NFI_Expiration=1,IF($A499&lt;VLOOKUP(T$5,NFI,5,0),1,0)*Table_NFI[[#This Row],[Winter Items Other]],Table_NFI[Winter Items Other])</f>
        <v>0</v>
      </c>
      <c r="AL499" s="294">
        <f>IF(NFI_Expiration=1,IF($A499&lt;VLOOKUP(M$5,NFI,5,0),1,0)*Table_NFI[[#This Row],[Winter Blanket]],Table_NFI[[#This Row],[Winter Blanket]])</f>
        <v>0</v>
      </c>
      <c r="AM499" s="294">
        <f>IF(Table_NFI[[#This Row],[Winter Clothes Adult]]+Table_NFI[[#This Row],[Winter Clothes Children]]+Table_NFI[[#This Row],[Winter Items Other]]+Table_NFI[[#This Row],[Winter Blanket]]&gt;0,1,0)</f>
        <v>0</v>
      </c>
      <c r="AN499" s="331">
        <f>IF(NFI_Expiration=1,IF($A499&lt;VLOOKUP(V$5,NFI,5,0),1,0)*Table_NFI[[#This Row],[Jerry Can]],Table_NFI[Jerry Can])</f>
        <v>0</v>
      </c>
      <c r="AO499" s="331">
        <f>IF(NFI_Expiration=1,IF($A499&lt;VLOOKUP(V$5,NFI,5,0),1,0)*Table_NFI[[#This Row],[Shelter Tool kit]],Table_NFI[Shelter Tool kit])</f>
        <v>0</v>
      </c>
      <c r="AP499" s="331">
        <f>IF(NFI_Expiration=1,IF($A499&lt;VLOOKUP(V$5,NFI,5,0),1,0)*Table_NFI[[#This Row],[Tent]],Table_NFI[Tent])</f>
        <v>0</v>
      </c>
      <c r="AQ499" s="467" t="str">
        <f>IFERROR(VLOOKUP(Table_NFI[[#This Row],[Camp Name]],CL,2,0),"")</f>
        <v>MMR001CMP047</v>
      </c>
      <c r="AR499" s="835">
        <f ca="1">IF(Table_NFI[[#This Row],[Pcode]]="","",IF(OFFSET(CampList[Opening Date],MATCH(Table_NFI[[#This Row],[Pcode]],CampList[CP_Pcode],0)-1,0,1,1)&gt;=NFI_Monitor_Date,1,0))</f>
        <v>0</v>
      </c>
      <c r="AS499" s="467" t="str">
        <f>IFERROR(VLOOKUP(Table_NFI[[#This Row],[Camp Name]],CL,3,0),"")</f>
        <v>Open</v>
      </c>
      <c r="AT499" s="294" t="str">
        <f ca="1">IF(Table_NFI[[#This Row],[Pcode]]="","",OFFSET(CampList[Priority],MATCH(Table_NFI[[#This Row],[Pcode]],CampList[CP_Pcode],0)-1,0,1,1))</f>
        <v>P4</v>
      </c>
      <c r="AU499" s="293">
        <f>IFERROR(Table_NFI[[#This Row],[Kitchen Set]]/VLOOKUP(Table_NFI[[#This Row],[Camp Name]],CL,4,0),"")</f>
        <v>0</v>
      </c>
      <c r="AV499" s="461" t="s">
        <v>1092</v>
      </c>
      <c r="AW499" s="463"/>
    </row>
    <row r="500" spans="1:49" s="464" customFormat="1" ht="14.45" customHeight="1" x14ac:dyDescent="0.25">
      <c r="A500" s="297">
        <f t="shared" si="7"/>
        <v>37.466666666666669</v>
      </c>
      <c r="B500" s="460">
        <v>41612</v>
      </c>
      <c r="C500" s="461" t="s">
        <v>452</v>
      </c>
      <c r="D500" s="462" t="s">
        <v>452</v>
      </c>
      <c r="E500" s="461" t="s">
        <v>380</v>
      </c>
      <c r="F500" s="290" t="s">
        <v>5</v>
      </c>
      <c r="G500" s="290" t="s">
        <v>22</v>
      </c>
      <c r="H500" s="291"/>
      <c r="I500" s="291"/>
      <c r="J500" s="291"/>
      <c r="K500" s="291"/>
      <c r="L500" s="292">
        <v>5</v>
      </c>
      <c r="M500" s="292"/>
      <c r="N500" s="292"/>
      <c r="O500" s="292"/>
      <c r="P500" s="294"/>
      <c r="Q500" s="294"/>
      <c r="R500" s="294"/>
      <c r="S500" s="294"/>
      <c r="T500" s="294"/>
      <c r="U500" s="294"/>
      <c r="V500" s="431"/>
      <c r="W500" s="294"/>
      <c r="X500" s="294"/>
      <c r="Y500" s="294">
        <f>IF(NFI_Expiration=1,IF($A500&lt;VLOOKUP(H$5,NFI,5,0),1,0)*Table_NFI[[#This Row],[Hygiene Kit]],Table_NFI[Hygiene Kit])</f>
        <v>0</v>
      </c>
      <c r="Z500" s="294">
        <f>IF(NFI_Expiration=1,IF($A500&lt;VLOOKUP(I$5,NFI,5,0),1,0)*Table_NFI[[#This Row],[NFI Core Kit]],Table_NFI[NFI Core Kit])</f>
        <v>0</v>
      </c>
      <c r="AA500" s="294">
        <f>IF(NFI_Expiration=1,IF($A500&lt;VLOOKUP(J$5,NFI,5,0),1,0)*Table_NFI[[#This Row],[Sanitary Kit]],Table_NFI[Sanitary Kit])</f>
        <v>0</v>
      </c>
      <c r="AB500" s="294">
        <f>IF(NFI_Expiration=1,IF($A500&lt;VLOOKUP(K$5,NFI,5,0),1,0)*Table_NFI[[#This Row],[Mosquito net]],Table_NFI[Mosquito net])</f>
        <v>0</v>
      </c>
      <c r="AC500" s="294">
        <f>IF(NFI_Expiration=1,IF($A500&lt;VLOOKUP(L$5,NFI,5,0),1,0)*Table_NFI[[#This Row],[Tarpaulin]],Table_NFI[[#This Row],[Tarpaulin]])</f>
        <v>0</v>
      </c>
      <c r="AD500" s="294">
        <f>IF(NFI_Expiration=1,IF($A500&lt;VLOOKUP(M$5,NFI,5,0),1,0)*Table_NFI[[#This Row],[Blanket]],Table_NFI[[#This Row],[Blanket]])</f>
        <v>0</v>
      </c>
      <c r="AE500" s="294">
        <f>IF(NFI_Expiration=1,IF($A500&lt;VLOOKUP(N$5,NFI,5,0),1,0)*Table_NFI[[#This Row],[Kitchen Set]],Table_NFI[Kitchen Set])</f>
        <v>0</v>
      </c>
      <c r="AF500" s="294">
        <f>IF(NFI_Expiration=1,IF($A500&lt;VLOOKUP(O$5,NFI,5,0),1,0)*Table_NFI[[#This Row],[Clothes Kit]],Table_NFI[Clothes Kit])</f>
        <v>0</v>
      </c>
      <c r="AG500" s="294">
        <f>IF(NFI_Expiration=1,IF($A500&lt;VLOOKUP(P$5,NFI,5,0),1,0)*Table_NFI[[#This Row],[Plastic Bucket]],Table_NFI[Plastic Bucket])</f>
        <v>0</v>
      </c>
      <c r="AH500" s="294">
        <f>IF(NFI_Expiration=1,IF($A500&lt;VLOOKUP(Q$5,NFI,5,0),1,0)*Table_NFI[[#This Row],[Plastic Mat]],Table_NFI[Plastic Mat])*IF(Table_NFI[[#This Row],[Distribution Date]]&gt;"2014-04-01",1,2.5)</f>
        <v>0</v>
      </c>
      <c r="AI500" s="294">
        <f>IF(NFI_Expiration=1,IF($A500&lt;VLOOKUP(R$5,NFI,5,0),1,0)*Table_NFI[[#This Row],[Winter Clothes Adult]],Table_NFI[Winter Clothes Adult])</f>
        <v>0</v>
      </c>
      <c r="AJ500" s="294">
        <f>IF(NFI_Expiration=1,IF($A500&lt;VLOOKUP(S$5,NFI,5,0),1,0)*Table_NFI[[#This Row],[Winter Clothes Children]],Table_NFI[Winter Clothes Children])</f>
        <v>0</v>
      </c>
      <c r="AK500" s="294">
        <f>IF(NFI_Expiration=1,IF($A500&lt;VLOOKUP(T$5,NFI,5,0),1,0)*Table_NFI[[#This Row],[Winter Items Other]],Table_NFI[Winter Items Other])</f>
        <v>0</v>
      </c>
      <c r="AL500" s="294">
        <f>IF(NFI_Expiration=1,IF($A500&lt;VLOOKUP(M$5,NFI,5,0),1,0)*Table_NFI[[#This Row],[Winter Blanket]],Table_NFI[[#This Row],[Winter Blanket]])</f>
        <v>0</v>
      </c>
      <c r="AM500" s="294">
        <f>IF(Table_NFI[[#This Row],[Winter Clothes Adult]]+Table_NFI[[#This Row],[Winter Clothes Children]]+Table_NFI[[#This Row],[Winter Items Other]]+Table_NFI[[#This Row],[Winter Blanket]]&gt;0,1,0)</f>
        <v>0</v>
      </c>
      <c r="AN500" s="331">
        <f>IF(NFI_Expiration=1,IF($A500&lt;VLOOKUP(V$5,NFI,5,0),1,0)*Table_NFI[[#This Row],[Jerry Can]],Table_NFI[Jerry Can])</f>
        <v>0</v>
      </c>
      <c r="AO500" s="331">
        <f>IF(NFI_Expiration=1,IF($A500&lt;VLOOKUP(V$5,NFI,5,0),1,0)*Table_NFI[[#This Row],[Shelter Tool kit]],Table_NFI[Shelter Tool kit])</f>
        <v>0</v>
      </c>
      <c r="AP500" s="331">
        <f>IF(NFI_Expiration=1,IF($A500&lt;VLOOKUP(V$5,NFI,5,0),1,0)*Table_NFI[[#This Row],[Tent]],Table_NFI[Tent])</f>
        <v>0</v>
      </c>
      <c r="AQ500" s="467" t="str">
        <f>IFERROR(VLOOKUP(Table_NFI[[#This Row],[Camp Name]],CL,2,0),"")</f>
        <v>MMR001CMP047</v>
      </c>
      <c r="AR500" s="835">
        <f ca="1">IF(Table_NFI[[#This Row],[Pcode]]="","",IF(OFFSET(CampList[Opening Date],MATCH(Table_NFI[[#This Row],[Pcode]],CampList[CP_Pcode],0)-1,0,1,1)&gt;=NFI_Monitor_Date,1,0))</f>
        <v>0</v>
      </c>
      <c r="AS500" s="467" t="str">
        <f>IFERROR(VLOOKUP(Table_NFI[[#This Row],[Camp Name]],CL,3,0),"")</f>
        <v>Open</v>
      </c>
      <c r="AT500" s="294" t="str">
        <f ca="1">IF(Table_NFI[[#This Row],[Pcode]]="","",OFFSET(CampList[Priority],MATCH(Table_NFI[[#This Row],[Pcode]],CampList[CP_Pcode],0)-1,0,1,1))</f>
        <v>P4</v>
      </c>
      <c r="AU500" s="293">
        <f>IFERROR(Table_NFI[[#This Row],[Kitchen Set]]/VLOOKUP(Table_NFI[[#This Row],[Camp Name]],CL,4,0),"")</f>
        <v>0</v>
      </c>
      <c r="AV500" s="461" t="s">
        <v>1092</v>
      </c>
      <c r="AW500" s="463"/>
    </row>
    <row r="501" spans="1:49" s="464" customFormat="1" ht="14.45" customHeight="1" x14ac:dyDescent="0.25">
      <c r="A501" s="297">
        <f t="shared" si="7"/>
        <v>37.5</v>
      </c>
      <c r="B501" s="460">
        <v>41611</v>
      </c>
      <c r="C501" s="461" t="s">
        <v>905</v>
      </c>
      <c r="D501" s="461" t="s">
        <v>460</v>
      </c>
      <c r="E501" s="461" t="s">
        <v>380</v>
      </c>
      <c r="F501" s="461" t="s">
        <v>310</v>
      </c>
      <c r="G501" s="461" t="s">
        <v>334</v>
      </c>
      <c r="H501" s="291"/>
      <c r="I501" s="291"/>
      <c r="J501" s="291"/>
      <c r="K501" s="291"/>
      <c r="L501" s="292"/>
      <c r="M501" s="292"/>
      <c r="N501" s="292"/>
      <c r="O501" s="292"/>
      <c r="P501" s="294"/>
      <c r="Q501" s="294"/>
      <c r="R501" s="294">
        <v>181</v>
      </c>
      <c r="S501" s="294">
        <v>362</v>
      </c>
      <c r="T501" s="294">
        <v>1086</v>
      </c>
      <c r="U501" s="294">
        <v>543</v>
      </c>
      <c r="V501" s="431"/>
      <c r="W501" s="294"/>
      <c r="X501" s="294"/>
      <c r="Y501" s="294">
        <f>IF(NFI_Expiration=1,IF($A501&lt;VLOOKUP(H$5,NFI,5,0),1,0)*Table_NFI[[#This Row],[Hygiene Kit]],Table_NFI[Hygiene Kit])</f>
        <v>0</v>
      </c>
      <c r="Z501" s="294">
        <f>IF(NFI_Expiration=1,IF($A501&lt;VLOOKUP(I$5,NFI,5,0),1,0)*Table_NFI[[#This Row],[NFI Core Kit]],Table_NFI[NFI Core Kit])</f>
        <v>0</v>
      </c>
      <c r="AA501" s="294">
        <f>IF(NFI_Expiration=1,IF($A501&lt;VLOOKUP(J$5,NFI,5,0),1,0)*Table_NFI[[#This Row],[Sanitary Kit]],Table_NFI[Sanitary Kit])</f>
        <v>0</v>
      </c>
      <c r="AB501" s="294">
        <f>IF(NFI_Expiration=1,IF($A501&lt;VLOOKUP(K$5,NFI,5,0),1,0)*Table_NFI[[#This Row],[Mosquito net]],Table_NFI[Mosquito net])</f>
        <v>0</v>
      </c>
      <c r="AC501" s="294">
        <f>IF(NFI_Expiration=1,IF($A501&lt;VLOOKUP(L$5,NFI,5,0),1,0)*Table_NFI[[#This Row],[Tarpaulin]],Table_NFI[[#This Row],[Tarpaulin]])</f>
        <v>0</v>
      </c>
      <c r="AD501" s="294">
        <f>IF(NFI_Expiration=1,IF($A501&lt;VLOOKUP(M$5,NFI,5,0),1,0)*Table_NFI[[#This Row],[Blanket]],Table_NFI[[#This Row],[Blanket]])</f>
        <v>0</v>
      </c>
      <c r="AE501" s="294">
        <f>IF(NFI_Expiration=1,IF($A501&lt;VLOOKUP(N$5,NFI,5,0),1,0)*Table_NFI[[#This Row],[Kitchen Set]],Table_NFI[Kitchen Set])</f>
        <v>0</v>
      </c>
      <c r="AF501" s="294">
        <f>IF(NFI_Expiration=1,IF($A501&lt;VLOOKUP(O$5,NFI,5,0),1,0)*Table_NFI[[#This Row],[Clothes Kit]],Table_NFI[Clothes Kit])</f>
        <v>0</v>
      </c>
      <c r="AG501" s="294">
        <f>IF(NFI_Expiration=1,IF($A501&lt;VLOOKUP(P$5,NFI,5,0),1,0)*Table_NFI[[#This Row],[Plastic Bucket]],Table_NFI[Plastic Bucket])</f>
        <v>0</v>
      </c>
      <c r="AH501" s="294">
        <f>IF(NFI_Expiration=1,IF($A501&lt;VLOOKUP(Q$5,NFI,5,0),1,0)*Table_NFI[[#This Row],[Plastic Mat]],Table_NFI[Plastic Mat])*IF(Table_NFI[[#This Row],[Distribution Date]]&gt;"2014-04-01",1,2.5)</f>
        <v>0</v>
      </c>
      <c r="AI501" s="294">
        <f>IF(NFI_Expiration=1,IF($A501&lt;VLOOKUP(R$5,NFI,5,0),1,0)*Table_NFI[[#This Row],[Winter Clothes Adult]],Table_NFI[Winter Clothes Adult])</f>
        <v>0</v>
      </c>
      <c r="AJ501" s="294">
        <f>IF(NFI_Expiration=1,IF($A501&lt;VLOOKUP(S$5,NFI,5,0),1,0)*Table_NFI[[#This Row],[Winter Clothes Children]],Table_NFI[Winter Clothes Children])</f>
        <v>0</v>
      </c>
      <c r="AK501" s="294">
        <f>IF(NFI_Expiration=1,IF($A501&lt;VLOOKUP(T$5,NFI,5,0),1,0)*Table_NFI[[#This Row],[Winter Items Other]],Table_NFI[Winter Items Other])</f>
        <v>0</v>
      </c>
      <c r="AL501" s="294">
        <f>IF(NFI_Expiration=1,IF($A501&lt;VLOOKUP(M$5,NFI,5,0),1,0)*Table_NFI[[#This Row],[Winter Blanket]],Table_NFI[[#This Row],[Winter Blanket]])</f>
        <v>0</v>
      </c>
      <c r="AM501" s="294">
        <f>IF(Table_NFI[[#This Row],[Winter Clothes Adult]]+Table_NFI[[#This Row],[Winter Clothes Children]]+Table_NFI[[#This Row],[Winter Items Other]]+Table_NFI[[#This Row],[Winter Blanket]]&gt;0,1,0)</f>
        <v>1</v>
      </c>
      <c r="AN501" s="331">
        <f>IF(NFI_Expiration=1,IF($A501&lt;VLOOKUP(V$5,NFI,5,0),1,0)*Table_NFI[[#This Row],[Jerry Can]],Table_NFI[Jerry Can])</f>
        <v>0</v>
      </c>
      <c r="AO501" s="331">
        <f>IF(NFI_Expiration=1,IF($A501&lt;VLOOKUP(V$5,NFI,5,0),1,0)*Table_NFI[[#This Row],[Shelter Tool kit]],Table_NFI[Shelter Tool kit])</f>
        <v>0</v>
      </c>
      <c r="AP501" s="331">
        <f>IF(NFI_Expiration=1,IF($A501&lt;VLOOKUP(V$5,NFI,5,0),1,0)*Table_NFI[[#This Row],[Tent]],Table_NFI[Tent])</f>
        <v>0</v>
      </c>
      <c r="AQ501" s="467" t="str">
        <f>IFERROR(VLOOKUP(Table_NFI[[#This Row],[Camp Name]],CL,2,0),"")</f>
        <v>MMR001CMP113</v>
      </c>
      <c r="AR501" s="835">
        <f ca="1">IF(Table_NFI[[#This Row],[Pcode]]="","",IF(OFFSET(CampList[Opening Date],MATCH(Table_NFI[[#This Row],[Pcode]],CampList[CP_Pcode],0)-1,0,1,1)&gt;=NFI_Monitor_Date,1,0))</f>
        <v>0</v>
      </c>
      <c r="AS501" s="467" t="str">
        <f>IFERROR(VLOOKUP(Table_NFI[[#This Row],[Camp Name]],CL,3,0),"")</f>
        <v>Open</v>
      </c>
      <c r="AT501" s="294" t="str">
        <f ca="1">IF(Table_NFI[[#This Row],[Pcode]]="","",OFFSET(CampList[Priority],MATCH(Table_NFI[[#This Row],[Pcode]],CampList[CP_Pcode],0)-1,0,1,1))</f>
        <v>P1</v>
      </c>
      <c r="AU501" s="293">
        <f>IFERROR(Table_NFI[[#This Row],[Kitchen Set]]/VLOOKUP(Table_NFI[[#This Row],[Camp Name]],CL,4,0),"")</f>
        <v>0</v>
      </c>
      <c r="AV501" s="461"/>
      <c r="AW501" s="463"/>
    </row>
    <row r="502" spans="1:49" s="464" customFormat="1" x14ac:dyDescent="0.25">
      <c r="A502" s="297">
        <f t="shared" si="7"/>
        <v>37.5</v>
      </c>
      <c r="B502" s="460">
        <v>41611</v>
      </c>
      <c r="C502" s="461" t="s">
        <v>452</v>
      </c>
      <c r="D502" s="462" t="s">
        <v>452</v>
      </c>
      <c r="E502" s="461" t="s">
        <v>380</v>
      </c>
      <c r="F502" s="290" t="s">
        <v>185</v>
      </c>
      <c r="G502" s="290" t="s">
        <v>209</v>
      </c>
      <c r="H502" s="291"/>
      <c r="I502" s="291"/>
      <c r="J502" s="291"/>
      <c r="K502" s="291">
        <v>25</v>
      </c>
      <c r="L502" s="292">
        <v>13</v>
      </c>
      <c r="M502" s="292">
        <v>25</v>
      </c>
      <c r="N502" s="292">
        <v>13</v>
      </c>
      <c r="O502" s="292">
        <v>13</v>
      </c>
      <c r="P502" s="294"/>
      <c r="Q502" s="294"/>
      <c r="R502" s="294"/>
      <c r="S502" s="294"/>
      <c r="T502" s="294"/>
      <c r="U502" s="294"/>
      <c r="V502" s="431"/>
      <c r="W502" s="294"/>
      <c r="X502" s="294"/>
      <c r="Y502" s="294">
        <f>IF(NFI_Expiration=1,IF($A502&lt;VLOOKUP(H$5,NFI,5,0),1,0)*Table_NFI[[#This Row],[Hygiene Kit]],Table_NFI[Hygiene Kit])</f>
        <v>0</v>
      </c>
      <c r="Z502" s="294">
        <f>IF(NFI_Expiration=1,IF($A502&lt;VLOOKUP(I$5,NFI,5,0),1,0)*Table_NFI[[#This Row],[NFI Core Kit]],Table_NFI[NFI Core Kit])</f>
        <v>0</v>
      </c>
      <c r="AA502" s="294">
        <f>IF(NFI_Expiration=1,IF($A502&lt;VLOOKUP(J$5,NFI,5,0),1,0)*Table_NFI[[#This Row],[Sanitary Kit]],Table_NFI[Sanitary Kit])</f>
        <v>0</v>
      </c>
      <c r="AB502" s="294">
        <f>IF(NFI_Expiration=1,IF($A502&lt;VLOOKUP(K$5,NFI,5,0),1,0)*Table_NFI[[#This Row],[Mosquito net]],Table_NFI[Mosquito net])</f>
        <v>0</v>
      </c>
      <c r="AC502" s="294">
        <f>IF(NFI_Expiration=1,IF($A502&lt;VLOOKUP(L$5,NFI,5,0),1,0)*Table_NFI[[#This Row],[Tarpaulin]],Table_NFI[[#This Row],[Tarpaulin]])</f>
        <v>0</v>
      </c>
      <c r="AD502" s="294">
        <f>IF(NFI_Expiration=1,IF($A502&lt;VLOOKUP(M$5,NFI,5,0),1,0)*Table_NFI[[#This Row],[Blanket]],Table_NFI[[#This Row],[Blanket]])</f>
        <v>0</v>
      </c>
      <c r="AE502" s="294">
        <f>IF(NFI_Expiration=1,IF($A502&lt;VLOOKUP(N$5,NFI,5,0),1,0)*Table_NFI[[#This Row],[Kitchen Set]],Table_NFI[Kitchen Set])</f>
        <v>0</v>
      </c>
      <c r="AF502" s="294">
        <f>IF(NFI_Expiration=1,IF($A502&lt;VLOOKUP(O$5,NFI,5,0),1,0)*Table_NFI[[#This Row],[Clothes Kit]],Table_NFI[Clothes Kit])</f>
        <v>0</v>
      </c>
      <c r="AG502" s="294">
        <f>IF(NFI_Expiration=1,IF($A502&lt;VLOOKUP(P$5,NFI,5,0),1,0)*Table_NFI[[#This Row],[Plastic Bucket]],Table_NFI[Plastic Bucket])</f>
        <v>0</v>
      </c>
      <c r="AH502" s="294">
        <f>IF(NFI_Expiration=1,IF($A502&lt;VLOOKUP(Q$5,NFI,5,0),1,0)*Table_NFI[[#This Row],[Plastic Mat]],Table_NFI[Plastic Mat])*IF(Table_NFI[[#This Row],[Distribution Date]]&gt;"2014-04-01",1,2.5)</f>
        <v>0</v>
      </c>
      <c r="AI502" s="294">
        <f>IF(NFI_Expiration=1,IF($A502&lt;VLOOKUP(R$5,NFI,5,0),1,0)*Table_NFI[[#This Row],[Winter Clothes Adult]],Table_NFI[Winter Clothes Adult])</f>
        <v>0</v>
      </c>
      <c r="AJ502" s="294">
        <f>IF(NFI_Expiration=1,IF($A502&lt;VLOOKUP(S$5,NFI,5,0),1,0)*Table_NFI[[#This Row],[Winter Clothes Children]],Table_NFI[Winter Clothes Children])</f>
        <v>0</v>
      </c>
      <c r="AK502" s="294">
        <f>IF(NFI_Expiration=1,IF($A502&lt;VLOOKUP(T$5,NFI,5,0),1,0)*Table_NFI[[#This Row],[Winter Items Other]],Table_NFI[Winter Items Other])</f>
        <v>0</v>
      </c>
      <c r="AL502" s="294">
        <f>IF(NFI_Expiration=1,IF($A502&lt;VLOOKUP(M$5,NFI,5,0),1,0)*Table_NFI[[#This Row],[Winter Blanket]],Table_NFI[[#This Row],[Winter Blanket]])</f>
        <v>0</v>
      </c>
      <c r="AM502" s="294">
        <f>IF(Table_NFI[[#This Row],[Winter Clothes Adult]]+Table_NFI[[#This Row],[Winter Clothes Children]]+Table_NFI[[#This Row],[Winter Items Other]]+Table_NFI[[#This Row],[Winter Blanket]]&gt;0,1,0)</f>
        <v>0</v>
      </c>
      <c r="AN502" s="331">
        <f>IF(NFI_Expiration=1,IF($A502&lt;VLOOKUP(V$5,NFI,5,0),1,0)*Table_NFI[[#This Row],[Jerry Can]],Table_NFI[Jerry Can])</f>
        <v>0</v>
      </c>
      <c r="AO502" s="331">
        <f>IF(NFI_Expiration=1,IF($A502&lt;VLOOKUP(V$5,NFI,5,0),1,0)*Table_NFI[[#This Row],[Shelter Tool kit]],Table_NFI[Shelter Tool kit])</f>
        <v>0</v>
      </c>
      <c r="AP502" s="331">
        <f>IF(NFI_Expiration=1,IF($A502&lt;VLOOKUP(V$5,NFI,5,0),1,0)*Table_NFI[[#This Row],[Tent]],Table_NFI[Tent])</f>
        <v>0</v>
      </c>
      <c r="AQ502" s="467" t="str">
        <f>IFERROR(VLOOKUP(Table_NFI[[#This Row],[Camp Name]],CL,2,0),"")</f>
        <v>MMR001CMP056</v>
      </c>
      <c r="AR502" s="835">
        <f ca="1">IF(Table_NFI[[#This Row],[Pcode]]="","",IF(OFFSET(CampList[Opening Date],MATCH(Table_NFI[[#This Row],[Pcode]],CampList[CP_Pcode],0)-1,0,1,1)&gt;=NFI_Monitor_Date,1,0))</f>
        <v>0</v>
      </c>
      <c r="AS502" s="467" t="str">
        <f>IFERROR(VLOOKUP(Table_NFI[[#This Row],[Camp Name]],CL,3,0),"")</f>
        <v>Open</v>
      </c>
      <c r="AT502" s="294" t="str">
        <f ca="1">IF(Table_NFI[[#This Row],[Pcode]]="","",OFFSET(CampList[Priority],MATCH(Table_NFI[[#This Row],[Pcode]],CampList[CP_Pcode],0)-1,0,1,1))</f>
        <v>P4</v>
      </c>
      <c r="AU502" s="293">
        <f>IFERROR(Table_NFI[[#This Row],[Kitchen Set]]/VLOOKUP(Table_NFI[[#This Row],[Camp Name]],CL,4,0),"")</f>
        <v>3.1944956382848013E-4</v>
      </c>
      <c r="AV502" s="461" t="s">
        <v>1092</v>
      </c>
      <c r="AW502" s="463"/>
    </row>
    <row r="503" spans="1:49" s="464" customFormat="1" x14ac:dyDescent="0.25">
      <c r="A503" s="297">
        <f t="shared" si="7"/>
        <v>37.533333333333331</v>
      </c>
      <c r="B503" s="460">
        <v>41610</v>
      </c>
      <c r="C503" s="461" t="s">
        <v>905</v>
      </c>
      <c r="D503" s="461" t="s">
        <v>460</v>
      </c>
      <c r="E503" s="461" t="s">
        <v>380</v>
      </c>
      <c r="F503" s="461" t="s">
        <v>310</v>
      </c>
      <c r="G503" s="461" t="s">
        <v>355</v>
      </c>
      <c r="H503" s="291"/>
      <c r="I503" s="291"/>
      <c r="J503" s="291"/>
      <c r="K503" s="291"/>
      <c r="L503" s="292"/>
      <c r="M503" s="292"/>
      <c r="N503" s="292"/>
      <c r="O503" s="292"/>
      <c r="P503" s="294"/>
      <c r="Q503" s="294"/>
      <c r="R503" s="294">
        <v>124</v>
      </c>
      <c r="S503" s="294">
        <v>248</v>
      </c>
      <c r="T503" s="294">
        <v>744</v>
      </c>
      <c r="U503" s="294">
        <v>372</v>
      </c>
      <c r="V503" s="431"/>
      <c r="W503" s="294"/>
      <c r="X503" s="294"/>
      <c r="Y503" s="294">
        <f>IF(NFI_Expiration=1,IF($A503&lt;VLOOKUP(H$5,NFI,5,0),1,0)*Table_NFI[[#This Row],[Hygiene Kit]],Table_NFI[Hygiene Kit])</f>
        <v>0</v>
      </c>
      <c r="Z503" s="294">
        <f>IF(NFI_Expiration=1,IF($A503&lt;VLOOKUP(I$5,NFI,5,0),1,0)*Table_NFI[[#This Row],[NFI Core Kit]],Table_NFI[NFI Core Kit])</f>
        <v>0</v>
      </c>
      <c r="AA503" s="294">
        <f>IF(NFI_Expiration=1,IF($A503&lt;VLOOKUP(J$5,NFI,5,0),1,0)*Table_NFI[[#This Row],[Sanitary Kit]],Table_NFI[Sanitary Kit])</f>
        <v>0</v>
      </c>
      <c r="AB503" s="294">
        <f>IF(NFI_Expiration=1,IF($A503&lt;VLOOKUP(K$5,NFI,5,0),1,0)*Table_NFI[[#This Row],[Mosquito net]],Table_NFI[Mosquito net])</f>
        <v>0</v>
      </c>
      <c r="AC503" s="294">
        <f>IF(NFI_Expiration=1,IF($A503&lt;VLOOKUP(L$5,NFI,5,0),1,0)*Table_NFI[[#This Row],[Tarpaulin]],Table_NFI[[#This Row],[Tarpaulin]])</f>
        <v>0</v>
      </c>
      <c r="AD503" s="294">
        <f>IF(NFI_Expiration=1,IF($A503&lt;VLOOKUP(M$5,NFI,5,0),1,0)*Table_NFI[[#This Row],[Blanket]],Table_NFI[[#This Row],[Blanket]])</f>
        <v>0</v>
      </c>
      <c r="AE503" s="294">
        <f>IF(NFI_Expiration=1,IF($A503&lt;VLOOKUP(N$5,NFI,5,0),1,0)*Table_NFI[[#This Row],[Kitchen Set]],Table_NFI[Kitchen Set])</f>
        <v>0</v>
      </c>
      <c r="AF503" s="294">
        <f>IF(NFI_Expiration=1,IF($A503&lt;VLOOKUP(O$5,NFI,5,0),1,0)*Table_NFI[[#This Row],[Clothes Kit]],Table_NFI[Clothes Kit])</f>
        <v>0</v>
      </c>
      <c r="AG503" s="294">
        <f>IF(NFI_Expiration=1,IF($A503&lt;VLOOKUP(P$5,NFI,5,0),1,0)*Table_NFI[[#This Row],[Plastic Bucket]],Table_NFI[Plastic Bucket])</f>
        <v>0</v>
      </c>
      <c r="AH503" s="294">
        <f>IF(NFI_Expiration=1,IF($A503&lt;VLOOKUP(Q$5,NFI,5,0),1,0)*Table_NFI[[#This Row],[Plastic Mat]],Table_NFI[Plastic Mat])*IF(Table_NFI[[#This Row],[Distribution Date]]&gt;"2014-04-01",1,2.5)</f>
        <v>0</v>
      </c>
      <c r="AI503" s="294">
        <f>IF(NFI_Expiration=1,IF($A503&lt;VLOOKUP(R$5,NFI,5,0),1,0)*Table_NFI[[#This Row],[Winter Clothes Adult]],Table_NFI[Winter Clothes Adult])</f>
        <v>0</v>
      </c>
      <c r="AJ503" s="294">
        <f>IF(NFI_Expiration=1,IF($A503&lt;VLOOKUP(S$5,NFI,5,0),1,0)*Table_NFI[[#This Row],[Winter Clothes Children]],Table_NFI[Winter Clothes Children])</f>
        <v>0</v>
      </c>
      <c r="AK503" s="294">
        <f>IF(NFI_Expiration=1,IF($A503&lt;VLOOKUP(T$5,NFI,5,0),1,0)*Table_NFI[[#This Row],[Winter Items Other]],Table_NFI[Winter Items Other])</f>
        <v>0</v>
      </c>
      <c r="AL503" s="294">
        <f>IF(NFI_Expiration=1,IF($A503&lt;VLOOKUP(M$5,NFI,5,0),1,0)*Table_NFI[[#This Row],[Winter Blanket]],Table_NFI[[#This Row],[Winter Blanket]])</f>
        <v>0</v>
      </c>
      <c r="AM503" s="294">
        <f>IF(Table_NFI[[#This Row],[Winter Clothes Adult]]+Table_NFI[[#This Row],[Winter Clothes Children]]+Table_NFI[[#This Row],[Winter Items Other]]+Table_NFI[[#This Row],[Winter Blanket]]&gt;0,1,0)</f>
        <v>1</v>
      </c>
      <c r="AN503" s="331">
        <f>IF(NFI_Expiration=1,IF($A503&lt;VLOOKUP(V$5,NFI,5,0),1,0)*Table_NFI[[#This Row],[Jerry Can]],Table_NFI[Jerry Can])</f>
        <v>0</v>
      </c>
      <c r="AO503" s="331">
        <f>IF(NFI_Expiration=1,IF($A503&lt;VLOOKUP(V$5,NFI,5,0),1,0)*Table_NFI[[#This Row],[Shelter Tool kit]],Table_NFI[Shelter Tool kit])</f>
        <v>0</v>
      </c>
      <c r="AP503" s="331">
        <f>IF(NFI_Expiration=1,IF($A503&lt;VLOOKUP(V$5,NFI,5,0),1,0)*Table_NFI[[#This Row],[Tent]],Table_NFI[Tent])</f>
        <v>0</v>
      </c>
      <c r="AQ503" s="467" t="str">
        <f>IFERROR(VLOOKUP(Table_NFI[[#This Row],[Camp Name]],CL,2,0),"")</f>
        <v>MMR001CMP160</v>
      </c>
      <c r="AR503" s="835">
        <f ca="1">IF(Table_NFI[[#This Row],[Pcode]]="","",IF(OFFSET(CampList[Opening Date],MATCH(Table_NFI[[#This Row],[Pcode]],CampList[CP_Pcode],0)-1,0,1,1)&gt;=NFI_Monitor_Date,1,0))</f>
        <v>0</v>
      </c>
      <c r="AS503" s="467" t="str">
        <f>IFERROR(VLOOKUP(Table_NFI[[#This Row],[Camp Name]],CL,3,0),"")</f>
        <v>Open</v>
      </c>
      <c r="AT503" s="294" t="str">
        <f ca="1">IF(Table_NFI[[#This Row],[Pcode]]="","",OFFSET(CampList[Priority],MATCH(Table_NFI[[#This Row],[Pcode]],CampList[CP_Pcode],0)-1,0,1,1))</f>
        <v>P1</v>
      </c>
      <c r="AU503" s="293">
        <f>IFERROR(Table_NFI[[#This Row],[Kitchen Set]]/VLOOKUP(Table_NFI[[#This Row],[Camp Name]],CL,4,0),"")</f>
        <v>0</v>
      </c>
      <c r="AV503" s="461"/>
      <c r="AW503" s="463"/>
    </row>
    <row r="504" spans="1:49" s="464" customFormat="1" x14ac:dyDescent="0.25">
      <c r="A504" s="297">
        <f t="shared" si="7"/>
        <v>37.56666666666667</v>
      </c>
      <c r="B504" s="460">
        <v>41609</v>
      </c>
      <c r="C504" s="461" t="s">
        <v>452</v>
      </c>
      <c r="D504" s="462" t="s">
        <v>452</v>
      </c>
      <c r="E504" s="461" t="s">
        <v>380</v>
      </c>
      <c r="F504" s="290" t="s">
        <v>5</v>
      </c>
      <c r="G504" s="290" t="s">
        <v>22</v>
      </c>
      <c r="H504" s="291"/>
      <c r="I504" s="291"/>
      <c r="J504" s="291"/>
      <c r="K504" s="291"/>
      <c r="L504" s="292"/>
      <c r="M504" s="292">
        <v>30</v>
      </c>
      <c r="N504" s="292"/>
      <c r="O504" s="292"/>
      <c r="P504" s="294"/>
      <c r="Q504" s="294"/>
      <c r="R504" s="294"/>
      <c r="S504" s="294"/>
      <c r="T504" s="294"/>
      <c r="U504" s="294"/>
      <c r="V504" s="431"/>
      <c r="W504" s="294"/>
      <c r="X504" s="294"/>
      <c r="Y504" s="294">
        <f>IF(NFI_Expiration=1,IF($A504&lt;VLOOKUP(H$5,NFI,5,0),1,0)*Table_NFI[[#This Row],[Hygiene Kit]],Table_NFI[Hygiene Kit])</f>
        <v>0</v>
      </c>
      <c r="Z504" s="294">
        <f>IF(NFI_Expiration=1,IF($A504&lt;VLOOKUP(I$5,NFI,5,0),1,0)*Table_NFI[[#This Row],[NFI Core Kit]],Table_NFI[NFI Core Kit])</f>
        <v>0</v>
      </c>
      <c r="AA504" s="294">
        <f>IF(NFI_Expiration=1,IF($A504&lt;VLOOKUP(J$5,NFI,5,0),1,0)*Table_NFI[[#This Row],[Sanitary Kit]],Table_NFI[Sanitary Kit])</f>
        <v>0</v>
      </c>
      <c r="AB504" s="294">
        <f>IF(NFI_Expiration=1,IF($A504&lt;VLOOKUP(K$5,NFI,5,0),1,0)*Table_NFI[[#This Row],[Mosquito net]],Table_NFI[Mosquito net])</f>
        <v>0</v>
      </c>
      <c r="AC504" s="294">
        <f>IF(NFI_Expiration=1,IF($A504&lt;VLOOKUP(L$5,NFI,5,0),1,0)*Table_NFI[[#This Row],[Tarpaulin]],Table_NFI[[#This Row],[Tarpaulin]])</f>
        <v>0</v>
      </c>
      <c r="AD504" s="294">
        <f>IF(NFI_Expiration=1,IF($A504&lt;VLOOKUP(M$5,NFI,5,0),1,0)*Table_NFI[[#This Row],[Blanket]],Table_NFI[[#This Row],[Blanket]])</f>
        <v>0</v>
      </c>
      <c r="AE504" s="294">
        <f>IF(NFI_Expiration=1,IF($A504&lt;VLOOKUP(N$5,NFI,5,0),1,0)*Table_NFI[[#This Row],[Kitchen Set]],Table_NFI[Kitchen Set])</f>
        <v>0</v>
      </c>
      <c r="AF504" s="294">
        <f>IF(NFI_Expiration=1,IF($A504&lt;VLOOKUP(O$5,NFI,5,0),1,0)*Table_NFI[[#This Row],[Clothes Kit]],Table_NFI[Clothes Kit])</f>
        <v>0</v>
      </c>
      <c r="AG504" s="294">
        <f>IF(NFI_Expiration=1,IF($A504&lt;VLOOKUP(P$5,NFI,5,0),1,0)*Table_NFI[[#This Row],[Plastic Bucket]],Table_NFI[Plastic Bucket])</f>
        <v>0</v>
      </c>
      <c r="AH504" s="294">
        <f>IF(NFI_Expiration=1,IF($A504&lt;VLOOKUP(Q$5,NFI,5,0),1,0)*Table_NFI[[#This Row],[Plastic Mat]],Table_NFI[Plastic Mat])*IF(Table_NFI[[#This Row],[Distribution Date]]&gt;"2014-04-01",1,2.5)</f>
        <v>0</v>
      </c>
      <c r="AI504" s="294">
        <f>IF(NFI_Expiration=1,IF($A504&lt;VLOOKUP(R$5,NFI,5,0),1,0)*Table_NFI[[#This Row],[Winter Clothes Adult]],Table_NFI[Winter Clothes Adult])</f>
        <v>0</v>
      </c>
      <c r="AJ504" s="294">
        <f>IF(NFI_Expiration=1,IF($A504&lt;VLOOKUP(S$5,NFI,5,0),1,0)*Table_NFI[[#This Row],[Winter Clothes Children]],Table_NFI[Winter Clothes Children])</f>
        <v>0</v>
      </c>
      <c r="AK504" s="294">
        <f>IF(NFI_Expiration=1,IF($A504&lt;VLOOKUP(T$5,NFI,5,0),1,0)*Table_NFI[[#This Row],[Winter Items Other]],Table_NFI[Winter Items Other])</f>
        <v>0</v>
      </c>
      <c r="AL504" s="294">
        <f>IF(NFI_Expiration=1,IF($A504&lt;VLOOKUP(M$5,NFI,5,0),1,0)*Table_NFI[[#This Row],[Winter Blanket]],Table_NFI[[#This Row],[Winter Blanket]])</f>
        <v>0</v>
      </c>
      <c r="AM504" s="294">
        <f>IF(Table_NFI[[#This Row],[Winter Clothes Adult]]+Table_NFI[[#This Row],[Winter Clothes Children]]+Table_NFI[[#This Row],[Winter Items Other]]+Table_NFI[[#This Row],[Winter Blanket]]&gt;0,1,0)</f>
        <v>0</v>
      </c>
      <c r="AN504" s="331">
        <f>IF(NFI_Expiration=1,IF($A504&lt;VLOOKUP(V$5,NFI,5,0),1,0)*Table_NFI[[#This Row],[Jerry Can]],Table_NFI[Jerry Can])</f>
        <v>0</v>
      </c>
      <c r="AO504" s="331">
        <f>IF(NFI_Expiration=1,IF($A504&lt;VLOOKUP(V$5,NFI,5,0),1,0)*Table_NFI[[#This Row],[Shelter Tool kit]],Table_NFI[Shelter Tool kit])</f>
        <v>0</v>
      </c>
      <c r="AP504" s="331">
        <f>IF(NFI_Expiration=1,IF($A504&lt;VLOOKUP(V$5,NFI,5,0),1,0)*Table_NFI[[#This Row],[Tent]],Table_NFI[Tent])</f>
        <v>0</v>
      </c>
      <c r="AQ504" s="467" t="str">
        <f>IFERROR(VLOOKUP(Table_NFI[[#This Row],[Camp Name]],CL,2,0),"")</f>
        <v>MMR001CMP047</v>
      </c>
      <c r="AR504" s="835">
        <f ca="1">IF(Table_NFI[[#This Row],[Pcode]]="","",IF(OFFSET(CampList[Opening Date],MATCH(Table_NFI[[#This Row],[Pcode]],CampList[CP_Pcode],0)-1,0,1,1)&gt;=NFI_Monitor_Date,1,0))</f>
        <v>0</v>
      </c>
      <c r="AS504" s="467" t="str">
        <f>IFERROR(VLOOKUP(Table_NFI[[#This Row],[Camp Name]],CL,3,0),"")</f>
        <v>Open</v>
      </c>
      <c r="AT504" s="294" t="str">
        <f ca="1">IF(Table_NFI[[#This Row],[Pcode]]="","",OFFSET(CampList[Priority],MATCH(Table_NFI[[#This Row],[Pcode]],CampList[CP_Pcode],0)-1,0,1,1))</f>
        <v>P4</v>
      </c>
      <c r="AU504" s="293">
        <f>IFERROR(Table_NFI[[#This Row],[Kitchen Set]]/VLOOKUP(Table_NFI[[#This Row],[Camp Name]],CL,4,0),"")</f>
        <v>0</v>
      </c>
      <c r="AV504" s="461" t="s">
        <v>1092</v>
      </c>
      <c r="AW504" s="463"/>
    </row>
    <row r="505" spans="1:49" s="464" customFormat="1" ht="14.45" customHeight="1" x14ac:dyDescent="0.25">
      <c r="A505" s="297">
        <f t="shared" si="7"/>
        <v>37.6</v>
      </c>
      <c r="B505" s="460">
        <v>41608</v>
      </c>
      <c r="C505" s="461" t="s">
        <v>1097</v>
      </c>
      <c r="D505" s="462" t="s">
        <v>944</v>
      </c>
      <c r="E505" s="461" t="s">
        <v>380</v>
      </c>
      <c r="F505" s="461" t="s">
        <v>5</v>
      </c>
      <c r="G505" s="290" t="s">
        <v>6</v>
      </c>
      <c r="H505" s="291"/>
      <c r="I505" s="291"/>
      <c r="J505" s="291"/>
      <c r="K505" s="291"/>
      <c r="L505" s="292"/>
      <c r="M505" s="292">
        <v>104</v>
      </c>
      <c r="N505" s="292"/>
      <c r="O505" s="292"/>
      <c r="P505" s="294"/>
      <c r="Q505" s="294"/>
      <c r="R505" s="294">
        <v>146</v>
      </c>
      <c r="S505" s="294">
        <v>39</v>
      </c>
      <c r="T505" s="294">
        <v>0</v>
      </c>
      <c r="U505" s="294"/>
      <c r="V505" s="431"/>
      <c r="W505" s="294"/>
      <c r="X505" s="294"/>
      <c r="Y505" s="294">
        <f>IF(NFI_Expiration=1,IF($A505&lt;VLOOKUP(H$5,NFI,5,0),1,0)*Table_NFI[[#This Row],[Hygiene Kit]],Table_NFI[Hygiene Kit])</f>
        <v>0</v>
      </c>
      <c r="Z505" s="294">
        <f>IF(NFI_Expiration=1,IF($A505&lt;VLOOKUP(I$5,NFI,5,0),1,0)*Table_NFI[[#This Row],[NFI Core Kit]],Table_NFI[NFI Core Kit])</f>
        <v>0</v>
      </c>
      <c r="AA505" s="294">
        <f>IF(NFI_Expiration=1,IF($A505&lt;VLOOKUP(J$5,NFI,5,0),1,0)*Table_NFI[[#This Row],[Sanitary Kit]],Table_NFI[Sanitary Kit])</f>
        <v>0</v>
      </c>
      <c r="AB505" s="294">
        <f>IF(NFI_Expiration=1,IF($A505&lt;VLOOKUP(K$5,NFI,5,0),1,0)*Table_NFI[[#This Row],[Mosquito net]],Table_NFI[Mosquito net])</f>
        <v>0</v>
      </c>
      <c r="AC505" s="294">
        <f>IF(NFI_Expiration=1,IF($A505&lt;VLOOKUP(L$5,NFI,5,0),1,0)*Table_NFI[[#This Row],[Tarpaulin]],Table_NFI[[#This Row],[Tarpaulin]])</f>
        <v>0</v>
      </c>
      <c r="AD505" s="294">
        <f>IF(NFI_Expiration=1,IF($A505&lt;VLOOKUP(M$5,NFI,5,0),1,0)*Table_NFI[[#This Row],[Blanket]],Table_NFI[[#This Row],[Blanket]])</f>
        <v>0</v>
      </c>
      <c r="AE505" s="294">
        <f>IF(NFI_Expiration=1,IF($A505&lt;VLOOKUP(N$5,NFI,5,0),1,0)*Table_NFI[[#This Row],[Kitchen Set]],Table_NFI[Kitchen Set])</f>
        <v>0</v>
      </c>
      <c r="AF505" s="294">
        <f>IF(NFI_Expiration=1,IF($A505&lt;VLOOKUP(O$5,NFI,5,0),1,0)*Table_NFI[[#This Row],[Clothes Kit]],Table_NFI[Clothes Kit])</f>
        <v>0</v>
      </c>
      <c r="AG505" s="294">
        <f>IF(NFI_Expiration=1,IF($A505&lt;VLOOKUP(P$5,NFI,5,0),1,0)*Table_NFI[[#This Row],[Plastic Bucket]],Table_NFI[Plastic Bucket])</f>
        <v>0</v>
      </c>
      <c r="AH505" s="294">
        <f>IF(NFI_Expiration=1,IF($A505&lt;VLOOKUP(Q$5,NFI,5,0),1,0)*Table_NFI[[#This Row],[Plastic Mat]],Table_NFI[Plastic Mat])*IF(Table_NFI[[#This Row],[Distribution Date]]&gt;"2014-04-01",1,2.5)</f>
        <v>0</v>
      </c>
      <c r="AI505" s="294">
        <f>IF(NFI_Expiration=1,IF($A505&lt;VLOOKUP(R$5,NFI,5,0),1,0)*Table_NFI[[#This Row],[Winter Clothes Adult]],Table_NFI[Winter Clothes Adult])</f>
        <v>0</v>
      </c>
      <c r="AJ505" s="294">
        <f>IF(NFI_Expiration=1,IF($A505&lt;VLOOKUP(S$5,NFI,5,0),1,0)*Table_NFI[[#This Row],[Winter Clothes Children]],Table_NFI[Winter Clothes Children])</f>
        <v>0</v>
      </c>
      <c r="AK505" s="294">
        <f>IF(NFI_Expiration=1,IF($A505&lt;VLOOKUP(T$5,NFI,5,0),1,0)*Table_NFI[[#This Row],[Winter Items Other]],Table_NFI[Winter Items Other])</f>
        <v>0</v>
      </c>
      <c r="AL505" s="294">
        <f>IF(NFI_Expiration=1,IF($A505&lt;VLOOKUP(M$5,NFI,5,0),1,0)*Table_NFI[[#This Row],[Winter Blanket]],Table_NFI[[#This Row],[Winter Blanket]])</f>
        <v>0</v>
      </c>
      <c r="AM505" s="294">
        <f>IF(Table_NFI[[#This Row],[Winter Clothes Adult]]+Table_NFI[[#This Row],[Winter Clothes Children]]+Table_NFI[[#This Row],[Winter Items Other]]+Table_NFI[[#This Row],[Winter Blanket]]&gt;0,1,0)</f>
        <v>1</v>
      </c>
      <c r="AN505" s="331">
        <f>IF(NFI_Expiration=1,IF($A505&lt;VLOOKUP(V$5,NFI,5,0),1,0)*Table_NFI[[#This Row],[Jerry Can]],Table_NFI[Jerry Can])</f>
        <v>0</v>
      </c>
      <c r="AO505" s="331">
        <f>IF(NFI_Expiration=1,IF($A505&lt;VLOOKUP(V$5,NFI,5,0),1,0)*Table_NFI[[#This Row],[Shelter Tool kit]],Table_NFI[Shelter Tool kit])</f>
        <v>0</v>
      </c>
      <c r="AP505" s="331">
        <f>IF(NFI_Expiration=1,IF($A505&lt;VLOOKUP(V$5,NFI,5,0),1,0)*Table_NFI[[#This Row],[Tent]],Table_NFI[Tent])</f>
        <v>0</v>
      </c>
      <c r="AQ505" s="467" t="str">
        <f>IFERROR(VLOOKUP(Table_NFI[[#This Row],[Camp Name]],CL,2,0),"")</f>
        <v>MMR001CMP050</v>
      </c>
      <c r="AR505" s="835">
        <f ca="1">IF(Table_NFI[[#This Row],[Pcode]]="","",IF(OFFSET(CampList[Opening Date],MATCH(Table_NFI[[#This Row],[Pcode]],CampList[CP_Pcode],0)-1,0,1,1)&gt;=NFI_Monitor_Date,1,0))</f>
        <v>0</v>
      </c>
      <c r="AS505" s="467" t="str">
        <f>IFERROR(VLOOKUP(Table_NFI[[#This Row],[Camp Name]],CL,3,0),"")</f>
        <v>Open</v>
      </c>
      <c r="AT505" s="294" t="str">
        <f ca="1">IF(Table_NFI[[#This Row],[Pcode]]="","",OFFSET(CampList[Priority],MATCH(Table_NFI[[#This Row],[Pcode]],CampList[CP_Pcode],0)-1,0,1,1))</f>
        <v>P4</v>
      </c>
      <c r="AU505" s="293">
        <f>IFERROR(Table_NFI[[#This Row],[Kitchen Set]]/VLOOKUP(Table_NFI[[#This Row],[Camp Name]],CL,4,0),"")</f>
        <v>0</v>
      </c>
      <c r="AV505" s="461" t="s">
        <v>1092</v>
      </c>
      <c r="AW505" s="463"/>
    </row>
    <row r="506" spans="1:49" s="464" customFormat="1" x14ac:dyDescent="0.25">
      <c r="A506" s="297">
        <f t="shared" si="7"/>
        <v>37.6</v>
      </c>
      <c r="B506" s="460">
        <v>41608</v>
      </c>
      <c r="C506" s="461" t="s">
        <v>905</v>
      </c>
      <c r="D506" s="461"/>
      <c r="E506" s="461" t="s">
        <v>380</v>
      </c>
      <c r="F506" s="290" t="s">
        <v>5</v>
      </c>
      <c r="G506" s="290" t="s">
        <v>6</v>
      </c>
      <c r="H506" s="291"/>
      <c r="I506" s="291"/>
      <c r="J506" s="291"/>
      <c r="K506" s="291"/>
      <c r="L506" s="292"/>
      <c r="M506" s="292"/>
      <c r="N506" s="292"/>
      <c r="O506" s="292"/>
      <c r="P506" s="294"/>
      <c r="Q506" s="294">
        <v>660</v>
      </c>
      <c r="R506" s="294"/>
      <c r="S506" s="294"/>
      <c r="T506" s="294"/>
      <c r="U506" s="294"/>
      <c r="V506" s="431"/>
      <c r="W506" s="294"/>
      <c r="X506" s="294"/>
      <c r="Y506" s="294">
        <f>IF(NFI_Expiration=1,IF($A506&lt;VLOOKUP(H$5,NFI,5,0),1,0)*Table_NFI[[#This Row],[Hygiene Kit]],Table_NFI[Hygiene Kit])</f>
        <v>0</v>
      </c>
      <c r="Z506" s="294">
        <f>IF(NFI_Expiration=1,IF($A506&lt;VLOOKUP(I$5,NFI,5,0),1,0)*Table_NFI[[#This Row],[NFI Core Kit]],Table_NFI[NFI Core Kit])</f>
        <v>0</v>
      </c>
      <c r="AA506" s="294">
        <f>IF(NFI_Expiration=1,IF($A506&lt;VLOOKUP(J$5,NFI,5,0),1,0)*Table_NFI[[#This Row],[Sanitary Kit]],Table_NFI[Sanitary Kit])</f>
        <v>0</v>
      </c>
      <c r="AB506" s="294">
        <f>IF(NFI_Expiration=1,IF($A506&lt;VLOOKUP(K$5,NFI,5,0),1,0)*Table_NFI[[#This Row],[Mosquito net]],Table_NFI[Mosquito net])</f>
        <v>0</v>
      </c>
      <c r="AC506" s="294">
        <f>IF(NFI_Expiration=1,IF($A506&lt;VLOOKUP(L$5,NFI,5,0),1,0)*Table_NFI[[#This Row],[Tarpaulin]],Table_NFI[[#This Row],[Tarpaulin]])</f>
        <v>0</v>
      </c>
      <c r="AD506" s="294">
        <f>IF(NFI_Expiration=1,IF($A506&lt;VLOOKUP(M$5,NFI,5,0),1,0)*Table_NFI[[#This Row],[Blanket]],Table_NFI[[#This Row],[Blanket]])</f>
        <v>0</v>
      </c>
      <c r="AE506" s="294">
        <f>IF(NFI_Expiration=1,IF($A506&lt;VLOOKUP(N$5,NFI,5,0),1,0)*Table_NFI[[#This Row],[Kitchen Set]],Table_NFI[Kitchen Set])</f>
        <v>0</v>
      </c>
      <c r="AF506" s="294">
        <f>IF(NFI_Expiration=1,IF($A506&lt;VLOOKUP(O$5,NFI,5,0),1,0)*Table_NFI[[#This Row],[Clothes Kit]],Table_NFI[Clothes Kit])</f>
        <v>0</v>
      </c>
      <c r="AG506" s="294">
        <f>IF(NFI_Expiration=1,IF($A506&lt;VLOOKUP(P$5,NFI,5,0),1,0)*Table_NFI[[#This Row],[Plastic Bucket]],Table_NFI[Plastic Bucket])</f>
        <v>0</v>
      </c>
      <c r="AH506" s="294">
        <f>IF(NFI_Expiration=1,IF($A506&lt;VLOOKUP(Q$5,NFI,5,0),1,0)*Table_NFI[[#This Row],[Plastic Mat]],Table_NFI[Plastic Mat])*IF(Table_NFI[[#This Row],[Distribution Date]]&gt;"2014-04-01",1,2.5)</f>
        <v>0</v>
      </c>
      <c r="AI506" s="294">
        <f>IF(NFI_Expiration=1,IF($A506&lt;VLOOKUP(R$5,NFI,5,0),1,0)*Table_NFI[[#This Row],[Winter Clothes Adult]],Table_NFI[Winter Clothes Adult])</f>
        <v>0</v>
      </c>
      <c r="AJ506" s="294">
        <f>IF(NFI_Expiration=1,IF($A506&lt;VLOOKUP(S$5,NFI,5,0),1,0)*Table_NFI[[#This Row],[Winter Clothes Children]],Table_NFI[Winter Clothes Children])</f>
        <v>0</v>
      </c>
      <c r="AK506" s="294">
        <f>IF(NFI_Expiration=1,IF($A506&lt;VLOOKUP(T$5,NFI,5,0),1,0)*Table_NFI[[#This Row],[Winter Items Other]],Table_NFI[Winter Items Other])</f>
        <v>0</v>
      </c>
      <c r="AL506" s="294">
        <f>IF(NFI_Expiration=1,IF($A506&lt;VLOOKUP(M$5,NFI,5,0),1,0)*Table_NFI[[#This Row],[Winter Blanket]],Table_NFI[[#This Row],[Winter Blanket]])</f>
        <v>0</v>
      </c>
      <c r="AM506" s="294">
        <f>IF(Table_NFI[[#This Row],[Winter Clothes Adult]]+Table_NFI[[#This Row],[Winter Clothes Children]]+Table_NFI[[#This Row],[Winter Items Other]]+Table_NFI[[#This Row],[Winter Blanket]]&gt;0,1,0)</f>
        <v>0</v>
      </c>
      <c r="AN506" s="331">
        <f>IF(NFI_Expiration=1,IF($A506&lt;VLOOKUP(V$5,NFI,5,0),1,0)*Table_NFI[[#This Row],[Jerry Can]],Table_NFI[Jerry Can])</f>
        <v>0</v>
      </c>
      <c r="AO506" s="331">
        <f>IF(NFI_Expiration=1,IF($A506&lt;VLOOKUP(V$5,NFI,5,0),1,0)*Table_NFI[[#This Row],[Shelter Tool kit]],Table_NFI[Shelter Tool kit])</f>
        <v>0</v>
      </c>
      <c r="AP506" s="331">
        <f>IF(NFI_Expiration=1,IF($A506&lt;VLOOKUP(V$5,NFI,5,0),1,0)*Table_NFI[[#This Row],[Tent]],Table_NFI[Tent])</f>
        <v>0</v>
      </c>
      <c r="AQ506" s="467" t="str">
        <f>IFERROR(VLOOKUP(Table_NFI[[#This Row],[Camp Name]],CL,2,0),"")</f>
        <v>MMR001CMP050</v>
      </c>
      <c r="AR506" s="835">
        <f ca="1">IF(Table_NFI[[#This Row],[Pcode]]="","",IF(OFFSET(CampList[Opening Date],MATCH(Table_NFI[[#This Row],[Pcode]],CampList[CP_Pcode],0)-1,0,1,1)&gt;=NFI_Monitor_Date,1,0))</f>
        <v>0</v>
      </c>
      <c r="AS506" s="467" t="str">
        <f>IFERROR(VLOOKUP(Table_NFI[[#This Row],[Camp Name]],CL,3,0),"")</f>
        <v>Open</v>
      </c>
      <c r="AT506" s="294" t="str">
        <f ca="1">IF(Table_NFI[[#This Row],[Pcode]]="","",OFFSET(CampList[Priority],MATCH(Table_NFI[[#This Row],[Pcode]],CampList[CP_Pcode],0)-1,0,1,1))</f>
        <v>P4</v>
      </c>
      <c r="AU506" s="293">
        <f>IFERROR(Table_NFI[[#This Row],[Kitchen Set]]/VLOOKUP(Table_NFI[[#This Row],[Camp Name]],CL,4,0),"")</f>
        <v>0</v>
      </c>
      <c r="AV506" s="461" t="s">
        <v>1092</v>
      </c>
      <c r="AW506" s="463"/>
    </row>
    <row r="507" spans="1:49" s="464" customFormat="1" x14ac:dyDescent="0.25">
      <c r="A507" s="297">
        <f t="shared" si="7"/>
        <v>37.6</v>
      </c>
      <c r="B507" s="460">
        <v>41608</v>
      </c>
      <c r="C507" s="462" t="s">
        <v>452</v>
      </c>
      <c r="D507" s="462" t="s">
        <v>452</v>
      </c>
      <c r="E507" s="461" t="s">
        <v>380</v>
      </c>
      <c r="F507" s="290" t="s">
        <v>5</v>
      </c>
      <c r="G507" s="290" t="s">
        <v>6</v>
      </c>
      <c r="H507" s="291"/>
      <c r="I507" s="291"/>
      <c r="J507" s="291"/>
      <c r="K507" s="291">
        <v>6</v>
      </c>
      <c r="L507" s="292">
        <v>6</v>
      </c>
      <c r="M507" s="292">
        <v>6</v>
      </c>
      <c r="N507" s="292">
        <v>6</v>
      </c>
      <c r="O507" s="292">
        <v>6</v>
      </c>
      <c r="P507" s="294"/>
      <c r="Q507" s="294"/>
      <c r="R507" s="294"/>
      <c r="S507" s="294"/>
      <c r="T507" s="294"/>
      <c r="U507" s="294"/>
      <c r="V507" s="431"/>
      <c r="W507" s="294"/>
      <c r="X507" s="294"/>
      <c r="Y507" s="294">
        <f>IF(NFI_Expiration=1,IF($A507&lt;VLOOKUP(H$5,NFI,5,0),1,0)*Table_NFI[[#This Row],[Hygiene Kit]],Table_NFI[Hygiene Kit])</f>
        <v>0</v>
      </c>
      <c r="Z507" s="294">
        <f>IF(NFI_Expiration=1,IF($A507&lt;VLOOKUP(I$5,NFI,5,0),1,0)*Table_NFI[[#This Row],[NFI Core Kit]],Table_NFI[NFI Core Kit])</f>
        <v>0</v>
      </c>
      <c r="AA507" s="294">
        <f>IF(NFI_Expiration=1,IF($A507&lt;VLOOKUP(J$5,NFI,5,0),1,0)*Table_NFI[[#This Row],[Sanitary Kit]],Table_NFI[Sanitary Kit])</f>
        <v>0</v>
      </c>
      <c r="AB507" s="294">
        <f>IF(NFI_Expiration=1,IF($A507&lt;VLOOKUP(K$5,NFI,5,0),1,0)*Table_NFI[[#This Row],[Mosquito net]],Table_NFI[Mosquito net])</f>
        <v>0</v>
      </c>
      <c r="AC507" s="294">
        <f>IF(NFI_Expiration=1,IF($A507&lt;VLOOKUP(L$5,NFI,5,0),1,0)*Table_NFI[[#This Row],[Tarpaulin]],Table_NFI[[#This Row],[Tarpaulin]])</f>
        <v>0</v>
      </c>
      <c r="AD507" s="294">
        <f>IF(NFI_Expiration=1,IF($A507&lt;VLOOKUP(M$5,NFI,5,0),1,0)*Table_NFI[[#This Row],[Blanket]],Table_NFI[[#This Row],[Blanket]])</f>
        <v>0</v>
      </c>
      <c r="AE507" s="294">
        <f>IF(NFI_Expiration=1,IF($A507&lt;VLOOKUP(N$5,NFI,5,0),1,0)*Table_NFI[[#This Row],[Kitchen Set]],Table_NFI[Kitchen Set])</f>
        <v>0</v>
      </c>
      <c r="AF507" s="294">
        <f>IF(NFI_Expiration=1,IF($A507&lt;VLOOKUP(O$5,NFI,5,0),1,0)*Table_NFI[[#This Row],[Clothes Kit]],Table_NFI[Clothes Kit])</f>
        <v>0</v>
      </c>
      <c r="AG507" s="294">
        <f>IF(NFI_Expiration=1,IF($A507&lt;VLOOKUP(P$5,NFI,5,0),1,0)*Table_NFI[[#This Row],[Plastic Bucket]],Table_NFI[Plastic Bucket])</f>
        <v>0</v>
      </c>
      <c r="AH507" s="294">
        <f>IF(NFI_Expiration=1,IF($A507&lt;VLOOKUP(Q$5,NFI,5,0),1,0)*Table_NFI[[#This Row],[Plastic Mat]],Table_NFI[Plastic Mat])*IF(Table_NFI[[#This Row],[Distribution Date]]&gt;"2014-04-01",1,2.5)</f>
        <v>0</v>
      </c>
      <c r="AI507" s="294">
        <f>IF(NFI_Expiration=1,IF($A507&lt;VLOOKUP(R$5,NFI,5,0),1,0)*Table_NFI[[#This Row],[Winter Clothes Adult]],Table_NFI[Winter Clothes Adult])</f>
        <v>0</v>
      </c>
      <c r="AJ507" s="294">
        <f>IF(NFI_Expiration=1,IF($A507&lt;VLOOKUP(S$5,NFI,5,0),1,0)*Table_NFI[[#This Row],[Winter Clothes Children]],Table_NFI[Winter Clothes Children])</f>
        <v>0</v>
      </c>
      <c r="AK507" s="294">
        <f>IF(NFI_Expiration=1,IF($A507&lt;VLOOKUP(T$5,NFI,5,0),1,0)*Table_NFI[[#This Row],[Winter Items Other]],Table_NFI[Winter Items Other])</f>
        <v>0</v>
      </c>
      <c r="AL507" s="294">
        <f>IF(NFI_Expiration=1,IF($A507&lt;VLOOKUP(M$5,NFI,5,0),1,0)*Table_NFI[[#This Row],[Winter Blanket]],Table_NFI[[#This Row],[Winter Blanket]])</f>
        <v>0</v>
      </c>
      <c r="AM507" s="294">
        <f>IF(Table_NFI[[#This Row],[Winter Clothes Adult]]+Table_NFI[[#This Row],[Winter Clothes Children]]+Table_NFI[[#This Row],[Winter Items Other]]+Table_NFI[[#This Row],[Winter Blanket]]&gt;0,1,0)</f>
        <v>0</v>
      </c>
      <c r="AN507" s="331">
        <f>IF(NFI_Expiration=1,IF($A507&lt;VLOOKUP(V$5,NFI,5,0),1,0)*Table_NFI[[#This Row],[Jerry Can]],Table_NFI[Jerry Can])</f>
        <v>0</v>
      </c>
      <c r="AO507" s="331">
        <f>IF(NFI_Expiration=1,IF($A507&lt;VLOOKUP(V$5,NFI,5,0),1,0)*Table_NFI[[#This Row],[Shelter Tool kit]],Table_NFI[Shelter Tool kit])</f>
        <v>0</v>
      </c>
      <c r="AP507" s="331">
        <f>IF(NFI_Expiration=1,IF($A507&lt;VLOOKUP(V$5,NFI,5,0),1,0)*Table_NFI[[#This Row],[Tent]],Table_NFI[Tent])</f>
        <v>0</v>
      </c>
      <c r="AQ507" s="467" t="str">
        <f>IFERROR(VLOOKUP(Table_NFI[[#This Row],[Camp Name]],CL,2,0),"")</f>
        <v>MMR001CMP050</v>
      </c>
      <c r="AR507" s="835">
        <f ca="1">IF(Table_NFI[[#This Row],[Pcode]]="","",IF(OFFSET(CampList[Opening Date],MATCH(Table_NFI[[#This Row],[Pcode]],CampList[CP_Pcode],0)-1,0,1,1)&gt;=NFI_Monitor_Date,1,0))</f>
        <v>0</v>
      </c>
      <c r="AS507" s="467" t="str">
        <f>IFERROR(VLOOKUP(Table_NFI[[#This Row],[Camp Name]],CL,3,0),"")</f>
        <v>Open</v>
      </c>
      <c r="AT507" s="294" t="str">
        <f ca="1">IF(Table_NFI[[#This Row],[Pcode]]="","",OFFSET(CampList[Priority],MATCH(Table_NFI[[#This Row],[Pcode]],CampList[CP_Pcode],0)-1,0,1,1))</f>
        <v>P4</v>
      </c>
      <c r="AU507" s="293">
        <f>IFERROR(Table_NFI[[#This Row],[Kitchen Set]]/VLOOKUP(Table_NFI[[#This Row],[Camp Name]],CL,4,0),"")</f>
        <v>1.4688601645123384E-4</v>
      </c>
      <c r="AV507" s="461" t="s">
        <v>1092</v>
      </c>
      <c r="AW507" s="463"/>
    </row>
    <row r="508" spans="1:49" s="464" customFormat="1" ht="14.45" customHeight="1" x14ac:dyDescent="0.25">
      <c r="A508" s="297">
        <f t="shared" si="7"/>
        <v>37.6</v>
      </c>
      <c r="B508" s="460">
        <v>41608</v>
      </c>
      <c r="C508" s="461" t="s">
        <v>905</v>
      </c>
      <c r="D508" s="461" t="s">
        <v>460</v>
      </c>
      <c r="E508" s="461" t="s">
        <v>380</v>
      </c>
      <c r="F508" s="290" t="s">
        <v>310</v>
      </c>
      <c r="G508" s="290" t="s">
        <v>334</v>
      </c>
      <c r="H508" s="291"/>
      <c r="I508" s="291"/>
      <c r="J508" s="291"/>
      <c r="K508" s="291"/>
      <c r="L508" s="292"/>
      <c r="M508" s="292"/>
      <c r="N508" s="292"/>
      <c r="O508" s="292"/>
      <c r="P508" s="294"/>
      <c r="Q508" s="294"/>
      <c r="R508" s="294"/>
      <c r="S508" s="294"/>
      <c r="T508" s="294"/>
      <c r="U508" s="294"/>
      <c r="V508" s="431"/>
      <c r="W508" s="294"/>
      <c r="X508" s="294"/>
      <c r="Y508" s="294">
        <f>IF(NFI_Expiration=1,IF($A508&lt;VLOOKUP(H$5,NFI,5,0),1,0)*Table_NFI[[#This Row],[Hygiene Kit]],Table_NFI[Hygiene Kit])</f>
        <v>0</v>
      </c>
      <c r="Z508" s="294">
        <f>IF(NFI_Expiration=1,IF($A508&lt;VLOOKUP(I$5,NFI,5,0),1,0)*Table_NFI[[#This Row],[NFI Core Kit]],Table_NFI[NFI Core Kit])</f>
        <v>0</v>
      </c>
      <c r="AA508" s="294">
        <f>IF(NFI_Expiration=1,IF($A508&lt;VLOOKUP(J$5,NFI,5,0),1,0)*Table_NFI[[#This Row],[Sanitary Kit]],Table_NFI[Sanitary Kit])</f>
        <v>0</v>
      </c>
      <c r="AB508" s="294">
        <f>IF(NFI_Expiration=1,IF($A508&lt;VLOOKUP(K$5,NFI,5,0),1,0)*Table_NFI[[#This Row],[Mosquito net]],Table_NFI[Mosquito net])</f>
        <v>0</v>
      </c>
      <c r="AC508" s="294">
        <f>IF(NFI_Expiration=1,IF($A508&lt;VLOOKUP(L$5,NFI,5,0),1,0)*Table_NFI[[#This Row],[Tarpaulin]],Table_NFI[[#This Row],[Tarpaulin]])</f>
        <v>0</v>
      </c>
      <c r="AD508" s="294">
        <f>IF(NFI_Expiration=1,IF($A508&lt;VLOOKUP(M$5,NFI,5,0),1,0)*Table_NFI[[#This Row],[Blanket]],Table_NFI[[#This Row],[Blanket]])</f>
        <v>0</v>
      </c>
      <c r="AE508" s="294">
        <f>IF(NFI_Expiration=1,IF($A508&lt;VLOOKUP(N$5,NFI,5,0),1,0)*Table_NFI[[#This Row],[Kitchen Set]],Table_NFI[Kitchen Set])</f>
        <v>0</v>
      </c>
      <c r="AF508" s="294">
        <f>IF(NFI_Expiration=1,IF($A508&lt;VLOOKUP(O$5,NFI,5,0),1,0)*Table_NFI[[#This Row],[Clothes Kit]],Table_NFI[Clothes Kit])</f>
        <v>0</v>
      </c>
      <c r="AG508" s="294">
        <f>IF(NFI_Expiration=1,IF($A508&lt;VLOOKUP(P$5,NFI,5,0),1,0)*Table_NFI[[#This Row],[Plastic Bucket]],Table_NFI[Plastic Bucket])</f>
        <v>0</v>
      </c>
      <c r="AH508" s="294">
        <f>IF(NFI_Expiration=1,IF($A508&lt;VLOOKUP(Q$5,NFI,5,0),1,0)*Table_NFI[[#This Row],[Plastic Mat]],Table_NFI[Plastic Mat])*IF(Table_NFI[[#This Row],[Distribution Date]]&gt;"2014-04-01",1,2.5)</f>
        <v>0</v>
      </c>
      <c r="AI508" s="294">
        <f>IF(NFI_Expiration=1,IF($A508&lt;VLOOKUP(R$5,NFI,5,0),1,0)*Table_NFI[[#This Row],[Winter Clothes Adult]],Table_NFI[Winter Clothes Adult])</f>
        <v>0</v>
      </c>
      <c r="AJ508" s="294">
        <f>IF(NFI_Expiration=1,IF($A508&lt;VLOOKUP(S$5,NFI,5,0),1,0)*Table_NFI[[#This Row],[Winter Clothes Children]],Table_NFI[Winter Clothes Children])</f>
        <v>0</v>
      </c>
      <c r="AK508" s="294">
        <f>IF(NFI_Expiration=1,IF($A508&lt;VLOOKUP(T$5,NFI,5,0),1,0)*Table_NFI[[#This Row],[Winter Items Other]],Table_NFI[Winter Items Other])</f>
        <v>0</v>
      </c>
      <c r="AL508" s="294">
        <f>IF(NFI_Expiration=1,IF($A508&lt;VLOOKUP(M$5,NFI,5,0),1,0)*Table_NFI[[#This Row],[Winter Blanket]],Table_NFI[[#This Row],[Winter Blanket]])</f>
        <v>0</v>
      </c>
      <c r="AM508" s="294">
        <f>IF(Table_NFI[[#This Row],[Winter Clothes Adult]]+Table_NFI[[#This Row],[Winter Clothes Children]]+Table_NFI[[#This Row],[Winter Items Other]]+Table_NFI[[#This Row],[Winter Blanket]]&gt;0,1,0)</f>
        <v>0</v>
      </c>
      <c r="AN508" s="331">
        <f>IF(NFI_Expiration=1,IF($A508&lt;VLOOKUP(V$5,NFI,5,0),1,0)*Table_NFI[[#This Row],[Jerry Can]],Table_NFI[Jerry Can])</f>
        <v>0</v>
      </c>
      <c r="AO508" s="331">
        <f>IF(NFI_Expiration=1,IF($A508&lt;VLOOKUP(V$5,NFI,5,0),1,0)*Table_NFI[[#This Row],[Shelter Tool kit]],Table_NFI[Shelter Tool kit])</f>
        <v>0</v>
      </c>
      <c r="AP508" s="331">
        <f>IF(NFI_Expiration=1,IF($A508&lt;VLOOKUP(V$5,NFI,5,0),1,0)*Table_NFI[[#This Row],[Tent]],Table_NFI[Tent])</f>
        <v>0</v>
      </c>
      <c r="AQ508" s="467" t="str">
        <f>IFERROR(VLOOKUP(Table_NFI[[#This Row],[Camp Name]],CL,2,0),"")</f>
        <v>MMR001CMP113</v>
      </c>
      <c r="AR508" s="835">
        <f ca="1">IF(Table_NFI[[#This Row],[Pcode]]="","",IF(OFFSET(CampList[Opening Date],MATCH(Table_NFI[[#This Row],[Pcode]],CampList[CP_Pcode],0)-1,0,1,1)&gt;=NFI_Monitor_Date,1,0))</f>
        <v>0</v>
      </c>
      <c r="AS508" s="467" t="str">
        <f>IFERROR(VLOOKUP(Table_NFI[[#This Row],[Camp Name]],CL,3,0),"")</f>
        <v>Open</v>
      </c>
      <c r="AT508" s="294" t="str">
        <f ca="1">IF(Table_NFI[[#This Row],[Pcode]]="","",OFFSET(CampList[Priority],MATCH(Table_NFI[[#This Row],[Pcode]],CampList[CP_Pcode],0)-1,0,1,1))</f>
        <v>P1</v>
      </c>
      <c r="AU508" s="293">
        <f>IFERROR(Table_NFI[[#This Row],[Kitchen Set]]/VLOOKUP(Table_NFI[[#This Row],[Camp Name]],CL,4,0),"")</f>
        <v>0</v>
      </c>
      <c r="AV508" s="461" t="s">
        <v>1092</v>
      </c>
      <c r="AW508" s="463"/>
    </row>
    <row r="509" spans="1:49" s="464" customFormat="1" ht="14.45" customHeight="1" x14ac:dyDescent="0.25">
      <c r="A509" s="297">
        <f t="shared" si="7"/>
        <v>37.6</v>
      </c>
      <c r="B509" s="460">
        <v>41608</v>
      </c>
      <c r="C509" s="461" t="s">
        <v>1097</v>
      </c>
      <c r="D509" s="462" t="s">
        <v>944</v>
      </c>
      <c r="E509" s="461" t="s">
        <v>380</v>
      </c>
      <c r="F509" s="290" t="s">
        <v>151</v>
      </c>
      <c r="G509" s="290" t="s">
        <v>188</v>
      </c>
      <c r="H509" s="291"/>
      <c r="I509" s="291"/>
      <c r="J509" s="291"/>
      <c r="K509" s="291"/>
      <c r="L509" s="292"/>
      <c r="M509" s="292">
        <v>819</v>
      </c>
      <c r="N509" s="292"/>
      <c r="O509" s="292"/>
      <c r="P509" s="294"/>
      <c r="Q509" s="294"/>
      <c r="R509" s="294">
        <v>966</v>
      </c>
      <c r="S509" s="294">
        <v>484</v>
      </c>
      <c r="T509" s="294">
        <v>0</v>
      </c>
      <c r="U509" s="294"/>
      <c r="V509" s="431"/>
      <c r="W509" s="294"/>
      <c r="X509" s="294"/>
      <c r="Y509" s="294">
        <f>IF(NFI_Expiration=1,IF($A509&lt;VLOOKUP(H$5,NFI,5,0),1,0)*Table_NFI[[#This Row],[Hygiene Kit]],Table_NFI[Hygiene Kit])</f>
        <v>0</v>
      </c>
      <c r="Z509" s="294">
        <f>IF(NFI_Expiration=1,IF($A509&lt;VLOOKUP(I$5,NFI,5,0),1,0)*Table_NFI[[#This Row],[NFI Core Kit]],Table_NFI[NFI Core Kit])</f>
        <v>0</v>
      </c>
      <c r="AA509" s="294">
        <f>IF(NFI_Expiration=1,IF($A509&lt;VLOOKUP(J$5,NFI,5,0),1,0)*Table_NFI[[#This Row],[Sanitary Kit]],Table_NFI[Sanitary Kit])</f>
        <v>0</v>
      </c>
      <c r="AB509" s="294">
        <f>IF(NFI_Expiration=1,IF($A509&lt;VLOOKUP(K$5,NFI,5,0),1,0)*Table_NFI[[#This Row],[Mosquito net]],Table_NFI[Mosquito net])</f>
        <v>0</v>
      </c>
      <c r="AC509" s="294">
        <f>IF(NFI_Expiration=1,IF($A509&lt;VLOOKUP(L$5,NFI,5,0),1,0)*Table_NFI[[#This Row],[Tarpaulin]],Table_NFI[[#This Row],[Tarpaulin]])</f>
        <v>0</v>
      </c>
      <c r="AD509" s="294">
        <f>IF(NFI_Expiration=1,IF($A509&lt;VLOOKUP(M$5,NFI,5,0),1,0)*Table_NFI[[#This Row],[Blanket]],Table_NFI[[#This Row],[Blanket]])</f>
        <v>0</v>
      </c>
      <c r="AE509" s="294">
        <f>IF(NFI_Expiration=1,IF($A509&lt;VLOOKUP(N$5,NFI,5,0),1,0)*Table_NFI[[#This Row],[Kitchen Set]],Table_NFI[Kitchen Set])</f>
        <v>0</v>
      </c>
      <c r="AF509" s="294">
        <f>IF(NFI_Expiration=1,IF($A509&lt;VLOOKUP(O$5,NFI,5,0),1,0)*Table_NFI[[#This Row],[Clothes Kit]],Table_NFI[Clothes Kit])</f>
        <v>0</v>
      </c>
      <c r="AG509" s="294">
        <f>IF(NFI_Expiration=1,IF($A509&lt;VLOOKUP(P$5,NFI,5,0),1,0)*Table_NFI[[#This Row],[Plastic Bucket]],Table_NFI[Plastic Bucket])</f>
        <v>0</v>
      </c>
      <c r="AH509" s="294">
        <f>IF(NFI_Expiration=1,IF($A509&lt;VLOOKUP(Q$5,NFI,5,0),1,0)*Table_NFI[[#This Row],[Plastic Mat]],Table_NFI[Plastic Mat])*IF(Table_NFI[[#This Row],[Distribution Date]]&gt;"2014-04-01",1,2.5)</f>
        <v>0</v>
      </c>
      <c r="AI509" s="294">
        <f>IF(NFI_Expiration=1,IF($A509&lt;VLOOKUP(R$5,NFI,5,0),1,0)*Table_NFI[[#This Row],[Winter Clothes Adult]],Table_NFI[Winter Clothes Adult])</f>
        <v>0</v>
      </c>
      <c r="AJ509" s="294">
        <f>IF(NFI_Expiration=1,IF($A509&lt;VLOOKUP(S$5,NFI,5,0),1,0)*Table_NFI[[#This Row],[Winter Clothes Children]],Table_NFI[Winter Clothes Children])</f>
        <v>0</v>
      </c>
      <c r="AK509" s="294">
        <f>IF(NFI_Expiration=1,IF($A509&lt;VLOOKUP(T$5,NFI,5,0),1,0)*Table_NFI[[#This Row],[Winter Items Other]],Table_NFI[Winter Items Other])</f>
        <v>0</v>
      </c>
      <c r="AL509" s="294">
        <f>IF(NFI_Expiration=1,IF($A509&lt;VLOOKUP(M$5,NFI,5,0),1,0)*Table_NFI[[#This Row],[Winter Blanket]],Table_NFI[[#This Row],[Winter Blanket]])</f>
        <v>0</v>
      </c>
      <c r="AM509" s="294">
        <f>IF(Table_NFI[[#This Row],[Winter Clothes Adult]]+Table_NFI[[#This Row],[Winter Clothes Children]]+Table_NFI[[#This Row],[Winter Items Other]]+Table_NFI[[#This Row],[Winter Blanket]]&gt;0,1,0)</f>
        <v>1</v>
      </c>
      <c r="AN509" s="331">
        <f>IF(NFI_Expiration=1,IF($A509&lt;VLOOKUP(V$5,NFI,5,0),1,0)*Table_NFI[[#This Row],[Jerry Can]],Table_NFI[Jerry Can])</f>
        <v>0</v>
      </c>
      <c r="AO509" s="331">
        <f>IF(NFI_Expiration=1,IF($A509&lt;VLOOKUP(V$5,NFI,5,0),1,0)*Table_NFI[[#This Row],[Shelter Tool kit]],Table_NFI[Shelter Tool kit])</f>
        <v>0</v>
      </c>
      <c r="AP509" s="331">
        <f>IF(NFI_Expiration=1,IF($A509&lt;VLOOKUP(V$5,NFI,5,0),1,0)*Table_NFI[[#This Row],[Tent]],Table_NFI[Tent])</f>
        <v>0</v>
      </c>
      <c r="AQ509" s="467" t="str">
        <f>IFERROR(VLOOKUP(Table_NFI[[#This Row],[Camp Name]],CL,2,0),"")</f>
        <v>MMR001CMP129</v>
      </c>
      <c r="AR509" s="835">
        <f ca="1">IF(Table_NFI[[#This Row],[Pcode]]="","",IF(OFFSET(CampList[Opening Date],MATCH(Table_NFI[[#This Row],[Pcode]],CampList[CP_Pcode],0)-1,0,1,1)&gt;=NFI_Monitor_Date,1,0))</f>
        <v>0</v>
      </c>
      <c r="AS509" s="467" t="str">
        <f>IFERROR(VLOOKUP(Table_NFI[[#This Row],[Camp Name]],CL,3,0),"")</f>
        <v>Open</v>
      </c>
      <c r="AT509" s="294" t="str">
        <f ca="1">IF(Table_NFI[[#This Row],[Pcode]]="","",OFFSET(CampList[Priority],MATCH(Table_NFI[[#This Row],[Pcode]],CampList[CP_Pcode],0)-1,0,1,1))</f>
        <v>P2</v>
      </c>
      <c r="AU509" s="293">
        <f>IFERROR(Table_NFI[[#This Row],[Kitchen Set]]/VLOOKUP(Table_NFI[[#This Row],[Camp Name]],CL,4,0),"")</f>
        <v>0</v>
      </c>
      <c r="AV509" s="461" t="s">
        <v>1092</v>
      </c>
      <c r="AW509" s="463"/>
    </row>
    <row r="510" spans="1:49" s="464" customFormat="1" ht="14.45" customHeight="1" x14ac:dyDescent="0.25">
      <c r="A510" s="297">
        <f t="shared" si="7"/>
        <v>37.6</v>
      </c>
      <c r="B510" s="460">
        <v>41608</v>
      </c>
      <c r="C510" s="461" t="s">
        <v>905</v>
      </c>
      <c r="D510" s="461" t="s">
        <v>460</v>
      </c>
      <c r="E510" s="461" t="s">
        <v>380</v>
      </c>
      <c r="F510" s="290" t="s">
        <v>151</v>
      </c>
      <c r="G510" s="290" t="s">
        <v>188</v>
      </c>
      <c r="H510" s="291"/>
      <c r="I510" s="291"/>
      <c r="J510" s="291"/>
      <c r="K510" s="291"/>
      <c r="L510" s="292"/>
      <c r="M510" s="292"/>
      <c r="N510" s="292"/>
      <c r="O510" s="292"/>
      <c r="P510" s="294"/>
      <c r="Q510" s="294">
        <v>321</v>
      </c>
      <c r="R510" s="294"/>
      <c r="S510" s="294"/>
      <c r="T510" s="294"/>
      <c r="U510" s="294"/>
      <c r="V510" s="431"/>
      <c r="W510" s="294"/>
      <c r="X510" s="294"/>
      <c r="Y510" s="294">
        <f>IF(NFI_Expiration=1,IF($A510&lt;VLOOKUP(H$5,NFI,5,0),1,0)*Table_NFI[[#This Row],[Hygiene Kit]],Table_NFI[Hygiene Kit])</f>
        <v>0</v>
      </c>
      <c r="Z510" s="294">
        <f>IF(NFI_Expiration=1,IF($A510&lt;VLOOKUP(I$5,NFI,5,0),1,0)*Table_NFI[[#This Row],[NFI Core Kit]],Table_NFI[NFI Core Kit])</f>
        <v>0</v>
      </c>
      <c r="AA510" s="294">
        <f>IF(NFI_Expiration=1,IF($A510&lt;VLOOKUP(J$5,NFI,5,0),1,0)*Table_NFI[[#This Row],[Sanitary Kit]],Table_NFI[Sanitary Kit])</f>
        <v>0</v>
      </c>
      <c r="AB510" s="294">
        <f>IF(NFI_Expiration=1,IF($A510&lt;VLOOKUP(K$5,NFI,5,0),1,0)*Table_NFI[[#This Row],[Mosquito net]],Table_NFI[Mosquito net])</f>
        <v>0</v>
      </c>
      <c r="AC510" s="294">
        <f>IF(NFI_Expiration=1,IF($A510&lt;VLOOKUP(L$5,NFI,5,0),1,0)*Table_NFI[[#This Row],[Tarpaulin]],Table_NFI[[#This Row],[Tarpaulin]])</f>
        <v>0</v>
      </c>
      <c r="AD510" s="294">
        <f>IF(NFI_Expiration=1,IF($A510&lt;VLOOKUP(M$5,NFI,5,0),1,0)*Table_NFI[[#This Row],[Blanket]],Table_NFI[[#This Row],[Blanket]])</f>
        <v>0</v>
      </c>
      <c r="AE510" s="294">
        <f>IF(NFI_Expiration=1,IF($A510&lt;VLOOKUP(N$5,NFI,5,0),1,0)*Table_NFI[[#This Row],[Kitchen Set]],Table_NFI[Kitchen Set])</f>
        <v>0</v>
      </c>
      <c r="AF510" s="294">
        <f>IF(NFI_Expiration=1,IF($A510&lt;VLOOKUP(O$5,NFI,5,0),1,0)*Table_NFI[[#This Row],[Clothes Kit]],Table_NFI[Clothes Kit])</f>
        <v>0</v>
      </c>
      <c r="AG510" s="294">
        <f>IF(NFI_Expiration=1,IF($A510&lt;VLOOKUP(P$5,NFI,5,0),1,0)*Table_NFI[[#This Row],[Plastic Bucket]],Table_NFI[Plastic Bucket])</f>
        <v>0</v>
      </c>
      <c r="AH510" s="294">
        <f>IF(NFI_Expiration=1,IF($A510&lt;VLOOKUP(Q$5,NFI,5,0),1,0)*Table_NFI[[#This Row],[Plastic Mat]],Table_NFI[Plastic Mat])*IF(Table_NFI[[#This Row],[Distribution Date]]&gt;"2014-04-01",1,2.5)</f>
        <v>0</v>
      </c>
      <c r="AI510" s="294">
        <f>IF(NFI_Expiration=1,IF($A510&lt;VLOOKUP(R$5,NFI,5,0),1,0)*Table_NFI[[#This Row],[Winter Clothes Adult]],Table_NFI[Winter Clothes Adult])</f>
        <v>0</v>
      </c>
      <c r="AJ510" s="294">
        <f>IF(NFI_Expiration=1,IF($A510&lt;VLOOKUP(S$5,NFI,5,0),1,0)*Table_NFI[[#This Row],[Winter Clothes Children]],Table_NFI[Winter Clothes Children])</f>
        <v>0</v>
      </c>
      <c r="AK510" s="294">
        <f>IF(NFI_Expiration=1,IF($A510&lt;VLOOKUP(T$5,NFI,5,0),1,0)*Table_NFI[[#This Row],[Winter Items Other]],Table_NFI[Winter Items Other])</f>
        <v>0</v>
      </c>
      <c r="AL510" s="294">
        <f>IF(NFI_Expiration=1,IF($A510&lt;VLOOKUP(M$5,NFI,5,0),1,0)*Table_NFI[[#This Row],[Winter Blanket]],Table_NFI[[#This Row],[Winter Blanket]])</f>
        <v>0</v>
      </c>
      <c r="AM510" s="294">
        <f>IF(Table_NFI[[#This Row],[Winter Clothes Adult]]+Table_NFI[[#This Row],[Winter Clothes Children]]+Table_NFI[[#This Row],[Winter Items Other]]+Table_NFI[[#This Row],[Winter Blanket]]&gt;0,1,0)</f>
        <v>0</v>
      </c>
      <c r="AN510" s="331">
        <f>IF(NFI_Expiration=1,IF($A510&lt;VLOOKUP(V$5,NFI,5,0),1,0)*Table_NFI[[#This Row],[Jerry Can]],Table_NFI[Jerry Can])</f>
        <v>0</v>
      </c>
      <c r="AO510" s="331">
        <f>IF(NFI_Expiration=1,IF($A510&lt;VLOOKUP(V$5,NFI,5,0),1,0)*Table_NFI[[#This Row],[Shelter Tool kit]],Table_NFI[Shelter Tool kit])</f>
        <v>0</v>
      </c>
      <c r="AP510" s="331">
        <f>IF(NFI_Expiration=1,IF($A510&lt;VLOOKUP(V$5,NFI,5,0),1,0)*Table_NFI[[#This Row],[Tent]],Table_NFI[Tent])</f>
        <v>0</v>
      </c>
      <c r="AQ510" s="467" t="str">
        <f>IFERROR(VLOOKUP(Table_NFI[[#This Row],[Camp Name]],CL,2,0),"")</f>
        <v>MMR001CMP129</v>
      </c>
      <c r="AR510" s="835">
        <f ca="1">IF(Table_NFI[[#This Row],[Pcode]]="","",IF(OFFSET(CampList[Opening Date],MATCH(Table_NFI[[#This Row],[Pcode]],CampList[CP_Pcode],0)-1,0,1,1)&gt;=NFI_Monitor_Date,1,0))</f>
        <v>0</v>
      </c>
      <c r="AS510" s="467" t="str">
        <f>IFERROR(VLOOKUP(Table_NFI[[#This Row],[Camp Name]],CL,3,0),"")</f>
        <v>Open</v>
      </c>
      <c r="AT510" s="294" t="str">
        <f ca="1">IF(Table_NFI[[#This Row],[Pcode]]="","",OFFSET(CampList[Priority],MATCH(Table_NFI[[#This Row],[Pcode]],CampList[CP_Pcode],0)-1,0,1,1))</f>
        <v>P2</v>
      </c>
      <c r="AU510" s="293">
        <f>IFERROR(Table_NFI[[#This Row],[Kitchen Set]]/VLOOKUP(Table_NFI[[#This Row],[Camp Name]],CL,4,0),"")</f>
        <v>0</v>
      </c>
      <c r="AV510" s="461" t="s">
        <v>1092</v>
      </c>
      <c r="AW510" s="463"/>
    </row>
    <row r="511" spans="1:49" s="464" customFormat="1" ht="14.45" customHeight="1" x14ac:dyDescent="0.25">
      <c r="A511" s="297">
        <f t="shared" si="7"/>
        <v>37.6</v>
      </c>
      <c r="B511" s="460">
        <v>41608</v>
      </c>
      <c r="C511" s="462" t="s">
        <v>452</v>
      </c>
      <c r="D511" s="462" t="s">
        <v>452</v>
      </c>
      <c r="E511" s="461" t="s">
        <v>380</v>
      </c>
      <c r="F511" s="290" t="s">
        <v>151</v>
      </c>
      <c r="G511" s="290" t="s">
        <v>188</v>
      </c>
      <c r="H511" s="291"/>
      <c r="I511" s="291"/>
      <c r="J511" s="291"/>
      <c r="K511" s="291"/>
      <c r="L511" s="292"/>
      <c r="M511" s="292"/>
      <c r="N511" s="292"/>
      <c r="O511" s="292"/>
      <c r="P511" s="294"/>
      <c r="Q511" s="294"/>
      <c r="R511" s="294"/>
      <c r="S511" s="294"/>
      <c r="T511" s="294"/>
      <c r="U511" s="294"/>
      <c r="V511" s="431"/>
      <c r="W511" s="294"/>
      <c r="X511" s="294"/>
      <c r="Y511" s="294">
        <f>IF(NFI_Expiration=1,IF($A511&lt;VLOOKUP(H$5,NFI,5,0),1,0)*Table_NFI[[#This Row],[Hygiene Kit]],Table_NFI[Hygiene Kit])</f>
        <v>0</v>
      </c>
      <c r="Z511" s="294">
        <f>IF(NFI_Expiration=1,IF($A511&lt;VLOOKUP(I$5,NFI,5,0),1,0)*Table_NFI[[#This Row],[NFI Core Kit]],Table_NFI[NFI Core Kit])</f>
        <v>0</v>
      </c>
      <c r="AA511" s="294">
        <f>IF(NFI_Expiration=1,IF($A511&lt;VLOOKUP(J$5,NFI,5,0),1,0)*Table_NFI[[#This Row],[Sanitary Kit]],Table_NFI[Sanitary Kit])</f>
        <v>0</v>
      </c>
      <c r="AB511" s="294">
        <f>IF(NFI_Expiration=1,IF($A511&lt;VLOOKUP(K$5,NFI,5,0),1,0)*Table_NFI[[#This Row],[Mosquito net]],Table_NFI[Mosquito net])</f>
        <v>0</v>
      </c>
      <c r="AC511" s="294">
        <f>IF(NFI_Expiration=1,IF($A511&lt;VLOOKUP(L$5,NFI,5,0),1,0)*Table_NFI[[#This Row],[Tarpaulin]],Table_NFI[[#This Row],[Tarpaulin]])</f>
        <v>0</v>
      </c>
      <c r="AD511" s="294">
        <f>IF(NFI_Expiration=1,IF($A511&lt;VLOOKUP(M$5,NFI,5,0),1,0)*Table_NFI[[#This Row],[Blanket]],Table_NFI[[#This Row],[Blanket]])</f>
        <v>0</v>
      </c>
      <c r="AE511" s="294">
        <f>IF(NFI_Expiration=1,IF($A511&lt;VLOOKUP(N$5,NFI,5,0),1,0)*Table_NFI[[#This Row],[Kitchen Set]],Table_NFI[Kitchen Set])</f>
        <v>0</v>
      </c>
      <c r="AF511" s="294">
        <f>IF(NFI_Expiration=1,IF($A511&lt;VLOOKUP(O$5,NFI,5,0),1,0)*Table_NFI[[#This Row],[Clothes Kit]],Table_NFI[Clothes Kit])</f>
        <v>0</v>
      </c>
      <c r="AG511" s="294">
        <f>IF(NFI_Expiration=1,IF($A511&lt;VLOOKUP(P$5,NFI,5,0),1,0)*Table_NFI[[#This Row],[Plastic Bucket]],Table_NFI[Plastic Bucket])</f>
        <v>0</v>
      </c>
      <c r="AH511" s="294">
        <f>IF(NFI_Expiration=1,IF($A511&lt;VLOOKUP(Q$5,NFI,5,0),1,0)*Table_NFI[[#This Row],[Plastic Mat]],Table_NFI[Plastic Mat])*IF(Table_NFI[[#This Row],[Distribution Date]]&gt;"2014-04-01",1,2.5)</f>
        <v>0</v>
      </c>
      <c r="AI511" s="294">
        <f>IF(NFI_Expiration=1,IF($A511&lt;VLOOKUP(R$5,NFI,5,0),1,0)*Table_NFI[[#This Row],[Winter Clothes Adult]],Table_NFI[Winter Clothes Adult])</f>
        <v>0</v>
      </c>
      <c r="AJ511" s="294">
        <f>IF(NFI_Expiration=1,IF($A511&lt;VLOOKUP(S$5,NFI,5,0),1,0)*Table_NFI[[#This Row],[Winter Clothes Children]],Table_NFI[Winter Clothes Children])</f>
        <v>0</v>
      </c>
      <c r="AK511" s="294">
        <f>IF(NFI_Expiration=1,IF($A511&lt;VLOOKUP(T$5,NFI,5,0),1,0)*Table_NFI[[#This Row],[Winter Items Other]],Table_NFI[Winter Items Other])</f>
        <v>0</v>
      </c>
      <c r="AL511" s="294">
        <f>IF(NFI_Expiration=1,IF($A511&lt;VLOOKUP(M$5,NFI,5,0),1,0)*Table_NFI[[#This Row],[Winter Blanket]],Table_NFI[[#This Row],[Winter Blanket]])</f>
        <v>0</v>
      </c>
      <c r="AM511" s="294">
        <f>IF(Table_NFI[[#This Row],[Winter Clothes Adult]]+Table_NFI[[#This Row],[Winter Clothes Children]]+Table_NFI[[#This Row],[Winter Items Other]]+Table_NFI[[#This Row],[Winter Blanket]]&gt;0,1,0)</f>
        <v>0</v>
      </c>
      <c r="AN511" s="331">
        <f>IF(NFI_Expiration=1,IF($A511&lt;VLOOKUP(V$5,NFI,5,0),1,0)*Table_NFI[[#This Row],[Jerry Can]],Table_NFI[Jerry Can])</f>
        <v>0</v>
      </c>
      <c r="AO511" s="331">
        <f>IF(NFI_Expiration=1,IF($A511&lt;VLOOKUP(V$5,NFI,5,0),1,0)*Table_NFI[[#This Row],[Shelter Tool kit]],Table_NFI[Shelter Tool kit])</f>
        <v>0</v>
      </c>
      <c r="AP511" s="331">
        <f>IF(NFI_Expiration=1,IF($A511&lt;VLOOKUP(V$5,NFI,5,0),1,0)*Table_NFI[[#This Row],[Tent]],Table_NFI[Tent])</f>
        <v>0</v>
      </c>
      <c r="AQ511" s="467" t="str">
        <f>IFERROR(VLOOKUP(Table_NFI[[#This Row],[Camp Name]],CL,2,0),"")</f>
        <v>MMR001CMP129</v>
      </c>
      <c r="AR511" s="835">
        <f ca="1">IF(Table_NFI[[#This Row],[Pcode]]="","",IF(OFFSET(CampList[Opening Date],MATCH(Table_NFI[[#This Row],[Pcode]],CampList[CP_Pcode],0)-1,0,1,1)&gt;=NFI_Monitor_Date,1,0))</f>
        <v>0</v>
      </c>
      <c r="AS511" s="467" t="str">
        <f>IFERROR(VLOOKUP(Table_NFI[[#This Row],[Camp Name]],CL,3,0),"")</f>
        <v>Open</v>
      </c>
      <c r="AT511" s="294" t="str">
        <f ca="1">IF(Table_NFI[[#This Row],[Pcode]]="","",OFFSET(CampList[Priority],MATCH(Table_NFI[[#This Row],[Pcode]],CampList[CP_Pcode],0)-1,0,1,1))</f>
        <v>P2</v>
      </c>
      <c r="AU511" s="293">
        <f>IFERROR(Table_NFI[[#This Row],[Kitchen Set]]/VLOOKUP(Table_NFI[[#This Row],[Camp Name]],CL,4,0),"")</f>
        <v>0</v>
      </c>
      <c r="AV511" s="461" t="s">
        <v>1092</v>
      </c>
      <c r="AW511" s="463"/>
    </row>
    <row r="512" spans="1:49" s="464" customFormat="1" ht="14.45" customHeight="1" x14ac:dyDescent="0.25">
      <c r="A512" s="297">
        <f t="shared" si="7"/>
        <v>37.6</v>
      </c>
      <c r="B512" s="460">
        <v>41608</v>
      </c>
      <c r="C512" s="461" t="s">
        <v>905</v>
      </c>
      <c r="D512" s="461" t="s">
        <v>460</v>
      </c>
      <c r="E512" s="461" t="s">
        <v>380</v>
      </c>
      <c r="F512" s="290" t="s">
        <v>185</v>
      </c>
      <c r="G512" s="290" t="s">
        <v>192</v>
      </c>
      <c r="H512" s="291"/>
      <c r="I512" s="291"/>
      <c r="J512" s="291"/>
      <c r="K512" s="291"/>
      <c r="L512" s="292"/>
      <c r="M512" s="292"/>
      <c r="N512" s="292"/>
      <c r="O512" s="292"/>
      <c r="P512" s="294"/>
      <c r="Q512" s="294"/>
      <c r="R512" s="294"/>
      <c r="S512" s="294"/>
      <c r="T512" s="294"/>
      <c r="U512" s="294"/>
      <c r="V512" s="431"/>
      <c r="W512" s="294"/>
      <c r="X512" s="294"/>
      <c r="Y512" s="294">
        <f>IF(NFI_Expiration=1,IF($A512&lt;VLOOKUP(H$5,NFI,5,0),1,0)*Table_NFI[[#This Row],[Hygiene Kit]],Table_NFI[Hygiene Kit])</f>
        <v>0</v>
      </c>
      <c r="Z512" s="294">
        <f>IF(NFI_Expiration=1,IF($A512&lt;VLOOKUP(I$5,NFI,5,0),1,0)*Table_NFI[[#This Row],[NFI Core Kit]],Table_NFI[NFI Core Kit])</f>
        <v>0</v>
      </c>
      <c r="AA512" s="294">
        <f>IF(NFI_Expiration=1,IF($A512&lt;VLOOKUP(J$5,NFI,5,0),1,0)*Table_NFI[[#This Row],[Sanitary Kit]],Table_NFI[Sanitary Kit])</f>
        <v>0</v>
      </c>
      <c r="AB512" s="294">
        <f>IF(NFI_Expiration=1,IF($A512&lt;VLOOKUP(K$5,NFI,5,0),1,0)*Table_NFI[[#This Row],[Mosquito net]],Table_NFI[Mosquito net])</f>
        <v>0</v>
      </c>
      <c r="AC512" s="294">
        <f>IF(NFI_Expiration=1,IF($A512&lt;VLOOKUP(L$5,NFI,5,0),1,0)*Table_NFI[[#This Row],[Tarpaulin]],Table_NFI[[#This Row],[Tarpaulin]])</f>
        <v>0</v>
      </c>
      <c r="AD512" s="294">
        <f>IF(NFI_Expiration=1,IF($A512&lt;VLOOKUP(M$5,NFI,5,0),1,0)*Table_NFI[[#This Row],[Blanket]],Table_NFI[[#This Row],[Blanket]])</f>
        <v>0</v>
      </c>
      <c r="AE512" s="294">
        <f>IF(NFI_Expiration=1,IF($A512&lt;VLOOKUP(N$5,NFI,5,0),1,0)*Table_NFI[[#This Row],[Kitchen Set]],Table_NFI[Kitchen Set])</f>
        <v>0</v>
      </c>
      <c r="AF512" s="294">
        <f>IF(NFI_Expiration=1,IF($A512&lt;VLOOKUP(O$5,NFI,5,0),1,0)*Table_NFI[[#This Row],[Clothes Kit]],Table_NFI[Clothes Kit])</f>
        <v>0</v>
      </c>
      <c r="AG512" s="294">
        <f>IF(NFI_Expiration=1,IF($A512&lt;VLOOKUP(P$5,NFI,5,0),1,0)*Table_NFI[[#This Row],[Plastic Bucket]],Table_NFI[Plastic Bucket])</f>
        <v>0</v>
      </c>
      <c r="AH512" s="294">
        <f>IF(NFI_Expiration=1,IF($A512&lt;VLOOKUP(Q$5,NFI,5,0),1,0)*Table_NFI[[#This Row],[Plastic Mat]],Table_NFI[Plastic Mat])*IF(Table_NFI[[#This Row],[Distribution Date]]&gt;"2014-04-01",1,2.5)</f>
        <v>0</v>
      </c>
      <c r="AI512" s="294">
        <f>IF(NFI_Expiration=1,IF($A512&lt;VLOOKUP(R$5,NFI,5,0),1,0)*Table_NFI[[#This Row],[Winter Clothes Adult]],Table_NFI[Winter Clothes Adult])</f>
        <v>0</v>
      </c>
      <c r="AJ512" s="294">
        <f>IF(NFI_Expiration=1,IF($A512&lt;VLOOKUP(S$5,NFI,5,0),1,0)*Table_NFI[[#This Row],[Winter Clothes Children]],Table_NFI[Winter Clothes Children])</f>
        <v>0</v>
      </c>
      <c r="AK512" s="294">
        <f>IF(NFI_Expiration=1,IF($A512&lt;VLOOKUP(T$5,NFI,5,0),1,0)*Table_NFI[[#This Row],[Winter Items Other]],Table_NFI[Winter Items Other])</f>
        <v>0</v>
      </c>
      <c r="AL512" s="294">
        <f>IF(NFI_Expiration=1,IF($A512&lt;VLOOKUP(M$5,NFI,5,0),1,0)*Table_NFI[[#This Row],[Winter Blanket]],Table_NFI[[#This Row],[Winter Blanket]])</f>
        <v>0</v>
      </c>
      <c r="AM512" s="294">
        <f>IF(Table_NFI[[#This Row],[Winter Clothes Adult]]+Table_NFI[[#This Row],[Winter Clothes Children]]+Table_NFI[[#This Row],[Winter Items Other]]+Table_NFI[[#This Row],[Winter Blanket]]&gt;0,1,0)</f>
        <v>0</v>
      </c>
      <c r="AN512" s="331">
        <f>IF(NFI_Expiration=1,IF($A512&lt;VLOOKUP(V$5,NFI,5,0),1,0)*Table_NFI[[#This Row],[Jerry Can]],Table_NFI[Jerry Can])</f>
        <v>0</v>
      </c>
      <c r="AO512" s="331">
        <f>IF(NFI_Expiration=1,IF($A512&lt;VLOOKUP(V$5,NFI,5,0),1,0)*Table_NFI[[#This Row],[Shelter Tool kit]],Table_NFI[Shelter Tool kit])</f>
        <v>0</v>
      </c>
      <c r="AP512" s="331">
        <f>IF(NFI_Expiration=1,IF($A512&lt;VLOOKUP(V$5,NFI,5,0),1,0)*Table_NFI[[#This Row],[Tent]],Table_NFI[Tent])</f>
        <v>0</v>
      </c>
      <c r="AQ512" s="467" t="str">
        <f>IFERROR(VLOOKUP(Table_NFI[[#This Row],[Camp Name]],CL,2,0),"")</f>
        <v>MMR001CMP123</v>
      </c>
      <c r="AR512" s="835">
        <f ca="1">IF(Table_NFI[[#This Row],[Pcode]]="","",IF(OFFSET(CampList[Opening Date],MATCH(Table_NFI[[#This Row],[Pcode]],CampList[CP_Pcode],0)-1,0,1,1)&gt;=NFI_Monitor_Date,1,0))</f>
        <v>0</v>
      </c>
      <c r="AS512" s="467" t="str">
        <f>IFERROR(VLOOKUP(Table_NFI[[#This Row],[Camp Name]],CL,3,0),"")</f>
        <v>Open</v>
      </c>
      <c r="AT512" s="294" t="str">
        <f ca="1">IF(Table_NFI[[#This Row],[Pcode]]="","",OFFSET(CampList[Priority],MATCH(Table_NFI[[#This Row],[Pcode]],CampList[CP_Pcode],0)-1,0,1,1))</f>
        <v>P2</v>
      </c>
      <c r="AU512" s="293">
        <f>IFERROR(Table_NFI[[#This Row],[Kitchen Set]]/VLOOKUP(Table_NFI[[#This Row],[Camp Name]],CL,4,0),"")</f>
        <v>0</v>
      </c>
      <c r="AV512" s="461" t="s">
        <v>1092</v>
      </c>
      <c r="AW512" s="463"/>
    </row>
    <row r="513" spans="1:49" s="464" customFormat="1" x14ac:dyDescent="0.25">
      <c r="A513" s="297">
        <f t="shared" si="7"/>
        <v>37.6</v>
      </c>
      <c r="B513" s="460">
        <v>41608</v>
      </c>
      <c r="C513" s="461" t="s">
        <v>452</v>
      </c>
      <c r="D513" s="462" t="s">
        <v>452</v>
      </c>
      <c r="E513" s="461" t="s">
        <v>380</v>
      </c>
      <c r="F513" s="290" t="s">
        <v>185</v>
      </c>
      <c r="G513" s="290" t="s">
        <v>192</v>
      </c>
      <c r="H513" s="291"/>
      <c r="I513" s="291"/>
      <c r="J513" s="291"/>
      <c r="K513" s="291"/>
      <c r="L513" s="292"/>
      <c r="M513" s="292"/>
      <c r="N513" s="292"/>
      <c r="O513" s="292"/>
      <c r="P513" s="294"/>
      <c r="Q513" s="294"/>
      <c r="R513" s="294"/>
      <c r="S513" s="294"/>
      <c r="T513" s="294"/>
      <c r="U513" s="294"/>
      <c r="V513" s="431"/>
      <c r="W513" s="294"/>
      <c r="X513" s="294"/>
      <c r="Y513" s="294">
        <f>IF(NFI_Expiration=1,IF($A513&lt;VLOOKUP(H$5,NFI,5,0),1,0)*Table_NFI[[#This Row],[Hygiene Kit]],Table_NFI[Hygiene Kit])</f>
        <v>0</v>
      </c>
      <c r="Z513" s="294">
        <f>IF(NFI_Expiration=1,IF($A513&lt;VLOOKUP(I$5,NFI,5,0),1,0)*Table_NFI[[#This Row],[NFI Core Kit]],Table_NFI[NFI Core Kit])</f>
        <v>0</v>
      </c>
      <c r="AA513" s="294">
        <f>IF(NFI_Expiration=1,IF($A513&lt;VLOOKUP(J$5,NFI,5,0),1,0)*Table_NFI[[#This Row],[Sanitary Kit]],Table_NFI[Sanitary Kit])</f>
        <v>0</v>
      </c>
      <c r="AB513" s="294">
        <f>IF(NFI_Expiration=1,IF($A513&lt;VLOOKUP(K$5,NFI,5,0),1,0)*Table_NFI[[#This Row],[Mosquito net]],Table_NFI[Mosquito net])</f>
        <v>0</v>
      </c>
      <c r="AC513" s="294">
        <f>IF(NFI_Expiration=1,IF($A513&lt;VLOOKUP(L$5,NFI,5,0),1,0)*Table_NFI[[#This Row],[Tarpaulin]],Table_NFI[[#This Row],[Tarpaulin]])</f>
        <v>0</v>
      </c>
      <c r="AD513" s="294">
        <f>IF(NFI_Expiration=1,IF($A513&lt;VLOOKUP(M$5,NFI,5,0),1,0)*Table_NFI[[#This Row],[Blanket]],Table_NFI[[#This Row],[Blanket]])</f>
        <v>0</v>
      </c>
      <c r="AE513" s="294">
        <f>IF(NFI_Expiration=1,IF($A513&lt;VLOOKUP(N$5,NFI,5,0),1,0)*Table_NFI[[#This Row],[Kitchen Set]],Table_NFI[Kitchen Set])</f>
        <v>0</v>
      </c>
      <c r="AF513" s="294">
        <f>IF(NFI_Expiration=1,IF($A513&lt;VLOOKUP(O$5,NFI,5,0),1,0)*Table_NFI[[#This Row],[Clothes Kit]],Table_NFI[Clothes Kit])</f>
        <v>0</v>
      </c>
      <c r="AG513" s="294">
        <f>IF(NFI_Expiration=1,IF($A513&lt;VLOOKUP(P$5,NFI,5,0),1,0)*Table_NFI[[#This Row],[Plastic Bucket]],Table_NFI[Plastic Bucket])</f>
        <v>0</v>
      </c>
      <c r="AH513" s="294">
        <f>IF(NFI_Expiration=1,IF($A513&lt;VLOOKUP(Q$5,NFI,5,0),1,0)*Table_NFI[[#This Row],[Plastic Mat]],Table_NFI[Plastic Mat])*IF(Table_NFI[[#This Row],[Distribution Date]]&gt;"2014-04-01",1,2.5)</f>
        <v>0</v>
      </c>
      <c r="AI513" s="294">
        <f>IF(NFI_Expiration=1,IF($A513&lt;VLOOKUP(R$5,NFI,5,0),1,0)*Table_NFI[[#This Row],[Winter Clothes Adult]],Table_NFI[Winter Clothes Adult])</f>
        <v>0</v>
      </c>
      <c r="AJ513" s="294">
        <f>IF(NFI_Expiration=1,IF($A513&lt;VLOOKUP(S$5,NFI,5,0),1,0)*Table_NFI[[#This Row],[Winter Clothes Children]],Table_NFI[Winter Clothes Children])</f>
        <v>0</v>
      </c>
      <c r="AK513" s="294">
        <f>IF(NFI_Expiration=1,IF($A513&lt;VLOOKUP(T$5,NFI,5,0),1,0)*Table_NFI[[#This Row],[Winter Items Other]],Table_NFI[Winter Items Other])</f>
        <v>0</v>
      </c>
      <c r="AL513" s="294">
        <f>IF(NFI_Expiration=1,IF($A513&lt;VLOOKUP(M$5,NFI,5,0),1,0)*Table_NFI[[#This Row],[Winter Blanket]],Table_NFI[[#This Row],[Winter Blanket]])</f>
        <v>0</v>
      </c>
      <c r="AM513" s="294">
        <f>IF(Table_NFI[[#This Row],[Winter Clothes Adult]]+Table_NFI[[#This Row],[Winter Clothes Children]]+Table_NFI[[#This Row],[Winter Items Other]]+Table_NFI[[#This Row],[Winter Blanket]]&gt;0,1,0)</f>
        <v>0</v>
      </c>
      <c r="AN513" s="331">
        <f>IF(NFI_Expiration=1,IF($A513&lt;VLOOKUP(V$5,NFI,5,0),1,0)*Table_NFI[[#This Row],[Jerry Can]],Table_NFI[Jerry Can])</f>
        <v>0</v>
      </c>
      <c r="AO513" s="331">
        <f>IF(NFI_Expiration=1,IF($A513&lt;VLOOKUP(V$5,NFI,5,0),1,0)*Table_NFI[[#This Row],[Shelter Tool kit]],Table_NFI[Shelter Tool kit])</f>
        <v>0</v>
      </c>
      <c r="AP513" s="331">
        <f>IF(NFI_Expiration=1,IF($A513&lt;VLOOKUP(V$5,NFI,5,0),1,0)*Table_NFI[[#This Row],[Tent]],Table_NFI[Tent])</f>
        <v>0</v>
      </c>
      <c r="AQ513" s="467" t="str">
        <f>IFERROR(VLOOKUP(Table_NFI[[#This Row],[Camp Name]],CL,2,0),"")</f>
        <v>MMR001CMP123</v>
      </c>
      <c r="AR513" s="835">
        <f ca="1">IF(Table_NFI[[#This Row],[Pcode]]="","",IF(OFFSET(CampList[Opening Date],MATCH(Table_NFI[[#This Row],[Pcode]],CampList[CP_Pcode],0)-1,0,1,1)&gt;=NFI_Monitor_Date,1,0))</f>
        <v>0</v>
      </c>
      <c r="AS513" s="467" t="str">
        <f>IFERROR(VLOOKUP(Table_NFI[[#This Row],[Camp Name]],CL,3,0),"")</f>
        <v>Open</v>
      </c>
      <c r="AT513" s="294" t="str">
        <f ca="1">IF(Table_NFI[[#This Row],[Pcode]]="","",OFFSET(CampList[Priority],MATCH(Table_NFI[[#This Row],[Pcode]],CampList[CP_Pcode],0)-1,0,1,1))</f>
        <v>P2</v>
      </c>
      <c r="AU513" s="293">
        <f>IFERROR(Table_NFI[[#This Row],[Kitchen Set]]/VLOOKUP(Table_NFI[[#This Row],[Camp Name]],CL,4,0),"")</f>
        <v>0</v>
      </c>
      <c r="AV513" s="461" t="s">
        <v>1092</v>
      </c>
      <c r="AW513" s="463"/>
    </row>
    <row r="514" spans="1:49" s="464" customFormat="1" x14ac:dyDescent="0.25">
      <c r="A514" s="297">
        <f t="shared" si="7"/>
        <v>37.6</v>
      </c>
      <c r="B514" s="460">
        <v>41608</v>
      </c>
      <c r="C514" s="461" t="s">
        <v>905</v>
      </c>
      <c r="D514" s="461" t="s">
        <v>460</v>
      </c>
      <c r="E514" s="461" t="s">
        <v>380</v>
      </c>
      <c r="F514" s="461" t="s">
        <v>310</v>
      </c>
      <c r="G514" s="290" t="s">
        <v>313</v>
      </c>
      <c r="H514" s="291"/>
      <c r="I514" s="291"/>
      <c r="J514" s="291"/>
      <c r="K514" s="291"/>
      <c r="L514" s="292"/>
      <c r="M514" s="292"/>
      <c r="N514" s="292"/>
      <c r="O514" s="292"/>
      <c r="P514" s="294"/>
      <c r="Q514" s="294"/>
      <c r="R514" s="294"/>
      <c r="S514" s="294"/>
      <c r="T514" s="294"/>
      <c r="U514" s="294"/>
      <c r="V514" s="431"/>
      <c r="W514" s="294"/>
      <c r="X514" s="294"/>
      <c r="Y514" s="294">
        <f>IF(NFI_Expiration=1,IF($A514&lt;VLOOKUP(H$5,NFI,5,0),1,0)*Table_NFI[[#This Row],[Hygiene Kit]],Table_NFI[Hygiene Kit])</f>
        <v>0</v>
      </c>
      <c r="Z514" s="294">
        <f>IF(NFI_Expiration=1,IF($A514&lt;VLOOKUP(I$5,NFI,5,0),1,0)*Table_NFI[[#This Row],[NFI Core Kit]],Table_NFI[NFI Core Kit])</f>
        <v>0</v>
      </c>
      <c r="AA514" s="294">
        <f>IF(NFI_Expiration=1,IF($A514&lt;VLOOKUP(J$5,NFI,5,0),1,0)*Table_NFI[[#This Row],[Sanitary Kit]],Table_NFI[Sanitary Kit])</f>
        <v>0</v>
      </c>
      <c r="AB514" s="294">
        <f>IF(NFI_Expiration=1,IF($A514&lt;VLOOKUP(K$5,NFI,5,0),1,0)*Table_NFI[[#This Row],[Mosquito net]],Table_NFI[Mosquito net])</f>
        <v>0</v>
      </c>
      <c r="AC514" s="294">
        <f>IF(NFI_Expiration=1,IF($A514&lt;VLOOKUP(L$5,NFI,5,0),1,0)*Table_NFI[[#This Row],[Tarpaulin]],Table_NFI[[#This Row],[Tarpaulin]])</f>
        <v>0</v>
      </c>
      <c r="AD514" s="294">
        <f>IF(NFI_Expiration=1,IF($A514&lt;VLOOKUP(M$5,NFI,5,0),1,0)*Table_NFI[[#This Row],[Blanket]],Table_NFI[[#This Row],[Blanket]])</f>
        <v>0</v>
      </c>
      <c r="AE514" s="294">
        <f>IF(NFI_Expiration=1,IF($A514&lt;VLOOKUP(N$5,NFI,5,0),1,0)*Table_NFI[[#This Row],[Kitchen Set]],Table_NFI[Kitchen Set])</f>
        <v>0</v>
      </c>
      <c r="AF514" s="294">
        <f>IF(NFI_Expiration=1,IF($A514&lt;VLOOKUP(O$5,NFI,5,0),1,0)*Table_NFI[[#This Row],[Clothes Kit]],Table_NFI[Clothes Kit])</f>
        <v>0</v>
      </c>
      <c r="AG514" s="294">
        <f>IF(NFI_Expiration=1,IF($A514&lt;VLOOKUP(P$5,NFI,5,0),1,0)*Table_NFI[[#This Row],[Plastic Bucket]],Table_NFI[Plastic Bucket])</f>
        <v>0</v>
      </c>
      <c r="AH514" s="294">
        <f>IF(NFI_Expiration=1,IF($A514&lt;VLOOKUP(Q$5,NFI,5,0),1,0)*Table_NFI[[#This Row],[Plastic Mat]],Table_NFI[Plastic Mat])*IF(Table_NFI[[#This Row],[Distribution Date]]&gt;"2014-04-01",1,2.5)</f>
        <v>0</v>
      </c>
      <c r="AI514" s="294">
        <f>IF(NFI_Expiration=1,IF($A514&lt;VLOOKUP(R$5,NFI,5,0),1,0)*Table_NFI[[#This Row],[Winter Clothes Adult]],Table_NFI[Winter Clothes Adult])</f>
        <v>0</v>
      </c>
      <c r="AJ514" s="294">
        <f>IF(NFI_Expiration=1,IF($A514&lt;VLOOKUP(S$5,NFI,5,0),1,0)*Table_NFI[[#This Row],[Winter Clothes Children]],Table_NFI[Winter Clothes Children])</f>
        <v>0</v>
      </c>
      <c r="AK514" s="294">
        <f>IF(NFI_Expiration=1,IF($A514&lt;VLOOKUP(T$5,NFI,5,0),1,0)*Table_NFI[[#This Row],[Winter Items Other]],Table_NFI[Winter Items Other])</f>
        <v>0</v>
      </c>
      <c r="AL514" s="294">
        <f>IF(NFI_Expiration=1,IF($A514&lt;VLOOKUP(M$5,NFI,5,0),1,0)*Table_NFI[[#This Row],[Winter Blanket]],Table_NFI[[#This Row],[Winter Blanket]])</f>
        <v>0</v>
      </c>
      <c r="AM514" s="294">
        <f>IF(Table_NFI[[#This Row],[Winter Clothes Adult]]+Table_NFI[[#This Row],[Winter Clothes Children]]+Table_NFI[[#This Row],[Winter Items Other]]+Table_NFI[[#This Row],[Winter Blanket]]&gt;0,1,0)</f>
        <v>0</v>
      </c>
      <c r="AN514" s="331">
        <f>IF(NFI_Expiration=1,IF($A514&lt;VLOOKUP(V$5,NFI,5,0),1,0)*Table_NFI[[#This Row],[Jerry Can]],Table_NFI[Jerry Can])</f>
        <v>0</v>
      </c>
      <c r="AO514" s="331">
        <f>IF(NFI_Expiration=1,IF($A514&lt;VLOOKUP(V$5,NFI,5,0),1,0)*Table_NFI[[#This Row],[Shelter Tool kit]],Table_NFI[Shelter Tool kit])</f>
        <v>0</v>
      </c>
      <c r="AP514" s="331">
        <f>IF(NFI_Expiration=1,IF($A514&lt;VLOOKUP(V$5,NFI,5,0),1,0)*Table_NFI[[#This Row],[Tent]],Table_NFI[Tent])</f>
        <v>0</v>
      </c>
      <c r="AQ514" s="467" t="str">
        <f>IFERROR(VLOOKUP(Table_NFI[[#This Row],[Camp Name]],CL,2,0),"")</f>
        <v>MMR001CMP028</v>
      </c>
      <c r="AR514" s="835">
        <f ca="1">IF(Table_NFI[[#This Row],[Pcode]]="","",IF(OFFSET(CampList[Opening Date],MATCH(Table_NFI[[#This Row],[Pcode]],CampList[CP_Pcode],0)-1,0,1,1)&gt;=NFI_Monitor_Date,1,0))</f>
        <v>0</v>
      </c>
      <c r="AS514" s="467" t="str">
        <f>IFERROR(VLOOKUP(Table_NFI[[#This Row],[Camp Name]],CL,3,0),"")</f>
        <v>Open</v>
      </c>
      <c r="AT514" s="294" t="str">
        <f ca="1">IF(Table_NFI[[#This Row],[Pcode]]="","",OFFSET(CampList[Priority],MATCH(Table_NFI[[#This Row],[Pcode]],CampList[CP_Pcode],0)-1,0,1,1))</f>
        <v>P4</v>
      </c>
      <c r="AU514" s="293">
        <f>IFERROR(Table_NFI[[#This Row],[Kitchen Set]]/VLOOKUP(Table_NFI[[#This Row],[Camp Name]],CL,4,0),"")</f>
        <v>0</v>
      </c>
      <c r="AV514" s="461" t="s">
        <v>1092</v>
      </c>
      <c r="AW514" s="463"/>
    </row>
    <row r="515" spans="1:49" s="464" customFormat="1" ht="14.45" customHeight="1" x14ac:dyDescent="0.25">
      <c r="A515" s="297">
        <f t="shared" si="7"/>
        <v>37.6</v>
      </c>
      <c r="B515" s="460">
        <v>41608</v>
      </c>
      <c r="C515" s="461" t="s">
        <v>905</v>
      </c>
      <c r="D515" s="461" t="s">
        <v>460</v>
      </c>
      <c r="E515" s="461" t="s">
        <v>380</v>
      </c>
      <c r="F515" s="290" t="s">
        <v>310</v>
      </c>
      <c r="G515" s="290" t="s">
        <v>336</v>
      </c>
      <c r="H515" s="291"/>
      <c r="I515" s="291"/>
      <c r="J515" s="291"/>
      <c r="K515" s="291"/>
      <c r="L515" s="292"/>
      <c r="M515" s="292"/>
      <c r="N515" s="292"/>
      <c r="O515" s="292"/>
      <c r="P515" s="294"/>
      <c r="Q515" s="294"/>
      <c r="R515" s="294"/>
      <c r="S515" s="294"/>
      <c r="T515" s="294"/>
      <c r="U515" s="294"/>
      <c r="V515" s="431"/>
      <c r="W515" s="294"/>
      <c r="X515" s="294"/>
      <c r="Y515" s="294">
        <f>IF(NFI_Expiration=1,IF($A515&lt;VLOOKUP(H$5,NFI,5,0),1,0)*Table_NFI[[#This Row],[Hygiene Kit]],Table_NFI[Hygiene Kit])</f>
        <v>0</v>
      </c>
      <c r="Z515" s="294">
        <f>IF(NFI_Expiration=1,IF($A515&lt;VLOOKUP(I$5,NFI,5,0),1,0)*Table_NFI[[#This Row],[NFI Core Kit]],Table_NFI[NFI Core Kit])</f>
        <v>0</v>
      </c>
      <c r="AA515" s="294">
        <f>IF(NFI_Expiration=1,IF($A515&lt;VLOOKUP(J$5,NFI,5,0),1,0)*Table_NFI[[#This Row],[Sanitary Kit]],Table_NFI[Sanitary Kit])</f>
        <v>0</v>
      </c>
      <c r="AB515" s="294">
        <f>IF(NFI_Expiration=1,IF($A515&lt;VLOOKUP(K$5,NFI,5,0),1,0)*Table_NFI[[#This Row],[Mosquito net]],Table_NFI[Mosquito net])</f>
        <v>0</v>
      </c>
      <c r="AC515" s="294">
        <f>IF(NFI_Expiration=1,IF($A515&lt;VLOOKUP(L$5,NFI,5,0),1,0)*Table_NFI[[#This Row],[Tarpaulin]],Table_NFI[[#This Row],[Tarpaulin]])</f>
        <v>0</v>
      </c>
      <c r="AD515" s="294">
        <f>IF(NFI_Expiration=1,IF($A515&lt;VLOOKUP(M$5,NFI,5,0),1,0)*Table_NFI[[#This Row],[Blanket]],Table_NFI[[#This Row],[Blanket]])</f>
        <v>0</v>
      </c>
      <c r="AE515" s="294">
        <f>IF(NFI_Expiration=1,IF($A515&lt;VLOOKUP(N$5,NFI,5,0),1,0)*Table_NFI[[#This Row],[Kitchen Set]],Table_NFI[Kitchen Set])</f>
        <v>0</v>
      </c>
      <c r="AF515" s="294">
        <f>IF(NFI_Expiration=1,IF($A515&lt;VLOOKUP(O$5,NFI,5,0),1,0)*Table_NFI[[#This Row],[Clothes Kit]],Table_NFI[Clothes Kit])</f>
        <v>0</v>
      </c>
      <c r="AG515" s="294">
        <f>IF(NFI_Expiration=1,IF($A515&lt;VLOOKUP(P$5,NFI,5,0),1,0)*Table_NFI[[#This Row],[Plastic Bucket]],Table_NFI[Plastic Bucket])</f>
        <v>0</v>
      </c>
      <c r="AH515" s="294">
        <f>IF(NFI_Expiration=1,IF($A515&lt;VLOOKUP(Q$5,NFI,5,0),1,0)*Table_NFI[[#This Row],[Plastic Mat]],Table_NFI[Plastic Mat])*IF(Table_NFI[[#This Row],[Distribution Date]]&gt;"2014-04-01",1,2.5)</f>
        <v>0</v>
      </c>
      <c r="AI515" s="294">
        <f>IF(NFI_Expiration=1,IF($A515&lt;VLOOKUP(R$5,NFI,5,0),1,0)*Table_NFI[[#This Row],[Winter Clothes Adult]],Table_NFI[Winter Clothes Adult])</f>
        <v>0</v>
      </c>
      <c r="AJ515" s="294">
        <f>IF(NFI_Expiration=1,IF($A515&lt;VLOOKUP(S$5,NFI,5,0),1,0)*Table_NFI[[#This Row],[Winter Clothes Children]],Table_NFI[Winter Clothes Children])</f>
        <v>0</v>
      </c>
      <c r="AK515" s="294">
        <f>IF(NFI_Expiration=1,IF($A515&lt;VLOOKUP(T$5,NFI,5,0),1,0)*Table_NFI[[#This Row],[Winter Items Other]],Table_NFI[Winter Items Other])</f>
        <v>0</v>
      </c>
      <c r="AL515" s="294">
        <f>IF(NFI_Expiration=1,IF($A515&lt;VLOOKUP(M$5,NFI,5,0),1,0)*Table_NFI[[#This Row],[Winter Blanket]],Table_NFI[[#This Row],[Winter Blanket]])</f>
        <v>0</v>
      </c>
      <c r="AM515" s="294">
        <f>IF(Table_NFI[[#This Row],[Winter Clothes Adult]]+Table_NFI[[#This Row],[Winter Clothes Children]]+Table_NFI[[#This Row],[Winter Items Other]]+Table_NFI[[#This Row],[Winter Blanket]]&gt;0,1,0)</f>
        <v>0</v>
      </c>
      <c r="AN515" s="331">
        <f>IF(NFI_Expiration=1,IF($A515&lt;VLOOKUP(V$5,NFI,5,0),1,0)*Table_NFI[[#This Row],[Jerry Can]],Table_NFI[Jerry Can])</f>
        <v>0</v>
      </c>
      <c r="AO515" s="331">
        <f>IF(NFI_Expiration=1,IF($A515&lt;VLOOKUP(V$5,NFI,5,0),1,0)*Table_NFI[[#This Row],[Shelter Tool kit]],Table_NFI[Shelter Tool kit])</f>
        <v>0</v>
      </c>
      <c r="AP515" s="331">
        <f>IF(NFI_Expiration=1,IF($A515&lt;VLOOKUP(V$5,NFI,5,0),1,0)*Table_NFI[[#This Row],[Tent]],Table_NFI[Tent])</f>
        <v>0</v>
      </c>
      <c r="AQ515" s="467" t="str">
        <f>IFERROR(VLOOKUP(Table_NFI[[#This Row],[Camp Name]],CL,2,0),"")</f>
        <v>MMR001CMP115</v>
      </c>
      <c r="AR515" s="835">
        <f ca="1">IF(Table_NFI[[#This Row],[Pcode]]="","",IF(OFFSET(CampList[Opening Date],MATCH(Table_NFI[[#This Row],[Pcode]],CampList[CP_Pcode],0)-1,0,1,1)&gt;=NFI_Monitor_Date,1,0))</f>
        <v>0</v>
      </c>
      <c r="AS515" s="467" t="str">
        <f>IFERROR(VLOOKUP(Table_NFI[[#This Row],[Camp Name]],CL,3,0),"")</f>
        <v>Open</v>
      </c>
      <c r="AT515" s="294" t="str">
        <f ca="1">IF(Table_NFI[[#This Row],[Pcode]]="","",OFFSET(CampList[Priority],MATCH(Table_NFI[[#This Row],[Pcode]],CampList[CP_Pcode],0)-1,0,1,1))</f>
        <v>P1</v>
      </c>
      <c r="AU515" s="293">
        <f>IFERROR(Table_NFI[[#This Row],[Kitchen Set]]/VLOOKUP(Table_NFI[[#This Row],[Camp Name]],CL,4,0),"")</f>
        <v>0</v>
      </c>
      <c r="AV515" s="461" t="s">
        <v>1092</v>
      </c>
      <c r="AW515" s="463"/>
    </row>
    <row r="516" spans="1:49" s="464" customFormat="1" x14ac:dyDescent="0.25">
      <c r="A516" s="297">
        <f t="shared" si="7"/>
        <v>37.6</v>
      </c>
      <c r="B516" s="460">
        <v>41608</v>
      </c>
      <c r="C516" s="461" t="s">
        <v>905</v>
      </c>
      <c r="D516" s="461" t="s">
        <v>460</v>
      </c>
      <c r="E516" s="461" t="s">
        <v>380</v>
      </c>
      <c r="F516" s="290" t="s">
        <v>185</v>
      </c>
      <c r="G516" s="290" t="s">
        <v>194</v>
      </c>
      <c r="H516" s="291"/>
      <c r="I516" s="291"/>
      <c r="J516" s="291"/>
      <c r="K516" s="291"/>
      <c r="L516" s="292"/>
      <c r="M516" s="292"/>
      <c r="N516" s="292"/>
      <c r="O516" s="292"/>
      <c r="P516" s="294"/>
      <c r="Q516" s="294">
        <v>978</v>
      </c>
      <c r="R516" s="294"/>
      <c r="S516" s="294"/>
      <c r="T516" s="294"/>
      <c r="U516" s="294"/>
      <c r="V516" s="431"/>
      <c r="W516" s="294"/>
      <c r="X516" s="294"/>
      <c r="Y516" s="294">
        <f>IF(NFI_Expiration=1,IF($A516&lt;VLOOKUP(H$5,NFI,5,0),1,0)*Table_NFI[[#This Row],[Hygiene Kit]],Table_NFI[Hygiene Kit])</f>
        <v>0</v>
      </c>
      <c r="Z516" s="294">
        <f>IF(NFI_Expiration=1,IF($A516&lt;VLOOKUP(I$5,NFI,5,0),1,0)*Table_NFI[[#This Row],[NFI Core Kit]],Table_NFI[NFI Core Kit])</f>
        <v>0</v>
      </c>
      <c r="AA516" s="294">
        <f>IF(NFI_Expiration=1,IF($A516&lt;VLOOKUP(J$5,NFI,5,0),1,0)*Table_NFI[[#This Row],[Sanitary Kit]],Table_NFI[Sanitary Kit])</f>
        <v>0</v>
      </c>
      <c r="AB516" s="294">
        <f>IF(NFI_Expiration=1,IF($A516&lt;VLOOKUP(K$5,NFI,5,0),1,0)*Table_NFI[[#This Row],[Mosquito net]],Table_NFI[Mosquito net])</f>
        <v>0</v>
      </c>
      <c r="AC516" s="294">
        <f>IF(NFI_Expiration=1,IF($A516&lt;VLOOKUP(L$5,NFI,5,0),1,0)*Table_NFI[[#This Row],[Tarpaulin]],Table_NFI[[#This Row],[Tarpaulin]])</f>
        <v>0</v>
      </c>
      <c r="AD516" s="294">
        <f>IF(NFI_Expiration=1,IF($A516&lt;VLOOKUP(M$5,NFI,5,0),1,0)*Table_NFI[[#This Row],[Blanket]],Table_NFI[[#This Row],[Blanket]])</f>
        <v>0</v>
      </c>
      <c r="AE516" s="294">
        <f>IF(NFI_Expiration=1,IF($A516&lt;VLOOKUP(N$5,NFI,5,0),1,0)*Table_NFI[[#This Row],[Kitchen Set]],Table_NFI[Kitchen Set])</f>
        <v>0</v>
      </c>
      <c r="AF516" s="294">
        <f>IF(NFI_Expiration=1,IF($A516&lt;VLOOKUP(O$5,NFI,5,0),1,0)*Table_NFI[[#This Row],[Clothes Kit]],Table_NFI[Clothes Kit])</f>
        <v>0</v>
      </c>
      <c r="AG516" s="294">
        <f>IF(NFI_Expiration=1,IF($A516&lt;VLOOKUP(P$5,NFI,5,0),1,0)*Table_NFI[[#This Row],[Plastic Bucket]],Table_NFI[Plastic Bucket])</f>
        <v>0</v>
      </c>
      <c r="AH516" s="294">
        <f>IF(NFI_Expiration=1,IF($A516&lt;VLOOKUP(Q$5,NFI,5,0),1,0)*Table_NFI[[#This Row],[Plastic Mat]],Table_NFI[Plastic Mat])*IF(Table_NFI[[#This Row],[Distribution Date]]&gt;"2014-04-01",1,2.5)</f>
        <v>0</v>
      </c>
      <c r="AI516" s="294">
        <f>IF(NFI_Expiration=1,IF($A516&lt;VLOOKUP(R$5,NFI,5,0),1,0)*Table_NFI[[#This Row],[Winter Clothes Adult]],Table_NFI[Winter Clothes Adult])</f>
        <v>0</v>
      </c>
      <c r="AJ516" s="294">
        <f>IF(NFI_Expiration=1,IF($A516&lt;VLOOKUP(S$5,NFI,5,0),1,0)*Table_NFI[[#This Row],[Winter Clothes Children]],Table_NFI[Winter Clothes Children])</f>
        <v>0</v>
      </c>
      <c r="AK516" s="294">
        <f>IF(NFI_Expiration=1,IF($A516&lt;VLOOKUP(T$5,NFI,5,0),1,0)*Table_NFI[[#This Row],[Winter Items Other]],Table_NFI[Winter Items Other])</f>
        <v>0</v>
      </c>
      <c r="AL516" s="294">
        <f>IF(NFI_Expiration=1,IF($A516&lt;VLOOKUP(M$5,NFI,5,0),1,0)*Table_NFI[[#This Row],[Winter Blanket]],Table_NFI[[#This Row],[Winter Blanket]])</f>
        <v>0</v>
      </c>
      <c r="AM516" s="294">
        <f>IF(Table_NFI[[#This Row],[Winter Clothes Adult]]+Table_NFI[[#This Row],[Winter Clothes Children]]+Table_NFI[[#This Row],[Winter Items Other]]+Table_NFI[[#This Row],[Winter Blanket]]&gt;0,1,0)</f>
        <v>0</v>
      </c>
      <c r="AN516" s="331">
        <f>IF(NFI_Expiration=1,IF($A516&lt;VLOOKUP(V$5,NFI,5,0),1,0)*Table_NFI[[#This Row],[Jerry Can]],Table_NFI[Jerry Can])</f>
        <v>0</v>
      </c>
      <c r="AO516" s="331">
        <f>IF(NFI_Expiration=1,IF($A516&lt;VLOOKUP(V$5,NFI,5,0),1,0)*Table_NFI[[#This Row],[Shelter Tool kit]],Table_NFI[Shelter Tool kit])</f>
        <v>0</v>
      </c>
      <c r="AP516" s="331">
        <f>IF(NFI_Expiration=1,IF($A516&lt;VLOOKUP(V$5,NFI,5,0),1,0)*Table_NFI[[#This Row],[Tent]],Table_NFI[Tent])</f>
        <v>0</v>
      </c>
      <c r="AQ516" s="467" t="str">
        <f>IFERROR(VLOOKUP(Table_NFI[[#This Row],[Camp Name]],CL,2,0),"")</f>
        <v>MMR001CMP122</v>
      </c>
      <c r="AR516" s="835">
        <f ca="1">IF(Table_NFI[[#This Row],[Pcode]]="","",IF(OFFSET(CampList[Opening Date],MATCH(Table_NFI[[#This Row],[Pcode]],CampList[CP_Pcode],0)-1,0,1,1)&gt;=NFI_Monitor_Date,1,0))</f>
        <v>0</v>
      </c>
      <c r="AS516" s="467" t="str">
        <f>IFERROR(VLOOKUP(Table_NFI[[#This Row],[Camp Name]],CL,3,0),"")</f>
        <v>Open</v>
      </c>
      <c r="AT516" s="294" t="str">
        <f ca="1">IF(Table_NFI[[#This Row],[Pcode]]="","",OFFSET(CampList[Priority],MATCH(Table_NFI[[#This Row],[Pcode]],CampList[CP_Pcode],0)-1,0,1,1))</f>
        <v>P2</v>
      </c>
      <c r="AU516" s="293">
        <f>IFERROR(Table_NFI[[#This Row],[Kitchen Set]]/VLOOKUP(Table_NFI[[#This Row],[Camp Name]],CL,4,0),"")</f>
        <v>0</v>
      </c>
      <c r="AV516" s="461" t="s">
        <v>1092</v>
      </c>
      <c r="AW516" s="463"/>
    </row>
    <row r="517" spans="1:49" s="464" customFormat="1" x14ac:dyDescent="0.25">
      <c r="A517" s="297">
        <f t="shared" si="7"/>
        <v>37.6</v>
      </c>
      <c r="B517" s="460">
        <v>41608</v>
      </c>
      <c r="C517" s="461" t="s">
        <v>1097</v>
      </c>
      <c r="D517" s="462" t="s">
        <v>944</v>
      </c>
      <c r="E517" s="461" t="s">
        <v>380</v>
      </c>
      <c r="F517" s="290" t="s">
        <v>5</v>
      </c>
      <c r="G517" s="290" t="s">
        <v>14</v>
      </c>
      <c r="H517" s="291"/>
      <c r="I517" s="291"/>
      <c r="J517" s="291"/>
      <c r="K517" s="291"/>
      <c r="L517" s="292"/>
      <c r="M517" s="292">
        <v>105</v>
      </c>
      <c r="N517" s="292"/>
      <c r="O517" s="292"/>
      <c r="P517" s="294"/>
      <c r="Q517" s="294"/>
      <c r="R517" s="294">
        <v>154</v>
      </c>
      <c r="S517" s="294">
        <v>26</v>
      </c>
      <c r="T517" s="294">
        <v>0</v>
      </c>
      <c r="U517" s="294"/>
      <c r="V517" s="431"/>
      <c r="W517" s="294"/>
      <c r="X517" s="294"/>
      <c r="Y517" s="294">
        <f>IF(NFI_Expiration=1,IF($A517&lt;VLOOKUP(H$5,NFI,5,0),1,0)*Table_NFI[[#This Row],[Hygiene Kit]],Table_NFI[Hygiene Kit])</f>
        <v>0</v>
      </c>
      <c r="Z517" s="294">
        <f>IF(NFI_Expiration=1,IF($A517&lt;VLOOKUP(I$5,NFI,5,0),1,0)*Table_NFI[[#This Row],[NFI Core Kit]],Table_NFI[NFI Core Kit])</f>
        <v>0</v>
      </c>
      <c r="AA517" s="294">
        <f>IF(NFI_Expiration=1,IF($A517&lt;VLOOKUP(J$5,NFI,5,0),1,0)*Table_NFI[[#This Row],[Sanitary Kit]],Table_NFI[Sanitary Kit])</f>
        <v>0</v>
      </c>
      <c r="AB517" s="294">
        <f>IF(NFI_Expiration=1,IF($A517&lt;VLOOKUP(K$5,NFI,5,0),1,0)*Table_NFI[[#This Row],[Mosquito net]],Table_NFI[Mosquito net])</f>
        <v>0</v>
      </c>
      <c r="AC517" s="294">
        <f>IF(NFI_Expiration=1,IF($A517&lt;VLOOKUP(L$5,NFI,5,0),1,0)*Table_NFI[[#This Row],[Tarpaulin]],Table_NFI[[#This Row],[Tarpaulin]])</f>
        <v>0</v>
      </c>
      <c r="AD517" s="294">
        <f>IF(NFI_Expiration=1,IF($A517&lt;VLOOKUP(M$5,NFI,5,0),1,0)*Table_NFI[[#This Row],[Blanket]],Table_NFI[[#This Row],[Blanket]])</f>
        <v>0</v>
      </c>
      <c r="AE517" s="294">
        <f>IF(NFI_Expiration=1,IF($A517&lt;VLOOKUP(N$5,NFI,5,0),1,0)*Table_NFI[[#This Row],[Kitchen Set]],Table_NFI[Kitchen Set])</f>
        <v>0</v>
      </c>
      <c r="AF517" s="294">
        <f>IF(NFI_Expiration=1,IF($A517&lt;VLOOKUP(O$5,NFI,5,0),1,0)*Table_NFI[[#This Row],[Clothes Kit]],Table_NFI[Clothes Kit])</f>
        <v>0</v>
      </c>
      <c r="AG517" s="294">
        <f>IF(NFI_Expiration=1,IF($A517&lt;VLOOKUP(P$5,NFI,5,0),1,0)*Table_NFI[[#This Row],[Plastic Bucket]],Table_NFI[Plastic Bucket])</f>
        <v>0</v>
      </c>
      <c r="AH517" s="294">
        <f>IF(NFI_Expiration=1,IF($A517&lt;VLOOKUP(Q$5,NFI,5,0),1,0)*Table_NFI[[#This Row],[Plastic Mat]],Table_NFI[Plastic Mat])*IF(Table_NFI[[#This Row],[Distribution Date]]&gt;"2014-04-01",1,2.5)</f>
        <v>0</v>
      </c>
      <c r="AI517" s="294">
        <f>IF(NFI_Expiration=1,IF($A517&lt;VLOOKUP(R$5,NFI,5,0),1,0)*Table_NFI[[#This Row],[Winter Clothes Adult]],Table_NFI[Winter Clothes Adult])</f>
        <v>0</v>
      </c>
      <c r="AJ517" s="294">
        <f>IF(NFI_Expiration=1,IF($A517&lt;VLOOKUP(S$5,NFI,5,0),1,0)*Table_NFI[[#This Row],[Winter Clothes Children]],Table_NFI[Winter Clothes Children])</f>
        <v>0</v>
      </c>
      <c r="AK517" s="294">
        <f>IF(NFI_Expiration=1,IF($A517&lt;VLOOKUP(T$5,NFI,5,0),1,0)*Table_NFI[[#This Row],[Winter Items Other]],Table_NFI[Winter Items Other])</f>
        <v>0</v>
      </c>
      <c r="AL517" s="294">
        <f>IF(NFI_Expiration=1,IF($A517&lt;VLOOKUP(M$5,NFI,5,0),1,0)*Table_NFI[[#This Row],[Winter Blanket]],Table_NFI[[#This Row],[Winter Blanket]])</f>
        <v>0</v>
      </c>
      <c r="AM517" s="294">
        <f>IF(Table_NFI[[#This Row],[Winter Clothes Adult]]+Table_NFI[[#This Row],[Winter Clothes Children]]+Table_NFI[[#This Row],[Winter Items Other]]+Table_NFI[[#This Row],[Winter Blanket]]&gt;0,1,0)</f>
        <v>1</v>
      </c>
      <c r="AN517" s="331">
        <f>IF(NFI_Expiration=1,IF($A517&lt;VLOOKUP(V$5,NFI,5,0),1,0)*Table_NFI[[#This Row],[Jerry Can]],Table_NFI[Jerry Can])</f>
        <v>0</v>
      </c>
      <c r="AO517" s="331">
        <f>IF(NFI_Expiration=1,IF($A517&lt;VLOOKUP(V$5,NFI,5,0),1,0)*Table_NFI[[#This Row],[Shelter Tool kit]],Table_NFI[Shelter Tool kit])</f>
        <v>0</v>
      </c>
      <c r="AP517" s="331">
        <f>IF(NFI_Expiration=1,IF($A517&lt;VLOOKUP(V$5,NFI,5,0),1,0)*Table_NFI[[#This Row],[Tent]],Table_NFI[Tent])</f>
        <v>0</v>
      </c>
      <c r="AQ517" s="467" t="str">
        <f>IFERROR(VLOOKUP(Table_NFI[[#This Row],[Camp Name]],CL,2,0),"")</f>
        <v>MMR001CMP052</v>
      </c>
      <c r="AR517" s="835">
        <f ca="1">IF(Table_NFI[[#This Row],[Pcode]]="","",IF(OFFSET(CampList[Opening Date],MATCH(Table_NFI[[#This Row],[Pcode]],CampList[CP_Pcode],0)-1,0,1,1)&gt;=NFI_Monitor_Date,1,0))</f>
        <v>0</v>
      </c>
      <c r="AS517" s="467" t="str">
        <f>IFERROR(VLOOKUP(Table_NFI[[#This Row],[Camp Name]],CL,3,0),"")</f>
        <v>Open</v>
      </c>
      <c r="AT517" s="294" t="str">
        <f ca="1">IF(Table_NFI[[#This Row],[Pcode]]="","",OFFSET(CampList[Priority],MATCH(Table_NFI[[#This Row],[Pcode]],CampList[CP_Pcode],0)-1,0,1,1))</f>
        <v>P4</v>
      </c>
      <c r="AU517" s="293">
        <f>IFERROR(Table_NFI[[#This Row],[Kitchen Set]]/VLOOKUP(Table_NFI[[#This Row],[Camp Name]],CL,4,0),"")</f>
        <v>0</v>
      </c>
      <c r="AV517" s="461" t="s">
        <v>1092</v>
      </c>
      <c r="AW517" s="463"/>
    </row>
    <row r="518" spans="1:49" s="464" customFormat="1" ht="14.45" customHeight="1" x14ac:dyDescent="0.25">
      <c r="A518" s="297">
        <f t="shared" ref="A518:A581" si="8">IF(ISBLANK(B518),"",(Report_Date-B518)/30)</f>
        <v>37.6</v>
      </c>
      <c r="B518" s="460">
        <v>41608</v>
      </c>
      <c r="C518" s="461" t="s">
        <v>905</v>
      </c>
      <c r="D518" s="461"/>
      <c r="E518" s="461" t="s">
        <v>380</v>
      </c>
      <c r="F518" s="290" t="s">
        <v>5</v>
      </c>
      <c r="G518" s="290" t="s">
        <v>14</v>
      </c>
      <c r="H518" s="291"/>
      <c r="I518" s="291"/>
      <c r="J518" s="291"/>
      <c r="K518" s="291"/>
      <c r="L518" s="292"/>
      <c r="M518" s="292"/>
      <c r="N518" s="292"/>
      <c r="O518" s="292"/>
      <c r="P518" s="294"/>
      <c r="Q518" s="294">
        <v>138</v>
      </c>
      <c r="R518" s="294"/>
      <c r="S518" s="294"/>
      <c r="T518" s="294"/>
      <c r="U518" s="294"/>
      <c r="V518" s="431"/>
      <c r="W518" s="294"/>
      <c r="X518" s="294"/>
      <c r="Y518" s="294">
        <f>IF(NFI_Expiration=1,IF($A518&lt;VLOOKUP(H$5,NFI,5,0),1,0)*Table_NFI[[#This Row],[Hygiene Kit]],Table_NFI[Hygiene Kit])</f>
        <v>0</v>
      </c>
      <c r="Z518" s="294">
        <f>IF(NFI_Expiration=1,IF($A518&lt;VLOOKUP(I$5,NFI,5,0),1,0)*Table_NFI[[#This Row],[NFI Core Kit]],Table_NFI[NFI Core Kit])</f>
        <v>0</v>
      </c>
      <c r="AA518" s="294">
        <f>IF(NFI_Expiration=1,IF($A518&lt;VLOOKUP(J$5,NFI,5,0),1,0)*Table_NFI[[#This Row],[Sanitary Kit]],Table_NFI[Sanitary Kit])</f>
        <v>0</v>
      </c>
      <c r="AB518" s="294">
        <f>IF(NFI_Expiration=1,IF($A518&lt;VLOOKUP(K$5,NFI,5,0),1,0)*Table_NFI[[#This Row],[Mosquito net]],Table_NFI[Mosquito net])</f>
        <v>0</v>
      </c>
      <c r="AC518" s="294">
        <f>IF(NFI_Expiration=1,IF($A518&lt;VLOOKUP(L$5,NFI,5,0),1,0)*Table_NFI[[#This Row],[Tarpaulin]],Table_NFI[[#This Row],[Tarpaulin]])</f>
        <v>0</v>
      </c>
      <c r="AD518" s="294">
        <f>IF(NFI_Expiration=1,IF($A518&lt;VLOOKUP(M$5,NFI,5,0),1,0)*Table_NFI[[#This Row],[Blanket]],Table_NFI[[#This Row],[Blanket]])</f>
        <v>0</v>
      </c>
      <c r="AE518" s="294">
        <f>IF(NFI_Expiration=1,IF($A518&lt;VLOOKUP(N$5,NFI,5,0),1,0)*Table_NFI[[#This Row],[Kitchen Set]],Table_NFI[Kitchen Set])</f>
        <v>0</v>
      </c>
      <c r="AF518" s="294">
        <f>IF(NFI_Expiration=1,IF($A518&lt;VLOOKUP(O$5,NFI,5,0),1,0)*Table_NFI[[#This Row],[Clothes Kit]],Table_NFI[Clothes Kit])</f>
        <v>0</v>
      </c>
      <c r="AG518" s="294">
        <f>IF(NFI_Expiration=1,IF($A518&lt;VLOOKUP(P$5,NFI,5,0),1,0)*Table_NFI[[#This Row],[Plastic Bucket]],Table_NFI[Plastic Bucket])</f>
        <v>0</v>
      </c>
      <c r="AH518" s="294">
        <f>IF(NFI_Expiration=1,IF($A518&lt;VLOOKUP(Q$5,NFI,5,0),1,0)*Table_NFI[[#This Row],[Plastic Mat]],Table_NFI[Plastic Mat])*IF(Table_NFI[[#This Row],[Distribution Date]]&gt;"2014-04-01",1,2.5)</f>
        <v>0</v>
      </c>
      <c r="AI518" s="294">
        <f>IF(NFI_Expiration=1,IF($A518&lt;VLOOKUP(R$5,NFI,5,0),1,0)*Table_NFI[[#This Row],[Winter Clothes Adult]],Table_NFI[Winter Clothes Adult])</f>
        <v>0</v>
      </c>
      <c r="AJ518" s="294">
        <f>IF(NFI_Expiration=1,IF($A518&lt;VLOOKUP(S$5,NFI,5,0),1,0)*Table_NFI[[#This Row],[Winter Clothes Children]],Table_NFI[Winter Clothes Children])</f>
        <v>0</v>
      </c>
      <c r="AK518" s="294">
        <f>IF(NFI_Expiration=1,IF($A518&lt;VLOOKUP(T$5,NFI,5,0),1,0)*Table_NFI[[#This Row],[Winter Items Other]],Table_NFI[Winter Items Other])</f>
        <v>0</v>
      </c>
      <c r="AL518" s="294">
        <f>IF(NFI_Expiration=1,IF($A518&lt;VLOOKUP(M$5,NFI,5,0),1,0)*Table_NFI[[#This Row],[Winter Blanket]],Table_NFI[[#This Row],[Winter Blanket]])</f>
        <v>0</v>
      </c>
      <c r="AM518" s="294">
        <f>IF(Table_NFI[[#This Row],[Winter Clothes Adult]]+Table_NFI[[#This Row],[Winter Clothes Children]]+Table_NFI[[#This Row],[Winter Items Other]]+Table_NFI[[#This Row],[Winter Blanket]]&gt;0,1,0)</f>
        <v>0</v>
      </c>
      <c r="AN518" s="331">
        <f>IF(NFI_Expiration=1,IF($A518&lt;VLOOKUP(V$5,NFI,5,0),1,0)*Table_NFI[[#This Row],[Jerry Can]],Table_NFI[Jerry Can])</f>
        <v>0</v>
      </c>
      <c r="AO518" s="331">
        <f>IF(NFI_Expiration=1,IF($A518&lt;VLOOKUP(V$5,NFI,5,0),1,0)*Table_NFI[[#This Row],[Shelter Tool kit]],Table_NFI[Shelter Tool kit])</f>
        <v>0</v>
      </c>
      <c r="AP518" s="331">
        <f>IF(NFI_Expiration=1,IF($A518&lt;VLOOKUP(V$5,NFI,5,0),1,0)*Table_NFI[[#This Row],[Tent]],Table_NFI[Tent])</f>
        <v>0</v>
      </c>
      <c r="AQ518" s="467" t="str">
        <f>IFERROR(VLOOKUP(Table_NFI[[#This Row],[Camp Name]],CL,2,0),"")</f>
        <v>MMR001CMP052</v>
      </c>
      <c r="AR518" s="835">
        <f ca="1">IF(Table_NFI[[#This Row],[Pcode]]="","",IF(OFFSET(CampList[Opening Date],MATCH(Table_NFI[[#This Row],[Pcode]],CampList[CP_Pcode],0)-1,0,1,1)&gt;=NFI_Monitor_Date,1,0))</f>
        <v>0</v>
      </c>
      <c r="AS518" s="467" t="str">
        <f>IFERROR(VLOOKUP(Table_NFI[[#This Row],[Camp Name]],CL,3,0),"")</f>
        <v>Open</v>
      </c>
      <c r="AT518" s="294" t="str">
        <f ca="1">IF(Table_NFI[[#This Row],[Pcode]]="","",OFFSET(CampList[Priority],MATCH(Table_NFI[[#This Row],[Pcode]],CampList[CP_Pcode],0)-1,0,1,1))</f>
        <v>P4</v>
      </c>
      <c r="AU518" s="293">
        <f>IFERROR(Table_NFI[[#This Row],[Kitchen Set]]/VLOOKUP(Table_NFI[[#This Row],[Camp Name]],CL,4,0),"")</f>
        <v>0</v>
      </c>
      <c r="AV518" s="461" t="s">
        <v>1092</v>
      </c>
      <c r="AW518" s="463"/>
    </row>
    <row r="519" spans="1:49" s="464" customFormat="1" ht="14.45" customHeight="1" x14ac:dyDescent="0.25">
      <c r="A519" s="297">
        <f t="shared" si="8"/>
        <v>37.6</v>
      </c>
      <c r="B519" s="460">
        <v>41608</v>
      </c>
      <c r="C519" s="461" t="s">
        <v>905</v>
      </c>
      <c r="D519" s="461" t="s">
        <v>460</v>
      </c>
      <c r="E519" s="461" t="s">
        <v>380</v>
      </c>
      <c r="F519" s="290" t="s">
        <v>185</v>
      </c>
      <c r="G519" s="290" t="s">
        <v>196</v>
      </c>
      <c r="H519" s="291"/>
      <c r="I519" s="291"/>
      <c r="J519" s="291"/>
      <c r="K519" s="291"/>
      <c r="L519" s="292"/>
      <c r="M519" s="292"/>
      <c r="N519" s="292"/>
      <c r="O519" s="292"/>
      <c r="P519" s="294"/>
      <c r="Q519" s="294">
        <v>5268</v>
      </c>
      <c r="R519" s="294"/>
      <c r="S519" s="294"/>
      <c r="T519" s="294"/>
      <c r="U519" s="294"/>
      <c r="V519" s="431"/>
      <c r="W519" s="294"/>
      <c r="X519" s="294"/>
      <c r="Y519" s="294">
        <f>IF(NFI_Expiration=1,IF($A519&lt;VLOOKUP(H$5,NFI,5,0),1,0)*Table_NFI[[#This Row],[Hygiene Kit]],Table_NFI[Hygiene Kit])</f>
        <v>0</v>
      </c>
      <c r="Z519" s="294">
        <f>IF(NFI_Expiration=1,IF($A519&lt;VLOOKUP(I$5,NFI,5,0),1,0)*Table_NFI[[#This Row],[NFI Core Kit]],Table_NFI[NFI Core Kit])</f>
        <v>0</v>
      </c>
      <c r="AA519" s="294">
        <f>IF(NFI_Expiration=1,IF($A519&lt;VLOOKUP(J$5,NFI,5,0),1,0)*Table_NFI[[#This Row],[Sanitary Kit]],Table_NFI[Sanitary Kit])</f>
        <v>0</v>
      </c>
      <c r="AB519" s="294">
        <f>IF(NFI_Expiration=1,IF($A519&lt;VLOOKUP(K$5,NFI,5,0),1,0)*Table_NFI[[#This Row],[Mosquito net]],Table_NFI[Mosquito net])</f>
        <v>0</v>
      </c>
      <c r="AC519" s="294">
        <f>IF(NFI_Expiration=1,IF($A519&lt;VLOOKUP(L$5,NFI,5,0),1,0)*Table_NFI[[#This Row],[Tarpaulin]],Table_NFI[[#This Row],[Tarpaulin]])</f>
        <v>0</v>
      </c>
      <c r="AD519" s="294">
        <f>IF(NFI_Expiration=1,IF($A519&lt;VLOOKUP(M$5,NFI,5,0),1,0)*Table_NFI[[#This Row],[Blanket]],Table_NFI[[#This Row],[Blanket]])</f>
        <v>0</v>
      </c>
      <c r="AE519" s="294">
        <f>IF(NFI_Expiration=1,IF($A519&lt;VLOOKUP(N$5,NFI,5,0),1,0)*Table_NFI[[#This Row],[Kitchen Set]],Table_NFI[Kitchen Set])</f>
        <v>0</v>
      </c>
      <c r="AF519" s="294">
        <f>IF(NFI_Expiration=1,IF($A519&lt;VLOOKUP(O$5,NFI,5,0),1,0)*Table_NFI[[#This Row],[Clothes Kit]],Table_NFI[Clothes Kit])</f>
        <v>0</v>
      </c>
      <c r="AG519" s="294">
        <f>IF(NFI_Expiration=1,IF($A519&lt;VLOOKUP(P$5,NFI,5,0),1,0)*Table_NFI[[#This Row],[Plastic Bucket]],Table_NFI[Plastic Bucket])</f>
        <v>0</v>
      </c>
      <c r="AH519" s="294">
        <f>IF(NFI_Expiration=1,IF($A519&lt;VLOOKUP(Q$5,NFI,5,0),1,0)*Table_NFI[[#This Row],[Plastic Mat]],Table_NFI[Plastic Mat])*IF(Table_NFI[[#This Row],[Distribution Date]]&gt;"2014-04-01",1,2.5)</f>
        <v>0</v>
      </c>
      <c r="AI519" s="294">
        <f>IF(NFI_Expiration=1,IF($A519&lt;VLOOKUP(R$5,NFI,5,0),1,0)*Table_NFI[[#This Row],[Winter Clothes Adult]],Table_NFI[Winter Clothes Adult])</f>
        <v>0</v>
      </c>
      <c r="AJ519" s="294">
        <f>IF(NFI_Expiration=1,IF($A519&lt;VLOOKUP(S$5,NFI,5,0),1,0)*Table_NFI[[#This Row],[Winter Clothes Children]],Table_NFI[Winter Clothes Children])</f>
        <v>0</v>
      </c>
      <c r="AK519" s="294">
        <f>IF(NFI_Expiration=1,IF($A519&lt;VLOOKUP(T$5,NFI,5,0),1,0)*Table_NFI[[#This Row],[Winter Items Other]],Table_NFI[Winter Items Other])</f>
        <v>0</v>
      </c>
      <c r="AL519" s="294">
        <f>IF(NFI_Expiration=1,IF($A519&lt;VLOOKUP(M$5,NFI,5,0),1,0)*Table_NFI[[#This Row],[Winter Blanket]],Table_NFI[[#This Row],[Winter Blanket]])</f>
        <v>0</v>
      </c>
      <c r="AM519" s="294">
        <f>IF(Table_NFI[[#This Row],[Winter Clothes Adult]]+Table_NFI[[#This Row],[Winter Clothes Children]]+Table_NFI[[#This Row],[Winter Items Other]]+Table_NFI[[#This Row],[Winter Blanket]]&gt;0,1,0)</f>
        <v>0</v>
      </c>
      <c r="AN519" s="331">
        <f>IF(NFI_Expiration=1,IF($A519&lt;VLOOKUP(V$5,NFI,5,0),1,0)*Table_NFI[[#This Row],[Jerry Can]],Table_NFI[Jerry Can])</f>
        <v>0</v>
      </c>
      <c r="AO519" s="331">
        <f>IF(NFI_Expiration=1,IF($A519&lt;VLOOKUP(V$5,NFI,5,0),1,0)*Table_NFI[[#This Row],[Shelter Tool kit]],Table_NFI[Shelter Tool kit])</f>
        <v>0</v>
      </c>
      <c r="AP519" s="331">
        <f>IF(NFI_Expiration=1,IF($A519&lt;VLOOKUP(V$5,NFI,5,0),1,0)*Table_NFI[[#This Row],[Tent]],Table_NFI[Tent])</f>
        <v>0</v>
      </c>
      <c r="AQ519" s="467" t="str">
        <f>IFERROR(VLOOKUP(Table_NFI[[#This Row],[Camp Name]],CL,2,0),"")</f>
        <v>MMR001CMP121</v>
      </c>
      <c r="AR519" s="835">
        <f ca="1">IF(Table_NFI[[#This Row],[Pcode]]="","",IF(OFFSET(CampList[Opening Date],MATCH(Table_NFI[[#This Row],[Pcode]],CampList[CP_Pcode],0)-1,0,1,1)&gt;=NFI_Monitor_Date,1,0))</f>
        <v>0</v>
      </c>
      <c r="AS519" s="467" t="str">
        <f>IFERROR(VLOOKUP(Table_NFI[[#This Row],[Camp Name]],CL,3,0),"")</f>
        <v>Open</v>
      </c>
      <c r="AT519" s="294" t="str">
        <f ca="1">IF(Table_NFI[[#This Row],[Pcode]]="","",OFFSET(CampList[Priority],MATCH(Table_NFI[[#This Row],[Pcode]],CampList[CP_Pcode],0)-1,0,1,1))</f>
        <v>P2</v>
      </c>
      <c r="AU519" s="293">
        <f>IFERROR(Table_NFI[[#This Row],[Kitchen Set]]/VLOOKUP(Table_NFI[[#This Row],[Camp Name]],CL,4,0),"")</f>
        <v>0</v>
      </c>
      <c r="AV519" s="461" t="s">
        <v>1092</v>
      </c>
      <c r="AW519" s="463"/>
    </row>
    <row r="520" spans="1:49" s="464" customFormat="1" ht="14.45" customHeight="1" x14ac:dyDescent="0.25">
      <c r="A520" s="297">
        <f t="shared" si="8"/>
        <v>37.6</v>
      </c>
      <c r="B520" s="460">
        <v>41608</v>
      </c>
      <c r="C520" s="461" t="s">
        <v>905</v>
      </c>
      <c r="D520" s="461" t="s">
        <v>1002</v>
      </c>
      <c r="E520" s="461" t="s">
        <v>380</v>
      </c>
      <c r="F520" s="290" t="s">
        <v>151</v>
      </c>
      <c r="G520" s="290" t="s">
        <v>198</v>
      </c>
      <c r="H520" s="291"/>
      <c r="I520" s="291"/>
      <c r="J520" s="291"/>
      <c r="K520" s="291"/>
      <c r="L520" s="292"/>
      <c r="M520" s="292"/>
      <c r="N520" s="292"/>
      <c r="O520" s="292"/>
      <c r="P520" s="294"/>
      <c r="Q520" s="294"/>
      <c r="R520" s="294"/>
      <c r="S520" s="294"/>
      <c r="T520" s="294"/>
      <c r="U520" s="294"/>
      <c r="V520" s="431"/>
      <c r="W520" s="294"/>
      <c r="X520" s="294"/>
      <c r="Y520" s="294">
        <f>IF(NFI_Expiration=1,IF($A520&lt;VLOOKUP(H$5,NFI,5,0),1,0)*Table_NFI[[#This Row],[Hygiene Kit]],Table_NFI[Hygiene Kit])</f>
        <v>0</v>
      </c>
      <c r="Z520" s="294">
        <f>IF(NFI_Expiration=1,IF($A520&lt;VLOOKUP(I$5,NFI,5,0),1,0)*Table_NFI[[#This Row],[NFI Core Kit]],Table_NFI[NFI Core Kit])</f>
        <v>0</v>
      </c>
      <c r="AA520" s="294">
        <f>IF(NFI_Expiration=1,IF($A520&lt;VLOOKUP(J$5,NFI,5,0),1,0)*Table_NFI[[#This Row],[Sanitary Kit]],Table_NFI[Sanitary Kit])</f>
        <v>0</v>
      </c>
      <c r="AB520" s="294">
        <f>IF(NFI_Expiration=1,IF($A520&lt;VLOOKUP(K$5,NFI,5,0),1,0)*Table_NFI[[#This Row],[Mosquito net]],Table_NFI[Mosquito net])</f>
        <v>0</v>
      </c>
      <c r="AC520" s="294">
        <f>IF(NFI_Expiration=1,IF($A520&lt;VLOOKUP(L$5,NFI,5,0),1,0)*Table_NFI[[#This Row],[Tarpaulin]],Table_NFI[[#This Row],[Tarpaulin]])</f>
        <v>0</v>
      </c>
      <c r="AD520" s="294">
        <f>IF(NFI_Expiration=1,IF($A520&lt;VLOOKUP(M$5,NFI,5,0),1,0)*Table_NFI[[#This Row],[Blanket]],Table_NFI[[#This Row],[Blanket]])</f>
        <v>0</v>
      </c>
      <c r="AE520" s="294">
        <f>IF(NFI_Expiration=1,IF($A520&lt;VLOOKUP(N$5,NFI,5,0),1,0)*Table_NFI[[#This Row],[Kitchen Set]],Table_NFI[Kitchen Set])</f>
        <v>0</v>
      </c>
      <c r="AF520" s="294">
        <f>IF(NFI_Expiration=1,IF($A520&lt;VLOOKUP(O$5,NFI,5,0),1,0)*Table_NFI[[#This Row],[Clothes Kit]],Table_NFI[Clothes Kit])</f>
        <v>0</v>
      </c>
      <c r="AG520" s="294">
        <f>IF(NFI_Expiration=1,IF($A520&lt;VLOOKUP(P$5,NFI,5,0),1,0)*Table_NFI[[#This Row],[Plastic Bucket]],Table_NFI[Plastic Bucket])</f>
        <v>0</v>
      </c>
      <c r="AH520" s="294">
        <f>IF(NFI_Expiration=1,IF($A520&lt;VLOOKUP(Q$5,NFI,5,0),1,0)*Table_NFI[[#This Row],[Plastic Mat]],Table_NFI[Plastic Mat])*IF(Table_NFI[[#This Row],[Distribution Date]]&gt;"2014-04-01",1,2.5)</f>
        <v>0</v>
      </c>
      <c r="AI520" s="294">
        <f>IF(NFI_Expiration=1,IF($A520&lt;VLOOKUP(R$5,NFI,5,0),1,0)*Table_NFI[[#This Row],[Winter Clothes Adult]],Table_NFI[Winter Clothes Adult])</f>
        <v>0</v>
      </c>
      <c r="AJ520" s="294">
        <f>IF(NFI_Expiration=1,IF($A520&lt;VLOOKUP(S$5,NFI,5,0),1,0)*Table_NFI[[#This Row],[Winter Clothes Children]],Table_NFI[Winter Clothes Children])</f>
        <v>0</v>
      </c>
      <c r="AK520" s="294">
        <f>IF(NFI_Expiration=1,IF($A520&lt;VLOOKUP(T$5,NFI,5,0),1,0)*Table_NFI[[#This Row],[Winter Items Other]],Table_NFI[Winter Items Other])</f>
        <v>0</v>
      </c>
      <c r="AL520" s="294">
        <f>IF(NFI_Expiration=1,IF($A520&lt;VLOOKUP(M$5,NFI,5,0),1,0)*Table_NFI[[#This Row],[Winter Blanket]],Table_NFI[[#This Row],[Winter Blanket]])</f>
        <v>0</v>
      </c>
      <c r="AM520" s="294">
        <f>IF(Table_NFI[[#This Row],[Winter Clothes Adult]]+Table_NFI[[#This Row],[Winter Clothes Children]]+Table_NFI[[#This Row],[Winter Items Other]]+Table_NFI[[#This Row],[Winter Blanket]]&gt;0,1,0)</f>
        <v>0</v>
      </c>
      <c r="AN520" s="331">
        <f>IF(NFI_Expiration=1,IF($A520&lt;VLOOKUP(V$5,NFI,5,0),1,0)*Table_NFI[[#This Row],[Jerry Can]],Table_NFI[Jerry Can])</f>
        <v>0</v>
      </c>
      <c r="AO520" s="331">
        <f>IF(NFI_Expiration=1,IF($A520&lt;VLOOKUP(V$5,NFI,5,0),1,0)*Table_NFI[[#This Row],[Shelter Tool kit]],Table_NFI[Shelter Tool kit])</f>
        <v>0</v>
      </c>
      <c r="AP520" s="331">
        <f>IF(NFI_Expiration=1,IF($A520&lt;VLOOKUP(V$5,NFI,5,0),1,0)*Table_NFI[[#This Row],[Tent]],Table_NFI[Tent])</f>
        <v>0</v>
      </c>
      <c r="AQ520" s="467" t="str">
        <f>IFERROR(VLOOKUP(Table_NFI[[#This Row],[Camp Name]],CL,2,0),"")</f>
        <v>MMR001CMP128</v>
      </c>
      <c r="AR520" s="835">
        <f ca="1">IF(Table_NFI[[#This Row],[Pcode]]="","",IF(OFFSET(CampList[Opening Date],MATCH(Table_NFI[[#This Row],[Pcode]],CampList[CP_Pcode],0)-1,0,1,1)&gt;=NFI_Monitor_Date,1,0))</f>
        <v>0</v>
      </c>
      <c r="AS520" s="467" t="str">
        <f>IFERROR(VLOOKUP(Table_NFI[[#This Row],[Camp Name]],CL,3,0),"")</f>
        <v>Open</v>
      </c>
      <c r="AT520" s="294" t="str">
        <f ca="1">IF(Table_NFI[[#This Row],[Pcode]]="","",OFFSET(CampList[Priority],MATCH(Table_NFI[[#This Row],[Pcode]],CampList[CP_Pcode],0)-1,0,1,1))</f>
        <v>P2</v>
      </c>
      <c r="AU520" s="293">
        <f>IFERROR(Table_NFI[[#This Row],[Kitchen Set]]/VLOOKUP(Table_NFI[[#This Row],[Camp Name]],CL,4,0),"")</f>
        <v>0</v>
      </c>
      <c r="AV520" s="461" t="s">
        <v>1092</v>
      </c>
      <c r="AW520" s="463"/>
    </row>
    <row r="521" spans="1:49" s="464" customFormat="1" ht="14.45" customHeight="1" x14ac:dyDescent="0.25">
      <c r="A521" s="297">
        <f t="shared" si="8"/>
        <v>37.6</v>
      </c>
      <c r="B521" s="460">
        <v>41608</v>
      </c>
      <c r="C521" s="461" t="s">
        <v>452</v>
      </c>
      <c r="D521" s="462" t="s">
        <v>452</v>
      </c>
      <c r="E521" s="461" t="s">
        <v>380</v>
      </c>
      <c r="F521" s="290" t="s">
        <v>151</v>
      </c>
      <c r="G521" s="290" t="s">
        <v>198</v>
      </c>
      <c r="H521" s="291"/>
      <c r="I521" s="291"/>
      <c r="J521" s="291"/>
      <c r="K521" s="291"/>
      <c r="L521" s="292"/>
      <c r="M521" s="292"/>
      <c r="N521" s="292"/>
      <c r="O521" s="292"/>
      <c r="P521" s="294"/>
      <c r="Q521" s="294"/>
      <c r="R521" s="294"/>
      <c r="S521" s="294"/>
      <c r="T521" s="294"/>
      <c r="U521" s="294"/>
      <c r="V521" s="431"/>
      <c r="W521" s="294"/>
      <c r="X521" s="294"/>
      <c r="Y521" s="294">
        <f>IF(NFI_Expiration=1,IF($A521&lt;VLOOKUP(H$5,NFI,5,0),1,0)*Table_NFI[[#This Row],[Hygiene Kit]],Table_NFI[Hygiene Kit])</f>
        <v>0</v>
      </c>
      <c r="Z521" s="294">
        <f>IF(NFI_Expiration=1,IF($A521&lt;VLOOKUP(I$5,NFI,5,0),1,0)*Table_NFI[[#This Row],[NFI Core Kit]],Table_NFI[NFI Core Kit])</f>
        <v>0</v>
      </c>
      <c r="AA521" s="294">
        <f>IF(NFI_Expiration=1,IF($A521&lt;VLOOKUP(J$5,NFI,5,0),1,0)*Table_NFI[[#This Row],[Sanitary Kit]],Table_NFI[Sanitary Kit])</f>
        <v>0</v>
      </c>
      <c r="AB521" s="294">
        <f>IF(NFI_Expiration=1,IF($A521&lt;VLOOKUP(K$5,NFI,5,0),1,0)*Table_NFI[[#This Row],[Mosquito net]],Table_NFI[Mosquito net])</f>
        <v>0</v>
      </c>
      <c r="AC521" s="294">
        <f>IF(NFI_Expiration=1,IF($A521&lt;VLOOKUP(L$5,NFI,5,0),1,0)*Table_NFI[[#This Row],[Tarpaulin]],Table_NFI[[#This Row],[Tarpaulin]])</f>
        <v>0</v>
      </c>
      <c r="AD521" s="294">
        <f>IF(NFI_Expiration=1,IF($A521&lt;VLOOKUP(M$5,NFI,5,0),1,0)*Table_NFI[[#This Row],[Blanket]],Table_NFI[[#This Row],[Blanket]])</f>
        <v>0</v>
      </c>
      <c r="AE521" s="294">
        <f>IF(NFI_Expiration=1,IF($A521&lt;VLOOKUP(N$5,NFI,5,0),1,0)*Table_NFI[[#This Row],[Kitchen Set]],Table_NFI[Kitchen Set])</f>
        <v>0</v>
      </c>
      <c r="AF521" s="294">
        <f>IF(NFI_Expiration=1,IF($A521&lt;VLOOKUP(O$5,NFI,5,0),1,0)*Table_NFI[[#This Row],[Clothes Kit]],Table_NFI[Clothes Kit])</f>
        <v>0</v>
      </c>
      <c r="AG521" s="294">
        <f>IF(NFI_Expiration=1,IF($A521&lt;VLOOKUP(P$5,NFI,5,0),1,0)*Table_NFI[[#This Row],[Plastic Bucket]],Table_NFI[Plastic Bucket])</f>
        <v>0</v>
      </c>
      <c r="AH521" s="294">
        <f>IF(NFI_Expiration=1,IF($A521&lt;VLOOKUP(Q$5,NFI,5,0),1,0)*Table_NFI[[#This Row],[Plastic Mat]],Table_NFI[Plastic Mat])*IF(Table_NFI[[#This Row],[Distribution Date]]&gt;"2014-04-01",1,2.5)</f>
        <v>0</v>
      </c>
      <c r="AI521" s="294">
        <f>IF(NFI_Expiration=1,IF($A521&lt;VLOOKUP(R$5,NFI,5,0),1,0)*Table_NFI[[#This Row],[Winter Clothes Adult]],Table_NFI[Winter Clothes Adult])</f>
        <v>0</v>
      </c>
      <c r="AJ521" s="294">
        <f>IF(NFI_Expiration=1,IF($A521&lt;VLOOKUP(S$5,NFI,5,0),1,0)*Table_NFI[[#This Row],[Winter Clothes Children]],Table_NFI[Winter Clothes Children])</f>
        <v>0</v>
      </c>
      <c r="AK521" s="294">
        <f>IF(NFI_Expiration=1,IF($A521&lt;VLOOKUP(T$5,NFI,5,0),1,0)*Table_NFI[[#This Row],[Winter Items Other]],Table_NFI[Winter Items Other])</f>
        <v>0</v>
      </c>
      <c r="AL521" s="294">
        <f>IF(NFI_Expiration=1,IF($A521&lt;VLOOKUP(M$5,NFI,5,0),1,0)*Table_NFI[[#This Row],[Winter Blanket]],Table_NFI[[#This Row],[Winter Blanket]])</f>
        <v>0</v>
      </c>
      <c r="AM521" s="294">
        <f>IF(Table_NFI[[#This Row],[Winter Clothes Adult]]+Table_NFI[[#This Row],[Winter Clothes Children]]+Table_NFI[[#This Row],[Winter Items Other]]+Table_NFI[[#This Row],[Winter Blanket]]&gt;0,1,0)</f>
        <v>0</v>
      </c>
      <c r="AN521" s="331">
        <f>IF(NFI_Expiration=1,IF($A521&lt;VLOOKUP(V$5,NFI,5,0),1,0)*Table_NFI[[#This Row],[Jerry Can]],Table_NFI[Jerry Can])</f>
        <v>0</v>
      </c>
      <c r="AO521" s="331">
        <f>IF(NFI_Expiration=1,IF($A521&lt;VLOOKUP(V$5,NFI,5,0),1,0)*Table_NFI[[#This Row],[Shelter Tool kit]],Table_NFI[Shelter Tool kit])</f>
        <v>0</v>
      </c>
      <c r="AP521" s="331">
        <f>IF(NFI_Expiration=1,IF($A521&lt;VLOOKUP(V$5,NFI,5,0),1,0)*Table_NFI[[#This Row],[Tent]],Table_NFI[Tent])</f>
        <v>0</v>
      </c>
      <c r="AQ521" s="467" t="str">
        <f>IFERROR(VLOOKUP(Table_NFI[[#This Row],[Camp Name]],CL,2,0),"")</f>
        <v>MMR001CMP128</v>
      </c>
      <c r="AR521" s="835">
        <f ca="1">IF(Table_NFI[[#This Row],[Pcode]]="","",IF(OFFSET(CampList[Opening Date],MATCH(Table_NFI[[#This Row],[Pcode]],CampList[CP_Pcode],0)-1,0,1,1)&gt;=NFI_Monitor_Date,1,0))</f>
        <v>0</v>
      </c>
      <c r="AS521" s="467" t="str">
        <f>IFERROR(VLOOKUP(Table_NFI[[#This Row],[Camp Name]],CL,3,0),"")</f>
        <v>Open</v>
      </c>
      <c r="AT521" s="294" t="str">
        <f ca="1">IF(Table_NFI[[#This Row],[Pcode]]="","",OFFSET(CampList[Priority],MATCH(Table_NFI[[#This Row],[Pcode]],CampList[CP_Pcode],0)-1,0,1,1))</f>
        <v>P2</v>
      </c>
      <c r="AU521" s="293">
        <f>IFERROR(Table_NFI[[#This Row],[Kitchen Set]]/VLOOKUP(Table_NFI[[#This Row],[Camp Name]],CL,4,0),"")</f>
        <v>0</v>
      </c>
      <c r="AV521" s="461" t="s">
        <v>1092</v>
      </c>
      <c r="AW521" s="463"/>
    </row>
    <row r="522" spans="1:49" s="464" customFormat="1" ht="14.45" customHeight="1" x14ac:dyDescent="0.25">
      <c r="A522" s="297">
        <f t="shared" si="8"/>
        <v>37.6</v>
      </c>
      <c r="B522" s="460">
        <v>41608</v>
      </c>
      <c r="C522" s="461" t="s">
        <v>905</v>
      </c>
      <c r="D522" s="461" t="s">
        <v>460</v>
      </c>
      <c r="E522" s="461" t="s">
        <v>380</v>
      </c>
      <c r="F522" s="290" t="s">
        <v>27</v>
      </c>
      <c r="G522" s="290" t="s">
        <v>365</v>
      </c>
      <c r="H522" s="291"/>
      <c r="I522" s="291"/>
      <c r="J522" s="291"/>
      <c r="K522" s="291"/>
      <c r="L522" s="292"/>
      <c r="M522" s="292"/>
      <c r="N522" s="292"/>
      <c r="O522" s="292"/>
      <c r="P522" s="294"/>
      <c r="Q522" s="294"/>
      <c r="R522" s="294"/>
      <c r="S522" s="294"/>
      <c r="T522" s="294"/>
      <c r="U522" s="294"/>
      <c r="V522" s="431"/>
      <c r="W522" s="294"/>
      <c r="X522" s="294"/>
      <c r="Y522" s="294">
        <f>IF(NFI_Expiration=1,IF($A522&lt;VLOOKUP(H$5,NFI,5,0),1,0)*Table_NFI[[#This Row],[Hygiene Kit]],Table_NFI[Hygiene Kit])</f>
        <v>0</v>
      </c>
      <c r="Z522" s="294">
        <f>IF(NFI_Expiration=1,IF($A522&lt;VLOOKUP(I$5,NFI,5,0),1,0)*Table_NFI[[#This Row],[NFI Core Kit]],Table_NFI[NFI Core Kit])</f>
        <v>0</v>
      </c>
      <c r="AA522" s="294">
        <f>IF(NFI_Expiration=1,IF($A522&lt;VLOOKUP(J$5,NFI,5,0),1,0)*Table_NFI[[#This Row],[Sanitary Kit]],Table_NFI[Sanitary Kit])</f>
        <v>0</v>
      </c>
      <c r="AB522" s="294">
        <f>IF(NFI_Expiration=1,IF($A522&lt;VLOOKUP(K$5,NFI,5,0),1,0)*Table_NFI[[#This Row],[Mosquito net]],Table_NFI[Mosquito net])</f>
        <v>0</v>
      </c>
      <c r="AC522" s="294">
        <f>IF(NFI_Expiration=1,IF($A522&lt;VLOOKUP(L$5,NFI,5,0),1,0)*Table_NFI[[#This Row],[Tarpaulin]],Table_NFI[[#This Row],[Tarpaulin]])</f>
        <v>0</v>
      </c>
      <c r="AD522" s="294">
        <f>IF(NFI_Expiration=1,IF($A522&lt;VLOOKUP(M$5,NFI,5,0),1,0)*Table_NFI[[#This Row],[Blanket]],Table_NFI[[#This Row],[Blanket]])</f>
        <v>0</v>
      </c>
      <c r="AE522" s="294">
        <f>IF(NFI_Expiration=1,IF($A522&lt;VLOOKUP(N$5,NFI,5,0),1,0)*Table_NFI[[#This Row],[Kitchen Set]],Table_NFI[Kitchen Set])</f>
        <v>0</v>
      </c>
      <c r="AF522" s="294">
        <f>IF(NFI_Expiration=1,IF($A522&lt;VLOOKUP(O$5,NFI,5,0),1,0)*Table_NFI[[#This Row],[Clothes Kit]],Table_NFI[Clothes Kit])</f>
        <v>0</v>
      </c>
      <c r="AG522" s="294">
        <f>IF(NFI_Expiration=1,IF($A522&lt;VLOOKUP(P$5,NFI,5,0),1,0)*Table_NFI[[#This Row],[Plastic Bucket]],Table_NFI[Plastic Bucket])</f>
        <v>0</v>
      </c>
      <c r="AH522" s="294">
        <f>IF(NFI_Expiration=1,IF($A522&lt;VLOOKUP(Q$5,NFI,5,0),1,0)*Table_NFI[[#This Row],[Plastic Mat]],Table_NFI[Plastic Mat])*IF(Table_NFI[[#This Row],[Distribution Date]]&gt;"2014-04-01",1,2.5)</f>
        <v>0</v>
      </c>
      <c r="AI522" s="294">
        <f>IF(NFI_Expiration=1,IF($A522&lt;VLOOKUP(R$5,NFI,5,0),1,0)*Table_NFI[[#This Row],[Winter Clothes Adult]],Table_NFI[Winter Clothes Adult])</f>
        <v>0</v>
      </c>
      <c r="AJ522" s="294">
        <f>IF(NFI_Expiration=1,IF($A522&lt;VLOOKUP(S$5,NFI,5,0),1,0)*Table_NFI[[#This Row],[Winter Clothes Children]],Table_NFI[Winter Clothes Children])</f>
        <v>0</v>
      </c>
      <c r="AK522" s="294">
        <f>IF(NFI_Expiration=1,IF($A522&lt;VLOOKUP(T$5,NFI,5,0),1,0)*Table_NFI[[#This Row],[Winter Items Other]],Table_NFI[Winter Items Other])</f>
        <v>0</v>
      </c>
      <c r="AL522" s="294">
        <f>IF(NFI_Expiration=1,IF($A522&lt;VLOOKUP(M$5,NFI,5,0),1,0)*Table_NFI[[#This Row],[Winter Blanket]],Table_NFI[[#This Row],[Winter Blanket]])</f>
        <v>0</v>
      </c>
      <c r="AM522" s="294">
        <f>IF(Table_NFI[[#This Row],[Winter Clothes Adult]]+Table_NFI[[#This Row],[Winter Clothes Children]]+Table_NFI[[#This Row],[Winter Items Other]]+Table_NFI[[#This Row],[Winter Blanket]]&gt;0,1,0)</f>
        <v>0</v>
      </c>
      <c r="AN522" s="331">
        <f>IF(NFI_Expiration=1,IF($A522&lt;VLOOKUP(V$5,NFI,5,0),1,0)*Table_NFI[[#This Row],[Jerry Can]],Table_NFI[Jerry Can])</f>
        <v>0</v>
      </c>
      <c r="AO522" s="331">
        <f>IF(NFI_Expiration=1,IF($A522&lt;VLOOKUP(V$5,NFI,5,0),1,0)*Table_NFI[[#This Row],[Shelter Tool kit]],Table_NFI[Shelter Tool kit])</f>
        <v>0</v>
      </c>
      <c r="AP522" s="331">
        <f>IF(NFI_Expiration=1,IF($A522&lt;VLOOKUP(V$5,NFI,5,0),1,0)*Table_NFI[[#This Row],[Tent]],Table_NFI[Tent])</f>
        <v>0</v>
      </c>
      <c r="AQ522" s="467" t="str">
        <f>IFERROR(VLOOKUP(Table_NFI[[#This Row],[Camp Name]],CL,2,0),"")</f>
        <v>MMR001CMP195</v>
      </c>
      <c r="AR522" s="835">
        <f ca="1">IF(Table_NFI[[#This Row],[Pcode]]="","",IF(OFFSET(CampList[Opening Date],MATCH(Table_NFI[[#This Row],[Pcode]],CampList[CP_Pcode],0)-1,0,1,1)&gt;=NFI_Monitor_Date,1,0))</f>
        <v>0</v>
      </c>
      <c r="AS522" s="467" t="str">
        <f>IFERROR(VLOOKUP(Table_NFI[[#This Row],[Camp Name]],CL,3,0),"")</f>
        <v>Open</v>
      </c>
      <c r="AT522" s="294" t="str">
        <f ca="1">IF(Table_NFI[[#This Row],[Pcode]]="","",OFFSET(CampList[Priority],MATCH(Table_NFI[[#This Row],[Pcode]],CampList[CP_Pcode],0)-1,0,1,1))</f>
        <v>P1</v>
      </c>
      <c r="AU522" s="293">
        <f>IFERROR(Table_NFI[[#This Row],[Kitchen Set]]/VLOOKUP(Table_NFI[[#This Row],[Camp Name]],CL,4,0),"")</f>
        <v>0</v>
      </c>
      <c r="AV522" s="461" t="s">
        <v>1092</v>
      </c>
      <c r="AW522" s="463"/>
    </row>
    <row r="523" spans="1:49" s="464" customFormat="1" ht="14.45" customHeight="1" x14ac:dyDescent="0.25">
      <c r="A523" s="297">
        <f t="shared" si="8"/>
        <v>37.6</v>
      </c>
      <c r="B523" s="460">
        <v>41608</v>
      </c>
      <c r="C523" s="461" t="s">
        <v>1097</v>
      </c>
      <c r="D523" s="462" t="s">
        <v>944</v>
      </c>
      <c r="E523" s="461" t="s">
        <v>380</v>
      </c>
      <c r="F523" s="290" t="s">
        <v>5</v>
      </c>
      <c r="G523" s="290" t="s">
        <v>18</v>
      </c>
      <c r="H523" s="291"/>
      <c r="I523" s="291"/>
      <c r="J523" s="291"/>
      <c r="K523" s="291"/>
      <c r="L523" s="292"/>
      <c r="M523" s="292">
        <v>206</v>
      </c>
      <c r="N523" s="292"/>
      <c r="O523" s="292"/>
      <c r="P523" s="294"/>
      <c r="Q523" s="294"/>
      <c r="R523" s="294">
        <v>242</v>
      </c>
      <c r="S523" s="294">
        <v>156</v>
      </c>
      <c r="T523" s="294">
        <v>0</v>
      </c>
      <c r="U523" s="294"/>
      <c r="V523" s="431"/>
      <c r="W523" s="294"/>
      <c r="X523" s="294"/>
      <c r="Y523" s="294">
        <f>IF(NFI_Expiration=1,IF($A523&lt;VLOOKUP(H$5,NFI,5,0),1,0)*Table_NFI[[#This Row],[Hygiene Kit]],Table_NFI[Hygiene Kit])</f>
        <v>0</v>
      </c>
      <c r="Z523" s="294">
        <f>IF(NFI_Expiration=1,IF($A523&lt;VLOOKUP(I$5,NFI,5,0),1,0)*Table_NFI[[#This Row],[NFI Core Kit]],Table_NFI[NFI Core Kit])</f>
        <v>0</v>
      </c>
      <c r="AA523" s="294">
        <f>IF(NFI_Expiration=1,IF($A523&lt;VLOOKUP(J$5,NFI,5,0),1,0)*Table_NFI[[#This Row],[Sanitary Kit]],Table_NFI[Sanitary Kit])</f>
        <v>0</v>
      </c>
      <c r="AB523" s="294">
        <f>IF(NFI_Expiration=1,IF($A523&lt;VLOOKUP(K$5,NFI,5,0),1,0)*Table_NFI[[#This Row],[Mosquito net]],Table_NFI[Mosquito net])</f>
        <v>0</v>
      </c>
      <c r="AC523" s="294">
        <f>IF(NFI_Expiration=1,IF($A523&lt;VLOOKUP(L$5,NFI,5,0),1,0)*Table_NFI[[#This Row],[Tarpaulin]],Table_NFI[[#This Row],[Tarpaulin]])</f>
        <v>0</v>
      </c>
      <c r="AD523" s="294">
        <f>IF(NFI_Expiration=1,IF($A523&lt;VLOOKUP(M$5,NFI,5,0),1,0)*Table_NFI[[#This Row],[Blanket]],Table_NFI[[#This Row],[Blanket]])</f>
        <v>0</v>
      </c>
      <c r="AE523" s="294">
        <f>IF(NFI_Expiration=1,IF($A523&lt;VLOOKUP(N$5,NFI,5,0),1,0)*Table_NFI[[#This Row],[Kitchen Set]],Table_NFI[Kitchen Set])</f>
        <v>0</v>
      </c>
      <c r="AF523" s="294">
        <f>IF(NFI_Expiration=1,IF($A523&lt;VLOOKUP(O$5,NFI,5,0),1,0)*Table_NFI[[#This Row],[Clothes Kit]],Table_NFI[Clothes Kit])</f>
        <v>0</v>
      </c>
      <c r="AG523" s="294">
        <f>IF(NFI_Expiration=1,IF($A523&lt;VLOOKUP(P$5,NFI,5,0),1,0)*Table_NFI[[#This Row],[Plastic Bucket]],Table_NFI[Plastic Bucket])</f>
        <v>0</v>
      </c>
      <c r="AH523" s="294">
        <f>IF(NFI_Expiration=1,IF($A523&lt;VLOOKUP(Q$5,NFI,5,0),1,0)*Table_NFI[[#This Row],[Plastic Mat]],Table_NFI[Plastic Mat])*IF(Table_NFI[[#This Row],[Distribution Date]]&gt;"2014-04-01",1,2.5)</f>
        <v>0</v>
      </c>
      <c r="AI523" s="294">
        <f>IF(NFI_Expiration=1,IF($A523&lt;VLOOKUP(R$5,NFI,5,0),1,0)*Table_NFI[[#This Row],[Winter Clothes Adult]],Table_NFI[Winter Clothes Adult])</f>
        <v>0</v>
      </c>
      <c r="AJ523" s="294">
        <f>IF(NFI_Expiration=1,IF($A523&lt;VLOOKUP(S$5,NFI,5,0),1,0)*Table_NFI[[#This Row],[Winter Clothes Children]],Table_NFI[Winter Clothes Children])</f>
        <v>0</v>
      </c>
      <c r="AK523" s="294">
        <f>IF(NFI_Expiration=1,IF($A523&lt;VLOOKUP(T$5,NFI,5,0),1,0)*Table_NFI[[#This Row],[Winter Items Other]],Table_NFI[Winter Items Other])</f>
        <v>0</v>
      </c>
      <c r="AL523" s="294">
        <f>IF(NFI_Expiration=1,IF($A523&lt;VLOOKUP(M$5,NFI,5,0),1,0)*Table_NFI[[#This Row],[Winter Blanket]],Table_NFI[[#This Row],[Winter Blanket]])</f>
        <v>0</v>
      </c>
      <c r="AM523" s="294">
        <f>IF(Table_NFI[[#This Row],[Winter Clothes Adult]]+Table_NFI[[#This Row],[Winter Clothes Children]]+Table_NFI[[#This Row],[Winter Items Other]]+Table_NFI[[#This Row],[Winter Blanket]]&gt;0,1,0)</f>
        <v>1</v>
      </c>
      <c r="AN523" s="331">
        <f>IF(NFI_Expiration=1,IF($A523&lt;VLOOKUP(V$5,NFI,5,0),1,0)*Table_NFI[[#This Row],[Jerry Can]],Table_NFI[Jerry Can])</f>
        <v>0</v>
      </c>
      <c r="AO523" s="331">
        <f>IF(NFI_Expiration=1,IF($A523&lt;VLOOKUP(V$5,NFI,5,0),1,0)*Table_NFI[[#This Row],[Shelter Tool kit]],Table_NFI[Shelter Tool kit])</f>
        <v>0</v>
      </c>
      <c r="AP523" s="331">
        <f>IF(NFI_Expiration=1,IF($A523&lt;VLOOKUP(V$5,NFI,5,0),1,0)*Table_NFI[[#This Row],[Tent]],Table_NFI[Tent])</f>
        <v>0</v>
      </c>
      <c r="AQ523" s="467" t="str">
        <f>IFERROR(VLOOKUP(Table_NFI[[#This Row],[Camp Name]],CL,2,0),"")</f>
        <v>MMR001CMP049</v>
      </c>
      <c r="AR523" s="835">
        <f ca="1">IF(Table_NFI[[#This Row],[Pcode]]="","",IF(OFFSET(CampList[Opening Date],MATCH(Table_NFI[[#This Row],[Pcode]],CampList[CP_Pcode],0)-1,0,1,1)&gt;=NFI_Monitor_Date,1,0))</f>
        <v>0</v>
      </c>
      <c r="AS523" s="467" t="str">
        <f>IFERROR(VLOOKUP(Table_NFI[[#This Row],[Camp Name]],CL,3,0),"")</f>
        <v>Open</v>
      </c>
      <c r="AT523" s="294" t="str">
        <f ca="1">IF(Table_NFI[[#This Row],[Pcode]]="","",OFFSET(CampList[Priority],MATCH(Table_NFI[[#This Row],[Pcode]],CampList[CP_Pcode],0)-1,0,1,1))</f>
        <v>P4</v>
      </c>
      <c r="AU523" s="293">
        <f>IFERROR(Table_NFI[[#This Row],[Kitchen Set]]/VLOOKUP(Table_NFI[[#This Row],[Camp Name]],CL,4,0),"")</f>
        <v>0</v>
      </c>
      <c r="AV523" s="461" t="s">
        <v>1092</v>
      </c>
      <c r="AW523" s="463"/>
    </row>
    <row r="524" spans="1:49" s="464" customFormat="1" ht="14.45" customHeight="1" x14ac:dyDescent="0.25">
      <c r="A524" s="297">
        <f t="shared" si="8"/>
        <v>37.6</v>
      </c>
      <c r="B524" s="460">
        <v>41608</v>
      </c>
      <c r="C524" s="461" t="s">
        <v>905</v>
      </c>
      <c r="D524" s="461"/>
      <c r="E524" s="461" t="s">
        <v>380</v>
      </c>
      <c r="F524" s="290" t="s">
        <v>5</v>
      </c>
      <c r="G524" s="290" t="s">
        <v>18</v>
      </c>
      <c r="H524" s="291"/>
      <c r="I524" s="291"/>
      <c r="J524" s="291"/>
      <c r="K524" s="291"/>
      <c r="L524" s="292"/>
      <c r="M524" s="292"/>
      <c r="N524" s="292"/>
      <c r="O524" s="292"/>
      <c r="P524" s="294"/>
      <c r="Q524" s="294">
        <v>120</v>
      </c>
      <c r="R524" s="294"/>
      <c r="S524" s="294"/>
      <c r="T524" s="294"/>
      <c r="U524" s="294"/>
      <c r="V524" s="431"/>
      <c r="W524" s="294"/>
      <c r="X524" s="294"/>
      <c r="Y524" s="294">
        <f>IF(NFI_Expiration=1,IF($A524&lt;VLOOKUP(H$5,NFI,5,0),1,0)*Table_NFI[[#This Row],[Hygiene Kit]],Table_NFI[Hygiene Kit])</f>
        <v>0</v>
      </c>
      <c r="Z524" s="294">
        <f>IF(NFI_Expiration=1,IF($A524&lt;VLOOKUP(I$5,NFI,5,0),1,0)*Table_NFI[[#This Row],[NFI Core Kit]],Table_NFI[NFI Core Kit])</f>
        <v>0</v>
      </c>
      <c r="AA524" s="294">
        <f>IF(NFI_Expiration=1,IF($A524&lt;VLOOKUP(J$5,NFI,5,0),1,0)*Table_NFI[[#This Row],[Sanitary Kit]],Table_NFI[Sanitary Kit])</f>
        <v>0</v>
      </c>
      <c r="AB524" s="294">
        <f>IF(NFI_Expiration=1,IF($A524&lt;VLOOKUP(K$5,NFI,5,0),1,0)*Table_NFI[[#This Row],[Mosquito net]],Table_NFI[Mosquito net])</f>
        <v>0</v>
      </c>
      <c r="AC524" s="294">
        <f>IF(NFI_Expiration=1,IF($A524&lt;VLOOKUP(L$5,NFI,5,0),1,0)*Table_NFI[[#This Row],[Tarpaulin]],Table_NFI[[#This Row],[Tarpaulin]])</f>
        <v>0</v>
      </c>
      <c r="AD524" s="294">
        <f>IF(NFI_Expiration=1,IF($A524&lt;VLOOKUP(M$5,NFI,5,0),1,0)*Table_NFI[[#This Row],[Blanket]],Table_NFI[[#This Row],[Blanket]])</f>
        <v>0</v>
      </c>
      <c r="AE524" s="294">
        <f>IF(NFI_Expiration=1,IF($A524&lt;VLOOKUP(N$5,NFI,5,0),1,0)*Table_NFI[[#This Row],[Kitchen Set]],Table_NFI[Kitchen Set])</f>
        <v>0</v>
      </c>
      <c r="AF524" s="294">
        <f>IF(NFI_Expiration=1,IF($A524&lt;VLOOKUP(O$5,NFI,5,0),1,0)*Table_NFI[[#This Row],[Clothes Kit]],Table_NFI[Clothes Kit])</f>
        <v>0</v>
      </c>
      <c r="AG524" s="294">
        <f>IF(NFI_Expiration=1,IF($A524&lt;VLOOKUP(P$5,NFI,5,0),1,0)*Table_NFI[[#This Row],[Plastic Bucket]],Table_NFI[Plastic Bucket])</f>
        <v>0</v>
      </c>
      <c r="AH524" s="294">
        <f>IF(NFI_Expiration=1,IF($A524&lt;VLOOKUP(Q$5,NFI,5,0),1,0)*Table_NFI[[#This Row],[Plastic Mat]],Table_NFI[Plastic Mat])*IF(Table_NFI[[#This Row],[Distribution Date]]&gt;"2014-04-01",1,2.5)</f>
        <v>0</v>
      </c>
      <c r="AI524" s="294">
        <f>IF(NFI_Expiration=1,IF($A524&lt;VLOOKUP(R$5,NFI,5,0),1,0)*Table_NFI[[#This Row],[Winter Clothes Adult]],Table_NFI[Winter Clothes Adult])</f>
        <v>0</v>
      </c>
      <c r="AJ524" s="294">
        <f>IF(NFI_Expiration=1,IF($A524&lt;VLOOKUP(S$5,NFI,5,0),1,0)*Table_NFI[[#This Row],[Winter Clothes Children]],Table_NFI[Winter Clothes Children])</f>
        <v>0</v>
      </c>
      <c r="AK524" s="294">
        <f>IF(NFI_Expiration=1,IF($A524&lt;VLOOKUP(T$5,NFI,5,0),1,0)*Table_NFI[[#This Row],[Winter Items Other]],Table_NFI[Winter Items Other])</f>
        <v>0</v>
      </c>
      <c r="AL524" s="294">
        <f>IF(NFI_Expiration=1,IF($A524&lt;VLOOKUP(M$5,NFI,5,0),1,0)*Table_NFI[[#This Row],[Winter Blanket]],Table_NFI[[#This Row],[Winter Blanket]])</f>
        <v>0</v>
      </c>
      <c r="AM524" s="294">
        <f>IF(Table_NFI[[#This Row],[Winter Clothes Adult]]+Table_NFI[[#This Row],[Winter Clothes Children]]+Table_NFI[[#This Row],[Winter Items Other]]+Table_NFI[[#This Row],[Winter Blanket]]&gt;0,1,0)</f>
        <v>0</v>
      </c>
      <c r="AN524" s="331">
        <f>IF(NFI_Expiration=1,IF($A524&lt;VLOOKUP(V$5,NFI,5,0),1,0)*Table_NFI[[#This Row],[Jerry Can]],Table_NFI[Jerry Can])</f>
        <v>0</v>
      </c>
      <c r="AO524" s="331">
        <f>IF(NFI_Expiration=1,IF($A524&lt;VLOOKUP(V$5,NFI,5,0),1,0)*Table_NFI[[#This Row],[Shelter Tool kit]],Table_NFI[Shelter Tool kit])</f>
        <v>0</v>
      </c>
      <c r="AP524" s="331">
        <f>IF(NFI_Expiration=1,IF($A524&lt;VLOOKUP(V$5,NFI,5,0),1,0)*Table_NFI[[#This Row],[Tent]],Table_NFI[Tent])</f>
        <v>0</v>
      </c>
      <c r="AQ524" s="467" t="str">
        <f>IFERROR(VLOOKUP(Table_NFI[[#This Row],[Camp Name]],CL,2,0),"")</f>
        <v>MMR001CMP049</v>
      </c>
      <c r="AR524" s="835">
        <f ca="1">IF(Table_NFI[[#This Row],[Pcode]]="","",IF(OFFSET(CampList[Opening Date],MATCH(Table_NFI[[#This Row],[Pcode]],CampList[CP_Pcode],0)-1,0,1,1)&gt;=NFI_Monitor_Date,1,0))</f>
        <v>0</v>
      </c>
      <c r="AS524" s="467" t="str">
        <f>IFERROR(VLOOKUP(Table_NFI[[#This Row],[Camp Name]],CL,3,0),"")</f>
        <v>Open</v>
      </c>
      <c r="AT524" s="294" t="str">
        <f ca="1">IF(Table_NFI[[#This Row],[Pcode]]="","",OFFSET(CampList[Priority],MATCH(Table_NFI[[#This Row],[Pcode]],CampList[CP_Pcode],0)-1,0,1,1))</f>
        <v>P4</v>
      </c>
      <c r="AU524" s="293">
        <f>IFERROR(Table_NFI[[#This Row],[Kitchen Set]]/VLOOKUP(Table_NFI[[#This Row],[Camp Name]],CL,4,0),"")</f>
        <v>0</v>
      </c>
      <c r="AV524" s="461" t="s">
        <v>1092</v>
      </c>
      <c r="AW524" s="463"/>
    </row>
    <row r="525" spans="1:49" s="464" customFormat="1" ht="14.45" customHeight="1" x14ac:dyDescent="0.25">
      <c r="A525" s="297">
        <f t="shared" si="8"/>
        <v>37.6</v>
      </c>
      <c r="B525" s="460">
        <v>41608</v>
      </c>
      <c r="C525" s="461" t="s">
        <v>905</v>
      </c>
      <c r="D525" s="461"/>
      <c r="E525" s="461" t="s">
        <v>380</v>
      </c>
      <c r="F525" s="290" t="s">
        <v>185</v>
      </c>
      <c r="G525" s="290" t="s">
        <v>186</v>
      </c>
      <c r="H525" s="291"/>
      <c r="I525" s="291"/>
      <c r="J525" s="291"/>
      <c r="K525" s="291"/>
      <c r="L525" s="292"/>
      <c r="M525" s="292"/>
      <c r="N525" s="292"/>
      <c r="O525" s="292"/>
      <c r="P525" s="294"/>
      <c r="Q525" s="294">
        <v>105</v>
      </c>
      <c r="R525" s="294"/>
      <c r="S525" s="294"/>
      <c r="T525" s="294"/>
      <c r="U525" s="294"/>
      <c r="V525" s="431"/>
      <c r="W525" s="294"/>
      <c r="X525" s="294"/>
      <c r="Y525" s="294">
        <f>IF(NFI_Expiration=1,IF($A525&lt;VLOOKUP(H$5,NFI,5,0),1,0)*Table_NFI[[#This Row],[Hygiene Kit]],Table_NFI[Hygiene Kit])</f>
        <v>0</v>
      </c>
      <c r="Z525" s="294">
        <f>IF(NFI_Expiration=1,IF($A525&lt;VLOOKUP(I$5,NFI,5,0),1,0)*Table_NFI[[#This Row],[NFI Core Kit]],Table_NFI[NFI Core Kit])</f>
        <v>0</v>
      </c>
      <c r="AA525" s="294">
        <f>IF(NFI_Expiration=1,IF($A525&lt;VLOOKUP(J$5,NFI,5,0),1,0)*Table_NFI[[#This Row],[Sanitary Kit]],Table_NFI[Sanitary Kit])</f>
        <v>0</v>
      </c>
      <c r="AB525" s="294">
        <f>IF(NFI_Expiration=1,IF($A525&lt;VLOOKUP(K$5,NFI,5,0),1,0)*Table_NFI[[#This Row],[Mosquito net]],Table_NFI[Mosquito net])</f>
        <v>0</v>
      </c>
      <c r="AC525" s="294">
        <f>IF(NFI_Expiration=1,IF($A525&lt;VLOOKUP(L$5,NFI,5,0),1,0)*Table_NFI[[#This Row],[Tarpaulin]],Table_NFI[[#This Row],[Tarpaulin]])</f>
        <v>0</v>
      </c>
      <c r="AD525" s="294">
        <f>IF(NFI_Expiration=1,IF($A525&lt;VLOOKUP(M$5,NFI,5,0),1,0)*Table_NFI[[#This Row],[Blanket]],Table_NFI[[#This Row],[Blanket]])</f>
        <v>0</v>
      </c>
      <c r="AE525" s="294">
        <f>IF(NFI_Expiration=1,IF($A525&lt;VLOOKUP(N$5,NFI,5,0),1,0)*Table_NFI[[#This Row],[Kitchen Set]],Table_NFI[Kitchen Set])</f>
        <v>0</v>
      </c>
      <c r="AF525" s="294">
        <f>IF(NFI_Expiration=1,IF($A525&lt;VLOOKUP(O$5,NFI,5,0),1,0)*Table_NFI[[#This Row],[Clothes Kit]],Table_NFI[Clothes Kit])</f>
        <v>0</v>
      </c>
      <c r="AG525" s="294">
        <f>IF(NFI_Expiration=1,IF($A525&lt;VLOOKUP(P$5,NFI,5,0),1,0)*Table_NFI[[#This Row],[Plastic Bucket]],Table_NFI[Plastic Bucket])</f>
        <v>0</v>
      </c>
      <c r="AH525" s="294">
        <f>IF(NFI_Expiration=1,IF($A525&lt;VLOOKUP(Q$5,NFI,5,0),1,0)*Table_NFI[[#This Row],[Plastic Mat]],Table_NFI[Plastic Mat])*IF(Table_NFI[[#This Row],[Distribution Date]]&gt;"2014-04-01",1,2.5)</f>
        <v>0</v>
      </c>
      <c r="AI525" s="294">
        <f>IF(NFI_Expiration=1,IF($A525&lt;VLOOKUP(R$5,NFI,5,0),1,0)*Table_NFI[[#This Row],[Winter Clothes Adult]],Table_NFI[Winter Clothes Adult])</f>
        <v>0</v>
      </c>
      <c r="AJ525" s="294">
        <f>IF(NFI_Expiration=1,IF($A525&lt;VLOOKUP(S$5,NFI,5,0),1,0)*Table_NFI[[#This Row],[Winter Clothes Children]],Table_NFI[Winter Clothes Children])</f>
        <v>0</v>
      </c>
      <c r="AK525" s="294">
        <f>IF(NFI_Expiration=1,IF($A525&lt;VLOOKUP(T$5,NFI,5,0),1,0)*Table_NFI[[#This Row],[Winter Items Other]],Table_NFI[Winter Items Other])</f>
        <v>0</v>
      </c>
      <c r="AL525" s="294">
        <f>IF(NFI_Expiration=1,IF($A525&lt;VLOOKUP(M$5,NFI,5,0),1,0)*Table_NFI[[#This Row],[Winter Blanket]],Table_NFI[[#This Row],[Winter Blanket]])</f>
        <v>0</v>
      </c>
      <c r="AM525" s="294">
        <f>IF(Table_NFI[[#This Row],[Winter Clothes Adult]]+Table_NFI[[#This Row],[Winter Clothes Children]]+Table_NFI[[#This Row],[Winter Items Other]]+Table_NFI[[#This Row],[Winter Blanket]]&gt;0,1,0)</f>
        <v>0</v>
      </c>
      <c r="AN525" s="331">
        <f>IF(NFI_Expiration=1,IF($A525&lt;VLOOKUP(V$5,NFI,5,0),1,0)*Table_NFI[[#This Row],[Jerry Can]],Table_NFI[Jerry Can])</f>
        <v>0</v>
      </c>
      <c r="AO525" s="331">
        <f>IF(NFI_Expiration=1,IF($A525&lt;VLOOKUP(V$5,NFI,5,0),1,0)*Table_NFI[[#This Row],[Shelter Tool kit]],Table_NFI[Shelter Tool kit])</f>
        <v>0</v>
      </c>
      <c r="AP525" s="331">
        <f>IF(NFI_Expiration=1,IF($A525&lt;VLOOKUP(V$5,NFI,5,0),1,0)*Table_NFI[[#This Row],[Tent]],Table_NFI[Tent])</f>
        <v>0</v>
      </c>
      <c r="AQ525" s="467" t="str">
        <f>IFERROR(VLOOKUP(Table_NFI[[#This Row],[Camp Name]],CL,2,0),"")</f>
        <v>MMR001CMP071</v>
      </c>
      <c r="AR525" s="835">
        <f ca="1">IF(Table_NFI[[#This Row],[Pcode]]="","",IF(OFFSET(CampList[Opening Date],MATCH(Table_NFI[[#This Row],[Pcode]],CampList[CP_Pcode],0)-1,0,1,1)&gt;=NFI_Monitor_Date,1,0))</f>
        <v>0</v>
      </c>
      <c r="AS525" s="467" t="str">
        <f>IFERROR(VLOOKUP(Table_NFI[[#This Row],[Camp Name]],CL,3,0),"")</f>
        <v>Open</v>
      </c>
      <c r="AT525" s="294" t="str">
        <f ca="1">IF(Table_NFI[[#This Row],[Pcode]]="","",OFFSET(CampList[Priority],MATCH(Table_NFI[[#This Row],[Pcode]],CampList[CP_Pcode],0)-1,0,1,1))</f>
        <v>P3</v>
      </c>
      <c r="AU525" s="293">
        <f>IFERROR(Table_NFI[[#This Row],[Kitchen Set]]/VLOOKUP(Table_NFI[[#This Row],[Camp Name]],CL,4,0),"")</f>
        <v>0</v>
      </c>
      <c r="AV525" s="461" t="s">
        <v>1092</v>
      </c>
      <c r="AW525" s="463"/>
    </row>
    <row r="526" spans="1:49" s="464" customFormat="1" ht="14.45" customHeight="1" x14ac:dyDescent="0.25">
      <c r="A526" s="297">
        <f t="shared" si="8"/>
        <v>37.6</v>
      </c>
      <c r="B526" s="460">
        <v>41608</v>
      </c>
      <c r="C526" s="461" t="s">
        <v>905</v>
      </c>
      <c r="D526" s="461"/>
      <c r="E526" s="461" t="s">
        <v>380</v>
      </c>
      <c r="F526" s="290" t="s">
        <v>185</v>
      </c>
      <c r="G526" s="290" t="s">
        <v>223</v>
      </c>
      <c r="H526" s="291"/>
      <c r="I526" s="291"/>
      <c r="J526" s="291"/>
      <c r="K526" s="291"/>
      <c r="L526" s="292"/>
      <c r="M526" s="292"/>
      <c r="N526" s="292"/>
      <c r="O526" s="292"/>
      <c r="P526" s="294"/>
      <c r="Q526" s="294">
        <v>246</v>
      </c>
      <c r="R526" s="294"/>
      <c r="S526" s="294"/>
      <c r="T526" s="294"/>
      <c r="U526" s="294"/>
      <c r="V526" s="431"/>
      <c r="W526" s="294"/>
      <c r="X526" s="294"/>
      <c r="Y526" s="294">
        <f>IF(NFI_Expiration=1,IF($A526&lt;VLOOKUP(H$5,NFI,5,0),1,0)*Table_NFI[[#This Row],[Hygiene Kit]],Table_NFI[Hygiene Kit])</f>
        <v>0</v>
      </c>
      <c r="Z526" s="294">
        <f>IF(NFI_Expiration=1,IF($A526&lt;VLOOKUP(I$5,NFI,5,0),1,0)*Table_NFI[[#This Row],[NFI Core Kit]],Table_NFI[NFI Core Kit])</f>
        <v>0</v>
      </c>
      <c r="AA526" s="294">
        <f>IF(NFI_Expiration=1,IF($A526&lt;VLOOKUP(J$5,NFI,5,0),1,0)*Table_NFI[[#This Row],[Sanitary Kit]],Table_NFI[Sanitary Kit])</f>
        <v>0</v>
      </c>
      <c r="AB526" s="294">
        <f>IF(NFI_Expiration=1,IF($A526&lt;VLOOKUP(K$5,NFI,5,0),1,0)*Table_NFI[[#This Row],[Mosquito net]],Table_NFI[Mosquito net])</f>
        <v>0</v>
      </c>
      <c r="AC526" s="294">
        <f>IF(NFI_Expiration=1,IF($A526&lt;VLOOKUP(L$5,NFI,5,0),1,0)*Table_NFI[[#This Row],[Tarpaulin]],Table_NFI[[#This Row],[Tarpaulin]])</f>
        <v>0</v>
      </c>
      <c r="AD526" s="294">
        <f>IF(NFI_Expiration=1,IF($A526&lt;VLOOKUP(M$5,NFI,5,0),1,0)*Table_NFI[[#This Row],[Blanket]],Table_NFI[[#This Row],[Blanket]])</f>
        <v>0</v>
      </c>
      <c r="AE526" s="294">
        <f>IF(NFI_Expiration=1,IF($A526&lt;VLOOKUP(N$5,NFI,5,0),1,0)*Table_NFI[[#This Row],[Kitchen Set]],Table_NFI[Kitchen Set])</f>
        <v>0</v>
      </c>
      <c r="AF526" s="294">
        <f>IF(NFI_Expiration=1,IF($A526&lt;VLOOKUP(O$5,NFI,5,0),1,0)*Table_NFI[[#This Row],[Clothes Kit]],Table_NFI[Clothes Kit])</f>
        <v>0</v>
      </c>
      <c r="AG526" s="294">
        <f>IF(NFI_Expiration=1,IF($A526&lt;VLOOKUP(P$5,NFI,5,0),1,0)*Table_NFI[[#This Row],[Plastic Bucket]],Table_NFI[Plastic Bucket])</f>
        <v>0</v>
      </c>
      <c r="AH526" s="294">
        <f>IF(NFI_Expiration=1,IF($A526&lt;VLOOKUP(Q$5,NFI,5,0),1,0)*Table_NFI[[#This Row],[Plastic Mat]],Table_NFI[Plastic Mat])*IF(Table_NFI[[#This Row],[Distribution Date]]&gt;"2014-04-01",1,2.5)</f>
        <v>0</v>
      </c>
      <c r="AI526" s="294">
        <f>IF(NFI_Expiration=1,IF($A526&lt;VLOOKUP(R$5,NFI,5,0),1,0)*Table_NFI[[#This Row],[Winter Clothes Adult]],Table_NFI[Winter Clothes Adult])</f>
        <v>0</v>
      </c>
      <c r="AJ526" s="294">
        <f>IF(NFI_Expiration=1,IF($A526&lt;VLOOKUP(S$5,NFI,5,0),1,0)*Table_NFI[[#This Row],[Winter Clothes Children]],Table_NFI[Winter Clothes Children])</f>
        <v>0</v>
      </c>
      <c r="AK526" s="294">
        <f>IF(NFI_Expiration=1,IF($A526&lt;VLOOKUP(T$5,NFI,5,0),1,0)*Table_NFI[[#This Row],[Winter Items Other]],Table_NFI[Winter Items Other])</f>
        <v>0</v>
      </c>
      <c r="AL526" s="294">
        <f>IF(NFI_Expiration=1,IF($A526&lt;VLOOKUP(M$5,NFI,5,0),1,0)*Table_NFI[[#This Row],[Winter Blanket]],Table_NFI[[#This Row],[Winter Blanket]])</f>
        <v>0</v>
      </c>
      <c r="AM526" s="294">
        <f>IF(Table_NFI[[#This Row],[Winter Clothes Adult]]+Table_NFI[[#This Row],[Winter Clothes Children]]+Table_NFI[[#This Row],[Winter Items Other]]+Table_NFI[[#This Row],[Winter Blanket]]&gt;0,1,0)</f>
        <v>0</v>
      </c>
      <c r="AN526" s="331">
        <f>IF(NFI_Expiration=1,IF($A526&lt;VLOOKUP(V$5,NFI,5,0),1,0)*Table_NFI[[#This Row],[Jerry Can]],Table_NFI[Jerry Can])</f>
        <v>0</v>
      </c>
      <c r="AO526" s="331">
        <f>IF(NFI_Expiration=1,IF($A526&lt;VLOOKUP(V$5,NFI,5,0),1,0)*Table_NFI[[#This Row],[Shelter Tool kit]],Table_NFI[Shelter Tool kit])</f>
        <v>0</v>
      </c>
      <c r="AP526" s="331">
        <f>IF(NFI_Expiration=1,IF($A526&lt;VLOOKUP(V$5,NFI,5,0),1,0)*Table_NFI[[#This Row],[Tent]],Table_NFI[Tent])</f>
        <v>0</v>
      </c>
      <c r="AQ526" s="467" t="str">
        <f>IFERROR(VLOOKUP(Table_NFI[[#This Row],[Camp Name]],CL,2,0),"")</f>
        <v>MMR001CMP069</v>
      </c>
      <c r="AR526" s="835">
        <f ca="1">IF(Table_NFI[[#This Row],[Pcode]]="","",IF(OFFSET(CampList[Opening Date],MATCH(Table_NFI[[#This Row],[Pcode]],CampList[CP_Pcode],0)-1,0,1,1)&gt;=NFI_Monitor_Date,1,0))</f>
        <v>0</v>
      </c>
      <c r="AS526" s="467" t="str">
        <f>IFERROR(VLOOKUP(Table_NFI[[#This Row],[Camp Name]],CL,3,0),"")</f>
        <v>Open</v>
      </c>
      <c r="AT526" s="294" t="str">
        <f ca="1">IF(Table_NFI[[#This Row],[Pcode]]="","",OFFSET(CampList[Priority],MATCH(Table_NFI[[#This Row],[Pcode]],CampList[CP_Pcode],0)-1,0,1,1))</f>
        <v>P3</v>
      </c>
      <c r="AU526" s="293">
        <f>IFERROR(Table_NFI[[#This Row],[Kitchen Set]]/VLOOKUP(Table_NFI[[#This Row],[Camp Name]],CL,4,0),"")</f>
        <v>0</v>
      </c>
      <c r="AV526" s="461" t="s">
        <v>1092</v>
      </c>
      <c r="AW526" s="463"/>
    </row>
    <row r="527" spans="1:49" s="464" customFormat="1" ht="14.45" customHeight="1" x14ac:dyDescent="0.25">
      <c r="A527" s="297">
        <f t="shared" si="8"/>
        <v>37.6</v>
      </c>
      <c r="B527" s="460">
        <v>41608</v>
      </c>
      <c r="C527" s="461" t="s">
        <v>905</v>
      </c>
      <c r="D527" s="461"/>
      <c r="E527" s="461" t="s">
        <v>380</v>
      </c>
      <c r="F527" s="290" t="s">
        <v>185</v>
      </c>
      <c r="G527" s="290" t="s">
        <v>190</v>
      </c>
      <c r="H527" s="291"/>
      <c r="I527" s="291"/>
      <c r="J527" s="291"/>
      <c r="K527" s="291"/>
      <c r="L527" s="292"/>
      <c r="M527" s="292"/>
      <c r="N527" s="292"/>
      <c r="O527" s="292"/>
      <c r="P527" s="294"/>
      <c r="Q527" s="294">
        <v>369</v>
      </c>
      <c r="R527" s="294"/>
      <c r="S527" s="294"/>
      <c r="T527" s="294"/>
      <c r="U527" s="294"/>
      <c r="V527" s="431"/>
      <c r="W527" s="294"/>
      <c r="X527" s="294"/>
      <c r="Y527" s="294">
        <f>IF(NFI_Expiration=1,IF($A527&lt;VLOOKUP(H$5,NFI,5,0),1,0)*Table_NFI[[#This Row],[Hygiene Kit]],Table_NFI[Hygiene Kit])</f>
        <v>0</v>
      </c>
      <c r="Z527" s="294">
        <f>IF(NFI_Expiration=1,IF($A527&lt;VLOOKUP(I$5,NFI,5,0),1,0)*Table_NFI[[#This Row],[NFI Core Kit]],Table_NFI[NFI Core Kit])</f>
        <v>0</v>
      </c>
      <c r="AA527" s="294">
        <f>IF(NFI_Expiration=1,IF($A527&lt;VLOOKUP(J$5,NFI,5,0),1,0)*Table_NFI[[#This Row],[Sanitary Kit]],Table_NFI[Sanitary Kit])</f>
        <v>0</v>
      </c>
      <c r="AB527" s="294">
        <f>IF(NFI_Expiration=1,IF($A527&lt;VLOOKUP(K$5,NFI,5,0),1,0)*Table_NFI[[#This Row],[Mosquito net]],Table_NFI[Mosquito net])</f>
        <v>0</v>
      </c>
      <c r="AC527" s="294">
        <f>IF(NFI_Expiration=1,IF($A527&lt;VLOOKUP(L$5,NFI,5,0),1,0)*Table_NFI[[#This Row],[Tarpaulin]],Table_NFI[[#This Row],[Tarpaulin]])</f>
        <v>0</v>
      </c>
      <c r="AD527" s="294">
        <f>IF(NFI_Expiration=1,IF($A527&lt;VLOOKUP(M$5,NFI,5,0),1,0)*Table_NFI[[#This Row],[Blanket]],Table_NFI[[#This Row],[Blanket]])</f>
        <v>0</v>
      </c>
      <c r="AE527" s="294">
        <f>IF(NFI_Expiration=1,IF($A527&lt;VLOOKUP(N$5,NFI,5,0),1,0)*Table_NFI[[#This Row],[Kitchen Set]],Table_NFI[Kitchen Set])</f>
        <v>0</v>
      </c>
      <c r="AF527" s="294">
        <f>IF(NFI_Expiration=1,IF($A527&lt;VLOOKUP(O$5,NFI,5,0),1,0)*Table_NFI[[#This Row],[Clothes Kit]],Table_NFI[Clothes Kit])</f>
        <v>0</v>
      </c>
      <c r="AG527" s="294">
        <f>IF(NFI_Expiration=1,IF($A527&lt;VLOOKUP(P$5,NFI,5,0),1,0)*Table_NFI[[#This Row],[Plastic Bucket]],Table_NFI[Plastic Bucket])</f>
        <v>0</v>
      </c>
      <c r="AH527" s="294">
        <f>IF(NFI_Expiration=1,IF($A527&lt;VLOOKUP(Q$5,NFI,5,0),1,0)*Table_NFI[[#This Row],[Plastic Mat]],Table_NFI[Plastic Mat])*IF(Table_NFI[[#This Row],[Distribution Date]]&gt;"2014-04-01",1,2.5)</f>
        <v>0</v>
      </c>
      <c r="AI527" s="294">
        <f>IF(NFI_Expiration=1,IF($A527&lt;VLOOKUP(R$5,NFI,5,0),1,0)*Table_NFI[[#This Row],[Winter Clothes Adult]],Table_NFI[Winter Clothes Adult])</f>
        <v>0</v>
      </c>
      <c r="AJ527" s="294">
        <f>IF(NFI_Expiration=1,IF($A527&lt;VLOOKUP(S$5,NFI,5,0),1,0)*Table_NFI[[#This Row],[Winter Clothes Children]],Table_NFI[Winter Clothes Children])</f>
        <v>0</v>
      </c>
      <c r="AK527" s="294">
        <f>IF(NFI_Expiration=1,IF($A527&lt;VLOOKUP(T$5,NFI,5,0),1,0)*Table_NFI[[#This Row],[Winter Items Other]],Table_NFI[Winter Items Other])</f>
        <v>0</v>
      </c>
      <c r="AL527" s="294">
        <f>IF(NFI_Expiration=1,IF($A527&lt;VLOOKUP(M$5,NFI,5,0),1,0)*Table_NFI[[#This Row],[Winter Blanket]],Table_NFI[[#This Row],[Winter Blanket]])</f>
        <v>0</v>
      </c>
      <c r="AM527" s="294">
        <f>IF(Table_NFI[[#This Row],[Winter Clothes Adult]]+Table_NFI[[#This Row],[Winter Clothes Children]]+Table_NFI[[#This Row],[Winter Items Other]]+Table_NFI[[#This Row],[Winter Blanket]]&gt;0,1,0)</f>
        <v>0</v>
      </c>
      <c r="AN527" s="331">
        <f>IF(NFI_Expiration=1,IF($A527&lt;VLOOKUP(V$5,NFI,5,0),1,0)*Table_NFI[[#This Row],[Jerry Can]],Table_NFI[Jerry Can])</f>
        <v>0</v>
      </c>
      <c r="AO527" s="331">
        <f>IF(NFI_Expiration=1,IF($A527&lt;VLOOKUP(V$5,NFI,5,0),1,0)*Table_NFI[[#This Row],[Shelter Tool kit]],Table_NFI[Shelter Tool kit])</f>
        <v>0</v>
      </c>
      <c r="AP527" s="331">
        <f>IF(NFI_Expiration=1,IF($A527&lt;VLOOKUP(V$5,NFI,5,0),1,0)*Table_NFI[[#This Row],[Tent]],Table_NFI[Tent])</f>
        <v>0</v>
      </c>
      <c r="AQ527" s="467" t="str">
        <f>IFERROR(VLOOKUP(Table_NFI[[#This Row],[Camp Name]],CL,2,0),"")</f>
        <v>MMR001CMP070</v>
      </c>
      <c r="AR527" s="835">
        <f ca="1">IF(Table_NFI[[#This Row],[Pcode]]="","",IF(OFFSET(CampList[Opening Date],MATCH(Table_NFI[[#This Row],[Pcode]],CampList[CP_Pcode],0)-1,0,1,1)&gt;=NFI_Monitor_Date,1,0))</f>
        <v>0</v>
      </c>
      <c r="AS527" s="467" t="str">
        <f>IFERROR(VLOOKUP(Table_NFI[[#This Row],[Camp Name]],CL,3,0),"")</f>
        <v>Open</v>
      </c>
      <c r="AT527" s="294" t="str">
        <f ca="1">IF(Table_NFI[[#This Row],[Pcode]]="","",OFFSET(CampList[Priority],MATCH(Table_NFI[[#This Row],[Pcode]],CampList[CP_Pcode],0)-1,0,1,1))</f>
        <v>P3</v>
      </c>
      <c r="AU527" s="293">
        <f>IFERROR(Table_NFI[[#This Row],[Kitchen Set]]/VLOOKUP(Table_NFI[[#This Row],[Camp Name]],CL,4,0),"")</f>
        <v>0</v>
      </c>
      <c r="AV527" s="461" t="s">
        <v>1092</v>
      </c>
      <c r="AW527" s="463"/>
    </row>
    <row r="528" spans="1:49" s="464" customFormat="1" x14ac:dyDescent="0.25">
      <c r="A528" s="297">
        <f t="shared" si="8"/>
        <v>37.6</v>
      </c>
      <c r="B528" s="460">
        <v>41608</v>
      </c>
      <c r="C528" s="461" t="s">
        <v>905</v>
      </c>
      <c r="D528" s="461" t="s">
        <v>460</v>
      </c>
      <c r="E528" s="461" t="s">
        <v>380</v>
      </c>
      <c r="F528" s="290" t="s">
        <v>310</v>
      </c>
      <c r="G528" s="290" t="s">
        <v>320</v>
      </c>
      <c r="H528" s="291"/>
      <c r="I528" s="291"/>
      <c r="J528" s="291"/>
      <c r="K528" s="291"/>
      <c r="L528" s="292"/>
      <c r="M528" s="292"/>
      <c r="N528" s="292"/>
      <c r="O528" s="292"/>
      <c r="P528" s="294"/>
      <c r="Q528" s="294"/>
      <c r="R528" s="294"/>
      <c r="S528" s="294"/>
      <c r="T528" s="294"/>
      <c r="U528" s="294"/>
      <c r="V528" s="431"/>
      <c r="W528" s="294"/>
      <c r="X528" s="294"/>
      <c r="Y528" s="294">
        <f>IF(NFI_Expiration=1,IF($A528&lt;VLOOKUP(H$5,NFI,5,0),1,0)*Table_NFI[[#This Row],[Hygiene Kit]],Table_NFI[Hygiene Kit])</f>
        <v>0</v>
      </c>
      <c r="Z528" s="294">
        <f>IF(NFI_Expiration=1,IF($A528&lt;VLOOKUP(I$5,NFI,5,0),1,0)*Table_NFI[[#This Row],[NFI Core Kit]],Table_NFI[NFI Core Kit])</f>
        <v>0</v>
      </c>
      <c r="AA528" s="294">
        <f>IF(NFI_Expiration=1,IF($A528&lt;VLOOKUP(J$5,NFI,5,0),1,0)*Table_NFI[[#This Row],[Sanitary Kit]],Table_NFI[Sanitary Kit])</f>
        <v>0</v>
      </c>
      <c r="AB528" s="294">
        <f>IF(NFI_Expiration=1,IF($A528&lt;VLOOKUP(K$5,NFI,5,0),1,0)*Table_NFI[[#This Row],[Mosquito net]],Table_NFI[Mosquito net])</f>
        <v>0</v>
      </c>
      <c r="AC528" s="294">
        <f>IF(NFI_Expiration=1,IF($A528&lt;VLOOKUP(L$5,NFI,5,0),1,0)*Table_NFI[[#This Row],[Tarpaulin]],Table_NFI[[#This Row],[Tarpaulin]])</f>
        <v>0</v>
      </c>
      <c r="AD528" s="294">
        <f>IF(NFI_Expiration=1,IF($A528&lt;VLOOKUP(M$5,NFI,5,0),1,0)*Table_NFI[[#This Row],[Blanket]],Table_NFI[[#This Row],[Blanket]])</f>
        <v>0</v>
      </c>
      <c r="AE528" s="294">
        <f>IF(NFI_Expiration=1,IF($A528&lt;VLOOKUP(N$5,NFI,5,0),1,0)*Table_NFI[[#This Row],[Kitchen Set]],Table_NFI[Kitchen Set])</f>
        <v>0</v>
      </c>
      <c r="AF528" s="294">
        <f>IF(NFI_Expiration=1,IF($A528&lt;VLOOKUP(O$5,NFI,5,0),1,0)*Table_NFI[[#This Row],[Clothes Kit]],Table_NFI[Clothes Kit])</f>
        <v>0</v>
      </c>
      <c r="AG528" s="294">
        <f>IF(NFI_Expiration=1,IF($A528&lt;VLOOKUP(P$5,NFI,5,0),1,0)*Table_NFI[[#This Row],[Plastic Bucket]],Table_NFI[Plastic Bucket])</f>
        <v>0</v>
      </c>
      <c r="AH528" s="294">
        <f>IF(NFI_Expiration=1,IF($A528&lt;VLOOKUP(Q$5,NFI,5,0),1,0)*Table_NFI[[#This Row],[Plastic Mat]],Table_NFI[Plastic Mat])*IF(Table_NFI[[#This Row],[Distribution Date]]&gt;"2014-04-01",1,2.5)</f>
        <v>0</v>
      </c>
      <c r="AI528" s="294">
        <f>IF(NFI_Expiration=1,IF($A528&lt;VLOOKUP(R$5,NFI,5,0),1,0)*Table_NFI[[#This Row],[Winter Clothes Adult]],Table_NFI[Winter Clothes Adult])</f>
        <v>0</v>
      </c>
      <c r="AJ528" s="294">
        <f>IF(NFI_Expiration=1,IF($A528&lt;VLOOKUP(S$5,NFI,5,0),1,0)*Table_NFI[[#This Row],[Winter Clothes Children]],Table_NFI[Winter Clothes Children])</f>
        <v>0</v>
      </c>
      <c r="AK528" s="294">
        <f>IF(NFI_Expiration=1,IF($A528&lt;VLOOKUP(T$5,NFI,5,0),1,0)*Table_NFI[[#This Row],[Winter Items Other]],Table_NFI[Winter Items Other])</f>
        <v>0</v>
      </c>
      <c r="AL528" s="294">
        <f>IF(NFI_Expiration=1,IF($A528&lt;VLOOKUP(M$5,NFI,5,0),1,0)*Table_NFI[[#This Row],[Winter Blanket]],Table_NFI[[#This Row],[Winter Blanket]])</f>
        <v>0</v>
      </c>
      <c r="AM528" s="294">
        <f>IF(Table_NFI[[#This Row],[Winter Clothes Adult]]+Table_NFI[[#This Row],[Winter Clothes Children]]+Table_NFI[[#This Row],[Winter Items Other]]+Table_NFI[[#This Row],[Winter Blanket]]&gt;0,1,0)</f>
        <v>0</v>
      </c>
      <c r="AN528" s="331">
        <f>IF(NFI_Expiration=1,IF($A528&lt;VLOOKUP(V$5,NFI,5,0),1,0)*Table_NFI[[#This Row],[Jerry Can]],Table_NFI[Jerry Can])</f>
        <v>0</v>
      </c>
      <c r="AO528" s="331">
        <f>IF(NFI_Expiration=1,IF($A528&lt;VLOOKUP(V$5,NFI,5,0),1,0)*Table_NFI[[#This Row],[Shelter Tool kit]],Table_NFI[Shelter Tool kit])</f>
        <v>0</v>
      </c>
      <c r="AP528" s="331">
        <f>IF(NFI_Expiration=1,IF($A528&lt;VLOOKUP(V$5,NFI,5,0),1,0)*Table_NFI[[#This Row],[Tent]],Table_NFI[Tent])</f>
        <v>0</v>
      </c>
      <c r="AQ528" s="467" t="str">
        <f>IFERROR(VLOOKUP(Table_NFI[[#This Row],[Camp Name]],CL,2,0),"")</f>
        <v>MMR001CMP027</v>
      </c>
      <c r="AR528" s="835">
        <f ca="1">IF(Table_NFI[[#This Row],[Pcode]]="","",IF(OFFSET(CampList[Opening Date],MATCH(Table_NFI[[#This Row],[Pcode]],CampList[CP_Pcode],0)-1,0,1,1)&gt;=NFI_Monitor_Date,1,0))</f>
        <v>0</v>
      </c>
      <c r="AS528" s="467" t="str">
        <f>IFERROR(VLOOKUP(Table_NFI[[#This Row],[Camp Name]],CL,3,0),"")</f>
        <v>Open</v>
      </c>
      <c r="AT528" s="294" t="str">
        <f ca="1">IF(Table_NFI[[#This Row],[Pcode]]="","",OFFSET(CampList[Priority],MATCH(Table_NFI[[#This Row],[Pcode]],CampList[CP_Pcode],0)-1,0,1,1))</f>
        <v>P4</v>
      </c>
      <c r="AU528" s="293">
        <f>IFERROR(Table_NFI[[#This Row],[Kitchen Set]]/VLOOKUP(Table_NFI[[#This Row],[Camp Name]],CL,4,0),"")</f>
        <v>0</v>
      </c>
      <c r="AV528" s="461" t="s">
        <v>1092</v>
      </c>
      <c r="AW528" s="463"/>
    </row>
    <row r="529" spans="1:49" s="464" customFormat="1" x14ac:dyDescent="0.25">
      <c r="A529" s="297">
        <f t="shared" si="8"/>
        <v>37.6</v>
      </c>
      <c r="B529" s="460">
        <v>41608</v>
      </c>
      <c r="C529" s="461" t="s">
        <v>905</v>
      </c>
      <c r="D529" s="461" t="s">
        <v>460</v>
      </c>
      <c r="E529" s="461" t="s">
        <v>380</v>
      </c>
      <c r="F529" s="290" t="s">
        <v>310</v>
      </c>
      <c r="G529" s="290" t="s">
        <v>322</v>
      </c>
      <c r="H529" s="291"/>
      <c r="I529" s="291"/>
      <c r="J529" s="291"/>
      <c r="K529" s="291"/>
      <c r="L529" s="292"/>
      <c r="M529" s="292"/>
      <c r="N529" s="292"/>
      <c r="O529" s="292"/>
      <c r="P529" s="294"/>
      <c r="Q529" s="294"/>
      <c r="R529" s="294"/>
      <c r="S529" s="294"/>
      <c r="T529" s="294"/>
      <c r="U529" s="294"/>
      <c r="V529" s="431"/>
      <c r="W529" s="294"/>
      <c r="X529" s="294"/>
      <c r="Y529" s="294">
        <f>IF(NFI_Expiration=1,IF($A529&lt;VLOOKUP(H$5,NFI,5,0),1,0)*Table_NFI[[#This Row],[Hygiene Kit]],Table_NFI[Hygiene Kit])</f>
        <v>0</v>
      </c>
      <c r="Z529" s="294">
        <f>IF(NFI_Expiration=1,IF($A529&lt;VLOOKUP(I$5,NFI,5,0),1,0)*Table_NFI[[#This Row],[NFI Core Kit]],Table_NFI[NFI Core Kit])</f>
        <v>0</v>
      </c>
      <c r="AA529" s="294">
        <f>IF(NFI_Expiration=1,IF($A529&lt;VLOOKUP(J$5,NFI,5,0),1,0)*Table_NFI[[#This Row],[Sanitary Kit]],Table_NFI[Sanitary Kit])</f>
        <v>0</v>
      </c>
      <c r="AB529" s="294">
        <f>IF(NFI_Expiration=1,IF($A529&lt;VLOOKUP(K$5,NFI,5,0),1,0)*Table_NFI[[#This Row],[Mosquito net]],Table_NFI[Mosquito net])</f>
        <v>0</v>
      </c>
      <c r="AC529" s="294">
        <f>IF(NFI_Expiration=1,IF($A529&lt;VLOOKUP(L$5,NFI,5,0),1,0)*Table_NFI[[#This Row],[Tarpaulin]],Table_NFI[[#This Row],[Tarpaulin]])</f>
        <v>0</v>
      </c>
      <c r="AD529" s="294">
        <f>IF(NFI_Expiration=1,IF($A529&lt;VLOOKUP(M$5,NFI,5,0),1,0)*Table_NFI[[#This Row],[Blanket]],Table_NFI[[#This Row],[Blanket]])</f>
        <v>0</v>
      </c>
      <c r="AE529" s="294">
        <f>IF(NFI_Expiration=1,IF($A529&lt;VLOOKUP(N$5,NFI,5,0),1,0)*Table_NFI[[#This Row],[Kitchen Set]],Table_NFI[Kitchen Set])</f>
        <v>0</v>
      </c>
      <c r="AF529" s="294">
        <f>IF(NFI_Expiration=1,IF($A529&lt;VLOOKUP(O$5,NFI,5,0),1,0)*Table_NFI[[#This Row],[Clothes Kit]],Table_NFI[Clothes Kit])</f>
        <v>0</v>
      </c>
      <c r="AG529" s="294">
        <f>IF(NFI_Expiration=1,IF($A529&lt;VLOOKUP(P$5,NFI,5,0),1,0)*Table_NFI[[#This Row],[Plastic Bucket]],Table_NFI[Plastic Bucket])</f>
        <v>0</v>
      </c>
      <c r="AH529" s="294">
        <f>IF(NFI_Expiration=1,IF($A529&lt;VLOOKUP(Q$5,NFI,5,0),1,0)*Table_NFI[[#This Row],[Plastic Mat]],Table_NFI[Plastic Mat])*IF(Table_NFI[[#This Row],[Distribution Date]]&gt;"2014-04-01",1,2.5)</f>
        <v>0</v>
      </c>
      <c r="AI529" s="294">
        <f>IF(NFI_Expiration=1,IF($A529&lt;VLOOKUP(R$5,NFI,5,0),1,0)*Table_NFI[[#This Row],[Winter Clothes Adult]],Table_NFI[Winter Clothes Adult])</f>
        <v>0</v>
      </c>
      <c r="AJ529" s="294">
        <f>IF(NFI_Expiration=1,IF($A529&lt;VLOOKUP(S$5,NFI,5,0),1,0)*Table_NFI[[#This Row],[Winter Clothes Children]],Table_NFI[Winter Clothes Children])</f>
        <v>0</v>
      </c>
      <c r="AK529" s="294">
        <f>IF(NFI_Expiration=1,IF($A529&lt;VLOOKUP(T$5,NFI,5,0),1,0)*Table_NFI[[#This Row],[Winter Items Other]],Table_NFI[Winter Items Other])</f>
        <v>0</v>
      </c>
      <c r="AL529" s="294">
        <f>IF(NFI_Expiration=1,IF($A529&lt;VLOOKUP(M$5,NFI,5,0),1,0)*Table_NFI[[#This Row],[Winter Blanket]],Table_NFI[[#This Row],[Winter Blanket]])</f>
        <v>0</v>
      </c>
      <c r="AM529" s="294">
        <f>IF(Table_NFI[[#This Row],[Winter Clothes Adult]]+Table_NFI[[#This Row],[Winter Clothes Children]]+Table_NFI[[#This Row],[Winter Items Other]]+Table_NFI[[#This Row],[Winter Blanket]]&gt;0,1,0)</f>
        <v>0</v>
      </c>
      <c r="AN529" s="331">
        <f>IF(NFI_Expiration=1,IF($A529&lt;VLOOKUP(V$5,NFI,5,0),1,0)*Table_NFI[[#This Row],[Jerry Can]],Table_NFI[Jerry Can])</f>
        <v>0</v>
      </c>
      <c r="AO529" s="331">
        <f>IF(NFI_Expiration=1,IF($A529&lt;VLOOKUP(V$5,NFI,5,0),1,0)*Table_NFI[[#This Row],[Shelter Tool kit]],Table_NFI[Shelter Tool kit])</f>
        <v>0</v>
      </c>
      <c r="AP529" s="331">
        <f>IF(NFI_Expiration=1,IF($A529&lt;VLOOKUP(V$5,NFI,5,0),1,0)*Table_NFI[[#This Row],[Tent]],Table_NFI[Tent])</f>
        <v>0</v>
      </c>
      <c r="AQ529" s="467" t="str">
        <f>IFERROR(VLOOKUP(Table_NFI[[#This Row],[Camp Name]],CL,2,0),"")</f>
        <v>MMR001CMP119</v>
      </c>
      <c r="AR529" s="835">
        <f ca="1">IF(Table_NFI[[#This Row],[Pcode]]="","",IF(OFFSET(CampList[Opening Date],MATCH(Table_NFI[[#This Row],[Pcode]],CampList[CP_Pcode],0)-1,0,1,1)&gt;=NFI_Monitor_Date,1,0))</f>
        <v>0</v>
      </c>
      <c r="AS529" s="467" t="str">
        <f>IFERROR(VLOOKUP(Table_NFI[[#This Row],[Camp Name]],CL,3,0),"")</f>
        <v>Open</v>
      </c>
      <c r="AT529" s="294" t="str">
        <f ca="1">IF(Table_NFI[[#This Row],[Pcode]]="","",OFFSET(CampList[Priority],MATCH(Table_NFI[[#This Row],[Pcode]],CampList[CP_Pcode],0)-1,0,1,1))</f>
        <v>P2</v>
      </c>
      <c r="AU529" s="293">
        <f>IFERROR(Table_NFI[[#This Row],[Kitchen Set]]/VLOOKUP(Table_NFI[[#This Row],[Camp Name]],CL,4,0),"")</f>
        <v>0</v>
      </c>
      <c r="AV529" s="461" t="s">
        <v>1092</v>
      </c>
      <c r="AW529" s="463"/>
    </row>
    <row r="530" spans="1:49" s="464" customFormat="1" ht="14.45" customHeight="1" x14ac:dyDescent="0.25">
      <c r="A530" s="297">
        <f t="shared" si="8"/>
        <v>37.6</v>
      </c>
      <c r="B530" s="460">
        <v>41608</v>
      </c>
      <c r="C530" s="461" t="s">
        <v>905</v>
      </c>
      <c r="D530" s="462" t="s">
        <v>460</v>
      </c>
      <c r="E530" s="461" t="s">
        <v>380</v>
      </c>
      <c r="F530" s="461" t="s">
        <v>310</v>
      </c>
      <c r="G530" s="290" t="s">
        <v>328</v>
      </c>
      <c r="H530" s="291"/>
      <c r="I530" s="291"/>
      <c r="J530" s="291"/>
      <c r="K530" s="291"/>
      <c r="L530" s="292"/>
      <c r="M530" s="292"/>
      <c r="N530" s="292"/>
      <c r="O530" s="292"/>
      <c r="P530" s="294"/>
      <c r="Q530" s="294"/>
      <c r="R530" s="294"/>
      <c r="S530" s="294"/>
      <c r="T530" s="294"/>
      <c r="U530" s="294"/>
      <c r="V530" s="431"/>
      <c r="W530" s="294"/>
      <c r="X530" s="294"/>
      <c r="Y530" s="294">
        <f>IF(NFI_Expiration=1,IF($A530&lt;VLOOKUP(H$5,NFI,5,0),1,0)*Table_NFI[[#This Row],[Hygiene Kit]],Table_NFI[Hygiene Kit])</f>
        <v>0</v>
      </c>
      <c r="Z530" s="294">
        <f>IF(NFI_Expiration=1,IF($A530&lt;VLOOKUP(I$5,NFI,5,0),1,0)*Table_NFI[[#This Row],[NFI Core Kit]],Table_NFI[NFI Core Kit])</f>
        <v>0</v>
      </c>
      <c r="AA530" s="294">
        <f>IF(NFI_Expiration=1,IF($A530&lt;VLOOKUP(J$5,NFI,5,0),1,0)*Table_NFI[[#This Row],[Sanitary Kit]],Table_NFI[Sanitary Kit])</f>
        <v>0</v>
      </c>
      <c r="AB530" s="294">
        <f>IF(NFI_Expiration=1,IF($A530&lt;VLOOKUP(K$5,NFI,5,0),1,0)*Table_NFI[[#This Row],[Mosquito net]],Table_NFI[Mosquito net])</f>
        <v>0</v>
      </c>
      <c r="AC530" s="294">
        <f>IF(NFI_Expiration=1,IF($A530&lt;VLOOKUP(L$5,NFI,5,0),1,0)*Table_NFI[[#This Row],[Tarpaulin]],Table_NFI[[#This Row],[Tarpaulin]])</f>
        <v>0</v>
      </c>
      <c r="AD530" s="294">
        <f>IF(NFI_Expiration=1,IF($A530&lt;VLOOKUP(M$5,NFI,5,0),1,0)*Table_NFI[[#This Row],[Blanket]],Table_NFI[[#This Row],[Blanket]])</f>
        <v>0</v>
      </c>
      <c r="AE530" s="294">
        <f>IF(NFI_Expiration=1,IF($A530&lt;VLOOKUP(N$5,NFI,5,0),1,0)*Table_NFI[[#This Row],[Kitchen Set]],Table_NFI[Kitchen Set])</f>
        <v>0</v>
      </c>
      <c r="AF530" s="294">
        <f>IF(NFI_Expiration=1,IF($A530&lt;VLOOKUP(O$5,NFI,5,0),1,0)*Table_NFI[[#This Row],[Clothes Kit]],Table_NFI[Clothes Kit])</f>
        <v>0</v>
      </c>
      <c r="AG530" s="294">
        <f>IF(NFI_Expiration=1,IF($A530&lt;VLOOKUP(P$5,NFI,5,0),1,0)*Table_NFI[[#This Row],[Plastic Bucket]],Table_NFI[Plastic Bucket])</f>
        <v>0</v>
      </c>
      <c r="AH530" s="294">
        <f>IF(NFI_Expiration=1,IF($A530&lt;VLOOKUP(Q$5,NFI,5,0),1,0)*Table_NFI[[#This Row],[Plastic Mat]],Table_NFI[Plastic Mat])*IF(Table_NFI[[#This Row],[Distribution Date]]&gt;"2014-04-01",1,2.5)</f>
        <v>0</v>
      </c>
      <c r="AI530" s="294">
        <f>IF(NFI_Expiration=1,IF($A530&lt;VLOOKUP(R$5,NFI,5,0),1,0)*Table_NFI[[#This Row],[Winter Clothes Adult]],Table_NFI[Winter Clothes Adult])</f>
        <v>0</v>
      </c>
      <c r="AJ530" s="294">
        <f>IF(NFI_Expiration=1,IF($A530&lt;VLOOKUP(S$5,NFI,5,0),1,0)*Table_NFI[[#This Row],[Winter Clothes Children]],Table_NFI[Winter Clothes Children])</f>
        <v>0</v>
      </c>
      <c r="AK530" s="294">
        <f>IF(NFI_Expiration=1,IF($A530&lt;VLOOKUP(T$5,NFI,5,0),1,0)*Table_NFI[[#This Row],[Winter Items Other]],Table_NFI[Winter Items Other])</f>
        <v>0</v>
      </c>
      <c r="AL530" s="294">
        <f>IF(NFI_Expiration=1,IF($A530&lt;VLOOKUP(M$5,NFI,5,0),1,0)*Table_NFI[[#This Row],[Winter Blanket]],Table_NFI[[#This Row],[Winter Blanket]])</f>
        <v>0</v>
      </c>
      <c r="AM530" s="294">
        <f>IF(Table_NFI[[#This Row],[Winter Clothes Adult]]+Table_NFI[[#This Row],[Winter Clothes Children]]+Table_NFI[[#This Row],[Winter Items Other]]+Table_NFI[[#This Row],[Winter Blanket]]&gt;0,1,0)</f>
        <v>0</v>
      </c>
      <c r="AN530" s="331">
        <f>IF(NFI_Expiration=1,IF($A530&lt;VLOOKUP(V$5,NFI,5,0),1,0)*Table_NFI[[#This Row],[Jerry Can]],Table_NFI[Jerry Can])</f>
        <v>0</v>
      </c>
      <c r="AO530" s="331">
        <f>IF(NFI_Expiration=1,IF($A530&lt;VLOOKUP(V$5,NFI,5,0),1,0)*Table_NFI[[#This Row],[Shelter Tool kit]],Table_NFI[Shelter Tool kit])</f>
        <v>0</v>
      </c>
      <c r="AP530" s="331">
        <f>IF(NFI_Expiration=1,IF($A530&lt;VLOOKUP(V$5,NFI,5,0),1,0)*Table_NFI[[#This Row],[Tent]],Table_NFI[Tent])</f>
        <v>0</v>
      </c>
      <c r="AQ530" s="467" t="str">
        <f>IFERROR(VLOOKUP(Table_NFI[[#This Row],[Camp Name]],CL,2,0),"")</f>
        <v>MMR001CMP031</v>
      </c>
      <c r="AR530" s="835">
        <f ca="1">IF(Table_NFI[[#This Row],[Pcode]]="","",IF(OFFSET(CampList[Opening Date],MATCH(Table_NFI[[#This Row],[Pcode]],CampList[CP_Pcode],0)-1,0,1,1)&gt;=NFI_Monitor_Date,1,0))</f>
        <v>0</v>
      </c>
      <c r="AS530" s="467" t="str">
        <f>IFERROR(VLOOKUP(Table_NFI[[#This Row],[Camp Name]],CL,3,0),"")</f>
        <v>Open</v>
      </c>
      <c r="AT530" s="294" t="str">
        <f ca="1">IF(Table_NFI[[#This Row],[Pcode]]="","",OFFSET(CampList[Priority],MATCH(Table_NFI[[#This Row],[Pcode]],CampList[CP_Pcode],0)-1,0,1,1))</f>
        <v>P4</v>
      </c>
      <c r="AU530" s="293">
        <f>IFERROR(Table_NFI[[#This Row],[Kitchen Set]]/VLOOKUP(Table_NFI[[#This Row],[Camp Name]],CL,4,0),"")</f>
        <v>0</v>
      </c>
      <c r="AV530" s="461" t="s">
        <v>1092</v>
      </c>
      <c r="AW530" s="463"/>
    </row>
    <row r="531" spans="1:49" s="464" customFormat="1" ht="14.45" customHeight="1" x14ac:dyDescent="0.25">
      <c r="A531" s="297">
        <f t="shared" si="8"/>
        <v>37.6</v>
      </c>
      <c r="B531" s="460">
        <v>41608</v>
      </c>
      <c r="C531" s="461" t="s">
        <v>905</v>
      </c>
      <c r="D531" s="462" t="s">
        <v>460</v>
      </c>
      <c r="E531" s="461" t="s">
        <v>380</v>
      </c>
      <c r="F531" s="290" t="s">
        <v>310</v>
      </c>
      <c r="G531" s="290" t="s">
        <v>324</v>
      </c>
      <c r="H531" s="291"/>
      <c r="I531" s="291"/>
      <c r="J531" s="291"/>
      <c r="K531" s="291"/>
      <c r="L531" s="292"/>
      <c r="M531" s="292"/>
      <c r="N531" s="292"/>
      <c r="O531" s="292"/>
      <c r="P531" s="294"/>
      <c r="Q531" s="294"/>
      <c r="R531" s="294"/>
      <c r="S531" s="294"/>
      <c r="T531" s="294"/>
      <c r="U531" s="294"/>
      <c r="V531" s="431"/>
      <c r="W531" s="294"/>
      <c r="X531" s="294"/>
      <c r="Y531" s="294">
        <f>IF(NFI_Expiration=1,IF($A531&lt;VLOOKUP(H$5,NFI,5,0),1,0)*Table_NFI[[#This Row],[Hygiene Kit]],Table_NFI[Hygiene Kit])</f>
        <v>0</v>
      </c>
      <c r="Z531" s="294">
        <f>IF(NFI_Expiration=1,IF($A531&lt;VLOOKUP(I$5,NFI,5,0),1,0)*Table_NFI[[#This Row],[NFI Core Kit]],Table_NFI[NFI Core Kit])</f>
        <v>0</v>
      </c>
      <c r="AA531" s="294">
        <f>IF(NFI_Expiration=1,IF($A531&lt;VLOOKUP(J$5,NFI,5,0),1,0)*Table_NFI[[#This Row],[Sanitary Kit]],Table_NFI[Sanitary Kit])</f>
        <v>0</v>
      </c>
      <c r="AB531" s="294">
        <f>IF(NFI_Expiration=1,IF($A531&lt;VLOOKUP(K$5,NFI,5,0),1,0)*Table_NFI[[#This Row],[Mosquito net]],Table_NFI[Mosquito net])</f>
        <v>0</v>
      </c>
      <c r="AC531" s="294">
        <f>IF(NFI_Expiration=1,IF($A531&lt;VLOOKUP(L$5,NFI,5,0),1,0)*Table_NFI[[#This Row],[Tarpaulin]],Table_NFI[[#This Row],[Tarpaulin]])</f>
        <v>0</v>
      </c>
      <c r="AD531" s="294">
        <f>IF(NFI_Expiration=1,IF($A531&lt;VLOOKUP(M$5,NFI,5,0),1,0)*Table_NFI[[#This Row],[Blanket]],Table_NFI[[#This Row],[Blanket]])</f>
        <v>0</v>
      </c>
      <c r="AE531" s="294">
        <f>IF(NFI_Expiration=1,IF($A531&lt;VLOOKUP(N$5,NFI,5,0),1,0)*Table_NFI[[#This Row],[Kitchen Set]],Table_NFI[Kitchen Set])</f>
        <v>0</v>
      </c>
      <c r="AF531" s="294">
        <f>IF(NFI_Expiration=1,IF($A531&lt;VLOOKUP(O$5,NFI,5,0),1,0)*Table_NFI[[#This Row],[Clothes Kit]],Table_NFI[Clothes Kit])</f>
        <v>0</v>
      </c>
      <c r="AG531" s="294">
        <f>IF(NFI_Expiration=1,IF($A531&lt;VLOOKUP(P$5,NFI,5,0),1,0)*Table_NFI[[#This Row],[Plastic Bucket]],Table_NFI[Plastic Bucket])</f>
        <v>0</v>
      </c>
      <c r="AH531" s="294">
        <f>IF(NFI_Expiration=1,IF($A531&lt;VLOOKUP(Q$5,NFI,5,0),1,0)*Table_NFI[[#This Row],[Plastic Mat]],Table_NFI[Plastic Mat])*IF(Table_NFI[[#This Row],[Distribution Date]]&gt;"2014-04-01",1,2.5)</f>
        <v>0</v>
      </c>
      <c r="AI531" s="294">
        <f>IF(NFI_Expiration=1,IF($A531&lt;VLOOKUP(R$5,NFI,5,0),1,0)*Table_NFI[[#This Row],[Winter Clothes Adult]],Table_NFI[Winter Clothes Adult])</f>
        <v>0</v>
      </c>
      <c r="AJ531" s="294">
        <f>IF(NFI_Expiration=1,IF($A531&lt;VLOOKUP(S$5,NFI,5,0),1,0)*Table_NFI[[#This Row],[Winter Clothes Children]],Table_NFI[Winter Clothes Children])</f>
        <v>0</v>
      </c>
      <c r="AK531" s="294">
        <f>IF(NFI_Expiration=1,IF($A531&lt;VLOOKUP(T$5,NFI,5,0),1,0)*Table_NFI[[#This Row],[Winter Items Other]],Table_NFI[Winter Items Other])</f>
        <v>0</v>
      </c>
      <c r="AL531" s="294">
        <f>IF(NFI_Expiration=1,IF($A531&lt;VLOOKUP(M$5,NFI,5,0),1,0)*Table_NFI[[#This Row],[Winter Blanket]],Table_NFI[[#This Row],[Winter Blanket]])</f>
        <v>0</v>
      </c>
      <c r="AM531" s="294">
        <f>IF(Table_NFI[[#This Row],[Winter Clothes Adult]]+Table_NFI[[#This Row],[Winter Clothes Children]]+Table_NFI[[#This Row],[Winter Items Other]]+Table_NFI[[#This Row],[Winter Blanket]]&gt;0,1,0)</f>
        <v>0</v>
      </c>
      <c r="AN531" s="331">
        <f>IF(NFI_Expiration=1,IF($A531&lt;VLOOKUP(V$5,NFI,5,0),1,0)*Table_NFI[[#This Row],[Jerry Can]],Table_NFI[Jerry Can])</f>
        <v>0</v>
      </c>
      <c r="AO531" s="331">
        <f>IF(NFI_Expiration=1,IF($A531&lt;VLOOKUP(V$5,NFI,5,0),1,0)*Table_NFI[[#This Row],[Shelter Tool kit]],Table_NFI[Shelter Tool kit])</f>
        <v>0</v>
      </c>
      <c r="AP531" s="331">
        <f>IF(NFI_Expiration=1,IF($A531&lt;VLOOKUP(V$5,NFI,5,0),1,0)*Table_NFI[[#This Row],[Tent]],Table_NFI[Tent])</f>
        <v>0</v>
      </c>
      <c r="AQ531" s="467" t="str">
        <f>IFERROR(VLOOKUP(Table_NFI[[#This Row],[Camp Name]],CL,2,0),"")</f>
        <v>MMR001CMP040</v>
      </c>
      <c r="AR531" s="835">
        <f ca="1">IF(Table_NFI[[#This Row],[Pcode]]="","",IF(OFFSET(CampList[Opening Date],MATCH(Table_NFI[[#This Row],[Pcode]],CampList[CP_Pcode],0)-1,0,1,1)&gt;=NFI_Monitor_Date,1,0))</f>
        <v>0</v>
      </c>
      <c r="AS531" s="467" t="str">
        <f>IFERROR(VLOOKUP(Table_NFI[[#This Row],[Camp Name]],CL,3,0),"")</f>
        <v>Open</v>
      </c>
      <c r="AT531" s="294" t="str">
        <f ca="1">IF(Table_NFI[[#This Row],[Pcode]]="","",OFFSET(CampList[Priority],MATCH(Table_NFI[[#This Row],[Pcode]],CampList[CP_Pcode],0)-1,0,1,1))</f>
        <v>P4</v>
      </c>
      <c r="AU531" s="293">
        <f>IFERROR(Table_NFI[[#This Row],[Kitchen Set]]/VLOOKUP(Table_NFI[[#This Row],[Camp Name]],CL,4,0),"")</f>
        <v>0</v>
      </c>
      <c r="AV531" s="461" t="s">
        <v>1092</v>
      </c>
      <c r="AW531" s="463"/>
    </row>
    <row r="532" spans="1:49" s="464" customFormat="1" ht="14.45" customHeight="1" x14ac:dyDescent="0.25">
      <c r="A532" s="297">
        <f t="shared" si="8"/>
        <v>37.6</v>
      </c>
      <c r="B532" s="460">
        <v>41608</v>
      </c>
      <c r="C532" s="461" t="s">
        <v>905</v>
      </c>
      <c r="D532" s="462" t="s">
        <v>460</v>
      </c>
      <c r="E532" s="461" t="s">
        <v>380</v>
      </c>
      <c r="F532" s="290" t="s">
        <v>310</v>
      </c>
      <c r="G532" s="290" t="s">
        <v>326</v>
      </c>
      <c r="H532" s="291"/>
      <c r="I532" s="291"/>
      <c r="J532" s="291"/>
      <c r="K532" s="291"/>
      <c r="L532" s="292"/>
      <c r="M532" s="292"/>
      <c r="N532" s="292"/>
      <c r="O532" s="292"/>
      <c r="P532" s="294"/>
      <c r="Q532" s="294"/>
      <c r="R532" s="294"/>
      <c r="S532" s="294"/>
      <c r="T532" s="294"/>
      <c r="U532" s="294"/>
      <c r="V532" s="431"/>
      <c r="W532" s="294"/>
      <c r="X532" s="294"/>
      <c r="Y532" s="294">
        <f>IF(NFI_Expiration=1,IF($A532&lt;VLOOKUP(H$5,NFI,5,0),1,0)*Table_NFI[[#This Row],[Hygiene Kit]],Table_NFI[Hygiene Kit])</f>
        <v>0</v>
      </c>
      <c r="Z532" s="294">
        <f>IF(NFI_Expiration=1,IF($A532&lt;VLOOKUP(I$5,NFI,5,0),1,0)*Table_NFI[[#This Row],[NFI Core Kit]],Table_NFI[NFI Core Kit])</f>
        <v>0</v>
      </c>
      <c r="AA532" s="294">
        <f>IF(NFI_Expiration=1,IF($A532&lt;VLOOKUP(J$5,NFI,5,0),1,0)*Table_NFI[[#This Row],[Sanitary Kit]],Table_NFI[Sanitary Kit])</f>
        <v>0</v>
      </c>
      <c r="AB532" s="294">
        <f>IF(NFI_Expiration=1,IF($A532&lt;VLOOKUP(K$5,NFI,5,0),1,0)*Table_NFI[[#This Row],[Mosquito net]],Table_NFI[Mosquito net])</f>
        <v>0</v>
      </c>
      <c r="AC532" s="294">
        <f>IF(NFI_Expiration=1,IF($A532&lt;VLOOKUP(L$5,NFI,5,0),1,0)*Table_NFI[[#This Row],[Tarpaulin]],Table_NFI[[#This Row],[Tarpaulin]])</f>
        <v>0</v>
      </c>
      <c r="AD532" s="294">
        <f>IF(NFI_Expiration=1,IF($A532&lt;VLOOKUP(M$5,NFI,5,0),1,0)*Table_NFI[[#This Row],[Blanket]],Table_NFI[[#This Row],[Blanket]])</f>
        <v>0</v>
      </c>
      <c r="AE532" s="294">
        <f>IF(NFI_Expiration=1,IF($A532&lt;VLOOKUP(N$5,NFI,5,0),1,0)*Table_NFI[[#This Row],[Kitchen Set]],Table_NFI[Kitchen Set])</f>
        <v>0</v>
      </c>
      <c r="AF532" s="294">
        <f>IF(NFI_Expiration=1,IF($A532&lt;VLOOKUP(O$5,NFI,5,0),1,0)*Table_NFI[[#This Row],[Clothes Kit]],Table_NFI[Clothes Kit])</f>
        <v>0</v>
      </c>
      <c r="AG532" s="294">
        <f>IF(NFI_Expiration=1,IF($A532&lt;VLOOKUP(P$5,NFI,5,0),1,0)*Table_NFI[[#This Row],[Plastic Bucket]],Table_NFI[Plastic Bucket])</f>
        <v>0</v>
      </c>
      <c r="AH532" s="294">
        <f>IF(NFI_Expiration=1,IF($A532&lt;VLOOKUP(Q$5,NFI,5,0),1,0)*Table_NFI[[#This Row],[Plastic Mat]],Table_NFI[Plastic Mat])*IF(Table_NFI[[#This Row],[Distribution Date]]&gt;"2014-04-01",1,2.5)</f>
        <v>0</v>
      </c>
      <c r="AI532" s="294">
        <f>IF(NFI_Expiration=1,IF($A532&lt;VLOOKUP(R$5,NFI,5,0),1,0)*Table_NFI[[#This Row],[Winter Clothes Adult]],Table_NFI[Winter Clothes Adult])</f>
        <v>0</v>
      </c>
      <c r="AJ532" s="294">
        <f>IF(NFI_Expiration=1,IF($A532&lt;VLOOKUP(S$5,NFI,5,0),1,0)*Table_NFI[[#This Row],[Winter Clothes Children]],Table_NFI[Winter Clothes Children])</f>
        <v>0</v>
      </c>
      <c r="AK532" s="294">
        <f>IF(NFI_Expiration=1,IF($A532&lt;VLOOKUP(T$5,NFI,5,0),1,0)*Table_NFI[[#This Row],[Winter Items Other]],Table_NFI[Winter Items Other])</f>
        <v>0</v>
      </c>
      <c r="AL532" s="294">
        <f>IF(NFI_Expiration=1,IF($A532&lt;VLOOKUP(M$5,NFI,5,0),1,0)*Table_NFI[[#This Row],[Winter Blanket]],Table_NFI[[#This Row],[Winter Blanket]])</f>
        <v>0</v>
      </c>
      <c r="AM532" s="294">
        <f>IF(Table_NFI[[#This Row],[Winter Clothes Adult]]+Table_NFI[[#This Row],[Winter Clothes Children]]+Table_NFI[[#This Row],[Winter Items Other]]+Table_NFI[[#This Row],[Winter Blanket]]&gt;0,1,0)</f>
        <v>0</v>
      </c>
      <c r="AN532" s="331">
        <f>IF(NFI_Expiration=1,IF($A532&lt;VLOOKUP(V$5,NFI,5,0),1,0)*Table_NFI[[#This Row],[Jerry Can]],Table_NFI[Jerry Can])</f>
        <v>0</v>
      </c>
      <c r="AO532" s="331">
        <f>IF(NFI_Expiration=1,IF($A532&lt;VLOOKUP(V$5,NFI,5,0),1,0)*Table_NFI[[#This Row],[Shelter Tool kit]],Table_NFI[Shelter Tool kit])</f>
        <v>0</v>
      </c>
      <c r="AP532" s="331">
        <f>IF(NFI_Expiration=1,IF($A532&lt;VLOOKUP(V$5,NFI,5,0),1,0)*Table_NFI[[#This Row],[Tent]],Table_NFI[Tent])</f>
        <v>0</v>
      </c>
      <c r="AQ532" s="467" t="str">
        <f>IFERROR(VLOOKUP(Table_NFI[[#This Row],[Camp Name]],CL,2,0),"")</f>
        <v>MMR001CMP039</v>
      </c>
      <c r="AR532" s="835">
        <f ca="1">IF(Table_NFI[[#This Row],[Pcode]]="","",IF(OFFSET(CampList[Opening Date],MATCH(Table_NFI[[#This Row],[Pcode]],CampList[CP_Pcode],0)-1,0,1,1)&gt;=NFI_Monitor_Date,1,0))</f>
        <v>0</v>
      </c>
      <c r="AS532" s="467" t="str">
        <f>IFERROR(VLOOKUP(Table_NFI[[#This Row],[Camp Name]],CL,3,0),"")</f>
        <v>Open</v>
      </c>
      <c r="AT532" s="294" t="str">
        <f ca="1">IF(Table_NFI[[#This Row],[Pcode]]="","",OFFSET(CampList[Priority],MATCH(Table_NFI[[#This Row],[Pcode]],CampList[CP_Pcode],0)-1,0,1,1))</f>
        <v>P4</v>
      </c>
      <c r="AU532" s="293">
        <f>IFERROR(Table_NFI[[#This Row],[Kitchen Set]]/VLOOKUP(Table_NFI[[#This Row],[Camp Name]],CL,4,0),"")</f>
        <v>0</v>
      </c>
      <c r="AV532" s="461" t="s">
        <v>1092</v>
      </c>
      <c r="AW532" s="463"/>
    </row>
    <row r="533" spans="1:49" s="464" customFormat="1" ht="14.45" customHeight="1" x14ac:dyDescent="0.25">
      <c r="A533" s="297">
        <f t="shared" si="8"/>
        <v>37.6</v>
      </c>
      <c r="B533" s="460">
        <v>41608</v>
      </c>
      <c r="C533" s="461" t="s">
        <v>905</v>
      </c>
      <c r="D533" s="461"/>
      <c r="E533" s="461" t="s">
        <v>380</v>
      </c>
      <c r="F533" s="290" t="s">
        <v>185</v>
      </c>
      <c r="G533" s="290" t="s">
        <v>202</v>
      </c>
      <c r="H533" s="291"/>
      <c r="I533" s="291"/>
      <c r="J533" s="291"/>
      <c r="K533" s="291"/>
      <c r="L533" s="292"/>
      <c r="M533" s="292"/>
      <c r="N533" s="292"/>
      <c r="O533" s="292"/>
      <c r="P533" s="294"/>
      <c r="Q533" s="294">
        <v>141</v>
      </c>
      <c r="R533" s="294"/>
      <c r="S533" s="294"/>
      <c r="T533" s="294"/>
      <c r="U533" s="294"/>
      <c r="V533" s="431"/>
      <c r="W533" s="294"/>
      <c r="X533" s="294"/>
      <c r="Y533" s="294">
        <f>IF(NFI_Expiration=1,IF($A533&lt;VLOOKUP(H$5,NFI,5,0),1,0)*Table_NFI[[#This Row],[Hygiene Kit]],Table_NFI[Hygiene Kit])</f>
        <v>0</v>
      </c>
      <c r="Z533" s="294">
        <f>IF(NFI_Expiration=1,IF($A533&lt;VLOOKUP(I$5,NFI,5,0),1,0)*Table_NFI[[#This Row],[NFI Core Kit]],Table_NFI[NFI Core Kit])</f>
        <v>0</v>
      </c>
      <c r="AA533" s="294">
        <f>IF(NFI_Expiration=1,IF($A533&lt;VLOOKUP(J$5,NFI,5,0),1,0)*Table_NFI[[#This Row],[Sanitary Kit]],Table_NFI[Sanitary Kit])</f>
        <v>0</v>
      </c>
      <c r="AB533" s="294">
        <f>IF(NFI_Expiration=1,IF($A533&lt;VLOOKUP(K$5,NFI,5,0),1,0)*Table_NFI[[#This Row],[Mosquito net]],Table_NFI[Mosquito net])</f>
        <v>0</v>
      </c>
      <c r="AC533" s="294">
        <f>IF(NFI_Expiration=1,IF($A533&lt;VLOOKUP(L$5,NFI,5,0),1,0)*Table_NFI[[#This Row],[Tarpaulin]],Table_NFI[[#This Row],[Tarpaulin]])</f>
        <v>0</v>
      </c>
      <c r="AD533" s="294">
        <f>IF(NFI_Expiration=1,IF($A533&lt;VLOOKUP(M$5,NFI,5,0),1,0)*Table_NFI[[#This Row],[Blanket]],Table_NFI[[#This Row],[Blanket]])</f>
        <v>0</v>
      </c>
      <c r="AE533" s="294">
        <f>IF(NFI_Expiration=1,IF($A533&lt;VLOOKUP(N$5,NFI,5,0),1,0)*Table_NFI[[#This Row],[Kitchen Set]],Table_NFI[Kitchen Set])</f>
        <v>0</v>
      </c>
      <c r="AF533" s="294">
        <f>IF(NFI_Expiration=1,IF($A533&lt;VLOOKUP(O$5,NFI,5,0),1,0)*Table_NFI[[#This Row],[Clothes Kit]],Table_NFI[Clothes Kit])</f>
        <v>0</v>
      </c>
      <c r="AG533" s="294">
        <f>IF(NFI_Expiration=1,IF($A533&lt;VLOOKUP(P$5,NFI,5,0),1,0)*Table_NFI[[#This Row],[Plastic Bucket]],Table_NFI[Plastic Bucket])</f>
        <v>0</v>
      </c>
      <c r="AH533" s="294">
        <f>IF(NFI_Expiration=1,IF($A533&lt;VLOOKUP(Q$5,NFI,5,0),1,0)*Table_NFI[[#This Row],[Plastic Mat]],Table_NFI[Plastic Mat])*IF(Table_NFI[[#This Row],[Distribution Date]]&gt;"2014-04-01",1,2.5)</f>
        <v>0</v>
      </c>
      <c r="AI533" s="294">
        <f>IF(NFI_Expiration=1,IF($A533&lt;VLOOKUP(R$5,NFI,5,0),1,0)*Table_NFI[[#This Row],[Winter Clothes Adult]],Table_NFI[Winter Clothes Adult])</f>
        <v>0</v>
      </c>
      <c r="AJ533" s="294">
        <f>IF(NFI_Expiration=1,IF($A533&lt;VLOOKUP(S$5,NFI,5,0),1,0)*Table_NFI[[#This Row],[Winter Clothes Children]],Table_NFI[Winter Clothes Children])</f>
        <v>0</v>
      </c>
      <c r="AK533" s="294">
        <f>IF(NFI_Expiration=1,IF($A533&lt;VLOOKUP(T$5,NFI,5,0),1,0)*Table_NFI[[#This Row],[Winter Items Other]],Table_NFI[Winter Items Other])</f>
        <v>0</v>
      </c>
      <c r="AL533" s="294">
        <f>IF(NFI_Expiration=1,IF($A533&lt;VLOOKUP(M$5,NFI,5,0),1,0)*Table_NFI[[#This Row],[Winter Blanket]],Table_NFI[[#This Row],[Winter Blanket]])</f>
        <v>0</v>
      </c>
      <c r="AM533" s="294">
        <f>IF(Table_NFI[[#This Row],[Winter Clothes Adult]]+Table_NFI[[#This Row],[Winter Clothes Children]]+Table_NFI[[#This Row],[Winter Items Other]]+Table_NFI[[#This Row],[Winter Blanket]]&gt;0,1,0)</f>
        <v>0</v>
      </c>
      <c r="AN533" s="331">
        <f>IF(NFI_Expiration=1,IF($A533&lt;VLOOKUP(V$5,NFI,5,0),1,0)*Table_NFI[[#This Row],[Jerry Can]],Table_NFI[Jerry Can])</f>
        <v>0</v>
      </c>
      <c r="AO533" s="331">
        <f>IF(NFI_Expiration=1,IF($A533&lt;VLOOKUP(V$5,NFI,5,0),1,0)*Table_NFI[[#This Row],[Shelter Tool kit]],Table_NFI[Shelter Tool kit])</f>
        <v>0</v>
      </c>
      <c r="AP533" s="331">
        <f>IF(NFI_Expiration=1,IF($A533&lt;VLOOKUP(V$5,NFI,5,0),1,0)*Table_NFI[[#This Row],[Tent]],Table_NFI[Tent])</f>
        <v>0</v>
      </c>
      <c r="AQ533" s="467" t="str">
        <f>IFERROR(VLOOKUP(Table_NFI[[#This Row],[Camp Name]],CL,2,0),"")</f>
        <v>MMR001CMP062</v>
      </c>
      <c r="AR533" s="835">
        <f ca="1">IF(Table_NFI[[#This Row],[Pcode]]="","",IF(OFFSET(CampList[Opening Date],MATCH(Table_NFI[[#This Row],[Pcode]],CampList[CP_Pcode],0)-1,0,1,1)&gt;=NFI_Monitor_Date,1,0))</f>
        <v>0</v>
      </c>
      <c r="AS533" s="467" t="str">
        <f>IFERROR(VLOOKUP(Table_NFI[[#This Row],[Camp Name]],CL,3,0),"")</f>
        <v>Open</v>
      </c>
      <c r="AT533" s="294" t="str">
        <f ca="1">IF(Table_NFI[[#This Row],[Pcode]]="","",OFFSET(CampList[Priority],MATCH(Table_NFI[[#This Row],[Pcode]],CampList[CP_Pcode],0)-1,0,1,1))</f>
        <v>P4</v>
      </c>
      <c r="AU533" s="293">
        <f>IFERROR(Table_NFI[[#This Row],[Kitchen Set]]/VLOOKUP(Table_NFI[[#This Row],[Camp Name]],CL,4,0),"")</f>
        <v>0</v>
      </c>
      <c r="AV533" s="461" t="s">
        <v>1092</v>
      </c>
      <c r="AW533" s="463"/>
    </row>
    <row r="534" spans="1:49" s="464" customFormat="1" ht="14.45" customHeight="1" x14ac:dyDescent="0.25">
      <c r="A534" s="297">
        <f t="shared" si="8"/>
        <v>37.6</v>
      </c>
      <c r="B534" s="460">
        <v>41608</v>
      </c>
      <c r="C534" s="461" t="s">
        <v>905</v>
      </c>
      <c r="D534" s="461"/>
      <c r="E534" s="461" t="s">
        <v>380</v>
      </c>
      <c r="F534" s="290" t="s">
        <v>5</v>
      </c>
      <c r="G534" s="290" t="s">
        <v>512</v>
      </c>
      <c r="H534" s="291"/>
      <c r="I534" s="291"/>
      <c r="J534" s="291"/>
      <c r="K534" s="291"/>
      <c r="L534" s="292"/>
      <c r="M534" s="292"/>
      <c r="N534" s="292"/>
      <c r="O534" s="292"/>
      <c r="P534" s="294"/>
      <c r="Q534" s="294"/>
      <c r="R534" s="294"/>
      <c r="S534" s="294"/>
      <c r="T534" s="294"/>
      <c r="U534" s="294"/>
      <c r="V534" s="431"/>
      <c r="W534" s="294"/>
      <c r="X534" s="294"/>
      <c r="Y534" s="294">
        <f>IF(NFI_Expiration=1,IF($A534&lt;VLOOKUP(H$5,NFI,5,0),1,0)*Table_NFI[[#This Row],[Hygiene Kit]],Table_NFI[Hygiene Kit])</f>
        <v>0</v>
      </c>
      <c r="Z534" s="294">
        <f>IF(NFI_Expiration=1,IF($A534&lt;VLOOKUP(I$5,NFI,5,0),1,0)*Table_NFI[[#This Row],[NFI Core Kit]],Table_NFI[NFI Core Kit])</f>
        <v>0</v>
      </c>
      <c r="AA534" s="294">
        <f>IF(NFI_Expiration=1,IF($A534&lt;VLOOKUP(J$5,NFI,5,0),1,0)*Table_NFI[[#This Row],[Sanitary Kit]],Table_NFI[Sanitary Kit])</f>
        <v>0</v>
      </c>
      <c r="AB534" s="294">
        <f>IF(NFI_Expiration=1,IF($A534&lt;VLOOKUP(K$5,NFI,5,0),1,0)*Table_NFI[[#This Row],[Mosquito net]],Table_NFI[Mosquito net])</f>
        <v>0</v>
      </c>
      <c r="AC534" s="294">
        <f>IF(NFI_Expiration=1,IF($A534&lt;VLOOKUP(L$5,NFI,5,0),1,0)*Table_NFI[[#This Row],[Tarpaulin]],Table_NFI[[#This Row],[Tarpaulin]])</f>
        <v>0</v>
      </c>
      <c r="AD534" s="294">
        <f>IF(NFI_Expiration=1,IF($A534&lt;VLOOKUP(M$5,NFI,5,0),1,0)*Table_NFI[[#This Row],[Blanket]],Table_NFI[[#This Row],[Blanket]])</f>
        <v>0</v>
      </c>
      <c r="AE534" s="294">
        <f>IF(NFI_Expiration=1,IF($A534&lt;VLOOKUP(N$5,NFI,5,0),1,0)*Table_NFI[[#This Row],[Kitchen Set]],Table_NFI[Kitchen Set])</f>
        <v>0</v>
      </c>
      <c r="AF534" s="294">
        <f>IF(NFI_Expiration=1,IF($A534&lt;VLOOKUP(O$5,NFI,5,0),1,0)*Table_NFI[[#This Row],[Clothes Kit]],Table_NFI[Clothes Kit])</f>
        <v>0</v>
      </c>
      <c r="AG534" s="294">
        <f>IF(NFI_Expiration=1,IF($A534&lt;VLOOKUP(P$5,NFI,5,0),1,0)*Table_NFI[[#This Row],[Plastic Bucket]],Table_NFI[Plastic Bucket])</f>
        <v>0</v>
      </c>
      <c r="AH534" s="294">
        <f>IF(NFI_Expiration=1,IF($A534&lt;VLOOKUP(Q$5,NFI,5,0),1,0)*Table_NFI[[#This Row],[Plastic Mat]],Table_NFI[Plastic Mat])*IF(Table_NFI[[#This Row],[Distribution Date]]&gt;"2014-04-01",1,2.5)</f>
        <v>0</v>
      </c>
      <c r="AI534" s="294">
        <f>IF(NFI_Expiration=1,IF($A534&lt;VLOOKUP(R$5,NFI,5,0),1,0)*Table_NFI[[#This Row],[Winter Clothes Adult]],Table_NFI[Winter Clothes Adult])</f>
        <v>0</v>
      </c>
      <c r="AJ534" s="294">
        <f>IF(NFI_Expiration=1,IF($A534&lt;VLOOKUP(S$5,NFI,5,0),1,0)*Table_NFI[[#This Row],[Winter Clothes Children]],Table_NFI[Winter Clothes Children])</f>
        <v>0</v>
      </c>
      <c r="AK534" s="294">
        <f>IF(NFI_Expiration=1,IF($A534&lt;VLOOKUP(T$5,NFI,5,0),1,0)*Table_NFI[[#This Row],[Winter Items Other]],Table_NFI[Winter Items Other])</f>
        <v>0</v>
      </c>
      <c r="AL534" s="294">
        <f>IF(NFI_Expiration=1,IF($A534&lt;VLOOKUP(M$5,NFI,5,0),1,0)*Table_NFI[[#This Row],[Winter Blanket]],Table_NFI[[#This Row],[Winter Blanket]])</f>
        <v>0</v>
      </c>
      <c r="AM534" s="294">
        <f>IF(Table_NFI[[#This Row],[Winter Clothes Adult]]+Table_NFI[[#This Row],[Winter Clothes Children]]+Table_NFI[[#This Row],[Winter Items Other]]+Table_NFI[[#This Row],[Winter Blanket]]&gt;0,1,0)</f>
        <v>0</v>
      </c>
      <c r="AN534" s="331">
        <f>IF(NFI_Expiration=1,IF($A534&lt;VLOOKUP(V$5,NFI,5,0),1,0)*Table_NFI[[#This Row],[Jerry Can]],Table_NFI[Jerry Can])</f>
        <v>0</v>
      </c>
      <c r="AO534" s="331">
        <f>IF(NFI_Expiration=1,IF($A534&lt;VLOOKUP(V$5,NFI,5,0),1,0)*Table_NFI[[#This Row],[Shelter Tool kit]],Table_NFI[Shelter Tool kit])</f>
        <v>0</v>
      </c>
      <c r="AP534" s="331">
        <f>IF(NFI_Expiration=1,IF($A534&lt;VLOOKUP(V$5,NFI,5,0),1,0)*Table_NFI[[#This Row],[Tent]],Table_NFI[Tent])</f>
        <v>0</v>
      </c>
      <c r="AQ534" s="467" t="str">
        <f>IFERROR(VLOOKUP(Table_NFI[[#This Row],[Camp Name]],CL,2,0),"")</f>
        <v>MMR001CMP194</v>
      </c>
      <c r="AR534" s="835">
        <f ca="1">IF(Table_NFI[[#This Row],[Pcode]]="","",IF(OFFSET(CampList[Opening Date],MATCH(Table_NFI[[#This Row],[Pcode]],CampList[CP_Pcode],0)-1,0,1,1)&gt;=NFI_Monitor_Date,1,0))</f>
        <v>0</v>
      </c>
      <c r="AS534" s="467" t="s">
        <v>843</v>
      </c>
      <c r="AT534" s="294" t="str">
        <f ca="1">IF(Table_NFI[[#This Row],[Pcode]]="","",OFFSET(CampList[Priority],MATCH(Table_NFI[[#This Row],[Pcode]],CampList[CP_Pcode],0)-1,0,1,1))</f>
        <v>P4</v>
      </c>
      <c r="AU534" s="293">
        <f>IFERROR(Table_NFI[[#This Row],[Kitchen Set]]/VLOOKUP(Table_NFI[[#This Row],[Camp Name]],CL,4,0),"")</f>
        <v>0</v>
      </c>
      <c r="AV534" s="461" t="s">
        <v>1092</v>
      </c>
      <c r="AW534" s="463"/>
    </row>
    <row r="535" spans="1:49" s="464" customFormat="1" x14ac:dyDescent="0.25">
      <c r="A535" s="297">
        <f t="shared" si="8"/>
        <v>37.6</v>
      </c>
      <c r="B535" s="460">
        <v>41608</v>
      </c>
      <c r="C535" s="461" t="s">
        <v>1097</v>
      </c>
      <c r="D535" s="462" t="s">
        <v>944</v>
      </c>
      <c r="E535" s="461" t="s">
        <v>380</v>
      </c>
      <c r="F535" s="461" t="s">
        <v>151</v>
      </c>
      <c r="G535" s="290" t="s">
        <v>160</v>
      </c>
      <c r="H535" s="291"/>
      <c r="I535" s="291"/>
      <c r="J535" s="291"/>
      <c r="K535" s="291"/>
      <c r="L535" s="292"/>
      <c r="M535" s="292">
        <v>347</v>
      </c>
      <c r="N535" s="292"/>
      <c r="O535" s="292"/>
      <c r="P535" s="294"/>
      <c r="Q535" s="294"/>
      <c r="R535" s="294">
        <v>386</v>
      </c>
      <c r="S535" s="294">
        <v>234</v>
      </c>
      <c r="T535" s="294">
        <v>0</v>
      </c>
      <c r="U535" s="294"/>
      <c r="V535" s="431"/>
      <c r="W535" s="331"/>
      <c r="X535" s="331"/>
      <c r="Y535" s="294">
        <f>IF(NFI_Expiration=1,IF($A535&lt;VLOOKUP(H$5,NFI,5,0),1,0)*Table_NFI[[#This Row],[Hygiene Kit]],Table_NFI[Hygiene Kit])</f>
        <v>0</v>
      </c>
      <c r="Z535" s="294">
        <f>IF(NFI_Expiration=1,IF($A535&lt;VLOOKUP(I$5,NFI,5,0),1,0)*Table_NFI[[#This Row],[NFI Core Kit]],Table_NFI[NFI Core Kit])</f>
        <v>0</v>
      </c>
      <c r="AA535" s="294">
        <f>IF(NFI_Expiration=1,IF($A535&lt;VLOOKUP(J$5,NFI,5,0),1,0)*Table_NFI[[#This Row],[Sanitary Kit]],Table_NFI[Sanitary Kit])</f>
        <v>0</v>
      </c>
      <c r="AB535" s="294">
        <f>IF(NFI_Expiration=1,IF($A535&lt;VLOOKUP(K$5,NFI,5,0),1,0)*Table_NFI[[#This Row],[Mosquito net]],Table_NFI[Mosquito net])</f>
        <v>0</v>
      </c>
      <c r="AC535" s="294">
        <f>IF(NFI_Expiration=1,IF($A535&lt;VLOOKUP(L$5,NFI,5,0),1,0)*Table_NFI[[#This Row],[Tarpaulin]],Table_NFI[[#This Row],[Tarpaulin]])</f>
        <v>0</v>
      </c>
      <c r="AD535" s="294">
        <f>IF(NFI_Expiration=1,IF($A535&lt;VLOOKUP(M$5,NFI,5,0),1,0)*Table_NFI[[#This Row],[Blanket]],Table_NFI[[#This Row],[Blanket]])</f>
        <v>0</v>
      </c>
      <c r="AE535" s="294">
        <f>IF(NFI_Expiration=1,IF($A535&lt;VLOOKUP(N$5,NFI,5,0),1,0)*Table_NFI[[#This Row],[Kitchen Set]],Table_NFI[Kitchen Set])</f>
        <v>0</v>
      </c>
      <c r="AF535" s="294">
        <f>IF(NFI_Expiration=1,IF($A535&lt;VLOOKUP(O$5,NFI,5,0),1,0)*Table_NFI[[#This Row],[Clothes Kit]],Table_NFI[Clothes Kit])</f>
        <v>0</v>
      </c>
      <c r="AG535" s="294">
        <f>IF(NFI_Expiration=1,IF($A535&lt;VLOOKUP(P$5,NFI,5,0),1,0)*Table_NFI[[#This Row],[Plastic Bucket]],Table_NFI[Plastic Bucket])</f>
        <v>0</v>
      </c>
      <c r="AH535" s="294">
        <f>IF(NFI_Expiration=1,IF($A535&lt;VLOOKUP(Q$5,NFI,5,0),1,0)*Table_NFI[[#This Row],[Plastic Mat]],Table_NFI[Plastic Mat])*IF(Table_NFI[[#This Row],[Distribution Date]]&gt;"2014-04-01",1,2.5)</f>
        <v>0</v>
      </c>
      <c r="AI535" s="294">
        <f>IF(NFI_Expiration=1,IF($A535&lt;VLOOKUP(R$5,NFI,5,0),1,0)*Table_NFI[[#This Row],[Winter Clothes Adult]],Table_NFI[Winter Clothes Adult])</f>
        <v>0</v>
      </c>
      <c r="AJ535" s="294">
        <f>IF(NFI_Expiration=1,IF($A535&lt;VLOOKUP(S$5,NFI,5,0),1,0)*Table_NFI[[#This Row],[Winter Clothes Children]],Table_NFI[Winter Clothes Children])</f>
        <v>0</v>
      </c>
      <c r="AK535" s="294">
        <f>IF(NFI_Expiration=1,IF($A535&lt;VLOOKUP(T$5,NFI,5,0),1,0)*Table_NFI[[#This Row],[Winter Items Other]],Table_NFI[Winter Items Other])</f>
        <v>0</v>
      </c>
      <c r="AL535" s="294">
        <f>IF(NFI_Expiration=1,IF($A535&lt;VLOOKUP(M$5,NFI,5,0),1,0)*Table_NFI[[#This Row],[Winter Blanket]],Table_NFI[[#This Row],[Winter Blanket]])</f>
        <v>0</v>
      </c>
      <c r="AM535" s="294">
        <f>IF(Table_NFI[[#This Row],[Winter Clothes Adult]]+Table_NFI[[#This Row],[Winter Clothes Children]]+Table_NFI[[#This Row],[Winter Items Other]]+Table_NFI[[#This Row],[Winter Blanket]]&gt;0,1,0)</f>
        <v>1</v>
      </c>
      <c r="AN535" s="331">
        <f>IF(NFI_Expiration=1,IF($A535&lt;VLOOKUP(V$5,NFI,5,0),1,0)*Table_NFI[[#This Row],[Jerry Can]],Table_NFI[Jerry Can])</f>
        <v>0</v>
      </c>
      <c r="AO535" s="331">
        <f>IF(NFI_Expiration=1,IF($A535&lt;VLOOKUP(V$5,NFI,5,0),1,0)*Table_NFI[[#This Row],[Shelter Tool kit]],Table_NFI[Shelter Tool kit])</f>
        <v>0</v>
      </c>
      <c r="AP535" s="331">
        <f>IF(NFI_Expiration=1,IF($A535&lt;VLOOKUP(V$5,NFI,5,0),1,0)*Table_NFI[[#This Row],[Tent]],Table_NFI[Tent])</f>
        <v>0</v>
      </c>
      <c r="AQ535" s="467" t="str">
        <f>IFERROR(VLOOKUP(Table_NFI[[#This Row],[Camp Name]],CL,2,0),"")</f>
        <v>MMR001CMP133</v>
      </c>
      <c r="AR535" s="835">
        <f ca="1">IF(Table_NFI[[#This Row],[Pcode]]="","",IF(OFFSET(CampList[Opening Date],MATCH(Table_NFI[[#This Row],[Pcode]],CampList[CP_Pcode],0)-1,0,1,1)&gt;=NFI_Monitor_Date,1,0))</f>
        <v>0</v>
      </c>
      <c r="AS535" s="467" t="str">
        <f>IFERROR(VLOOKUP(Table_NFI[[#This Row],[Camp Name]],CL,3,0),"")</f>
        <v>Open</v>
      </c>
      <c r="AT535" s="294" t="str">
        <f ca="1">IF(Table_NFI[[#This Row],[Pcode]]="","",OFFSET(CampList[Priority],MATCH(Table_NFI[[#This Row],[Pcode]],CampList[CP_Pcode],0)-1,0,1,1))</f>
        <v>P4</v>
      </c>
      <c r="AU535" s="293">
        <f>IFERROR(Table_NFI[[#This Row],[Kitchen Set]]/VLOOKUP(Table_NFI[[#This Row],[Camp Name]],CL,4,0),"")</f>
        <v>0</v>
      </c>
      <c r="AV535" s="461" t="s">
        <v>1092</v>
      </c>
      <c r="AW535" s="463"/>
    </row>
    <row r="536" spans="1:49" s="464" customFormat="1" x14ac:dyDescent="0.25">
      <c r="A536" s="297">
        <f t="shared" si="8"/>
        <v>37.6</v>
      </c>
      <c r="B536" s="460">
        <v>41608</v>
      </c>
      <c r="C536" s="461" t="s">
        <v>905</v>
      </c>
      <c r="D536" s="461"/>
      <c r="E536" s="461" t="s">
        <v>380</v>
      </c>
      <c r="F536" s="290" t="s">
        <v>151</v>
      </c>
      <c r="G536" s="290" t="s">
        <v>160</v>
      </c>
      <c r="H536" s="291"/>
      <c r="I536" s="291"/>
      <c r="J536" s="291"/>
      <c r="K536" s="291"/>
      <c r="L536" s="292"/>
      <c r="M536" s="292"/>
      <c r="N536" s="292"/>
      <c r="O536" s="292"/>
      <c r="P536" s="294"/>
      <c r="Q536" s="294">
        <v>444</v>
      </c>
      <c r="R536" s="294"/>
      <c r="S536" s="294"/>
      <c r="T536" s="294"/>
      <c r="U536" s="294"/>
      <c r="V536" s="431"/>
      <c r="W536" s="294"/>
      <c r="X536" s="294"/>
      <c r="Y536" s="294">
        <f>IF(NFI_Expiration=1,IF($A536&lt;VLOOKUP(H$5,NFI,5,0),1,0)*Table_NFI[[#This Row],[Hygiene Kit]],Table_NFI[Hygiene Kit])</f>
        <v>0</v>
      </c>
      <c r="Z536" s="294">
        <f>IF(NFI_Expiration=1,IF($A536&lt;VLOOKUP(I$5,NFI,5,0),1,0)*Table_NFI[[#This Row],[NFI Core Kit]],Table_NFI[NFI Core Kit])</f>
        <v>0</v>
      </c>
      <c r="AA536" s="294">
        <f>IF(NFI_Expiration=1,IF($A536&lt;VLOOKUP(J$5,NFI,5,0),1,0)*Table_NFI[[#This Row],[Sanitary Kit]],Table_NFI[Sanitary Kit])</f>
        <v>0</v>
      </c>
      <c r="AB536" s="294">
        <f>IF(NFI_Expiration=1,IF($A536&lt;VLOOKUP(K$5,NFI,5,0),1,0)*Table_NFI[[#This Row],[Mosquito net]],Table_NFI[Mosquito net])</f>
        <v>0</v>
      </c>
      <c r="AC536" s="294">
        <f>IF(NFI_Expiration=1,IF($A536&lt;VLOOKUP(L$5,NFI,5,0),1,0)*Table_NFI[[#This Row],[Tarpaulin]],Table_NFI[[#This Row],[Tarpaulin]])</f>
        <v>0</v>
      </c>
      <c r="AD536" s="294">
        <f>IF(NFI_Expiration=1,IF($A536&lt;VLOOKUP(M$5,NFI,5,0),1,0)*Table_NFI[[#This Row],[Blanket]],Table_NFI[[#This Row],[Blanket]])</f>
        <v>0</v>
      </c>
      <c r="AE536" s="294">
        <f>IF(NFI_Expiration=1,IF($A536&lt;VLOOKUP(N$5,NFI,5,0),1,0)*Table_NFI[[#This Row],[Kitchen Set]],Table_NFI[Kitchen Set])</f>
        <v>0</v>
      </c>
      <c r="AF536" s="294">
        <f>IF(NFI_Expiration=1,IF($A536&lt;VLOOKUP(O$5,NFI,5,0),1,0)*Table_NFI[[#This Row],[Clothes Kit]],Table_NFI[Clothes Kit])</f>
        <v>0</v>
      </c>
      <c r="AG536" s="294">
        <f>IF(NFI_Expiration=1,IF($A536&lt;VLOOKUP(P$5,NFI,5,0),1,0)*Table_NFI[[#This Row],[Plastic Bucket]],Table_NFI[Plastic Bucket])</f>
        <v>0</v>
      </c>
      <c r="AH536" s="294">
        <f>IF(NFI_Expiration=1,IF($A536&lt;VLOOKUP(Q$5,NFI,5,0),1,0)*Table_NFI[[#This Row],[Plastic Mat]],Table_NFI[Plastic Mat])*IF(Table_NFI[[#This Row],[Distribution Date]]&gt;"2014-04-01",1,2.5)</f>
        <v>0</v>
      </c>
      <c r="AI536" s="294">
        <f>IF(NFI_Expiration=1,IF($A536&lt;VLOOKUP(R$5,NFI,5,0),1,0)*Table_NFI[[#This Row],[Winter Clothes Adult]],Table_NFI[Winter Clothes Adult])</f>
        <v>0</v>
      </c>
      <c r="AJ536" s="294">
        <f>IF(NFI_Expiration=1,IF($A536&lt;VLOOKUP(S$5,NFI,5,0),1,0)*Table_NFI[[#This Row],[Winter Clothes Children]],Table_NFI[Winter Clothes Children])</f>
        <v>0</v>
      </c>
      <c r="AK536" s="294">
        <f>IF(NFI_Expiration=1,IF($A536&lt;VLOOKUP(T$5,NFI,5,0),1,0)*Table_NFI[[#This Row],[Winter Items Other]],Table_NFI[Winter Items Other])</f>
        <v>0</v>
      </c>
      <c r="AL536" s="294">
        <f>IF(NFI_Expiration=1,IF($A536&lt;VLOOKUP(M$5,NFI,5,0),1,0)*Table_NFI[[#This Row],[Winter Blanket]],Table_NFI[[#This Row],[Winter Blanket]])</f>
        <v>0</v>
      </c>
      <c r="AM536" s="294">
        <f>IF(Table_NFI[[#This Row],[Winter Clothes Adult]]+Table_NFI[[#This Row],[Winter Clothes Children]]+Table_NFI[[#This Row],[Winter Items Other]]+Table_NFI[[#This Row],[Winter Blanket]]&gt;0,1,0)</f>
        <v>0</v>
      </c>
      <c r="AN536" s="331">
        <f>IF(NFI_Expiration=1,IF($A536&lt;VLOOKUP(V$5,NFI,5,0),1,0)*Table_NFI[[#This Row],[Jerry Can]],Table_NFI[Jerry Can])</f>
        <v>0</v>
      </c>
      <c r="AO536" s="331">
        <f>IF(NFI_Expiration=1,IF($A536&lt;VLOOKUP(V$5,NFI,5,0),1,0)*Table_NFI[[#This Row],[Shelter Tool kit]],Table_NFI[Shelter Tool kit])</f>
        <v>0</v>
      </c>
      <c r="AP536" s="331">
        <f>IF(NFI_Expiration=1,IF($A536&lt;VLOOKUP(V$5,NFI,5,0),1,0)*Table_NFI[[#This Row],[Tent]],Table_NFI[Tent])</f>
        <v>0</v>
      </c>
      <c r="AQ536" s="467" t="str">
        <f>IFERROR(VLOOKUP(Table_NFI[[#This Row],[Camp Name]],CL,2,0),"")</f>
        <v>MMR001CMP133</v>
      </c>
      <c r="AR536" s="835">
        <f ca="1">IF(Table_NFI[[#This Row],[Pcode]]="","",IF(OFFSET(CampList[Opening Date],MATCH(Table_NFI[[#This Row],[Pcode]],CampList[CP_Pcode],0)-1,0,1,1)&gt;=NFI_Monitor_Date,1,0))</f>
        <v>0</v>
      </c>
      <c r="AS536" s="467" t="str">
        <f>IFERROR(VLOOKUP(Table_NFI[[#This Row],[Camp Name]],CL,3,0),"")</f>
        <v>Open</v>
      </c>
      <c r="AT536" s="294" t="str">
        <f ca="1">IF(Table_NFI[[#This Row],[Pcode]]="","",OFFSET(CampList[Priority],MATCH(Table_NFI[[#This Row],[Pcode]],CampList[CP_Pcode],0)-1,0,1,1))</f>
        <v>P4</v>
      </c>
      <c r="AU536" s="293">
        <f>IFERROR(Table_NFI[[#This Row],[Kitchen Set]]/VLOOKUP(Table_NFI[[#This Row],[Camp Name]],CL,4,0),"")</f>
        <v>0</v>
      </c>
      <c r="AV536" s="461" t="s">
        <v>1092</v>
      </c>
      <c r="AW536" s="463"/>
    </row>
    <row r="537" spans="1:49" s="464" customFormat="1" ht="14.45" customHeight="1" x14ac:dyDescent="0.25">
      <c r="A537" s="297">
        <f t="shared" si="8"/>
        <v>37.6</v>
      </c>
      <c r="B537" s="460">
        <v>41608</v>
      </c>
      <c r="C537" s="461" t="s">
        <v>1097</v>
      </c>
      <c r="D537" s="462" t="s">
        <v>944</v>
      </c>
      <c r="E537" s="461" t="s">
        <v>380</v>
      </c>
      <c r="F537" s="290" t="s">
        <v>151</v>
      </c>
      <c r="G537" s="290" t="s">
        <v>516</v>
      </c>
      <c r="H537" s="291"/>
      <c r="I537" s="291"/>
      <c r="J537" s="291"/>
      <c r="K537" s="291"/>
      <c r="L537" s="292"/>
      <c r="M537" s="292">
        <v>447</v>
      </c>
      <c r="N537" s="292"/>
      <c r="O537" s="292"/>
      <c r="P537" s="294"/>
      <c r="Q537" s="294"/>
      <c r="R537" s="294">
        <v>398</v>
      </c>
      <c r="S537" s="294">
        <v>390</v>
      </c>
      <c r="T537" s="294">
        <v>0</v>
      </c>
      <c r="U537" s="294"/>
      <c r="V537" s="431"/>
      <c r="W537" s="294"/>
      <c r="X537" s="294"/>
      <c r="Y537" s="294">
        <f>IF(NFI_Expiration=1,IF($A537&lt;VLOOKUP(H$5,NFI,5,0),1,0)*Table_NFI[[#This Row],[Hygiene Kit]],Table_NFI[Hygiene Kit])</f>
        <v>0</v>
      </c>
      <c r="Z537" s="294">
        <f>IF(NFI_Expiration=1,IF($A537&lt;VLOOKUP(I$5,NFI,5,0),1,0)*Table_NFI[[#This Row],[NFI Core Kit]],Table_NFI[NFI Core Kit])</f>
        <v>0</v>
      </c>
      <c r="AA537" s="294">
        <f>IF(NFI_Expiration=1,IF($A537&lt;VLOOKUP(J$5,NFI,5,0),1,0)*Table_NFI[[#This Row],[Sanitary Kit]],Table_NFI[Sanitary Kit])</f>
        <v>0</v>
      </c>
      <c r="AB537" s="294">
        <f>IF(NFI_Expiration=1,IF($A537&lt;VLOOKUP(K$5,NFI,5,0),1,0)*Table_NFI[[#This Row],[Mosquito net]],Table_NFI[Mosquito net])</f>
        <v>0</v>
      </c>
      <c r="AC537" s="294">
        <f>IF(NFI_Expiration=1,IF($A537&lt;VLOOKUP(L$5,NFI,5,0),1,0)*Table_NFI[[#This Row],[Tarpaulin]],Table_NFI[[#This Row],[Tarpaulin]])</f>
        <v>0</v>
      </c>
      <c r="AD537" s="294">
        <f>IF(NFI_Expiration=1,IF($A537&lt;VLOOKUP(M$5,NFI,5,0),1,0)*Table_NFI[[#This Row],[Blanket]],Table_NFI[[#This Row],[Blanket]])</f>
        <v>0</v>
      </c>
      <c r="AE537" s="294">
        <f>IF(NFI_Expiration=1,IF($A537&lt;VLOOKUP(N$5,NFI,5,0),1,0)*Table_NFI[[#This Row],[Kitchen Set]],Table_NFI[Kitchen Set])</f>
        <v>0</v>
      </c>
      <c r="AF537" s="294">
        <f>IF(NFI_Expiration=1,IF($A537&lt;VLOOKUP(O$5,NFI,5,0),1,0)*Table_NFI[[#This Row],[Clothes Kit]],Table_NFI[Clothes Kit])</f>
        <v>0</v>
      </c>
      <c r="AG537" s="294">
        <f>IF(NFI_Expiration=1,IF($A537&lt;VLOOKUP(P$5,NFI,5,0),1,0)*Table_NFI[[#This Row],[Plastic Bucket]],Table_NFI[Plastic Bucket])</f>
        <v>0</v>
      </c>
      <c r="AH537" s="294">
        <f>IF(NFI_Expiration=1,IF($A537&lt;VLOOKUP(Q$5,NFI,5,0),1,0)*Table_NFI[[#This Row],[Plastic Mat]],Table_NFI[Plastic Mat])*IF(Table_NFI[[#This Row],[Distribution Date]]&gt;"2014-04-01",1,2.5)</f>
        <v>0</v>
      </c>
      <c r="AI537" s="294">
        <f>IF(NFI_Expiration=1,IF($A537&lt;VLOOKUP(R$5,NFI,5,0),1,0)*Table_NFI[[#This Row],[Winter Clothes Adult]],Table_NFI[Winter Clothes Adult])</f>
        <v>0</v>
      </c>
      <c r="AJ537" s="294">
        <f>IF(NFI_Expiration=1,IF($A537&lt;VLOOKUP(S$5,NFI,5,0),1,0)*Table_NFI[[#This Row],[Winter Clothes Children]],Table_NFI[Winter Clothes Children])</f>
        <v>0</v>
      </c>
      <c r="AK537" s="294">
        <f>IF(NFI_Expiration=1,IF($A537&lt;VLOOKUP(T$5,NFI,5,0),1,0)*Table_NFI[[#This Row],[Winter Items Other]],Table_NFI[Winter Items Other])</f>
        <v>0</v>
      </c>
      <c r="AL537" s="294">
        <f>IF(NFI_Expiration=1,IF($A537&lt;VLOOKUP(M$5,NFI,5,0),1,0)*Table_NFI[[#This Row],[Winter Blanket]],Table_NFI[[#This Row],[Winter Blanket]])</f>
        <v>0</v>
      </c>
      <c r="AM537" s="294">
        <f>IF(Table_NFI[[#This Row],[Winter Clothes Adult]]+Table_NFI[[#This Row],[Winter Clothes Children]]+Table_NFI[[#This Row],[Winter Items Other]]+Table_NFI[[#This Row],[Winter Blanket]]&gt;0,1,0)</f>
        <v>1</v>
      </c>
      <c r="AN537" s="331">
        <f>IF(NFI_Expiration=1,IF($A537&lt;VLOOKUP(V$5,NFI,5,0),1,0)*Table_NFI[[#This Row],[Jerry Can]],Table_NFI[Jerry Can])</f>
        <v>0</v>
      </c>
      <c r="AO537" s="331">
        <f>IF(NFI_Expiration=1,IF($A537&lt;VLOOKUP(V$5,NFI,5,0),1,0)*Table_NFI[[#This Row],[Shelter Tool kit]],Table_NFI[Shelter Tool kit])</f>
        <v>0</v>
      </c>
      <c r="AP537" s="331">
        <f>IF(NFI_Expiration=1,IF($A537&lt;VLOOKUP(V$5,NFI,5,0),1,0)*Table_NFI[[#This Row],[Tent]],Table_NFI[Tent])</f>
        <v>0</v>
      </c>
      <c r="AQ537" s="467" t="str">
        <f>IFERROR(VLOOKUP(Table_NFI[[#This Row],[Camp Name]],CL,2,0),"")</f>
        <v>MMR001CMP202</v>
      </c>
      <c r="AR537" s="835">
        <f ca="1">IF(Table_NFI[[#This Row],[Pcode]]="","",IF(OFFSET(CampList[Opening Date],MATCH(Table_NFI[[#This Row],[Pcode]],CampList[CP_Pcode],0)-1,0,1,1)&gt;=NFI_Monitor_Date,1,0))</f>
        <v>0</v>
      </c>
      <c r="AS537" s="467" t="str">
        <f>IFERROR(VLOOKUP(Table_NFI[[#This Row],[Camp Name]],CL,3,0),"")</f>
        <v>Closed</v>
      </c>
      <c r="AT537" s="294" t="str">
        <f ca="1">IF(Table_NFI[[#This Row],[Pcode]]="","",OFFSET(CampList[Priority],MATCH(Table_NFI[[#This Row],[Pcode]],CampList[CP_Pcode],0)-1,0,1,1))</f>
        <v>P4</v>
      </c>
      <c r="AU537" s="293">
        <f>IFERROR(Table_NFI[[#This Row],[Kitchen Set]]/VLOOKUP(Table_NFI[[#This Row],[Camp Name]],CL,4,0),"")</f>
        <v>0</v>
      </c>
      <c r="AV537" s="461" t="s">
        <v>1092</v>
      </c>
      <c r="AW537" s="463"/>
    </row>
    <row r="538" spans="1:49" s="464" customFormat="1" ht="14.45" customHeight="1" x14ac:dyDescent="0.25">
      <c r="A538" s="297">
        <f t="shared" si="8"/>
        <v>37.6</v>
      </c>
      <c r="B538" s="460">
        <v>41608</v>
      </c>
      <c r="C538" s="461" t="s">
        <v>905</v>
      </c>
      <c r="D538" s="461"/>
      <c r="E538" s="461" t="s">
        <v>380</v>
      </c>
      <c r="F538" s="290" t="s">
        <v>151</v>
      </c>
      <c r="G538" s="290" t="s">
        <v>516</v>
      </c>
      <c r="H538" s="291"/>
      <c r="I538" s="291"/>
      <c r="J538" s="291"/>
      <c r="K538" s="291"/>
      <c r="L538" s="292"/>
      <c r="M538" s="292"/>
      <c r="N538" s="292"/>
      <c r="O538" s="292"/>
      <c r="P538" s="294"/>
      <c r="Q538" s="294"/>
      <c r="R538" s="294"/>
      <c r="S538" s="294"/>
      <c r="T538" s="294"/>
      <c r="U538" s="294"/>
      <c r="V538" s="431"/>
      <c r="W538" s="294"/>
      <c r="X538" s="294"/>
      <c r="Y538" s="294">
        <f>IF(NFI_Expiration=1,IF($A538&lt;VLOOKUP(H$5,NFI,5,0),1,0)*Table_NFI[[#This Row],[Hygiene Kit]],Table_NFI[Hygiene Kit])</f>
        <v>0</v>
      </c>
      <c r="Z538" s="294">
        <f>IF(NFI_Expiration=1,IF($A538&lt;VLOOKUP(I$5,NFI,5,0),1,0)*Table_NFI[[#This Row],[NFI Core Kit]],Table_NFI[NFI Core Kit])</f>
        <v>0</v>
      </c>
      <c r="AA538" s="294">
        <f>IF(NFI_Expiration=1,IF($A538&lt;VLOOKUP(J$5,NFI,5,0),1,0)*Table_NFI[[#This Row],[Sanitary Kit]],Table_NFI[Sanitary Kit])</f>
        <v>0</v>
      </c>
      <c r="AB538" s="294">
        <f>IF(NFI_Expiration=1,IF($A538&lt;VLOOKUP(K$5,NFI,5,0),1,0)*Table_NFI[[#This Row],[Mosquito net]],Table_NFI[Mosquito net])</f>
        <v>0</v>
      </c>
      <c r="AC538" s="294">
        <f>IF(NFI_Expiration=1,IF($A538&lt;VLOOKUP(L$5,NFI,5,0),1,0)*Table_NFI[[#This Row],[Tarpaulin]],Table_NFI[[#This Row],[Tarpaulin]])</f>
        <v>0</v>
      </c>
      <c r="AD538" s="294">
        <f>IF(NFI_Expiration=1,IF($A538&lt;VLOOKUP(M$5,NFI,5,0),1,0)*Table_NFI[[#This Row],[Blanket]],Table_NFI[[#This Row],[Blanket]])</f>
        <v>0</v>
      </c>
      <c r="AE538" s="294">
        <f>IF(NFI_Expiration=1,IF($A538&lt;VLOOKUP(N$5,NFI,5,0),1,0)*Table_NFI[[#This Row],[Kitchen Set]],Table_NFI[Kitchen Set])</f>
        <v>0</v>
      </c>
      <c r="AF538" s="294">
        <f>IF(NFI_Expiration=1,IF($A538&lt;VLOOKUP(O$5,NFI,5,0),1,0)*Table_NFI[[#This Row],[Clothes Kit]],Table_NFI[Clothes Kit])</f>
        <v>0</v>
      </c>
      <c r="AG538" s="294">
        <f>IF(NFI_Expiration=1,IF($A538&lt;VLOOKUP(P$5,NFI,5,0),1,0)*Table_NFI[[#This Row],[Plastic Bucket]],Table_NFI[Plastic Bucket])</f>
        <v>0</v>
      </c>
      <c r="AH538" s="294">
        <f>IF(NFI_Expiration=1,IF($A538&lt;VLOOKUP(Q$5,NFI,5,0),1,0)*Table_NFI[[#This Row],[Plastic Mat]],Table_NFI[Plastic Mat])*IF(Table_NFI[[#This Row],[Distribution Date]]&gt;"2014-04-01",1,2.5)</f>
        <v>0</v>
      </c>
      <c r="AI538" s="294">
        <f>IF(NFI_Expiration=1,IF($A538&lt;VLOOKUP(R$5,NFI,5,0),1,0)*Table_NFI[[#This Row],[Winter Clothes Adult]],Table_NFI[Winter Clothes Adult])</f>
        <v>0</v>
      </c>
      <c r="AJ538" s="294">
        <f>IF(NFI_Expiration=1,IF($A538&lt;VLOOKUP(S$5,NFI,5,0),1,0)*Table_NFI[[#This Row],[Winter Clothes Children]],Table_NFI[Winter Clothes Children])</f>
        <v>0</v>
      </c>
      <c r="AK538" s="294">
        <f>IF(NFI_Expiration=1,IF($A538&lt;VLOOKUP(T$5,NFI,5,0),1,0)*Table_NFI[[#This Row],[Winter Items Other]],Table_NFI[Winter Items Other])</f>
        <v>0</v>
      </c>
      <c r="AL538" s="294">
        <f>IF(NFI_Expiration=1,IF($A538&lt;VLOOKUP(M$5,NFI,5,0),1,0)*Table_NFI[[#This Row],[Winter Blanket]],Table_NFI[[#This Row],[Winter Blanket]])</f>
        <v>0</v>
      </c>
      <c r="AM538" s="294">
        <f>IF(Table_NFI[[#This Row],[Winter Clothes Adult]]+Table_NFI[[#This Row],[Winter Clothes Children]]+Table_NFI[[#This Row],[Winter Items Other]]+Table_NFI[[#This Row],[Winter Blanket]]&gt;0,1,0)</f>
        <v>0</v>
      </c>
      <c r="AN538" s="331">
        <f>IF(NFI_Expiration=1,IF($A538&lt;VLOOKUP(V$5,NFI,5,0),1,0)*Table_NFI[[#This Row],[Jerry Can]],Table_NFI[Jerry Can])</f>
        <v>0</v>
      </c>
      <c r="AO538" s="331">
        <f>IF(NFI_Expiration=1,IF($A538&lt;VLOOKUP(V$5,NFI,5,0),1,0)*Table_NFI[[#This Row],[Shelter Tool kit]],Table_NFI[Shelter Tool kit])</f>
        <v>0</v>
      </c>
      <c r="AP538" s="331">
        <f>IF(NFI_Expiration=1,IF($A538&lt;VLOOKUP(V$5,NFI,5,0),1,0)*Table_NFI[[#This Row],[Tent]],Table_NFI[Tent])</f>
        <v>0</v>
      </c>
      <c r="AQ538" s="467" t="str">
        <f>IFERROR(VLOOKUP(Table_NFI[[#This Row],[Camp Name]],CL,2,0),"")</f>
        <v>MMR001CMP202</v>
      </c>
      <c r="AR538" s="835">
        <f ca="1">IF(Table_NFI[[#This Row],[Pcode]]="","",IF(OFFSET(CampList[Opening Date],MATCH(Table_NFI[[#This Row],[Pcode]],CampList[CP_Pcode],0)-1,0,1,1)&gt;=NFI_Monitor_Date,1,0))</f>
        <v>0</v>
      </c>
      <c r="AS538" s="467" t="str">
        <f>IFERROR(VLOOKUP(Table_NFI[[#This Row],[Camp Name]],CL,3,0),"")</f>
        <v>Closed</v>
      </c>
      <c r="AT538" s="294" t="str">
        <f ca="1">IF(Table_NFI[[#This Row],[Pcode]]="","",OFFSET(CampList[Priority],MATCH(Table_NFI[[#This Row],[Pcode]],CampList[CP_Pcode],0)-1,0,1,1))</f>
        <v>P4</v>
      </c>
      <c r="AU538" s="293">
        <f>IFERROR(Table_NFI[[#This Row],[Kitchen Set]]/VLOOKUP(Table_NFI[[#This Row],[Camp Name]],CL,4,0),"")</f>
        <v>0</v>
      </c>
      <c r="AV538" s="461" t="s">
        <v>1092</v>
      </c>
      <c r="AW538" s="463"/>
    </row>
    <row r="539" spans="1:49" s="464" customFormat="1" ht="14.45" customHeight="1" x14ac:dyDescent="0.25">
      <c r="A539" s="297">
        <f t="shared" si="8"/>
        <v>37.6</v>
      </c>
      <c r="B539" s="460">
        <v>41608</v>
      </c>
      <c r="C539" s="461" t="s">
        <v>905</v>
      </c>
      <c r="D539" s="461" t="s">
        <v>460</v>
      </c>
      <c r="E539" s="461" t="s">
        <v>380</v>
      </c>
      <c r="F539" s="290" t="s">
        <v>310</v>
      </c>
      <c r="G539" s="290" t="s">
        <v>1248</v>
      </c>
      <c r="H539" s="291"/>
      <c r="I539" s="291"/>
      <c r="J539" s="291"/>
      <c r="K539" s="291"/>
      <c r="L539" s="292"/>
      <c r="M539" s="292"/>
      <c r="N539" s="292"/>
      <c r="O539" s="292"/>
      <c r="P539" s="294"/>
      <c r="Q539" s="294">
        <v>729</v>
      </c>
      <c r="R539" s="294"/>
      <c r="S539" s="294"/>
      <c r="T539" s="294"/>
      <c r="U539" s="294"/>
      <c r="V539" s="431"/>
      <c r="W539" s="294"/>
      <c r="X539" s="294"/>
      <c r="Y539" s="294">
        <f>IF(NFI_Expiration=1,IF($A539&lt;VLOOKUP(H$5,NFI,5,0),1,0)*Table_NFI[[#This Row],[Hygiene Kit]],Table_NFI[Hygiene Kit])</f>
        <v>0</v>
      </c>
      <c r="Z539" s="294">
        <f>IF(NFI_Expiration=1,IF($A539&lt;VLOOKUP(I$5,NFI,5,0),1,0)*Table_NFI[[#This Row],[NFI Core Kit]],Table_NFI[NFI Core Kit])</f>
        <v>0</v>
      </c>
      <c r="AA539" s="294">
        <f>IF(NFI_Expiration=1,IF($A539&lt;VLOOKUP(J$5,NFI,5,0),1,0)*Table_NFI[[#This Row],[Sanitary Kit]],Table_NFI[Sanitary Kit])</f>
        <v>0</v>
      </c>
      <c r="AB539" s="294">
        <f>IF(NFI_Expiration=1,IF($A539&lt;VLOOKUP(K$5,NFI,5,0),1,0)*Table_NFI[[#This Row],[Mosquito net]],Table_NFI[Mosquito net])</f>
        <v>0</v>
      </c>
      <c r="AC539" s="294">
        <f>IF(NFI_Expiration=1,IF($A539&lt;VLOOKUP(L$5,NFI,5,0),1,0)*Table_NFI[[#This Row],[Tarpaulin]],Table_NFI[[#This Row],[Tarpaulin]])</f>
        <v>0</v>
      </c>
      <c r="AD539" s="294">
        <f>IF(NFI_Expiration=1,IF($A539&lt;VLOOKUP(M$5,NFI,5,0),1,0)*Table_NFI[[#This Row],[Blanket]],Table_NFI[[#This Row],[Blanket]])</f>
        <v>0</v>
      </c>
      <c r="AE539" s="294">
        <f>IF(NFI_Expiration=1,IF($A539&lt;VLOOKUP(N$5,NFI,5,0),1,0)*Table_NFI[[#This Row],[Kitchen Set]],Table_NFI[Kitchen Set])</f>
        <v>0</v>
      </c>
      <c r="AF539" s="294">
        <f>IF(NFI_Expiration=1,IF($A539&lt;VLOOKUP(O$5,NFI,5,0),1,0)*Table_NFI[[#This Row],[Clothes Kit]],Table_NFI[Clothes Kit])</f>
        <v>0</v>
      </c>
      <c r="AG539" s="294">
        <f>IF(NFI_Expiration=1,IF($A539&lt;VLOOKUP(P$5,NFI,5,0),1,0)*Table_NFI[[#This Row],[Plastic Bucket]],Table_NFI[Plastic Bucket])</f>
        <v>0</v>
      </c>
      <c r="AH539" s="294">
        <f>IF(NFI_Expiration=1,IF($A539&lt;VLOOKUP(Q$5,NFI,5,0),1,0)*Table_NFI[[#This Row],[Plastic Mat]],Table_NFI[Plastic Mat])*IF(Table_NFI[[#This Row],[Distribution Date]]&gt;"2014-04-01",1,2.5)</f>
        <v>0</v>
      </c>
      <c r="AI539" s="294">
        <f>IF(NFI_Expiration=1,IF($A539&lt;VLOOKUP(R$5,NFI,5,0),1,0)*Table_NFI[[#This Row],[Winter Clothes Adult]],Table_NFI[Winter Clothes Adult])</f>
        <v>0</v>
      </c>
      <c r="AJ539" s="294">
        <f>IF(NFI_Expiration=1,IF($A539&lt;VLOOKUP(S$5,NFI,5,0),1,0)*Table_NFI[[#This Row],[Winter Clothes Children]],Table_NFI[Winter Clothes Children])</f>
        <v>0</v>
      </c>
      <c r="AK539" s="294">
        <f>IF(NFI_Expiration=1,IF($A539&lt;VLOOKUP(T$5,NFI,5,0),1,0)*Table_NFI[[#This Row],[Winter Items Other]],Table_NFI[Winter Items Other])</f>
        <v>0</v>
      </c>
      <c r="AL539" s="294">
        <f>IF(NFI_Expiration=1,IF($A539&lt;VLOOKUP(M$5,NFI,5,0),1,0)*Table_NFI[[#This Row],[Winter Blanket]],Table_NFI[[#This Row],[Winter Blanket]])</f>
        <v>0</v>
      </c>
      <c r="AM539" s="294">
        <f>IF(Table_NFI[[#This Row],[Winter Clothes Adult]]+Table_NFI[[#This Row],[Winter Clothes Children]]+Table_NFI[[#This Row],[Winter Items Other]]+Table_NFI[[#This Row],[Winter Blanket]]&gt;0,1,0)</f>
        <v>0</v>
      </c>
      <c r="AN539" s="331">
        <f>IF(NFI_Expiration=1,IF($A539&lt;VLOOKUP(V$5,NFI,5,0),1,0)*Table_NFI[[#This Row],[Jerry Can]],Table_NFI[Jerry Can])</f>
        <v>0</v>
      </c>
      <c r="AO539" s="331">
        <f>IF(NFI_Expiration=1,IF($A539&lt;VLOOKUP(V$5,NFI,5,0),1,0)*Table_NFI[[#This Row],[Shelter Tool kit]],Table_NFI[Shelter Tool kit])</f>
        <v>0</v>
      </c>
      <c r="AP539" s="331">
        <f>IF(NFI_Expiration=1,IF($A539&lt;VLOOKUP(V$5,NFI,5,0),1,0)*Table_NFI[[#This Row],[Tent]],Table_NFI[Tent])</f>
        <v>0</v>
      </c>
      <c r="AQ539" s="467" t="str">
        <f>IFERROR(VLOOKUP(Table_NFI[[#This Row],[Camp Name]],CL,2,0),"")</f>
        <v>MMR001CMP117</v>
      </c>
      <c r="AR539" s="835">
        <f ca="1">IF(Table_NFI[[#This Row],[Pcode]]="","",IF(OFFSET(CampList[Opening Date],MATCH(Table_NFI[[#This Row],[Pcode]],CampList[CP_Pcode],0)-1,0,1,1)&gt;=NFI_Monitor_Date,1,0))</f>
        <v>0</v>
      </c>
      <c r="AS539" s="467" t="str">
        <f>IFERROR(VLOOKUP(Table_NFI[[#This Row],[Camp Name]],CL,3,0),"")</f>
        <v>Closed</v>
      </c>
      <c r="AT539" s="294" t="str">
        <f ca="1">IF(Table_NFI[[#This Row],[Pcode]]="","",OFFSET(CampList[Priority],MATCH(Table_NFI[[#This Row],[Pcode]],CampList[CP_Pcode],0)-1,0,1,1))</f>
        <v>P2</v>
      </c>
      <c r="AU539" s="293">
        <f>IFERROR(Table_NFI[[#This Row],[Kitchen Set]]/VLOOKUP(Table_NFI[[#This Row],[Camp Name]],CL,4,0),"")</f>
        <v>0</v>
      </c>
      <c r="AV539" s="461" t="s">
        <v>1092</v>
      </c>
      <c r="AW539" s="463"/>
    </row>
    <row r="540" spans="1:49" s="464" customFormat="1" ht="14.45" customHeight="1" x14ac:dyDescent="0.25">
      <c r="A540" s="297">
        <f t="shared" si="8"/>
        <v>37.6</v>
      </c>
      <c r="B540" s="460">
        <v>41608</v>
      </c>
      <c r="C540" s="461" t="s">
        <v>1097</v>
      </c>
      <c r="D540" s="462" t="s">
        <v>944</v>
      </c>
      <c r="E540" s="461" t="s">
        <v>380</v>
      </c>
      <c r="F540" s="461" t="s">
        <v>151</v>
      </c>
      <c r="G540" s="290" t="s">
        <v>154</v>
      </c>
      <c r="H540" s="291"/>
      <c r="I540" s="291"/>
      <c r="J540" s="291"/>
      <c r="K540" s="291"/>
      <c r="L540" s="292"/>
      <c r="M540" s="292">
        <v>770</v>
      </c>
      <c r="N540" s="292"/>
      <c r="O540" s="292"/>
      <c r="P540" s="294"/>
      <c r="Q540" s="294"/>
      <c r="R540" s="294">
        <v>889</v>
      </c>
      <c r="S540" s="294">
        <v>492</v>
      </c>
      <c r="T540" s="294">
        <v>0</v>
      </c>
      <c r="U540" s="294"/>
      <c r="V540" s="431"/>
      <c r="W540" s="294"/>
      <c r="X540" s="294"/>
      <c r="Y540" s="294">
        <f>IF(NFI_Expiration=1,IF($A540&lt;VLOOKUP(H$5,NFI,5,0),1,0)*Table_NFI[[#This Row],[Hygiene Kit]],Table_NFI[Hygiene Kit])</f>
        <v>0</v>
      </c>
      <c r="Z540" s="294">
        <f>IF(NFI_Expiration=1,IF($A540&lt;VLOOKUP(I$5,NFI,5,0),1,0)*Table_NFI[[#This Row],[NFI Core Kit]],Table_NFI[NFI Core Kit])</f>
        <v>0</v>
      </c>
      <c r="AA540" s="294">
        <f>IF(NFI_Expiration=1,IF($A540&lt;VLOOKUP(J$5,NFI,5,0),1,0)*Table_NFI[[#This Row],[Sanitary Kit]],Table_NFI[Sanitary Kit])</f>
        <v>0</v>
      </c>
      <c r="AB540" s="294">
        <f>IF(NFI_Expiration=1,IF($A540&lt;VLOOKUP(K$5,NFI,5,0),1,0)*Table_NFI[[#This Row],[Mosquito net]],Table_NFI[Mosquito net])</f>
        <v>0</v>
      </c>
      <c r="AC540" s="294">
        <f>IF(NFI_Expiration=1,IF($A540&lt;VLOOKUP(L$5,NFI,5,0),1,0)*Table_NFI[[#This Row],[Tarpaulin]],Table_NFI[[#This Row],[Tarpaulin]])</f>
        <v>0</v>
      </c>
      <c r="AD540" s="294">
        <f>IF(NFI_Expiration=1,IF($A540&lt;VLOOKUP(M$5,NFI,5,0),1,0)*Table_NFI[[#This Row],[Blanket]],Table_NFI[[#This Row],[Blanket]])</f>
        <v>0</v>
      </c>
      <c r="AE540" s="294">
        <f>IF(NFI_Expiration=1,IF($A540&lt;VLOOKUP(N$5,NFI,5,0),1,0)*Table_NFI[[#This Row],[Kitchen Set]],Table_NFI[Kitchen Set])</f>
        <v>0</v>
      </c>
      <c r="AF540" s="294">
        <f>IF(NFI_Expiration=1,IF($A540&lt;VLOOKUP(O$5,NFI,5,0),1,0)*Table_NFI[[#This Row],[Clothes Kit]],Table_NFI[Clothes Kit])</f>
        <v>0</v>
      </c>
      <c r="AG540" s="294">
        <f>IF(NFI_Expiration=1,IF($A540&lt;VLOOKUP(P$5,NFI,5,0),1,0)*Table_NFI[[#This Row],[Plastic Bucket]],Table_NFI[Plastic Bucket])</f>
        <v>0</v>
      </c>
      <c r="AH540" s="294">
        <f>IF(NFI_Expiration=1,IF($A540&lt;VLOOKUP(Q$5,NFI,5,0),1,0)*Table_NFI[[#This Row],[Plastic Mat]],Table_NFI[Plastic Mat])*IF(Table_NFI[[#This Row],[Distribution Date]]&gt;"2014-04-01",1,2.5)</f>
        <v>0</v>
      </c>
      <c r="AI540" s="294">
        <f>IF(NFI_Expiration=1,IF($A540&lt;VLOOKUP(R$5,NFI,5,0),1,0)*Table_NFI[[#This Row],[Winter Clothes Adult]],Table_NFI[Winter Clothes Adult])</f>
        <v>0</v>
      </c>
      <c r="AJ540" s="294">
        <f>IF(NFI_Expiration=1,IF($A540&lt;VLOOKUP(S$5,NFI,5,0),1,0)*Table_NFI[[#This Row],[Winter Clothes Children]],Table_NFI[Winter Clothes Children])</f>
        <v>0</v>
      </c>
      <c r="AK540" s="294">
        <f>IF(NFI_Expiration=1,IF($A540&lt;VLOOKUP(T$5,NFI,5,0),1,0)*Table_NFI[[#This Row],[Winter Items Other]],Table_NFI[Winter Items Other])</f>
        <v>0</v>
      </c>
      <c r="AL540" s="294">
        <f>IF(NFI_Expiration=1,IF($A540&lt;VLOOKUP(M$5,NFI,5,0),1,0)*Table_NFI[[#This Row],[Winter Blanket]],Table_NFI[[#This Row],[Winter Blanket]])</f>
        <v>0</v>
      </c>
      <c r="AM540" s="294">
        <f>IF(Table_NFI[[#This Row],[Winter Clothes Adult]]+Table_NFI[[#This Row],[Winter Clothes Children]]+Table_NFI[[#This Row],[Winter Items Other]]+Table_NFI[[#This Row],[Winter Blanket]]&gt;0,1,0)</f>
        <v>1</v>
      </c>
      <c r="AN540" s="331">
        <f>IF(NFI_Expiration=1,IF($A540&lt;VLOOKUP(V$5,NFI,5,0),1,0)*Table_NFI[[#This Row],[Jerry Can]],Table_NFI[Jerry Can])</f>
        <v>0</v>
      </c>
      <c r="AO540" s="331">
        <f>IF(NFI_Expiration=1,IF($A540&lt;VLOOKUP(V$5,NFI,5,0),1,0)*Table_NFI[[#This Row],[Shelter Tool kit]],Table_NFI[Shelter Tool kit])</f>
        <v>0</v>
      </c>
      <c r="AP540" s="331">
        <f>IF(NFI_Expiration=1,IF($A540&lt;VLOOKUP(V$5,NFI,5,0),1,0)*Table_NFI[[#This Row],[Tent]],Table_NFI[Tent])</f>
        <v>0</v>
      </c>
      <c r="AQ540" s="467" t="str">
        <f>IFERROR(VLOOKUP(Table_NFI[[#This Row],[Camp Name]],CL,2,0),"")</f>
        <v>MMR001CMP132</v>
      </c>
      <c r="AR540" s="835">
        <f ca="1">IF(Table_NFI[[#This Row],[Pcode]]="","",IF(OFFSET(CampList[Opening Date],MATCH(Table_NFI[[#This Row],[Pcode]],CampList[CP_Pcode],0)-1,0,1,1)&gt;=NFI_Monitor_Date,1,0))</f>
        <v>0</v>
      </c>
      <c r="AS540" s="467" t="str">
        <f>IFERROR(VLOOKUP(Table_NFI[[#This Row],[Camp Name]],CL,3,0),"")</f>
        <v>Open</v>
      </c>
      <c r="AT540" s="294" t="str">
        <f ca="1">IF(Table_NFI[[#This Row],[Pcode]]="","",OFFSET(CampList[Priority],MATCH(Table_NFI[[#This Row],[Pcode]],CampList[CP_Pcode],0)-1,0,1,1))</f>
        <v>P4</v>
      </c>
      <c r="AU540" s="293">
        <f>IFERROR(Table_NFI[[#This Row],[Kitchen Set]]/VLOOKUP(Table_NFI[[#This Row],[Camp Name]],CL,4,0),"")</f>
        <v>0</v>
      </c>
      <c r="AV540" s="461" t="s">
        <v>1092</v>
      </c>
      <c r="AW540" s="463"/>
    </row>
    <row r="541" spans="1:49" s="464" customFormat="1" ht="14.45" customHeight="1" x14ac:dyDescent="0.25">
      <c r="A541" s="297">
        <f t="shared" si="8"/>
        <v>37.6</v>
      </c>
      <c r="B541" s="460">
        <v>41608</v>
      </c>
      <c r="C541" s="461" t="s">
        <v>905</v>
      </c>
      <c r="D541" s="461"/>
      <c r="E541" s="461" t="s">
        <v>380</v>
      </c>
      <c r="F541" s="290" t="s">
        <v>151</v>
      </c>
      <c r="G541" s="290" t="s">
        <v>154</v>
      </c>
      <c r="H541" s="291"/>
      <c r="I541" s="291"/>
      <c r="J541" s="291"/>
      <c r="K541" s="291"/>
      <c r="L541" s="292"/>
      <c r="M541" s="292"/>
      <c r="N541" s="292"/>
      <c r="O541" s="292"/>
      <c r="P541" s="294"/>
      <c r="Q541" s="294">
        <v>1080</v>
      </c>
      <c r="R541" s="294"/>
      <c r="S541" s="294"/>
      <c r="T541" s="294"/>
      <c r="U541" s="294"/>
      <c r="V541" s="431"/>
      <c r="W541" s="294"/>
      <c r="X541" s="294"/>
      <c r="Y541" s="294">
        <f>IF(NFI_Expiration=1,IF($A541&lt;VLOOKUP(H$5,NFI,5,0),1,0)*Table_NFI[[#This Row],[Hygiene Kit]],Table_NFI[Hygiene Kit])</f>
        <v>0</v>
      </c>
      <c r="Z541" s="294">
        <f>IF(NFI_Expiration=1,IF($A541&lt;VLOOKUP(I$5,NFI,5,0),1,0)*Table_NFI[[#This Row],[NFI Core Kit]],Table_NFI[NFI Core Kit])</f>
        <v>0</v>
      </c>
      <c r="AA541" s="294">
        <f>IF(NFI_Expiration=1,IF($A541&lt;VLOOKUP(J$5,NFI,5,0),1,0)*Table_NFI[[#This Row],[Sanitary Kit]],Table_NFI[Sanitary Kit])</f>
        <v>0</v>
      </c>
      <c r="AB541" s="294">
        <f>IF(NFI_Expiration=1,IF($A541&lt;VLOOKUP(K$5,NFI,5,0),1,0)*Table_NFI[[#This Row],[Mosquito net]],Table_NFI[Mosquito net])</f>
        <v>0</v>
      </c>
      <c r="AC541" s="294">
        <f>IF(NFI_Expiration=1,IF($A541&lt;VLOOKUP(L$5,NFI,5,0),1,0)*Table_NFI[[#This Row],[Tarpaulin]],Table_NFI[[#This Row],[Tarpaulin]])</f>
        <v>0</v>
      </c>
      <c r="AD541" s="294">
        <f>IF(NFI_Expiration=1,IF($A541&lt;VLOOKUP(M$5,NFI,5,0),1,0)*Table_NFI[[#This Row],[Blanket]],Table_NFI[[#This Row],[Blanket]])</f>
        <v>0</v>
      </c>
      <c r="AE541" s="294">
        <f>IF(NFI_Expiration=1,IF($A541&lt;VLOOKUP(N$5,NFI,5,0),1,0)*Table_NFI[[#This Row],[Kitchen Set]],Table_NFI[Kitchen Set])</f>
        <v>0</v>
      </c>
      <c r="AF541" s="294">
        <f>IF(NFI_Expiration=1,IF($A541&lt;VLOOKUP(O$5,NFI,5,0),1,0)*Table_NFI[[#This Row],[Clothes Kit]],Table_NFI[Clothes Kit])</f>
        <v>0</v>
      </c>
      <c r="AG541" s="294">
        <f>IF(NFI_Expiration=1,IF($A541&lt;VLOOKUP(P$5,NFI,5,0),1,0)*Table_NFI[[#This Row],[Plastic Bucket]],Table_NFI[Plastic Bucket])</f>
        <v>0</v>
      </c>
      <c r="AH541" s="294">
        <f>IF(NFI_Expiration=1,IF($A541&lt;VLOOKUP(Q$5,NFI,5,0),1,0)*Table_NFI[[#This Row],[Plastic Mat]],Table_NFI[Plastic Mat])*IF(Table_NFI[[#This Row],[Distribution Date]]&gt;"2014-04-01",1,2.5)</f>
        <v>0</v>
      </c>
      <c r="AI541" s="294">
        <f>IF(NFI_Expiration=1,IF($A541&lt;VLOOKUP(R$5,NFI,5,0),1,0)*Table_NFI[[#This Row],[Winter Clothes Adult]],Table_NFI[Winter Clothes Adult])</f>
        <v>0</v>
      </c>
      <c r="AJ541" s="294">
        <f>IF(NFI_Expiration=1,IF($A541&lt;VLOOKUP(S$5,NFI,5,0),1,0)*Table_NFI[[#This Row],[Winter Clothes Children]],Table_NFI[Winter Clothes Children])</f>
        <v>0</v>
      </c>
      <c r="AK541" s="294">
        <f>IF(NFI_Expiration=1,IF($A541&lt;VLOOKUP(T$5,NFI,5,0),1,0)*Table_NFI[[#This Row],[Winter Items Other]],Table_NFI[Winter Items Other])</f>
        <v>0</v>
      </c>
      <c r="AL541" s="294">
        <f>IF(NFI_Expiration=1,IF($A541&lt;VLOOKUP(M$5,NFI,5,0),1,0)*Table_NFI[[#This Row],[Winter Blanket]],Table_NFI[[#This Row],[Winter Blanket]])</f>
        <v>0</v>
      </c>
      <c r="AM541" s="294">
        <f>IF(Table_NFI[[#This Row],[Winter Clothes Adult]]+Table_NFI[[#This Row],[Winter Clothes Children]]+Table_NFI[[#This Row],[Winter Items Other]]+Table_NFI[[#This Row],[Winter Blanket]]&gt;0,1,0)</f>
        <v>0</v>
      </c>
      <c r="AN541" s="331">
        <f>IF(NFI_Expiration=1,IF($A541&lt;VLOOKUP(V$5,NFI,5,0),1,0)*Table_NFI[[#This Row],[Jerry Can]],Table_NFI[Jerry Can])</f>
        <v>0</v>
      </c>
      <c r="AO541" s="331">
        <f>IF(NFI_Expiration=1,IF($A541&lt;VLOOKUP(V$5,NFI,5,0),1,0)*Table_NFI[[#This Row],[Shelter Tool kit]],Table_NFI[Shelter Tool kit])</f>
        <v>0</v>
      </c>
      <c r="AP541" s="331">
        <f>IF(NFI_Expiration=1,IF($A541&lt;VLOOKUP(V$5,NFI,5,0),1,0)*Table_NFI[[#This Row],[Tent]],Table_NFI[Tent])</f>
        <v>0</v>
      </c>
      <c r="AQ541" s="467" t="str">
        <f>IFERROR(VLOOKUP(Table_NFI[[#This Row],[Camp Name]],CL,2,0),"")</f>
        <v>MMR001CMP132</v>
      </c>
      <c r="AR541" s="835">
        <f ca="1">IF(Table_NFI[[#This Row],[Pcode]]="","",IF(OFFSET(CampList[Opening Date],MATCH(Table_NFI[[#This Row],[Pcode]],CampList[CP_Pcode],0)-1,0,1,1)&gt;=NFI_Monitor_Date,1,0))</f>
        <v>0</v>
      </c>
      <c r="AS541" s="467" t="str">
        <f>IFERROR(VLOOKUP(Table_NFI[[#This Row],[Camp Name]],CL,3,0),"")</f>
        <v>Open</v>
      </c>
      <c r="AT541" s="294" t="str">
        <f ca="1">IF(Table_NFI[[#This Row],[Pcode]]="","",OFFSET(CampList[Priority],MATCH(Table_NFI[[#This Row],[Pcode]],CampList[CP_Pcode],0)-1,0,1,1))</f>
        <v>P4</v>
      </c>
      <c r="AU541" s="293">
        <f>IFERROR(Table_NFI[[#This Row],[Kitchen Set]]/VLOOKUP(Table_NFI[[#This Row],[Camp Name]],CL,4,0),"")</f>
        <v>0</v>
      </c>
      <c r="AV541" s="461" t="s">
        <v>1092</v>
      </c>
      <c r="AW541" s="463"/>
    </row>
    <row r="542" spans="1:49" s="464" customFormat="1" ht="14.45" customHeight="1" x14ac:dyDescent="0.25">
      <c r="A542" s="297">
        <f t="shared" si="8"/>
        <v>37.6</v>
      </c>
      <c r="B542" s="460">
        <v>41608</v>
      </c>
      <c r="C542" s="461" t="s">
        <v>905</v>
      </c>
      <c r="D542" s="461" t="s">
        <v>1002</v>
      </c>
      <c r="E542" s="461" t="s">
        <v>380</v>
      </c>
      <c r="F542" s="290" t="s">
        <v>151</v>
      </c>
      <c r="G542" s="290" t="s">
        <v>158</v>
      </c>
      <c r="H542" s="291"/>
      <c r="I542" s="291"/>
      <c r="J542" s="291"/>
      <c r="K542" s="291"/>
      <c r="L542" s="292"/>
      <c r="M542" s="292"/>
      <c r="N542" s="292"/>
      <c r="O542" s="292"/>
      <c r="P542" s="294"/>
      <c r="Q542" s="294"/>
      <c r="R542" s="294"/>
      <c r="S542" s="294"/>
      <c r="T542" s="294"/>
      <c r="U542" s="294"/>
      <c r="V542" s="431"/>
      <c r="W542" s="294"/>
      <c r="X542" s="294"/>
      <c r="Y542" s="294">
        <f>IF(NFI_Expiration=1,IF($A542&lt;VLOOKUP(H$5,NFI,5,0),1,0)*Table_NFI[[#This Row],[Hygiene Kit]],Table_NFI[Hygiene Kit])</f>
        <v>0</v>
      </c>
      <c r="Z542" s="294">
        <f>IF(NFI_Expiration=1,IF($A542&lt;VLOOKUP(I$5,NFI,5,0),1,0)*Table_NFI[[#This Row],[NFI Core Kit]],Table_NFI[NFI Core Kit])</f>
        <v>0</v>
      </c>
      <c r="AA542" s="294">
        <f>IF(NFI_Expiration=1,IF($A542&lt;VLOOKUP(J$5,NFI,5,0),1,0)*Table_NFI[[#This Row],[Sanitary Kit]],Table_NFI[Sanitary Kit])</f>
        <v>0</v>
      </c>
      <c r="AB542" s="294">
        <f>IF(NFI_Expiration=1,IF($A542&lt;VLOOKUP(K$5,NFI,5,0),1,0)*Table_NFI[[#This Row],[Mosquito net]],Table_NFI[Mosquito net])</f>
        <v>0</v>
      </c>
      <c r="AC542" s="294">
        <f>IF(NFI_Expiration=1,IF($A542&lt;VLOOKUP(L$5,NFI,5,0),1,0)*Table_NFI[[#This Row],[Tarpaulin]],Table_NFI[[#This Row],[Tarpaulin]])</f>
        <v>0</v>
      </c>
      <c r="AD542" s="294">
        <f>IF(NFI_Expiration=1,IF($A542&lt;VLOOKUP(M$5,NFI,5,0),1,0)*Table_NFI[[#This Row],[Blanket]],Table_NFI[[#This Row],[Blanket]])</f>
        <v>0</v>
      </c>
      <c r="AE542" s="294">
        <f>IF(NFI_Expiration=1,IF($A542&lt;VLOOKUP(N$5,NFI,5,0),1,0)*Table_NFI[[#This Row],[Kitchen Set]],Table_NFI[Kitchen Set])</f>
        <v>0</v>
      </c>
      <c r="AF542" s="294">
        <f>IF(NFI_Expiration=1,IF($A542&lt;VLOOKUP(O$5,NFI,5,0),1,0)*Table_NFI[[#This Row],[Clothes Kit]],Table_NFI[Clothes Kit])</f>
        <v>0</v>
      </c>
      <c r="AG542" s="294">
        <f>IF(NFI_Expiration=1,IF($A542&lt;VLOOKUP(P$5,NFI,5,0),1,0)*Table_NFI[[#This Row],[Plastic Bucket]],Table_NFI[Plastic Bucket])</f>
        <v>0</v>
      </c>
      <c r="AH542" s="294">
        <f>IF(NFI_Expiration=1,IF($A542&lt;VLOOKUP(Q$5,NFI,5,0),1,0)*Table_NFI[[#This Row],[Plastic Mat]],Table_NFI[Plastic Mat])*IF(Table_NFI[[#This Row],[Distribution Date]]&gt;"2014-04-01",1,2.5)</f>
        <v>0</v>
      </c>
      <c r="AI542" s="294">
        <f>IF(NFI_Expiration=1,IF($A542&lt;VLOOKUP(R$5,NFI,5,0),1,0)*Table_NFI[[#This Row],[Winter Clothes Adult]],Table_NFI[Winter Clothes Adult])</f>
        <v>0</v>
      </c>
      <c r="AJ542" s="294">
        <f>IF(NFI_Expiration=1,IF($A542&lt;VLOOKUP(S$5,NFI,5,0),1,0)*Table_NFI[[#This Row],[Winter Clothes Children]],Table_NFI[Winter Clothes Children])</f>
        <v>0</v>
      </c>
      <c r="AK542" s="294">
        <f>IF(NFI_Expiration=1,IF($A542&lt;VLOOKUP(T$5,NFI,5,0),1,0)*Table_NFI[[#This Row],[Winter Items Other]],Table_NFI[Winter Items Other])</f>
        <v>0</v>
      </c>
      <c r="AL542" s="294">
        <f>IF(NFI_Expiration=1,IF($A542&lt;VLOOKUP(M$5,NFI,5,0),1,0)*Table_NFI[[#This Row],[Winter Blanket]],Table_NFI[[#This Row],[Winter Blanket]])</f>
        <v>0</v>
      </c>
      <c r="AM542" s="294">
        <f>IF(Table_NFI[[#This Row],[Winter Clothes Adult]]+Table_NFI[[#This Row],[Winter Clothes Children]]+Table_NFI[[#This Row],[Winter Items Other]]+Table_NFI[[#This Row],[Winter Blanket]]&gt;0,1,0)</f>
        <v>0</v>
      </c>
      <c r="AN542" s="331">
        <f>IF(NFI_Expiration=1,IF($A542&lt;VLOOKUP(V$5,NFI,5,0),1,0)*Table_NFI[[#This Row],[Jerry Can]],Table_NFI[Jerry Can])</f>
        <v>0</v>
      </c>
      <c r="AO542" s="331">
        <f>IF(NFI_Expiration=1,IF($A542&lt;VLOOKUP(V$5,NFI,5,0),1,0)*Table_NFI[[#This Row],[Shelter Tool kit]],Table_NFI[Shelter Tool kit])</f>
        <v>0</v>
      </c>
      <c r="AP542" s="331">
        <f>IF(NFI_Expiration=1,IF($A542&lt;VLOOKUP(V$5,NFI,5,0),1,0)*Table_NFI[[#This Row],[Tent]],Table_NFI[Tent])</f>
        <v>0</v>
      </c>
      <c r="AQ542" s="467" t="str">
        <f>IFERROR(VLOOKUP(Table_NFI[[#This Row],[Camp Name]],CL,2,0),"")</f>
        <v>MMR001CMP135</v>
      </c>
      <c r="AR542" s="835">
        <f ca="1">IF(Table_NFI[[#This Row],[Pcode]]="","",IF(OFFSET(CampList[Opening Date],MATCH(Table_NFI[[#This Row],[Pcode]],CampList[CP_Pcode],0)-1,0,1,1)&gt;=NFI_Monitor_Date,1,0))</f>
        <v>0</v>
      </c>
      <c r="AS542" s="467" t="str">
        <f>IFERROR(VLOOKUP(Table_NFI[[#This Row],[Camp Name]],CL,3,0),"")</f>
        <v>Closed</v>
      </c>
      <c r="AT542" s="294" t="str">
        <f ca="1">IF(Table_NFI[[#This Row],[Pcode]]="","",OFFSET(CampList[Priority],MATCH(Table_NFI[[#This Row],[Pcode]],CampList[CP_Pcode],0)-1,0,1,1))</f>
        <v>P2</v>
      </c>
      <c r="AU542" s="293">
        <f>IFERROR(Table_NFI[[#This Row],[Kitchen Set]]/VLOOKUP(Table_NFI[[#This Row],[Camp Name]],CL,4,0),"")</f>
        <v>0</v>
      </c>
      <c r="AV542" s="461" t="s">
        <v>1092</v>
      </c>
      <c r="AW542" s="463"/>
    </row>
    <row r="543" spans="1:49" s="464" customFormat="1" ht="14.45" customHeight="1" x14ac:dyDescent="0.25">
      <c r="A543" s="297">
        <f t="shared" si="8"/>
        <v>37.6</v>
      </c>
      <c r="B543" s="460">
        <v>41608</v>
      </c>
      <c r="C543" s="461" t="s">
        <v>905</v>
      </c>
      <c r="D543" s="461"/>
      <c r="E543" s="461" t="s">
        <v>380</v>
      </c>
      <c r="F543" s="290" t="s">
        <v>151</v>
      </c>
      <c r="G543" s="290" t="s">
        <v>152</v>
      </c>
      <c r="H543" s="291"/>
      <c r="I543" s="291"/>
      <c r="J543" s="291"/>
      <c r="K543" s="291"/>
      <c r="L543" s="292"/>
      <c r="M543" s="292"/>
      <c r="N543" s="292"/>
      <c r="O543" s="292"/>
      <c r="P543" s="294"/>
      <c r="Q543" s="294">
        <v>225</v>
      </c>
      <c r="R543" s="294"/>
      <c r="S543" s="294"/>
      <c r="T543" s="294"/>
      <c r="U543" s="294"/>
      <c r="V543" s="431"/>
      <c r="W543" s="294"/>
      <c r="X543" s="294"/>
      <c r="Y543" s="294">
        <f>IF(NFI_Expiration=1,IF($A543&lt;VLOOKUP(H$5,NFI,5,0),1,0)*Table_NFI[[#This Row],[Hygiene Kit]],Table_NFI[Hygiene Kit])</f>
        <v>0</v>
      </c>
      <c r="Z543" s="294">
        <f>IF(NFI_Expiration=1,IF($A543&lt;VLOOKUP(I$5,NFI,5,0),1,0)*Table_NFI[[#This Row],[NFI Core Kit]],Table_NFI[NFI Core Kit])</f>
        <v>0</v>
      </c>
      <c r="AA543" s="294">
        <f>IF(NFI_Expiration=1,IF($A543&lt;VLOOKUP(J$5,NFI,5,0),1,0)*Table_NFI[[#This Row],[Sanitary Kit]],Table_NFI[Sanitary Kit])</f>
        <v>0</v>
      </c>
      <c r="AB543" s="294">
        <f>IF(NFI_Expiration=1,IF($A543&lt;VLOOKUP(K$5,NFI,5,0),1,0)*Table_NFI[[#This Row],[Mosquito net]],Table_NFI[Mosquito net])</f>
        <v>0</v>
      </c>
      <c r="AC543" s="294">
        <f>IF(NFI_Expiration=1,IF($A543&lt;VLOOKUP(L$5,NFI,5,0),1,0)*Table_NFI[[#This Row],[Tarpaulin]],Table_NFI[[#This Row],[Tarpaulin]])</f>
        <v>0</v>
      </c>
      <c r="AD543" s="294">
        <f>IF(NFI_Expiration=1,IF($A543&lt;VLOOKUP(M$5,NFI,5,0),1,0)*Table_NFI[[#This Row],[Blanket]],Table_NFI[[#This Row],[Blanket]])</f>
        <v>0</v>
      </c>
      <c r="AE543" s="294">
        <f>IF(NFI_Expiration=1,IF($A543&lt;VLOOKUP(N$5,NFI,5,0),1,0)*Table_NFI[[#This Row],[Kitchen Set]],Table_NFI[Kitchen Set])</f>
        <v>0</v>
      </c>
      <c r="AF543" s="294">
        <f>IF(NFI_Expiration=1,IF($A543&lt;VLOOKUP(O$5,NFI,5,0),1,0)*Table_NFI[[#This Row],[Clothes Kit]],Table_NFI[Clothes Kit])</f>
        <v>0</v>
      </c>
      <c r="AG543" s="294">
        <f>IF(NFI_Expiration=1,IF($A543&lt;VLOOKUP(P$5,NFI,5,0),1,0)*Table_NFI[[#This Row],[Plastic Bucket]],Table_NFI[Plastic Bucket])</f>
        <v>0</v>
      </c>
      <c r="AH543" s="294">
        <f>IF(NFI_Expiration=1,IF($A543&lt;VLOOKUP(Q$5,NFI,5,0),1,0)*Table_NFI[[#This Row],[Plastic Mat]],Table_NFI[Plastic Mat])*IF(Table_NFI[[#This Row],[Distribution Date]]&gt;"2014-04-01",1,2.5)</f>
        <v>0</v>
      </c>
      <c r="AI543" s="294">
        <f>IF(NFI_Expiration=1,IF($A543&lt;VLOOKUP(R$5,NFI,5,0),1,0)*Table_NFI[[#This Row],[Winter Clothes Adult]],Table_NFI[Winter Clothes Adult])</f>
        <v>0</v>
      </c>
      <c r="AJ543" s="294">
        <f>IF(NFI_Expiration=1,IF($A543&lt;VLOOKUP(S$5,NFI,5,0),1,0)*Table_NFI[[#This Row],[Winter Clothes Children]],Table_NFI[Winter Clothes Children])</f>
        <v>0</v>
      </c>
      <c r="AK543" s="294">
        <f>IF(NFI_Expiration=1,IF($A543&lt;VLOOKUP(T$5,NFI,5,0),1,0)*Table_NFI[[#This Row],[Winter Items Other]],Table_NFI[Winter Items Other])</f>
        <v>0</v>
      </c>
      <c r="AL543" s="294">
        <f>IF(NFI_Expiration=1,IF($A543&lt;VLOOKUP(M$5,NFI,5,0),1,0)*Table_NFI[[#This Row],[Winter Blanket]],Table_NFI[[#This Row],[Winter Blanket]])</f>
        <v>0</v>
      </c>
      <c r="AM543" s="294">
        <f>IF(Table_NFI[[#This Row],[Winter Clothes Adult]]+Table_NFI[[#This Row],[Winter Clothes Children]]+Table_NFI[[#This Row],[Winter Items Other]]+Table_NFI[[#This Row],[Winter Blanket]]&gt;0,1,0)</f>
        <v>0</v>
      </c>
      <c r="AN543" s="331">
        <f>IF(NFI_Expiration=1,IF($A543&lt;VLOOKUP(V$5,NFI,5,0),1,0)*Table_NFI[[#This Row],[Jerry Can]],Table_NFI[Jerry Can])</f>
        <v>0</v>
      </c>
      <c r="AO543" s="331">
        <f>IF(NFI_Expiration=1,IF($A543&lt;VLOOKUP(V$5,NFI,5,0),1,0)*Table_NFI[[#This Row],[Shelter Tool kit]],Table_NFI[Shelter Tool kit])</f>
        <v>0</v>
      </c>
      <c r="AP543" s="331">
        <f>IF(NFI_Expiration=1,IF($A543&lt;VLOOKUP(V$5,NFI,5,0),1,0)*Table_NFI[[#This Row],[Tent]],Table_NFI[Tent])</f>
        <v>0</v>
      </c>
      <c r="AQ543" s="467" t="str">
        <f>IFERROR(VLOOKUP(Table_NFI[[#This Row],[Camp Name]],CL,2,0),"")</f>
        <v>MMR001CMP066</v>
      </c>
      <c r="AR543" s="835">
        <f ca="1">IF(Table_NFI[[#This Row],[Pcode]]="","",IF(OFFSET(CampList[Opening Date],MATCH(Table_NFI[[#This Row],[Pcode]],CampList[CP_Pcode],0)-1,0,1,1)&gt;=NFI_Monitor_Date,1,0))</f>
        <v>0</v>
      </c>
      <c r="AS543" s="467" t="str">
        <f>IFERROR(VLOOKUP(Table_NFI[[#This Row],[Camp Name]],CL,3,0),"")</f>
        <v>Open</v>
      </c>
      <c r="AT543" s="294" t="str">
        <f ca="1">IF(Table_NFI[[#This Row],[Pcode]]="","",OFFSET(CampList[Priority],MATCH(Table_NFI[[#This Row],[Pcode]],CampList[CP_Pcode],0)-1,0,1,1))</f>
        <v>P4</v>
      </c>
      <c r="AU543" s="293">
        <f>IFERROR(Table_NFI[[#This Row],[Kitchen Set]]/VLOOKUP(Table_NFI[[#This Row],[Camp Name]],CL,4,0),"")</f>
        <v>0</v>
      </c>
      <c r="AV543" s="461" t="s">
        <v>1092</v>
      </c>
      <c r="AW543" s="463"/>
    </row>
    <row r="544" spans="1:49" s="464" customFormat="1" ht="14.45" customHeight="1" x14ac:dyDescent="0.25">
      <c r="A544" s="297">
        <f t="shared" si="8"/>
        <v>37.6</v>
      </c>
      <c r="B544" s="460">
        <v>41608</v>
      </c>
      <c r="C544" s="461" t="s">
        <v>905</v>
      </c>
      <c r="D544" s="461"/>
      <c r="E544" s="461" t="s">
        <v>380</v>
      </c>
      <c r="F544" s="290" t="s">
        <v>185</v>
      </c>
      <c r="G544" s="290" t="s">
        <v>211</v>
      </c>
      <c r="H544" s="291"/>
      <c r="I544" s="291"/>
      <c r="J544" s="291"/>
      <c r="K544" s="291"/>
      <c r="L544" s="292"/>
      <c r="M544" s="292"/>
      <c r="N544" s="292"/>
      <c r="O544" s="292"/>
      <c r="P544" s="294"/>
      <c r="Q544" s="294">
        <v>543</v>
      </c>
      <c r="R544" s="294"/>
      <c r="S544" s="294"/>
      <c r="T544" s="294"/>
      <c r="U544" s="294"/>
      <c r="V544" s="431"/>
      <c r="W544" s="294"/>
      <c r="X544" s="294"/>
      <c r="Y544" s="294">
        <f>IF(NFI_Expiration=1,IF($A544&lt;VLOOKUP(H$5,NFI,5,0),1,0)*Table_NFI[[#This Row],[Hygiene Kit]],Table_NFI[Hygiene Kit])</f>
        <v>0</v>
      </c>
      <c r="Z544" s="294">
        <f>IF(NFI_Expiration=1,IF($A544&lt;VLOOKUP(I$5,NFI,5,0),1,0)*Table_NFI[[#This Row],[NFI Core Kit]],Table_NFI[NFI Core Kit])</f>
        <v>0</v>
      </c>
      <c r="AA544" s="294">
        <f>IF(NFI_Expiration=1,IF($A544&lt;VLOOKUP(J$5,NFI,5,0),1,0)*Table_NFI[[#This Row],[Sanitary Kit]],Table_NFI[Sanitary Kit])</f>
        <v>0</v>
      </c>
      <c r="AB544" s="294">
        <f>IF(NFI_Expiration=1,IF($A544&lt;VLOOKUP(K$5,NFI,5,0),1,0)*Table_NFI[[#This Row],[Mosquito net]],Table_NFI[Mosquito net])</f>
        <v>0</v>
      </c>
      <c r="AC544" s="294">
        <f>IF(NFI_Expiration=1,IF($A544&lt;VLOOKUP(L$5,NFI,5,0),1,0)*Table_NFI[[#This Row],[Tarpaulin]],Table_NFI[[#This Row],[Tarpaulin]])</f>
        <v>0</v>
      </c>
      <c r="AD544" s="294">
        <f>IF(NFI_Expiration=1,IF($A544&lt;VLOOKUP(M$5,NFI,5,0),1,0)*Table_NFI[[#This Row],[Blanket]],Table_NFI[[#This Row],[Blanket]])</f>
        <v>0</v>
      </c>
      <c r="AE544" s="294">
        <f>IF(NFI_Expiration=1,IF($A544&lt;VLOOKUP(N$5,NFI,5,0),1,0)*Table_NFI[[#This Row],[Kitchen Set]],Table_NFI[Kitchen Set])</f>
        <v>0</v>
      </c>
      <c r="AF544" s="294">
        <f>IF(NFI_Expiration=1,IF($A544&lt;VLOOKUP(O$5,NFI,5,0),1,0)*Table_NFI[[#This Row],[Clothes Kit]],Table_NFI[Clothes Kit])</f>
        <v>0</v>
      </c>
      <c r="AG544" s="294">
        <f>IF(NFI_Expiration=1,IF($A544&lt;VLOOKUP(P$5,NFI,5,0),1,0)*Table_NFI[[#This Row],[Plastic Bucket]],Table_NFI[Plastic Bucket])</f>
        <v>0</v>
      </c>
      <c r="AH544" s="294">
        <f>IF(NFI_Expiration=1,IF($A544&lt;VLOOKUP(Q$5,NFI,5,0),1,0)*Table_NFI[[#This Row],[Plastic Mat]],Table_NFI[Plastic Mat])*IF(Table_NFI[[#This Row],[Distribution Date]]&gt;"2014-04-01",1,2.5)</f>
        <v>0</v>
      </c>
      <c r="AI544" s="294">
        <f>IF(NFI_Expiration=1,IF($A544&lt;VLOOKUP(R$5,NFI,5,0),1,0)*Table_NFI[[#This Row],[Winter Clothes Adult]],Table_NFI[Winter Clothes Adult])</f>
        <v>0</v>
      </c>
      <c r="AJ544" s="294">
        <f>IF(NFI_Expiration=1,IF($A544&lt;VLOOKUP(S$5,NFI,5,0),1,0)*Table_NFI[[#This Row],[Winter Clothes Children]],Table_NFI[Winter Clothes Children])</f>
        <v>0</v>
      </c>
      <c r="AK544" s="294">
        <f>IF(NFI_Expiration=1,IF($A544&lt;VLOOKUP(T$5,NFI,5,0),1,0)*Table_NFI[[#This Row],[Winter Items Other]],Table_NFI[Winter Items Other])</f>
        <v>0</v>
      </c>
      <c r="AL544" s="294">
        <f>IF(NFI_Expiration=1,IF($A544&lt;VLOOKUP(M$5,NFI,5,0),1,0)*Table_NFI[[#This Row],[Winter Blanket]],Table_NFI[[#This Row],[Winter Blanket]])</f>
        <v>0</v>
      </c>
      <c r="AM544" s="294">
        <f>IF(Table_NFI[[#This Row],[Winter Clothes Adult]]+Table_NFI[[#This Row],[Winter Clothes Children]]+Table_NFI[[#This Row],[Winter Items Other]]+Table_NFI[[#This Row],[Winter Blanket]]&gt;0,1,0)</f>
        <v>0</v>
      </c>
      <c r="AN544" s="331">
        <f>IF(NFI_Expiration=1,IF($A544&lt;VLOOKUP(V$5,NFI,5,0),1,0)*Table_NFI[[#This Row],[Jerry Can]],Table_NFI[Jerry Can])</f>
        <v>0</v>
      </c>
      <c r="AO544" s="331">
        <f>IF(NFI_Expiration=1,IF($A544&lt;VLOOKUP(V$5,NFI,5,0),1,0)*Table_NFI[[#This Row],[Shelter Tool kit]],Table_NFI[Shelter Tool kit])</f>
        <v>0</v>
      </c>
      <c r="AP544" s="331">
        <f>IF(NFI_Expiration=1,IF($A544&lt;VLOOKUP(V$5,NFI,5,0),1,0)*Table_NFI[[#This Row],[Tent]],Table_NFI[Tent])</f>
        <v>0</v>
      </c>
      <c r="AQ544" s="467" t="str">
        <f>IFERROR(VLOOKUP(Table_NFI[[#This Row],[Camp Name]],CL,2,0),"")</f>
        <v>MMR001CMP057</v>
      </c>
      <c r="AR544" s="835">
        <f ca="1">IF(Table_NFI[[#This Row],[Pcode]]="","",IF(OFFSET(CampList[Opening Date],MATCH(Table_NFI[[#This Row],[Pcode]],CampList[CP_Pcode],0)-1,0,1,1)&gt;=NFI_Monitor_Date,1,0))</f>
        <v>0</v>
      </c>
      <c r="AS544" s="467" t="str">
        <f>IFERROR(VLOOKUP(Table_NFI[[#This Row],[Camp Name]],CL,3,0),"")</f>
        <v>Closed</v>
      </c>
      <c r="AT544" s="294" t="str">
        <f ca="1">IF(Table_NFI[[#This Row],[Pcode]]="","",OFFSET(CampList[Priority],MATCH(Table_NFI[[#This Row],[Pcode]],CampList[CP_Pcode],0)-1,0,1,1))</f>
        <v>P4</v>
      </c>
      <c r="AU544" s="293">
        <f>IFERROR(Table_NFI[[#This Row],[Kitchen Set]]/VLOOKUP(Table_NFI[[#This Row],[Camp Name]],CL,4,0),"")</f>
        <v>0</v>
      </c>
      <c r="AV544" s="461" t="s">
        <v>1092</v>
      </c>
      <c r="AW544" s="463"/>
    </row>
    <row r="545" spans="1:49" s="464" customFormat="1" ht="14.45" customHeight="1" x14ac:dyDescent="0.25">
      <c r="A545" s="297">
        <f t="shared" si="8"/>
        <v>37.6</v>
      </c>
      <c r="B545" s="460">
        <v>41608</v>
      </c>
      <c r="C545" s="461" t="s">
        <v>905</v>
      </c>
      <c r="D545" s="461" t="s">
        <v>460</v>
      </c>
      <c r="E545" s="461" t="s">
        <v>380</v>
      </c>
      <c r="F545" s="290" t="s">
        <v>151</v>
      </c>
      <c r="G545" s="290" t="s">
        <v>164</v>
      </c>
      <c r="H545" s="291"/>
      <c r="I545" s="291"/>
      <c r="J545" s="291"/>
      <c r="K545" s="291"/>
      <c r="L545" s="292"/>
      <c r="M545" s="292"/>
      <c r="N545" s="292"/>
      <c r="O545" s="292"/>
      <c r="P545" s="294"/>
      <c r="Q545" s="294"/>
      <c r="R545" s="294"/>
      <c r="S545" s="294"/>
      <c r="T545" s="294"/>
      <c r="U545" s="294"/>
      <c r="V545" s="431"/>
      <c r="W545" s="294"/>
      <c r="X545" s="294"/>
      <c r="Y545" s="294">
        <f>IF(NFI_Expiration=1,IF($A545&lt;VLOOKUP(H$5,NFI,5,0),1,0)*Table_NFI[[#This Row],[Hygiene Kit]],Table_NFI[Hygiene Kit])</f>
        <v>0</v>
      </c>
      <c r="Z545" s="294">
        <f>IF(NFI_Expiration=1,IF($A545&lt;VLOOKUP(I$5,NFI,5,0),1,0)*Table_NFI[[#This Row],[NFI Core Kit]],Table_NFI[NFI Core Kit])</f>
        <v>0</v>
      </c>
      <c r="AA545" s="294">
        <f>IF(NFI_Expiration=1,IF($A545&lt;VLOOKUP(J$5,NFI,5,0),1,0)*Table_NFI[[#This Row],[Sanitary Kit]],Table_NFI[Sanitary Kit])</f>
        <v>0</v>
      </c>
      <c r="AB545" s="294">
        <f>IF(NFI_Expiration=1,IF($A545&lt;VLOOKUP(K$5,NFI,5,0),1,0)*Table_NFI[[#This Row],[Mosquito net]],Table_NFI[Mosquito net])</f>
        <v>0</v>
      </c>
      <c r="AC545" s="294">
        <f>IF(NFI_Expiration=1,IF($A545&lt;VLOOKUP(L$5,NFI,5,0),1,0)*Table_NFI[[#This Row],[Tarpaulin]],Table_NFI[[#This Row],[Tarpaulin]])</f>
        <v>0</v>
      </c>
      <c r="AD545" s="294">
        <f>IF(NFI_Expiration=1,IF($A545&lt;VLOOKUP(M$5,NFI,5,0),1,0)*Table_NFI[[#This Row],[Blanket]],Table_NFI[[#This Row],[Blanket]])</f>
        <v>0</v>
      </c>
      <c r="AE545" s="294">
        <f>IF(NFI_Expiration=1,IF($A545&lt;VLOOKUP(N$5,NFI,5,0),1,0)*Table_NFI[[#This Row],[Kitchen Set]],Table_NFI[Kitchen Set])</f>
        <v>0</v>
      </c>
      <c r="AF545" s="294">
        <f>IF(NFI_Expiration=1,IF($A545&lt;VLOOKUP(O$5,NFI,5,0),1,0)*Table_NFI[[#This Row],[Clothes Kit]],Table_NFI[Clothes Kit])</f>
        <v>0</v>
      </c>
      <c r="AG545" s="294">
        <f>IF(NFI_Expiration=1,IF($A545&lt;VLOOKUP(P$5,NFI,5,0),1,0)*Table_NFI[[#This Row],[Plastic Bucket]],Table_NFI[Plastic Bucket])</f>
        <v>0</v>
      </c>
      <c r="AH545" s="294">
        <f>IF(NFI_Expiration=1,IF($A545&lt;VLOOKUP(Q$5,NFI,5,0),1,0)*Table_NFI[[#This Row],[Plastic Mat]],Table_NFI[Plastic Mat])*IF(Table_NFI[[#This Row],[Distribution Date]]&gt;"2014-04-01",1,2.5)</f>
        <v>0</v>
      </c>
      <c r="AI545" s="294">
        <f>IF(NFI_Expiration=1,IF($A545&lt;VLOOKUP(R$5,NFI,5,0),1,0)*Table_NFI[[#This Row],[Winter Clothes Adult]],Table_NFI[Winter Clothes Adult])</f>
        <v>0</v>
      </c>
      <c r="AJ545" s="294">
        <f>IF(NFI_Expiration=1,IF($A545&lt;VLOOKUP(S$5,NFI,5,0),1,0)*Table_NFI[[#This Row],[Winter Clothes Children]],Table_NFI[Winter Clothes Children])</f>
        <v>0</v>
      </c>
      <c r="AK545" s="294">
        <f>IF(NFI_Expiration=1,IF($A545&lt;VLOOKUP(T$5,NFI,5,0),1,0)*Table_NFI[[#This Row],[Winter Items Other]],Table_NFI[Winter Items Other])</f>
        <v>0</v>
      </c>
      <c r="AL545" s="294">
        <f>IF(NFI_Expiration=1,IF($A545&lt;VLOOKUP(M$5,NFI,5,0),1,0)*Table_NFI[[#This Row],[Winter Blanket]],Table_NFI[[#This Row],[Winter Blanket]])</f>
        <v>0</v>
      </c>
      <c r="AM545" s="294">
        <f>IF(Table_NFI[[#This Row],[Winter Clothes Adult]]+Table_NFI[[#This Row],[Winter Clothes Children]]+Table_NFI[[#This Row],[Winter Items Other]]+Table_NFI[[#This Row],[Winter Blanket]]&gt;0,1,0)</f>
        <v>0</v>
      </c>
      <c r="AN545" s="331">
        <f>IF(NFI_Expiration=1,IF($A545&lt;VLOOKUP(V$5,NFI,5,0),1,0)*Table_NFI[[#This Row],[Jerry Can]],Table_NFI[Jerry Can])</f>
        <v>0</v>
      </c>
      <c r="AO545" s="331">
        <f>IF(NFI_Expiration=1,IF($A545&lt;VLOOKUP(V$5,NFI,5,0),1,0)*Table_NFI[[#This Row],[Shelter Tool kit]],Table_NFI[Shelter Tool kit])</f>
        <v>0</v>
      </c>
      <c r="AP545" s="331">
        <f>IF(NFI_Expiration=1,IF($A545&lt;VLOOKUP(V$5,NFI,5,0),1,0)*Table_NFI[[#This Row],[Tent]],Table_NFI[Tent])</f>
        <v>0</v>
      </c>
      <c r="AQ545" s="467" t="str">
        <f>IFERROR(VLOOKUP(Table_NFI[[#This Row],[Camp Name]],CL,2,0),"")</f>
        <v>MMR001CMP137</v>
      </c>
      <c r="AR545" s="835">
        <f ca="1">IF(Table_NFI[[#This Row],[Pcode]]="","",IF(OFFSET(CampList[Opening Date],MATCH(Table_NFI[[#This Row],[Pcode]],CampList[CP_Pcode],0)-1,0,1,1)&gt;=NFI_Monitor_Date,1,0))</f>
        <v>0</v>
      </c>
      <c r="AS545" s="467" t="str">
        <f>IFERROR(VLOOKUP(Table_NFI[[#This Row],[Camp Name]],CL,3,0),"")</f>
        <v>Closed</v>
      </c>
      <c r="AT545" s="294" t="str">
        <f ca="1">IF(Table_NFI[[#This Row],[Pcode]]="","",OFFSET(CampList[Priority],MATCH(Table_NFI[[#This Row],[Pcode]],CampList[CP_Pcode],0)-1,0,1,1))</f>
        <v/>
      </c>
      <c r="AU545" s="293" t="str">
        <f>IFERROR(Table_NFI[[#This Row],[Kitchen Set]]/VLOOKUP(Table_NFI[[#This Row],[Camp Name]],CL,4,0),"")</f>
        <v/>
      </c>
      <c r="AV545" s="461" t="s">
        <v>1092</v>
      </c>
      <c r="AW545" s="463"/>
    </row>
    <row r="546" spans="1:49" s="464" customFormat="1" ht="14.45" customHeight="1" x14ac:dyDescent="0.25">
      <c r="A546" s="297">
        <f t="shared" si="8"/>
        <v>37.6</v>
      </c>
      <c r="B546" s="460">
        <v>41608</v>
      </c>
      <c r="C546" s="461" t="s">
        <v>905</v>
      </c>
      <c r="D546" s="461"/>
      <c r="E546" s="461" t="s">
        <v>380</v>
      </c>
      <c r="F546" s="290" t="s">
        <v>185</v>
      </c>
      <c r="G546" s="290" t="s">
        <v>217</v>
      </c>
      <c r="H546" s="291"/>
      <c r="I546" s="291"/>
      <c r="J546" s="291"/>
      <c r="K546" s="291"/>
      <c r="L546" s="292"/>
      <c r="M546" s="292"/>
      <c r="N546" s="292"/>
      <c r="O546" s="292"/>
      <c r="P546" s="294"/>
      <c r="Q546" s="294">
        <v>60</v>
      </c>
      <c r="R546" s="294"/>
      <c r="S546" s="294"/>
      <c r="T546" s="294"/>
      <c r="U546" s="294"/>
      <c r="V546" s="431"/>
      <c r="W546" s="294"/>
      <c r="X546" s="294"/>
      <c r="Y546" s="294">
        <f>IF(NFI_Expiration=1,IF($A546&lt;VLOOKUP(H$5,NFI,5,0),1,0)*Table_NFI[[#This Row],[Hygiene Kit]],Table_NFI[Hygiene Kit])</f>
        <v>0</v>
      </c>
      <c r="Z546" s="294">
        <f>IF(NFI_Expiration=1,IF($A546&lt;VLOOKUP(I$5,NFI,5,0),1,0)*Table_NFI[[#This Row],[NFI Core Kit]],Table_NFI[NFI Core Kit])</f>
        <v>0</v>
      </c>
      <c r="AA546" s="294">
        <f>IF(NFI_Expiration=1,IF($A546&lt;VLOOKUP(J$5,NFI,5,0),1,0)*Table_NFI[[#This Row],[Sanitary Kit]],Table_NFI[Sanitary Kit])</f>
        <v>0</v>
      </c>
      <c r="AB546" s="294">
        <f>IF(NFI_Expiration=1,IF($A546&lt;VLOOKUP(K$5,NFI,5,0),1,0)*Table_NFI[[#This Row],[Mosquito net]],Table_NFI[Mosquito net])</f>
        <v>0</v>
      </c>
      <c r="AC546" s="294">
        <f>IF(NFI_Expiration=1,IF($A546&lt;VLOOKUP(L$5,NFI,5,0),1,0)*Table_NFI[[#This Row],[Tarpaulin]],Table_NFI[[#This Row],[Tarpaulin]])</f>
        <v>0</v>
      </c>
      <c r="AD546" s="294">
        <f>IF(NFI_Expiration=1,IF($A546&lt;VLOOKUP(M$5,NFI,5,0),1,0)*Table_NFI[[#This Row],[Blanket]],Table_NFI[[#This Row],[Blanket]])</f>
        <v>0</v>
      </c>
      <c r="AE546" s="294">
        <f>IF(NFI_Expiration=1,IF($A546&lt;VLOOKUP(N$5,NFI,5,0),1,0)*Table_NFI[[#This Row],[Kitchen Set]],Table_NFI[Kitchen Set])</f>
        <v>0</v>
      </c>
      <c r="AF546" s="294">
        <f>IF(NFI_Expiration=1,IF($A546&lt;VLOOKUP(O$5,NFI,5,0),1,0)*Table_NFI[[#This Row],[Clothes Kit]],Table_NFI[Clothes Kit])</f>
        <v>0</v>
      </c>
      <c r="AG546" s="294">
        <f>IF(NFI_Expiration=1,IF($A546&lt;VLOOKUP(P$5,NFI,5,0),1,0)*Table_NFI[[#This Row],[Plastic Bucket]],Table_NFI[Plastic Bucket])</f>
        <v>0</v>
      </c>
      <c r="AH546" s="294">
        <f>IF(NFI_Expiration=1,IF($A546&lt;VLOOKUP(Q$5,NFI,5,0),1,0)*Table_NFI[[#This Row],[Plastic Mat]],Table_NFI[Plastic Mat])*IF(Table_NFI[[#This Row],[Distribution Date]]&gt;"2014-04-01",1,2.5)</f>
        <v>0</v>
      </c>
      <c r="AI546" s="294">
        <f>IF(NFI_Expiration=1,IF($A546&lt;VLOOKUP(R$5,NFI,5,0),1,0)*Table_NFI[[#This Row],[Winter Clothes Adult]],Table_NFI[Winter Clothes Adult])</f>
        <v>0</v>
      </c>
      <c r="AJ546" s="294">
        <f>IF(NFI_Expiration=1,IF($A546&lt;VLOOKUP(S$5,NFI,5,0),1,0)*Table_NFI[[#This Row],[Winter Clothes Children]],Table_NFI[Winter Clothes Children])</f>
        <v>0</v>
      </c>
      <c r="AK546" s="294">
        <f>IF(NFI_Expiration=1,IF($A546&lt;VLOOKUP(T$5,NFI,5,0),1,0)*Table_NFI[[#This Row],[Winter Items Other]],Table_NFI[Winter Items Other])</f>
        <v>0</v>
      </c>
      <c r="AL546" s="294">
        <f>IF(NFI_Expiration=1,IF($A546&lt;VLOOKUP(M$5,NFI,5,0),1,0)*Table_NFI[[#This Row],[Winter Blanket]],Table_NFI[[#This Row],[Winter Blanket]])</f>
        <v>0</v>
      </c>
      <c r="AM546" s="294">
        <f>IF(Table_NFI[[#This Row],[Winter Clothes Adult]]+Table_NFI[[#This Row],[Winter Clothes Children]]+Table_NFI[[#This Row],[Winter Items Other]]+Table_NFI[[#This Row],[Winter Blanket]]&gt;0,1,0)</f>
        <v>0</v>
      </c>
      <c r="AN546" s="331">
        <f>IF(NFI_Expiration=1,IF($A546&lt;VLOOKUP(V$5,NFI,5,0),1,0)*Table_NFI[[#This Row],[Jerry Can]],Table_NFI[Jerry Can])</f>
        <v>0</v>
      </c>
      <c r="AO546" s="331">
        <f>IF(NFI_Expiration=1,IF($A546&lt;VLOOKUP(V$5,NFI,5,0),1,0)*Table_NFI[[#This Row],[Shelter Tool kit]],Table_NFI[Shelter Tool kit])</f>
        <v>0</v>
      </c>
      <c r="AP546" s="331">
        <f>IF(NFI_Expiration=1,IF($A546&lt;VLOOKUP(V$5,NFI,5,0),1,0)*Table_NFI[[#This Row],[Tent]],Table_NFI[Tent])</f>
        <v>0</v>
      </c>
      <c r="AQ546" s="467" t="str">
        <f>IFERROR(VLOOKUP(Table_NFI[[#This Row],[Camp Name]],CL,2,0),"")</f>
        <v>MMR001CMP059</v>
      </c>
      <c r="AR546" s="835">
        <f ca="1">IF(Table_NFI[[#This Row],[Pcode]]="","",IF(OFFSET(CampList[Opening Date],MATCH(Table_NFI[[#This Row],[Pcode]],CampList[CP_Pcode],0)-1,0,1,1)&gt;=NFI_Monitor_Date,1,0))</f>
        <v>0</v>
      </c>
      <c r="AS546" s="467" t="str">
        <f>IFERROR(VLOOKUP(Table_NFI[[#This Row],[Camp Name]],CL,3,0),"")</f>
        <v>Closed</v>
      </c>
      <c r="AT546" s="294" t="str">
        <f ca="1">IF(Table_NFI[[#This Row],[Pcode]]="","",OFFSET(CampList[Priority],MATCH(Table_NFI[[#This Row],[Pcode]],CampList[CP_Pcode],0)-1,0,1,1))</f>
        <v>P4</v>
      </c>
      <c r="AU546" s="293">
        <f>IFERROR(Table_NFI[[#This Row],[Kitchen Set]]/VLOOKUP(Table_NFI[[#This Row],[Camp Name]],CL,4,0),"")</f>
        <v>0</v>
      </c>
      <c r="AV546" s="461" t="s">
        <v>1092</v>
      </c>
      <c r="AW546" s="463"/>
    </row>
    <row r="547" spans="1:49" s="464" customFormat="1" ht="14.45" customHeight="1" x14ac:dyDescent="0.25">
      <c r="A547" s="297">
        <f t="shared" si="8"/>
        <v>37.6</v>
      </c>
      <c r="B547" s="460">
        <v>41608</v>
      </c>
      <c r="C547" s="461" t="s">
        <v>1097</v>
      </c>
      <c r="D547" s="462" t="s">
        <v>944</v>
      </c>
      <c r="E547" s="461" t="s">
        <v>553</v>
      </c>
      <c r="F547" s="290" t="s">
        <v>146</v>
      </c>
      <c r="G547" s="290" t="s">
        <v>368</v>
      </c>
      <c r="H547" s="291"/>
      <c r="I547" s="291"/>
      <c r="J547" s="291"/>
      <c r="K547" s="291"/>
      <c r="L547" s="292"/>
      <c r="M547" s="292">
        <v>258</v>
      </c>
      <c r="N547" s="292"/>
      <c r="O547" s="292"/>
      <c r="P547" s="294"/>
      <c r="Q547" s="294"/>
      <c r="R547" s="294">
        <v>349</v>
      </c>
      <c r="S547" s="294">
        <v>175</v>
      </c>
      <c r="T547" s="294">
        <v>0</v>
      </c>
      <c r="U547" s="294"/>
      <c r="V547" s="431"/>
      <c r="W547" s="294"/>
      <c r="X547" s="294"/>
      <c r="Y547" s="294">
        <f>IF(NFI_Expiration=1,IF($A547&lt;VLOOKUP(H$5,NFI,5,0),1,0)*Table_NFI[[#This Row],[Hygiene Kit]],Table_NFI[Hygiene Kit])</f>
        <v>0</v>
      </c>
      <c r="Z547" s="294">
        <f>IF(NFI_Expiration=1,IF($A547&lt;VLOOKUP(I$5,NFI,5,0),1,0)*Table_NFI[[#This Row],[NFI Core Kit]],Table_NFI[NFI Core Kit])</f>
        <v>0</v>
      </c>
      <c r="AA547" s="294">
        <f>IF(NFI_Expiration=1,IF($A547&lt;VLOOKUP(J$5,NFI,5,0),1,0)*Table_NFI[[#This Row],[Sanitary Kit]],Table_NFI[Sanitary Kit])</f>
        <v>0</v>
      </c>
      <c r="AB547" s="294">
        <f>IF(NFI_Expiration=1,IF($A547&lt;VLOOKUP(K$5,NFI,5,0),1,0)*Table_NFI[[#This Row],[Mosquito net]],Table_NFI[Mosquito net])</f>
        <v>0</v>
      </c>
      <c r="AC547" s="294">
        <f>IF(NFI_Expiration=1,IF($A547&lt;VLOOKUP(L$5,NFI,5,0),1,0)*Table_NFI[[#This Row],[Tarpaulin]],Table_NFI[[#This Row],[Tarpaulin]])</f>
        <v>0</v>
      </c>
      <c r="AD547" s="294">
        <f>IF(NFI_Expiration=1,IF($A547&lt;VLOOKUP(M$5,NFI,5,0),1,0)*Table_NFI[[#This Row],[Blanket]],Table_NFI[[#This Row],[Blanket]])</f>
        <v>0</v>
      </c>
      <c r="AE547" s="294">
        <f>IF(NFI_Expiration=1,IF($A547&lt;VLOOKUP(N$5,NFI,5,0),1,0)*Table_NFI[[#This Row],[Kitchen Set]],Table_NFI[Kitchen Set])</f>
        <v>0</v>
      </c>
      <c r="AF547" s="294">
        <f>IF(NFI_Expiration=1,IF($A547&lt;VLOOKUP(O$5,NFI,5,0),1,0)*Table_NFI[[#This Row],[Clothes Kit]],Table_NFI[Clothes Kit])</f>
        <v>0</v>
      </c>
      <c r="AG547" s="294">
        <f>IF(NFI_Expiration=1,IF($A547&lt;VLOOKUP(P$5,NFI,5,0),1,0)*Table_NFI[[#This Row],[Plastic Bucket]],Table_NFI[Plastic Bucket])</f>
        <v>0</v>
      </c>
      <c r="AH547" s="294">
        <f>IF(NFI_Expiration=1,IF($A547&lt;VLOOKUP(Q$5,NFI,5,0),1,0)*Table_NFI[[#This Row],[Plastic Mat]],Table_NFI[Plastic Mat])*IF(Table_NFI[[#This Row],[Distribution Date]]&gt;"2014-04-01",1,2.5)</f>
        <v>0</v>
      </c>
      <c r="AI547" s="294">
        <f>IF(NFI_Expiration=1,IF($A547&lt;VLOOKUP(R$5,NFI,5,0),1,0)*Table_NFI[[#This Row],[Winter Clothes Adult]],Table_NFI[Winter Clothes Adult])</f>
        <v>0</v>
      </c>
      <c r="AJ547" s="294">
        <f>IF(NFI_Expiration=1,IF($A547&lt;VLOOKUP(S$5,NFI,5,0),1,0)*Table_NFI[[#This Row],[Winter Clothes Children]],Table_NFI[Winter Clothes Children])</f>
        <v>0</v>
      </c>
      <c r="AK547" s="294">
        <f>IF(NFI_Expiration=1,IF($A547&lt;VLOOKUP(T$5,NFI,5,0),1,0)*Table_NFI[[#This Row],[Winter Items Other]],Table_NFI[Winter Items Other])</f>
        <v>0</v>
      </c>
      <c r="AL547" s="294">
        <f>IF(NFI_Expiration=1,IF($A547&lt;VLOOKUP(M$5,NFI,5,0),1,0)*Table_NFI[[#This Row],[Winter Blanket]],Table_NFI[[#This Row],[Winter Blanket]])</f>
        <v>0</v>
      </c>
      <c r="AM547" s="294">
        <f>IF(Table_NFI[[#This Row],[Winter Clothes Adult]]+Table_NFI[[#This Row],[Winter Clothes Children]]+Table_NFI[[#This Row],[Winter Items Other]]+Table_NFI[[#This Row],[Winter Blanket]]&gt;0,1,0)</f>
        <v>1</v>
      </c>
      <c r="AN547" s="331">
        <f>IF(NFI_Expiration=1,IF($A547&lt;VLOOKUP(V$5,NFI,5,0),1,0)*Table_NFI[[#This Row],[Jerry Can]],Table_NFI[Jerry Can])</f>
        <v>0</v>
      </c>
      <c r="AO547" s="331">
        <f>IF(NFI_Expiration=1,IF($A547&lt;VLOOKUP(V$5,NFI,5,0),1,0)*Table_NFI[[#This Row],[Shelter Tool kit]],Table_NFI[Shelter Tool kit])</f>
        <v>0</v>
      </c>
      <c r="AP547" s="331">
        <f>IF(NFI_Expiration=1,IF($A547&lt;VLOOKUP(V$5,NFI,5,0),1,0)*Table_NFI[[#This Row],[Tent]],Table_NFI[Tent])</f>
        <v>0</v>
      </c>
      <c r="AQ547" s="467" t="str">
        <f>IFERROR(VLOOKUP(Table_NFI[[#This Row],[Camp Name]],CL,2,0),"")</f>
        <v>MMR015CMP018</v>
      </c>
      <c r="AR547" s="835">
        <f ca="1">IF(Table_NFI[[#This Row],[Pcode]]="","",IF(OFFSET(CampList[Opening Date],MATCH(Table_NFI[[#This Row],[Pcode]],CampList[CP_Pcode],0)-1,0,1,1)&gt;=NFI_Monitor_Date,1,0))</f>
        <v>0</v>
      </c>
      <c r="AS547" s="467" t="str">
        <f>IFERROR(VLOOKUP(Table_NFI[[#This Row],[Camp Name]],CL,3,0),"")</f>
        <v>Open</v>
      </c>
      <c r="AT547" s="294" t="str">
        <f ca="1">IF(Table_NFI[[#This Row],[Pcode]]="","",OFFSET(CampList[Priority],MATCH(Table_NFI[[#This Row],[Pcode]],CampList[CP_Pcode],0)-1,0,1,1))</f>
        <v>P3</v>
      </c>
      <c r="AU547" s="293">
        <f>IFERROR(Table_NFI[[#This Row],[Kitchen Set]]/VLOOKUP(Table_NFI[[#This Row],[Camp Name]],CL,4,0),"")</f>
        <v>0</v>
      </c>
      <c r="AV547" s="461" t="s">
        <v>1092</v>
      </c>
      <c r="AW547" s="463"/>
    </row>
    <row r="548" spans="1:49" s="464" customFormat="1" ht="14.45" customHeight="1" x14ac:dyDescent="0.25">
      <c r="A548" s="297">
        <f t="shared" si="8"/>
        <v>37.6</v>
      </c>
      <c r="B548" s="460">
        <v>41608</v>
      </c>
      <c r="C548" s="461" t="s">
        <v>905</v>
      </c>
      <c r="D548" s="461"/>
      <c r="E548" s="461" t="s">
        <v>380</v>
      </c>
      <c r="F548" s="290" t="s">
        <v>185</v>
      </c>
      <c r="G548" s="290" t="s">
        <v>209</v>
      </c>
      <c r="H548" s="291"/>
      <c r="I548" s="291"/>
      <c r="J548" s="291"/>
      <c r="K548" s="291"/>
      <c r="L548" s="292"/>
      <c r="M548" s="292"/>
      <c r="N548" s="292"/>
      <c r="O548" s="292"/>
      <c r="P548" s="294"/>
      <c r="Q548" s="294">
        <v>906</v>
      </c>
      <c r="R548" s="294"/>
      <c r="S548" s="294"/>
      <c r="T548" s="294"/>
      <c r="U548" s="294"/>
      <c r="V548" s="431"/>
      <c r="W548" s="294"/>
      <c r="X548" s="294"/>
      <c r="Y548" s="294">
        <f>IF(NFI_Expiration=1,IF($A548&lt;VLOOKUP(H$5,NFI,5,0),1,0)*Table_NFI[[#This Row],[Hygiene Kit]],Table_NFI[Hygiene Kit])</f>
        <v>0</v>
      </c>
      <c r="Z548" s="294">
        <f>IF(NFI_Expiration=1,IF($A548&lt;VLOOKUP(I$5,NFI,5,0),1,0)*Table_NFI[[#This Row],[NFI Core Kit]],Table_NFI[NFI Core Kit])</f>
        <v>0</v>
      </c>
      <c r="AA548" s="294">
        <f>IF(NFI_Expiration=1,IF($A548&lt;VLOOKUP(J$5,NFI,5,0),1,0)*Table_NFI[[#This Row],[Sanitary Kit]],Table_NFI[Sanitary Kit])</f>
        <v>0</v>
      </c>
      <c r="AB548" s="294">
        <f>IF(NFI_Expiration=1,IF($A548&lt;VLOOKUP(K$5,NFI,5,0),1,0)*Table_NFI[[#This Row],[Mosquito net]],Table_NFI[Mosquito net])</f>
        <v>0</v>
      </c>
      <c r="AC548" s="294">
        <f>IF(NFI_Expiration=1,IF($A548&lt;VLOOKUP(L$5,NFI,5,0),1,0)*Table_NFI[[#This Row],[Tarpaulin]],Table_NFI[[#This Row],[Tarpaulin]])</f>
        <v>0</v>
      </c>
      <c r="AD548" s="294">
        <f>IF(NFI_Expiration=1,IF($A548&lt;VLOOKUP(M$5,NFI,5,0),1,0)*Table_NFI[[#This Row],[Blanket]],Table_NFI[[#This Row],[Blanket]])</f>
        <v>0</v>
      </c>
      <c r="AE548" s="294">
        <f>IF(NFI_Expiration=1,IF($A548&lt;VLOOKUP(N$5,NFI,5,0),1,0)*Table_NFI[[#This Row],[Kitchen Set]],Table_NFI[Kitchen Set])</f>
        <v>0</v>
      </c>
      <c r="AF548" s="294">
        <f>IF(NFI_Expiration=1,IF($A548&lt;VLOOKUP(O$5,NFI,5,0),1,0)*Table_NFI[[#This Row],[Clothes Kit]],Table_NFI[Clothes Kit])</f>
        <v>0</v>
      </c>
      <c r="AG548" s="294">
        <f>IF(NFI_Expiration=1,IF($A548&lt;VLOOKUP(P$5,NFI,5,0),1,0)*Table_NFI[[#This Row],[Plastic Bucket]],Table_NFI[Plastic Bucket])</f>
        <v>0</v>
      </c>
      <c r="AH548" s="294">
        <f>IF(NFI_Expiration=1,IF($A548&lt;VLOOKUP(Q$5,NFI,5,0),1,0)*Table_NFI[[#This Row],[Plastic Mat]],Table_NFI[Plastic Mat])*IF(Table_NFI[[#This Row],[Distribution Date]]&gt;"2014-04-01",1,2.5)</f>
        <v>0</v>
      </c>
      <c r="AI548" s="294">
        <f>IF(NFI_Expiration=1,IF($A548&lt;VLOOKUP(R$5,NFI,5,0),1,0)*Table_NFI[[#This Row],[Winter Clothes Adult]],Table_NFI[Winter Clothes Adult])</f>
        <v>0</v>
      </c>
      <c r="AJ548" s="294">
        <f>IF(NFI_Expiration=1,IF($A548&lt;VLOOKUP(S$5,NFI,5,0),1,0)*Table_NFI[[#This Row],[Winter Clothes Children]],Table_NFI[Winter Clothes Children])</f>
        <v>0</v>
      </c>
      <c r="AK548" s="294">
        <f>IF(NFI_Expiration=1,IF($A548&lt;VLOOKUP(T$5,NFI,5,0),1,0)*Table_NFI[[#This Row],[Winter Items Other]],Table_NFI[Winter Items Other])</f>
        <v>0</v>
      </c>
      <c r="AL548" s="294">
        <f>IF(NFI_Expiration=1,IF($A548&lt;VLOOKUP(M$5,NFI,5,0),1,0)*Table_NFI[[#This Row],[Winter Blanket]],Table_NFI[[#This Row],[Winter Blanket]])</f>
        <v>0</v>
      </c>
      <c r="AM548" s="294">
        <f>IF(Table_NFI[[#This Row],[Winter Clothes Adult]]+Table_NFI[[#This Row],[Winter Clothes Children]]+Table_NFI[[#This Row],[Winter Items Other]]+Table_NFI[[#This Row],[Winter Blanket]]&gt;0,1,0)</f>
        <v>0</v>
      </c>
      <c r="AN548" s="331">
        <f>IF(NFI_Expiration=1,IF($A548&lt;VLOOKUP(V$5,NFI,5,0),1,0)*Table_NFI[[#This Row],[Jerry Can]],Table_NFI[Jerry Can])</f>
        <v>0</v>
      </c>
      <c r="AO548" s="331">
        <f>IF(NFI_Expiration=1,IF($A548&lt;VLOOKUP(V$5,NFI,5,0),1,0)*Table_NFI[[#This Row],[Shelter Tool kit]],Table_NFI[Shelter Tool kit])</f>
        <v>0</v>
      </c>
      <c r="AP548" s="331">
        <f>IF(NFI_Expiration=1,IF($A548&lt;VLOOKUP(V$5,NFI,5,0),1,0)*Table_NFI[[#This Row],[Tent]],Table_NFI[Tent])</f>
        <v>0</v>
      </c>
      <c r="AQ548" s="467" t="str">
        <f>IFERROR(VLOOKUP(Table_NFI[[#This Row],[Camp Name]],CL,2,0),"")</f>
        <v>MMR001CMP056</v>
      </c>
      <c r="AR548" s="835">
        <f ca="1">IF(Table_NFI[[#This Row],[Pcode]]="","",IF(OFFSET(CampList[Opening Date],MATCH(Table_NFI[[#This Row],[Pcode]],CampList[CP_Pcode],0)-1,0,1,1)&gt;=NFI_Monitor_Date,1,0))</f>
        <v>0</v>
      </c>
      <c r="AS548" s="467" t="str">
        <f>IFERROR(VLOOKUP(Table_NFI[[#This Row],[Camp Name]],CL,3,0),"")</f>
        <v>Open</v>
      </c>
      <c r="AT548" s="294" t="str">
        <f ca="1">IF(Table_NFI[[#This Row],[Pcode]]="","",OFFSET(CampList[Priority],MATCH(Table_NFI[[#This Row],[Pcode]],CampList[CP_Pcode],0)-1,0,1,1))</f>
        <v>P4</v>
      </c>
      <c r="AU548" s="293">
        <f>IFERROR(Table_NFI[[#This Row],[Kitchen Set]]/VLOOKUP(Table_NFI[[#This Row],[Camp Name]],CL,4,0),"")</f>
        <v>0</v>
      </c>
      <c r="AV548" s="461" t="s">
        <v>1092</v>
      </c>
      <c r="AW548" s="463"/>
    </row>
    <row r="549" spans="1:49" s="464" customFormat="1" ht="14.45" customHeight="1" x14ac:dyDescent="0.25">
      <c r="A549" s="297">
        <f t="shared" si="8"/>
        <v>37.6</v>
      </c>
      <c r="B549" s="460">
        <v>41608</v>
      </c>
      <c r="C549" s="461" t="s">
        <v>905</v>
      </c>
      <c r="D549" s="461"/>
      <c r="E549" s="461" t="s">
        <v>380</v>
      </c>
      <c r="F549" s="290" t="s">
        <v>5</v>
      </c>
      <c r="G549" s="290" t="s">
        <v>20</v>
      </c>
      <c r="H549" s="291"/>
      <c r="I549" s="291"/>
      <c r="J549" s="291"/>
      <c r="K549" s="291"/>
      <c r="L549" s="292"/>
      <c r="M549" s="292"/>
      <c r="N549" s="292"/>
      <c r="O549" s="292"/>
      <c r="P549" s="294"/>
      <c r="Q549" s="294">
        <v>57</v>
      </c>
      <c r="R549" s="294"/>
      <c r="S549" s="294"/>
      <c r="T549" s="294"/>
      <c r="U549" s="294"/>
      <c r="V549" s="431"/>
      <c r="W549" s="294"/>
      <c r="X549" s="294"/>
      <c r="Y549" s="294">
        <f>IF(NFI_Expiration=1,IF($A549&lt;VLOOKUP(H$5,NFI,5,0),1,0)*Table_NFI[[#This Row],[Hygiene Kit]],Table_NFI[Hygiene Kit])</f>
        <v>0</v>
      </c>
      <c r="Z549" s="294">
        <f>IF(NFI_Expiration=1,IF($A549&lt;VLOOKUP(I$5,NFI,5,0),1,0)*Table_NFI[[#This Row],[NFI Core Kit]],Table_NFI[NFI Core Kit])</f>
        <v>0</v>
      </c>
      <c r="AA549" s="294">
        <f>IF(NFI_Expiration=1,IF($A549&lt;VLOOKUP(J$5,NFI,5,0),1,0)*Table_NFI[[#This Row],[Sanitary Kit]],Table_NFI[Sanitary Kit])</f>
        <v>0</v>
      </c>
      <c r="AB549" s="294">
        <f>IF(NFI_Expiration=1,IF($A549&lt;VLOOKUP(K$5,NFI,5,0),1,0)*Table_NFI[[#This Row],[Mosquito net]],Table_NFI[Mosquito net])</f>
        <v>0</v>
      </c>
      <c r="AC549" s="294">
        <f>IF(NFI_Expiration=1,IF($A549&lt;VLOOKUP(L$5,NFI,5,0),1,0)*Table_NFI[[#This Row],[Tarpaulin]],Table_NFI[[#This Row],[Tarpaulin]])</f>
        <v>0</v>
      </c>
      <c r="AD549" s="294">
        <f>IF(NFI_Expiration=1,IF($A549&lt;VLOOKUP(M$5,NFI,5,0),1,0)*Table_NFI[[#This Row],[Blanket]],Table_NFI[[#This Row],[Blanket]])</f>
        <v>0</v>
      </c>
      <c r="AE549" s="294">
        <f>IF(NFI_Expiration=1,IF($A549&lt;VLOOKUP(N$5,NFI,5,0),1,0)*Table_NFI[[#This Row],[Kitchen Set]],Table_NFI[Kitchen Set])</f>
        <v>0</v>
      </c>
      <c r="AF549" s="294">
        <f>IF(NFI_Expiration=1,IF($A549&lt;VLOOKUP(O$5,NFI,5,0),1,0)*Table_NFI[[#This Row],[Clothes Kit]],Table_NFI[Clothes Kit])</f>
        <v>0</v>
      </c>
      <c r="AG549" s="294">
        <f>IF(NFI_Expiration=1,IF($A549&lt;VLOOKUP(P$5,NFI,5,0),1,0)*Table_NFI[[#This Row],[Plastic Bucket]],Table_NFI[Plastic Bucket])</f>
        <v>0</v>
      </c>
      <c r="AH549" s="294">
        <f>IF(NFI_Expiration=1,IF($A549&lt;VLOOKUP(Q$5,NFI,5,0),1,0)*Table_NFI[[#This Row],[Plastic Mat]],Table_NFI[Plastic Mat])*IF(Table_NFI[[#This Row],[Distribution Date]]&gt;"2014-04-01",1,2.5)</f>
        <v>0</v>
      </c>
      <c r="AI549" s="294">
        <f>IF(NFI_Expiration=1,IF($A549&lt;VLOOKUP(R$5,NFI,5,0),1,0)*Table_NFI[[#This Row],[Winter Clothes Adult]],Table_NFI[Winter Clothes Adult])</f>
        <v>0</v>
      </c>
      <c r="AJ549" s="294">
        <f>IF(NFI_Expiration=1,IF($A549&lt;VLOOKUP(S$5,NFI,5,0),1,0)*Table_NFI[[#This Row],[Winter Clothes Children]],Table_NFI[Winter Clothes Children])</f>
        <v>0</v>
      </c>
      <c r="AK549" s="294">
        <f>IF(NFI_Expiration=1,IF($A549&lt;VLOOKUP(T$5,NFI,5,0),1,0)*Table_NFI[[#This Row],[Winter Items Other]],Table_NFI[Winter Items Other])</f>
        <v>0</v>
      </c>
      <c r="AL549" s="294">
        <f>IF(NFI_Expiration=1,IF($A549&lt;VLOOKUP(M$5,NFI,5,0),1,0)*Table_NFI[[#This Row],[Winter Blanket]],Table_NFI[[#This Row],[Winter Blanket]])</f>
        <v>0</v>
      </c>
      <c r="AM549" s="294">
        <f>IF(Table_NFI[[#This Row],[Winter Clothes Adult]]+Table_NFI[[#This Row],[Winter Clothes Children]]+Table_NFI[[#This Row],[Winter Items Other]]+Table_NFI[[#This Row],[Winter Blanket]]&gt;0,1,0)</f>
        <v>0</v>
      </c>
      <c r="AN549" s="331">
        <f>IF(NFI_Expiration=1,IF($A549&lt;VLOOKUP(V$5,NFI,5,0),1,0)*Table_NFI[[#This Row],[Jerry Can]],Table_NFI[Jerry Can])</f>
        <v>0</v>
      </c>
      <c r="AO549" s="331">
        <f>IF(NFI_Expiration=1,IF($A549&lt;VLOOKUP(V$5,NFI,5,0),1,0)*Table_NFI[[#This Row],[Shelter Tool kit]],Table_NFI[Shelter Tool kit])</f>
        <v>0</v>
      </c>
      <c r="AP549" s="331">
        <f>IF(NFI_Expiration=1,IF($A549&lt;VLOOKUP(V$5,NFI,5,0),1,0)*Table_NFI[[#This Row],[Tent]],Table_NFI[Tent])</f>
        <v>0</v>
      </c>
      <c r="AQ549" s="467" t="str">
        <f>IFERROR(VLOOKUP(Table_NFI[[#This Row],[Camp Name]],CL,2,0),"")</f>
        <v>MMR001CMP054</v>
      </c>
      <c r="AR549" s="835">
        <f ca="1">IF(Table_NFI[[#This Row],[Pcode]]="","",IF(OFFSET(CampList[Opening Date],MATCH(Table_NFI[[#This Row],[Pcode]],CampList[CP_Pcode],0)-1,0,1,1)&gt;=NFI_Monitor_Date,1,0))</f>
        <v>0</v>
      </c>
      <c r="AS549" s="467" t="str">
        <f>IFERROR(VLOOKUP(Table_NFI[[#This Row],[Camp Name]],CL,3,0),"")</f>
        <v>Open</v>
      </c>
      <c r="AT549" s="294" t="str">
        <f ca="1">IF(Table_NFI[[#This Row],[Pcode]]="","",OFFSET(CampList[Priority],MATCH(Table_NFI[[#This Row],[Pcode]],CampList[CP_Pcode],0)-1,0,1,1))</f>
        <v>P4</v>
      </c>
      <c r="AU549" s="293">
        <f>IFERROR(Table_NFI[[#This Row],[Kitchen Set]]/VLOOKUP(Table_NFI[[#This Row],[Camp Name]],CL,4,0),"")</f>
        <v>0</v>
      </c>
      <c r="AV549" s="461" t="s">
        <v>1092</v>
      </c>
      <c r="AW549" s="463"/>
    </row>
    <row r="550" spans="1:49" s="464" customFormat="1" ht="14.45" customHeight="1" x14ac:dyDescent="0.25">
      <c r="A550" s="297">
        <f t="shared" si="8"/>
        <v>37.6</v>
      </c>
      <c r="B550" s="460">
        <v>41608</v>
      </c>
      <c r="C550" s="461" t="s">
        <v>1097</v>
      </c>
      <c r="D550" s="462" t="s">
        <v>944</v>
      </c>
      <c r="E550" s="461" t="s">
        <v>553</v>
      </c>
      <c r="F550" s="290" t="s">
        <v>779</v>
      </c>
      <c r="G550" s="290" t="s">
        <v>594</v>
      </c>
      <c r="H550" s="291"/>
      <c r="I550" s="291"/>
      <c r="J550" s="291"/>
      <c r="K550" s="291"/>
      <c r="L550" s="292"/>
      <c r="M550" s="292">
        <v>201</v>
      </c>
      <c r="N550" s="292"/>
      <c r="O550" s="292"/>
      <c r="P550" s="294"/>
      <c r="Q550" s="294"/>
      <c r="R550" s="294">
        <v>266</v>
      </c>
      <c r="S550" s="294">
        <v>126</v>
      </c>
      <c r="T550" s="294">
        <v>0</v>
      </c>
      <c r="U550" s="294"/>
      <c r="V550" s="431"/>
      <c r="W550" s="294"/>
      <c r="X550" s="294"/>
      <c r="Y550" s="294">
        <f>IF(NFI_Expiration=1,IF($A550&lt;VLOOKUP(H$5,NFI,5,0),1,0)*Table_NFI[[#This Row],[Hygiene Kit]],Table_NFI[Hygiene Kit])</f>
        <v>0</v>
      </c>
      <c r="Z550" s="294">
        <f>IF(NFI_Expiration=1,IF($A550&lt;VLOOKUP(I$5,NFI,5,0),1,0)*Table_NFI[[#This Row],[NFI Core Kit]],Table_NFI[NFI Core Kit])</f>
        <v>0</v>
      </c>
      <c r="AA550" s="294">
        <f>IF(NFI_Expiration=1,IF($A550&lt;VLOOKUP(J$5,NFI,5,0),1,0)*Table_NFI[[#This Row],[Sanitary Kit]],Table_NFI[Sanitary Kit])</f>
        <v>0</v>
      </c>
      <c r="AB550" s="294">
        <f>IF(NFI_Expiration=1,IF($A550&lt;VLOOKUP(K$5,NFI,5,0),1,0)*Table_NFI[[#This Row],[Mosquito net]],Table_NFI[Mosquito net])</f>
        <v>0</v>
      </c>
      <c r="AC550" s="294">
        <f>IF(NFI_Expiration=1,IF($A550&lt;VLOOKUP(L$5,NFI,5,0),1,0)*Table_NFI[[#This Row],[Tarpaulin]],Table_NFI[[#This Row],[Tarpaulin]])</f>
        <v>0</v>
      </c>
      <c r="AD550" s="294">
        <f>IF(NFI_Expiration=1,IF($A550&lt;VLOOKUP(M$5,NFI,5,0),1,0)*Table_NFI[[#This Row],[Blanket]],Table_NFI[[#This Row],[Blanket]])</f>
        <v>0</v>
      </c>
      <c r="AE550" s="294">
        <f>IF(NFI_Expiration=1,IF($A550&lt;VLOOKUP(N$5,NFI,5,0),1,0)*Table_NFI[[#This Row],[Kitchen Set]],Table_NFI[Kitchen Set])</f>
        <v>0</v>
      </c>
      <c r="AF550" s="294">
        <f>IF(NFI_Expiration=1,IF($A550&lt;VLOOKUP(O$5,NFI,5,0),1,0)*Table_NFI[[#This Row],[Clothes Kit]],Table_NFI[Clothes Kit])</f>
        <v>0</v>
      </c>
      <c r="AG550" s="294">
        <f>IF(NFI_Expiration=1,IF($A550&lt;VLOOKUP(P$5,NFI,5,0),1,0)*Table_NFI[[#This Row],[Plastic Bucket]],Table_NFI[Plastic Bucket])</f>
        <v>0</v>
      </c>
      <c r="AH550" s="294">
        <f>IF(NFI_Expiration=1,IF($A550&lt;VLOOKUP(Q$5,NFI,5,0),1,0)*Table_NFI[[#This Row],[Plastic Mat]],Table_NFI[Plastic Mat])*IF(Table_NFI[[#This Row],[Distribution Date]]&gt;"2014-04-01",1,2.5)</f>
        <v>0</v>
      </c>
      <c r="AI550" s="294">
        <f>IF(NFI_Expiration=1,IF($A550&lt;VLOOKUP(R$5,NFI,5,0),1,0)*Table_NFI[[#This Row],[Winter Clothes Adult]],Table_NFI[Winter Clothes Adult])</f>
        <v>0</v>
      </c>
      <c r="AJ550" s="294">
        <f>IF(NFI_Expiration=1,IF($A550&lt;VLOOKUP(S$5,NFI,5,0),1,0)*Table_NFI[[#This Row],[Winter Clothes Children]],Table_NFI[Winter Clothes Children])</f>
        <v>0</v>
      </c>
      <c r="AK550" s="294">
        <f>IF(NFI_Expiration=1,IF($A550&lt;VLOOKUP(T$5,NFI,5,0),1,0)*Table_NFI[[#This Row],[Winter Items Other]],Table_NFI[Winter Items Other])</f>
        <v>0</v>
      </c>
      <c r="AL550" s="294">
        <f>IF(NFI_Expiration=1,IF($A550&lt;VLOOKUP(M$5,NFI,5,0),1,0)*Table_NFI[[#This Row],[Winter Blanket]],Table_NFI[[#This Row],[Winter Blanket]])</f>
        <v>0</v>
      </c>
      <c r="AM550" s="294">
        <f>IF(Table_NFI[[#This Row],[Winter Clothes Adult]]+Table_NFI[[#This Row],[Winter Clothes Children]]+Table_NFI[[#This Row],[Winter Items Other]]+Table_NFI[[#This Row],[Winter Blanket]]&gt;0,1,0)</f>
        <v>1</v>
      </c>
      <c r="AN550" s="331">
        <f>IF(NFI_Expiration=1,IF($A550&lt;VLOOKUP(V$5,NFI,5,0),1,0)*Table_NFI[[#This Row],[Jerry Can]],Table_NFI[Jerry Can])</f>
        <v>0</v>
      </c>
      <c r="AO550" s="331">
        <f>IF(NFI_Expiration=1,IF($A550&lt;VLOOKUP(V$5,NFI,5,0),1,0)*Table_NFI[[#This Row],[Shelter Tool kit]],Table_NFI[Shelter Tool kit])</f>
        <v>0</v>
      </c>
      <c r="AP550" s="331">
        <f>IF(NFI_Expiration=1,IF($A550&lt;VLOOKUP(V$5,NFI,5,0),1,0)*Table_NFI[[#This Row],[Tent]],Table_NFI[Tent])</f>
        <v>0</v>
      </c>
      <c r="AQ550" s="467" t="str">
        <f>IFERROR(VLOOKUP(Table_NFI[[#This Row],[Camp Name]],CL,2,0),"")</f>
        <v>MMR015CMP207</v>
      </c>
      <c r="AR550" s="835">
        <f ca="1">IF(Table_NFI[[#This Row],[Pcode]]="","",IF(OFFSET(CampList[Opening Date],MATCH(Table_NFI[[#This Row],[Pcode]],CampList[CP_Pcode],0)-1,0,1,1)&gt;=NFI_Monitor_Date,1,0))</f>
        <v>0</v>
      </c>
      <c r="AS550" s="467" t="str">
        <f>IFERROR(VLOOKUP(Table_NFI[[#This Row],[Camp Name]],CL,3,0),"")</f>
        <v>Open</v>
      </c>
      <c r="AT550" s="294" t="str">
        <f ca="1">IF(Table_NFI[[#This Row],[Pcode]]="","",OFFSET(CampList[Priority],MATCH(Table_NFI[[#This Row],[Pcode]],CampList[CP_Pcode],0)-1,0,1,1))</f>
        <v>P4</v>
      </c>
      <c r="AU550" s="293">
        <f>IFERROR(Table_NFI[[#This Row],[Kitchen Set]]/VLOOKUP(Table_NFI[[#This Row],[Camp Name]],CL,4,0),"")</f>
        <v>0</v>
      </c>
      <c r="AV550" s="461" t="s">
        <v>1092</v>
      </c>
      <c r="AW550" s="463"/>
    </row>
    <row r="551" spans="1:49" s="464" customFormat="1" ht="14.45" customHeight="1" x14ac:dyDescent="0.25">
      <c r="A551" s="297">
        <f t="shared" si="8"/>
        <v>37.6</v>
      </c>
      <c r="B551" s="460">
        <v>41608</v>
      </c>
      <c r="C551" s="461" t="s">
        <v>905</v>
      </c>
      <c r="D551" s="461" t="s">
        <v>1002</v>
      </c>
      <c r="E551" s="461" t="s">
        <v>380</v>
      </c>
      <c r="F551" s="290" t="s">
        <v>185</v>
      </c>
      <c r="G551" s="290" t="s">
        <v>215</v>
      </c>
      <c r="H551" s="291"/>
      <c r="I551" s="291"/>
      <c r="J551" s="291"/>
      <c r="K551" s="291"/>
      <c r="L551" s="292"/>
      <c r="M551" s="292"/>
      <c r="N551" s="292"/>
      <c r="O551" s="292"/>
      <c r="P551" s="294"/>
      <c r="Q551" s="294"/>
      <c r="R551" s="294"/>
      <c r="S551" s="294"/>
      <c r="T551" s="294"/>
      <c r="U551" s="294"/>
      <c r="V551" s="431"/>
      <c r="W551" s="294"/>
      <c r="X551" s="294"/>
      <c r="Y551" s="294">
        <f>IF(NFI_Expiration=1,IF($A551&lt;VLOOKUP(H$5,NFI,5,0),1,0)*Table_NFI[[#This Row],[Hygiene Kit]],Table_NFI[Hygiene Kit])</f>
        <v>0</v>
      </c>
      <c r="Z551" s="294">
        <f>IF(NFI_Expiration=1,IF($A551&lt;VLOOKUP(I$5,NFI,5,0),1,0)*Table_NFI[[#This Row],[NFI Core Kit]],Table_NFI[NFI Core Kit])</f>
        <v>0</v>
      </c>
      <c r="AA551" s="294">
        <f>IF(NFI_Expiration=1,IF($A551&lt;VLOOKUP(J$5,NFI,5,0),1,0)*Table_NFI[[#This Row],[Sanitary Kit]],Table_NFI[Sanitary Kit])</f>
        <v>0</v>
      </c>
      <c r="AB551" s="294">
        <f>IF(NFI_Expiration=1,IF($A551&lt;VLOOKUP(K$5,NFI,5,0),1,0)*Table_NFI[[#This Row],[Mosquito net]],Table_NFI[Mosquito net])</f>
        <v>0</v>
      </c>
      <c r="AC551" s="294">
        <f>IF(NFI_Expiration=1,IF($A551&lt;VLOOKUP(L$5,NFI,5,0),1,0)*Table_NFI[[#This Row],[Tarpaulin]],Table_NFI[[#This Row],[Tarpaulin]])</f>
        <v>0</v>
      </c>
      <c r="AD551" s="294">
        <f>IF(NFI_Expiration=1,IF($A551&lt;VLOOKUP(M$5,NFI,5,0),1,0)*Table_NFI[[#This Row],[Blanket]],Table_NFI[[#This Row],[Blanket]])</f>
        <v>0</v>
      </c>
      <c r="AE551" s="294">
        <f>IF(NFI_Expiration=1,IF($A551&lt;VLOOKUP(N$5,NFI,5,0),1,0)*Table_NFI[[#This Row],[Kitchen Set]],Table_NFI[Kitchen Set])</f>
        <v>0</v>
      </c>
      <c r="AF551" s="294">
        <f>IF(NFI_Expiration=1,IF($A551&lt;VLOOKUP(O$5,NFI,5,0),1,0)*Table_NFI[[#This Row],[Clothes Kit]],Table_NFI[Clothes Kit])</f>
        <v>0</v>
      </c>
      <c r="AG551" s="294">
        <f>IF(NFI_Expiration=1,IF($A551&lt;VLOOKUP(P$5,NFI,5,0),1,0)*Table_NFI[[#This Row],[Plastic Bucket]],Table_NFI[Plastic Bucket])</f>
        <v>0</v>
      </c>
      <c r="AH551" s="294">
        <f>IF(NFI_Expiration=1,IF($A551&lt;VLOOKUP(Q$5,NFI,5,0),1,0)*Table_NFI[[#This Row],[Plastic Mat]],Table_NFI[Plastic Mat])*IF(Table_NFI[[#This Row],[Distribution Date]]&gt;"2014-04-01",1,2.5)</f>
        <v>0</v>
      </c>
      <c r="AI551" s="294">
        <f>IF(NFI_Expiration=1,IF($A551&lt;VLOOKUP(R$5,NFI,5,0),1,0)*Table_NFI[[#This Row],[Winter Clothes Adult]],Table_NFI[Winter Clothes Adult])</f>
        <v>0</v>
      </c>
      <c r="AJ551" s="294">
        <f>IF(NFI_Expiration=1,IF($A551&lt;VLOOKUP(S$5,NFI,5,0),1,0)*Table_NFI[[#This Row],[Winter Clothes Children]],Table_NFI[Winter Clothes Children])</f>
        <v>0</v>
      </c>
      <c r="AK551" s="294">
        <f>IF(NFI_Expiration=1,IF($A551&lt;VLOOKUP(T$5,NFI,5,0),1,0)*Table_NFI[[#This Row],[Winter Items Other]],Table_NFI[Winter Items Other])</f>
        <v>0</v>
      </c>
      <c r="AL551" s="294">
        <f>IF(NFI_Expiration=1,IF($A551&lt;VLOOKUP(M$5,NFI,5,0),1,0)*Table_NFI[[#This Row],[Winter Blanket]],Table_NFI[[#This Row],[Winter Blanket]])</f>
        <v>0</v>
      </c>
      <c r="AM551" s="294">
        <f>IF(Table_NFI[[#This Row],[Winter Clothes Adult]]+Table_NFI[[#This Row],[Winter Clothes Children]]+Table_NFI[[#This Row],[Winter Items Other]]+Table_NFI[[#This Row],[Winter Blanket]]&gt;0,1,0)</f>
        <v>0</v>
      </c>
      <c r="AN551" s="331">
        <f>IF(NFI_Expiration=1,IF($A551&lt;VLOOKUP(V$5,NFI,5,0),1,0)*Table_NFI[[#This Row],[Jerry Can]],Table_NFI[Jerry Can])</f>
        <v>0</v>
      </c>
      <c r="AO551" s="331">
        <f>IF(NFI_Expiration=1,IF($A551&lt;VLOOKUP(V$5,NFI,5,0),1,0)*Table_NFI[[#This Row],[Shelter Tool kit]],Table_NFI[Shelter Tool kit])</f>
        <v>0</v>
      </c>
      <c r="AP551" s="331">
        <f>IF(NFI_Expiration=1,IF($A551&lt;VLOOKUP(V$5,NFI,5,0),1,0)*Table_NFI[[#This Row],[Tent]],Table_NFI[Tent])</f>
        <v>0</v>
      </c>
      <c r="AQ551" s="467" t="str">
        <f>IFERROR(VLOOKUP(Table_NFI[[#This Row],[Camp Name]],CL,2,0),"")</f>
        <v>MMR001CMP131</v>
      </c>
      <c r="AR551" s="835">
        <f ca="1">IF(Table_NFI[[#This Row],[Pcode]]="","",IF(OFFSET(CampList[Opening Date],MATCH(Table_NFI[[#This Row],[Pcode]],CampList[CP_Pcode],0)-1,0,1,1)&gt;=NFI_Monitor_Date,1,0))</f>
        <v>0</v>
      </c>
      <c r="AS551" s="467" t="str">
        <f>IFERROR(VLOOKUP(Table_NFI[[#This Row],[Camp Name]],CL,3,0),"")</f>
        <v>Open</v>
      </c>
      <c r="AT551" s="294" t="str">
        <f ca="1">IF(Table_NFI[[#This Row],[Pcode]]="","",OFFSET(CampList[Priority],MATCH(Table_NFI[[#This Row],[Pcode]],CampList[CP_Pcode],0)-1,0,1,1))</f>
        <v>P1</v>
      </c>
      <c r="AU551" s="293">
        <f>IFERROR(Table_NFI[[#This Row],[Kitchen Set]]/VLOOKUP(Table_NFI[[#This Row],[Camp Name]],CL,4,0),"")</f>
        <v>0</v>
      </c>
      <c r="AV551" s="461" t="s">
        <v>1092</v>
      </c>
      <c r="AW551" s="463"/>
    </row>
    <row r="552" spans="1:49" s="464" customFormat="1" ht="14.45" customHeight="1" x14ac:dyDescent="0.25">
      <c r="A552" s="297">
        <f t="shared" si="8"/>
        <v>37.6</v>
      </c>
      <c r="B552" s="460">
        <v>41608</v>
      </c>
      <c r="C552" s="461" t="s">
        <v>905</v>
      </c>
      <c r="D552" s="461"/>
      <c r="E552" s="461" t="s">
        <v>380</v>
      </c>
      <c r="F552" s="290" t="s">
        <v>185</v>
      </c>
      <c r="G552" s="290" t="s">
        <v>229</v>
      </c>
      <c r="H552" s="291"/>
      <c r="I552" s="291"/>
      <c r="J552" s="291"/>
      <c r="K552" s="291"/>
      <c r="L552" s="292"/>
      <c r="M552" s="292"/>
      <c r="N552" s="292"/>
      <c r="O552" s="292"/>
      <c r="P552" s="294"/>
      <c r="Q552" s="294">
        <v>135</v>
      </c>
      <c r="R552" s="294"/>
      <c r="S552" s="294"/>
      <c r="T552" s="294"/>
      <c r="U552" s="294"/>
      <c r="V552" s="431"/>
      <c r="W552" s="294"/>
      <c r="X552" s="294"/>
      <c r="Y552" s="294">
        <f>IF(NFI_Expiration=1,IF($A552&lt;VLOOKUP(H$5,NFI,5,0),1,0)*Table_NFI[[#This Row],[Hygiene Kit]],Table_NFI[Hygiene Kit])</f>
        <v>0</v>
      </c>
      <c r="Z552" s="294">
        <f>IF(NFI_Expiration=1,IF($A552&lt;VLOOKUP(I$5,NFI,5,0),1,0)*Table_NFI[[#This Row],[NFI Core Kit]],Table_NFI[NFI Core Kit])</f>
        <v>0</v>
      </c>
      <c r="AA552" s="294">
        <f>IF(NFI_Expiration=1,IF($A552&lt;VLOOKUP(J$5,NFI,5,0),1,0)*Table_NFI[[#This Row],[Sanitary Kit]],Table_NFI[Sanitary Kit])</f>
        <v>0</v>
      </c>
      <c r="AB552" s="294">
        <f>IF(NFI_Expiration=1,IF($A552&lt;VLOOKUP(K$5,NFI,5,0),1,0)*Table_NFI[[#This Row],[Mosquito net]],Table_NFI[Mosquito net])</f>
        <v>0</v>
      </c>
      <c r="AC552" s="294">
        <f>IF(NFI_Expiration=1,IF($A552&lt;VLOOKUP(L$5,NFI,5,0),1,0)*Table_NFI[[#This Row],[Tarpaulin]],Table_NFI[[#This Row],[Tarpaulin]])</f>
        <v>0</v>
      </c>
      <c r="AD552" s="294">
        <f>IF(NFI_Expiration=1,IF($A552&lt;VLOOKUP(M$5,NFI,5,0),1,0)*Table_NFI[[#This Row],[Blanket]],Table_NFI[[#This Row],[Blanket]])</f>
        <v>0</v>
      </c>
      <c r="AE552" s="294">
        <f>IF(NFI_Expiration=1,IF($A552&lt;VLOOKUP(N$5,NFI,5,0),1,0)*Table_NFI[[#This Row],[Kitchen Set]],Table_NFI[Kitchen Set])</f>
        <v>0</v>
      </c>
      <c r="AF552" s="294">
        <f>IF(NFI_Expiration=1,IF($A552&lt;VLOOKUP(O$5,NFI,5,0),1,0)*Table_NFI[[#This Row],[Clothes Kit]],Table_NFI[Clothes Kit])</f>
        <v>0</v>
      </c>
      <c r="AG552" s="294">
        <f>IF(NFI_Expiration=1,IF($A552&lt;VLOOKUP(P$5,NFI,5,0),1,0)*Table_NFI[[#This Row],[Plastic Bucket]],Table_NFI[Plastic Bucket])</f>
        <v>0</v>
      </c>
      <c r="AH552" s="294">
        <f>IF(NFI_Expiration=1,IF($A552&lt;VLOOKUP(Q$5,NFI,5,0),1,0)*Table_NFI[[#This Row],[Plastic Mat]],Table_NFI[Plastic Mat])*IF(Table_NFI[[#This Row],[Distribution Date]]&gt;"2014-04-01",1,2.5)</f>
        <v>0</v>
      </c>
      <c r="AI552" s="294">
        <f>IF(NFI_Expiration=1,IF($A552&lt;VLOOKUP(R$5,NFI,5,0),1,0)*Table_NFI[[#This Row],[Winter Clothes Adult]],Table_NFI[Winter Clothes Adult])</f>
        <v>0</v>
      </c>
      <c r="AJ552" s="294">
        <f>IF(NFI_Expiration=1,IF($A552&lt;VLOOKUP(S$5,NFI,5,0),1,0)*Table_NFI[[#This Row],[Winter Clothes Children]],Table_NFI[Winter Clothes Children])</f>
        <v>0</v>
      </c>
      <c r="AK552" s="294">
        <f>IF(NFI_Expiration=1,IF($A552&lt;VLOOKUP(T$5,NFI,5,0),1,0)*Table_NFI[[#This Row],[Winter Items Other]],Table_NFI[Winter Items Other])</f>
        <v>0</v>
      </c>
      <c r="AL552" s="294">
        <f>IF(NFI_Expiration=1,IF($A552&lt;VLOOKUP(M$5,NFI,5,0),1,0)*Table_NFI[[#This Row],[Winter Blanket]],Table_NFI[[#This Row],[Winter Blanket]])</f>
        <v>0</v>
      </c>
      <c r="AM552" s="294">
        <f>IF(Table_NFI[[#This Row],[Winter Clothes Adult]]+Table_NFI[[#This Row],[Winter Clothes Children]]+Table_NFI[[#This Row],[Winter Items Other]]+Table_NFI[[#This Row],[Winter Blanket]]&gt;0,1,0)</f>
        <v>0</v>
      </c>
      <c r="AN552" s="331">
        <f>IF(NFI_Expiration=1,IF($A552&lt;VLOOKUP(V$5,NFI,5,0),1,0)*Table_NFI[[#This Row],[Jerry Can]],Table_NFI[Jerry Can])</f>
        <v>0</v>
      </c>
      <c r="AO552" s="331">
        <f>IF(NFI_Expiration=1,IF($A552&lt;VLOOKUP(V$5,NFI,5,0),1,0)*Table_NFI[[#This Row],[Shelter Tool kit]],Table_NFI[Shelter Tool kit])</f>
        <v>0</v>
      </c>
      <c r="AP552" s="331">
        <f>IF(NFI_Expiration=1,IF($A552&lt;VLOOKUP(V$5,NFI,5,0),1,0)*Table_NFI[[#This Row],[Tent]],Table_NFI[Tent])</f>
        <v>0</v>
      </c>
      <c r="AQ552" s="467" t="str">
        <f>IFERROR(VLOOKUP(Table_NFI[[#This Row],[Camp Name]],CL,2,0),"")</f>
        <v>MMR001CMP072</v>
      </c>
      <c r="AR552" s="835">
        <f ca="1">IF(Table_NFI[[#This Row],[Pcode]]="","",IF(OFFSET(CampList[Opening Date],MATCH(Table_NFI[[#This Row],[Pcode]],CampList[CP_Pcode],0)-1,0,1,1)&gt;=NFI_Monitor_Date,1,0))</f>
        <v>0</v>
      </c>
      <c r="AS552" s="467" t="str">
        <f>IFERROR(VLOOKUP(Table_NFI[[#This Row],[Camp Name]],CL,3,0),"")</f>
        <v>Open</v>
      </c>
      <c r="AT552" s="294" t="str">
        <f ca="1">IF(Table_NFI[[#This Row],[Pcode]]="","",OFFSET(CampList[Priority],MATCH(Table_NFI[[#This Row],[Pcode]],CampList[CP_Pcode],0)-1,0,1,1))</f>
        <v>P3</v>
      </c>
      <c r="AU552" s="293">
        <f>IFERROR(Table_NFI[[#This Row],[Kitchen Set]]/VLOOKUP(Table_NFI[[#This Row],[Camp Name]],CL,4,0),"")</f>
        <v>0</v>
      </c>
      <c r="AV552" s="461" t="s">
        <v>1092</v>
      </c>
      <c r="AW552" s="463"/>
    </row>
    <row r="553" spans="1:49" s="464" customFormat="1" ht="14.45" customHeight="1" x14ac:dyDescent="0.25">
      <c r="A553" s="297">
        <f t="shared" si="8"/>
        <v>37.6</v>
      </c>
      <c r="B553" s="460">
        <v>41608</v>
      </c>
      <c r="C553" s="461" t="s">
        <v>905</v>
      </c>
      <c r="D553" s="461" t="s">
        <v>1002</v>
      </c>
      <c r="E553" s="461" t="s">
        <v>380</v>
      </c>
      <c r="F553" s="290" t="s">
        <v>185</v>
      </c>
      <c r="G553" s="290" t="s">
        <v>219</v>
      </c>
      <c r="H553" s="291"/>
      <c r="I553" s="291"/>
      <c r="J553" s="291"/>
      <c r="K553" s="291"/>
      <c r="L553" s="292"/>
      <c r="M553" s="292"/>
      <c r="N553" s="292"/>
      <c r="O553" s="292"/>
      <c r="P553" s="294"/>
      <c r="Q553" s="294"/>
      <c r="R553" s="294"/>
      <c r="S553" s="294"/>
      <c r="T553" s="294"/>
      <c r="U553" s="294"/>
      <c r="V553" s="431"/>
      <c r="W553" s="294"/>
      <c r="X553" s="294"/>
      <c r="Y553" s="294">
        <f>IF(NFI_Expiration=1,IF($A553&lt;VLOOKUP(H$5,NFI,5,0),1,0)*Table_NFI[[#This Row],[Hygiene Kit]],Table_NFI[Hygiene Kit])</f>
        <v>0</v>
      </c>
      <c r="Z553" s="294">
        <f>IF(NFI_Expiration=1,IF($A553&lt;VLOOKUP(I$5,NFI,5,0),1,0)*Table_NFI[[#This Row],[NFI Core Kit]],Table_NFI[NFI Core Kit])</f>
        <v>0</v>
      </c>
      <c r="AA553" s="294">
        <f>IF(NFI_Expiration=1,IF($A553&lt;VLOOKUP(J$5,NFI,5,0),1,0)*Table_NFI[[#This Row],[Sanitary Kit]],Table_NFI[Sanitary Kit])</f>
        <v>0</v>
      </c>
      <c r="AB553" s="294">
        <f>IF(NFI_Expiration=1,IF($A553&lt;VLOOKUP(K$5,NFI,5,0),1,0)*Table_NFI[[#This Row],[Mosquito net]],Table_NFI[Mosquito net])</f>
        <v>0</v>
      </c>
      <c r="AC553" s="294">
        <f>IF(NFI_Expiration=1,IF($A553&lt;VLOOKUP(L$5,NFI,5,0),1,0)*Table_NFI[[#This Row],[Tarpaulin]],Table_NFI[[#This Row],[Tarpaulin]])</f>
        <v>0</v>
      </c>
      <c r="AD553" s="294">
        <f>IF(NFI_Expiration=1,IF($A553&lt;VLOOKUP(M$5,NFI,5,0),1,0)*Table_NFI[[#This Row],[Blanket]],Table_NFI[[#This Row],[Blanket]])</f>
        <v>0</v>
      </c>
      <c r="AE553" s="294">
        <f>IF(NFI_Expiration=1,IF($A553&lt;VLOOKUP(N$5,NFI,5,0),1,0)*Table_NFI[[#This Row],[Kitchen Set]],Table_NFI[Kitchen Set])</f>
        <v>0</v>
      </c>
      <c r="AF553" s="294">
        <f>IF(NFI_Expiration=1,IF($A553&lt;VLOOKUP(O$5,NFI,5,0),1,0)*Table_NFI[[#This Row],[Clothes Kit]],Table_NFI[Clothes Kit])</f>
        <v>0</v>
      </c>
      <c r="AG553" s="294">
        <f>IF(NFI_Expiration=1,IF($A553&lt;VLOOKUP(P$5,NFI,5,0),1,0)*Table_NFI[[#This Row],[Plastic Bucket]],Table_NFI[Plastic Bucket])</f>
        <v>0</v>
      </c>
      <c r="AH553" s="294">
        <f>IF(NFI_Expiration=1,IF($A553&lt;VLOOKUP(Q$5,NFI,5,0),1,0)*Table_NFI[[#This Row],[Plastic Mat]],Table_NFI[Plastic Mat])*IF(Table_NFI[[#This Row],[Distribution Date]]&gt;"2014-04-01",1,2.5)</f>
        <v>0</v>
      </c>
      <c r="AI553" s="294">
        <f>IF(NFI_Expiration=1,IF($A553&lt;VLOOKUP(R$5,NFI,5,0),1,0)*Table_NFI[[#This Row],[Winter Clothes Adult]],Table_NFI[Winter Clothes Adult])</f>
        <v>0</v>
      </c>
      <c r="AJ553" s="294">
        <f>IF(NFI_Expiration=1,IF($A553&lt;VLOOKUP(S$5,NFI,5,0),1,0)*Table_NFI[[#This Row],[Winter Clothes Children]],Table_NFI[Winter Clothes Children])</f>
        <v>0</v>
      </c>
      <c r="AK553" s="294">
        <f>IF(NFI_Expiration=1,IF($A553&lt;VLOOKUP(T$5,NFI,5,0),1,0)*Table_NFI[[#This Row],[Winter Items Other]],Table_NFI[Winter Items Other])</f>
        <v>0</v>
      </c>
      <c r="AL553" s="294">
        <f>IF(NFI_Expiration=1,IF($A553&lt;VLOOKUP(M$5,NFI,5,0),1,0)*Table_NFI[[#This Row],[Winter Blanket]],Table_NFI[[#This Row],[Winter Blanket]])</f>
        <v>0</v>
      </c>
      <c r="AM553" s="294">
        <f>IF(Table_NFI[[#This Row],[Winter Clothes Adult]]+Table_NFI[[#This Row],[Winter Clothes Children]]+Table_NFI[[#This Row],[Winter Items Other]]+Table_NFI[[#This Row],[Winter Blanket]]&gt;0,1,0)</f>
        <v>0</v>
      </c>
      <c r="AN553" s="331">
        <f>IF(NFI_Expiration=1,IF($A553&lt;VLOOKUP(V$5,NFI,5,0),1,0)*Table_NFI[[#This Row],[Jerry Can]],Table_NFI[Jerry Can])</f>
        <v>0</v>
      </c>
      <c r="AO553" s="331">
        <f>IF(NFI_Expiration=1,IF($A553&lt;VLOOKUP(V$5,NFI,5,0),1,0)*Table_NFI[[#This Row],[Shelter Tool kit]],Table_NFI[Shelter Tool kit])</f>
        <v>0</v>
      </c>
      <c r="AP553" s="331">
        <f>IF(NFI_Expiration=1,IF($A553&lt;VLOOKUP(V$5,NFI,5,0),1,0)*Table_NFI[[#This Row],[Tent]],Table_NFI[Tent])</f>
        <v>0</v>
      </c>
      <c r="AQ553" s="467" t="str">
        <f>IFERROR(VLOOKUP(Table_NFI[[#This Row],[Camp Name]],CL,2,0),"")</f>
        <v>MMR001CMP126</v>
      </c>
      <c r="AR553" s="835">
        <f ca="1">IF(Table_NFI[[#This Row],[Pcode]]="","",IF(OFFSET(CampList[Opening Date],MATCH(Table_NFI[[#This Row],[Pcode]],CampList[CP_Pcode],0)-1,0,1,1)&gt;=NFI_Monitor_Date,1,0))</f>
        <v>0</v>
      </c>
      <c r="AS553" s="467" t="str">
        <f>IFERROR(VLOOKUP(Table_NFI[[#This Row],[Camp Name]],CL,3,0),"")</f>
        <v>Open</v>
      </c>
      <c r="AT553" s="294" t="str">
        <f ca="1">IF(Table_NFI[[#This Row],[Pcode]]="","",OFFSET(CampList[Priority],MATCH(Table_NFI[[#This Row],[Pcode]],CampList[CP_Pcode],0)-1,0,1,1))</f>
        <v>P2</v>
      </c>
      <c r="AU553" s="293">
        <f>IFERROR(Table_NFI[[#This Row],[Kitchen Set]]/VLOOKUP(Table_NFI[[#This Row],[Camp Name]],CL,4,0),"")</f>
        <v>0</v>
      </c>
      <c r="AV553" s="461" t="s">
        <v>1092</v>
      </c>
      <c r="AW553" s="463"/>
    </row>
    <row r="554" spans="1:49" s="464" customFormat="1" ht="14.45" customHeight="1" x14ac:dyDescent="0.25">
      <c r="A554" s="297">
        <f t="shared" si="8"/>
        <v>37.6</v>
      </c>
      <c r="B554" s="460">
        <v>41608</v>
      </c>
      <c r="C554" s="461" t="s">
        <v>452</v>
      </c>
      <c r="D554" s="462" t="s">
        <v>452</v>
      </c>
      <c r="E554" s="461" t="s">
        <v>380</v>
      </c>
      <c r="F554" s="290" t="s">
        <v>185</v>
      </c>
      <c r="G554" s="290" t="s">
        <v>219</v>
      </c>
      <c r="H554" s="291"/>
      <c r="I554" s="291"/>
      <c r="J554" s="291"/>
      <c r="K554" s="291"/>
      <c r="L554" s="292"/>
      <c r="M554" s="292"/>
      <c r="N554" s="292"/>
      <c r="O554" s="292"/>
      <c r="P554" s="294"/>
      <c r="Q554" s="294"/>
      <c r="R554" s="294"/>
      <c r="S554" s="294"/>
      <c r="T554" s="294"/>
      <c r="U554" s="294"/>
      <c r="V554" s="431"/>
      <c r="W554" s="294"/>
      <c r="X554" s="294"/>
      <c r="Y554" s="294">
        <f>IF(NFI_Expiration=1,IF($A554&lt;VLOOKUP(H$5,NFI,5,0),1,0)*Table_NFI[[#This Row],[Hygiene Kit]],Table_NFI[Hygiene Kit])</f>
        <v>0</v>
      </c>
      <c r="Z554" s="294">
        <f>IF(NFI_Expiration=1,IF($A554&lt;VLOOKUP(I$5,NFI,5,0),1,0)*Table_NFI[[#This Row],[NFI Core Kit]],Table_NFI[NFI Core Kit])</f>
        <v>0</v>
      </c>
      <c r="AA554" s="294">
        <f>IF(NFI_Expiration=1,IF($A554&lt;VLOOKUP(J$5,NFI,5,0),1,0)*Table_NFI[[#This Row],[Sanitary Kit]],Table_NFI[Sanitary Kit])</f>
        <v>0</v>
      </c>
      <c r="AB554" s="294">
        <f>IF(NFI_Expiration=1,IF($A554&lt;VLOOKUP(K$5,NFI,5,0),1,0)*Table_NFI[[#This Row],[Mosquito net]],Table_NFI[Mosquito net])</f>
        <v>0</v>
      </c>
      <c r="AC554" s="294">
        <f>IF(NFI_Expiration=1,IF($A554&lt;VLOOKUP(L$5,NFI,5,0),1,0)*Table_NFI[[#This Row],[Tarpaulin]],Table_NFI[[#This Row],[Tarpaulin]])</f>
        <v>0</v>
      </c>
      <c r="AD554" s="294">
        <f>IF(NFI_Expiration=1,IF($A554&lt;VLOOKUP(M$5,NFI,5,0),1,0)*Table_NFI[[#This Row],[Blanket]],Table_NFI[[#This Row],[Blanket]])</f>
        <v>0</v>
      </c>
      <c r="AE554" s="294">
        <f>IF(NFI_Expiration=1,IF($A554&lt;VLOOKUP(N$5,NFI,5,0),1,0)*Table_NFI[[#This Row],[Kitchen Set]],Table_NFI[Kitchen Set])</f>
        <v>0</v>
      </c>
      <c r="AF554" s="294">
        <f>IF(NFI_Expiration=1,IF($A554&lt;VLOOKUP(O$5,NFI,5,0),1,0)*Table_NFI[[#This Row],[Clothes Kit]],Table_NFI[Clothes Kit])</f>
        <v>0</v>
      </c>
      <c r="AG554" s="294">
        <f>IF(NFI_Expiration=1,IF($A554&lt;VLOOKUP(P$5,NFI,5,0),1,0)*Table_NFI[[#This Row],[Plastic Bucket]],Table_NFI[Plastic Bucket])</f>
        <v>0</v>
      </c>
      <c r="AH554" s="294">
        <f>IF(NFI_Expiration=1,IF($A554&lt;VLOOKUP(Q$5,NFI,5,0),1,0)*Table_NFI[[#This Row],[Plastic Mat]],Table_NFI[Plastic Mat])*IF(Table_NFI[[#This Row],[Distribution Date]]&gt;"2014-04-01",1,2.5)</f>
        <v>0</v>
      </c>
      <c r="AI554" s="294">
        <f>IF(NFI_Expiration=1,IF($A554&lt;VLOOKUP(R$5,NFI,5,0),1,0)*Table_NFI[[#This Row],[Winter Clothes Adult]],Table_NFI[Winter Clothes Adult])</f>
        <v>0</v>
      </c>
      <c r="AJ554" s="294">
        <f>IF(NFI_Expiration=1,IF($A554&lt;VLOOKUP(S$5,NFI,5,0),1,0)*Table_NFI[[#This Row],[Winter Clothes Children]],Table_NFI[Winter Clothes Children])</f>
        <v>0</v>
      </c>
      <c r="AK554" s="294">
        <f>IF(NFI_Expiration=1,IF($A554&lt;VLOOKUP(T$5,NFI,5,0),1,0)*Table_NFI[[#This Row],[Winter Items Other]],Table_NFI[Winter Items Other])</f>
        <v>0</v>
      </c>
      <c r="AL554" s="294">
        <f>IF(NFI_Expiration=1,IF($A554&lt;VLOOKUP(M$5,NFI,5,0),1,0)*Table_NFI[[#This Row],[Winter Blanket]],Table_NFI[[#This Row],[Winter Blanket]])</f>
        <v>0</v>
      </c>
      <c r="AM554" s="294">
        <f>IF(Table_NFI[[#This Row],[Winter Clothes Adult]]+Table_NFI[[#This Row],[Winter Clothes Children]]+Table_NFI[[#This Row],[Winter Items Other]]+Table_NFI[[#This Row],[Winter Blanket]]&gt;0,1,0)</f>
        <v>0</v>
      </c>
      <c r="AN554" s="331">
        <f>IF(NFI_Expiration=1,IF($A554&lt;VLOOKUP(V$5,NFI,5,0),1,0)*Table_NFI[[#This Row],[Jerry Can]],Table_NFI[Jerry Can])</f>
        <v>0</v>
      </c>
      <c r="AO554" s="331">
        <f>IF(NFI_Expiration=1,IF($A554&lt;VLOOKUP(V$5,NFI,5,0),1,0)*Table_NFI[[#This Row],[Shelter Tool kit]],Table_NFI[Shelter Tool kit])</f>
        <v>0</v>
      </c>
      <c r="AP554" s="331">
        <f>IF(NFI_Expiration=1,IF($A554&lt;VLOOKUP(V$5,NFI,5,0),1,0)*Table_NFI[[#This Row],[Tent]],Table_NFI[Tent])</f>
        <v>0</v>
      </c>
      <c r="AQ554" s="467" t="str">
        <f>IFERROR(VLOOKUP(Table_NFI[[#This Row],[Camp Name]],CL,2,0),"")</f>
        <v>MMR001CMP126</v>
      </c>
      <c r="AR554" s="835">
        <f ca="1">IF(Table_NFI[[#This Row],[Pcode]]="","",IF(OFFSET(CampList[Opening Date],MATCH(Table_NFI[[#This Row],[Pcode]],CampList[CP_Pcode],0)-1,0,1,1)&gt;=NFI_Monitor_Date,1,0))</f>
        <v>0</v>
      </c>
      <c r="AS554" s="467" t="str">
        <f>IFERROR(VLOOKUP(Table_NFI[[#This Row],[Camp Name]],CL,3,0),"")</f>
        <v>Open</v>
      </c>
      <c r="AT554" s="294" t="str">
        <f ca="1">IF(Table_NFI[[#This Row],[Pcode]]="","",OFFSET(CampList[Priority],MATCH(Table_NFI[[#This Row],[Pcode]],CampList[CP_Pcode],0)-1,0,1,1))</f>
        <v>P2</v>
      </c>
      <c r="AU554" s="293">
        <f>IFERROR(Table_NFI[[#This Row],[Kitchen Set]]/VLOOKUP(Table_NFI[[#This Row],[Camp Name]],CL,4,0),"")</f>
        <v>0</v>
      </c>
      <c r="AV554" s="461" t="s">
        <v>1092</v>
      </c>
      <c r="AW554" s="463"/>
    </row>
    <row r="555" spans="1:49" s="464" customFormat="1" ht="14.45" customHeight="1" x14ac:dyDescent="0.25">
      <c r="A555" s="297">
        <f t="shared" si="8"/>
        <v>37.6</v>
      </c>
      <c r="B555" s="460">
        <v>41608</v>
      </c>
      <c r="C555" s="461" t="s">
        <v>905</v>
      </c>
      <c r="D555" s="462" t="s">
        <v>460</v>
      </c>
      <c r="E555" s="461" t="s">
        <v>380</v>
      </c>
      <c r="F555" s="290" t="s">
        <v>310</v>
      </c>
      <c r="G555" s="290" t="s">
        <v>1243</v>
      </c>
      <c r="H555" s="291"/>
      <c r="I555" s="291"/>
      <c r="J555" s="291"/>
      <c r="K555" s="291"/>
      <c r="L555" s="292"/>
      <c r="M555" s="292"/>
      <c r="N555" s="292"/>
      <c r="O555" s="292"/>
      <c r="P555" s="294"/>
      <c r="Q555" s="294"/>
      <c r="R555" s="294"/>
      <c r="S555" s="294"/>
      <c r="T555" s="294"/>
      <c r="U555" s="294"/>
      <c r="V555" s="431"/>
      <c r="W555" s="294"/>
      <c r="X555" s="294"/>
      <c r="Y555" s="294">
        <f>IF(NFI_Expiration=1,IF($A555&lt;VLOOKUP(H$5,NFI,5,0),1,0)*Table_NFI[[#This Row],[Hygiene Kit]],Table_NFI[Hygiene Kit])</f>
        <v>0</v>
      </c>
      <c r="Z555" s="294">
        <f>IF(NFI_Expiration=1,IF($A555&lt;VLOOKUP(I$5,NFI,5,0),1,0)*Table_NFI[[#This Row],[NFI Core Kit]],Table_NFI[NFI Core Kit])</f>
        <v>0</v>
      </c>
      <c r="AA555" s="294">
        <f>IF(NFI_Expiration=1,IF($A555&lt;VLOOKUP(J$5,NFI,5,0),1,0)*Table_NFI[[#This Row],[Sanitary Kit]],Table_NFI[Sanitary Kit])</f>
        <v>0</v>
      </c>
      <c r="AB555" s="294">
        <f>IF(NFI_Expiration=1,IF($A555&lt;VLOOKUP(K$5,NFI,5,0),1,0)*Table_NFI[[#This Row],[Mosquito net]],Table_NFI[Mosquito net])</f>
        <v>0</v>
      </c>
      <c r="AC555" s="294">
        <f>IF(NFI_Expiration=1,IF($A555&lt;VLOOKUP(L$5,NFI,5,0),1,0)*Table_NFI[[#This Row],[Tarpaulin]],Table_NFI[[#This Row],[Tarpaulin]])</f>
        <v>0</v>
      </c>
      <c r="AD555" s="294">
        <f>IF(NFI_Expiration=1,IF($A555&lt;VLOOKUP(M$5,NFI,5,0),1,0)*Table_NFI[[#This Row],[Blanket]],Table_NFI[[#This Row],[Blanket]])</f>
        <v>0</v>
      </c>
      <c r="AE555" s="294">
        <f>IF(NFI_Expiration=1,IF($A555&lt;VLOOKUP(N$5,NFI,5,0),1,0)*Table_NFI[[#This Row],[Kitchen Set]],Table_NFI[Kitchen Set])</f>
        <v>0</v>
      </c>
      <c r="AF555" s="294">
        <f>IF(NFI_Expiration=1,IF($A555&lt;VLOOKUP(O$5,NFI,5,0),1,0)*Table_NFI[[#This Row],[Clothes Kit]],Table_NFI[Clothes Kit])</f>
        <v>0</v>
      </c>
      <c r="AG555" s="294">
        <f>IF(NFI_Expiration=1,IF($A555&lt;VLOOKUP(P$5,NFI,5,0),1,0)*Table_NFI[[#This Row],[Plastic Bucket]],Table_NFI[Plastic Bucket])</f>
        <v>0</v>
      </c>
      <c r="AH555" s="294">
        <f>IF(NFI_Expiration=1,IF($A555&lt;VLOOKUP(Q$5,NFI,5,0),1,0)*Table_NFI[[#This Row],[Plastic Mat]],Table_NFI[Plastic Mat])*IF(Table_NFI[[#This Row],[Distribution Date]]&gt;"2014-04-01",1,2.5)</f>
        <v>0</v>
      </c>
      <c r="AI555" s="294">
        <f>IF(NFI_Expiration=1,IF($A555&lt;VLOOKUP(R$5,NFI,5,0),1,0)*Table_NFI[[#This Row],[Winter Clothes Adult]],Table_NFI[Winter Clothes Adult])</f>
        <v>0</v>
      </c>
      <c r="AJ555" s="294">
        <f>IF(NFI_Expiration=1,IF($A555&lt;VLOOKUP(S$5,NFI,5,0),1,0)*Table_NFI[[#This Row],[Winter Clothes Children]],Table_NFI[Winter Clothes Children])</f>
        <v>0</v>
      </c>
      <c r="AK555" s="294">
        <f>IF(NFI_Expiration=1,IF($A555&lt;VLOOKUP(T$5,NFI,5,0),1,0)*Table_NFI[[#This Row],[Winter Items Other]],Table_NFI[Winter Items Other])</f>
        <v>0</v>
      </c>
      <c r="AL555" s="294">
        <f>IF(NFI_Expiration=1,IF($A555&lt;VLOOKUP(M$5,NFI,5,0),1,0)*Table_NFI[[#This Row],[Winter Blanket]],Table_NFI[[#This Row],[Winter Blanket]])</f>
        <v>0</v>
      </c>
      <c r="AM555" s="294">
        <f>IF(Table_NFI[[#This Row],[Winter Clothes Adult]]+Table_NFI[[#This Row],[Winter Clothes Children]]+Table_NFI[[#This Row],[Winter Items Other]]+Table_NFI[[#This Row],[Winter Blanket]]&gt;0,1,0)</f>
        <v>0</v>
      </c>
      <c r="AN555" s="331">
        <f>IF(NFI_Expiration=1,IF($A555&lt;VLOOKUP(V$5,NFI,5,0),1,0)*Table_NFI[[#This Row],[Jerry Can]],Table_NFI[Jerry Can])</f>
        <v>0</v>
      </c>
      <c r="AO555" s="331">
        <f>IF(NFI_Expiration=1,IF($A555&lt;VLOOKUP(V$5,NFI,5,0),1,0)*Table_NFI[[#This Row],[Shelter Tool kit]],Table_NFI[Shelter Tool kit])</f>
        <v>0</v>
      </c>
      <c r="AP555" s="331">
        <f>IF(NFI_Expiration=1,IF($A555&lt;VLOOKUP(V$5,NFI,5,0),1,0)*Table_NFI[[#This Row],[Tent]],Table_NFI[Tent])</f>
        <v>0</v>
      </c>
      <c r="AQ555" s="467" t="str">
        <f>IFERROR(VLOOKUP(Table_NFI[[#This Row],[Camp Name]],CL,2,0),"")</f>
        <v>MMR001CMP120</v>
      </c>
      <c r="AR555" s="835">
        <f ca="1">IF(Table_NFI[[#This Row],[Pcode]]="","",IF(OFFSET(CampList[Opening Date],MATCH(Table_NFI[[#This Row],[Pcode]],CampList[CP_Pcode],0)-1,0,1,1)&gt;=NFI_Monitor_Date,1,0))</f>
        <v>0</v>
      </c>
      <c r="AS555" s="467" t="str">
        <f>IFERROR(VLOOKUP(Table_NFI[[#This Row],[Camp Name]],CL,3,0),"")</f>
        <v>Open</v>
      </c>
      <c r="AT555" s="294" t="str">
        <f ca="1">IF(Table_NFI[[#This Row],[Pcode]]="","",OFFSET(CampList[Priority],MATCH(Table_NFI[[#This Row],[Pcode]],CampList[CP_Pcode],0)-1,0,1,1))</f>
        <v>P1</v>
      </c>
      <c r="AU555" s="293">
        <f>IFERROR(Table_NFI[[#This Row],[Kitchen Set]]/VLOOKUP(Table_NFI[[#This Row],[Camp Name]],CL,4,0),"")</f>
        <v>0</v>
      </c>
      <c r="AV555" s="461" t="s">
        <v>1092</v>
      </c>
      <c r="AW555" s="463"/>
    </row>
    <row r="556" spans="1:49" s="464" customFormat="1" ht="14.45" customHeight="1" x14ac:dyDescent="0.25">
      <c r="A556" s="297">
        <f t="shared" si="8"/>
        <v>37.6</v>
      </c>
      <c r="B556" s="460">
        <v>41608</v>
      </c>
      <c r="C556" s="461" t="s">
        <v>1097</v>
      </c>
      <c r="D556" s="462" t="s">
        <v>944</v>
      </c>
      <c r="E556" s="461" t="s">
        <v>380</v>
      </c>
      <c r="F556" s="290" t="s">
        <v>5</v>
      </c>
      <c r="G556" s="290" t="s">
        <v>366</v>
      </c>
      <c r="H556" s="291"/>
      <c r="I556" s="291"/>
      <c r="J556" s="291"/>
      <c r="K556" s="291"/>
      <c r="L556" s="292"/>
      <c r="M556" s="292">
        <v>320</v>
      </c>
      <c r="N556" s="292"/>
      <c r="O556" s="292"/>
      <c r="P556" s="294"/>
      <c r="Q556" s="294"/>
      <c r="R556" s="294">
        <v>234</v>
      </c>
      <c r="S556" s="294">
        <v>336</v>
      </c>
      <c r="T556" s="294">
        <v>0</v>
      </c>
      <c r="U556" s="294"/>
      <c r="V556" s="431"/>
      <c r="W556" s="294"/>
      <c r="X556" s="294"/>
      <c r="Y556" s="294">
        <f>IF(NFI_Expiration=1,IF($A556&lt;VLOOKUP(H$5,NFI,5,0),1,0)*Table_NFI[[#This Row],[Hygiene Kit]],Table_NFI[Hygiene Kit])</f>
        <v>0</v>
      </c>
      <c r="Z556" s="294">
        <f>IF(NFI_Expiration=1,IF($A556&lt;VLOOKUP(I$5,NFI,5,0),1,0)*Table_NFI[[#This Row],[NFI Core Kit]],Table_NFI[NFI Core Kit])</f>
        <v>0</v>
      </c>
      <c r="AA556" s="294">
        <f>IF(NFI_Expiration=1,IF($A556&lt;VLOOKUP(J$5,NFI,5,0),1,0)*Table_NFI[[#This Row],[Sanitary Kit]],Table_NFI[Sanitary Kit])</f>
        <v>0</v>
      </c>
      <c r="AB556" s="294">
        <f>IF(NFI_Expiration=1,IF($A556&lt;VLOOKUP(K$5,NFI,5,0),1,0)*Table_NFI[[#This Row],[Mosquito net]],Table_NFI[Mosquito net])</f>
        <v>0</v>
      </c>
      <c r="AC556" s="294">
        <f>IF(NFI_Expiration=1,IF($A556&lt;VLOOKUP(L$5,NFI,5,0),1,0)*Table_NFI[[#This Row],[Tarpaulin]],Table_NFI[[#This Row],[Tarpaulin]])</f>
        <v>0</v>
      </c>
      <c r="AD556" s="294">
        <f>IF(NFI_Expiration=1,IF($A556&lt;VLOOKUP(M$5,NFI,5,0),1,0)*Table_NFI[[#This Row],[Blanket]],Table_NFI[[#This Row],[Blanket]])</f>
        <v>0</v>
      </c>
      <c r="AE556" s="294">
        <f>IF(NFI_Expiration=1,IF($A556&lt;VLOOKUP(N$5,NFI,5,0),1,0)*Table_NFI[[#This Row],[Kitchen Set]],Table_NFI[Kitchen Set])</f>
        <v>0</v>
      </c>
      <c r="AF556" s="294">
        <f>IF(NFI_Expiration=1,IF($A556&lt;VLOOKUP(O$5,NFI,5,0),1,0)*Table_NFI[[#This Row],[Clothes Kit]],Table_NFI[Clothes Kit])</f>
        <v>0</v>
      </c>
      <c r="AG556" s="294">
        <f>IF(NFI_Expiration=1,IF($A556&lt;VLOOKUP(P$5,NFI,5,0),1,0)*Table_NFI[[#This Row],[Plastic Bucket]],Table_NFI[Plastic Bucket])</f>
        <v>0</v>
      </c>
      <c r="AH556" s="294">
        <f>IF(NFI_Expiration=1,IF($A556&lt;VLOOKUP(Q$5,NFI,5,0),1,0)*Table_NFI[[#This Row],[Plastic Mat]],Table_NFI[Plastic Mat])*IF(Table_NFI[[#This Row],[Distribution Date]]&gt;"2014-04-01",1,2.5)</f>
        <v>0</v>
      </c>
      <c r="AI556" s="294">
        <f>IF(NFI_Expiration=1,IF($A556&lt;VLOOKUP(R$5,NFI,5,0),1,0)*Table_NFI[[#This Row],[Winter Clothes Adult]],Table_NFI[Winter Clothes Adult])</f>
        <v>0</v>
      </c>
      <c r="AJ556" s="294">
        <f>IF(NFI_Expiration=1,IF($A556&lt;VLOOKUP(S$5,NFI,5,0),1,0)*Table_NFI[[#This Row],[Winter Clothes Children]],Table_NFI[Winter Clothes Children])</f>
        <v>0</v>
      </c>
      <c r="AK556" s="294">
        <f>IF(NFI_Expiration=1,IF($A556&lt;VLOOKUP(T$5,NFI,5,0),1,0)*Table_NFI[[#This Row],[Winter Items Other]],Table_NFI[Winter Items Other])</f>
        <v>0</v>
      </c>
      <c r="AL556" s="294">
        <f>IF(NFI_Expiration=1,IF($A556&lt;VLOOKUP(M$5,NFI,5,0),1,0)*Table_NFI[[#This Row],[Winter Blanket]],Table_NFI[[#This Row],[Winter Blanket]])</f>
        <v>0</v>
      </c>
      <c r="AM556" s="294">
        <f>IF(Table_NFI[[#This Row],[Winter Clothes Adult]]+Table_NFI[[#This Row],[Winter Clothes Children]]+Table_NFI[[#This Row],[Winter Items Other]]+Table_NFI[[#This Row],[Winter Blanket]]&gt;0,1,0)</f>
        <v>1</v>
      </c>
      <c r="AN556" s="331">
        <f>IF(NFI_Expiration=1,IF($A556&lt;VLOOKUP(V$5,NFI,5,0),1,0)*Table_NFI[[#This Row],[Jerry Can]],Table_NFI[Jerry Can])</f>
        <v>0</v>
      </c>
      <c r="AO556" s="331">
        <f>IF(NFI_Expiration=1,IF($A556&lt;VLOOKUP(V$5,NFI,5,0),1,0)*Table_NFI[[#This Row],[Shelter Tool kit]],Table_NFI[Shelter Tool kit])</f>
        <v>0</v>
      </c>
      <c r="AP556" s="331">
        <f>IF(NFI_Expiration=1,IF($A556&lt;VLOOKUP(V$5,NFI,5,0),1,0)*Table_NFI[[#This Row],[Tent]],Table_NFI[Tent])</f>
        <v>0</v>
      </c>
      <c r="AQ556" s="467" t="str">
        <f>IFERROR(VLOOKUP(Table_NFI[[#This Row],[Camp Name]],CL,2,0),"")</f>
        <v>MMR001CMP193</v>
      </c>
      <c r="AR556" s="835">
        <f ca="1">IF(Table_NFI[[#This Row],[Pcode]]="","",IF(OFFSET(CampList[Opening Date],MATCH(Table_NFI[[#This Row],[Pcode]],CampList[CP_Pcode],0)-1,0,1,1)&gt;=NFI_Monitor_Date,1,0))</f>
        <v>0</v>
      </c>
      <c r="AS556" s="467" t="str">
        <f>IFERROR(VLOOKUP(Table_NFI[[#This Row],[Camp Name]],CL,3,0),"")</f>
        <v>Open</v>
      </c>
      <c r="AT556" s="294" t="str">
        <f ca="1">IF(Table_NFI[[#This Row],[Pcode]]="","",OFFSET(CampList[Priority],MATCH(Table_NFI[[#This Row],[Pcode]],CampList[CP_Pcode],0)-1,0,1,1))</f>
        <v>P4</v>
      </c>
      <c r="AU556" s="293">
        <f>IFERROR(Table_NFI[[#This Row],[Kitchen Set]]/VLOOKUP(Table_NFI[[#This Row],[Camp Name]],CL,4,0),"")</f>
        <v>0</v>
      </c>
      <c r="AV556" s="461" t="s">
        <v>1092</v>
      </c>
      <c r="AW556" s="463"/>
    </row>
    <row r="557" spans="1:49" s="464" customFormat="1" ht="14.45" customHeight="1" x14ac:dyDescent="0.25">
      <c r="A557" s="297">
        <f t="shared" si="8"/>
        <v>37.6</v>
      </c>
      <c r="B557" s="460">
        <v>41608</v>
      </c>
      <c r="C557" s="461" t="s">
        <v>905</v>
      </c>
      <c r="D557" s="461"/>
      <c r="E557" s="461" t="s">
        <v>380</v>
      </c>
      <c r="F557" s="290" t="s">
        <v>5</v>
      </c>
      <c r="G557" s="290" t="s">
        <v>366</v>
      </c>
      <c r="H557" s="291"/>
      <c r="I557" s="291"/>
      <c r="J557" s="291"/>
      <c r="K557" s="291"/>
      <c r="L557" s="292"/>
      <c r="M557" s="292"/>
      <c r="N557" s="292"/>
      <c r="O557" s="292"/>
      <c r="P557" s="294"/>
      <c r="Q557" s="294"/>
      <c r="R557" s="294"/>
      <c r="S557" s="294"/>
      <c r="T557" s="294"/>
      <c r="U557" s="294"/>
      <c r="V557" s="431"/>
      <c r="W557" s="294"/>
      <c r="X557" s="294"/>
      <c r="Y557" s="294">
        <f>IF(NFI_Expiration=1,IF($A557&lt;VLOOKUP(H$5,NFI,5,0),1,0)*Table_NFI[[#This Row],[Hygiene Kit]],Table_NFI[Hygiene Kit])</f>
        <v>0</v>
      </c>
      <c r="Z557" s="294">
        <f>IF(NFI_Expiration=1,IF($A557&lt;VLOOKUP(I$5,NFI,5,0),1,0)*Table_NFI[[#This Row],[NFI Core Kit]],Table_NFI[NFI Core Kit])</f>
        <v>0</v>
      </c>
      <c r="AA557" s="294">
        <f>IF(NFI_Expiration=1,IF($A557&lt;VLOOKUP(J$5,NFI,5,0),1,0)*Table_NFI[[#This Row],[Sanitary Kit]],Table_NFI[Sanitary Kit])</f>
        <v>0</v>
      </c>
      <c r="AB557" s="294">
        <f>IF(NFI_Expiration=1,IF($A557&lt;VLOOKUP(K$5,NFI,5,0),1,0)*Table_NFI[[#This Row],[Mosquito net]],Table_NFI[Mosquito net])</f>
        <v>0</v>
      </c>
      <c r="AC557" s="294">
        <f>IF(NFI_Expiration=1,IF($A557&lt;VLOOKUP(L$5,NFI,5,0),1,0)*Table_NFI[[#This Row],[Tarpaulin]],Table_NFI[[#This Row],[Tarpaulin]])</f>
        <v>0</v>
      </c>
      <c r="AD557" s="294">
        <f>IF(NFI_Expiration=1,IF($A557&lt;VLOOKUP(M$5,NFI,5,0),1,0)*Table_NFI[[#This Row],[Blanket]],Table_NFI[[#This Row],[Blanket]])</f>
        <v>0</v>
      </c>
      <c r="AE557" s="294">
        <f>IF(NFI_Expiration=1,IF($A557&lt;VLOOKUP(N$5,NFI,5,0),1,0)*Table_NFI[[#This Row],[Kitchen Set]],Table_NFI[Kitchen Set])</f>
        <v>0</v>
      </c>
      <c r="AF557" s="294">
        <f>IF(NFI_Expiration=1,IF($A557&lt;VLOOKUP(O$5,NFI,5,0),1,0)*Table_NFI[[#This Row],[Clothes Kit]],Table_NFI[Clothes Kit])</f>
        <v>0</v>
      </c>
      <c r="AG557" s="294">
        <f>IF(NFI_Expiration=1,IF($A557&lt;VLOOKUP(P$5,NFI,5,0),1,0)*Table_NFI[[#This Row],[Plastic Bucket]],Table_NFI[Plastic Bucket])</f>
        <v>0</v>
      </c>
      <c r="AH557" s="294">
        <f>IF(NFI_Expiration=1,IF($A557&lt;VLOOKUP(Q$5,NFI,5,0),1,0)*Table_NFI[[#This Row],[Plastic Mat]],Table_NFI[Plastic Mat])*IF(Table_NFI[[#This Row],[Distribution Date]]&gt;"2014-04-01",1,2.5)</f>
        <v>0</v>
      </c>
      <c r="AI557" s="294">
        <f>IF(NFI_Expiration=1,IF($A557&lt;VLOOKUP(R$5,NFI,5,0),1,0)*Table_NFI[[#This Row],[Winter Clothes Adult]],Table_NFI[Winter Clothes Adult])</f>
        <v>0</v>
      </c>
      <c r="AJ557" s="294">
        <f>IF(NFI_Expiration=1,IF($A557&lt;VLOOKUP(S$5,NFI,5,0),1,0)*Table_NFI[[#This Row],[Winter Clothes Children]],Table_NFI[Winter Clothes Children])</f>
        <v>0</v>
      </c>
      <c r="AK557" s="294">
        <f>IF(NFI_Expiration=1,IF($A557&lt;VLOOKUP(T$5,NFI,5,0),1,0)*Table_NFI[[#This Row],[Winter Items Other]],Table_NFI[Winter Items Other])</f>
        <v>0</v>
      </c>
      <c r="AL557" s="294">
        <f>IF(NFI_Expiration=1,IF($A557&lt;VLOOKUP(M$5,NFI,5,0),1,0)*Table_NFI[[#This Row],[Winter Blanket]],Table_NFI[[#This Row],[Winter Blanket]])</f>
        <v>0</v>
      </c>
      <c r="AM557" s="294">
        <f>IF(Table_NFI[[#This Row],[Winter Clothes Adult]]+Table_NFI[[#This Row],[Winter Clothes Children]]+Table_NFI[[#This Row],[Winter Items Other]]+Table_NFI[[#This Row],[Winter Blanket]]&gt;0,1,0)</f>
        <v>0</v>
      </c>
      <c r="AN557" s="331">
        <f>IF(NFI_Expiration=1,IF($A557&lt;VLOOKUP(V$5,NFI,5,0),1,0)*Table_NFI[[#This Row],[Jerry Can]],Table_NFI[Jerry Can])</f>
        <v>0</v>
      </c>
      <c r="AO557" s="331">
        <f>IF(NFI_Expiration=1,IF($A557&lt;VLOOKUP(V$5,NFI,5,0),1,0)*Table_NFI[[#This Row],[Shelter Tool kit]],Table_NFI[Shelter Tool kit])</f>
        <v>0</v>
      </c>
      <c r="AP557" s="331">
        <f>IF(NFI_Expiration=1,IF($A557&lt;VLOOKUP(V$5,NFI,5,0),1,0)*Table_NFI[[#This Row],[Tent]],Table_NFI[Tent])</f>
        <v>0</v>
      </c>
      <c r="AQ557" s="467" t="str">
        <f>IFERROR(VLOOKUP(Table_NFI[[#This Row],[Camp Name]],CL,2,0),"")</f>
        <v>MMR001CMP193</v>
      </c>
      <c r="AR557" s="835">
        <f ca="1">IF(Table_NFI[[#This Row],[Pcode]]="","",IF(OFFSET(CampList[Opening Date],MATCH(Table_NFI[[#This Row],[Pcode]],CampList[CP_Pcode],0)-1,0,1,1)&gt;=NFI_Monitor_Date,1,0))</f>
        <v>0</v>
      </c>
      <c r="AS557" s="467" t="str">
        <f>IFERROR(VLOOKUP(Table_NFI[[#This Row],[Camp Name]],CL,3,0),"")</f>
        <v>Open</v>
      </c>
      <c r="AT557" s="294" t="str">
        <f ca="1">IF(Table_NFI[[#This Row],[Pcode]]="","",OFFSET(CampList[Priority],MATCH(Table_NFI[[#This Row],[Pcode]],CampList[CP_Pcode],0)-1,0,1,1))</f>
        <v>P4</v>
      </c>
      <c r="AU557" s="293">
        <f>IFERROR(Table_NFI[[#This Row],[Kitchen Set]]/VLOOKUP(Table_NFI[[#This Row],[Camp Name]],CL,4,0),"")</f>
        <v>0</v>
      </c>
      <c r="AV557" s="461" t="s">
        <v>1092</v>
      </c>
      <c r="AW557" s="463"/>
    </row>
    <row r="558" spans="1:49" s="464" customFormat="1" ht="14.45" customHeight="1" x14ac:dyDescent="0.25">
      <c r="A558" s="297">
        <f t="shared" si="8"/>
        <v>37.6</v>
      </c>
      <c r="B558" s="460">
        <v>41608</v>
      </c>
      <c r="C558" s="461" t="s">
        <v>905</v>
      </c>
      <c r="D558" s="462" t="s">
        <v>460</v>
      </c>
      <c r="E558" s="461" t="s">
        <v>380</v>
      </c>
      <c r="F558" s="290" t="s">
        <v>310</v>
      </c>
      <c r="G558" s="290" t="s">
        <v>355</v>
      </c>
      <c r="H558" s="291"/>
      <c r="I558" s="291"/>
      <c r="J558" s="291"/>
      <c r="K558" s="291"/>
      <c r="L558" s="292"/>
      <c r="M558" s="292"/>
      <c r="N558" s="292"/>
      <c r="O558" s="292"/>
      <c r="P558" s="294"/>
      <c r="Q558" s="294"/>
      <c r="R558" s="294"/>
      <c r="S558" s="294"/>
      <c r="T558" s="294"/>
      <c r="U558" s="294"/>
      <c r="V558" s="431"/>
      <c r="W558" s="294"/>
      <c r="X558" s="294"/>
      <c r="Y558" s="294">
        <f>IF(NFI_Expiration=1,IF($A558&lt;VLOOKUP(H$5,NFI,5,0),1,0)*Table_NFI[[#This Row],[Hygiene Kit]],Table_NFI[Hygiene Kit])</f>
        <v>0</v>
      </c>
      <c r="Z558" s="294">
        <f>IF(NFI_Expiration=1,IF($A558&lt;VLOOKUP(I$5,NFI,5,0),1,0)*Table_NFI[[#This Row],[NFI Core Kit]],Table_NFI[NFI Core Kit])</f>
        <v>0</v>
      </c>
      <c r="AA558" s="294">
        <f>IF(NFI_Expiration=1,IF($A558&lt;VLOOKUP(J$5,NFI,5,0),1,0)*Table_NFI[[#This Row],[Sanitary Kit]],Table_NFI[Sanitary Kit])</f>
        <v>0</v>
      </c>
      <c r="AB558" s="294">
        <f>IF(NFI_Expiration=1,IF($A558&lt;VLOOKUP(K$5,NFI,5,0),1,0)*Table_NFI[[#This Row],[Mosquito net]],Table_NFI[Mosquito net])</f>
        <v>0</v>
      </c>
      <c r="AC558" s="294">
        <f>IF(NFI_Expiration=1,IF($A558&lt;VLOOKUP(L$5,NFI,5,0),1,0)*Table_NFI[[#This Row],[Tarpaulin]],Table_NFI[[#This Row],[Tarpaulin]])</f>
        <v>0</v>
      </c>
      <c r="AD558" s="294">
        <f>IF(NFI_Expiration=1,IF($A558&lt;VLOOKUP(M$5,NFI,5,0),1,0)*Table_NFI[[#This Row],[Blanket]],Table_NFI[[#This Row],[Blanket]])</f>
        <v>0</v>
      </c>
      <c r="AE558" s="294">
        <f>IF(NFI_Expiration=1,IF($A558&lt;VLOOKUP(N$5,NFI,5,0),1,0)*Table_NFI[[#This Row],[Kitchen Set]],Table_NFI[Kitchen Set])</f>
        <v>0</v>
      </c>
      <c r="AF558" s="294">
        <f>IF(NFI_Expiration=1,IF($A558&lt;VLOOKUP(O$5,NFI,5,0),1,0)*Table_NFI[[#This Row],[Clothes Kit]],Table_NFI[Clothes Kit])</f>
        <v>0</v>
      </c>
      <c r="AG558" s="294">
        <f>IF(NFI_Expiration=1,IF($A558&lt;VLOOKUP(P$5,NFI,5,0),1,0)*Table_NFI[[#This Row],[Plastic Bucket]],Table_NFI[Plastic Bucket])</f>
        <v>0</v>
      </c>
      <c r="AH558" s="294">
        <f>IF(NFI_Expiration=1,IF($A558&lt;VLOOKUP(Q$5,NFI,5,0),1,0)*Table_NFI[[#This Row],[Plastic Mat]],Table_NFI[Plastic Mat])*IF(Table_NFI[[#This Row],[Distribution Date]]&gt;"2014-04-01",1,2.5)</f>
        <v>0</v>
      </c>
      <c r="AI558" s="294">
        <f>IF(NFI_Expiration=1,IF($A558&lt;VLOOKUP(R$5,NFI,5,0),1,0)*Table_NFI[[#This Row],[Winter Clothes Adult]],Table_NFI[Winter Clothes Adult])</f>
        <v>0</v>
      </c>
      <c r="AJ558" s="294">
        <f>IF(NFI_Expiration=1,IF($A558&lt;VLOOKUP(S$5,NFI,5,0),1,0)*Table_NFI[[#This Row],[Winter Clothes Children]],Table_NFI[Winter Clothes Children])</f>
        <v>0</v>
      </c>
      <c r="AK558" s="294">
        <f>IF(NFI_Expiration=1,IF($A558&lt;VLOOKUP(T$5,NFI,5,0),1,0)*Table_NFI[[#This Row],[Winter Items Other]],Table_NFI[Winter Items Other])</f>
        <v>0</v>
      </c>
      <c r="AL558" s="294">
        <f>IF(NFI_Expiration=1,IF($A558&lt;VLOOKUP(M$5,NFI,5,0),1,0)*Table_NFI[[#This Row],[Winter Blanket]],Table_NFI[[#This Row],[Winter Blanket]])</f>
        <v>0</v>
      </c>
      <c r="AM558" s="294">
        <f>IF(Table_NFI[[#This Row],[Winter Clothes Adult]]+Table_NFI[[#This Row],[Winter Clothes Children]]+Table_NFI[[#This Row],[Winter Items Other]]+Table_NFI[[#This Row],[Winter Blanket]]&gt;0,1,0)</f>
        <v>0</v>
      </c>
      <c r="AN558" s="331">
        <f>IF(NFI_Expiration=1,IF($A558&lt;VLOOKUP(V$5,NFI,5,0),1,0)*Table_NFI[[#This Row],[Jerry Can]],Table_NFI[Jerry Can])</f>
        <v>0</v>
      </c>
      <c r="AO558" s="331">
        <f>IF(NFI_Expiration=1,IF($A558&lt;VLOOKUP(V$5,NFI,5,0),1,0)*Table_NFI[[#This Row],[Shelter Tool kit]],Table_NFI[Shelter Tool kit])</f>
        <v>0</v>
      </c>
      <c r="AP558" s="331">
        <f>IF(NFI_Expiration=1,IF($A558&lt;VLOOKUP(V$5,NFI,5,0),1,0)*Table_NFI[[#This Row],[Tent]],Table_NFI[Tent])</f>
        <v>0</v>
      </c>
      <c r="AQ558" s="467" t="str">
        <f>IFERROR(VLOOKUP(Table_NFI[[#This Row],[Camp Name]],CL,2,0),"")</f>
        <v>MMR001CMP160</v>
      </c>
      <c r="AR558" s="835">
        <f ca="1">IF(Table_NFI[[#This Row],[Pcode]]="","",IF(OFFSET(CampList[Opening Date],MATCH(Table_NFI[[#This Row],[Pcode]],CampList[CP_Pcode],0)-1,0,1,1)&gt;=NFI_Monitor_Date,1,0))</f>
        <v>0</v>
      </c>
      <c r="AS558" s="467" t="str">
        <f>IFERROR(VLOOKUP(Table_NFI[[#This Row],[Camp Name]],CL,3,0),"")</f>
        <v>Open</v>
      </c>
      <c r="AT558" s="294" t="str">
        <f ca="1">IF(Table_NFI[[#This Row],[Pcode]]="","",OFFSET(CampList[Priority],MATCH(Table_NFI[[#This Row],[Pcode]],CampList[CP_Pcode],0)-1,0,1,1))</f>
        <v>P1</v>
      </c>
      <c r="AU558" s="293">
        <f>IFERROR(Table_NFI[[#This Row],[Kitchen Set]]/VLOOKUP(Table_NFI[[#This Row],[Camp Name]],CL,4,0),"")</f>
        <v>0</v>
      </c>
      <c r="AV558" s="461" t="s">
        <v>1092</v>
      </c>
      <c r="AW558" s="463"/>
    </row>
    <row r="559" spans="1:49" s="464" customFormat="1" ht="14.45" customHeight="1" x14ac:dyDescent="0.25">
      <c r="A559" s="297">
        <f t="shared" si="8"/>
        <v>37.6</v>
      </c>
      <c r="B559" s="460">
        <v>41608</v>
      </c>
      <c r="C559" s="461" t="s">
        <v>905</v>
      </c>
      <c r="D559" s="462" t="s">
        <v>460</v>
      </c>
      <c r="E559" s="461" t="s">
        <v>380</v>
      </c>
      <c r="F559" s="290" t="s">
        <v>310</v>
      </c>
      <c r="G559" s="290" t="s">
        <v>342</v>
      </c>
      <c r="H559" s="291"/>
      <c r="I559" s="291"/>
      <c r="J559" s="291"/>
      <c r="K559" s="291"/>
      <c r="L559" s="292"/>
      <c r="M559" s="292"/>
      <c r="N559" s="292"/>
      <c r="O559" s="292"/>
      <c r="P559" s="294"/>
      <c r="Q559" s="294"/>
      <c r="R559" s="294"/>
      <c r="S559" s="294"/>
      <c r="T559" s="294"/>
      <c r="U559" s="294"/>
      <c r="V559" s="431"/>
      <c r="W559" s="294"/>
      <c r="X559" s="294"/>
      <c r="Y559" s="294">
        <f>IF(NFI_Expiration=1,IF($A559&lt;VLOOKUP(H$5,NFI,5,0),1,0)*Table_NFI[[#This Row],[Hygiene Kit]],Table_NFI[Hygiene Kit])</f>
        <v>0</v>
      </c>
      <c r="Z559" s="294">
        <f>IF(NFI_Expiration=1,IF($A559&lt;VLOOKUP(I$5,NFI,5,0),1,0)*Table_NFI[[#This Row],[NFI Core Kit]],Table_NFI[NFI Core Kit])</f>
        <v>0</v>
      </c>
      <c r="AA559" s="294">
        <f>IF(NFI_Expiration=1,IF($A559&lt;VLOOKUP(J$5,NFI,5,0),1,0)*Table_NFI[[#This Row],[Sanitary Kit]],Table_NFI[Sanitary Kit])</f>
        <v>0</v>
      </c>
      <c r="AB559" s="294">
        <f>IF(NFI_Expiration=1,IF($A559&lt;VLOOKUP(K$5,NFI,5,0),1,0)*Table_NFI[[#This Row],[Mosquito net]],Table_NFI[Mosquito net])</f>
        <v>0</v>
      </c>
      <c r="AC559" s="294">
        <f>IF(NFI_Expiration=1,IF($A559&lt;VLOOKUP(L$5,NFI,5,0),1,0)*Table_NFI[[#This Row],[Tarpaulin]],Table_NFI[[#This Row],[Tarpaulin]])</f>
        <v>0</v>
      </c>
      <c r="AD559" s="294">
        <f>IF(NFI_Expiration=1,IF($A559&lt;VLOOKUP(M$5,NFI,5,0),1,0)*Table_NFI[[#This Row],[Blanket]],Table_NFI[[#This Row],[Blanket]])</f>
        <v>0</v>
      </c>
      <c r="AE559" s="294">
        <f>IF(NFI_Expiration=1,IF($A559&lt;VLOOKUP(N$5,NFI,5,0),1,0)*Table_NFI[[#This Row],[Kitchen Set]],Table_NFI[Kitchen Set])</f>
        <v>0</v>
      </c>
      <c r="AF559" s="294">
        <f>IF(NFI_Expiration=1,IF($A559&lt;VLOOKUP(O$5,NFI,5,0),1,0)*Table_NFI[[#This Row],[Clothes Kit]],Table_NFI[Clothes Kit])</f>
        <v>0</v>
      </c>
      <c r="AG559" s="294">
        <f>IF(NFI_Expiration=1,IF($A559&lt;VLOOKUP(P$5,NFI,5,0),1,0)*Table_NFI[[#This Row],[Plastic Bucket]],Table_NFI[Plastic Bucket])</f>
        <v>0</v>
      </c>
      <c r="AH559" s="294">
        <f>IF(NFI_Expiration=1,IF($A559&lt;VLOOKUP(Q$5,NFI,5,0),1,0)*Table_NFI[[#This Row],[Plastic Mat]],Table_NFI[Plastic Mat])*IF(Table_NFI[[#This Row],[Distribution Date]]&gt;"2014-04-01",1,2.5)</f>
        <v>0</v>
      </c>
      <c r="AI559" s="294">
        <f>IF(NFI_Expiration=1,IF($A559&lt;VLOOKUP(R$5,NFI,5,0),1,0)*Table_NFI[[#This Row],[Winter Clothes Adult]],Table_NFI[Winter Clothes Adult])</f>
        <v>0</v>
      </c>
      <c r="AJ559" s="294">
        <f>IF(NFI_Expiration=1,IF($A559&lt;VLOOKUP(S$5,NFI,5,0),1,0)*Table_NFI[[#This Row],[Winter Clothes Children]],Table_NFI[Winter Clothes Children])</f>
        <v>0</v>
      </c>
      <c r="AK559" s="294">
        <f>IF(NFI_Expiration=1,IF($A559&lt;VLOOKUP(T$5,NFI,5,0),1,0)*Table_NFI[[#This Row],[Winter Items Other]],Table_NFI[Winter Items Other])</f>
        <v>0</v>
      </c>
      <c r="AL559" s="294">
        <f>IF(NFI_Expiration=1,IF($A559&lt;VLOOKUP(M$5,NFI,5,0),1,0)*Table_NFI[[#This Row],[Winter Blanket]],Table_NFI[[#This Row],[Winter Blanket]])</f>
        <v>0</v>
      </c>
      <c r="AM559" s="294">
        <f>IF(Table_NFI[[#This Row],[Winter Clothes Adult]]+Table_NFI[[#This Row],[Winter Clothes Children]]+Table_NFI[[#This Row],[Winter Items Other]]+Table_NFI[[#This Row],[Winter Blanket]]&gt;0,1,0)</f>
        <v>0</v>
      </c>
      <c r="AN559" s="331">
        <f>IF(NFI_Expiration=1,IF($A559&lt;VLOOKUP(V$5,NFI,5,0),1,0)*Table_NFI[[#This Row],[Jerry Can]],Table_NFI[Jerry Can])</f>
        <v>0</v>
      </c>
      <c r="AO559" s="331">
        <f>IF(NFI_Expiration=1,IF($A559&lt;VLOOKUP(V$5,NFI,5,0),1,0)*Table_NFI[[#This Row],[Shelter Tool kit]],Table_NFI[Shelter Tool kit])</f>
        <v>0</v>
      </c>
      <c r="AP559" s="331">
        <f>IF(NFI_Expiration=1,IF($A559&lt;VLOOKUP(V$5,NFI,5,0),1,0)*Table_NFI[[#This Row],[Tent]],Table_NFI[Tent])</f>
        <v>0</v>
      </c>
      <c r="AQ559" s="467" t="str">
        <f>IFERROR(VLOOKUP(Table_NFI[[#This Row],[Camp Name]],CL,2,0),"")</f>
        <v>MMR001CMP025</v>
      </c>
      <c r="AR559" s="835">
        <f ca="1">IF(Table_NFI[[#This Row],[Pcode]]="","",IF(OFFSET(CampList[Opening Date],MATCH(Table_NFI[[#This Row],[Pcode]],CampList[CP_Pcode],0)-1,0,1,1)&gt;=NFI_Monitor_Date,1,0))</f>
        <v>0</v>
      </c>
      <c r="AS559" s="467" t="str">
        <f>IFERROR(VLOOKUP(Table_NFI[[#This Row],[Camp Name]],CL,3,0),"")</f>
        <v>Open</v>
      </c>
      <c r="AT559" s="294" t="str">
        <f ca="1">IF(Table_NFI[[#This Row],[Pcode]]="","",OFFSET(CampList[Priority],MATCH(Table_NFI[[#This Row],[Pcode]],CampList[CP_Pcode],0)-1,0,1,1))</f>
        <v>P4</v>
      </c>
      <c r="AU559" s="293">
        <f>IFERROR(Table_NFI[[#This Row],[Kitchen Set]]/VLOOKUP(Table_NFI[[#This Row],[Camp Name]],CL,4,0),"")</f>
        <v>0</v>
      </c>
      <c r="AV559" s="461" t="s">
        <v>1092</v>
      </c>
      <c r="AW559" s="463"/>
    </row>
    <row r="560" spans="1:49" s="464" customFormat="1" ht="14.45" customHeight="1" x14ac:dyDescent="0.25">
      <c r="A560" s="297">
        <f t="shared" si="8"/>
        <v>37.6</v>
      </c>
      <c r="B560" s="460">
        <v>41608</v>
      </c>
      <c r="C560" s="461" t="s">
        <v>905</v>
      </c>
      <c r="D560" s="462" t="s">
        <v>460</v>
      </c>
      <c r="E560" s="461" t="s">
        <v>380</v>
      </c>
      <c r="F560" s="290" t="s">
        <v>310</v>
      </c>
      <c r="G560" s="290" t="s">
        <v>338</v>
      </c>
      <c r="H560" s="291"/>
      <c r="I560" s="291"/>
      <c r="J560" s="291"/>
      <c r="K560" s="291"/>
      <c r="L560" s="292"/>
      <c r="M560" s="292"/>
      <c r="N560" s="292"/>
      <c r="O560" s="292"/>
      <c r="P560" s="294"/>
      <c r="Q560" s="294"/>
      <c r="R560" s="294"/>
      <c r="S560" s="294"/>
      <c r="T560" s="294"/>
      <c r="U560" s="294"/>
      <c r="V560" s="431"/>
      <c r="W560" s="294"/>
      <c r="X560" s="294"/>
      <c r="Y560" s="294">
        <f>IF(NFI_Expiration=1,IF($A560&lt;VLOOKUP(H$5,NFI,5,0),1,0)*Table_NFI[[#This Row],[Hygiene Kit]],Table_NFI[Hygiene Kit])</f>
        <v>0</v>
      </c>
      <c r="Z560" s="294">
        <f>IF(NFI_Expiration=1,IF($A560&lt;VLOOKUP(I$5,NFI,5,0),1,0)*Table_NFI[[#This Row],[NFI Core Kit]],Table_NFI[NFI Core Kit])</f>
        <v>0</v>
      </c>
      <c r="AA560" s="294">
        <f>IF(NFI_Expiration=1,IF($A560&lt;VLOOKUP(J$5,NFI,5,0),1,0)*Table_NFI[[#This Row],[Sanitary Kit]],Table_NFI[Sanitary Kit])</f>
        <v>0</v>
      </c>
      <c r="AB560" s="294">
        <f>IF(NFI_Expiration=1,IF($A560&lt;VLOOKUP(K$5,NFI,5,0),1,0)*Table_NFI[[#This Row],[Mosquito net]],Table_NFI[Mosquito net])</f>
        <v>0</v>
      </c>
      <c r="AC560" s="294">
        <f>IF(NFI_Expiration=1,IF($A560&lt;VLOOKUP(L$5,NFI,5,0),1,0)*Table_NFI[[#This Row],[Tarpaulin]],Table_NFI[[#This Row],[Tarpaulin]])</f>
        <v>0</v>
      </c>
      <c r="AD560" s="294">
        <f>IF(NFI_Expiration=1,IF($A560&lt;VLOOKUP(M$5,NFI,5,0),1,0)*Table_NFI[[#This Row],[Blanket]],Table_NFI[[#This Row],[Blanket]])</f>
        <v>0</v>
      </c>
      <c r="AE560" s="294">
        <f>IF(NFI_Expiration=1,IF($A560&lt;VLOOKUP(N$5,NFI,5,0),1,0)*Table_NFI[[#This Row],[Kitchen Set]],Table_NFI[Kitchen Set])</f>
        <v>0</v>
      </c>
      <c r="AF560" s="294">
        <f>IF(NFI_Expiration=1,IF($A560&lt;VLOOKUP(O$5,NFI,5,0),1,0)*Table_NFI[[#This Row],[Clothes Kit]],Table_NFI[Clothes Kit])</f>
        <v>0</v>
      </c>
      <c r="AG560" s="294">
        <f>IF(NFI_Expiration=1,IF($A560&lt;VLOOKUP(P$5,NFI,5,0),1,0)*Table_NFI[[#This Row],[Plastic Bucket]],Table_NFI[Plastic Bucket])</f>
        <v>0</v>
      </c>
      <c r="AH560" s="294">
        <f>IF(NFI_Expiration=1,IF($A560&lt;VLOOKUP(Q$5,NFI,5,0),1,0)*Table_NFI[[#This Row],[Plastic Mat]],Table_NFI[Plastic Mat])*IF(Table_NFI[[#This Row],[Distribution Date]]&gt;"2014-04-01",1,2.5)</f>
        <v>0</v>
      </c>
      <c r="AI560" s="294">
        <f>IF(NFI_Expiration=1,IF($A560&lt;VLOOKUP(R$5,NFI,5,0),1,0)*Table_NFI[[#This Row],[Winter Clothes Adult]],Table_NFI[Winter Clothes Adult])</f>
        <v>0</v>
      </c>
      <c r="AJ560" s="294">
        <f>IF(NFI_Expiration=1,IF($A560&lt;VLOOKUP(S$5,NFI,5,0),1,0)*Table_NFI[[#This Row],[Winter Clothes Children]],Table_NFI[Winter Clothes Children])</f>
        <v>0</v>
      </c>
      <c r="AK560" s="294">
        <f>IF(NFI_Expiration=1,IF($A560&lt;VLOOKUP(T$5,NFI,5,0),1,0)*Table_NFI[[#This Row],[Winter Items Other]],Table_NFI[Winter Items Other])</f>
        <v>0</v>
      </c>
      <c r="AL560" s="294">
        <f>IF(NFI_Expiration=1,IF($A560&lt;VLOOKUP(M$5,NFI,5,0),1,0)*Table_NFI[[#This Row],[Winter Blanket]],Table_NFI[[#This Row],[Winter Blanket]])</f>
        <v>0</v>
      </c>
      <c r="AM560" s="294">
        <f>IF(Table_NFI[[#This Row],[Winter Clothes Adult]]+Table_NFI[[#This Row],[Winter Clothes Children]]+Table_NFI[[#This Row],[Winter Items Other]]+Table_NFI[[#This Row],[Winter Blanket]]&gt;0,1,0)</f>
        <v>0</v>
      </c>
      <c r="AN560" s="331">
        <f>IF(NFI_Expiration=1,IF($A560&lt;VLOOKUP(V$5,NFI,5,0),1,0)*Table_NFI[[#This Row],[Jerry Can]],Table_NFI[Jerry Can])</f>
        <v>0</v>
      </c>
      <c r="AO560" s="331">
        <f>IF(NFI_Expiration=1,IF($A560&lt;VLOOKUP(V$5,NFI,5,0),1,0)*Table_NFI[[#This Row],[Shelter Tool kit]],Table_NFI[Shelter Tool kit])</f>
        <v>0</v>
      </c>
      <c r="AP560" s="331">
        <f>IF(NFI_Expiration=1,IF($A560&lt;VLOOKUP(V$5,NFI,5,0),1,0)*Table_NFI[[#This Row],[Tent]],Table_NFI[Tent])</f>
        <v>0</v>
      </c>
      <c r="AQ560" s="467" t="str">
        <f>IFERROR(VLOOKUP(Table_NFI[[#This Row],[Camp Name]],CL,2,0),"")</f>
        <v>MMR001CMP030</v>
      </c>
      <c r="AR560" s="835">
        <f ca="1">IF(Table_NFI[[#This Row],[Pcode]]="","",IF(OFFSET(CampList[Opening Date],MATCH(Table_NFI[[#This Row],[Pcode]],CampList[CP_Pcode],0)-1,0,1,1)&gt;=NFI_Monitor_Date,1,0))</f>
        <v>0</v>
      </c>
      <c r="AS560" s="467" t="str">
        <f>IFERROR(VLOOKUP(Table_NFI[[#This Row],[Camp Name]],CL,3,0),"")</f>
        <v>Open</v>
      </c>
      <c r="AT560" s="294" t="str">
        <f ca="1">IF(Table_NFI[[#This Row],[Pcode]]="","",OFFSET(CampList[Priority],MATCH(Table_NFI[[#This Row],[Pcode]],CampList[CP_Pcode],0)-1,0,1,1))</f>
        <v>P4</v>
      </c>
      <c r="AU560" s="293">
        <f>IFERROR(Table_NFI[[#This Row],[Kitchen Set]]/VLOOKUP(Table_NFI[[#This Row],[Camp Name]],CL,4,0),"")</f>
        <v>0</v>
      </c>
      <c r="AV560" s="461" t="s">
        <v>1092</v>
      </c>
      <c r="AW560" s="463"/>
    </row>
    <row r="561" spans="1:49" s="464" customFormat="1" ht="27.6" customHeight="1" x14ac:dyDescent="0.25">
      <c r="A561" s="297">
        <f t="shared" si="8"/>
        <v>37.6</v>
      </c>
      <c r="B561" s="460">
        <v>41608</v>
      </c>
      <c r="C561" s="461" t="s">
        <v>905</v>
      </c>
      <c r="D561" s="461" t="s">
        <v>460</v>
      </c>
      <c r="E561" s="461" t="s">
        <v>380</v>
      </c>
      <c r="F561" s="290" t="s">
        <v>310</v>
      </c>
      <c r="G561" s="290" t="s">
        <v>351</v>
      </c>
      <c r="H561" s="291"/>
      <c r="I561" s="291"/>
      <c r="J561" s="291"/>
      <c r="K561" s="291"/>
      <c r="L561" s="292"/>
      <c r="M561" s="292"/>
      <c r="N561" s="292"/>
      <c r="O561" s="292"/>
      <c r="P561" s="294"/>
      <c r="Q561" s="294"/>
      <c r="R561" s="294"/>
      <c r="S561" s="294"/>
      <c r="T561" s="294"/>
      <c r="U561" s="294"/>
      <c r="V561" s="431"/>
      <c r="W561" s="294"/>
      <c r="X561" s="294"/>
      <c r="Y561" s="294">
        <f>IF(NFI_Expiration=1,IF($A561&lt;VLOOKUP(H$5,NFI,5,0),1,0)*Table_NFI[[#This Row],[Hygiene Kit]],Table_NFI[Hygiene Kit])</f>
        <v>0</v>
      </c>
      <c r="Z561" s="294">
        <f>IF(NFI_Expiration=1,IF($A561&lt;VLOOKUP(I$5,NFI,5,0),1,0)*Table_NFI[[#This Row],[NFI Core Kit]],Table_NFI[NFI Core Kit])</f>
        <v>0</v>
      </c>
      <c r="AA561" s="294">
        <f>IF(NFI_Expiration=1,IF($A561&lt;VLOOKUP(J$5,NFI,5,0),1,0)*Table_NFI[[#This Row],[Sanitary Kit]],Table_NFI[Sanitary Kit])</f>
        <v>0</v>
      </c>
      <c r="AB561" s="294">
        <f>IF(NFI_Expiration=1,IF($A561&lt;VLOOKUP(K$5,NFI,5,0),1,0)*Table_NFI[[#This Row],[Mosquito net]],Table_NFI[Mosquito net])</f>
        <v>0</v>
      </c>
      <c r="AC561" s="294">
        <f>IF(NFI_Expiration=1,IF($A561&lt;VLOOKUP(L$5,NFI,5,0),1,0)*Table_NFI[[#This Row],[Tarpaulin]],Table_NFI[[#This Row],[Tarpaulin]])</f>
        <v>0</v>
      </c>
      <c r="AD561" s="294">
        <f>IF(NFI_Expiration=1,IF($A561&lt;VLOOKUP(M$5,NFI,5,0),1,0)*Table_NFI[[#This Row],[Blanket]],Table_NFI[[#This Row],[Blanket]])</f>
        <v>0</v>
      </c>
      <c r="AE561" s="294">
        <f>IF(NFI_Expiration=1,IF($A561&lt;VLOOKUP(N$5,NFI,5,0),1,0)*Table_NFI[[#This Row],[Kitchen Set]],Table_NFI[Kitchen Set])</f>
        <v>0</v>
      </c>
      <c r="AF561" s="294">
        <f>IF(NFI_Expiration=1,IF($A561&lt;VLOOKUP(O$5,NFI,5,0),1,0)*Table_NFI[[#This Row],[Clothes Kit]],Table_NFI[Clothes Kit])</f>
        <v>0</v>
      </c>
      <c r="AG561" s="294">
        <f>IF(NFI_Expiration=1,IF($A561&lt;VLOOKUP(P$5,NFI,5,0),1,0)*Table_NFI[[#This Row],[Plastic Bucket]],Table_NFI[Plastic Bucket])</f>
        <v>0</v>
      </c>
      <c r="AH561" s="294">
        <f>IF(NFI_Expiration=1,IF($A561&lt;VLOOKUP(Q$5,NFI,5,0),1,0)*Table_NFI[[#This Row],[Plastic Mat]],Table_NFI[Plastic Mat])*IF(Table_NFI[[#This Row],[Distribution Date]]&gt;"2014-04-01",1,2.5)</f>
        <v>0</v>
      </c>
      <c r="AI561" s="294">
        <f>IF(NFI_Expiration=1,IF($A561&lt;VLOOKUP(R$5,NFI,5,0),1,0)*Table_NFI[[#This Row],[Winter Clothes Adult]],Table_NFI[Winter Clothes Adult])</f>
        <v>0</v>
      </c>
      <c r="AJ561" s="294">
        <f>IF(NFI_Expiration=1,IF($A561&lt;VLOOKUP(S$5,NFI,5,0),1,0)*Table_NFI[[#This Row],[Winter Clothes Children]],Table_NFI[Winter Clothes Children])</f>
        <v>0</v>
      </c>
      <c r="AK561" s="294">
        <f>IF(NFI_Expiration=1,IF($A561&lt;VLOOKUP(T$5,NFI,5,0),1,0)*Table_NFI[[#This Row],[Winter Items Other]],Table_NFI[Winter Items Other])</f>
        <v>0</v>
      </c>
      <c r="AL561" s="294">
        <f>IF(NFI_Expiration=1,IF($A561&lt;VLOOKUP(M$5,NFI,5,0),1,0)*Table_NFI[[#This Row],[Winter Blanket]],Table_NFI[[#This Row],[Winter Blanket]])</f>
        <v>0</v>
      </c>
      <c r="AM561" s="294">
        <f>IF(Table_NFI[[#This Row],[Winter Clothes Adult]]+Table_NFI[[#This Row],[Winter Clothes Children]]+Table_NFI[[#This Row],[Winter Items Other]]+Table_NFI[[#This Row],[Winter Blanket]]&gt;0,1,0)</f>
        <v>0</v>
      </c>
      <c r="AN561" s="331">
        <f>IF(NFI_Expiration=1,IF($A561&lt;VLOOKUP(V$5,NFI,5,0),1,0)*Table_NFI[[#This Row],[Jerry Can]],Table_NFI[Jerry Can])</f>
        <v>0</v>
      </c>
      <c r="AO561" s="331">
        <f>IF(NFI_Expiration=1,IF($A561&lt;VLOOKUP(V$5,NFI,5,0),1,0)*Table_NFI[[#This Row],[Shelter Tool kit]],Table_NFI[Shelter Tool kit])</f>
        <v>0</v>
      </c>
      <c r="AP561" s="331">
        <f>IF(NFI_Expiration=1,IF($A561&lt;VLOOKUP(V$5,NFI,5,0),1,0)*Table_NFI[[#This Row],[Tent]],Table_NFI[Tent])</f>
        <v>0</v>
      </c>
      <c r="AQ561" s="467" t="str">
        <f>IFERROR(VLOOKUP(Table_NFI[[#This Row],[Camp Name]],CL,2,0),"")</f>
        <v>MMR001CMP026</v>
      </c>
      <c r="AR561" s="835">
        <f ca="1">IF(Table_NFI[[#This Row],[Pcode]]="","",IF(OFFSET(CampList[Opening Date],MATCH(Table_NFI[[#This Row],[Pcode]],CampList[CP_Pcode],0)-1,0,1,1)&gt;=NFI_Monitor_Date,1,0))</f>
        <v>0</v>
      </c>
      <c r="AS561" s="467" t="str">
        <f>IFERROR(VLOOKUP(Table_NFI[[#This Row],[Camp Name]],CL,3,0),"")</f>
        <v>Open</v>
      </c>
      <c r="AT561" s="294" t="str">
        <f ca="1">IF(Table_NFI[[#This Row],[Pcode]]="","",OFFSET(CampList[Priority],MATCH(Table_NFI[[#This Row],[Pcode]],CampList[CP_Pcode],0)-1,0,1,1))</f>
        <v>P4</v>
      </c>
      <c r="AU561" s="293">
        <f>IFERROR(Table_NFI[[#This Row],[Kitchen Set]]/VLOOKUP(Table_NFI[[#This Row],[Camp Name]],CL,4,0),"")</f>
        <v>0</v>
      </c>
      <c r="AV561" s="461" t="s">
        <v>1092</v>
      </c>
      <c r="AW561" s="463"/>
    </row>
    <row r="562" spans="1:49" s="464" customFormat="1" ht="14.45" customHeight="1" x14ac:dyDescent="0.25">
      <c r="A562" s="297">
        <f t="shared" si="8"/>
        <v>37.6</v>
      </c>
      <c r="B562" s="460">
        <v>41608</v>
      </c>
      <c r="C562" s="461" t="s">
        <v>905</v>
      </c>
      <c r="D562" s="461"/>
      <c r="E562" s="461" t="s">
        <v>380</v>
      </c>
      <c r="F562" s="290" t="s">
        <v>5</v>
      </c>
      <c r="G562" s="290" t="s">
        <v>22</v>
      </c>
      <c r="H562" s="291"/>
      <c r="I562" s="291"/>
      <c r="J562" s="291"/>
      <c r="K562" s="291"/>
      <c r="L562" s="292"/>
      <c r="M562" s="292"/>
      <c r="N562" s="292"/>
      <c r="O562" s="292"/>
      <c r="P562" s="294"/>
      <c r="Q562" s="294">
        <v>1164</v>
      </c>
      <c r="R562" s="294"/>
      <c r="S562" s="294"/>
      <c r="T562" s="294"/>
      <c r="U562" s="294"/>
      <c r="V562" s="431"/>
      <c r="W562" s="294"/>
      <c r="X562" s="294"/>
      <c r="Y562" s="294">
        <f>IF(NFI_Expiration=1,IF($A562&lt;VLOOKUP(H$5,NFI,5,0),1,0)*Table_NFI[[#This Row],[Hygiene Kit]],Table_NFI[Hygiene Kit])</f>
        <v>0</v>
      </c>
      <c r="Z562" s="294">
        <f>IF(NFI_Expiration=1,IF($A562&lt;VLOOKUP(I$5,NFI,5,0),1,0)*Table_NFI[[#This Row],[NFI Core Kit]],Table_NFI[NFI Core Kit])</f>
        <v>0</v>
      </c>
      <c r="AA562" s="294">
        <f>IF(NFI_Expiration=1,IF($A562&lt;VLOOKUP(J$5,NFI,5,0),1,0)*Table_NFI[[#This Row],[Sanitary Kit]],Table_NFI[Sanitary Kit])</f>
        <v>0</v>
      </c>
      <c r="AB562" s="294">
        <f>IF(NFI_Expiration=1,IF($A562&lt;VLOOKUP(K$5,NFI,5,0),1,0)*Table_NFI[[#This Row],[Mosquito net]],Table_NFI[Mosquito net])</f>
        <v>0</v>
      </c>
      <c r="AC562" s="294">
        <f>IF(NFI_Expiration=1,IF($A562&lt;VLOOKUP(L$5,NFI,5,0),1,0)*Table_NFI[[#This Row],[Tarpaulin]],Table_NFI[[#This Row],[Tarpaulin]])</f>
        <v>0</v>
      </c>
      <c r="AD562" s="294">
        <f>IF(NFI_Expiration=1,IF($A562&lt;VLOOKUP(M$5,NFI,5,0),1,0)*Table_NFI[[#This Row],[Blanket]],Table_NFI[[#This Row],[Blanket]])</f>
        <v>0</v>
      </c>
      <c r="AE562" s="294">
        <f>IF(NFI_Expiration=1,IF($A562&lt;VLOOKUP(N$5,NFI,5,0),1,0)*Table_NFI[[#This Row],[Kitchen Set]],Table_NFI[Kitchen Set])</f>
        <v>0</v>
      </c>
      <c r="AF562" s="294">
        <f>IF(NFI_Expiration=1,IF($A562&lt;VLOOKUP(O$5,NFI,5,0),1,0)*Table_NFI[[#This Row],[Clothes Kit]],Table_NFI[Clothes Kit])</f>
        <v>0</v>
      </c>
      <c r="AG562" s="294">
        <f>IF(NFI_Expiration=1,IF($A562&lt;VLOOKUP(P$5,NFI,5,0),1,0)*Table_NFI[[#This Row],[Plastic Bucket]],Table_NFI[Plastic Bucket])</f>
        <v>0</v>
      </c>
      <c r="AH562" s="294">
        <f>IF(NFI_Expiration=1,IF($A562&lt;VLOOKUP(Q$5,NFI,5,0),1,0)*Table_NFI[[#This Row],[Plastic Mat]],Table_NFI[Plastic Mat])*IF(Table_NFI[[#This Row],[Distribution Date]]&gt;"2014-04-01",1,2.5)</f>
        <v>0</v>
      </c>
      <c r="AI562" s="294">
        <f>IF(NFI_Expiration=1,IF($A562&lt;VLOOKUP(R$5,NFI,5,0),1,0)*Table_NFI[[#This Row],[Winter Clothes Adult]],Table_NFI[Winter Clothes Adult])</f>
        <v>0</v>
      </c>
      <c r="AJ562" s="294">
        <f>IF(NFI_Expiration=1,IF($A562&lt;VLOOKUP(S$5,NFI,5,0),1,0)*Table_NFI[[#This Row],[Winter Clothes Children]],Table_NFI[Winter Clothes Children])</f>
        <v>0</v>
      </c>
      <c r="AK562" s="294">
        <f>IF(NFI_Expiration=1,IF($A562&lt;VLOOKUP(T$5,NFI,5,0),1,0)*Table_NFI[[#This Row],[Winter Items Other]],Table_NFI[Winter Items Other])</f>
        <v>0</v>
      </c>
      <c r="AL562" s="294">
        <f>IF(NFI_Expiration=1,IF($A562&lt;VLOOKUP(M$5,NFI,5,0),1,0)*Table_NFI[[#This Row],[Winter Blanket]],Table_NFI[[#This Row],[Winter Blanket]])</f>
        <v>0</v>
      </c>
      <c r="AM562" s="294">
        <f>IF(Table_NFI[[#This Row],[Winter Clothes Adult]]+Table_NFI[[#This Row],[Winter Clothes Children]]+Table_NFI[[#This Row],[Winter Items Other]]+Table_NFI[[#This Row],[Winter Blanket]]&gt;0,1,0)</f>
        <v>0</v>
      </c>
      <c r="AN562" s="331">
        <f>IF(NFI_Expiration=1,IF($A562&lt;VLOOKUP(V$5,NFI,5,0),1,0)*Table_NFI[[#This Row],[Jerry Can]],Table_NFI[Jerry Can])</f>
        <v>0</v>
      </c>
      <c r="AO562" s="331">
        <f>IF(NFI_Expiration=1,IF($A562&lt;VLOOKUP(V$5,NFI,5,0),1,0)*Table_NFI[[#This Row],[Shelter Tool kit]],Table_NFI[Shelter Tool kit])</f>
        <v>0</v>
      </c>
      <c r="AP562" s="331">
        <f>IF(NFI_Expiration=1,IF($A562&lt;VLOOKUP(V$5,NFI,5,0),1,0)*Table_NFI[[#This Row],[Tent]],Table_NFI[Tent])</f>
        <v>0</v>
      </c>
      <c r="AQ562" s="467" t="str">
        <f>IFERROR(VLOOKUP(Table_NFI[[#This Row],[Camp Name]],CL,2,0),"")</f>
        <v>MMR001CMP047</v>
      </c>
      <c r="AR562" s="835">
        <f ca="1">IF(Table_NFI[[#This Row],[Pcode]]="","",IF(OFFSET(CampList[Opening Date],MATCH(Table_NFI[[#This Row],[Pcode]],CampList[CP_Pcode],0)-1,0,1,1)&gt;=NFI_Monitor_Date,1,0))</f>
        <v>0</v>
      </c>
      <c r="AS562" s="467" t="str">
        <f>IFERROR(VLOOKUP(Table_NFI[[#This Row],[Camp Name]],CL,3,0),"")</f>
        <v>Open</v>
      </c>
      <c r="AT562" s="294" t="str">
        <f ca="1">IF(Table_NFI[[#This Row],[Pcode]]="","",OFFSET(CampList[Priority],MATCH(Table_NFI[[#This Row],[Pcode]],CampList[CP_Pcode],0)-1,0,1,1))</f>
        <v>P4</v>
      </c>
      <c r="AU562" s="293">
        <f>IFERROR(Table_NFI[[#This Row],[Kitchen Set]]/VLOOKUP(Table_NFI[[#This Row],[Camp Name]],CL,4,0),"")</f>
        <v>0</v>
      </c>
      <c r="AV562" s="461" t="s">
        <v>1092</v>
      </c>
      <c r="AW562" s="463"/>
    </row>
    <row r="563" spans="1:49" s="464" customFormat="1" ht="14.45" customHeight="1" x14ac:dyDescent="0.25">
      <c r="A563" s="297">
        <f t="shared" si="8"/>
        <v>37.6</v>
      </c>
      <c r="B563" s="460">
        <v>41608</v>
      </c>
      <c r="C563" s="461" t="s">
        <v>452</v>
      </c>
      <c r="D563" s="462" t="s">
        <v>452</v>
      </c>
      <c r="E563" s="461" t="s">
        <v>380</v>
      </c>
      <c r="F563" s="461" t="s">
        <v>5</v>
      </c>
      <c r="G563" s="290" t="s">
        <v>22</v>
      </c>
      <c r="H563" s="291"/>
      <c r="I563" s="291"/>
      <c r="J563" s="291"/>
      <c r="K563" s="291">
        <v>75</v>
      </c>
      <c r="L563" s="292">
        <v>36</v>
      </c>
      <c r="M563" s="292">
        <v>75</v>
      </c>
      <c r="N563" s="292">
        <v>36</v>
      </c>
      <c r="O563" s="292">
        <v>36</v>
      </c>
      <c r="P563" s="294"/>
      <c r="Q563" s="294"/>
      <c r="R563" s="294"/>
      <c r="S563" s="294"/>
      <c r="T563" s="294"/>
      <c r="U563" s="294"/>
      <c r="V563" s="431"/>
      <c r="W563" s="294"/>
      <c r="X563" s="294"/>
      <c r="Y563" s="294">
        <f>IF(NFI_Expiration=1,IF($A563&lt;VLOOKUP(H$5,NFI,5,0),1,0)*Table_NFI[[#This Row],[Hygiene Kit]],Table_NFI[Hygiene Kit])</f>
        <v>0</v>
      </c>
      <c r="Z563" s="294">
        <f>IF(NFI_Expiration=1,IF($A563&lt;VLOOKUP(I$5,NFI,5,0),1,0)*Table_NFI[[#This Row],[NFI Core Kit]],Table_NFI[NFI Core Kit])</f>
        <v>0</v>
      </c>
      <c r="AA563" s="294">
        <f>IF(NFI_Expiration=1,IF($A563&lt;VLOOKUP(J$5,NFI,5,0),1,0)*Table_NFI[[#This Row],[Sanitary Kit]],Table_NFI[Sanitary Kit])</f>
        <v>0</v>
      </c>
      <c r="AB563" s="294">
        <f>IF(NFI_Expiration=1,IF($A563&lt;VLOOKUP(K$5,NFI,5,0),1,0)*Table_NFI[[#This Row],[Mosquito net]],Table_NFI[Mosquito net])</f>
        <v>0</v>
      </c>
      <c r="AC563" s="294">
        <f>IF(NFI_Expiration=1,IF($A563&lt;VLOOKUP(L$5,NFI,5,0),1,0)*Table_NFI[[#This Row],[Tarpaulin]],Table_NFI[[#This Row],[Tarpaulin]])</f>
        <v>0</v>
      </c>
      <c r="AD563" s="294">
        <f>IF(NFI_Expiration=1,IF($A563&lt;VLOOKUP(M$5,NFI,5,0),1,0)*Table_NFI[[#This Row],[Blanket]],Table_NFI[[#This Row],[Blanket]])</f>
        <v>0</v>
      </c>
      <c r="AE563" s="294">
        <f>IF(NFI_Expiration=1,IF($A563&lt;VLOOKUP(N$5,NFI,5,0),1,0)*Table_NFI[[#This Row],[Kitchen Set]],Table_NFI[Kitchen Set])</f>
        <v>0</v>
      </c>
      <c r="AF563" s="294">
        <f>IF(NFI_Expiration=1,IF($A563&lt;VLOOKUP(O$5,NFI,5,0),1,0)*Table_NFI[[#This Row],[Clothes Kit]],Table_NFI[Clothes Kit])</f>
        <v>0</v>
      </c>
      <c r="AG563" s="294">
        <f>IF(NFI_Expiration=1,IF($A563&lt;VLOOKUP(P$5,NFI,5,0),1,0)*Table_NFI[[#This Row],[Plastic Bucket]],Table_NFI[Plastic Bucket])</f>
        <v>0</v>
      </c>
      <c r="AH563" s="294">
        <f>IF(NFI_Expiration=1,IF($A563&lt;VLOOKUP(Q$5,NFI,5,0),1,0)*Table_NFI[[#This Row],[Plastic Mat]],Table_NFI[Plastic Mat])*IF(Table_NFI[[#This Row],[Distribution Date]]&gt;"2014-04-01",1,2.5)</f>
        <v>0</v>
      </c>
      <c r="AI563" s="294">
        <f>IF(NFI_Expiration=1,IF($A563&lt;VLOOKUP(R$5,NFI,5,0),1,0)*Table_NFI[[#This Row],[Winter Clothes Adult]],Table_NFI[Winter Clothes Adult])</f>
        <v>0</v>
      </c>
      <c r="AJ563" s="294">
        <f>IF(NFI_Expiration=1,IF($A563&lt;VLOOKUP(S$5,NFI,5,0),1,0)*Table_NFI[[#This Row],[Winter Clothes Children]],Table_NFI[Winter Clothes Children])</f>
        <v>0</v>
      </c>
      <c r="AK563" s="294">
        <f>IF(NFI_Expiration=1,IF($A563&lt;VLOOKUP(T$5,NFI,5,0),1,0)*Table_NFI[[#This Row],[Winter Items Other]],Table_NFI[Winter Items Other])</f>
        <v>0</v>
      </c>
      <c r="AL563" s="294">
        <f>IF(NFI_Expiration=1,IF($A563&lt;VLOOKUP(M$5,NFI,5,0),1,0)*Table_NFI[[#This Row],[Winter Blanket]],Table_NFI[[#This Row],[Winter Blanket]])</f>
        <v>0</v>
      </c>
      <c r="AM563" s="294">
        <f>IF(Table_NFI[[#This Row],[Winter Clothes Adult]]+Table_NFI[[#This Row],[Winter Clothes Children]]+Table_NFI[[#This Row],[Winter Items Other]]+Table_NFI[[#This Row],[Winter Blanket]]&gt;0,1,0)</f>
        <v>0</v>
      </c>
      <c r="AN563" s="331">
        <f>IF(NFI_Expiration=1,IF($A563&lt;VLOOKUP(V$5,NFI,5,0),1,0)*Table_NFI[[#This Row],[Jerry Can]],Table_NFI[Jerry Can])</f>
        <v>0</v>
      </c>
      <c r="AO563" s="331">
        <f>IF(NFI_Expiration=1,IF($A563&lt;VLOOKUP(V$5,NFI,5,0),1,0)*Table_NFI[[#This Row],[Shelter Tool kit]],Table_NFI[Shelter Tool kit])</f>
        <v>0</v>
      </c>
      <c r="AP563" s="331">
        <f>IF(NFI_Expiration=1,IF($A563&lt;VLOOKUP(V$5,NFI,5,0),1,0)*Table_NFI[[#This Row],[Tent]],Table_NFI[Tent])</f>
        <v>0</v>
      </c>
      <c r="AQ563" s="467" t="str">
        <f>IFERROR(VLOOKUP(Table_NFI[[#This Row],[Camp Name]],CL,2,0),"")</f>
        <v>MMR001CMP047</v>
      </c>
      <c r="AR563" s="835">
        <f ca="1">IF(Table_NFI[[#This Row],[Pcode]]="","",IF(OFFSET(CampList[Opening Date],MATCH(Table_NFI[[#This Row],[Pcode]],CampList[CP_Pcode],0)-1,0,1,1)&gt;=NFI_Monitor_Date,1,0))</f>
        <v>0</v>
      </c>
      <c r="AS563" s="467" t="str">
        <f>IFERROR(VLOOKUP(Table_NFI[[#This Row],[Camp Name]],CL,3,0),"")</f>
        <v>Open</v>
      </c>
      <c r="AT563" s="294" t="str">
        <f ca="1">IF(Table_NFI[[#This Row],[Pcode]]="","",OFFSET(CampList[Priority],MATCH(Table_NFI[[#This Row],[Pcode]],CampList[CP_Pcode],0)-1,0,1,1))</f>
        <v>P4</v>
      </c>
      <c r="AU563" s="293">
        <f>IFERROR(Table_NFI[[#This Row],[Kitchen Set]]/VLOOKUP(Table_NFI[[#This Row],[Camp Name]],CL,4,0),"")</f>
        <v>8.8397790055248619E-4</v>
      </c>
      <c r="AV563" s="461" t="s">
        <v>1092</v>
      </c>
      <c r="AW563" s="463"/>
    </row>
    <row r="564" spans="1:49" s="464" customFormat="1" ht="14.45" customHeight="1" x14ac:dyDescent="0.25">
      <c r="A564" s="297">
        <f t="shared" si="8"/>
        <v>37.6</v>
      </c>
      <c r="B564" s="460">
        <v>41608</v>
      </c>
      <c r="C564" s="461" t="s">
        <v>905</v>
      </c>
      <c r="D564" s="461"/>
      <c r="E564" s="461" t="s">
        <v>380</v>
      </c>
      <c r="F564" s="290" t="s">
        <v>185</v>
      </c>
      <c r="G564" s="290" t="s">
        <v>225</v>
      </c>
      <c r="H564" s="291"/>
      <c r="I564" s="291"/>
      <c r="J564" s="291"/>
      <c r="K564" s="291"/>
      <c r="L564" s="292"/>
      <c r="M564" s="292"/>
      <c r="N564" s="292"/>
      <c r="O564" s="292"/>
      <c r="P564" s="294"/>
      <c r="Q564" s="294">
        <v>99</v>
      </c>
      <c r="R564" s="294"/>
      <c r="S564" s="294"/>
      <c r="T564" s="294"/>
      <c r="U564" s="294"/>
      <c r="V564" s="431"/>
      <c r="W564" s="294"/>
      <c r="X564" s="294"/>
      <c r="Y564" s="294">
        <f>IF(NFI_Expiration=1,IF($A564&lt;VLOOKUP(H$5,NFI,5,0),1,0)*Table_NFI[[#This Row],[Hygiene Kit]],Table_NFI[Hygiene Kit])</f>
        <v>0</v>
      </c>
      <c r="Z564" s="294">
        <f>IF(NFI_Expiration=1,IF($A564&lt;VLOOKUP(I$5,NFI,5,0),1,0)*Table_NFI[[#This Row],[NFI Core Kit]],Table_NFI[NFI Core Kit])</f>
        <v>0</v>
      </c>
      <c r="AA564" s="294">
        <f>IF(NFI_Expiration=1,IF($A564&lt;VLOOKUP(J$5,NFI,5,0),1,0)*Table_NFI[[#This Row],[Sanitary Kit]],Table_NFI[Sanitary Kit])</f>
        <v>0</v>
      </c>
      <c r="AB564" s="294">
        <f>IF(NFI_Expiration=1,IF($A564&lt;VLOOKUP(K$5,NFI,5,0),1,0)*Table_NFI[[#This Row],[Mosquito net]],Table_NFI[Mosquito net])</f>
        <v>0</v>
      </c>
      <c r="AC564" s="294">
        <f>IF(NFI_Expiration=1,IF($A564&lt;VLOOKUP(L$5,NFI,5,0),1,0)*Table_NFI[[#This Row],[Tarpaulin]],Table_NFI[[#This Row],[Tarpaulin]])</f>
        <v>0</v>
      </c>
      <c r="AD564" s="294">
        <f>IF(NFI_Expiration=1,IF($A564&lt;VLOOKUP(M$5,NFI,5,0),1,0)*Table_NFI[[#This Row],[Blanket]],Table_NFI[[#This Row],[Blanket]])</f>
        <v>0</v>
      </c>
      <c r="AE564" s="294">
        <f>IF(NFI_Expiration=1,IF($A564&lt;VLOOKUP(N$5,NFI,5,0),1,0)*Table_NFI[[#This Row],[Kitchen Set]],Table_NFI[Kitchen Set])</f>
        <v>0</v>
      </c>
      <c r="AF564" s="294">
        <f>IF(NFI_Expiration=1,IF($A564&lt;VLOOKUP(O$5,NFI,5,0),1,0)*Table_NFI[[#This Row],[Clothes Kit]],Table_NFI[Clothes Kit])</f>
        <v>0</v>
      </c>
      <c r="AG564" s="294">
        <f>IF(NFI_Expiration=1,IF($A564&lt;VLOOKUP(P$5,NFI,5,0),1,0)*Table_NFI[[#This Row],[Plastic Bucket]],Table_NFI[Plastic Bucket])</f>
        <v>0</v>
      </c>
      <c r="AH564" s="294">
        <f>IF(NFI_Expiration=1,IF($A564&lt;VLOOKUP(Q$5,NFI,5,0),1,0)*Table_NFI[[#This Row],[Plastic Mat]],Table_NFI[Plastic Mat])*IF(Table_NFI[[#This Row],[Distribution Date]]&gt;"2014-04-01",1,2.5)</f>
        <v>0</v>
      </c>
      <c r="AI564" s="294">
        <f>IF(NFI_Expiration=1,IF($A564&lt;VLOOKUP(R$5,NFI,5,0),1,0)*Table_NFI[[#This Row],[Winter Clothes Adult]],Table_NFI[Winter Clothes Adult])</f>
        <v>0</v>
      </c>
      <c r="AJ564" s="294">
        <f>IF(NFI_Expiration=1,IF($A564&lt;VLOOKUP(S$5,NFI,5,0),1,0)*Table_NFI[[#This Row],[Winter Clothes Children]],Table_NFI[Winter Clothes Children])</f>
        <v>0</v>
      </c>
      <c r="AK564" s="294">
        <f>IF(NFI_Expiration=1,IF($A564&lt;VLOOKUP(T$5,NFI,5,0),1,0)*Table_NFI[[#This Row],[Winter Items Other]],Table_NFI[Winter Items Other])</f>
        <v>0</v>
      </c>
      <c r="AL564" s="294">
        <f>IF(NFI_Expiration=1,IF($A564&lt;VLOOKUP(M$5,NFI,5,0),1,0)*Table_NFI[[#This Row],[Winter Blanket]],Table_NFI[[#This Row],[Winter Blanket]])</f>
        <v>0</v>
      </c>
      <c r="AM564" s="294">
        <f>IF(Table_NFI[[#This Row],[Winter Clothes Adult]]+Table_NFI[[#This Row],[Winter Clothes Children]]+Table_NFI[[#This Row],[Winter Items Other]]+Table_NFI[[#This Row],[Winter Blanket]]&gt;0,1,0)</f>
        <v>0</v>
      </c>
      <c r="AN564" s="331">
        <f>IF(NFI_Expiration=1,IF($A564&lt;VLOOKUP(V$5,NFI,5,0),1,0)*Table_NFI[[#This Row],[Jerry Can]],Table_NFI[Jerry Can])</f>
        <v>0</v>
      </c>
      <c r="AO564" s="331">
        <f>IF(NFI_Expiration=1,IF($A564&lt;VLOOKUP(V$5,NFI,5,0),1,0)*Table_NFI[[#This Row],[Shelter Tool kit]],Table_NFI[Shelter Tool kit])</f>
        <v>0</v>
      </c>
      <c r="AP564" s="331">
        <f>IF(NFI_Expiration=1,IF($A564&lt;VLOOKUP(V$5,NFI,5,0),1,0)*Table_NFI[[#This Row],[Tent]],Table_NFI[Tent])</f>
        <v>0</v>
      </c>
      <c r="AQ564" s="467" t="str">
        <f>IFERROR(VLOOKUP(Table_NFI[[#This Row],[Camp Name]],CL,2,0),"")</f>
        <v>MMR001CMP073</v>
      </c>
      <c r="AR564" s="835">
        <f ca="1">IF(Table_NFI[[#This Row],[Pcode]]="","",IF(OFFSET(CampList[Opening Date],MATCH(Table_NFI[[#This Row],[Pcode]],CampList[CP_Pcode],0)-1,0,1,1)&gt;=NFI_Monitor_Date,1,0))</f>
        <v>0</v>
      </c>
      <c r="AS564" s="467" t="str">
        <f>IFERROR(VLOOKUP(Table_NFI[[#This Row],[Camp Name]],CL,3,0),"")</f>
        <v>Open</v>
      </c>
      <c r="AT564" s="294" t="str">
        <f ca="1">IF(Table_NFI[[#This Row],[Pcode]]="","",OFFSET(CampList[Priority],MATCH(Table_NFI[[#This Row],[Pcode]],CampList[CP_Pcode],0)-1,0,1,1))</f>
        <v>P3</v>
      </c>
      <c r="AU564" s="293">
        <f>IFERROR(Table_NFI[[#This Row],[Kitchen Set]]/VLOOKUP(Table_NFI[[#This Row],[Camp Name]],CL,4,0),"")</f>
        <v>0</v>
      </c>
      <c r="AV564" s="461" t="s">
        <v>1092</v>
      </c>
      <c r="AW564" s="463"/>
    </row>
    <row r="565" spans="1:49" s="464" customFormat="1" ht="14.45" customHeight="1" x14ac:dyDescent="0.25">
      <c r="A565" s="297">
        <f t="shared" si="8"/>
        <v>37.6</v>
      </c>
      <c r="B565" s="460">
        <v>41608</v>
      </c>
      <c r="C565" s="461" t="s">
        <v>905</v>
      </c>
      <c r="D565" s="461" t="s">
        <v>460</v>
      </c>
      <c r="E565" s="461" t="s">
        <v>380</v>
      </c>
      <c r="F565" s="290" t="s">
        <v>310</v>
      </c>
      <c r="G565" s="290" t="s">
        <v>347</v>
      </c>
      <c r="H565" s="291"/>
      <c r="I565" s="291"/>
      <c r="J565" s="291"/>
      <c r="K565" s="291"/>
      <c r="L565" s="292"/>
      <c r="M565" s="292"/>
      <c r="N565" s="292"/>
      <c r="O565" s="292"/>
      <c r="P565" s="294"/>
      <c r="Q565" s="294"/>
      <c r="R565" s="294"/>
      <c r="S565" s="294"/>
      <c r="T565" s="294"/>
      <c r="U565" s="294"/>
      <c r="V565" s="431"/>
      <c r="W565" s="294"/>
      <c r="X565" s="294"/>
      <c r="Y565" s="294">
        <f>IF(NFI_Expiration=1,IF($A565&lt;VLOOKUP(H$5,NFI,5,0),1,0)*Table_NFI[[#This Row],[Hygiene Kit]],Table_NFI[Hygiene Kit])</f>
        <v>0</v>
      </c>
      <c r="Z565" s="294">
        <f>IF(NFI_Expiration=1,IF($A565&lt;VLOOKUP(I$5,NFI,5,0),1,0)*Table_NFI[[#This Row],[NFI Core Kit]],Table_NFI[NFI Core Kit])</f>
        <v>0</v>
      </c>
      <c r="AA565" s="294">
        <f>IF(NFI_Expiration=1,IF($A565&lt;VLOOKUP(J$5,NFI,5,0),1,0)*Table_NFI[[#This Row],[Sanitary Kit]],Table_NFI[Sanitary Kit])</f>
        <v>0</v>
      </c>
      <c r="AB565" s="294">
        <f>IF(NFI_Expiration=1,IF($A565&lt;VLOOKUP(K$5,NFI,5,0),1,0)*Table_NFI[[#This Row],[Mosquito net]],Table_NFI[Mosquito net])</f>
        <v>0</v>
      </c>
      <c r="AC565" s="294">
        <f>IF(NFI_Expiration=1,IF($A565&lt;VLOOKUP(L$5,NFI,5,0),1,0)*Table_NFI[[#This Row],[Tarpaulin]],Table_NFI[[#This Row],[Tarpaulin]])</f>
        <v>0</v>
      </c>
      <c r="AD565" s="294">
        <f>IF(NFI_Expiration=1,IF($A565&lt;VLOOKUP(M$5,NFI,5,0),1,0)*Table_NFI[[#This Row],[Blanket]],Table_NFI[[#This Row],[Blanket]])</f>
        <v>0</v>
      </c>
      <c r="AE565" s="294">
        <f>IF(NFI_Expiration=1,IF($A565&lt;VLOOKUP(N$5,NFI,5,0),1,0)*Table_NFI[[#This Row],[Kitchen Set]],Table_NFI[Kitchen Set])</f>
        <v>0</v>
      </c>
      <c r="AF565" s="294">
        <f>IF(NFI_Expiration=1,IF($A565&lt;VLOOKUP(O$5,NFI,5,0),1,0)*Table_NFI[[#This Row],[Clothes Kit]],Table_NFI[Clothes Kit])</f>
        <v>0</v>
      </c>
      <c r="AG565" s="294">
        <f>IF(NFI_Expiration=1,IF($A565&lt;VLOOKUP(P$5,NFI,5,0),1,0)*Table_NFI[[#This Row],[Plastic Bucket]],Table_NFI[Plastic Bucket])</f>
        <v>0</v>
      </c>
      <c r="AH565" s="294">
        <f>IF(NFI_Expiration=1,IF($A565&lt;VLOOKUP(Q$5,NFI,5,0),1,0)*Table_NFI[[#This Row],[Plastic Mat]],Table_NFI[Plastic Mat])*IF(Table_NFI[[#This Row],[Distribution Date]]&gt;"2014-04-01",1,2.5)</f>
        <v>0</v>
      </c>
      <c r="AI565" s="294">
        <f>IF(NFI_Expiration=1,IF($A565&lt;VLOOKUP(R$5,NFI,5,0),1,0)*Table_NFI[[#This Row],[Winter Clothes Adult]],Table_NFI[Winter Clothes Adult])</f>
        <v>0</v>
      </c>
      <c r="AJ565" s="294">
        <f>IF(NFI_Expiration=1,IF($A565&lt;VLOOKUP(S$5,NFI,5,0),1,0)*Table_NFI[[#This Row],[Winter Clothes Children]],Table_NFI[Winter Clothes Children])</f>
        <v>0</v>
      </c>
      <c r="AK565" s="294">
        <f>IF(NFI_Expiration=1,IF($A565&lt;VLOOKUP(T$5,NFI,5,0),1,0)*Table_NFI[[#This Row],[Winter Items Other]],Table_NFI[Winter Items Other])</f>
        <v>0</v>
      </c>
      <c r="AL565" s="294">
        <f>IF(NFI_Expiration=1,IF($A565&lt;VLOOKUP(M$5,NFI,5,0),1,0)*Table_NFI[[#This Row],[Winter Blanket]],Table_NFI[[#This Row],[Winter Blanket]])</f>
        <v>0</v>
      </c>
      <c r="AM565" s="294">
        <f>IF(Table_NFI[[#This Row],[Winter Clothes Adult]]+Table_NFI[[#This Row],[Winter Clothes Children]]+Table_NFI[[#This Row],[Winter Items Other]]+Table_NFI[[#This Row],[Winter Blanket]]&gt;0,1,0)</f>
        <v>0</v>
      </c>
      <c r="AN565" s="331">
        <f>IF(NFI_Expiration=1,IF($A565&lt;VLOOKUP(V$5,NFI,5,0),1,0)*Table_NFI[[#This Row],[Jerry Can]],Table_NFI[Jerry Can])</f>
        <v>0</v>
      </c>
      <c r="AO565" s="331">
        <f>IF(NFI_Expiration=1,IF($A565&lt;VLOOKUP(V$5,NFI,5,0),1,0)*Table_NFI[[#This Row],[Shelter Tool kit]],Table_NFI[Shelter Tool kit])</f>
        <v>0</v>
      </c>
      <c r="AP565" s="331">
        <f>IF(NFI_Expiration=1,IF($A565&lt;VLOOKUP(V$5,NFI,5,0),1,0)*Table_NFI[[#This Row],[Tent]],Table_NFI[Tent])</f>
        <v>0</v>
      </c>
      <c r="AQ565" s="467" t="str">
        <f>IFERROR(VLOOKUP(Table_NFI[[#This Row],[Camp Name]],CL,2,0),"")</f>
        <v>MMR001CMP041</v>
      </c>
      <c r="AR565" s="835">
        <f ca="1">IF(Table_NFI[[#This Row],[Pcode]]="","",IF(OFFSET(CampList[Opening Date],MATCH(Table_NFI[[#This Row],[Pcode]],CampList[CP_Pcode],0)-1,0,1,1)&gt;=NFI_Monitor_Date,1,0))</f>
        <v>0</v>
      </c>
      <c r="AS565" s="467" t="str">
        <f>IFERROR(VLOOKUP(Table_NFI[[#This Row],[Camp Name]],CL,3,0),"")</f>
        <v>Open</v>
      </c>
      <c r="AT565" s="294" t="str">
        <f ca="1">IF(Table_NFI[[#This Row],[Pcode]]="","",OFFSET(CampList[Priority],MATCH(Table_NFI[[#This Row],[Pcode]],CampList[CP_Pcode],0)-1,0,1,1))</f>
        <v>P1</v>
      </c>
      <c r="AU565" s="293">
        <f>IFERROR(Table_NFI[[#This Row],[Kitchen Set]]/VLOOKUP(Table_NFI[[#This Row],[Camp Name]],CL,4,0),"")</f>
        <v>0</v>
      </c>
      <c r="AV565" s="461" t="s">
        <v>1092</v>
      </c>
      <c r="AW565" s="463"/>
    </row>
    <row r="566" spans="1:49" s="464" customFormat="1" ht="14.45" customHeight="1" x14ac:dyDescent="0.25">
      <c r="A566" s="297">
        <f t="shared" si="8"/>
        <v>37.6</v>
      </c>
      <c r="B566" s="460">
        <v>41608</v>
      </c>
      <c r="C566" s="461" t="s">
        <v>1097</v>
      </c>
      <c r="D566" s="462" t="s">
        <v>944</v>
      </c>
      <c r="E566" s="461" t="s">
        <v>380</v>
      </c>
      <c r="F566" s="290" t="s">
        <v>302</v>
      </c>
      <c r="G566" s="290" t="s">
        <v>306</v>
      </c>
      <c r="H566" s="291"/>
      <c r="I566" s="291"/>
      <c r="J566" s="291"/>
      <c r="K566" s="291"/>
      <c r="L566" s="292"/>
      <c r="M566" s="292">
        <v>197</v>
      </c>
      <c r="N566" s="292"/>
      <c r="O566" s="292"/>
      <c r="P566" s="294"/>
      <c r="Q566" s="294"/>
      <c r="R566" s="294">
        <v>226</v>
      </c>
      <c r="S566" s="294">
        <v>68</v>
      </c>
      <c r="T566" s="294">
        <v>0</v>
      </c>
      <c r="U566" s="294"/>
      <c r="V566" s="431"/>
      <c r="W566" s="294"/>
      <c r="X566" s="294"/>
      <c r="Y566" s="294">
        <f>IF(NFI_Expiration=1,IF($A566&lt;VLOOKUP(H$5,NFI,5,0),1,0)*Table_NFI[[#This Row],[Hygiene Kit]],Table_NFI[Hygiene Kit])</f>
        <v>0</v>
      </c>
      <c r="Z566" s="294">
        <f>IF(NFI_Expiration=1,IF($A566&lt;VLOOKUP(I$5,NFI,5,0),1,0)*Table_NFI[[#This Row],[NFI Core Kit]],Table_NFI[NFI Core Kit])</f>
        <v>0</v>
      </c>
      <c r="AA566" s="294">
        <f>IF(NFI_Expiration=1,IF($A566&lt;VLOOKUP(J$5,NFI,5,0),1,0)*Table_NFI[[#This Row],[Sanitary Kit]],Table_NFI[Sanitary Kit])</f>
        <v>0</v>
      </c>
      <c r="AB566" s="294">
        <f>IF(NFI_Expiration=1,IF($A566&lt;VLOOKUP(K$5,NFI,5,0),1,0)*Table_NFI[[#This Row],[Mosquito net]],Table_NFI[Mosquito net])</f>
        <v>0</v>
      </c>
      <c r="AC566" s="294">
        <f>IF(NFI_Expiration=1,IF($A566&lt;VLOOKUP(L$5,NFI,5,0),1,0)*Table_NFI[[#This Row],[Tarpaulin]],Table_NFI[[#This Row],[Tarpaulin]])</f>
        <v>0</v>
      </c>
      <c r="AD566" s="294">
        <f>IF(NFI_Expiration=1,IF($A566&lt;VLOOKUP(M$5,NFI,5,0),1,0)*Table_NFI[[#This Row],[Blanket]],Table_NFI[[#This Row],[Blanket]])</f>
        <v>0</v>
      </c>
      <c r="AE566" s="294">
        <f>IF(NFI_Expiration=1,IF($A566&lt;VLOOKUP(N$5,NFI,5,0),1,0)*Table_NFI[[#This Row],[Kitchen Set]],Table_NFI[Kitchen Set])</f>
        <v>0</v>
      </c>
      <c r="AF566" s="294">
        <f>IF(NFI_Expiration=1,IF($A566&lt;VLOOKUP(O$5,NFI,5,0),1,0)*Table_NFI[[#This Row],[Clothes Kit]],Table_NFI[Clothes Kit])</f>
        <v>0</v>
      </c>
      <c r="AG566" s="294">
        <f>IF(NFI_Expiration=1,IF($A566&lt;VLOOKUP(P$5,NFI,5,0),1,0)*Table_NFI[[#This Row],[Plastic Bucket]],Table_NFI[Plastic Bucket])</f>
        <v>0</v>
      </c>
      <c r="AH566" s="294">
        <f>IF(NFI_Expiration=1,IF($A566&lt;VLOOKUP(Q$5,NFI,5,0),1,0)*Table_NFI[[#This Row],[Plastic Mat]],Table_NFI[Plastic Mat])*IF(Table_NFI[[#This Row],[Distribution Date]]&gt;"2014-04-01",1,2.5)</f>
        <v>0</v>
      </c>
      <c r="AI566" s="294">
        <f>IF(NFI_Expiration=1,IF($A566&lt;VLOOKUP(R$5,NFI,5,0),1,0)*Table_NFI[[#This Row],[Winter Clothes Adult]],Table_NFI[Winter Clothes Adult])</f>
        <v>0</v>
      </c>
      <c r="AJ566" s="294">
        <f>IF(NFI_Expiration=1,IF($A566&lt;VLOOKUP(S$5,NFI,5,0),1,0)*Table_NFI[[#This Row],[Winter Clothes Children]],Table_NFI[Winter Clothes Children])</f>
        <v>0</v>
      </c>
      <c r="AK566" s="294">
        <f>IF(NFI_Expiration=1,IF($A566&lt;VLOOKUP(T$5,NFI,5,0),1,0)*Table_NFI[[#This Row],[Winter Items Other]],Table_NFI[Winter Items Other])</f>
        <v>0</v>
      </c>
      <c r="AL566" s="294">
        <f>IF(NFI_Expiration=1,IF($A566&lt;VLOOKUP(M$5,NFI,5,0),1,0)*Table_NFI[[#This Row],[Winter Blanket]],Table_NFI[[#This Row],[Winter Blanket]])</f>
        <v>0</v>
      </c>
      <c r="AM566" s="294">
        <f>IF(Table_NFI[[#This Row],[Winter Clothes Adult]]+Table_NFI[[#This Row],[Winter Clothes Children]]+Table_NFI[[#This Row],[Winter Items Other]]+Table_NFI[[#This Row],[Winter Blanket]]&gt;0,1,0)</f>
        <v>1</v>
      </c>
      <c r="AN566" s="331">
        <f>IF(NFI_Expiration=1,IF($A566&lt;VLOOKUP(V$5,NFI,5,0),1,0)*Table_NFI[[#This Row],[Jerry Can]],Table_NFI[Jerry Can])</f>
        <v>0</v>
      </c>
      <c r="AO566" s="331">
        <f>IF(NFI_Expiration=1,IF($A566&lt;VLOOKUP(V$5,NFI,5,0),1,0)*Table_NFI[[#This Row],[Shelter Tool kit]],Table_NFI[Shelter Tool kit])</f>
        <v>0</v>
      </c>
      <c r="AP566" s="331">
        <f>IF(NFI_Expiration=1,IF($A566&lt;VLOOKUP(V$5,NFI,5,0),1,0)*Table_NFI[[#This Row],[Tent]],Table_NFI[Tent])</f>
        <v>0</v>
      </c>
      <c r="AQ566" s="467" t="str">
        <f>IFERROR(VLOOKUP(Table_NFI[[#This Row],[Camp Name]],CL,2,0),"")</f>
        <v>MMR001CMP067</v>
      </c>
      <c r="AR566" s="835">
        <f ca="1">IF(Table_NFI[[#This Row],[Pcode]]="","",IF(OFFSET(CampList[Opening Date],MATCH(Table_NFI[[#This Row],[Pcode]],CampList[CP_Pcode],0)-1,0,1,1)&gt;=NFI_Monitor_Date,1,0))</f>
        <v>0</v>
      </c>
      <c r="AS566" s="467" t="str">
        <f>IFERROR(VLOOKUP(Table_NFI[[#This Row],[Camp Name]],CL,3,0),"")</f>
        <v>Open</v>
      </c>
      <c r="AT566" s="294" t="str">
        <f ca="1">IF(Table_NFI[[#This Row],[Pcode]]="","",OFFSET(CampList[Priority],MATCH(Table_NFI[[#This Row],[Pcode]],CampList[CP_Pcode],0)-1,0,1,1))</f>
        <v>P4</v>
      </c>
      <c r="AU566" s="293">
        <f>IFERROR(Table_NFI[[#This Row],[Kitchen Set]]/VLOOKUP(Table_NFI[[#This Row],[Camp Name]],CL,4,0),"")</f>
        <v>0</v>
      </c>
      <c r="AV566" s="461" t="s">
        <v>1092</v>
      </c>
      <c r="AW566" s="463"/>
    </row>
    <row r="567" spans="1:49" s="464" customFormat="1" ht="14.45" customHeight="1" x14ac:dyDescent="0.25">
      <c r="A567" s="297">
        <f t="shared" si="8"/>
        <v>37.6</v>
      </c>
      <c r="B567" s="460">
        <v>41608</v>
      </c>
      <c r="C567" s="461" t="s">
        <v>905</v>
      </c>
      <c r="D567" s="461"/>
      <c r="E567" s="461" t="s">
        <v>380</v>
      </c>
      <c r="F567" s="290" t="s">
        <v>302</v>
      </c>
      <c r="G567" s="290" t="s">
        <v>306</v>
      </c>
      <c r="H567" s="291"/>
      <c r="I567" s="291"/>
      <c r="J567" s="291"/>
      <c r="K567" s="291"/>
      <c r="L567" s="292"/>
      <c r="M567" s="292"/>
      <c r="N567" s="292"/>
      <c r="O567" s="292"/>
      <c r="P567" s="294"/>
      <c r="Q567" s="294">
        <v>204</v>
      </c>
      <c r="R567" s="294"/>
      <c r="S567" s="294"/>
      <c r="T567" s="294"/>
      <c r="U567" s="294"/>
      <c r="V567" s="431"/>
      <c r="W567" s="294"/>
      <c r="X567" s="294"/>
      <c r="Y567" s="294">
        <f>IF(NFI_Expiration=1,IF($A567&lt;VLOOKUP(H$5,NFI,5,0),1,0)*Table_NFI[[#This Row],[Hygiene Kit]],Table_NFI[Hygiene Kit])</f>
        <v>0</v>
      </c>
      <c r="Z567" s="294">
        <f>IF(NFI_Expiration=1,IF($A567&lt;VLOOKUP(I$5,NFI,5,0),1,0)*Table_NFI[[#This Row],[NFI Core Kit]],Table_NFI[NFI Core Kit])</f>
        <v>0</v>
      </c>
      <c r="AA567" s="294">
        <f>IF(NFI_Expiration=1,IF($A567&lt;VLOOKUP(J$5,NFI,5,0),1,0)*Table_NFI[[#This Row],[Sanitary Kit]],Table_NFI[Sanitary Kit])</f>
        <v>0</v>
      </c>
      <c r="AB567" s="294">
        <f>IF(NFI_Expiration=1,IF($A567&lt;VLOOKUP(K$5,NFI,5,0),1,0)*Table_NFI[[#This Row],[Mosquito net]],Table_NFI[Mosquito net])</f>
        <v>0</v>
      </c>
      <c r="AC567" s="294">
        <f>IF(NFI_Expiration=1,IF($A567&lt;VLOOKUP(L$5,NFI,5,0),1,0)*Table_NFI[[#This Row],[Tarpaulin]],Table_NFI[[#This Row],[Tarpaulin]])</f>
        <v>0</v>
      </c>
      <c r="AD567" s="294">
        <f>IF(NFI_Expiration=1,IF($A567&lt;VLOOKUP(M$5,NFI,5,0),1,0)*Table_NFI[[#This Row],[Blanket]],Table_NFI[[#This Row],[Blanket]])</f>
        <v>0</v>
      </c>
      <c r="AE567" s="294">
        <f>IF(NFI_Expiration=1,IF($A567&lt;VLOOKUP(N$5,NFI,5,0),1,0)*Table_NFI[[#This Row],[Kitchen Set]],Table_NFI[Kitchen Set])</f>
        <v>0</v>
      </c>
      <c r="AF567" s="294">
        <f>IF(NFI_Expiration=1,IF($A567&lt;VLOOKUP(O$5,NFI,5,0),1,0)*Table_NFI[[#This Row],[Clothes Kit]],Table_NFI[Clothes Kit])</f>
        <v>0</v>
      </c>
      <c r="AG567" s="294">
        <f>IF(NFI_Expiration=1,IF($A567&lt;VLOOKUP(P$5,NFI,5,0),1,0)*Table_NFI[[#This Row],[Plastic Bucket]],Table_NFI[Plastic Bucket])</f>
        <v>0</v>
      </c>
      <c r="AH567" s="294">
        <f>IF(NFI_Expiration=1,IF($A567&lt;VLOOKUP(Q$5,NFI,5,0),1,0)*Table_NFI[[#This Row],[Plastic Mat]],Table_NFI[Plastic Mat])*IF(Table_NFI[[#This Row],[Distribution Date]]&gt;"2014-04-01",1,2.5)</f>
        <v>0</v>
      </c>
      <c r="AI567" s="294">
        <f>IF(NFI_Expiration=1,IF($A567&lt;VLOOKUP(R$5,NFI,5,0),1,0)*Table_NFI[[#This Row],[Winter Clothes Adult]],Table_NFI[Winter Clothes Adult])</f>
        <v>0</v>
      </c>
      <c r="AJ567" s="294">
        <f>IF(NFI_Expiration=1,IF($A567&lt;VLOOKUP(S$5,NFI,5,0),1,0)*Table_NFI[[#This Row],[Winter Clothes Children]],Table_NFI[Winter Clothes Children])</f>
        <v>0</v>
      </c>
      <c r="AK567" s="294">
        <f>IF(NFI_Expiration=1,IF($A567&lt;VLOOKUP(T$5,NFI,5,0),1,0)*Table_NFI[[#This Row],[Winter Items Other]],Table_NFI[Winter Items Other])</f>
        <v>0</v>
      </c>
      <c r="AL567" s="294">
        <f>IF(NFI_Expiration=1,IF($A567&lt;VLOOKUP(M$5,NFI,5,0),1,0)*Table_NFI[[#This Row],[Winter Blanket]],Table_NFI[[#This Row],[Winter Blanket]])</f>
        <v>0</v>
      </c>
      <c r="AM567" s="294">
        <f>IF(Table_NFI[[#This Row],[Winter Clothes Adult]]+Table_NFI[[#This Row],[Winter Clothes Children]]+Table_NFI[[#This Row],[Winter Items Other]]+Table_NFI[[#This Row],[Winter Blanket]]&gt;0,1,0)</f>
        <v>0</v>
      </c>
      <c r="AN567" s="331">
        <f>IF(NFI_Expiration=1,IF($A567&lt;VLOOKUP(V$5,NFI,5,0),1,0)*Table_NFI[[#This Row],[Jerry Can]],Table_NFI[Jerry Can])</f>
        <v>0</v>
      </c>
      <c r="AO567" s="331">
        <f>IF(NFI_Expiration=1,IF($A567&lt;VLOOKUP(V$5,NFI,5,0),1,0)*Table_NFI[[#This Row],[Shelter Tool kit]],Table_NFI[Shelter Tool kit])</f>
        <v>0</v>
      </c>
      <c r="AP567" s="331">
        <f>IF(NFI_Expiration=1,IF($A567&lt;VLOOKUP(V$5,NFI,5,0),1,0)*Table_NFI[[#This Row],[Tent]],Table_NFI[Tent])</f>
        <v>0</v>
      </c>
      <c r="AQ567" s="467" t="str">
        <f>IFERROR(VLOOKUP(Table_NFI[[#This Row],[Camp Name]],CL,2,0),"")</f>
        <v>MMR001CMP067</v>
      </c>
      <c r="AR567" s="835">
        <f ca="1">IF(Table_NFI[[#This Row],[Pcode]]="","",IF(OFFSET(CampList[Opening Date],MATCH(Table_NFI[[#This Row],[Pcode]],CampList[CP_Pcode],0)-1,0,1,1)&gt;=NFI_Monitor_Date,1,0))</f>
        <v>0</v>
      </c>
      <c r="AS567" s="467" t="str">
        <f>IFERROR(VLOOKUP(Table_NFI[[#This Row],[Camp Name]],CL,3,0),"")</f>
        <v>Open</v>
      </c>
      <c r="AT567" s="294" t="str">
        <f ca="1">IF(Table_NFI[[#This Row],[Pcode]]="","",OFFSET(CampList[Priority],MATCH(Table_NFI[[#This Row],[Pcode]],CampList[CP_Pcode],0)-1,0,1,1))</f>
        <v>P4</v>
      </c>
      <c r="AU567" s="293">
        <f>IFERROR(Table_NFI[[#This Row],[Kitchen Set]]/VLOOKUP(Table_NFI[[#This Row],[Camp Name]],CL,4,0),"")</f>
        <v>0</v>
      </c>
      <c r="AV567" s="461" t="s">
        <v>1092</v>
      </c>
      <c r="AW567" s="463"/>
    </row>
    <row r="568" spans="1:49" s="464" customFormat="1" ht="14.45" customHeight="1" x14ac:dyDescent="0.25">
      <c r="A568" s="297">
        <f t="shared" si="8"/>
        <v>37.6</v>
      </c>
      <c r="B568" s="460">
        <v>41608</v>
      </c>
      <c r="C568" s="461" t="s">
        <v>1097</v>
      </c>
      <c r="D568" s="462" t="s">
        <v>944</v>
      </c>
      <c r="E568" s="461" t="s">
        <v>380</v>
      </c>
      <c r="F568" s="290" t="s">
        <v>302</v>
      </c>
      <c r="G568" s="290" t="s">
        <v>308</v>
      </c>
      <c r="H568" s="291"/>
      <c r="I568" s="291"/>
      <c r="J568" s="291"/>
      <c r="K568" s="291"/>
      <c r="L568" s="292"/>
      <c r="M568" s="292">
        <v>142</v>
      </c>
      <c r="N568" s="292"/>
      <c r="O568" s="292"/>
      <c r="P568" s="294"/>
      <c r="Q568" s="294"/>
      <c r="R568" s="294">
        <v>182</v>
      </c>
      <c r="S568" s="294">
        <v>60</v>
      </c>
      <c r="T568" s="294">
        <v>0</v>
      </c>
      <c r="U568" s="294"/>
      <c r="V568" s="431"/>
      <c r="W568" s="294"/>
      <c r="X568" s="294"/>
      <c r="Y568" s="294">
        <f>IF(NFI_Expiration=1,IF($A568&lt;VLOOKUP(H$5,NFI,5,0),1,0)*Table_NFI[[#This Row],[Hygiene Kit]],Table_NFI[Hygiene Kit])</f>
        <v>0</v>
      </c>
      <c r="Z568" s="294">
        <f>IF(NFI_Expiration=1,IF($A568&lt;VLOOKUP(I$5,NFI,5,0),1,0)*Table_NFI[[#This Row],[NFI Core Kit]],Table_NFI[NFI Core Kit])</f>
        <v>0</v>
      </c>
      <c r="AA568" s="294">
        <f>IF(NFI_Expiration=1,IF($A568&lt;VLOOKUP(J$5,NFI,5,0),1,0)*Table_NFI[[#This Row],[Sanitary Kit]],Table_NFI[Sanitary Kit])</f>
        <v>0</v>
      </c>
      <c r="AB568" s="294">
        <f>IF(NFI_Expiration=1,IF($A568&lt;VLOOKUP(K$5,NFI,5,0),1,0)*Table_NFI[[#This Row],[Mosquito net]],Table_NFI[Mosquito net])</f>
        <v>0</v>
      </c>
      <c r="AC568" s="294">
        <f>IF(NFI_Expiration=1,IF($A568&lt;VLOOKUP(L$5,NFI,5,0),1,0)*Table_NFI[[#This Row],[Tarpaulin]],Table_NFI[[#This Row],[Tarpaulin]])</f>
        <v>0</v>
      </c>
      <c r="AD568" s="294">
        <f>IF(NFI_Expiration=1,IF($A568&lt;VLOOKUP(M$5,NFI,5,0),1,0)*Table_NFI[[#This Row],[Blanket]],Table_NFI[[#This Row],[Blanket]])</f>
        <v>0</v>
      </c>
      <c r="AE568" s="294">
        <f>IF(NFI_Expiration=1,IF($A568&lt;VLOOKUP(N$5,NFI,5,0),1,0)*Table_NFI[[#This Row],[Kitchen Set]],Table_NFI[Kitchen Set])</f>
        <v>0</v>
      </c>
      <c r="AF568" s="294">
        <f>IF(NFI_Expiration=1,IF($A568&lt;VLOOKUP(O$5,NFI,5,0),1,0)*Table_NFI[[#This Row],[Clothes Kit]],Table_NFI[Clothes Kit])</f>
        <v>0</v>
      </c>
      <c r="AG568" s="294">
        <f>IF(NFI_Expiration=1,IF($A568&lt;VLOOKUP(P$5,NFI,5,0),1,0)*Table_NFI[[#This Row],[Plastic Bucket]],Table_NFI[Plastic Bucket])</f>
        <v>0</v>
      </c>
      <c r="AH568" s="294">
        <f>IF(NFI_Expiration=1,IF($A568&lt;VLOOKUP(Q$5,NFI,5,0),1,0)*Table_NFI[[#This Row],[Plastic Mat]],Table_NFI[Plastic Mat])*IF(Table_NFI[[#This Row],[Distribution Date]]&gt;"2014-04-01",1,2.5)</f>
        <v>0</v>
      </c>
      <c r="AI568" s="294">
        <f>IF(NFI_Expiration=1,IF($A568&lt;VLOOKUP(R$5,NFI,5,0),1,0)*Table_NFI[[#This Row],[Winter Clothes Adult]],Table_NFI[Winter Clothes Adult])</f>
        <v>0</v>
      </c>
      <c r="AJ568" s="294">
        <f>IF(NFI_Expiration=1,IF($A568&lt;VLOOKUP(S$5,NFI,5,0),1,0)*Table_NFI[[#This Row],[Winter Clothes Children]],Table_NFI[Winter Clothes Children])</f>
        <v>0</v>
      </c>
      <c r="AK568" s="294">
        <f>IF(NFI_Expiration=1,IF($A568&lt;VLOOKUP(T$5,NFI,5,0),1,0)*Table_NFI[[#This Row],[Winter Items Other]],Table_NFI[Winter Items Other])</f>
        <v>0</v>
      </c>
      <c r="AL568" s="294">
        <f>IF(NFI_Expiration=1,IF($A568&lt;VLOOKUP(M$5,NFI,5,0),1,0)*Table_NFI[[#This Row],[Winter Blanket]],Table_NFI[[#This Row],[Winter Blanket]])</f>
        <v>0</v>
      </c>
      <c r="AM568" s="294">
        <f>IF(Table_NFI[[#This Row],[Winter Clothes Adult]]+Table_NFI[[#This Row],[Winter Clothes Children]]+Table_NFI[[#This Row],[Winter Items Other]]+Table_NFI[[#This Row],[Winter Blanket]]&gt;0,1,0)</f>
        <v>1</v>
      </c>
      <c r="AN568" s="331">
        <f>IF(NFI_Expiration=1,IF($A568&lt;VLOOKUP(V$5,NFI,5,0),1,0)*Table_NFI[[#This Row],[Jerry Can]],Table_NFI[Jerry Can])</f>
        <v>0</v>
      </c>
      <c r="AO568" s="331">
        <f>IF(NFI_Expiration=1,IF($A568&lt;VLOOKUP(V$5,NFI,5,0),1,0)*Table_NFI[[#This Row],[Shelter Tool kit]],Table_NFI[Shelter Tool kit])</f>
        <v>0</v>
      </c>
      <c r="AP568" s="331">
        <f>IF(NFI_Expiration=1,IF($A568&lt;VLOOKUP(V$5,NFI,5,0),1,0)*Table_NFI[[#This Row],[Tent]],Table_NFI[Tent])</f>
        <v>0</v>
      </c>
      <c r="AQ568" s="467" t="str">
        <f>IFERROR(VLOOKUP(Table_NFI[[#This Row],[Camp Name]],CL,2,0),"")</f>
        <v>MMR001CMP068</v>
      </c>
      <c r="AR568" s="835">
        <f ca="1">IF(Table_NFI[[#This Row],[Pcode]]="","",IF(OFFSET(CampList[Opening Date],MATCH(Table_NFI[[#This Row],[Pcode]],CampList[CP_Pcode],0)-1,0,1,1)&gt;=NFI_Monitor_Date,1,0))</f>
        <v>0</v>
      </c>
      <c r="AS568" s="467" t="str">
        <f>IFERROR(VLOOKUP(Table_NFI[[#This Row],[Camp Name]],CL,3,0),"")</f>
        <v>Open</v>
      </c>
      <c r="AT568" s="294" t="str">
        <f ca="1">IF(Table_NFI[[#This Row],[Pcode]]="","",OFFSET(CampList[Priority],MATCH(Table_NFI[[#This Row],[Pcode]],CampList[CP_Pcode],0)-1,0,1,1))</f>
        <v>P4</v>
      </c>
      <c r="AU568" s="293">
        <f>IFERROR(Table_NFI[[#This Row],[Kitchen Set]]/VLOOKUP(Table_NFI[[#This Row],[Camp Name]],CL,4,0),"")</f>
        <v>0</v>
      </c>
      <c r="AV568" s="461" t="s">
        <v>1092</v>
      </c>
      <c r="AW568" s="463"/>
    </row>
    <row r="569" spans="1:49" s="464" customFormat="1" ht="14.45" customHeight="1" x14ac:dyDescent="0.25">
      <c r="A569" s="297">
        <f t="shared" si="8"/>
        <v>37.6</v>
      </c>
      <c r="B569" s="460">
        <v>41608</v>
      </c>
      <c r="C569" s="461" t="s">
        <v>905</v>
      </c>
      <c r="D569" s="461"/>
      <c r="E569" s="461" t="s">
        <v>380</v>
      </c>
      <c r="F569" s="290" t="s">
        <v>302</v>
      </c>
      <c r="G569" s="290" t="s">
        <v>308</v>
      </c>
      <c r="H569" s="291"/>
      <c r="I569" s="291"/>
      <c r="J569" s="291"/>
      <c r="K569" s="291"/>
      <c r="L569" s="292"/>
      <c r="M569" s="292"/>
      <c r="N569" s="292"/>
      <c r="O569" s="292"/>
      <c r="P569" s="294"/>
      <c r="Q569" s="294">
        <v>126</v>
      </c>
      <c r="R569" s="294"/>
      <c r="S569" s="294"/>
      <c r="T569" s="294"/>
      <c r="U569" s="294"/>
      <c r="V569" s="431"/>
      <c r="W569" s="294"/>
      <c r="X569" s="294"/>
      <c r="Y569" s="294">
        <f>IF(NFI_Expiration=1,IF($A569&lt;VLOOKUP(H$5,NFI,5,0),1,0)*Table_NFI[[#This Row],[Hygiene Kit]],Table_NFI[Hygiene Kit])</f>
        <v>0</v>
      </c>
      <c r="Z569" s="294">
        <f>IF(NFI_Expiration=1,IF($A569&lt;VLOOKUP(I$5,NFI,5,0),1,0)*Table_NFI[[#This Row],[NFI Core Kit]],Table_NFI[NFI Core Kit])</f>
        <v>0</v>
      </c>
      <c r="AA569" s="294">
        <f>IF(NFI_Expiration=1,IF($A569&lt;VLOOKUP(J$5,NFI,5,0),1,0)*Table_NFI[[#This Row],[Sanitary Kit]],Table_NFI[Sanitary Kit])</f>
        <v>0</v>
      </c>
      <c r="AB569" s="294">
        <f>IF(NFI_Expiration=1,IF($A569&lt;VLOOKUP(K$5,NFI,5,0),1,0)*Table_NFI[[#This Row],[Mosquito net]],Table_NFI[Mosquito net])</f>
        <v>0</v>
      </c>
      <c r="AC569" s="294">
        <f>IF(NFI_Expiration=1,IF($A569&lt;VLOOKUP(L$5,NFI,5,0),1,0)*Table_NFI[[#This Row],[Tarpaulin]],Table_NFI[[#This Row],[Tarpaulin]])</f>
        <v>0</v>
      </c>
      <c r="AD569" s="294">
        <f>IF(NFI_Expiration=1,IF($A569&lt;VLOOKUP(M$5,NFI,5,0),1,0)*Table_NFI[[#This Row],[Blanket]],Table_NFI[[#This Row],[Blanket]])</f>
        <v>0</v>
      </c>
      <c r="AE569" s="294">
        <f>IF(NFI_Expiration=1,IF($A569&lt;VLOOKUP(N$5,NFI,5,0),1,0)*Table_NFI[[#This Row],[Kitchen Set]],Table_NFI[Kitchen Set])</f>
        <v>0</v>
      </c>
      <c r="AF569" s="294">
        <f>IF(NFI_Expiration=1,IF($A569&lt;VLOOKUP(O$5,NFI,5,0),1,0)*Table_NFI[[#This Row],[Clothes Kit]],Table_NFI[Clothes Kit])</f>
        <v>0</v>
      </c>
      <c r="AG569" s="294">
        <f>IF(NFI_Expiration=1,IF($A569&lt;VLOOKUP(P$5,NFI,5,0),1,0)*Table_NFI[[#This Row],[Plastic Bucket]],Table_NFI[Plastic Bucket])</f>
        <v>0</v>
      </c>
      <c r="AH569" s="294">
        <f>IF(NFI_Expiration=1,IF($A569&lt;VLOOKUP(Q$5,NFI,5,0),1,0)*Table_NFI[[#This Row],[Plastic Mat]],Table_NFI[Plastic Mat])*IF(Table_NFI[[#This Row],[Distribution Date]]&gt;"2014-04-01",1,2.5)</f>
        <v>0</v>
      </c>
      <c r="AI569" s="294">
        <f>IF(NFI_Expiration=1,IF($A569&lt;VLOOKUP(R$5,NFI,5,0),1,0)*Table_NFI[[#This Row],[Winter Clothes Adult]],Table_NFI[Winter Clothes Adult])</f>
        <v>0</v>
      </c>
      <c r="AJ569" s="294">
        <f>IF(NFI_Expiration=1,IF($A569&lt;VLOOKUP(S$5,NFI,5,0),1,0)*Table_NFI[[#This Row],[Winter Clothes Children]],Table_NFI[Winter Clothes Children])</f>
        <v>0</v>
      </c>
      <c r="AK569" s="294">
        <f>IF(NFI_Expiration=1,IF($A569&lt;VLOOKUP(T$5,NFI,5,0),1,0)*Table_NFI[[#This Row],[Winter Items Other]],Table_NFI[Winter Items Other])</f>
        <v>0</v>
      </c>
      <c r="AL569" s="294">
        <f>IF(NFI_Expiration=1,IF($A569&lt;VLOOKUP(M$5,NFI,5,0),1,0)*Table_NFI[[#This Row],[Winter Blanket]],Table_NFI[[#This Row],[Winter Blanket]])</f>
        <v>0</v>
      </c>
      <c r="AM569" s="294">
        <f>IF(Table_NFI[[#This Row],[Winter Clothes Adult]]+Table_NFI[[#This Row],[Winter Clothes Children]]+Table_NFI[[#This Row],[Winter Items Other]]+Table_NFI[[#This Row],[Winter Blanket]]&gt;0,1,0)</f>
        <v>0</v>
      </c>
      <c r="AN569" s="331">
        <f>IF(NFI_Expiration=1,IF($A569&lt;VLOOKUP(V$5,NFI,5,0),1,0)*Table_NFI[[#This Row],[Jerry Can]],Table_NFI[Jerry Can])</f>
        <v>0</v>
      </c>
      <c r="AO569" s="331">
        <f>IF(NFI_Expiration=1,IF($A569&lt;VLOOKUP(V$5,NFI,5,0),1,0)*Table_NFI[[#This Row],[Shelter Tool kit]],Table_NFI[Shelter Tool kit])</f>
        <v>0</v>
      </c>
      <c r="AP569" s="331">
        <f>IF(NFI_Expiration=1,IF($A569&lt;VLOOKUP(V$5,NFI,5,0),1,0)*Table_NFI[[#This Row],[Tent]],Table_NFI[Tent])</f>
        <v>0</v>
      </c>
      <c r="AQ569" s="467" t="str">
        <f>IFERROR(VLOOKUP(Table_NFI[[#This Row],[Camp Name]],CL,2,0),"")</f>
        <v>MMR001CMP068</v>
      </c>
      <c r="AR569" s="835">
        <f ca="1">IF(Table_NFI[[#This Row],[Pcode]]="","",IF(OFFSET(CampList[Opening Date],MATCH(Table_NFI[[#This Row],[Pcode]],CampList[CP_Pcode],0)-1,0,1,1)&gt;=NFI_Monitor_Date,1,0))</f>
        <v>0</v>
      </c>
      <c r="AS569" s="467" t="str">
        <f>IFERROR(VLOOKUP(Table_NFI[[#This Row],[Camp Name]],CL,3,0),"")</f>
        <v>Open</v>
      </c>
      <c r="AT569" s="294" t="str">
        <f ca="1">IF(Table_NFI[[#This Row],[Pcode]]="","",OFFSET(CampList[Priority],MATCH(Table_NFI[[#This Row],[Pcode]],CampList[CP_Pcode],0)-1,0,1,1))</f>
        <v>P4</v>
      </c>
      <c r="AU569" s="293">
        <f>IFERROR(Table_NFI[[#This Row],[Kitchen Set]]/VLOOKUP(Table_NFI[[#This Row],[Camp Name]],CL,4,0),"")</f>
        <v>0</v>
      </c>
      <c r="AV569" s="461" t="s">
        <v>1092</v>
      </c>
      <c r="AW569" s="463"/>
    </row>
    <row r="570" spans="1:49" s="464" customFormat="1" ht="14.45" customHeight="1" x14ac:dyDescent="0.25">
      <c r="A570" s="297">
        <f t="shared" si="8"/>
        <v>37.6</v>
      </c>
      <c r="B570" s="460">
        <v>41608</v>
      </c>
      <c r="C570" s="461" t="s">
        <v>1097</v>
      </c>
      <c r="D570" s="462" t="s">
        <v>944</v>
      </c>
      <c r="E570" s="461" t="s">
        <v>380</v>
      </c>
      <c r="F570" s="290" t="s">
        <v>5</v>
      </c>
      <c r="G570" s="290" t="s">
        <v>24</v>
      </c>
      <c r="H570" s="291"/>
      <c r="I570" s="291"/>
      <c r="J570" s="291"/>
      <c r="K570" s="291"/>
      <c r="L570" s="292"/>
      <c r="M570" s="292">
        <v>135</v>
      </c>
      <c r="N570" s="292"/>
      <c r="O570" s="292"/>
      <c r="P570" s="294"/>
      <c r="Q570" s="294"/>
      <c r="R570" s="294">
        <v>68</v>
      </c>
      <c r="S570" s="294">
        <v>61</v>
      </c>
      <c r="T570" s="294">
        <v>0</v>
      </c>
      <c r="U570" s="294"/>
      <c r="V570" s="431"/>
      <c r="W570" s="294"/>
      <c r="X570" s="294"/>
      <c r="Y570" s="294">
        <f>IF(NFI_Expiration=1,IF($A570&lt;VLOOKUP(H$5,NFI,5,0),1,0)*Table_NFI[[#This Row],[Hygiene Kit]],Table_NFI[Hygiene Kit])</f>
        <v>0</v>
      </c>
      <c r="Z570" s="294">
        <f>IF(NFI_Expiration=1,IF($A570&lt;VLOOKUP(I$5,NFI,5,0),1,0)*Table_NFI[[#This Row],[NFI Core Kit]],Table_NFI[NFI Core Kit])</f>
        <v>0</v>
      </c>
      <c r="AA570" s="294">
        <f>IF(NFI_Expiration=1,IF($A570&lt;VLOOKUP(J$5,NFI,5,0),1,0)*Table_NFI[[#This Row],[Sanitary Kit]],Table_NFI[Sanitary Kit])</f>
        <v>0</v>
      </c>
      <c r="AB570" s="294">
        <f>IF(NFI_Expiration=1,IF($A570&lt;VLOOKUP(K$5,NFI,5,0),1,0)*Table_NFI[[#This Row],[Mosquito net]],Table_NFI[Mosquito net])</f>
        <v>0</v>
      </c>
      <c r="AC570" s="294">
        <f>IF(NFI_Expiration=1,IF($A570&lt;VLOOKUP(L$5,NFI,5,0),1,0)*Table_NFI[[#This Row],[Tarpaulin]],Table_NFI[[#This Row],[Tarpaulin]])</f>
        <v>0</v>
      </c>
      <c r="AD570" s="294">
        <f>IF(NFI_Expiration=1,IF($A570&lt;VLOOKUP(M$5,NFI,5,0),1,0)*Table_NFI[[#This Row],[Blanket]],Table_NFI[[#This Row],[Blanket]])</f>
        <v>0</v>
      </c>
      <c r="AE570" s="294">
        <f>IF(NFI_Expiration=1,IF($A570&lt;VLOOKUP(N$5,NFI,5,0),1,0)*Table_NFI[[#This Row],[Kitchen Set]],Table_NFI[Kitchen Set])</f>
        <v>0</v>
      </c>
      <c r="AF570" s="294">
        <f>IF(NFI_Expiration=1,IF($A570&lt;VLOOKUP(O$5,NFI,5,0),1,0)*Table_NFI[[#This Row],[Clothes Kit]],Table_NFI[Clothes Kit])</f>
        <v>0</v>
      </c>
      <c r="AG570" s="294">
        <f>IF(NFI_Expiration=1,IF($A570&lt;VLOOKUP(P$5,NFI,5,0),1,0)*Table_NFI[[#This Row],[Plastic Bucket]],Table_NFI[Plastic Bucket])</f>
        <v>0</v>
      </c>
      <c r="AH570" s="294">
        <f>IF(NFI_Expiration=1,IF($A570&lt;VLOOKUP(Q$5,NFI,5,0),1,0)*Table_NFI[[#This Row],[Plastic Mat]],Table_NFI[Plastic Mat])*IF(Table_NFI[[#This Row],[Distribution Date]]&gt;"2014-04-01",1,2.5)</f>
        <v>0</v>
      </c>
      <c r="AI570" s="294">
        <f>IF(NFI_Expiration=1,IF($A570&lt;VLOOKUP(R$5,NFI,5,0),1,0)*Table_NFI[[#This Row],[Winter Clothes Adult]],Table_NFI[Winter Clothes Adult])</f>
        <v>0</v>
      </c>
      <c r="AJ570" s="294">
        <f>IF(NFI_Expiration=1,IF($A570&lt;VLOOKUP(S$5,NFI,5,0),1,0)*Table_NFI[[#This Row],[Winter Clothes Children]],Table_NFI[Winter Clothes Children])</f>
        <v>0</v>
      </c>
      <c r="AK570" s="294">
        <f>IF(NFI_Expiration=1,IF($A570&lt;VLOOKUP(T$5,NFI,5,0),1,0)*Table_NFI[[#This Row],[Winter Items Other]],Table_NFI[Winter Items Other])</f>
        <v>0</v>
      </c>
      <c r="AL570" s="294">
        <f>IF(NFI_Expiration=1,IF($A570&lt;VLOOKUP(M$5,NFI,5,0),1,0)*Table_NFI[[#This Row],[Winter Blanket]],Table_NFI[[#This Row],[Winter Blanket]])</f>
        <v>0</v>
      </c>
      <c r="AM570" s="294">
        <f>IF(Table_NFI[[#This Row],[Winter Clothes Adult]]+Table_NFI[[#This Row],[Winter Clothes Children]]+Table_NFI[[#This Row],[Winter Items Other]]+Table_NFI[[#This Row],[Winter Blanket]]&gt;0,1,0)</f>
        <v>1</v>
      </c>
      <c r="AN570" s="331">
        <f>IF(NFI_Expiration=1,IF($A570&lt;VLOOKUP(V$5,NFI,5,0),1,0)*Table_NFI[[#This Row],[Jerry Can]],Table_NFI[Jerry Can])</f>
        <v>0</v>
      </c>
      <c r="AO570" s="331">
        <f>IF(NFI_Expiration=1,IF($A570&lt;VLOOKUP(V$5,NFI,5,0),1,0)*Table_NFI[[#This Row],[Shelter Tool kit]],Table_NFI[Shelter Tool kit])</f>
        <v>0</v>
      </c>
      <c r="AP570" s="331">
        <f>IF(NFI_Expiration=1,IF($A570&lt;VLOOKUP(V$5,NFI,5,0),1,0)*Table_NFI[[#This Row],[Tent]],Table_NFI[Tent])</f>
        <v>0</v>
      </c>
      <c r="AQ570" s="467" t="str">
        <f>IFERROR(VLOOKUP(Table_NFI[[#This Row],[Camp Name]],CL,2,0),"")</f>
        <v>MMR001CMP055</v>
      </c>
      <c r="AR570" s="835">
        <f ca="1">IF(Table_NFI[[#This Row],[Pcode]]="","",IF(OFFSET(CampList[Opening Date],MATCH(Table_NFI[[#This Row],[Pcode]],CampList[CP_Pcode],0)-1,0,1,1)&gt;=NFI_Monitor_Date,1,0))</f>
        <v>0</v>
      </c>
      <c r="AS570" s="467" t="str">
        <f>IFERROR(VLOOKUP(Table_NFI[[#This Row],[Camp Name]],CL,3,0),"")</f>
        <v>Open</v>
      </c>
      <c r="AT570" s="294" t="str">
        <f ca="1">IF(Table_NFI[[#This Row],[Pcode]]="","",OFFSET(CampList[Priority],MATCH(Table_NFI[[#This Row],[Pcode]],CampList[CP_Pcode],0)-1,0,1,1))</f>
        <v>P4</v>
      </c>
      <c r="AU570" s="293">
        <f>IFERROR(Table_NFI[[#This Row],[Kitchen Set]]/VLOOKUP(Table_NFI[[#This Row],[Camp Name]],CL,4,0),"")</f>
        <v>0</v>
      </c>
      <c r="AV570" s="461" t="s">
        <v>1092</v>
      </c>
      <c r="AW570" s="463"/>
    </row>
    <row r="571" spans="1:49" s="464" customFormat="1" ht="14.45" customHeight="1" x14ac:dyDescent="0.25">
      <c r="A571" s="297">
        <f t="shared" si="8"/>
        <v>37.6</v>
      </c>
      <c r="B571" s="460">
        <v>41608</v>
      </c>
      <c r="C571" s="461" t="s">
        <v>905</v>
      </c>
      <c r="D571" s="461"/>
      <c r="E571" s="461" t="s">
        <v>380</v>
      </c>
      <c r="F571" s="290" t="s">
        <v>5</v>
      </c>
      <c r="G571" s="290" t="s">
        <v>24</v>
      </c>
      <c r="H571" s="291"/>
      <c r="I571" s="291"/>
      <c r="J571" s="291"/>
      <c r="K571" s="291"/>
      <c r="L571" s="292"/>
      <c r="M571" s="292"/>
      <c r="N571" s="292"/>
      <c r="O571" s="292"/>
      <c r="P571" s="294"/>
      <c r="Q571" s="294"/>
      <c r="R571" s="294"/>
      <c r="S571" s="294"/>
      <c r="T571" s="294"/>
      <c r="U571" s="294"/>
      <c r="V571" s="431"/>
      <c r="W571" s="294"/>
      <c r="X571" s="294"/>
      <c r="Y571" s="294">
        <f>IF(NFI_Expiration=1,IF($A571&lt;VLOOKUP(H$5,NFI,5,0),1,0)*Table_NFI[[#This Row],[Hygiene Kit]],Table_NFI[Hygiene Kit])</f>
        <v>0</v>
      </c>
      <c r="Z571" s="294">
        <f>IF(NFI_Expiration=1,IF($A571&lt;VLOOKUP(I$5,NFI,5,0),1,0)*Table_NFI[[#This Row],[NFI Core Kit]],Table_NFI[NFI Core Kit])</f>
        <v>0</v>
      </c>
      <c r="AA571" s="294">
        <f>IF(NFI_Expiration=1,IF($A571&lt;VLOOKUP(J$5,NFI,5,0),1,0)*Table_NFI[[#This Row],[Sanitary Kit]],Table_NFI[Sanitary Kit])</f>
        <v>0</v>
      </c>
      <c r="AB571" s="294">
        <f>IF(NFI_Expiration=1,IF($A571&lt;VLOOKUP(K$5,NFI,5,0),1,0)*Table_NFI[[#This Row],[Mosquito net]],Table_NFI[Mosquito net])</f>
        <v>0</v>
      </c>
      <c r="AC571" s="294">
        <f>IF(NFI_Expiration=1,IF($A571&lt;VLOOKUP(L$5,NFI,5,0),1,0)*Table_NFI[[#This Row],[Tarpaulin]],Table_NFI[[#This Row],[Tarpaulin]])</f>
        <v>0</v>
      </c>
      <c r="AD571" s="294">
        <f>IF(NFI_Expiration=1,IF($A571&lt;VLOOKUP(M$5,NFI,5,0),1,0)*Table_NFI[[#This Row],[Blanket]],Table_NFI[[#This Row],[Blanket]])</f>
        <v>0</v>
      </c>
      <c r="AE571" s="294">
        <f>IF(NFI_Expiration=1,IF($A571&lt;VLOOKUP(N$5,NFI,5,0),1,0)*Table_NFI[[#This Row],[Kitchen Set]],Table_NFI[Kitchen Set])</f>
        <v>0</v>
      </c>
      <c r="AF571" s="294">
        <f>IF(NFI_Expiration=1,IF($A571&lt;VLOOKUP(O$5,NFI,5,0),1,0)*Table_NFI[[#This Row],[Clothes Kit]],Table_NFI[Clothes Kit])</f>
        <v>0</v>
      </c>
      <c r="AG571" s="294">
        <f>IF(NFI_Expiration=1,IF($A571&lt;VLOOKUP(P$5,NFI,5,0),1,0)*Table_NFI[[#This Row],[Plastic Bucket]],Table_NFI[Plastic Bucket])</f>
        <v>0</v>
      </c>
      <c r="AH571" s="294">
        <f>IF(NFI_Expiration=1,IF($A571&lt;VLOOKUP(Q$5,NFI,5,0),1,0)*Table_NFI[[#This Row],[Plastic Mat]],Table_NFI[Plastic Mat])*IF(Table_NFI[[#This Row],[Distribution Date]]&gt;"2014-04-01",1,2.5)</f>
        <v>0</v>
      </c>
      <c r="AI571" s="294">
        <f>IF(NFI_Expiration=1,IF($A571&lt;VLOOKUP(R$5,NFI,5,0),1,0)*Table_NFI[[#This Row],[Winter Clothes Adult]],Table_NFI[Winter Clothes Adult])</f>
        <v>0</v>
      </c>
      <c r="AJ571" s="294">
        <f>IF(NFI_Expiration=1,IF($A571&lt;VLOOKUP(S$5,NFI,5,0),1,0)*Table_NFI[[#This Row],[Winter Clothes Children]],Table_NFI[Winter Clothes Children])</f>
        <v>0</v>
      </c>
      <c r="AK571" s="294">
        <f>IF(NFI_Expiration=1,IF($A571&lt;VLOOKUP(T$5,NFI,5,0),1,0)*Table_NFI[[#This Row],[Winter Items Other]],Table_NFI[Winter Items Other])</f>
        <v>0</v>
      </c>
      <c r="AL571" s="294">
        <f>IF(NFI_Expiration=1,IF($A571&lt;VLOOKUP(M$5,NFI,5,0),1,0)*Table_NFI[[#This Row],[Winter Blanket]],Table_NFI[[#This Row],[Winter Blanket]])</f>
        <v>0</v>
      </c>
      <c r="AM571" s="294">
        <f>IF(Table_NFI[[#This Row],[Winter Clothes Adult]]+Table_NFI[[#This Row],[Winter Clothes Children]]+Table_NFI[[#This Row],[Winter Items Other]]+Table_NFI[[#This Row],[Winter Blanket]]&gt;0,1,0)</f>
        <v>0</v>
      </c>
      <c r="AN571" s="331">
        <f>IF(NFI_Expiration=1,IF($A571&lt;VLOOKUP(V$5,NFI,5,0),1,0)*Table_NFI[[#This Row],[Jerry Can]],Table_NFI[Jerry Can])</f>
        <v>0</v>
      </c>
      <c r="AO571" s="331">
        <f>IF(NFI_Expiration=1,IF($A571&lt;VLOOKUP(V$5,NFI,5,0),1,0)*Table_NFI[[#This Row],[Shelter Tool kit]],Table_NFI[Shelter Tool kit])</f>
        <v>0</v>
      </c>
      <c r="AP571" s="331">
        <f>IF(NFI_Expiration=1,IF($A571&lt;VLOOKUP(V$5,NFI,5,0),1,0)*Table_NFI[[#This Row],[Tent]],Table_NFI[Tent])</f>
        <v>0</v>
      </c>
      <c r="AQ571" s="467" t="str">
        <f>IFERROR(VLOOKUP(Table_NFI[[#This Row],[Camp Name]],CL,2,0),"")</f>
        <v>MMR001CMP055</v>
      </c>
      <c r="AR571" s="835">
        <f ca="1">IF(Table_NFI[[#This Row],[Pcode]]="","",IF(OFFSET(CampList[Opening Date],MATCH(Table_NFI[[#This Row],[Pcode]],CampList[CP_Pcode],0)-1,0,1,1)&gt;=NFI_Monitor_Date,1,0))</f>
        <v>0</v>
      </c>
      <c r="AS571" s="467" t="str">
        <f>IFERROR(VLOOKUP(Table_NFI[[#This Row],[Camp Name]],CL,3,0),"")</f>
        <v>Open</v>
      </c>
      <c r="AT571" s="294" t="str">
        <f ca="1">IF(Table_NFI[[#This Row],[Pcode]]="","",OFFSET(CampList[Priority],MATCH(Table_NFI[[#This Row],[Pcode]],CampList[CP_Pcode],0)-1,0,1,1))</f>
        <v>P4</v>
      </c>
      <c r="AU571" s="293">
        <f>IFERROR(Table_NFI[[#This Row],[Kitchen Set]]/VLOOKUP(Table_NFI[[#This Row],[Camp Name]],CL,4,0),"")</f>
        <v>0</v>
      </c>
      <c r="AV571" s="461" t="s">
        <v>1092</v>
      </c>
      <c r="AW571" s="463"/>
    </row>
    <row r="572" spans="1:49" s="464" customFormat="1" ht="14.45" customHeight="1" x14ac:dyDescent="0.25">
      <c r="A572" s="297">
        <f t="shared" si="8"/>
        <v>37.6</v>
      </c>
      <c r="B572" s="460">
        <v>41608</v>
      </c>
      <c r="C572" s="461" t="s">
        <v>905</v>
      </c>
      <c r="D572" s="461" t="s">
        <v>460</v>
      </c>
      <c r="E572" s="461" t="s">
        <v>380</v>
      </c>
      <c r="F572" s="290" t="s">
        <v>310</v>
      </c>
      <c r="G572" s="290" t="s">
        <v>349</v>
      </c>
      <c r="H572" s="291"/>
      <c r="I572" s="291"/>
      <c r="J572" s="291"/>
      <c r="K572" s="291"/>
      <c r="L572" s="292"/>
      <c r="M572" s="292"/>
      <c r="N572" s="292"/>
      <c r="O572" s="292"/>
      <c r="P572" s="294"/>
      <c r="Q572" s="294"/>
      <c r="R572" s="294"/>
      <c r="S572" s="294"/>
      <c r="T572" s="294"/>
      <c r="U572" s="294"/>
      <c r="V572" s="431"/>
      <c r="W572" s="294"/>
      <c r="X572" s="294"/>
      <c r="Y572" s="294">
        <f>IF(NFI_Expiration=1,IF($A572&lt;VLOOKUP(H$5,NFI,5,0),1,0)*Table_NFI[[#This Row],[Hygiene Kit]],Table_NFI[Hygiene Kit])</f>
        <v>0</v>
      </c>
      <c r="Z572" s="294">
        <f>IF(NFI_Expiration=1,IF($A572&lt;VLOOKUP(I$5,NFI,5,0),1,0)*Table_NFI[[#This Row],[NFI Core Kit]],Table_NFI[NFI Core Kit])</f>
        <v>0</v>
      </c>
      <c r="AA572" s="294">
        <f>IF(NFI_Expiration=1,IF($A572&lt;VLOOKUP(J$5,NFI,5,0),1,0)*Table_NFI[[#This Row],[Sanitary Kit]],Table_NFI[Sanitary Kit])</f>
        <v>0</v>
      </c>
      <c r="AB572" s="294">
        <f>IF(NFI_Expiration=1,IF($A572&lt;VLOOKUP(K$5,NFI,5,0),1,0)*Table_NFI[[#This Row],[Mosquito net]],Table_NFI[Mosquito net])</f>
        <v>0</v>
      </c>
      <c r="AC572" s="294">
        <f>IF(NFI_Expiration=1,IF($A572&lt;VLOOKUP(L$5,NFI,5,0),1,0)*Table_NFI[[#This Row],[Tarpaulin]],Table_NFI[[#This Row],[Tarpaulin]])</f>
        <v>0</v>
      </c>
      <c r="AD572" s="294">
        <f>IF(NFI_Expiration=1,IF($A572&lt;VLOOKUP(M$5,NFI,5,0),1,0)*Table_NFI[[#This Row],[Blanket]],Table_NFI[[#This Row],[Blanket]])</f>
        <v>0</v>
      </c>
      <c r="AE572" s="294">
        <f>IF(NFI_Expiration=1,IF($A572&lt;VLOOKUP(N$5,NFI,5,0),1,0)*Table_NFI[[#This Row],[Kitchen Set]],Table_NFI[Kitchen Set])</f>
        <v>0</v>
      </c>
      <c r="AF572" s="294">
        <f>IF(NFI_Expiration=1,IF($A572&lt;VLOOKUP(O$5,NFI,5,0),1,0)*Table_NFI[[#This Row],[Clothes Kit]],Table_NFI[Clothes Kit])</f>
        <v>0</v>
      </c>
      <c r="AG572" s="294">
        <f>IF(NFI_Expiration=1,IF($A572&lt;VLOOKUP(P$5,NFI,5,0),1,0)*Table_NFI[[#This Row],[Plastic Bucket]],Table_NFI[Plastic Bucket])</f>
        <v>0</v>
      </c>
      <c r="AH572" s="294">
        <f>IF(NFI_Expiration=1,IF($A572&lt;VLOOKUP(Q$5,NFI,5,0),1,0)*Table_NFI[[#This Row],[Plastic Mat]],Table_NFI[Plastic Mat])*IF(Table_NFI[[#This Row],[Distribution Date]]&gt;"2014-04-01",1,2.5)</f>
        <v>0</v>
      </c>
      <c r="AI572" s="294">
        <f>IF(NFI_Expiration=1,IF($A572&lt;VLOOKUP(R$5,NFI,5,0),1,0)*Table_NFI[[#This Row],[Winter Clothes Adult]],Table_NFI[Winter Clothes Adult])</f>
        <v>0</v>
      </c>
      <c r="AJ572" s="294">
        <f>IF(NFI_Expiration=1,IF($A572&lt;VLOOKUP(S$5,NFI,5,0),1,0)*Table_NFI[[#This Row],[Winter Clothes Children]],Table_NFI[Winter Clothes Children])</f>
        <v>0</v>
      </c>
      <c r="AK572" s="294">
        <f>IF(NFI_Expiration=1,IF($A572&lt;VLOOKUP(T$5,NFI,5,0),1,0)*Table_NFI[[#This Row],[Winter Items Other]],Table_NFI[Winter Items Other])</f>
        <v>0</v>
      </c>
      <c r="AL572" s="294">
        <f>IF(NFI_Expiration=1,IF($A572&lt;VLOOKUP(M$5,NFI,5,0),1,0)*Table_NFI[[#This Row],[Winter Blanket]],Table_NFI[[#This Row],[Winter Blanket]])</f>
        <v>0</v>
      </c>
      <c r="AM572" s="294">
        <f>IF(Table_NFI[[#This Row],[Winter Clothes Adult]]+Table_NFI[[#This Row],[Winter Clothes Children]]+Table_NFI[[#This Row],[Winter Items Other]]+Table_NFI[[#This Row],[Winter Blanket]]&gt;0,1,0)</f>
        <v>0</v>
      </c>
      <c r="AN572" s="331">
        <f>IF(NFI_Expiration=1,IF($A572&lt;VLOOKUP(V$5,NFI,5,0),1,0)*Table_NFI[[#This Row],[Jerry Can]],Table_NFI[Jerry Can])</f>
        <v>0</v>
      </c>
      <c r="AO572" s="331">
        <f>IF(NFI_Expiration=1,IF($A572&lt;VLOOKUP(V$5,NFI,5,0),1,0)*Table_NFI[[#This Row],[Shelter Tool kit]],Table_NFI[Shelter Tool kit])</f>
        <v>0</v>
      </c>
      <c r="AP572" s="331">
        <f>IF(NFI_Expiration=1,IF($A572&lt;VLOOKUP(V$5,NFI,5,0),1,0)*Table_NFI[[#This Row],[Tent]],Table_NFI[Tent])</f>
        <v>0</v>
      </c>
      <c r="AQ572" s="467" t="str">
        <f>IFERROR(VLOOKUP(Table_NFI[[#This Row],[Camp Name]],CL,2,0),"")</f>
        <v>MMR001CMP037</v>
      </c>
      <c r="AR572" s="835">
        <f ca="1">IF(Table_NFI[[#This Row],[Pcode]]="","",IF(OFFSET(CampList[Opening Date],MATCH(Table_NFI[[#This Row],[Pcode]],CampList[CP_Pcode],0)-1,0,1,1)&gt;=NFI_Monitor_Date,1,0))</f>
        <v>0</v>
      </c>
      <c r="AS572" s="467" t="str">
        <f>IFERROR(VLOOKUP(Table_NFI[[#This Row],[Camp Name]],CL,3,0),"")</f>
        <v>Open</v>
      </c>
      <c r="AT572" s="294" t="str">
        <f ca="1">IF(Table_NFI[[#This Row],[Pcode]]="","",OFFSET(CampList[Priority],MATCH(Table_NFI[[#This Row],[Pcode]],CampList[CP_Pcode],0)-1,0,1,1))</f>
        <v>P4</v>
      </c>
      <c r="AU572" s="293">
        <f>IFERROR(Table_NFI[[#This Row],[Kitchen Set]]/VLOOKUP(Table_NFI[[#This Row],[Camp Name]],CL,4,0),"")</f>
        <v>0</v>
      </c>
      <c r="AV572" s="461" t="s">
        <v>1092</v>
      </c>
      <c r="AW572" s="463"/>
    </row>
    <row r="573" spans="1:49" s="464" customFormat="1" ht="14.45" customHeight="1" x14ac:dyDescent="0.25">
      <c r="A573" s="297">
        <f t="shared" si="8"/>
        <v>37.6</v>
      </c>
      <c r="B573" s="460">
        <v>41608</v>
      </c>
      <c r="C573" s="461" t="s">
        <v>905</v>
      </c>
      <c r="D573" s="461" t="s">
        <v>460</v>
      </c>
      <c r="E573" s="461" t="s">
        <v>380</v>
      </c>
      <c r="F573" s="290" t="s">
        <v>310</v>
      </c>
      <c r="G573" s="290" t="s">
        <v>316</v>
      </c>
      <c r="H573" s="291"/>
      <c r="I573" s="291"/>
      <c r="J573" s="291"/>
      <c r="K573" s="291"/>
      <c r="L573" s="292"/>
      <c r="M573" s="292"/>
      <c r="N573" s="292"/>
      <c r="O573" s="292"/>
      <c r="P573" s="294"/>
      <c r="Q573" s="294"/>
      <c r="R573" s="294"/>
      <c r="S573" s="294"/>
      <c r="T573" s="294"/>
      <c r="U573" s="294"/>
      <c r="V573" s="431"/>
      <c r="W573" s="294"/>
      <c r="X573" s="294"/>
      <c r="Y573" s="294">
        <f>IF(NFI_Expiration=1,IF($A573&lt;VLOOKUP(H$5,NFI,5,0),1,0)*Table_NFI[[#This Row],[Hygiene Kit]],Table_NFI[Hygiene Kit])</f>
        <v>0</v>
      </c>
      <c r="Z573" s="294">
        <f>IF(NFI_Expiration=1,IF($A573&lt;VLOOKUP(I$5,NFI,5,0),1,0)*Table_NFI[[#This Row],[NFI Core Kit]],Table_NFI[NFI Core Kit])</f>
        <v>0</v>
      </c>
      <c r="AA573" s="294">
        <f>IF(NFI_Expiration=1,IF($A573&lt;VLOOKUP(J$5,NFI,5,0),1,0)*Table_NFI[[#This Row],[Sanitary Kit]],Table_NFI[Sanitary Kit])</f>
        <v>0</v>
      </c>
      <c r="AB573" s="294">
        <f>IF(NFI_Expiration=1,IF($A573&lt;VLOOKUP(K$5,NFI,5,0),1,0)*Table_NFI[[#This Row],[Mosquito net]],Table_NFI[Mosquito net])</f>
        <v>0</v>
      </c>
      <c r="AC573" s="294">
        <f>IF(NFI_Expiration=1,IF($A573&lt;VLOOKUP(L$5,NFI,5,0),1,0)*Table_NFI[[#This Row],[Tarpaulin]],Table_NFI[[#This Row],[Tarpaulin]])</f>
        <v>0</v>
      </c>
      <c r="AD573" s="294">
        <f>IF(NFI_Expiration=1,IF($A573&lt;VLOOKUP(M$5,NFI,5,0),1,0)*Table_NFI[[#This Row],[Blanket]],Table_NFI[[#This Row],[Blanket]])</f>
        <v>0</v>
      </c>
      <c r="AE573" s="294">
        <f>IF(NFI_Expiration=1,IF($A573&lt;VLOOKUP(N$5,NFI,5,0),1,0)*Table_NFI[[#This Row],[Kitchen Set]],Table_NFI[Kitchen Set])</f>
        <v>0</v>
      </c>
      <c r="AF573" s="294">
        <f>IF(NFI_Expiration=1,IF($A573&lt;VLOOKUP(O$5,NFI,5,0),1,0)*Table_NFI[[#This Row],[Clothes Kit]],Table_NFI[Clothes Kit])</f>
        <v>0</v>
      </c>
      <c r="AG573" s="294">
        <f>IF(NFI_Expiration=1,IF($A573&lt;VLOOKUP(P$5,NFI,5,0),1,0)*Table_NFI[[#This Row],[Plastic Bucket]],Table_NFI[Plastic Bucket])</f>
        <v>0</v>
      </c>
      <c r="AH573" s="294">
        <f>IF(NFI_Expiration=1,IF($A573&lt;VLOOKUP(Q$5,NFI,5,0),1,0)*Table_NFI[[#This Row],[Plastic Mat]],Table_NFI[Plastic Mat])*IF(Table_NFI[[#This Row],[Distribution Date]]&gt;"2014-04-01",1,2.5)</f>
        <v>0</v>
      </c>
      <c r="AI573" s="294">
        <f>IF(NFI_Expiration=1,IF($A573&lt;VLOOKUP(R$5,NFI,5,0),1,0)*Table_NFI[[#This Row],[Winter Clothes Adult]],Table_NFI[Winter Clothes Adult])</f>
        <v>0</v>
      </c>
      <c r="AJ573" s="294">
        <f>IF(NFI_Expiration=1,IF($A573&lt;VLOOKUP(S$5,NFI,5,0),1,0)*Table_NFI[[#This Row],[Winter Clothes Children]],Table_NFI[Winter Clothes Children])</f>
        <v>0</v>
      </c>
      <c r="AK573" s="294">
        <f>IF(NFI_Expiration=1,IF($A573&lt;VLOOKUP(T$5,NFI,5,0),1,0)*Table_NFI[[#This Row],[Winter Items Other]],Table_NFI[Winter Items Other])</f>
        <v>0</v>
      </c>
      <c r="AL573" s="294">
        <f>IF(NFI_Expiration=1,IF($A573&lt;VLOOKUP(M$5,NFI,5,0),1,0)*Table_NFI[[#This Row],[Winter Blanket]],Table_NFI[[#This Row],[Winter Blanket]])</f>
        <v>0</v>
      </c>
      <c r="AM573" s="294">
        <f>IF(Table_NFI[[#This Row],[Winter Clothes Adult]]+Table_NFI[[#This Row],[Winter Clothes Children]]+Table_NFI[[#This Row],[Winter Items Other]]+Table_NFI[[#This Row],[Winter Blanket]]&gt;0,1,0)</f>
        <v>0</v>
      </c>
      <c r="AN573" s="331">
        <f>IF(NFI_Expiration=1,IF($A573&lt;VLOOKUP(V$5,NFI,5,0),1,0)*Table_NFI[[#This Row],[Jerry Can]],Table_NFI[Jerry Can])</f>
        <v>0</v>
      </c>
      <c r="AO573" s="331">
        <f>IF(NFI_Expiration=1,IF($A573&lt;VLOOKUP(V$5,NFI,5,0),1,0)*Table_NFI[[#This Row],[Shelter Tool kit]],Table_NFI[Shelter Tool kit])</f>
        <v>0</v>
      </c>
      <c r="AP573" s="331">
        <f>IF(NFI_Expiration=1,IF($A573&lt;VLOOKUP(V$5,NFI,5,0),1,0)*Table_NFI[[#This Row],[Tent]],Table_NFI[Tent])</f>
        <v>0</v>
      </c>
      <c r="AQ573" s="467" t="str">
        <f>IFERROR(VLOOKUP(Table_NFI[[#This Row],[Camp Name]],CL,2,0),"")</f>
        <v>MMR001CMP038</v>
      </c>
      <c r="AR573" s="835">
        <f ca="1">IF(Table_NFI[[#This Row],[Pcode]]="","",IF(OFFSET(CampList[Opening Date],MATCH(Table_NFI[[#This Row],[Pcode]],CampList[CP_Pcode],0)-1,0,1,1)&gt;=NFI_Monitor_Date,1,0))</f>
        <v>0</v>
      </c>
      <c r="AS573" s="467" t="str">
        <f>IFERROR(VLOOKUP(Table_NFI[[#This Row],[Camp Name]],CL,3,0),"")</f>
        <v>Open</v>
      </c>
      <c r="AT573" s="294" t="str">
        <f ca="1">IF(Table_NFI[[#This Row],[Pcode]]="","",OFFSET(CampList[Priority],MATCH(Table_NFI[[#This Row],[Pcode]],CampList[CP_Pcode],0)-1,0,1,1))</f>
        <v>P4</v>
      </c>
      <c r="AU573" s="293">
        <f>IFERROR(Table_NFI[[#This Row],[Kitchen Set]]/VLOOKUP(Table_NFI[[#This Row],[Camp Name]],CL,4,0),"")</f>
        <v>0</v>
      </c>
      <c r="AV573" s="461" t="s">
        <v>1092</v>
      </c>
      <c r="AW573" s="463"/>
    </row>
    <row r="574" spans="1:49" s="464" customFormat="1" ht="14.45" customHeight="1" x14ac:dyDescent="0.25">
      <c r="A574" s="297">
        <f t="shared" si="8"/>
        <v>37.6</v>
      </c>
      <c r="B574" s="460">
        <v>41608</v>
      </c>
      <c r="C574" s="461" t="s">
        <v>905</v>
      </c>
      <c r="D574" s="461" t="s">
        <v>460</v>
      </c>
      <c r="E574" s="461" t="s">
        <v>380</v>
      </c>
      <c r="F574" s="290" t="s">
        <v>310</v>
      </c>
      <c r="G574" s="290" t="s">
        <v>353</v>
      </c>
      <c r="H574" s="291"/>
      <c r="I574" s="291"/>
      <c r="J574" s="291"/>
      <c r="K574" s="291"/>
      <c r="L574" s="292"/>
      <c r="M574" s="292"/>
      <c r="N574" s="292"/>
      <c r="O574" s="292"/>
      <c r="P574" s="294"/>
      <c r="Q574" s="294">
        <v>1851</v>
      </c>
      <c r="R574" s="294"/>
      <c r="S574" s="294"/>
      <c r="T574" s="294"/>
      <c r="U574" s="294"/>
      <c r="V574" s="431"/>
      <c r="W574" s="294"/>
      <c r="X574" s="294"/>
      <c r="Y574" s="294">
        <f>IF(NFI_Expiration=1,IF($A574&lt;VLOOKUP(H$5,NFI,5,0),1,0)*Table_NFI[[#This Row],[Hygiene Kit]],Table_NFI[Hygiene Kit])</f>
        <v>0</v>
      </c>
      <c r="Z574" s="294">
        <f>IF(NFI_Expiration=1,IF($A574&lt;VLOOKUP(I$5,NFI,5,0),1,0)*Table_NFI[[#This Row],[NFI Core Kit]],Table_NFI[NFI Core Kit])</f>
        <v>0</v>
      </c>
      <c r="AA574" s="294">
        <f>IF(NFI_Expiration=1,IF($A574&lt;VLOOKUP(J$5,NFI,5,0),1,0)*Table_NFI[[#This Row],[Sanitary Kit]],Table_NFI[Sanitary Kit])</f>
        <v>0</v>
      </c>
      <c r="AB574" s="294">
        <f>IF(NFI_Expiration=1,IF($A574&lt;VLOOKUP(K$5,NFI,5,0),1,0)*Table_NFI[[#This Row],[Mosquito net]],Table_NFI[Mosquito net])</f>
        <v>0</v>
      </c>
      <c r="AC574" s="294">
        <f>IF(NFI_Expiration=1,IF($A574&lt;VLOOKUP(L$5,NFI,5,0),1,0)*Table_NFI[[#This Row],[Tarpaulin]],Table_NFI[[#This Row],[Tarpaulin]])</f>
        <v>0</v>
      </c>
      <c r="AD574" s="294">
        <f>IF(NFI_Expiration=1,IF($A574&lt;VLOOKUP(M$5,NFI,5,0),1,0)*Table_NFI[[#This Row],[Blanket]],Table_NFI[[#This Row],[Blanket]])</f>
        <v>0</v>
      </c>
      <c r="AE574" s="294">
        <f>IF(NFI_Expiration=1,IF($A574&lt;VLOOKUP(N$5,NFI,5,0),1,0)*Table_NFI[[#This Row],[Kitchen Set]],Table_NFI[Kitchen Set])</f>
        <v>0</v>
      </c>
      <c r="AF574" s="294">
        <f>IF(NFI_Expiration=1,IF($A574&lt;VLOOKUP(O$5,NFI,5,0),1,0)*Table_NFI[[#This Row],[Clothes Kit]],Table_NFI[Clothes Kit])</f>
        <v>0</v>
      </c>
      <c r="AG574" s="294">
        <f>IF(NFI_Expiration=1,IF($A574&lt;VLOOKUP(P$5,NFI,5,0),1,0)*Table_NFI[[#This Row],[Plastic Bucket]],Table_NFI[Plastic Bucket])</f>
        <v>0</v>
      </c>
      <c r="AH574" s="294">
        <f>IF(NFI_Expiration=1,IF($A574&lt;VLOOKUP(Q$5,NFI,5,0),1,0)*Table_NFI[[#This Row],[Plastic Mat]],Table_NFI[Plastic Mat])*IF(Table_NFI[[#This Row],[Distribution Date]]&gt;"2014-04-01",1,2.5)</f>
        <v>0</v>
      </c>
      <c r="AI574" s="294">
        <f>IF(NFI_Expiration=1,IF($A574&lt;VLOOKUP(R$5,NFI,5,0),1,0)*Table_NFI[[#This Row],[Winter Clothes Adult]],Table_NFI[Winter Clothes Adult])</f>
        <v>0</v>
      </c>
      <c r="AJ574" s="294">
        <f>IF(NFI_Expiration=1,IF($A574&lt;VLOOKUP(S$5,NFI,5,0),1,0)*Table_NFI[[#This Row],[Winter Clothes Children]],Table_NFI[Winter Clothes Children])</f>
        <v>0</v>
      </c>
      <c r="AK574" s="294">
        <f>IF(NFI_Expiration=1,IF($A574&lt;VLOOKUP(T$5,NFI,5,0),1,0)*Table_NFI[[#This Row],[Winter Items Other]],Table_NFI[Winter Items Other])</f>
        <v>0</v>
      </c>
      <c r="AL574" s="294">
        <f>IF(NFI_Expiration=1,IF($A574&lt;VLOOKUP(M$5,NFI,5,0),1,0)*Table_NFI[[#This Row],[Winter Blanket]],Table_NFI[[#This Row],[Winter Blanket]])</f>
        <v>0</v>
      </c>
      <c r="AM574" s="294">
        <f>IF(Table_NFI[[#This Row],[Winter Clothes Adult]]+Table_NFI[[#This Row],[Winter Clothes Children]]+Table_NFI[[#This Row],[Winter Items Other]]+Table_NFI[[#This Row],[Winter Blanket]]&gt;0,1,0)</f>
        <v>0</v>
      </c>
      <c r="AN574" s="331">
        <f>IF(NFI_Expiration=1,IF($A574&lt;VLOOKUP(V$5,NFI,5,0),1,0)*Table_NFI[[#This Row],[Jerry Can]],Table_NFI[Jerry Can])</f>
        <v>0</v>
      </c>
      <c r="AO574" s="331">
        <f>IF(NFI_Expiration=1,IF($A574&lt;VLOOKUP(V$5,NFI,5,0),1,0)*Table_NFI[[#This Row],[Shelter Tool kit]],Table_NFI[Shelter Tool kit])</f>
        <v>0</v>
      </c>
      <c r="AP574" s="331">
        <f>IF(NFI_Expiration=1,IF($A574&lt;VLOOKUP(V$5,NFI,5,0),1,0)*Table_NFI[[#This Row],[Tent]],Table_NFI[Tent])</f>
        <v>0</v>
      </c>
      <c r="AQ574" s="467" t="str">
        <f>IFERROR(VLOOKUP(Table_NFI[[#This Row],[Camp Name]],CL,2,0),"")</f>
        <v>MMR001CMP116</v>
      </c>
      <c r="AR574" s="835">
        <f ca="1">IF(Table_NFI[[#This Row],[Pcode]]="","",IF(OFFSET(CampList[Opening Date],MATCH(Table_NFI[[#This Row],[Pcode]],CampList[CP_Pcode],0)-1,0,1,1)&gt;=NFI_Monitor_Date,1,0))</f>
        <v>0</v>
      </c>
      <c r="AS574" s="467" t="str">
        <f>IFERROR(VLOOKUP(Table_NFI[[#This Row],[Camp Name]],CL,3,0),"")</f>
        <v>Open</v>
      </c>
      <c r="AT574" s="294" t="str">
        <f ca="1">IF(Table_NFI[[#This Row],[Pcode]]="","",OFFSET(CampList[Priority],MATCH(Table_NFI[[#This Row],[Pcode]],CampList[CP_Pcode],0)-1,0,1,1))</f>
        <v>P4</v>
      </c>
      <c r="AU574" s="293">
        <f>IFERROR(Table_NFI[[#This Row],[Kitchen Set]]/VLOOKUP(Table_NFI[[#This Row],[Camp Name]],CL,4,0),"")</f>
        <v>0</v>
      </c>
      <c r="AV574" s="461" t="s">
        <v>1092</v>
      </c>
      <c r="AW574" s="463"/>
    </row>
    <row r="575" spans="1:49" s="464" customFormat="1" ht="14.45" customHeight="1" x14ac:dyDescent="0.25">
      <c r="A575" s="297">
        <f t="shared" si="8"/>
        <v>37.6</v>
      </c>
      <c r="B575" s="460">
        <v>41608</v>
      </c>
      <c r="C575" s="461" t="s">
        <v>1097</v>
      </c>
      <c r="D575" s="462" t="s">
        <v>944</v>
      </c>
      <c r="E575" s="461" t="s">
        <v>380</v>
      </c>
      <c r="F575" s="290" t="s">
        <v>5</v>
      </c>
      <c r="G575" s="290" t="s">
        <v>26</v>
      </c>
      <c r="H575" s="291"/>
      <c r="I575" s="291"/>
      <c r="J575" s="291"/>
      <c r="K575" s="291"/>
      <c r="L575" s="292"/>
      <c r="M575" s="292">
        <v>64</v>
      </c>
      <c r="N575" s="292"/>
      <c r="O575" s="292"/>
      <c r="P575" s="294"/>
      <c r="Q575" s="294"/>
      <c r="R575" s="294">
        <v>58</v>
      </c>
      <c r="S575" s="294">
        <v>52</v>
      </c>
      <c r="T575" s="294">
        <v>0</v>
      </c>
      <c r="U575" s="294"/>
      <c r="V575" s="431"/>
      <c r="W575" s="294"/>
      <c r="X575" s="294"/>
      <c r="Y575" s="294">
        <f>IF(NFI_Expiration=1,IF($A575&lt;VLOOKUP(H$5,NFI,5,0),1,0)*Table_NFI[[#This Row],[Hygiene Kit]],Table_NFI[Hygiene Kit])</f>
        <v>0</v>
      </c>
      <c r="Z575" s="294">
        <f>IF(NFI_Expiration=1,IF($A575&lt;VLOOKUP(I$5,NFI,5,0),1,0)*Table_NFI[[#This Row],[NFI Core Kit]],Table_NFI[NFI Core Kit])</f>
        <v>0</v>
      </c>
      <c r="AA575" s="294">
        <f>IF(NFI_Expiration=1,IF($A575&lt;VLOOKUP(J$5,NFI,5,0),1,0)*Table_NFI[[#This Row],[Sanitary Kit]],Table_NFI[Sanitary Kit])</f>
        <v>0</v>
      </c>
      <c r="AB575" s="294">
        <f>IF(NFI_Expiration=1,IF($A575&lt;VLOOKUP(K$5,NFI,5,0),1,0)*Table_NFI[[#This Row],[Mosquito net]],Table_NFI[Mosquito net])</f>
        <v>0</v>
      </c>
      <c r="AC575" s="294">
        <f>IF(NFI_Expiration=1,IF($A575&lt;VLOOKUP(L$5,NFI,5,0),1,0)*Table_NFI[[#This Row],[Tarpaulin]],Table_NFI[[#This Row],[Tarpaulin]])</f>
        <v>0</v>
      </c>
      <c r="AD575" s="294">
        <f>IF(NFI_Expiration=1,IF($A575&lt;VLOOKUP(M$5,NFI,5,0),1,0)*Table_NFI[[#This Row],[Blanket]],Table_NFI[[#This Row],[Blanket]])</f>
        <v>0</v>
      </c>
      <c r="AE575" s="294">
        <f>IF(NFI_Expiration=1,IF($A575&lt;VLOOKUP(N$5,NFI,5,0),1,0)*Table_NFI[[#This Row],[Kitchen Set]],Table_NFI[Kitchen Set])</f>
        <v>0</v>
      </c>
      <c r="AF575" s="294">
        <f>IF(NFI_Expiration=1,IF($A575&lt;VLOOKUP(O$5,NFI,5,0),1,0)*Table_NFI[[#This Row],[Clothes Kit]],Table_NFI[Clothes Kit])</f>
        <v>0</v>
      </c>
      <c r="AG575" s="294">
        <f>IF(NFI_Expiration=1,IF($A575&lt;VLOOKUP(P$5,NFI,5,0),1,0)*Table_NFI[[#This Row],[Plastic Bucket]],Table_NFI[Plastic Bucket])</f>
        <v>0</v>
      </c>
      <c r="AH575" s="294">
        <f>IF(NFI_Expiration=1,IF($A575&lt;VLOOKUP(Q$5,NFI,5,0),1,0)*Table_NFI[[#This Row],[Plastic Mat]],Table_NFI[Plastic Mat])*IF(Table_NFI[[#This Row],[Distribution Date]]&gt;"2014-04-01",1,2.5)</f>
        <v>0</v>
      </c>
      <c r="AI575" s="294">
        <f>IF(NFI_Expiration=1,IF($A575&lt;VLOOKUP(R$5,NFI,5,0),1,0)*Table_NFI[[#This Row],[Winter Clothes Adult]],Table_NFI[Winter Clothes Adult])</f>
        <v>0</v>
      </c>
      <c r="AJ575" s="294">
        <f>IF(NFI_Expiration=1,IF($A575&lt;VLOOKUP(S$5,NFI,5,0),1,0)*Table_NFI[[#This Row],[Winter Clothes Children]],Table_NFI[Winter Clothes Children])</f>
        <v>0</v>
      </c>
      <c r="AK575" s="294">
        <f>IF(NFI_Expiration=1,IF($A575&lt;VLOOKUP(T$5,NFI,5,0),1,0)*Table_NFI[[#This Row],[Winter Items Other]],Table_NFI[Winter Items Other])</f>
        <v>0</v>
      </c>
      <c r="AL575" s="294">
        <f>IF(NFI_Expiration=1,IF($A575&lt;VLOOKUP(M$5,NFI,5,0),1,0)*Table_NFI[[#This Row],[Winter Blanket]],Table_NFI[[#This Row],[Winter Blanket]])</f>
        <v>0</v>
      </c>
      <c r="AM575" s="294">
        <f>IF(Table_NFI[[#This Row],[Winter Clothes Adult]]+Table_NFI[[#This Row],[Winter Clothes Children]]+Table_NFI[[#This Row],[Winter Items Other]]+Table_NFI[[#This Row],[Winter Blanket]]&gt;0,1,0)</f>
        <v>1</v>
      </c>
      <c r="AN575" s="331">
        <f>IF(NFI_Expiration=1,IF($A575&lt;VLOOKUP(V$5,NFI,5,0),1,0)*Table_NFI[[#This Row],[Jerry Can]],Table_NFI[Jerry Can])</f>
        <v>0</v>
      </c>
      <c r="AO575" s="331">
        <f>IF(NFI_Expiration=1,IF($A575&lt;VLOOKUP(V$5,NFI,5,0),1,0)*Table_NFI[[#This Row],[Shelter Tool kit]],Table_NFI[Shelter Tool kit])</f>
        <v>0</v>
      </c>
      <c r="AP575" s="331">
        <f>IF(NFI_Expiration=1,IF($A575&lt;VLOOKUP(V$5,NFI,5,0),1,0)*Table_NFI[[#This Row],[Tent]],Table_NFI[Tent])</f>
        <v>0</v>
      </c>
      <c r="AQ575" s="467" t="str">
        <f>IFERROR(VLOOKUP(Table_NFI[[#This Row],[Camp Name]],CL,2,0),"")</f>
        <v>MMR001CMP053</v>
      </c>
      <c r="AR575" s="835">
        <f ca="1">IF(Table_NFI[[#This Row],[Pcode]]="","",IF(OFFSET(CampList[Opening Date],MATCH(Table_NFI[[#This Row],[Pcode]],CampList[CP_Pcode],0)-1,0,1,1)&gt;=NFI_Monitor_Date,1,0))</f>
        <v>0</v>
      </c>
      <c r="AS575" s="467" t="str">
        <f>IFERROR(VLOOKUP(Table_NFI[[#This Row],[Camp Name]],CL,3,0),"")</f>
        <v>Open</v>
      </c>
      <c r="AT575" s="294" t="str">
        <f ca="1">IF(Table_NFI[[#This Row],[Pcode]]="","",OFFSET(CampList[Priority],MATCH(Table_NFI[[#This Row],[Pcode]],CampList[CP_Pcode],0)-1,0,1,1))</f>
        <v>P4</v>
      </c>
      <c r="AU575" s="293">
        <f>IFERROR(Table_NFI[[#This Row],[Kitchen Set]]/VLOOKUP(Table_NFI[[#This Row],[Camp Name]],CL,4,0),"")</f>
        <v>0</v>
      </c>
      <c r="AV575" s="461" t="s">
        <v>1092</v>
      </c>
      <c r="AW575" s="463"/>
    </row>
    <row r="576" spans="1:49" s="464" customFormat="1" ht="14.45" customHeight="1" x14ac:dyDescent="0.25">
      <c r="A576" s="297">
        <f t="shared" si="8"/>
        <v>37.6</v>
      </c>
      <c r="B576" s="460">
        <v>41608</v>
      </c>
      <c r="C576" s="461" t="s">
        <v>905</v>
      </c>
      <c r="D576" s="461"/>
      <c r="E576" s="461" t="s">
        <v>380</v>
      </c>
      <c r="F576" s="290" t="s">
        <v>5</v>
      </c>
      <c r="G576" s="290" t="s">
        <v>26</v>
      </c>
      <c r="H576" s="291"/>
      <c r="I576" s="291"/>
      <c r="J576" s="291"/>
      <c r="K576" s="291"/>
      <c r="L576" s="292"/>
      <c r="M576" s="292"/>
      <c r="N576" s="292"/>
      <c r="O576" s="292"/>
      <c r="P576" s="294"/>
      <c r="Q576" s="294">
        <v>99</v>
      </c>
      <c r="R576" s="294"/>
      <c r="S576" s="294"/>
      <c r="T576" s="294"/>
      <c r="U576" s="294"/>
      <c r="V576" s="431"/>
      <c r="W576" s="294"/>
      <c r="X576" s="294"/>
      <c r="Y576" s="294">
        <f>IF(NFI_Expiration=1,IF($A576&lt;VLOOKUP(H$5,NFI,5,0),1,0)*Table_NFI[[#This Row],[Hygiene Kit]],Table_NFI[Hygiene Kit])</f>
        <v>0</v>
      </c>
      <c r="Z576" s="294">
        <f>IF(NFI_Expiration=1,IF($A576&lt;VLOOKUP(I$5,NFI,5,0),1,0)*Table_NFI[[#This Row],[NFI Core Kit]],Table_NFI[NFI Core Kit])</f>
        <v>0</v>
      </c>
      <c r="AA576" s="294">
        <f>IF(NFI_Expiration=1,IF($A576&lt;VLOOKUP(J$5,NFI,5,0),1,0)*Table_NFI[[#This Row],[Sanitary Kit]],Table_NFI[Sanitary Kit])</f>
        <v>0</v>
      </c>
      <c r="AB576" s="294">
        <f>IF(NFI_Expiration=1,IF($A576&lt;VLOOKUP(K$5,NFI,5,0),1,0)*Table_NFI[[#This Row],[Mosquito net]],Table_NFI[Mosquito net])</f>
        <v>0</v>
      </c>
      <c r="AC576" s="294">
        <f>IF(NFI_Expiration=1,IF($A576&lt;VLOOKUP(L$5,NFI,5,0),1,0)*Table_NFI[[#This Row],[Tarpaulin]],Table_NFI[[#This Row],[Tarpaulin]])</f>
        <v>0</v>
      </c>
      <c r="AD576" s="294">
        <f>IF(NFI_Expiration=1,IF($A576&lt;VLOOKUP(M$5,NFI,5,0),1,0)*Table_NFI[[#This Row],[Blanket]],Table_NFI[[#This Row],[Blanket]])</f>
        <v>0</v>
      </c>
      <c r="AE576" s="294">
        <f>IF(NFI_Expiration=1,IF($A576&lt;VLOOKUP(N$5,NFI,5,0),1,0)*Table_NFI[[#This Row],[Kitchen Set]],Table_NFI[Kitchen Set])</f>
        <v>0</v>
      </c>
      <c r="AF576" s="294">
        <f>IF(NFI_Expiration=1,IF($A576&lt;VLOOKUP(O$5,NFI,5,0),1,0)*Table_NFI[[#This Row],[Clothes Kit]],Table_NFI[Clothes Kit])</f>
        <v>0</v>
      </c>
      <c r="AG576" s="294">
        <f>IF(NFI_Expiration=1,IF($A576&lt;VLOOKUP(P$5,NFI,5,0),1,0)*Table_NFI[[#This Row],[Plastic Bucket]],Table_NFI[Plastic Bucket])</f>
        <v>0</v>
      </c>
      <c r="AH576" s="294">
        <f>IF(NFI_Expiration=1,IF($A576&lt;VLOOKUP(Q$5,NFI,5,0),1,0)*Table_NFI[[#This Row],[Plastic Mat]],Table_NFI[Plastic Mat])*IF(Table_NFI[[#This Row],[Distribution Date]]&gt;"2014-04-01",1,2.5)</f>
        <v>0</v>
      </c>
      <c r="AI576" s="294">
        <f>IF(NFI_Expiration=1,IF($A576&lt;VLOOKUP(R$5,NFI,5,0),1,0)*Table_NFI[[#This Row],[Winter Clothes Adult]],Table_NFI[Winter Clothes Adult])</f>
        <v>0</v>
      </c>
      <c r="AJ576" s="294">
        <f>IF(NFI_Expiration=1,IF($A576&lt;VLOOKUP(S$5,NFI,5,0),1,0)*Table_NFI[[#This Row],[Winter Clothes Children]],Table_NFI[Winter Clothes Children])</f>
        <v>0</v>
      </c>
      <c r="AK576" s="294">
        <f>IF(NFI_Expiration=1,IF($A576&lt;VLOOKUP(T$5,NFI,5,0),1,0)*Table_NFI[[#This Row],[Winter Items Other]],Table_NFI[Winter Items Other])</f>
        <v>0</v>
      </c>
      <c r="AL576" s="294">
        <f>IF(NFI_Expiration=1,IF($A576&lt;VLOOKUP(M$5,NFI,5,0),1,0)*Table_NFI[[#This Row],[Winter Blanket]],Table_NFI[[#This Row],[Winter Blanket]])</f>
        <v>0</v>
      </c>
      <c r="AM576" s="294">
        <f>IF(Table_NFI[[#This Row],[Winter Clothes Adult]]+Table_NFI[[#This Row],[Winter Clothes Children]]+Table_NFI[[#This Row],[Winter Items Other]]+Table_NFI[[#This Row],[Winter Blanket]]&gt;0,1,0)</f>
        <v>0</v>
      </c>
      <c r="AN576" s="331">
        <f>IF(NFI_Expiration=1,IF($A576&lt;VLOOKUP(V$5,NFI,5,0),1,0)*Table_NFI[[#This Row],[Jerry Can]],Table_NFI[Jerry Can])</f>
        <v>0</v>
      </c>
      <c r="AO576" s="331">
        <f>IF(NFI_Expiration=1,IF($A576&lt;VLOOKUP(V$5,NFI,5,0),1,0)*Table_NFI[[#This Row],[Shelter Tool kit]],Table_NFI[Shelter Tool kit])</f>
        <v>0</v>
      </c>
      <c r="AP576" s="331">
        <f>IF(NFI_Expiration=1,IF($A576&lt;VLOOKUP(V$5,NFI,5,0),1,0)*Table_NFI[[#This Row],[Tent]],Table_NFI[Tent])</f>
        <v>0</v>
      </c>
      <c r="AQ576" s="467" t="str">
        <f>IFERROR(VLOOKUP(Table_NFI[[#This Row],[Camp Name]],CL,2,0),"")</f>
        <v>MMR001CMP053</v>
      </c>
      <c r="AR576" s="835">
        <f ca="1">IF(Table_NFI[[#This Row],[Pcode]]="","",IF(OFFSET(CampList[Opening Date],MATCH(Table_NFI[[#This Row],[Pcode]],CampList[CP_Pcode],0)-1,0,1,1)&gt;=NFI_Monitor_Date,1,0))</f>
        <v>0</v>
      </c>
      <c r="AS576" s="467" t="str">
        <f>IFERROR(VLOOKUP(Table_NFI[[#This Row],[Camp Name]],CL,3,0),"")</f>
        <v>Open</v>
      </c>
      <c r="AT576" s="294" t="str">
        <f ca="1">IF(Table_NFI[[#This Row],[Pcode]]="","",OFFSET(CampList[Priority],MATCH(Table_NFI[[#This Row],[Pcode]],CampList[CP_Pcode],0)-1,0,1,1))</f>
        <v>P4</v>
      </c>
      <c r="AU576" s="293">
        <f>IFERROR(Table_NFI[[#This Row],[Kitchen Set]]/VLOOKUP(Table_NFI[[#This Row],[Camp Name]],CL,4,0),"")</f>
        <v>0</v>
      </c>
      <c r="AV576" s="461" t="s">
        <v>1092</v>
      </c>
      <c r="AW576" s="463"/>
    </row>
    <row r="577" spans="1:49" s="464" customFormat="1" ht="14.45" customHeight="1" x14ac:dyDescent="0.25">
      <c r="A577" s="297">
        <f t="shared" si="8"/>
        <v>37.6</v>
      </c>
      <c r="B577" s="460">
        <v>41608</v>
      </c>
      <c r="C577" s="461" t="s">
        <v>905</v>
      </c>
      <c r="D577" s="461" t="s">
        <v>460</v>
      </c>
      <c r="E577" s="461" t="s">
        <v>380</v>
      </c>
      <c r="F577" s="290" t="s">
        <v>310</v>
      </c>
      <c r="G577" s="290" t="s">
        <v>1245</v>
      </c>
      <c r="H577" s="291"/>
      <c r="I577" s="291"/>
      <c r="J577" s="291"/>
      <c r="K577" s="291"/>
      <c r="L577" s="292"/>
      <c r="M577" s="292"/>
      <c r="N577" s="292"/>
      <c r="O577" s="292"/>
      <c r="P577" s="294"/>
      <c r="Q577" s="294"/>
      <c r="R577" s="294"/>
      <c r="S577" s="294"/>
      <c r="T577" s="294"/>
      <c r="U577" s="294"/>
      <c r="V577" s="431"/>
      <c r="W577" s="294"/>
      <c r="X577" s="294"/>
      <c r="Y577" s="294">
        <f>IF(NFI_Expiration=1,IF($A577&lt;VLOOKUP(H$5,NFI,5,0),1,0)*Table_NFI[[#This Row],[Hygiene Kit]],Table_NFI[Hygiene Kit])</f>
        <v>0</v>
      </c>
      <c r="Z577" s="294">
        <f>IF(NFI_Expiration=1,IF($A577&lt;VLOOKUP(I$5,NFI,5,0),1,0)*Table_NFI[[#This Row],[NFI Core Kit]],Table_NFI[NFI Core Kit])</f>
        <v>0</v>
      </c>
      <c r="AA577" s="294">
        <f>IF(NFI_Expiration=1,IF($A577&lt;VLOOKUP(J$5,NFI,5,0),1,0)*Table_NFI[[#This Row],[Sanitary Kit]],Table_NFI[Sanitary Kit])</f>
        <v>0</v>
      </c>
      <c r="AB577" s="294">
        <f>IF(NFI_Expiration=1,IF($A577&lt;VLOOKUP(K$5,NFI,5,0),1,0)*Table_NFI[[#This Row],[Mosquito net]],Table_NFI[Mosquito net])</f>
        <v>0</v>
      </c>
      <c r="AC577" s="294">
        <f>IF(NFI_Expiration=1,IF($A577&lt;VLOOKUP(L$5,NFI,5,0),1,0)*Table_NFI[[#This Row],[Tarpaulin]],Table_NFI[[#This Row],[Tarpaulin]])</f>
        <v>0</v>
      </c>
      <c r="AD577" s="294">
        <f>IF(NFI_Expiration=1,IF($A577&lt;VLOOKUP(M$5,NFI,5,0),1,0)*Table_NFI[[#This Row],[Blanket]],Table_NFI[[#This Row],[Blanket]])</f>
        <v>0</v>
      </c>
      <c r="AE577" s="294">
        <f>IF(NFI_Expiration=1,IF($A577&lt;VLOOKUP(N$5,NFI,5,0),1,0)*Table_NFI[[#This Row],[Kitchen Set]],Table_NFI[Kitchen Set])</f>
        <v>0</v>
      </c>
      <c r="AF577" s="294">
        <f>IF(NFI_Expiration=1,IF($A577&lt;VLOOKUP(O$5,NFI,5,0),1,0)*Table_NFI[[#This Row],[Clothes Kit]],Table_NFI[Clothes Kit])</f>
        <v>0</v>
      </c>
      <c r="AG577" s="294">
        <f>IF(NFI_Expiration=1,IF($A577&lt;VLOOKUP(P$5,NFI,5,0),1,0)*Table_NFI[[#This Row],[Plastic Bucket]],Table_NFI[Plastic Bucket])</f>
        <v>0</v>
      </c>
      <c r="AH577" s="294">
        <f>IF(NFI_Expiration=1,IF($A577&lt;VLOOKUP(Q$5,NFI,5,0),1,0)*Table_NFI[[#This Row],[Plastic Mat]],Table_NFI[Plastic Mat])*IF(Table_NFI[[#This Row],[Distribution Date]]&gt;"2014-04-01",1,2.5)</f>
        <v>0</v>
      </c>
      <c r="AI577" s="294">
        <f>IF(NFI_Expiration=1,IF($A577&lt;VLOOKUP(R$5,NFI,5,0),1,0)*Table_NFI[[#This Row],[Winter Clothes Adult]],Table_NFI[Winter Clothes Adult])</f>
        <v>0</v>
      </c>
      <c r="AJ577" s="294">
        <f>IF(NFI_Expiration=1,IF($A577&lt;VLOOKUP(S$5,NFI,5,0),1,0)*Table_NFI[[#This Row],[Winter Clothes Children]],Table_NFI[Winter Clothes Children])</f>
        <v>0</v>
      </c>
      <c r="AK577" s="294">
        <f>IF(NFI_Expiration=1,IF($A577&lt;VLOOKUP(T$5,NFI,5,0),1,0)*Table_NFI[[#This Row],[Winter Items Other]],Table_NFI[Winter Items Other])</f>
        <v>0</v>
      </c>
      <c r="AL577" s="294">
        <f>IF(NFI_Expiration=1,IF($A577&lt;VLOOKUP(M$5,NFI,5,0),1,0)*Table_NFI[[#This Row],[Winter Blanket]],Table_NFI[[#This Row],[Winter Blanket]])</f>
        <v>0</v>
      </c>
      <c r="AM577" s="294">
        <f>IF(Table_NFI[[#This Row],[Winter Clothes Adult]]+Table_NFI[[#This Row],[Winter Clothes Children]]+Table_NFI[[#This Row],[Winter Items Other]]+Table_NFI[[#This Row],[Winter Blanket]]&gt;0,1,0)</f>
        <v>0</v>
      </c>
      <c r="AN577" s="331">
        <f>IF(NFI_Expiration=1,IF($A577&lt;VLOOKUP(V$5,NFI,5,0),1,0)*Table_NFI[[#This Row],[Jerry Can]],Table_NFI[Jerry Can])</f>
        <v>0</v>
      </c>
      <c r="AO577" s="331">
        <f>IF(NFI_Expiration=1,IF($A577&lt;VLOOKUP(V$5,NFI,5,0),1,0)*Table_NFI[[#This Row],[Shelter Tool kit]],Table_NFI[Shelter Tool kit])</f>
        <v>0</v>
      </c>
      <c r="AP577" s="331">
        <f>IF(NFI_Expiration=1,IF($A577&lt;VLOOKUP(V$5,NFI,5,0),1,0)*Table_NFI[[#This Row],[Tent]],Table_NFI[Tent])</f>
        <v>0</v>
      </c>
      <c r="AQ577" s="467" t="str">
        <f>IFERROR(VLOOKUP(Table_NFI[[#This Row],[Camp Name]],CL,2,0),"")</f>
        <v>MMR001CMP111</v>
      </c>
      <c r="AR577" s="835">
        <f ca="1">IF(Table_NFI[[#This Row],[Pcode]]="","",IF(OFFSET(CampList[Opening Date],MATCH(Table_NFI[[#This Row],[Pcode]],CampList[CP_Pcode],0)-1,0,1,1)&gt;=NFI_Monitor_Date,1,0))</f>
        <v>0</v>
      </c>
      <c r="AS577" s="467" t="str">
        <f>IFERROR(VLOOKUP(Table_NFI[[#This Row],[Camp Name]],CL,3,0),"")</f>
        <v>Open</v>
      </c>
      <c r="AT577" s="294" t="str">
        <f ca="1">IF(Table_NFI[[#This Row],[Pcode]]="","",OFFSET(CampList[Priority],MATCH(Table_NFI[[#This Row],[Pcode]],CampList[CP_Pcode],0)-1,0,1,1))</f>
        <v>P2</v>
      </c>
      <c r="AU577" s="293">
        <f>IFERROR(Table_NFI[[#This Row],[Kitchen Set]]/VLOOKUP(Table_NFI[[#This Row],[Camp Name]],CL,4,0),"")</f>
        <v>0</v>
      </c>
      <c r="AV577" s="461" t="s">
        <v>1092</v>
      </c>
      <c r="AW577" s="463"/>
    </row>
    <row r="578" spans="1:49" s="464" customFormat="1" ht="14.45" customHeight="1" x14ac:dyDescent="0.25">
      <c r="A578" s="297">
        <f t="shared" si="8"/>
        <v>37.633333333333333</v>
      </c>
      <c r="B578" s="460">
        <v>41607</v>
      </c>
      <c r="C578" s="461" t="s">
        <v>905</v>
      </c>
      <c r="D578" s="461" t="s">
        <v>460</v>
      </c>
      <c r="E578" s="461" t="s">
        <v>380</v>
      </c>
      <c r="F578" s="461" t="s">
        <v>310</v>
      </c>
      <c r="G578" s="461" t="s">
        <v>336</v>
      </c>
      <c r="H578" s="291"/>
      <c r="I578" s="291"/>
      <c r="J578" s="291"/>
      <c r="K578" s="291"/>
      <c r="L578" s="292"/>
      <c r="M578" s="292"/>
      <c r="N578" s="292"/>
      <c r="O578" s="292"/>
      <c r="P578" s="294"/>
      <c r="Q578" s="294"/>
      <c r="R578" s="294">
        <v>177</v>
      </c>
      <c r="S578" s="294">
        <v>354</v>
      </c>
      <c r="T578" s="294">
        <v>1062</v>
      </c>
      <c r="U578" s="294">
        <v>531</v>
      </c>
      <c r="V578" s="431"/>
      <c r="W578" s="294"/>
      <c r="X578" s="294"/>
      <c r="Y578" s="294">
        <f>IF(NFI_Expiration=1,IF($A578&lt;VLOOKUP(H$5,NFI,5,0),1,0)*Table_NFI[[#This Row],[Hygiene Kit]],Table_NFI[Hygiene Kit])</f>
        <v>0</v>
      </c>
      <c r="Z578" s="294">
        <f>IF(NFI_Expiration=1,IF($A578&lt;VLOOKUP(I$5,NFI,5,0),1,0)*Table_NFI[[#This Row],[NFI Core Kit]],Table_NFI[NFI Core Kit])</f>
        <v>0</v>
      </c>
      <c r="AA578" s="294">
        <f>IF(NFI_Expiration=1,IF($A578&lt;VLOOKUP(J$5,NFI,5,0),1,0)*Table_NFI[[#This Row],[Sanitary Kit]],Table_NFI[Sanitary Kit])</f>
        <v>0</v>
      </c>
      <c r="AB578" s="294">
        <f>IF(NFI_Expiration=1,IF($A578&lt;VLOOKUP(K$5,NFI,5,0),1,0)*Table_NFI[[#This Row],[Mosquito net]],Table_NFI[Mosquito net])</f>
        <v>0</v>
      </c>
      <c r="AC578" s="294">
        <f>IF(NFI_Expiration=1,IF($A578&lt;VLOOKUP(L$5,NFI,5,0),1,0)*Table_NFI[[#This Row],[Tarpaulin]],Table_NFI[[#This Row],[Tarpaulin]])</f>
        <v>0</v>
      </c>
      <c r="AD578" s="294">
        <f>IF(NFI_Expiration=1,IF($A578&lt;VLOOKUP(M$5,NFI,5,0),1,0)*Table_NFI[[#This Row],[Blanket]],Table_NFI[[#This Row],[Blanket]])</f>
        <v>0</v>
      </c>
      <c r="AE578" s="294">
        <f>IF(NFI_Expiration=1,IF($A578&lt;VLOOKUP(N$5,NFI,5,0),1,0)*Table_NFI[[#This Row],[Kitchen Set]],Table_NFI[Kitchen Set])</f>
        <v>0</v>
      </c>
      <c r="AF578" s="294">
        <f>IF(NFI_Expiration=1,IF($A578&lt;VLOOKUP(O$5,NFI,5,0),1,0)*Table_NFI[[#This Row],[Clothes Kit]],Table_NFI[Clothes Kit])</f>
        <v>0</v>
      </c>
      <c r="AG578" s="294">
        <f>IF(NFI_Expiration=1,IF($A578&lt;VLOOKUP(P$5,NFI,5,0),1,0)*Table_NFI[[#This Row],[Plastic Bucket]],Table_NFI[Plastic Bucket])</f>
        <v>0</v>
      </c>
      <c r="AH578" s="294">
        <f>IF(NFI_Expiration=1,IF($A578&lt;VLOOKUP(Q$5,NFI,5,0),1,0)*Table_NFI[[#This Row],[Plastic Mat]],Table_NFI[Plastic Mat])*IF(Table_NFI[[#This Row],[Distribution Date]]&gt;"2014-04-01",1,2.5)</f>
        <v>0</v>
      </c>
      <c r="AI578" s="294">
        <f>IF(NFI_Expiration=1,IF($A578&lt;VLOOKUP(R$5,NFI,5,0),1,0)*Table_NFI[[#This Row],[Winter Clothes Adult]],Table_NFI[Winter Clothes Adult])</f>
        <v>0</v>
      </c>
      <c r="AJ578" s="294">
        <f>IF(NFI_Expiration=1,IF($A578&lt;VLOOKUP(S$5,NFI,5,0),1,0)*Table_NFI[[#This Row],[Winter Clothes Children]],Table_NFI[Winter Clothes Children])</f>
        <v>0</v>
      </c>
      <c r="AK578" s="294">
        <f>IF(NFI_Expiration=1,IF($A578&lt;VLOOKUP(T$5,NFI,5,0),1,0)*Table_NFI[[#This Row],[Winter Items Other]],Table_NFI[Winter Items Other])</f>
        <v>0</v>
      </c>
      <c r="AL578" s="294">
        <f>IF(NFI_Expiration=1,IF($A578&lt;VLOOKUP(M$5,NFI,5,0),1,0)*Table_NFI[[#This Row],[Winter Blanket]],Table_NFI[[#This Row],[Winter Blanket]])</f>
        <v>0</v>
      </c>
      <c r="AM578" s="294">
        <f>IF(Table_NFI[[#This Row],[Winter Clothes Adult]]+Table_NFI[[#This Row],[Winter Clothes Children]]+Table_NFI[[#This Row],[Winter Items Other]]+Table_NFI[[#This Row],[Winter Blanket]]&gt;0,1,0)</f>
        <v>1</v>
      </c>
      <c r="AN578" s="331">
        <f>IF(NFI_Expiration=1,IF($A578&lt;VLOOKUP(V$5,NFI,5,0),1,0)*Table_NFI[[#This Row],[Jerry Can]],Table_NFI[Jerry Can])</f>
        <v>0</v>
      </c>
      <c r="AO578" s="331">
        <f>IF(NFI_Expiration=1,IF($A578&lt;VLOOKUP(V$5,NFI,5,0),1,0)*Table_NFI[[#This Row],[Shelter Tool kit]],Table_NFI[Shelter Tool kit])</f>
        <v>0</v>
      </c>
      <c r="AP578" s="331">
        <f>IF(NFI_Expiration=1,IF($A578&lt;VLOOKUP(V$5,NFI,5,0),1,0)*Table_NFI[[#This Row],[Tent]],Table_NFI[Tent])</f>
        <v>0</v>
      </c>
      <c r="AQ578" s="467" t="str">
        <f>IFERROR(VLOOKUP(Table_NFI[[#This Row],[Camp Name]],CL,2,0),"")</f>
        <v>MMR001CMP115</v>
      </c>
      <c r="AR578" s="835">
        <f ca="1">IF(Table_NFI[[#This Row],[Pcode]]="","",IF(OFFSET(CampList[Opening Date],MATCH(Table_NFI[[#This Row],[Pcode]],CampList[CP_Pcode],0)-1,0,1,1)&gt;=NFI_Monitor_Date,1,0))</f>
        <v>0</v>
      </c>
      <c r="AS578" s="467" t="str">
        <f>IFERROR(VLOOKUP(Table_NFI[[#This Row],[Camp Name]],CL,3,0),"")</f>
        <v>Open</v>
      </c>
      <c r="AT578" s="294" t="str">
        <f ca="1">IF(Table_NFI[[#This Row],[Pcode]]="","",OFFSET(CampList[Priority],MATCH(Table_NFI[[#This Row],[Pcode]],CampList[CP_Pcode],0)-1,0,1,1))</f>
        <v>P1</v>
      </c>
      <c r="AU578" s="293">
        <f>IFERROR(Table_NFI[[#This Row],[Kitchen Set]]/VLOOKUP(Table_NFI[[#This Row],[Camp Name]],CL,4,0),"")</f>
        <v>0</v>
      </c>
      <c r="AV578" s="461"/>
      <c r="AW578" s="463"/>
    </row>
    <row r="579" spans="1:49" s="464" customFormat="1" ht="14.45" customHeight="1" x14ac:dyDescent="0.25">
      <c r="A579" s="297">
        <f t="shared" si="8"/>
        <v>37.666666666666664</v>
      </c>
      <c r="B579" s="460">
        <v>41606</v>
      </c>
      <c r="C579" s="462" t="s">
        <v>452</v>
      </c>
      <c r="D579" s="462" t="s">
        <v>452</v>
      </c>
      <c r="E579" s="461" t="s">
        <v>380</v>
      </c>
      <c r="F579" s="290" t="s">
        <v>151</v>
      </c>
      <c r="G579" s="290" t="s">
        <v>152</v>
      </c>
      <c r="H579" s="291"/>
      <c r="I579" s="291"/>
      <c r="J579" s="291"/>
      <c r="K579" s="291">
        <v>20</v>
      </c>
      <c r="L579" s="292">
        <v>7</v>
      </c>
      <c r="M579" s="292">
        <v>22</v>
      </c>
      <c r="N579" s="292">
        <v>7</v>
      </c>
      <c r="O579" s="292">
        <v>7</v>
      </c>
      <c r="P579" s="294"/>
      <c r="Q579" s="294"/>
      <c r="R579" s="294"/>
      <c r="S579" s="294"/>
      <c r="T579" s="294"/>
      <c r="U579" s="294"/>
      <c r="V579" s="431"/>
      <c r="W579" s="294"/>
      <c r="X579" s="294"/>
      <c r="Y579" s="294">
        <f>IF(NFI_Expiration=1,IF($A579&lt;VLOOKUP(H$5,NFI,5,0),1,0)*Table_NFI[[#This Row],[Hygiene Kit]],Table_NFI[Hygiene Kit])</f>
        <v>0</v>
      </c>
      <c r="Z579" s="294">
        <f>IF(NFI_Expiration=1,IF($A579&lt;VLOOKUP(I$5,NFI,5,0),1,0)*Table_NFI[[#This Row],[NFI Core Kit]],Table_NFI[NFI Core Kit])</f>
        <v>0</v>
      </c>
      <c r="AA579" s="294">
        <f>IF(NFI_Expiration=1,IF($A579&lt;VLOOKUP(J$5,NFI,5,0),1,0)*Table_NFI[[#This Row],[Sanitary Kit]],Table_NFI[Sanitary Kit])</f>
        <v>0</v>
      </c>
      <c r="AB579" s="294">
        <f>IF(NFI_Expiration=1,IF($A579&lt;VLOOKUP(K$5,NFI,5,0),1,0)*Table_NFI[[#This Row],[Mosquito net]],Table_NFI[Mosquito net])</f>
        <v>0</v>
      </c>
      <c r="AC579" s="294">
        <f>IF(NFI_Expiration=1,IF($A579&lt;VLOOKUP(L$5,NFI,5,0),1,0)*Table_NFI[[#This Row],[Tarpaulin]],Table_NFI[[#This Row],[Tarpaulin]])</f>
        <v>0</v>
      </c>
      <c r="AD579" s="294">
        <f>IF(NFI_Expiration=1,IF($A579&lt;VLOOKUP(M$5,NFI,5,0),1,0)*Table_NFI[[#This Row],[Blanket]],Table_NFI[[#This Row],[Blanket]])</f>
        <v>0</v>
      </c>
      <c r="AE579" s="294">
        <f>IF(NFI_Expiration=1,IF($A579&lt;VLOOKUP(N$5,NFI,5,0),1,0)*Table_NFI[[#This Row],[Kitchen Set]],Table_NFI[Kitchen Set])</f>
        <v>0</v>
      </c>
      <c r="AF579" s="294">
        <f>IF(NFI_Expiration=1,IF($A579&lt;VLOOKUP(O$5,NFI,5,0),1,0)*Table_NFI[[#This Row],[Clothes Kit]],Table_NFI[Clothes Kit])</f>
        <v>0</v>
      </c>
      <c r="AG579" s="294">
        <f>IF(NFI_Expiration=1,IF($A579&lt;VLOOKUP(P$5,NFI,5,0),1,0)*Table_NFI[[#This Row],[Plastic Bucket]],Table_NFI[Plastic Bucket])</f>
        <v>0</v>
      </c>
      <c r="AH579" s="294">
        <f>IF(NFI_Expiration=1,IF($A579&lt;VLOOKUP(Q$5,NFI,5,0),1,0)*Table_NFI[[#This Row],[Plastic Mat]],Table_NFI[Plastic Mat])*IF(Table_NFI[[#This Row],[Distribution Date]]&gt;"2014-04-01",1,2.5)</f>
        <v>0</v>
      </c>
      <c r="AI579" s="294">
        <f>IF(NFI_Expiration=1,IF($A579&lt;VLOOKUP(R$5,NFI,5,0),1,0)*Table_NFI[[#This Row],[Winter Clothes Adult]],Table_NFI[Winter Clothes Adult])</f>
        <v>0</v>
      </c>
      <c r="AJ579" s="294">
        <f>IF(NFI_Expiration=1,IF($A579&lt;VLOOKUP(S$5,NFI,5,0),1,0)*Table_NFI[[#This Row],[Winter Clothes Children]],Table_NFI[Winter Clothes Children])</f>
        <v>0</v>
      </c>
      <c r="AK579" s="294">
        <f>IF(NFI_Expiration=1,IF($A579&lt;VLOOKUP(T$5,NFI,5,0),1,0)*Table_NFI[[#This Row],[Winter Items Other]],Table_NFI[Winter Items Other])</f>
        <v>0</v>
      </c>
      <c r="AL579" s="294">
        <f>IF(NFI_Expiration=1,IF($A579&lt;VLOOKUP(M$5,NFI,5,0),1,0)*Table_NFI[[#This Row],[Winter Blanket]],Table_NFI[[#This Row],[Winter Blanket]])</f>
        <v>0</v>
      </c>
      <c r="AM579" s="294">
        <f>IF(Table_NFI[[#This Row],[Winter Clothes Adult]]+Table_NFI[[#This Row],[Winter Clothes Children]]+Table_NFI[[#This Row],[Winter Items Other]]+Table_NFI[[#This Row],[Winter Blanket]]&gt;0,1,0)</f>
        <v>0</v>
      </c>
      <c r="AN579" s="331">
        <f>IF(NFI_Expiration=1,IF($A579&lt;VLOOKUP(V$5,NFI,5,0),1,0)*Table_NFI[[#This Row],[Jerry Can]],Table_NFI[Jerry Can])</f>
        <v>0</v>
      </c>
      <c r="AO579" s="331">
        <f>IF(NFI_Expiration=1,IF($A579&lt;VLOOKUP(V$5,NFI,5,0),1,0)*Table_NFI[[#This Row],[Shelter Tool kit]],Table_NFI[Shelter Tool kit])</f>
        <v>0</v>
      </c>
      <c r="AP579" s="331">
        <f>IF(NFI_Expiration=1,IF($A579&lt;VLOOKUP(V$5,NFI,5,0),1,0)*Table_NFI[[#This Row],[Tent]],Table_NFI[Tent])</f>
        <v>0</v>
      </c>
      <c r="AQ579" s="467" t="str">
        <f>IFERROR(VLOOKUP(Table_NFI[[#This Row],[Camp Name]],CL,2,0),"")</f>
        <v>MMR001CMP066</v>
      </c>
      <c r="AR579" s="835">
        <f ca="1">IF(Table_NFI[[#This Row],[Pcode]]="","",IF(OFFSET(CampList[Opening Date],MATCH(Table_NFI[[#This Row],[Pcode]],CampList[CP_Pcode],0)-1,0,1,1)&gt;=NFI_Monitor_Date,1,0))</f>
        <v>0</v>
      </c>
      <c r="AS579" s="467" t="str">
        <f>IFERROR(VLOOKUP(Table_NFI[[#This Row],[Camp Name]],CL,3,0),"")</f>
        <v>Open</v>
      </c>
      <c r="AT579" s="294" t="str">
        <f ca="1">IF(Table_NFI[[#This Row],[Pcode]]="","",OFFSET(CampList[Priority],MATCH(Table_NFI[[#This Row],[Pcode]],CampList[CP_Pcode],0)-1,0,1,1))</f>
        <v>P4</v>
      </c>
      <c r="AU579" s="293">
        <f>IFERROR(Table_NFI[[#This Row],[Kitchen Set]]/VLOOKUP(Table_NFI[[#This Row],[Camp Name]],CL,4,0),"")</f>
        <v>1.6835421727314268E-4</v>
      </c>
      <c r="AV579" s="461" t="s">
        <v>1092</v>
      </c>
      <c r="AW579" s="463"/>
    </row>
    <row r="580" spans="1:49" s="464" customFormat="1" ht="14.45" customHeight="1" x14ac:dyDescent="0.25">
      <c r="A580" s="297">
        <f t="shared" si="8"/>
        <v>37.666666666666664</v>
      </c>
      <c r="B580" s="460">
        <v>41606</v>
      </c>
      <c r="C580" s="461" t="s">
        <v>905</v>
      </c>
      <c r="D580" s="461" t="s">
        <v>460</v>
      </c>
      <c r="E580" s="461" t="s">
        <v>380</v>
      </c>
      <c r="F580" s="461" t="s">
        <v>310</v>
      </c>
      <c r="G580" s="461" t="s">
        <v>1245</v>
      </c>
      <c r="H580" s="291"/>
      <c r="I580" s="291"/>
      <c r="J580" s="291"/>
      <c r="K580" s="291"/>
      <c r="L580" s="292"/>
      <c r="M580" s="292"/>
      <c r="N580" s="292"/>
      <c r="O580" s="292"/>
      <c r="P580" s="294"/>
      <c r="Q580" s="294"/>
      <c r="R580" s="294">
        <v>636</v>
      </c>
      <c r="S580" s="294">
        <v>1272</v>
      </c>
      <c r="T580" s="294">
        <v>3816</v>
      </c>
      <c r="U580" s="294">
        <v>1908</v>
      </c>
      <c r="V580" s="431"/>
      <c r="W580" s="294"/>
      <c r="X580" s="294"/>
      <c r="Y580" s="294">
        <f>IF(NFI_Expiration=1,IF($A580&lt;VLOOKUP(H$5,NFI,5,0),1,0)*Table_NFI[[#This Row],[Hygiene Kit]],Table_NFI[Hygiene Kit])</f>
        <v>0</v>
      </c>
      <c r="Z580" s="294">
        <f>IF(NFI_Expiration=1,IF($A580&lt;VLOOKUP(I$5,NFI,5,0),1,0)*Table_NFI[[#This Row],[NFI Core Kit]],Table_NFI[NFI Core Kit])</f>
        <v>0</v>
      </c>
      <c r="AA580" s="294">
        <f>IF(NFI_Expiration=1,IF($A580&lt;VLOOKUP(J$5,NFI,5,0),1,0)*Table_NFI[[#This Row],[Sanitary Kit]],Table_NFI[Sanitary Kit])</f>
        <v>0</v>
      </c>
      <c r="AB580" s="294">
        <f>IF(NFI_Expiration=1,IF($A580&lt;VLOOKUP(K$5,NFI,5,0),1,0)*Table_NFI[[#This Row],[Mosquito net]],Table_NFI[Mosquito net])</f>
        <v>0</v>
      </c>
      <c r="AC580" s="294">
        <f>IF(NFI_Expiration=1,IF($A580&lt;VLOOKUP(L$5,NFI,5,0),1,0)*Table_NFI[[#This Row],[Tarpaulin]],Table_NFI[[#This Row],[Tarpaulin]])</f>
        <v>0</v>
      </c>
      <c r="AD580" s="294">
        <f>IF(NFI_Expiration=1,IF($A580&lt;VLOOKUP(M$5,NFI,5,0),1,0)*Table_NFI[[#This Row],[Blanket]],Table_NFI[[#This Row],[Blanket]])</f>
        <v>0</v>
      </c>
      <c r="AE580" s="294">
        <f>IF(NFI_Expiration=1,IF($A580&lt;VLOOKUP(N$5,NFI,5,0),1,0)*Table_NFI[[#This Row],[Kitchen Set]],Table_NFI[Kitchen Set])</f>
        <v>0</v>
      </c>
      <c r="AF580" s="294">
        <f>IF(NFI_Expiration=1,IF($A580&lt;VLOOKUP(O$5,NFI,5,0),1,0)*Table_NFI[[#This Row],[Clothes Kit]],Table_NFI[Clothes Kit])</f>
        <v>0</v>
      </c>
      <c r="AG580" s="294">
        <f>IF(NFI_Expiration=1,IF($A580&lt;VLOOKUP(P$5,NFI,5,0),1,0)*Table_NFI[[#This Row],[Plastic Bucket]],Table_NFI[Plastic Bucket])</f>
        <v>0</v>
      </c>
      <c r="AH580" s="294">
        <f>IF(NFI_Expiration=1,IF($A580&lt;VLOOKUP(Q$5,NFI,5,0),1,0)*Table_NFI[[#This Row],[Plastic Mat]],Table_NFI[Plastic Mat])*IF(Table_NFI[[#This Row],[Distribution Date]]&gt;"2014-04-01",1,2.5)</f>
        <v>0</v>
      </c>
      <c r="AI580" s="294">
        <f>IF(NFI_Expiration=1,IF($A580&lt;VLOOKUP(R$5,NFI,5,0),1,0)*Table_NFI[[#This Row],[Winter Clothes Adult]],Table_NFI[Winter Clothes Adult])</f>
        <v>0</v>
      </c>
      <c r="AJ580" s="294">
        <f>IF(NFI_Expiration=1,IF($A580&lt;VLOOKUP(S$5,NFI,5,0),1,0)*Table_NFI[[#This Row],[Winter Clothes Children]],Table_NFI[Winter Clothes Children])</f>
        <v>0</v>
      </c>
      <c r="AK580" s="294">
        <f>IF(NFI_Expiration=1,IF($A580&lt;VLOOKUP(T$5,NFI,5,0),1,0)*Table_NFI[[#This Row],[Winter Items Other]],Table_NFI[Winter Items Other])</f>
        <v>0</v>
      </c>
      <c r="AL580" s="294">
        <f>IF(NFI_Expiration=1,IF($A580&lt;VLOOKUP(M$5,NFI,5,0),1,0)*Table_NFI[[#This Row],[Winter Blanket]],Table_NFI[[#This Row],[Winter Blanket]])</f>
        <v>0</v>
      </c>
      <c r="AM580" s="294">
        <f>IF(Table_NFI[[#This Row],[Winter Clothes Adult]]+Table_NFI[[#This Row],[Winter Clothes Children]]+Table_NFI[[#This Row],[Winter Items Other]]+Table_NFI[[#This Row],[Winter Blanket]]&gt;0,1,0)</f>
        <v>1</v>
      </c>
      <c r="AN580" s="331">
        <f>IF(NFI_Expiration=1,IF($A580&lt;VLOOKUP(V$5,NFI,5,0),1,0)*Table_NFI[[#This Row],[Jerry Can]],Table_NFI[Jerry Can])</f>
        <v>0</v>
      </c>
      <c r="AO580" s="331">
        <f>IF(NFI_Expiration=1,IF($A580&lt;VLOOKUP(V$5,NFI,5,0),1,0)*Table_NFI[[#This Row],[Shelter Tool kit]],Table_NFI[Shelter Tool kit])</f>
        <v>0</v>
      </c>
      <c r="AP580" s="331">
        <f>IF(NFI_Expiration=1,IF($A580&lt;VLOOKUP(V$5,NFI,5,0),1,0)*Table_NFI[[#This Row],[Tent]],Table_NFI[Tent])</f>
        <v>0</v>
      </c>
      <c r="AQ580" s="467" t="str">
        <f>IFERROR(VLOOKUP(Table_NFI[[#This Row],[Camp Name]],CL,2,0),"")</f>
        <v>MMR001CMP111</v>
      </c>
      <c r="AR580" s="835">
        <f ca="1">IF(Table_NFI[[#This Row],[Pcode]]="","",IF(OFFSET(CampList[Opening Date],MATCH(Table_NFI[[#This Row],[Pcode]],CampList[CP_Pcode],0)-1,0,1,1)&gt;=NFI_Monitor_Date,1,0))</f>
        <v>0</v>
      </c>
      <c r="AS580" s="467" t="str">
        <f>IFERROR(VLOOKUP(Table_NFI[[#This Row],[Camp Name]],CL,3,0),"")</f>
        <v>Open</v>
      </c>
      <c r="AT580" s="294" t="str">
        <f ca="1">IF(Table_NFI[[#This Row],[Pcode]]="","",OFFSET(CampList[Priority],MATCH(Table_NFI[[#This Row],[Pcode]],CampList[CP_Pcode],0)-1,0,1,1))</f>
        <v>P2</v>
      </c>
      <c r="AU580" s="293">
        <f>IFERROR(Table_NFI[[#This Row],[Kitchen Set]]/VLOOKUP(Table_NFI[[#This Row],[Camp Name]],CL,4,0),"")</f>
        <v>0</v>
      </c>
      <c r="AV580" s="461"/>
      <c r="AW580" s="463"/>
    </row>
    <row r="581" spans="1:49" s="464" customFormat="1" ht="14.45" customHeight="1" x14ac:dyDescent="0.25">
      <c r="A581" s="297">
        <f t="shared" si="8"/>
        <v>37.733333333333334</v>
      </c>
      <c r="B581" s="460">
        <v>41604</v>
      </c>
      <c r="C581" s="462" t="s">
        <v>452</v>
      </c>
      <c r="D581" s="462" t="s">
        <v>452</v>
      </c>
      <c r="E581" s="461" t="s">
        <v>380</v>
      </c>
      <c r="F581" s="461" t="s">
        <v>5</v>
      </c>
      <c r="G581" s="290" t="s">
        <v>512</v>
      </c>
      <c r="H581" s="291"/>
      <c r="I581" s="291"/>
      <c r="J581" s="291"/>
      <c r="K581" s="291">
        <v>11</v>
      </c>
      <c r="L581" s="292">
        <v>5</v>
      </c>
      <c r="M581" s="292">
        <v>11</v>
      </c>
      <c r="N581" s="292">
        <v>5</v>
      </c>
      <c r="O581" s="292">
        <v>5</v>
      </c>
      <c r="P581" s="294"/>
      <c r="Q581" s="294"/>
      <c r="R581" s="294"/>
      <c r="S581" s="294"/>
      <c r="T581" s="294"/>
      <c r="U581" s="294"/>
      <c r="V581" s="431"/>
      <c r="W581" s="294"/>
      <c r="X581" s="294"/>
      <c r="Y581" s="294">
        <f>IF(NFI_Expiration=1,IF($A581&lt;VLOOKUP(H$5,NFI,5,0),1,0)*Table_NFI[[#This Row],[Hygiene Kit]],Table_NFI[Hygiene Kit])</f>
        <v>0</v>
      </c>
      <c r="Z581" s="294">
        <f>IF(NFI_Expiration=1,IF($A581&lt;VLOOKUP(I$5,NFI,5,0),1,0)*Table_NFI[[#This Row],[NFI Core Kit]],Table_NFI[NFI Core Kit])</f>
        <v>0</v>
      </c>
      <c r="AA581" s="294">
        <f>IF(NFI_Expiration=1,IF($A581&lt;VLOOKUP(J$5,NFI,5,0),1,0)*Table_NFI[[#This Row],[Sanitary Kit]],Table_NFI[Sanitary Kit])</f>
        <v>0</v>
      </c>
      <c r="AB581" s="294">
        <f>IF(NFI_Expiration=1,IF($A581&lt;VLOOKUP(K$5,NFI,5,0),1,0)*Table_NFI[[#This Row],[Mosquito net]],Table_NFI[Mosquito net])</f>
        <v>0</v>
      </c>
      <c r="AC581" s="294">
        <f>IF(NFI_Expiration=1,IF($A581&lt;VLOOKUP(L$5,NFI,5,0),1,0)*Table_NFI[[#This Row],[Tarpaulin]],Table_NFI[[#This Row],[Tarpaulin]])</f>
        <v>0</v>
      </c>
      <c r="AD581" s="294">
        <f>IF(NFI_Expiration=1,IF($A581&lt;VLOOKUP(M$5,NFI,5,0),1,0)*Table_NFI[[#This Row],[Blanket]],Table_NFI[[#This Row],[Blanket]])</f>
        <v>0</v>
      </c>
      <c r="AE581" s="294">
        <f>IF(NFI_Expiration=1,IF($A581&lt;VLOOKUP(N$5,NFI,5,0),1,0)*Table_NFI[[#This Row],[Kitchen Set]],Table_NFI[Kitchen Set])</f>
        <v>0</v>
      </c>
      <c r="AF581" s="294">
        <f>IF(NFI_Expiration=1,IF($A581&lt;VLOOKUP(O$5,NFI,5,0),1,0)*Table_NFI[[#This Row],[Clothes Kit]],Table_NFI[Clothes Kit])</f>
        <v>0</v>
      </c>
      <c r="AG581" s="294">
        <f>IF(NFI_Expiration=1,IF($A581&lt;VLOOKUP(P$5,NFI,5,0),1,0)*Table_NFI[[#This Row],[Plastic Bucket]],Table_NFI[Plastic Bucket])</f>
        <v>0</v>
      </c>
      <c r="AH581" s="294">
        <f>IF(NFI_Expiration=1,IF($A581&lt;VLOOKUP(Q$5,NFI,5,0),1,0)*Table_NFI[[#This Row],[Plastic Mat]],Table_NFI[Plastic Mat])*IF(Table_NFI[[#This Row],[Distribution Date]]&gt;"2014-04-01",1,2.5)</f>
        <v>0</v>
      </c>
      <c r="AI581" s="294">
        <f>IF(NFI_Expiration=1,IF($A581&lt;VLOOKUP(R$5,NFI,5,0),1,0)*Table_NFI[[#This Row],[Winter Clothes Adult]],Table_NFI[Winter Clothes Adult])</f>
        <v>0</v>
      </c>
      <c r="AJ581" s="294">
        <f>IF(NFI_Expiration=1,IF($A581&lt;VLOOKUP(S$5,NFI,5,0),1,0)*Table_NFI[[#This Row],[Winter Clothes Children]],Table_NFI[Winter Clothes Children])</f>
        <v>0</v>
      </c>
      <c r="AK581" s="294">
        <f>IF(NFI_Expiration=1,IF($A581&lt;VLOOKUP(T$5,NFI,5,0),1,0)*Table_NFI[[#This Row],[Winter Items Other]],Table_NFI[Winter Items Other])</f>
        <v>0</v>
      </c>
      <c r="AL581" s="294">
        <f>IF(NFI_Expiration=1,IF($A581&lt;VLOOKUP(M$5,NFI,5,0),1,0)*Table_NFI[[#This Row],[Winter Blanket]],Table_NFI[[#This Row],[Winter Blanket]])</f>
        <v>0</v>
      </c>
      <c r="AM581" s="294">
        <f>IF(Table_NFI[[#This Row],[Winter Clothes Adult]]+Table_NFI[[#This Row],[Winter Clothes Children]]+Table_NFI[[#This Row],[Winter Items Other]]+Table_NFI[[#This Row],[Winter Blanket]]&gt;0,1,0)</f>
        <v>0</v>
      </c>
      <c r="AN581" s="331">
        <f>IF(NFI_Expiration=1,IF($A581&lt;VLOOKUP(V$5,NFI,5,0),1,0)*Table_NFI[[#This Row],[Jerry Can]],Table_NFI[Jerry Can])</f>
        <v>0</v>
      </c>
      <c r="AO581" s="331">
        <f>IF(NFI_Expiration=1,IF($A581&lt;VLOOKUP(V$5,NFI,5,0),1,0)*Table_NFI[[#This Row],[Shelter Tool kit]],Table_NFI[Shelter Tool kit])</f>
        <v>0</v>
      </c>
      <c r="AP581" s="331">
        <f>IF(NFI_Expiration=1,IF($A581&lt;VLOOKUP(V$5,NFI,5,0),1,0)*Table_NFI[[#This Row],[Tent]],Table_NFI[Tent])</f>
        <v>0</v>
      </c>
      <c r="AQ581" s="467" t="str">
        <f>IFERROR(VLOOKUP(Table_NFI[[#This Row],[Camp Name]],CL,2,0),"")</f>
        <v>MMR001CMP194</v>
      </c>
      <c r="AR581" s="835">
        <f ca="1">IF(Table_NFI[[#This Row],[Pcode]]="","",IF(OFFSET(CampList[Opening Date],MATCH(Table_NFI[[#This Row],[Pcode]],CampList[CP_Pcode],0)-1,0,1,1)&gt;=NFI_Monitor_Date,1,0))</f>
        <v>0</v>
      </c>
      <c r="AS581" s="467" t="str">
        <f>IFERROR(VLOOKUP(Table_NFI[[#This Row],[Camp Name]],CL,3,0),"")</f>
        <v>Open</v>
      </c>
      <c r="AT581" s="294" t="str">
        <f ca="1">IF(Table_NFI[[#This Row],[Pcode]]="","",OFFSET(CampList[Priority],MATCH(Table_NFI[[#This Row],[Pcode]],CampList[CP_Pcode],0)-1,0,1,1))</f>
        <v>P4</v>
      </c>
      <c r="AU581" s="293">
        <f>IFERROR(Table_NFI[[#This Row],[Kitchen Set]]/VLOOKUP(Table_NFI[[#This Row],[Camp Name]],CL,4,0),"")</f>
        <v>1.2258807953514599E-4</v>
      </c>
      <c r="AV581" s="461" t="s">
        <v>1092</v>
      </c>
      <c r="AW581" s="463"/>
    </row>
    <row r="582" spans="1:49" s="464" customFormat="1" x14ac:dyDescent="0.25">
      <c r="A582" s="297">
        <f t="shared" ref="A582:A645" si="9">IF(ISBLANK(B582),"",(Report_Date-B582)/30)</f>
        <v>37.733333333333334</v>
      </c>
      <c r="B582" s="460">
        <v>41604</v>
      </c>
      <c r="C582" s="462" t="s">
        <v>452</v>
      </c>
      <c r="D582" s="462" t="s">
        <v>452</v>
      </c>
      <c r="E582" s="461" t="s">
        <v>380</v>
      </c>
      <c r="F582" s="461" t="s">
        <v>5</v>
      </c>
      <c r="G582" s="290" t="s">
        <v>12</v>
      </c>
      <c r="H582" s="291"/>
      <c r="I582" s="291"/>
      <c r="J582" s="291"/>
      <c r="K582" s="291">
        <v>25</v>
      </c>
      <c r="L582" s="292">
        <v>13</v>
      </c>
      <c r="M582" s="292">
        <v>25</v>
      </c>
      <c r="N582" s="292">
        <v>13</v>
      </c>
      <c r="O582" s="292">
        <v>13</v>
      </c>
      <c r="P582" s="294"/>
      <c r="Q582" s="294"/>
      <c r="R582" s="294"/>
      <c r="S582" s="294"/>
      <c r="T582" s="294"/>
      <c r="U582" s="294"/>
      <c r="V582" s="431"/>
      <c r="W582" s="294"/>
      <c r="X582" s="294"/>
      <c r="Y582" s="294">
        <f>IF(NFI_Expiration=1,IF($A582&lt;VLOOKUP(H$5,NFI,5,0),1,0)*Table_NFI[[#This Row],[Hygiene Kit]],Table_NFI[Hygiene Kit])</f>
        <v>0</v>
      </c>
      <c r="Z582" s="294">
        <f>IF(NFI_Expiration=1,IF($A582&lt;VLOOKUP(I$5,NFI,5,0),1,0)*Table_NFI[[#This Row],[NFI Core Kit]],Table_NFI[NFI Core Kit])</f>
        <v>0</v>
      </c>
      <c r="AA582" s="294">
        <f>IF(NFI_Expiration=1,IF($A582&lt;VLOOKUP(J$5,NFI,5,0),1,0)*Table_NFI[[#This Row],[Sanitary Kit]],Table_NFI[Sanitary Kit])</f>
        <v>0</v>
      </c>
      <c r="AB582" s="294">
        <f>IF(NFI_Expiration=1,IF($A582&lt;VLOOKUP(K$5,NFI,5,0),1,0)*Table_NFI[[#This Row],[Mosquito net]],Table_NFI[Mosquito net])</f>
        <v>0</v>
      </c>
      <c r="AC582" s="294">
        <f>IF(NFI_Expiration=1,IF($A582&lt;VLOOKUP(L$5,NFI,5,0),1,0)*Table_NFI[[#This Row],[Tarpaulin]],Table_NFI[[#This Row],[Tarpaulin]])</f>
        <v>0</v>
      </c>
      <c r="AD582" s="294">
        <f>IF(NFI_Expiration=1,IF($A582&lt;VLOOKUP(M$5,NFI,5,0),1,0)*Table_NFI[[#This Row],[Blanket]],Table_NFI[[#This Row],[Blanket]])</f>
        <v>0</v>
      </c>
      <c r="AE582" s="294">
        <f>IF(NFI_Expiration=1,IF($A582&lt;VLOOKUP(N$5,NFI,5,0),1,0)*Table_NFI[[#This Row],[Kitchen Set]],Table_NFI[Kitchen Set])</f>
        <v>0</v>
      </c>
      <c r="AF582" s="294">
        <f>IF(NFI_Expiration=1,IF($A582&lt;VLOOKUP(O$5,NFI,5,0),1,0)*Table_NFI[[#This Row],[Clothes Kit]],Table_NFI[Clothes Kit])</f>
        <v>0</v>
      </c>
      <c r="AG582" s="294">
        <f>IF(NFI_Expiration=1,IF($A582&lt;VLOOKUP(P$5,NFI,5,0),1,0)*Table_NFI[[#This Row],[Plastic Bucket]],Table_NFI[Plastic Bucket])</f>
        <v>0</v>
      </c>
      <c r="AH582" s="294">
        <f>IF(NFI_Expiration=1,IF($A582&lt;VLOOKUP(Q$5,NFI,5,0),1,0)*Table_NFI[[#This Row],[Plastic Mat]],Table_NFI[Plastic Mat])*IF(Table_NFI[[#This Row],[Distribution Date]]&gt;"2014-04-01",1,2.5)</f>
        <v>0</v>
      </c>
      <c r="AI582" s="294">
        <f>IF(NFI_Expiration=1,IF($A582&lt;VLOOKUP(R$5,NFI,5,0),1,0)*Table_NFI[[#This Row],[Winter Clothes Adult]],Table_NFI[Winter Clothes Adult])</f>
        <v>0</v>
      </c>
      <c r="AJ582" s="294">
        <f>IF(NFI_Expiration=1,IF($A582&lt;VLOOKUP(S$5,NFI,5,0),1,0)*Table_NFI[[#This Row],[Winter Clothes Children]],Table_NFI[Winter Clothes Children])</f>
        <v>0</v>
      </c>
      <c r="AK582" s="294">
        <f>IF(NFI_Expiration=1,IF($A582&lt;VLOOKUP(T$5,NFI,5,0),1,0)*Table_NFI[[#This Row],[Winter Items Other]],Table_NFI[Winter Items Other])</f>
        <v>0</v>
      </c>
      <c r="AL582" s="294">
        <f>IF(NFI_Expiration=1,IF($A582&lt;VLOOKUP(M$5,NFI,5,0),1,0)*Table_NFI[[#This Row],[Winter Blanket]],Table_NFI[[#This Row],[Winter Blanket]])</f>
        <v>0</v>
      </c>
      <c r="AM582" s="294">
        <f>IF(Table_NFI[[#This Row],[Winter Clothes Adult]]+Table_NFI[[#This Row],[Winter Clothes Children]]+Table_NFI[[#This Row],[Winter Items Other]]+Table_NFI[[#This Row],[Winter Blanket]]&gt;0,1,0)</f>
        <v>0</v>
      </c>
      <c r="AN582" s="331">
        <f>IF(NFI_Expiration=1,IF($A582&lt;VLOOKUP(V$5,NFI,5,0),1,0)*Table_NFI[[#This Row],[Jerry Can]],Table_NFI[Jerry Can])</f>
        <v>0</v>
      </c>
      <c r="AO582" s="331">
        <f>IF(NFI_Expiration=1,IF($A582&lt;VLOOKUP(V$5,NFI,5,0),1,0)*Table_NFI[[#This Row],[Shelter Tool kit]],Table_NFI[Shelter Tool kit])</f>
        <v>0</v>
      </c>
      <c r="AP582" s="331">
        <f>IF(NFI_Expiration=1,IF($A582&lt;VLOOKUP(V$5,NFI,5,0),1,0)*Table_NFI[[#This Row],[Tent]],Table_NFI[Tent])</f>
        <v>0</v>
      </c>
      <c r="AQ582" s="467" t="str">
        <f>IFERROR(VLOOKUP(Table_NFI[[#This Row],[Camp Name]],CL,2,0),"")</f>
        <v>MMR001CMP163</v>
      </c>
      <c r="AR582" s="835">
        <f ca="1">IF(Table_NFI[[#This Row],[Pcode]]="","",IF(OFFSET(CampList[Opening Date],MATCH(Table_NFI[[#This Row],[Pcode]],CampList[CP_Pcode],0)-1,0,1,1)&gt;=NFI_Monitor_Date,1,0))</f>
        <v>0</v>
      </c>
      <c r="AS582" s="467" t="str">
        <f>IFERROR(VLOOKUP(Table_NFI[[#This Row],[Camp Name]],CL,3,0),"")</f>
        <v>Open</v>
      </c>
      <c r="AT582" s="294" t="str">
        <f ca="1">IF(Table_NFI[[#This Row],[Pcode]]="","",OFFSET(CampList[Priority],MATCH(Table_NFI[[#This Row],[Pcode]],CampList[CP_Pcode],0)-1,0,1,1))</f>
        <v>P4</v>
      </c>
      <c r="AU582" s="293" t="str">
        <f>IFERROR(Table_NFI[[#This Row],[Kitchen Set]]/VLOOKUP(Table_NFI[[#This Row],[Camp Name]],CL,4,0),"")</f>
        <v/>
      </c>
      <c r="AV582" s="461" t="s">
        <v>1092</v>
      </c>
      <c r="AW582" s="463"/>
    </row>
    <row r="583" spans="1:49" s="464" customFormat="1" x14ac:dyDescent="0.25">
      <c r="A583" s="297">
        <f t="shared" si="9"/>
        <v>37.733333333333334</v>
      </c>
      <c r="B583" s="460">
        <v>41604</v>
      </c>
      <c r="C583" s="462" t="s">
        <v>452</v>
      </c>
      <c r="D583" s="462" t="s">
        <v>452</v>
      </c>
      <c r="E583" s="461" t="s">
        <v>380</v>
      </c>
      <c r="F583" s="461" t="s">
        <v>5</v>
      </c>
      <c r="G583" s="290" t="s">
        <v>18</v>
      </c>
      <c r="H583" s="291"/>
      <c r="I583" s="291"/>
      <c r="J583" s="291"/>
      <c r="K583" s="291">
        <v>31</v>
      </c>
      <c r="L583" s="292">
        <v>13</v>
      </c>
      <c r="M583" s="292">
        <v>31</v>
      </c>
      <c r="N583" s="292">
        <v>13</v>
      </c>
      <c r="O583" s="292">
        <v>13</v>
      </c>
      <c r="P583" s="294"/>
      <c r="Q583" s="294"/>
      <c r="R583" s="294"/>
      <c r="S583" s="294"/>
      <c r="T583" s="294"/>
      <c r="U583" s="294"/>
      <c r="V583" s="431"/>
      <c r="W583" s="331"/>
      <c r="X583" s="331"/>
      <c r="Y583" s="294">
        <f>IF(NFI_Expiration=1,IF($A583&lt;VLOOKUP(H$5,NFI,5,0),1,0)*Table_NFI[[#This Row],[Hygiene Kit]],Table_NFI[Hygiene Kit])</f>
        <v>0</v>
      </c>
      <c r="Z583" s="294">
        <f>IF(NFI_Expiration=1,IF($A583&lt;VLOOKUP(I$5,NFI,5,0),1,0)*Table_NFI[[#This Row],[NFI Core Kit]],Table_NFI[NFI Core Kit])</f>
        <v>0</v>
      </c>
      <c r="AA583" s="294">
        <f>IF(NFI_Expiration=1,IF($A583&lt;VLOOKUP(J$5,NFI,5,0),1,0)*Table_NFI[[#This Row],[Sanitary Kit]],Table_NFI[Sanitary Kit])</f>
        <v>0</v>
      </c>
      <c r="AB583" s="294">
        <f>IF(NFI_Expiration=1,IF($A583&lt;VLOOKUP(K$5,NFI,5,0),1,0)*Table_NFI[[#This Row],[Mosquito net]],Table_NFI[Mosquito net])</f>
        <v>0</v>
      </c>
      <c r="AC583" s="294">
        <f>IF(NFI_Expiration=1,IF($A583&lt;VLOOKUP(L$5,NFI,5,0),1,0)*Table_NFI[[#This Row],[Tarpaulin]],Table_NFI[[#This Row],[Tarpaulin]])</f>
        <v>0</v>
      </c>
      <c r="AD583" s="294">
        <f>IF(NFI_Expiration=1,IF($A583&lt;VLOOKUP(M$5,NFI,5,0),1,0)*Table_NFI[[#This Row],[Blanket]],Table_NFI[[#This Row],[Blanket]])</f>
        <v>0</v>
      </c>
      <c r="AE583" s="294">
        <f>IF(NFI_Expiration=1,IF($A583&lt;VLOOKUP(N$5,NFI,5,0),1,0)*Table_NFI[[#This Row],[Kitchen Set]],Table_NFI[Kitchen Set])</f>
        <v>0</v>
      </c>
      <c r="AF583" s="294">
        <f>IF(NFI_Expiration=1,IF($A583&lt;VLOOKUP(O$5,NFI,5,0),1,0)*Table_NFI[[#This Row],[Clothes Kit]],Table_NFI[Clothes Kit])</f>
        <v>0</v>
      </c>
      <c r="AG583" s="294">
        <f>IF(NFI_Expiration=1,IF($A583&lt;VLOOKUP(P$5,NFI,5,0),1,0)*Table_NFI[[#This Row],[Plastic Bucket]],Table_NFI[Plastic Bucket])</f>
        <v>0</v>
      </c>
      <c r="AH583" s="294">
        <f>IF(NFI_Expiration=1,IF($A583&lt;VLOOKUP(Q$5,NFI,5,0),1,0)*Table_NFI[[#This Row],[Plastic Mat]],Table_NFI[Plastic Mat])*IF(Table_NFI[[#This Row],[Distribution Date]]&gt;"2014-04-01",1,2.5)</f>
        <v>0</v>
      </c>
      <c r="AI583" s="294">
        <f>IF(NFI_Expiration=1,IF($A583&lt;VLOOKUP(R$5,NFI,5,0),1,0)*Table_NFI[[#This Row],[Winter Clothes Adult]],Table_NFI[Winter Clothes Adult])</f>
        <v>0</v>
      </c>
      <c r="AJ583" s="294">
        <f>IF(NFI_Expiration=1,IF($A583&lt;VLOOKUP(S$5,NFI,5,0),1,0)*Table_NFI[[#This Row],[Winter Clothes Children]],Table_NFI[Winter Clothes Children])</f>
        <v>0</v>
      </c>
      <c r="AK583" s="294">
        <f>IF(NFI_Expiration=1,IF($A583&lt;VLOOKUP(T$5,NFI,5,0),1,0)*Table_NFI[[#This Row],[Winter Items Other]],Table_NFI[Winter Items Other])</f>
        <v>0</v>
      </c>
      <c r="AL583" s="294">
        <f>IF(NFI_Expiration=1,IF($A583&lt;VLOOKUP(M$5,NFI,5,0),1,0)*Table_NFI[[#This Row],[Winter Blanket]],Table_NFI[[#This Row],[Winter Blanket]])</f>
        <v>0</v>
      </c>
      <c r="AM583" s="294">
        <f>IF(Table_NFI[[#This Row],[Winter Clothes Adult]]+Table_NFI[[#This Row],[Winter Clothes Children]]+Table_NFI[[#This Row],[Winter Items Other]]+Table_NFI[[#This Row],[Winter Blanket]]&gt;0,1,0)</f>
        <v>0</v>
      </c>
      <c r="AN583" s="331">
        <f>IF(NFI_Expiration=1,IF($A583&lt;VLOOKUP(V$5,NFI,5,0),1,0)*Table_NFI[[#This Row],[Jerry Can]],Table_NFI[Jerry Can])</f>
        <v>0</v>
      </c>
      <c r="AO583" s="331">
        <f>IF(NFI_Expiration=1,IF($A583&lt;VLOOKUP(V$5,NFI,5,0),1,0)*Table_NFI[[#This Row],[Shelter Tool kit]],Table_NFI[Shelter Tool kit])</f>
        <v>0</v>
      </c>
      <c r="AP583" s="331">
        <f>IF(NFI_Expiration=1,IF($A583&lt;VLOOKUP(V$5,NFI,5,0),1,0)*Table_NFI[[#This Row],[Tent]],Table_NFI[Tent])</f>
        <v>0</v>
      </c>
      <c r="AQ583" s="467" t="str">
        <f>IFERROR(VLOOKUP(Table_NFI[[#This Row],[Camp Name]],CL,2,0),"")</f>
        <v>MMR001CMP049</v>
      </c>
      <c r="AR583" s="835">
        <f ca="1">IF(Table_NFI[[#This Row],[Pcode]]="","",IF(OFFSET(CampList[Opening Date],MATCH(Table_NFI[[#This Row],[Pcode]],CampList[CP_Pcode],0)-1,0,1,1)&gt;=NFI_Monitor_Date,1,0))</f>
        <v>0</v>
      </c>
      <c r="AS583" s="467" t="str">
        <f>IFERROR(VLOOKUP(Table_NFI[[#This Row],[Camp Name]],CL,3,0),"")</f>
        <v>Open</v>
      </c>
      <c r="AT583" s="294" t="str">
        <f ca="1">IF(Table_NFI[[#This Row],[Pcode]]="","",OFFSET(CampList[Priority],MATCH(Table_NFI[[#This Row],[Pcode]],CampList[CP_Pcode],0)-1,0,1,1))</f>
        <v>P4</v>
      </c>
      <c r="AU583" s="293">
        <f>IFERROR(Table_NFI[[#This Row],[Kitchen Set]]/VLOOKUP(Table_NFI[[#This Row],[Camp Name]],CL,4,0),"")</f>
        <v>3.1944956382848013E-4</v>
      </c>
      <c r="AV583" s="461" t="s">
        <v>1092</v>
      </c>
      <c r="AW583" s="463"/>
    </row>
    <row r="584" spans="1:49" s="464" customFormat="1" ht="14.45" customHeight="1" x14ac:dyDescent="0.25">
      <c r="A584" s="297">
        <f t="shared" si="9"/>
        <v>37.733333333333334</v>
      </c>
      <c r="B584" s="460">
        <v>41604</v>
      </c>
      <c r="C584" s="461" t="s">
        <v>905</v>
      </c>
      <c r="D584" s="461" t="s">
        <v>905</v>
      </c>
      <c r="E584" s="461" t="s">
        <v>380</v>
      </c>
      <c r="F584" s="461" t="s">
        <v>151</v>
      </c>
      <c r="G584" s="461" t="s">
        <v>516</v>
      </c>
      <c r="H584" s="291"/>
      <c r="I584" s="291"/>
      <c r="J584" s="291"/>
      <c r="K584" s="291"/>
      <c r="L584" s="292"/>
      <c r="M584" s="292"/>
      <c r="N584" s="292"/>
      <c r="O584" s="292"/>
      <c r="P584" s="294"/>
      <c r="Q584" s="294"/>
      <c r="R584" s="294">
        <v>80</v>
      </c>
      <c r="S584" s="294">
        <v>160</v>
      </c>
      <c r="T584" s="294">
        <v>480</v>
      </c>
      <c r="U584" s="294">
        <v>240</v>
      </c>
      <c r="V584" s="431"/>
      <c r="W584" s="294"/>
      <c r="X584" s="294"/>
      <c r="Y584" s="294">
        <f>IF(NFI_Expiration=1,IF($A584&lt;VLOOKUP(H$5,NFI,5,0),1,0)*Table_NFI[[#This Row],[Hygiene Kit]],Table_NFI[Hygiene Kit])</f>
        <v>0</v>
      </c>
      <c r="Z584" s="294">
        <f>IF(NFI_Expiration=1,IF($A584&lt;VLOOKUP(I$5,NFI,5,0),1,0)*Table_NFI[[#This Row],[NFI Core Kit]],Table_NFI[NFI Core Kit])</f>
        <v>0</v>
      </c>
      <c r="AA584" s="294">
        <f>IF(NFI_Expiration=1,IF($A584&lt;VLOOKUP(J$5,NFI,5,0),1,0)*Table_NFI[[#This Row],[Sanitary Kit]],Table_NFI[Sanitary Kit])</f>
        <v>0</v>
      </c>
      <c r="AB584" s="294">
        <f>IF(NFI_Expiration=1,IF($A584&lt;VLOOKUP(K$5,NFI,5,0),1,0)*Table_NFI[[#This Row],[Mosquito net]],Table_NFI[Mosquito net])</f>
        <v>0</v>
      </c>
      <c r="AC584" s="294">
        <f>IF(NFI_Expiration=1,IF($A584&lt;VLOOKUP(L$5,NFI,5,0),1,0)*Table_NFI[[#This Row],[Tarpaulin]],Table_NFI[[#This Row],[Tarpaulin]])</f>
        <v>0</v>
      </c>
      <c r="AD584" s="294">
        <f>IF(NFI_Expiration=1,IF($A584&lt;VLOOKUP(M$5,NFI,5,0),1,0)*Table_NFI[[#This Row],[Blanket]],Table_NFI[[#This Row],[Blanket]])</f>
        <v>0</v>
      </c>
      <c r="AE584" s="294">
        <f>IF(NFI_Expiration=1,IF($A584&lt;VLOOKUP(N$5,NFI,5,0),1,0)*Table_NFI[[#This Row],[Kitchen Set]],Table_NFI[Kitchen Set])</f>
        <v>0</v>
      </c>
      <c r="AF584" s="294">
        <f>IF(NFI_Expiration=1,IF($A584&lt;VLOOKUP(O$5,NFI,5,0),1,0)*Table_NFI[[#This Row],[Clothes Kit]],Table_NFI[Clothes Kit])</f>
        <v>0</v>
      </c>
      <c r="AG584" s="294">
        <f>IF(NFI_Expiration=1,IF($A584&lt;VLOOKUP(P$5,NFI,5,0),1,0)*Table_NFI[[#This Row],[Plastic Bucket]],Table_NFI[Plastic Bucket])</f>
        <v>0</v>
      </c>
      <c r="AH584" s="294">
        <f>IF(NFI_Expiration=1,IF($A584&lt;VLOOKUP(Q$5,NFI,5,0),1,0)*Table_NFI[[#This Row],[Plastic Mat]],Table_NFI[Plastic Mat])*IF(Table_NFI[[#This Row],[Distribution Date]]&gt;"2014-04-01",1,2.5)</f>
        <v>0</v>
      </c>
      <c r="AI584" s="294">
        <f>IF(NFI_Expiration=1,IF($A584&lt;VLOOKUP(R$5,NFI,5,0),1,0)*Table_NFI[[#This Row],[Winter Clothes Adult]],Table_NFI[Winter Clothes Adult])</f>
        <v>0</v>
      </c>
      <c r="AJ584" s="294">
        <f>IF(NFI_Expiration=1,IF($A584&lt;VLOOKUP(S$5,NFI,5,0),1,0)*Table_NFI[[#This Row],[Winter Clothes Children]],Table_NFI[Winter Clothes Children])</f>
        <v>0</v>
      </c>
      <c r="AK584" s="294">
        <f>IF(NFI_Expiration=1,IF($A584&lt;VLOOKUP(T$5,NFI,5,0),1,0)*Table_NFI[[#This Row],[Winter Items Other]],Table_NFI[Winter Items Other])</f>
        <v>0</v>
      </c>
      <c r="AL584" s="294">
        <f>IF(NFI_Expiration=1,IF($A584&lt;VLOOKUP(M$5,NFI,5,0),1,0)*Table_NFI[[#This Row],[Winter Blanket]],Table_NFI[[#This Row],[Winter Blanket]])</f>
        <v>0</v>
      </c>
      <c r="AM584" s="294">
        <f>IF(Table_NFI[[#This Row],[Winter Clothes Adult]]+Table_NFI[[#This Row],[Winter Clothes Children]]+Table_NFI[[#This Row],[Winter Items Other]]+Table_NFI[[#This Row],[Winter Blanket]]&gt;0,1,0)</f>
        <v>1</v>
      </c>
      <c r="AN584" s="331">
        <f>IF(NFI_Expiration=1,IF($A584&lt;VLOOKUP(V$5,NFI,5,0),1,0)*Table_NFI[[#This Row],[Jerry Can]],Table_NFI[Jerry Can])</f>
        <v>0</v>
      </c>
      <c r="AO584" s="331">
        <f>IF(NFI_Expiration=1,IF($A584&lt;VLOOKUP(V$5,NFI,5,0),1,0)*Table_NFI[[#This Row],[Shelter Tool kit]],Table_NFI[Shelter Tool kit])</f>
        <v>0</v>
      </c>
      <c r="AP584" s="331">
        <f>IF(NFI_Expiration=1,IF($A584&lt;VLOOKUP(V$5,NFI,5,0),1,0)*Table_NFI[[#This Row],[Tent]],Table_NFI[Tent])</f>
        <v>0</v>
      </c>
      <c r="AQ584" s="467" t="str">
        <f>IFERROR(VLOOKUP(Table_NFI[[#This Row],[Camp Name]],CL,2,0),"")</f>
        <v>MMR001CMP202</v>
      </c>
      <c r="AR584" s="835">
        <f ca="1">IF(Table_NFI[[#This Row],[Pcode]]="","",IF(OFFSET(CampList[Opening Date],MATCH(Table_NFI[[#This Row],[Pcode]],CampList[CP_Pcode],0)-1,0,1,1)&gt;=NFI_Monitor_Date,1,0))</f>
        <v>0</v>
      </c>
      <c r="AS584" s="467" t="str">
        <f>IFERROR(VLOOKUP(Table_NFI[[#This Row],[Camp Name]],CL,3,0),"")</f>
        <v>Closed</v>
      </c>
      <c r="AT584" s="294" t="str">
        <f ca="1">IF(Table_NFI[[#This Row],[Pcode]]="","",OFFSET(CampList[Priority],MATCH(Table_NFI[[#This Row],[Pcode]],CampList[CP_Pcode],0)-1,0,1,1))</f>
        <v>P4</v>
      </c>
      <c r="AU584" s="293">
        <f>IFERROR(Table_NFI[[#This Row],[Kitchen Set]]/VLOOKUP(Table_NFI[[#This Row],[Camp Name]],CL,4,0),"")</f>
        <v>0</v>
      </c>
      <c r="AV584" s="461"/>
      <c r="AW584" s="463"/>
    </row>
    <row r="585" spans="1:49" s="464" customFormat="1" ht="14.45" customHeight="1" x14ac:dyDescent="0.25">
      <c r="A585" s="297">
        <f t="shared" si="9"/>
        <v>37.733333333333334</v>
      </c>
      <c r="B585" s="460">
        <v>41604</v>
      </c>
      <c r="C585" s="462" t="s">
        <v>452</v>
      </c>
      <c r="D585" s="462" t="s">
        <v>452</v>
      </c>
      <c r="E585" s="461" t="s">
        <v>380</v>
      </c>
      <c r="F585" s="290" t="s">
        <v>5</v>
      </c>
      <c r="G585" s="290" t="s">
        <v>8</v>
      </c>
      <c r="H585" s="291"/>
      <c r="I585" s="291"/>
      <c r="J585" s="291"/>
      <c r="K585" s="291">
        <v>22</v>
      </c>
      <c r="L585" s="292">
        <v>11</v>
      </c>
      <c r="M585" s="292">
        <v>22</v>
      </c>
      <c r="N585" s="292">
        <v>11</v>
      </c>
      <c r="O585" s="292">
        <v>11</v>
      </c>
      <c r="P585" s="294"/>
      <c r="Q585" s="294"/>
      <c r="R585" s="294"/>
      <c r="S585" s="294"/>
      <c r="T585" s="294"/>
      <c r="U585" s="294"/>
      <c r="V585" s="431"/>
      <c r="W585" s="294"/>
      <c r="X585" s="294"/>
      <c r="Y585" s="294">
        <f>IF(NFI_Expiration=1,IF($A585&lt;VLOOKUP(H$5,NFI,5,0),1,0)*Table_NFI[[#This Row],[Hygiene Kit]],Table_NFI[Hygiene Kit])</f>
        <v>0</v>
      </c>
      <c r="Z585" s="294">
        <f>IF(NFI_Expiration=1,IF($A585&lt;VLOOKUP(I$5,NFI,5,0),1,0)*Table_NFI[[#This Row],[NFI Core Kit]],Table_NFI[NFI Core Kit])</f>
        <v>0</v>
      </c>
      <c r="AA585" s="294">
        <f>IF(NFI_Expiration=1,IF($A585&lt;VLOOKUP(J$5,NFI,5,0),1,0)*Table_NFI[[#This Row],[Sanitary Kit]],Table_NFI[Sanitary Kit])</f>
        <v>0</v>
      </c>
      <c r="AB585" s="294">
        <f>IF(NFI_Expiration=1,IF($A585&lt;VLOOKUP(K$5,NFI,5,0),1,0)*Table_NFI[[#This Row],[Mosquito net]],Table_NFI[Mosquito net])</f>
        <v>0</v>
      </c>
      <c r="AC585" s="294">
        <f>IF(NFI_Expiration=1,IF($A585&lt;VLOOKUP(L$5,NFI,5,0),1,0)*Table_NFI[[#This Row],[Tarpaulin]],Table_NFI[[#This Row],[Tarpaulin]])</f>
        <v>0</v>
      </c>
      <c r="AD585" s="294">
        <f>IF(NFI_Expiration=1,IF($A585&lt;VLOOKUP(M$5,NFI,5,0),1,0)*Table_NFI[[#This Row],[Blanket]],Table_NFI[[#This Row],[Blanket]])</f>
        <v>0</v>
      </c>
      <c r="AE585" s="294">
        <f>IF(NFI_Expiration=1,IF($A585&lt;VLOOKUP(N$5,NFI,5,0),1,0)*Table_NFI[[#This Row],[Kitchen Set]],Table_NFI[Kitchen Set])</f>
        <v>0</v>
      </c>
      <c r="AF585" s="294">
        <f>IF(NFI_Expiration=1,IF($A585&lt;VLOOKUP(O$5,NFI,5,0),1,0)*Table_NFI[[#This Row],[Clothes Kit]],Table_NFI[Clothes Kit])</f>
        <v>0</v>
      </c>
      <c r="AG585" s="294">
        <f>IF(NFI_Expiration=1,IF($A585&lt;VLOOKUP(P$5,NFI,5,0),1,0)*Table_NFI[[#This Row],[Plastic Bucket]],Table_NFI[Plastic Bucket])</f>
        <v>0</v>
      </c>
      <c r="AH585" s="294">
        <f>IF(NFI_Expiration=1,IF($A585&lt;VLOOKUP(Q$5,NFI,5,0),1,0)*Table_NFI[[#This Row],[Plastic Mat]],Table_NFI[Plastic Mat])*IF(Table_NFI[[#This Row],[Distribution Date]]&gt;"2014-04-01",1,2.5)</f>
        <v>0</v>
      </c>
      <c r="AI585" s="294">
        <f>IF(NFI_Expiration=1,IF($A585&lt;VLOOKUP(R$5,NFI,5,0),1,0)*Table_NFI[[#This Row],[Winter Clothes Adult]],Table_NFI[Winter Clothes Adult])</f>
        <v>0</v>
      </c>
      <c r="AJ585" s="294">
        <f>IF(NFI_Expiration=1,IF($A585&lt;VLOOKUP(S$5,NFI,5,0),1,0)*Table_NFI[[#This Row],[Winter Clothes Children]],Table_NFI[Winter Clothes Children])</f>
        <v>0</v>
      </c>
      <c r="AK585" s="294">
        <f>IF(NFI_Expiration=1,IF($A585&lt;VLOOKUP(T$5,NFI,5,0),1,0)*Table_NFI[[#This Row],[Winter Items Other]],Table_NFI[Winter Items Other])</f>
        <v>0</v>
      </c>
      <c r="AL585" s="294">
        <f>IF(NFI_Expiration=1,IF($A585&lt;VLOOKUP(M$5,NFI,5,0),1,0)*Table_NFI[[#This Row],[Winter Blanket]],Table_NFI[[#This Row],[Winter Blanket]])</f>
        <v>0</v>
      </c>
      <c r="AM585" s="294">
        <f>IF(Table_NFI[[#This Row],[Winter Clothes Adult]]+Table_NFI[[#This Row],[Winter Clothes Children]]+Table_NFI[[#This Row],[Winter Items Other]]+Table_NFI[[#This Row],[Winter Blanket]]&gt;0,1,0)</f>
        <v>0</v>
      </c>
      <c r="AN585" s="331">
        <f>IF(NFI_Expiration=1,IF($A585&lt;VLOOKUP(V$5,NFI,5,0),1,0)*Table_NFI[[#This Row],[Jerry Can]],Table_NFI[Jerry Can])</f>
        <v>0</v>
      </c>
      <c r="AO585" s="331">
        <f>IF(NFI_Expiration=1,IF($A585&lt;VLOOKUP(V$5,NFI,5,0),1,0)*Table_NFI[[#This Row],[Shelter Tool kit]],Table_NFI[Shelter Tool kit])</f>
        <v>0</v>
      </c>
      <c r="AP585" s="331">
        <f>IF(NFI_Expiration=1,IF($A585&lt;VLOOKUP(V$5,NFI,5,0),1,0)*Table_NFI[[#This Row],[Tent]],Table_NFI[Tent])</f>
        <v>0</v>
      </c>
      <c r="AQ585" s="467" t="str">
        <f>IFERROR(VLOOKUP(Table_NFI[[#This Row],[Camp Name]],CL,2,0),"")</f>
        <v>MMR001CMP051</v>
      </c>
      <c r="AR585" s="835">
        <f ca="1">IF(Table_NFI[[#This Row],[Pcode]]="","",IF(OFFSET(CampList[Opening Date],MATCH(Table_NFI[[#This Row],[Pcode]],CampList[CP_Pcode],0)-1,0,1,1)&gt;=NFI_Monitor_Date,1,0))</f>
        <v>0</v>
      </c>
      <c r="AS585" s="467" t="str">
        <f>IFERROR(VLOOKUP(Table_NFI[[#This Row],[Camp Name]],CL,3,0),"")</f>
        <v>Open</v>
      </c>
      <c r="AT585" s="294" t="str">
        <f ca="1">IF(Table_NFI[[#This Row],[Pcode]]="","",OFFSET(CampList[Priority],MATCH(Table_NFI[[#This Row],[Pcode]],CampList[CP_Pcode],0)-1,0,1,1))</f>
        <v>P4</v>
      </c>
      <c r="AU585" s="293">
        <f>IFERROR(Table_NFI[[#This Row],[Kitchen Set]]/VLOOKUP(Table_NFI[[#This Row],[Camp Name]],CL,4,0),"")</f>
        <v>2.6710050263458222E-4</v>
      </c>
      <c r="AV585" s="461" t="s">
        <v>1092</v>
      </c>
      <c r="AW585" s="463"/>
    </row>
    <row r="586" spans="1:49" s="464" customFormat="1" ht="14.45" customHeight="1" x14ac:dyDescent="0.25">
      <c r="A586" s="297">
        <f t="shared" si="9"/>
        <v>37.733333333333334</v>
      </c>
      <c r="B586" s="460">
        <v>41604</v>
      </c>
      <c r="C586" s="461" t="s">
        <v>905</v>
      </c>
      <c r="D586" s="461" t="s">
        <v>460</v>
      </c>
      <c r="E586" s="461" t="s">
        <v>380</v>
      </c>
      <c r="F586" s="461" t="s">
        <v>310</v>
      </c>
      <c r="G586" s="461" t="s">
        <v>1243</v>
      </c>
      <c r="H586" s="291"/>
      <c r="I586" s="291"/>
      <c r="J586" s="291"/>
      <c r="K586" s="291"/>
      <c r="L586" s="292"/>
      <c r="M586" s="292"/>
      <c r="N586" s="292"/>
      <c r="O586" s="292"/>
      <c r="P586" s="294"/>
      <c r="Q586" s="294"/>
      <c r="R586" s="294">
        <v>98</v>
      </c>
      <c r="S586" s="294">
        <v>196</v>
      </c>
      <c r="T586" s="294">
        <v>588</v>
      </c>
      <c r="U586" s="294">
        <v>294</v>
      </c>
      <c r="V586" s="431"/>
      <c r="W586" s="294"/>
      <c r="X586" s="294"/>
      <c r="Y586" s="294">
        <f>IF(NFI_Expiration=1,IF($A586&lt;VLOOKUP(H$5,NFI,5,0),1,0)*Table_NFI[[#This Row],[Hygiene Kit]],Table_NFI[Hygiene Kit])</f>
        <v>0</v>
      </c>
      <c r="Z586" s="294">
        <f>IF(NFI_Expiration=1,IF($A586&lt;VLOOKUP(I$5,NFI,5,0),1,0)*Table_NFI[[#This Row],[NFI Core Kit]],Table_NFI[NFI Core Kit])</f>
        <v>0</v>
      </c>
      <c r="AA586" s="294">
        <f>IF(NFI_Expiration=1,IF($A586&lt;VLOOKUP(J$5,NFI,5,0),1,0)*Table_NFI[[#This Row],[Sanitary Kit]],Table_NFI[Sanitary Kit])</f>
        <v>0</v>
      </c>
      <c r="AB586" s="294">
        <f>IF(NFI_Expiration=1,IF($A586&lt;VLOOKUP(K$5,NFI,5,0),1,0)*Table_NFI[[#This Row],[Mosquito net]],Table_NFI[Mosquito net])</f>
        <v>0</v>
      </c>
      <c r="AC586" s="294">
        <f>IF(NFI_Expiration=1,IF($A586&lt;VLOOKUP(L$5,NFI,5,0),1,0)*Table_NFI[[#This Row],[Tarpaulin]],Table_NFI[[#This Row],[Tarpaulin]])</f>
        <v>0</v>
      </c>
      <c r="AD586" s="294">
        <f>IF(NFI_Expiration=1,IF($A586&lt;VLOOKUP(M$5,NFI,5,0),1,0)*Table_NFI[[#This Row],[Blanket]],Table_NFI[[#This Row],[Blanket]])</f>
        <v>0</v>
      </c>
      <c r="AE586" s="294">
        <f>IF(NFI_Expiration=1,IF($A586&lt;VLOOKUP(N$5,NFI,5,0),1,0)*Table_NFI[[#This Row],[Kitchen Set]],Table_NFI[Kitchen Set])</f>
        <v>0</v>
      </c>
      <c r="AF586" s="294">
        <f>IF(NFI_Expiration=1,IF($A586&lt;VLOOKUP(O$5,NFI,5,0),1,0)*Table_NFI[[#This Row],[Clothes Kit]],Table_NFI[Clothes Kit])</f>
        <v>0</v>
      </c>
      <c r="AG586" s="294">
        <f>IF(NFI_Expiration=1,IF($A586&lt;VLOOKUP(P$5,NFI,5,0),1,0)*Table_NFI[[#This Row],[Plastic Bucket]],Table_NFI[Plastic Bucket])</f>
        <v>0</v>
      </c>
      <c r="AH586" s="294">
        <f>IF(NFI_Expiration=1,IF($A586&lt;VLOOKUP(Q$5,NFI,5,0),1,0)*Table_NFI[[#This Row],[Plastic Mat]],Table_NFI[Plastic Mat])*IF(Table_NFI[[#This Row],[Distribution Date]]&gt;"2014-04-01",1,2.5)</f>
        <v>0</v>
      </c>
      <c r="AI586" s="294">
        <f>IF(NFI_Expiration=1,IF($A586&lt;VLOOKUP(R$5,NFI,5,0),1,0)*Table_NFI[[#This Row],[Winter Clothes Adult]],Table_NFI[Winter Clothes Adult])</f>
        <v>0</v>
      </c>
      <c r="AJ586" s="294">
        <f>IF(NFI_Expiration=1,IF($A586&lt;VLOOKUP(S$5,NFI,5,0),1,0)*Table_NFI[[#This Row],[Winter Clothes Children]],Table_NFI[Winter Clothes Children])</f>
        <v>0</v>
      </c>
      <c r="AK586" s="294">
        <f>IF(NFI_Expiration=1,IF($A586&lt;VLOOKUP(T$5,NFI,5,0),1,0)*Table_NFI[[#This Row],[Winter Items Other]],Table_NFI[Winter Items Other])</f>
        <v>0</v>
      </c>
      <c r="AL586" s="294">
        <f>IF(NFI_Expiration=1,IF($A586&lt;VLOOKUP(M$5,NFI,5,0),1,0)*Table_NFI[[#This Row],[Winter Blanket]],Table_NFI[[#This Row],[Winter Blanket]])</f>
        <v>0</v>
      </c>
      <c r="AM586" s="294">
        <f>IF(Table_NFI[[#This Row],[Winter Clothes Adult]]+Table_NFI[[#This Row],[Winter Clothes Children]]+Table_NFI[[#This Row],[Winter Items Other]]+Table_NFI[[#This Row],[Winter Blanket]]&gt;0,1,0)</f>
        <v>1</v>
      </c>
      <c r="AN586" s="331">
        <f>IF(NFI_Expiration=1,IF($A586&lt;VLOOKUP(V$5,NFI,5,0),1,0)*Table_NFI[[#This Row],[Jerry Can]],Table_NFI[Jerry Can])</f>
        <v>0</v>
      </c>
      <c r="AO586" s="331">
        <f>IF(NFI_Expiration=1,IF($A586&lt;VLOOKUP(V$5,NFI,5,0),1,0)*Table_NFI[[#This Row],[Shelter Tool kit]],Table_NFI[Shelter Tool kit])</f>
        <v>0</v>
      </c>
      <c r="AP586" s="331">
        <f>IF(NFI_Expiration=1,IF($A586&lt;VLOOKUP(V$5,NFI,5,0),1,0)*Table_NFI[[#This Row],[Tent]],Table_NFI[Tent])</f>
        <v>0</v>
      </c>
      <c r="AQ586" s="467" t="str">
        <f>IFERROR(VLOOKUP(Table_NFI[[#This Row],[Camp Name]],CL,2,0),"")</f>
        <v>MMR001CMP120</v>
      </c>
      <c r="AR586" s="835">
        <f ca="1">IF(Table_NFI[[#This Row],[Pcode]]="","",IF(OFFSET(CampList[Opening Date],MATCH(Table_NFI[[#This Row],[Pcode]],CampList[CP_Pcode],0)-1,0,1,1)&gt;=NFI_Monitor_Date,1,0))</f>
        <v>0</v>
      </c>
      <c r="AS586" s="467" t="str">
        <f>IFERROR(VLOOKUP(Table_NFI[[#This Row],[Camp Name]],CL,3,0),"")</f>
        <v>Open</v>
      </c>
      <c r="AT586" s="294" t="str">
        <f ca="1">IF(Table_NFI[[#This Row],[Pcode]]="","",OFFSET(CampList[Priority],MATCH(Table_NFI[[#This Row],[Pcode]],CampList[CP_Pcode],0)-1,0,1,1))</f>
        <v>P1</v>
      </c>
      <c r="AU586" s="293">
        <f>IFERROR(Table_NFI[[#This Row],[Kitchen Set]]/VLOOKUP(Table_NFI[[#This Row],[Camp Name]],CL,4,0),"")</f>
        <v>0</v>
      </c>
      <c r="AV586" s="461"/>
      <c r="AW586" s="463"/>
    </row>
    <row r="587" spans="1:49" s="464" customFormat="1" ht="14.45" customHeight="1" x14ac:dyDescent="0.25">
      <c r="A587" s="297">
        <f t="shared" si="9"/>
        <v>37.766666666666666</v>
      </c>
      <c r="B587" s="460">
        <v>41603</v>
      </c>
      <c r="C587" s="461" t="s">
        <v>905</v>
      </c>
      <c r="D587" s="461" t="s">
        <v>905</v>
      </c>
      <c r="E587" s="461" t="s">
        <v>380</v>
      </c>
      <c r="F587" s="461" t="s">
        <v>151</v>
      </c>
      <c r="G587" s="461" t="s">
        <v>160</v>
      </c>
      <c r="H587" s="291"/>
      <c r="I587" s="291"/>
      <c r="J587" s="291"/>
      <c r="K587" s="291"/>
      <c r="L587" s="292"/>
      <c r="M587" s="292"/>
      <c r="N587" s="292"/>
      <c r="O587" s="292"/>
      <c r="P587" s="294"/>
      <c r="Q587" s="294"/>
      <c r="R587" s="294"/>
      <c r="S587" s="294"/>
      <c r="T587" s="294"/>
      <c r="U587" s="294"/>
      <c r="V587" s="431"/>
      <c r="W587" s="294"/>
      <c r="X587" s="294"/>
      <c r="Y587" s="294">
        <f>IF(NFI_Expiration=1,IF($A587&lt;VLOOKUP(H$5,NFI,5,0),1,0)*Table_NFI[[#This Row],[Hygiene Kit]],Table_NFI[Hygiene Kit])</f>
        <v>0</v>
      </c>
      <c r="Z587" s="294">
        <f>IF(NFI_Expiration=1,IF($A587&lt;VLOOKUP(I$5,NFI,5,0),1,0)*Table_NFI[[#This Row],[NFI Core Kit]],Table_NFI[NFI Core Kit])</f>
        <v>0</v>
      </c>
      <c r="AA587" s="294">
        <f>IF(NFI_Expiration=1,IF($A587&lt;VLOOKUP(J$5,NFI,5,0),1,0)*Table_NFI[[#This Row],[Sanitary Kit]],Table_NFI[Sanitary Kit])</f>
        <v>0</v>
      </c>
      <c r="AB587" s="294">
        <f>IF(NFI_Expiration=1,IF($A587&lt;VLOOKUP(K$5,NFI,5,0),1,0)*Table_NFI[[#This Row],[Mosquito net]],Table_NFI[Mosquito net])</f>
        <v>0</v>
      </c>
      <c r="AC587" s="294">
        <f>IF(NFI_Expiration=1,IF($A587&lt;VLOOKUP(L$5,NFI,5,0),1,0)*Table_NFI[[#This Row],[Tarpaulin]],Table_NFI[[#This Row],[Tarpaulin]])</f>
        <v>0</v>
      </c>
      <c r="AD587" s="294">
        <f>IF(NFI_Expiration=1,IF($A587&lt;VLOOKUP(M$5,NFI,5,0),1,0)*Table_NFI[[#This Row],[Blanket]],Table_NFI[[#This Row],[Blanket]])</f>
        <v>0</v>
      </c>
      <c r="AE587" s="294">
        <f>IF(NFI_Expiration=1,IF($A587&lt;VLOOKUP(N$5,NFI,5,0),1,0)*Table_NFI[[#This Row],[Kitchen Set]],Table_NFI[Kitchen Set])</f>
        <v>0</v>
      </c>
      <c r="AF587" s="294">
        <f>IF(NFI_Expiration=1,IF($A587&lt;VLOOKUP(O$5,NFI,5,0),1,0)*Table_NFI[[#This Row],[Clothes Kit]],Table_NFI[Clothes Kit])</f>
        <v>0</v>
      </c>
      <c r="AG587" s="294">
        <f>IF(NFI_Expiration=1,IF($A587&lt;VLOOKUP(P$5,NFI,5,0),1,0)*Table_NFI[[#This Row],[Plastic Bucket]],Table_NFI[Plastic Bucket])</f>
        <v>0</v>
      </c>
      <c r="AH587" s="294">
        <f>IF(NFI_Expiration=1,IF($A587&lt;VLOOKUP(Q$5,NFI,5,0),1,0)*Table_NFI[[#This Row],[Plastic Mat]],Table_NFI[Plastic Mat])*IF(Table_NFI[[#This Row],[Distribution Date]]&gt;"2014-04-01",1,2.5)</f>
        <v>0</v>
      </c>
      <c r="AI587" s="294">
        <f>IF(NFI_Expiration=1,IF($A587&lt;VLOOKUP(R$5,NFI,5,0),1,0)*Table_NFI[[#This Row],[Winter Clothes Adult]],Table_NFI[Winter Clothes Adult])</f>
        <v>0</v>
      </c>
      <c r="AJ587" s="294">
        <f>IF(NFI_Expiration=1,IF($A587&lt;VLOOKUP(S$5,NFI,5,0),1,0)*Table_NFI[[#This Row],[Winter Clothes Children]],Table_NFI[Winter Clothes Children])</f>
        <v>0</v>
      </c>
      <c r="AK587" s="294">
        <f>IF(NFI_Expiration=1,IF($A587&lt;VLOOKUP(T$5,NFI,5,0),1,0)*Table_NFI[[#This Row],[Winter Items Other]],Table_NFI[Winter Items Other])</f>
        <v>0</v>
      </c>
      <c r="AL587" s="294">
        <f>IF(NFI_Expiration=1,IF($A587&lt;VLOOKUP(M$5,NFI,5,0),1,0)*Table_NFI[[#This Row],[Winter Blanket]],Table_NFI[[#This Row],[Winter Blanket]])</f>
        <v>0</v>
      </c>
      <c r="AM587" s="294">
        <f>IF(Table_NFI[[#This Row],[Winter Clothes Adult]]+Table_NFI[[#This Row],[Winter Clothes Children]]+Table_NFI[[#This Row],[Winter Items Other]]+Table_NFI[[#This Row],[Winter Blanket]]&gt;0,1,0)</f>
        <v>0</v>
      </c>
      <c r="AN587" s="331">
        <f>IF(NFI_Expiration=1,IF($A587&lt;VLOOKUP(V$5,NFI,5,0),1,0)*Table_NFI[[#This Row],[Jerry Can]],Table_NFI[Jerry Can])</f>
        <v>0</v>
      </c>
      <c r="AO587" s="331">
        <f>IF(NFI_Expiration=1,IF($A587&lt;VLOOKUP(V$5,NFI,5,0),1,0)*Table_NFI[[#This Row],[Shelter Tool kit]],Table_NFI[Shelter Tool kit])</f>
        <v>0</v>
      </c>
      <c r="AP587" s="331">
        <f>IF(NFI_Expiration=1,IF($A587&lt;VLOOKUP(V$5,NFI,5,0),1,0)*Table_NFI[[#This Row],[Tent]],Table_NFI[Tent])</f>
        <v>0</v>
      </c>
      <c r="AQ587" s="467" t="str">
        <f>IFERROR(VLOOKUP(Table_NFI[[#This Row],[Camp Name]],CL,2,0),"")</f>
        <v>MMR001CMP133</v>
      </c>
      <c r="AR587" s="835">
        <f ca="1">IF(Table_NFI[[#This Row],[Pcode]]="","",IF(OFFSET(CampList[Opening Date],MATCH(Table_NFI[[#This Row],[Pcode]],CampList[CP_Pcode],0)-1,0,1,1)&gt;=NFI_Monitor_Date,1,0))</f>
        <v>0</v>
      </c>
      <c r="AS587" s="467" t="str">
        <f>IFERROR(VLOOKUP(Table_NFI[[#This Row],[Camp Name]],CL,3,0),"")</f>
        <v>Open</v>
      </c>
      <c r="AT587" s="294" t="str">
        <f ca="1">IF(Table_NFI[[#This Row],[Pcode]]="","",OFFSET(CampList[Priority],MATCH(Table_NFI[[#This Row],[Pcode]],CampList[CP_Pcode],0)-1,0,1,1))</f>
        <v>P4</v>
      </c>
      <c r="AU587" s="293">
        <f>IFERROR(Table_NFI[[#This Row],[Kitchen Set]]/VLOOKUP(Table_NFI[[#This Row],[Camp Name]],CL,4,0),"")</f>
        <v>0</v>
      </c>
      <c r="AV587" s="461"/>
      <c r="AW587" s="463"/>
    </row>
    <row r="588" spans="1:49" s="464" customFormat="1" ht="14.45" customHeight="1" x14ac:dyDescent="0.25">
      <c r="A588" s="297">
        <f t="shared" si="9"/>
        <v>37.766666666666666</v>
      </c>
      <c r="B588" s="460">
        <v>41603</v>
      </c>
      <c r="C588" s="461" t="s">
        <v>905</v>
      </c>
      <c r="D588" s="461" t="s">
        <v>905</v>
      </c>
      <c r="E588" s="461" t="s">
        <v>380</v>
      </c>
      <c r="F588" s="461" t="s">
        <v>151</v>
      </c>
      <c r="G588" s="461" t="s">
        <v>160</v>
      </c>
      <c r="H588" s="291"/>
      <c r="I588" s="291"/>
      <c r="J588" s="291"/>
      <c r="K588" s="291"/>
      <c r="L588" s="292"/>
      <c r="M588" s="292"/>
      <c r="N588" s="292"/>
      <c r="O588" s="292"/>
      <c r="P588" s="294"/>
      <c r="Q588" s="294"/>
      <c r="R588" s="294">
        <v>19</v>
      </c>
      <c r="S588" s="294">
        <v>38</v>
      </c>
      <c r="T588" s="294">
        <v>114</v>
      </c>
      <c r="U588" s="294">
        <v>57</v>
      </c>
      <c r="V588" s="431"/>
      <c r="W588" s="294"/>
      <c r="X588" s="294"/>
      <c r="Y588" s="294">
        <f>IF(NFI_Expiration=1,IF($A588&lt;VLOOKUP(H$5,NFI,5,0),1,0)*Table_NFI[[#This Row],[Hygiene Kit]],Table_NFI[Hygiene Kit])</f>
        <v>0</v>
      </c>
      <c r="Z588" s="294">
        <f>IF(NFI_Expiration=1,IF($A588&lt;VLOOKUP(I$5,NFI,5,0),1,0)*Table_NFI[[#This Row],[NFI Core Kit]],Table_NFI[NFI Core Kit])</f>
        <v>0</v>
      </c>
      <c r="AA588" s="294">
        <f>IF(NFI_Expiration=1,IF($A588&lt;VLOOKUP(J$5,NFI,5,0),1,0)*Table_NFI[[#This Row],[Sanitary Kit]],Table_NFI[Sanitary Kit])</f>
        <v>0</v>
      </c>
      <c r="AB588" s="294">
        <f>IF(NFI_Expiration=1,IF($A588&lt;VLOOKUP(K$5,NFI,5,0),1,0)*Table_NFI[[#This Row],[Mosquito net]],Table_NFI[Mosquito net])</f>
        <v>0</v>
      </c>
      <c r="AC588" s="294">
        <f>IF(NFI_Expiration=1,IF($A588&lt;VLOOKUP(L$5,NFI,5,0),1,0)*Table_NFI[[#This Row],[Tarpaulin]],Table_NFI[[#This Row],[Tarpaulin]])</f>
        <v>0</v>
      </c>
      <c r="AD588" s="294">
        <f>IF(NFI_Expiration=1,IF($A588&lt;VLOOKUP(M$5,NFI,5,0),1,0)*Table_NFI[[#This Row],[Blanket]],Table_NFI[[#This Row],[Blanket]])</f>
        <v>0</v>
      </c>
      <c r="AE588" s="294">
        <f>IF(NFI_Expiration=1,IF($A588&lt;VLOOKUP(N$5,NFI,5,0),1,0)*Table_NFI[[#This Row],[Kitchen Set]],Table_NFI[Kitchen Set])</f>
        <v>0</v>
      </c>
      <c r="AF588" s="294">
        <f>IF(NFI_Expiration=1,IF($A588&lt;VLOOKUP(O$5,NFI,5,0),1,0)*Table_NFI[[#This Row],[Clothes Kit]],Table_NFI[Clothes Kit])</f>
        <v>0</v>
      </c>
      <c r="AG588" s="294">
        <f>IF(NFI_Expiration=1,IF($A588&lt;VLOOKUP(P$5,NFI,5,0),1,0)*Table_NFI[[#This Row],[Plastic Bucket]],Table_NFI[Plastic Bucket])</f>
        <v>0</v>
      </c>
      <c r="AH588" s="294">
        <f>IF(NFI_Expiration=1,IF($A588&lt;VLOOKUP(Q$5,NFI,5,0),1,0)*Table_NFI[[#This Row],[Plastic Mat]],Table_NFI[Plastic Mat])*IF(Table_NFI[[#This Row],[Distribution Date]]&gt;"2014-04-01",1,2.5)</f>
        <v>0</v>
      </c>
      <c r="AI588" s="294">
        <f>IF(NFI_Expiration=1,IF($A588&lt;VLOOKUP(R$5,NFI,5,0),1,0)*Table_NFI[[#This Row],[Winter Clothes Adult]],Table_NFI[Winter Clothes Adult])</f>
        <v>0</v>
      </c>
      <c r="AJ588" s="294">
        <f>IF(NFI_Expiration=1,IF($A588&lt;VLOOKUP(S$5,NFI,5,0),1,0)*Table_NFI[[#This Row],[Winter Clothes Children]],Table_NFI[Winter Clothes Children])</f>
        <v>0</v>
      </c>
      <c r="AK588" s="294">
        <f>IF(NFI_Expiration=1,IF($A588&lt;VLOOKUP(T$5,NFI,5,0),1,0)*Table_NFI[[#This Row],[Winter Items Other]],Table_NFI[Winter Items Other])</f>
        <v>0</v>
      </c>
      <c r="AL588" s="294">
        <f>IF(NFI_Expiration=1,IF($A588&lt;VLOOKUP(M$5,NFI,5,0),1,0)*Table_NFI[[#This Row],[Winter Blanket]],Table_NFI[[#This Row],[Winter Blanket]])</f>
        <v>0</v>
      </c>
      <c r="AM588" s="294">
        <f>IF(Table_NFI[[#This Row],[Winter Clothes Adult]]+Table_NFI[[#This Row],[Winter Clothes Children]]+Table_NFI[[#This Row],[Winter Items Other]]+Table_NFI[[#This Row],[Winter Blanket]]&gt;0,1,0)</f>
        <v>1</v>
      </c>
      <c r="AN588" s="331">
        <f>IF(NFI_Expiration=1,IF($A588&lt;VLOOKUP(V$5,NFI,5,0),1,0)*Table_NFI[[#This Row],[Jerry Can]],Table_NFI[Jerry Can])</f>
        <v>0</v>
      </c>
      <c r="AO588" s="331">
        <f>IF(NFI_Expiration=1,IF($A588&lt;VLOOKUP(V$5,NFI,5,0),1,0)*Table_NFI[[#This Row],[Shelter Tool kit]],Table_NFI[Shelter Tool kit])</f>
        <v>0</v>
      </c>
      <c r="AP588" s="331">
        <f>IF(NFI_Expiration=1,IF($A588&lt;VLOOKUP(V$5,NFI,5,0),1,0)*Table_NFI[[#This Row],[Tent]],Table_NFI[Tent])</f>
        <v>0</v>
      </c>
      <c r="AQ588" s="467" t="str">
        <f>IFERROR(VLOOKUP(Table_NFI[[#This Row],[Camp Name]],CL,2,0),"")</f>
        <v>MMR001CMP133</v>
      </c>
      <c r="AR588" s="835">
        <f ca="1">IF(Table_NFI[[#This Row],[Pcode]]="","",IF(OFFSET(CampList[Opening Date],MATCH(Table_NFI[[#This Row],[Pcode]],CampList[CP_Pcode],0)-1,0,1,1)&gt;=NFI_Monitor_Date,1,0))</f>
        <v>0</v>
      </c>
      <c r="AS588" s="467" t="str">
        <f>IFERROR(VLOOKUP(Table_NFI[[#This Row],[Camp Name]],CL,3,0),"")</f>
        <v>Open</v>
      </c>
      <c r="AT588" s="294" t="str">
        <f ca="1">IF(Table_NFI[[#This Row],[Pcode]]="","",OFFSET(CampList[Priority],MATCH(Table_NFI[[#This Row],[Pcode]],CampList[CP_Pcode],0)-1,0,1,1))</f>
        <v>P4</v>
      </c>
      <c r="AU588" s="293">
        <f>IFERROR(Table_NFI[[#This Row],[Kitchen Set]]/VLOOKUP(Table_NFI[[#This Row],[Camp Name]],CL,4,0),"")</f>
        <v>0</v>
      </c>
      <c r="AV588" s="461"/>
      <c r="AW588" s="463"/>
    </row>
    <row r="589" spans="1:49" s="464" customFormat="1" ht="14.45" customHeight="1" x14ac:dyDescent="0.25">
      <c r="A589" s="297">
        <f t="shared" si="9"/>
        <v>37.766666666666666</v>
      </c>
      <c r="B589" s="460">
        <v>41603</v>
      </c>
      <c r="C589" s="461" t="s">
        <v>905</v>
      </c>
      <c r="D589" s="461" t="s">
        <v>905</v>
      </c>
      <c r="E589" s="461" t="s">
        <v>380</v>
      </c>
      <c r="F589" s="461" t="s">
        <v>151</v>
      </c>
      <c r="G589" s="461" t="s">
        <v>154</v>
      </c>
      <c r="H589" s="291"/>
      <c r="I589" s="291"/>
      <c r="J589" s="291"/>
      <c r="K589" s="291"/>
      <c r="L589" s="292"/>
      <c r="M589" s="292"/>
      <c r="N589" s="292"/>
      <c r="O589" s="292"/>
      <c r="P589" s="294"/>
      <c r="Q589" s="294"/>
      <c r="R589" s="294">
        <v>60</v>
      </c>
      <c r="S589" s="294">
        <v>120</v>
      </c>
      <c r="T589" s="294">
        <v>360</v>
      </c>
      <c r="U589" s="294">
        <v>180</v>
      </c>
      <c r="V589" s="431"/>
      <c r="W589" s="294"/>
      <c r="X589" s="294"/>
      <c r="Y589" s="294">
        <f>IF(NFI_Expiration=1,IF($A589&lt;VLOOKUP(H$5,NFI,5,0),1,0)*Table_NFI[[#This Row],[Hygiene Kit]],Table_NFI[Hygiene Kit])</f>
        <v>0</v>
      </c>
      <c r="Z589" s="294">
        <f>IF(NFI_Expiration=1,IF($A589&lt;VLOOKUP(I$5,NFI,5,0),1,0)*Table_NFI[[#This Row],[NFI Core Kit]],Table_NFI[NFI Core Kit])</f>
        <v>0</v>
      </c>
      <c r="AA589" s="294">
        <f>IF(NFI_Expiration=1,IF($A589&lt;VLOOKUP(J$5,NFI,5,0),1,0)*Table_NFI[[#This Row],[Sanitary Kit]],Table_NFI[Sanitary Kit])</f>
        <v>0</v>
      </c>
      <c r="AB589" s="294">
        <f>IF(NFI_Expiration=1,IF($A589&lt;VLOOKUP(K$5,NFI,5,0),1,0)*Table_NFI[[#This Row],[Mosquito net]],Table_NFI[Mosquito net])</f>
        <v>0</v>
      </c>
      <c r="AC589" s="294">
        <f>IF(NFI_Expiration=1,IF($A589&lt;VLOOKUP(L$5,NFI,5,0),1,0)*Table_NFI[[#This Row],[Tarpaulin]],Table_NFI[[#This Row],[Tarpaulin]])</f>
        <v>0</v>
      </c>
      <c r="AD589" s="294">
        <f>IF(NFI_Expiration=1,IF($A589&lt;VLOOKUP(M$5,NFI,5,0),1,0)*Table_NFI[[#This Row],[Blanket]],Table_NFI[[#This Row],[Blanket]])</f>
        <v>0</v>
      </c>
      <c r="AE589" s="294">
        <f>IF(NFI_Expiration=1,IF($A589&lt;VLOOKUP(N$5,NFI,5,0),1,0)*Table_NFI[[#This Row],[Kitchen Set]],Table_NFI[Kitchen Set])</f>
        <v>0</v>
      </c>
      <c r="AF589" s="294">
        <f>IF(NFI_Expiration=1,IF($A589&lt;VLOOKUP(O$5,NFI,5,0),1,0)*Table_NFI[[#This Row],[Clothes Kit]],Table_NFI[Clothes Kit])</f>
        <v>0</v>
      </c>
      <c r="AG589" s="294">
        <f>IF(NFI_Expiration=1,IF($A589&lt;VLOOKUP(P$5,NFI,5,0),1,0)*Table_NFI[[#This Row],[Plastic Bucket]],Table_NFI[Plastic Bucket])</f>
        <v>0</v>
      </c>
      <c r="AH589" s="294">
        <f>IF(NFI_Expiration=1,IF($A589&lt;VLOOKUP(Q$5,NFI,5,0),1,0)*Table_NFI[[#This Row],[Plastic Mat]],Table_NFI[Plastic Mat])*IF(Table_NFI[[#This Row],[Distribution Date]]&gt;"2014-04-01",1,2.5)</f>
        <v>0</v>
      </c>
      <c r="AI589" s="294">
        <f>IF(NFI_Expiration=1,IF($A589&lt;VLOOKUP(R$5,NFI,5,0),1,0)*Table_NFI[[#This Row],[Winter Clothes Adult]],Table_NFI[Winter Clothes Adult])</f>
        <v>0</v>
      </c>
      <c r="AJ589" s="294">
        <f>IF(NFI_Expiration=1,IF($A589&lt;VLOOKUP(S$5,NFI,5,0),1,0)*Table_NFI[[#This Row],[Winter Clothes Children]],Table_NFI[Winter Clothes Children])</f>
        <v>0</v>
      </c>
      <c r="AK589" s="294">
        <f>IF(NFI_Expiration=1,IF($A589&lt;VLOOKUP(T$5,NFI,5,0),1,0)*Table_NFI[[#This Row],[Winter Items Other]],Table_NFI[Winter Items Other])</f>
        <v>0</v>
      </c>
      <c r="AL589" s="294">
        <f>IF(NFI_Expiration=1,IF($A589&lt;VLOOKUP(M$5,NFI,5,0),1,0)*Table_NFI[[#This Row],[Winter Blanket]],Table_NFI[[#This Row],[Winter Blanket]])</f>
        <v>0</v>
      </c>
      <c r="AM589" s="294">
        <f>IF(Table_NFI[[#This Row],[Winter Clothes Adult]]+Table_NFI[[#This Row],[Winter Clothes Children]]+Table_NFI[[#This Row],[Winter Items Other]]+Table_NFI[[#This Row],[Winter Blanket]]&gt;0,1,0)</f>
        <v>1</v>
      </c>
      <c r="AN589" s="331">
        <f>IF(NFI_Expiration=1,IF($A589&lt;VLOOKUP(V$5,NFI,5,0),1,0)*Table_NFI[[#This Row],[Jerry Can]],Table_NFI[Jerry Can])</f>
        <v>0</v>
      </c>
      <c r="AO589" s="331">
        <f>IF(NFI_Expiration=1,IF($A589&lt;VLOOKUP(V$5,NFI,5,0),1,0)*Table_NFI[[#This Row],[Shelter Tool kit]],Table_NFI[Shelter Tool kit])</f>
        <v>0</v>
      </c>
      <c r="AP589" s="331">
        <f>IF(NFI_Expiration=1,IF($A589&lt;VLOOKUP(V$5,NFI,5,0),1,0)*Table_NFI[[#This Row],[Tent]],Table_NFI[Tent])</f>
        <v>0</v>
      </c>
      <c r="AQ589" s="467" t="str">
        <f>IFERROR(VLOOKUP(Table_NFI[[#This Row],[Camp Name]],CL,2,0),"")</f>
        <v>MMR001CMP132</v>
      </c>
      <c r="AR589" s="835">
        <f ca="1">IF(Table_NFI[[#This Row],[Pcode]]="","",IF(OFFSET(CampList[Opening Date],MATCH(Table_NFI[[#This Row],[Pcode]],CampList[CP_Pcode],0)-1,0,1,1)&gt;=NFI_Monitor_Date,1,0))</f>
        <v>0</v>
      </c>
      <c r="AS589" s="467" t="str">
        <f>IFERROR(VLOOKUP(Table_NFI[[#This Row],[Camp Name]],CL,3,0),"")</f>
        <v>Open</v>
      </c>
      <c r="AT589" s="294" t="str">
        <f ca="1">IF(Table_NFI[[#This Row],[Pcode]]="","",OFFSET(CampList[Priority],MATCH(Table_NFI[[#This Row],[Pcode]],CampList[CP_Pcode],0)-1,0,1,1))</f>
        <v>P4</v>
      </c>
      <c r="AU589" s="293">
        <f>IFERROR(Table_NFI[[#This Row],[Kitchen Set]]/VLOOKUP(Table_NFI[[#This Row],[Camp Name]],CL,4,0),"")</f>
        <v>0</v>
      </c>
      <c r="AV589" s="461"/>
      <c r="AW589" s="463"/>
    </row>
    <row r="590" spans="1:49" s="464" customFormat="1" ht="14.45" customHeight="1" x14ac:dyDescent="0.25">
      <c r="A590" s="297">
        <f t="shared" si="9"/>
        <v>37.799999999999997</v>
      </c>
      <c r="B590" s="460">
        <v>41602</v>
      </c>
      <c r="C590" s="461" t="s">
        <v>905</v>
      </c>
      <c r="D590" s="461" t="s">
        <v>905</v>
      </c>
      <c r="E590" s="461" t="s">
        <v>380</v>
      </c>
      <c r="F590" s="461" t="s">
        <v>302</v>
      </c>
      <c r="G590" s="461" t="s">
        <v>304</v>
      </c>
      <c r="H590" s="291"/>
      <c r="I590" s="291"/>
      <c r="J590" s="291"/>
      <c r="K590" s="291"/>
      <c r="L590" s="292"/>
      <c r="M590" s="292"/>
      <c r="N590" s="292"/>
      <c r="O590" s="292"/>
      <c r="P590" s="294"/>
      <c r="Q590" s="294"/>
      <c r="R590" s="294">
        <v>45</v>
      </c>
      <c r="S590" s="294">
        <v>90</v>
      </c>
      <c r="T590" s="294">
        <v>270</v>
      </c>
      <c r="U590" s="294">
        <v>135</v>
      </c>
      <c r="V590" s="431"/>
      <c r="W590" s="294"/>
      <c r="X590" s="294"/>
      <c r="Y590" s="294">
        <f>IF(NFI_Expiration=1,IF($A590&lt;VLOOKUP(H$5,NFI,5,0),1,0)*Table_NFI[[#This Row],[Hygiene Kit]],Table_NFI[Hygiene Kit])</f>
        <v>0</v>
      </c>
      <c r="Z590" s="294">
        <f>IF(NFI_Expiration=1,IF($A590&lt;VLOOKUP(I$5,NFI,5,0),1,0)*Table_NFI[[#This Row],[NFI Core Kit]],Table_NFI[NFI Core Kit])</f>
        <v>0</v>
      </c>
      <c r="AA590" s="294">
        <f>IF(NFI_Expiration=1,IF($A590&lt;VLOOKUP(J$5,NFI,5,0),1,0)*Table_NFI[[#This Row],[Sanitary Kit]],Table_NFI[Sanitary Kit])</f>
        <v>0</v>
      </c>
      <c r="AB590" s="294">
        <f>IF(NFI_Expiration=1,IF($A590&lt;VLOOKUP(K$5,NFI,5,0),1,0)*Table_NFI[[#This Row],[Mosquito net]],Table_NFI[Mosquito net])</f>
        <v>0</v>
      </c>
      <c r="AC590" s="294">
        <f>IF(NFI_Expiration=1,IF($A590&lt;VLOOKUP(L$5,NFI,5,0),1,0)*Table_NFI[[#This Row],[Tarpaulin]],Table_NFI[[#This Row],[Tarpaulin]])</f>
        <v>0</v>
      </c>
      <c r="AD590" s="294">
        <f>IF(NFI_Expiration=1,IF($A590&lt;VLOOKUP(M$5,NFI,5,0),1,0)*Table_NFI[[#This Row],[Blanket]],Table_NFI[[#This Row],[Blanket]])</f>
        <v>0</v>
      </c>
      <c r="AE590" s="294">
        <f>IF(NFI_Expiration=1,IF($A590&lt;VLOOKUP(N$5,NFI,5,0),1,0)*Table_NFI[[#This Row],[Kitchen Set]],Table_NFI[Kitchen Set])</f>
        <v>0</v>
      </c>
      <c r="AF590" s="294">
        <f>IF(NFI_Expiration=1,IF($A590&lt;VLOOKUP(O$5,NFI,5,0),1,0)*Table_NFI[[#This Row],[Clothes Kit]],Table_NFI[Clothes Kit])</f>
        <v>0</v>
      </c>
      <c r="AG590" s="294">
        <f>IF(NFI_Expiration=1,IF($A590&lt;VLOOKUP(P$5,NFI,5,0),1,0)*Table_NFI[[#This Row],[Plastic Bucket]],Table_NFI[Plastic Bucket])</f>
        <v>0</v>
      </c>
      <c r="AH590" s="294">
        <f>IF(NFI_Expiration=1,IF($A590&lt;VLOOKUP(Q$5,NFI,5,0),1,0)*Table_NFI[[#This Row],[Plastic Mat]],Table_NFI[Plastic Mat])*IF(Table_NFI[[#This Row],[Distribution Date]]&gt;"2014-04-01",1,2.5)</f>
        <v>0</v>
      </c>
      <c r="AI590" s="294">
        <f>IF(NFI_Expiration=1,IF($A590&lt;VLOOKUP(R$5,NFI,5,0),1,0)*Table_NFI[[#This Row],[Winter Clothes Adult]],Table_NFI[Winter Clothes Adult])</f>
        <v>0</v>
      </c>
      <c r="AJ590" s="294">
        <f>IF(NFI_Expiration=1,IF($A590&lt;VLOOKUP(S$5,NFI,5,0),1,0)*Table_NFI[[#This Row],[Winter Clothes Children]],Table_NFI[Winter Clothes Children])</f>
        <v>0</v>
      </c>
      <c r="AK590" s="294">
        <f>IF(NFI_Expiration=1,IF($A590&lt;VLOOKUP(T$5,NFI,5,0),1,0)*Table_NFI[[#This Row],[Winter Items Other]],Table_NFI[Winter Items Other])</f>
        <v>0</v>
      </c>
      <c r="AL590" s="294">
        <f>IF(NFI_Expiration=1,IF($A590&lt;VLOOKUP(M$5,NFI,5,0),1,0)*Table_NFI[[#This Row],[Winter Blanket]],Table_NFI[[#This Row],[Winter Blanket]])</f>
        <v>0</v>
      </c>
      <c r="AM590" s="294">
        <f>IF(Table_NFI[[#This Row],[Winter Clothes Adult]]+Table_NFI[[#This Row],[Winter Clothes Children]]+Table_NFI[[#This Row],[Winter Items Other]]+Table_NFI[[#This Row],[Winter Blanket]]&gt;0,1,0)</f>
        <v>1</v>
      </c>
      <c r="AN590" s="331">
        <f>IF(NFI_Expiration=1,IF($A590&lt;VLOOKUP(V$5,NFI,5,0),1,0)*Table_NFI[[#This Row],[Jerry Can]],Table_NFI[Jerry Can])</f>
        <v>0</v>
      </c>
      <c r="AO590" s="331">
        <f>IF(NFI_Expiration=1,IF($A590&lt;VLOOKUP(V$5,NFI,5,0),1,0)*Table_NFI[[#This Row],[Shelter Tool kit]],Table_NFI[Shelter Tool kit])</f>
        <v>0</v>
      </c>
      <c r="AP590" s="331">
        <f>IF(NFI_Expiration=1,IF($A590&lt;VLOOKUP(V$5,NFI,5,0),1,0)*Table_NFI[[#This Row],[Tent]],Table_NFI[Tent])</f>
        <v>0</v>
      </c>
      <c r="AQ590" s="467" t="str">
        <f>IFERROR(VLOOKUP(Table_NFI[[#This Row],[Camp Name]],CL,2,0),"")</f>
        <v>MMR001CMP147</v>
      </c>
      <c r="AR590" s="835">
        <f ca="1">IF(Table_NFI[[#This Row],[Pcode]]="","",IF(OFFSET(CampList[Opening Date],MATCH(Table_NFI[[#This Row],[Pcode]],CampList[CP_Pcode],0)-1,0,1,1)&gt;=NFI_Monitor_Date,1,0))</f>
        <v>1</v>
      </c>
      <c r="AS590" s="467" t="str">
        <f>IFERROR(VLOOKUP(Table_NFI[[#This Row],[Camp Name]],CL,3,0),"")</f>
        <v>Open</v>
      </c>
      <c r="AT590" s="294" t="str">
        <f ca="1">IF(Table_NFI[[#This Row],[Pcode]]="","",OFFSET(CampList[Priority],MATCH(Table_NFI[[#This Row],[Pcode]],CampList[CP_Pcode],0)-1,0,1,1))</f>
        <v>P4</v>
      </c>
      <c r="AU590" s="293">
        <f>IFERROR(Table_NFI[[#This Row],[Kitchen Set]]/VLOOKUP(Table_NFI[[#This Row],[Camp Name]],CL,4,0),"")</f>
        <v>0</v>
      </c>
      <c r="AV590" s="461"/>
      <c r="AW590" s="463"/>
    </row>
    <row r="591" spans="1:49" s="464" customFormat="1" x14ac:dyDescent="0.25">
      <c r="A591" s="297">
        <f t="shared" si="9"/>
        <v>37.799999999999997</v>
      </c>
      <c r="B591" s="460">
        <v>41602</v>
      </c>
      <c r="C591" s="461" t="s">
        <v>905</v>
      </c>
      <c r="D591" s="461" t="s">
        <v>905</v>
      </c>
      <c r="E591" s="461" t="s">
        <v>380</v>
      </c>
      <c r="F591" s="461" t="s">
        <v>151</v>
      </c>
      <c r="G591" s="461" t="s">
        <v>882</v>
      </c>
      <c r="H591" s="291"/>
      <c r="I591" s="291"/>
      <c r="J591" s="291"/>
      <c r="K591" s="291"/>
      <c r="L591" s="292"/>
      <c r="M591" s="292"/>
      <c r="N591" s="292"/>
      <c r="O591" s="292"/>
      <c r="P591" s="294"/>
      <c r="Q591" s="294"/>
      <c r="R591" s="294">
        <v>24</v>
      </c>
      <c r="S591" s="294">
        <v>48</v>
      </c>
      <c r="T591" s="294">
        <v>144</v>
      </c>
      <c r="U591" s="294">
        <v>72</v>
      </c>
      <c r="V591" s="431"/>
      <c r="W591" s="294"/>
      <c r="X591" s="294"/>
      <c r="Y591" s="294">
        <f>IF(NFI_Expiration=1,IF($A591&lt;VLOOKUP(H$5,NFI,5,0),1,0)*Table_NFI[[#This Row],[Hygiene Kit]],Table_NFI[Hygiene Kit])</f>
        <v>0</v>
      </c>
      <c r="Z591" s="294">
        <f>IF(NFI_Expiration=1,IF($A591&lt;VLOOKUP(I$5,NFI,5,0),1,0)*Table_NFI[[#This Row],[NFI Core Kit]],Table_NFI[NFI Core Kit])</f>
        <v>0</v>
      </c>
      <c r="AA591" s="294">
        <f>IF(NFI_Expiration=1,IF($A591&lt;VLOOKUP(J$5,NFI,5,0),1,0)*Table_NFI[[#This Row],[Sanitary Kit]],Table_NFI[Sanitary Kit])</f>
        <v>0</v>
      </c>
      <c r="AB591" s="294">
        <f>IF(NFI_Expiration=1,IF($A591&lt;VLOOKUP(K$5,NFI,5,0),1,0)*Table_NFI[[#This Row],[Mosquito net]],Table_NFI[Mosquito net])</f>
        <v>0</v>
      </c>
      <c r="AC591" s="294">
        <f>IF(NFI_Expiration=1,IF($A591&lt;VLOOKUP(L$5,NFI,5,0),1,0)*Table_NFI[[#This Row],[Tarpaulin]],Table_NFI[[#This Row],[Tarpaulin]])</f>
        <v>0</v>
      </c>
      <c r="AD591" s="294">
        <f>IF(NFI_Expiration=1,IF($A591&lt;VLOOKUP(M$5,NFI,5,0),1,0)*Table_NFI[[#This Row],[Blanket]],Table_NFI[[#This Row],[Blanket]])</f>
        <v>0</v>
      </c>
      <c r="AE591" s="294">
        <f>IF(NFI_Expiration=1,IF($A591&lt;VLOOKUP(N$5,NFI,5,0),1,0)*Table_NFI[[#This Row],[Kitchen Set]],Table_NFI[Kitchen Set])</f>
        <v>0</v>
      </c>
      <c r="AF591" s="294">
        <f>IF(NFI_Expiration=1,IF($A591&lt;VLOOKUP(O$5,NFI,5,0),1,0)*Table_NFI[[#This Row],[Clothes Kit]],Table_NFI[Clothes Kit])</f>
        <v>0</v>
      </c>
      <c r="AG591" s="294">
        <f>IF(NFI_Expiration=1,IF($A591&lt;VLOOKUP(P$5,NFI,5,0),1,0)*Table_NFI[[#This Row],[Plastic Bucket]],Table_NFI[Plastic Bucket])</f>
        <v>0</v>
      </c>
      <c r="AH591" s="294">
        <f>IF(NFI_Expiration=1,IF($A591&lt;VLOOKUP(Q$5,NFI,5,0),1,0)*Table_NFI[[#This Row],[Plastic Mat]],Table_NFI[Plastic Mat])*IF(Table_NFI[[#This Row],[Distribution Date]]&gt;"2014-04-01",1,2.5)</f>
        <v>0</v>
      </c>
      <c r="AI591" s="294">
        <f>IF(NFI_Expiration=1,IF($A591&lt;VLOOKUP(R$5,NFI,5,0),1,0)*Table_NFI[[#This Row],[Winter Clothes Adult]],Table_NFI[Winter Clothes Adult])</f>
        <v>0</v>
      </c>
      <c r="AJ591" s="294">
        <f>IF(NFI_Expiration=1,IF($A591&lt;VLOOKUP(S$5,NFI,5,0),1,0)*Table_NFI[[#This Row],[Winter Clothes Children]],Table_NFI[Winter Clothes Children])</f>
        <v>0</v>
      </c>
      <c r="AK591" s="294">
        <f>IF(NFI_Expiration=1,IF($A591&lt;VLOOKUP(T$5,NFI,5,0),1,0)*Table_NFI[[#This Row],[Winter Items Other]],Table_NFI[Winter Items Other])</f>
        <v>0</v>
      </c>
      <c r="AL591" s="294">
        <f>IF(NFI_Expiration=1,IF($A591&lt;VLOOKUP(M$5,NFI,5,0),1,0)*Table_NFI[[#This Row],[Winter Blanket]],Table_NFI[[#This Row],[Winter Blanket]])</f>
        <v>0</v>
      </c>
      <c r="AM591" s="294">
        <f>IF(Table_NFI[[#This Row],[Winter Clothes Adult]]+Table_NFI[[#This Row],[Winter Clothes Children]]+Table_NFI[[#This Row],[Winter Items Other]]+Table_NFI[[#This Row],[Winter Blanket]]&gt;0,1,0)</f>
        <v>1</v>
      </c>
      <c r="AN591" s="331">
        <f>IF(NFI_Expiration=1,IF($A591&lt;VLOOKUP(V$5,NFI,5,0),1,0)*Table_NFI[[#This Row],[Jerry Can]],Table_NFI[Jerry Can])</f>
        <v>0</v>
      </c>
      <c r="AO591" s="331">
        <f>IF(NFI_Expiration=1,IF($A591&lt;VLOOKUP(V$5,NFI,5,0),1,0)*Table_NFI[[#This Row],[Shelter Tool kit]],Table_NFI[Shelter Tool kit])</f>
        <v>0</v>
      </c>
      <c r="AP591" s="331">
        <f>IF(NFI_Expiration=1,IF($A591&lt;VLOOKUP(V$5,NFI,5,0),1,0)*Table_NFI[[#This Row],[Tent]],Table_NFI[Tent])</f>
        <v>0</v>
      </c>
      <c r="AQ591" s="467" t="str">
        <f>IFERROR(VLOOKUP(Table_NFI[[#This Row],[Camp Name]],CL,2,0),"")</f>
        <v>MMR001CMP215</v>
      </c>
      <c r="AR591" s="835">
        <f ca="1">IF(Table_NFI[[#This Row],[Pcode]]="","",IF(OFFSET(CampList[Opening Date],MATCH(Table_NFI[[#This Row],[Pcode]],CampList[CP_Pcode],0)-1,0,1,1)&gt;=NFI_Monitor_Date,1,0))</f>
        <v>0</v>
      </c>
      <c r="AS591" s="467" t="str">
        <f>IFERROR(VLOOKUP(Table_NFI[[#This Row],[Camp Name]],CL,3,0),"")</f>
        <v>Closed</v>
      </c>
      <c r="AT591" s="294" t="str">
        <f ca="1">IF(Table_NFI[[#This Row],[Pcode]]="","",OFFSET(CampList[Priority],MATCH(Table_NFI[[#This Row],[Pcode]],CampList[CP_Pcode],0)-1,0,1,1))</f>
        <v/>
      </c>
      <c r="AU591" s="293" t="str">
        <f>IFERROR(Table_NFI[[#This Row],[Kitchen Set]]/VLOOKUP(Table_NFI[[#This Row],[Camp Name]],CL,4,0),"")</f>
        <v/>
      </c>
      <c r="AV591" s="461"/>
      <c r="AW591" s="463"/>
    </row>
    <row r="592" spans="1:49" s="464" customFormat="1" x14ac:dyDescent="0.25">
      <c r="A592" s="297">
        <f t="shared" si="9"/>
        <v>37.799999999999997</v>
      </c>
      <c r="B592" s="460">
        <v>41602</v>
      </c>
      <c r="C592" s="461" t="s">
        <v>905</v>
      </c>
      <c r="D592" s="461" t="s">
        <v>905</v>
      </c>
      <c r="E592" s="461" t="s">
        <v>380</v>
      </c>
      <c r="F592" s="461" t="s">
        <v>151</v>
      </c>
      <c r="G592" s="461" t="s">
        <v>878</v>
      </c>
      <c r="H592" s="291"/>
      <c r="I592" s="291"/>
      <c r="J592" s="291"/>
      <c r="K592" s="291"/>
      <c r="L592" s="292"/>
      <c r="M592" s="292"/>
      <c r="N592" s="292"/>
      <c r="O592" s="292"/>
      <c r="P592" s="294"/>
      <c r="Q592" s="294"/>
      <c r="R592" s="294">
        <v>135</v>
      </c>
      <c r="S592" s="294">
        <v>270</v>
      </c>
      <c r="T592" s="294">
        <v>810</v>
      </c>
      <c r="U592" s="294">
        <v>405</v>
      </c>
      <c r="V592" s="431"/>
      <c r="W592" s="294"/>
      <c r="X592" s="294"/>
      <c r="Y592" s="294">
        <f>IF(NFI_Expiration=1,IF($A592&lt;VLOOKUP(H$5,NFI,5,0),1,0)*Table_NFI[[#This Row],[Hygiene Kit]],Table_NFI[Hygiene Kit])</f>
        <v>0</v>
      </c>
      <c r="Z592" s="294">
        <f>IF(NFI_Expiration=1,IF($A592&lt;VLOOKUP(I$5,NFI,5,0),1,0)*Table_NFI[[#This Row],[NFI Core Kit]],Table_NFI[NFI Core Kit])</f>
        <v>0</v>
      </c>
      <c r="AA592" s="294">
        <f>IF(NFI_Expiration=1,IF($A592&lt;VLOOKUP(J$5,NFI,5,0),1,0)*Table_NFI[[#This Row],[Sanitary Kit]],Table_NFI[Sanitary Kit])</f>
        <v>0</v>
      </c>
      <c r="AB592" s="294">
        <f>IF(NFI_Expiration=1,IF($A592&lt;VLOOKUP(K$5,NFI,5,0),1,0)*Table_NFI[[#This Row],[Mosquito net]],Table_NFI[Mosquito net])</f>
        <v>0</v>
      </c>
      <c r="AC592" s="294">
        <f>IF(NFI_Expiration=1,IF($A592&lt;VLOOKUP(L$5,NFI,5,0),1,0)*Table_NFI[[#This Row],[Tarpaulin]],Table_NFI[[#This Row],[Tarpaulin]])</f>
        <v>0</v>
      </c>
      <c r="AD592" s="294">
        <f>IF(NFI_Expiration=1,IF($A592&lt;VLOOKUP(M$5,NFI,5,0),1,0)*Table_NFI[[#This Row],[Blanket]],Table_NFI[[#This Row],[Blanket]])</f>
        <v>0</v>
      </c>
      <c r="AE592" s="294">
        <f>IF(NFI_Expiration=1,IF($A592&lt;VLOOKUP(N$5,NFI,5,0),1,0)*Table_NFI[[#This Row],[Kitchen Set]],Table_NFI[Kitchen Set])</f>
        <v>0</v>
      </c>
      <c r="AF592" s="294">
        <f>IF(NFI_Expiration=1,IF($A592&lt;VLOOKUP(O$5,NFI,5,0),1,0)*Table_NFI[[#This Row],[Clothes Kit]],Table_NFI[Clothes Kit])</f>
        <v>0</v>
      </c>
      <c r="AG592" s="294">
        <f>IF(NFI_Expiration=1,IF($A592&lt;VLOOKUP(P$5,NFI,5,0),1,0)*Table_NFI[[#This Row],[Plastic Bucket]],Table_NFI[Plastic Bucket])</f>
        <v>0</v>
      </c>
      <c r="AH592" s="294">
        <f>IF(NFI_Expiration=1,IF($A592&lt;VLOOKUP(Q$5,NFI,5,0),1,0)*Table_NFI[[#This Row],[Plastic Mat]],Table_NFI[Plastic Mat])*IF(Table_NFI[[#This Row],[Distribution Date]]&gt;"2014-04-01",1,2.5)</f>
        <v>0</v>
      </c>
      <c r="AI592" s="294">
        <f>IF(NFI_Expiration=1,IF($A592&lt;VLOOKUP(R$5,NFI,5,0),1,0)*Table_NFI[[#This Row],[Winter Clothes Adult]],Table_NFI[Winter Clothes Adult])</f>
        <v>0</v>
      </c>
      <c r="AJ592" s="294">
        <f>IF(NFI_Expiration=1,IF($A592&lt;VLOOKUP(S$5,NFI,5,0),1,0)*Table_NFI[[#This Row],[Winter Clothes Children]],Table_NFI[Winter Clothes Children])</f>
        <v>0</v>
      </c>
      <c r="AK592" s="294">
        <f>IF(NFI_Expiration=1,IF($A592&lt;VLOOKUP(T$5,NFI,5,0),1,0)*Table_NFI[[#This Row],[Winter Items Other]],Table_NFI[Winter Items Other])</f>
        <v>0</v>
      </c>
      <c r="AL592" s="294">
        <f>IF(NFI_Expiration=1,IF($A592&lt;VLOOKUP(M$5,NFI,5,0),1,0)*Table_NFI[[#This Row],[Winter Blanket]],Table_NFI[[#This Row],[Winter Blanket]])</f>
        <v>0</v>
      </c>
      <c r="AM592" s="294">
        <f>IF(Table_NFI[[#This Row],[Winter Clothes Adult]]+Table_NFI[[#This Row],[Winter Clothes Children]]+Table_NFI[[#This Row],[Winter Items Other]]+Table_NFI[[#This Row],[Winter Blanket]]&gt;0,1,0)</f>
        <v>1</v>
      </c>
      <c r="AN592" s="331">
        <f>IF(NFI_Expiration=1,IF($A592&lt;VLOOKUP(V$5,NFI,5,0),1,0)*Table_NFI[[#This Row],[Jerry Can]],Table_NFI[Jerry Can])</f>
        <v>0</v>
      </c>
      <c r="AO592" s="331">
        <f>IF(NFI_Expiration=1,IF($A592&lt;VLOOKUP(V$5,NFI,5,0),1,0)*Table_NFI[[#This Row],[Shelter Tool kit]],Table_NFI[Shelter Tool kit])</f>
        <v>0</v>
      </c>
      <c r="AP592" s="331">
        <f>IF(NFI_Expiration=1,IF($A592&lt;VLOOKUP(V$5,NFI,5,0),1,0)*Table_NFI[[#This Row],[Tent]],Table_NFI[Tent])</f>
        <v>0</v>
      </c>
      <c r="AQ592" s="467" t="str">
        <f>IFERROR(VLOOKUP(Table_NFI[[#This Row],[Camp Name]],CL,2,0),"")</f>
        <v>MMR001CMP214</v>
      </c>
      <c r="AR592" s="835">
        <f ca="1">IF(Table_NFI[[#This Row],[Pcode]]="","",IF(OFFSET(CampList[Opening Date],MATCH(Table_NFI[[#This Row],[Pcode]],CampList[CP_Pcode],0)-1,0,1,1)&gt;=NFI_Monitor_Date,1,0))</f>
        <v>0</v>
      </c>
      <c r="AS592" s="467" t="str">
        <f>IFERROR(VLOOKUP(Table_NFI[[#This Row],[Camp Name]],CL,3,0),"")</f>
        <v>Closed</v>
      </c>
      <c r="AT592" s="294" t="str">
        <f ca="1">IF(Table_NFI[[#This Row],[Pcode]]="","",OFFSET(CampList[Priority],MATCH(Table_NFI[[#This Row],[Pcode]],CampList[CP_Pcode],0)-1,0,1,1))</f>
        <v/>
      </c>
      <c r="AU592" s="293" t="str">
        <f>IFERROR(Table_NFI[[#This Row],[Kitchen Set]]/VLOOKUP(Table_NFI[[#This Row],[Camp Name]],CL,4,0),"")</f>
        <v/>
      </c>
      <c r="AV592" s="461"/>
      <c r="AW592" s="463"/>
    </row>
    <row r="593" spans="1:49" s="464" customFormat="1" ht="14.45" customHeight="1" x14ac:dyDescent="0.25">
      <c r="A593" s="297">
        <f t="shared" si="9"/>
        <v>37.833333333333336</v>
      </c>
      <c r="B593" s="460">
        <v>41601</v>
      </c>
      <c r="C593" s="461" t="s">
        <v>453</v>
      </c>
      <c r="D593" s="461"/>
      <c r="E593" s="461" t="s">
        <v>380</v>
      </c>
      <c r="F593" s="461" t="s">
        <v>310</v>
      </c>
      <c r="G593" s="461" t="s">
        <v>334</v>
      </c>
      <c r="H593" s="291"/>
      <c r="I593" s="291"/>
      <c r="J593" s="291"/>
      <c r="K593" s="291"/>
      <c r="L593" s="292"/>
      <c r="M593" s="292">
        <v>358</v>
      </c>
      <c r="N593" s="292"/>
      <c r="O593" s="292"/>
      <c r="P593" s="294"/>
      <c r="Q593" s="294"/>
      <c r="R593" s="294"/>
      <c r="S593" s="294"/>
      <c r="T593" s="294"/>
      <c r="U593" s="294"/>
      <c r="V593" s="431"/>
      <c r="W593" s="294"/>
      <c r="X593" s="294"/>
      <c r="Y593" s="294">
        <f>IF(NFI_Expiration=1,IF($A593&lt;VLOOKUP(H$5,NFI,5,0),1,0)*Table_NFI[[#This Row],[Hygiene Kit]],Table_NFI[Hygiene Kit])</f>
        <v>0</v>
      </c>
      <c r="Z593" s="294">
        <f>IF(NFI_Expiration=1,IF($A593&lt;VLOOKUP(I$5,NFI,5,0),1,0)*Table_NFI[[#This Row],[NFI Core Kit]],Table_NFI[NFI Core Kit])</f>
        <v>0</v>
      </c>
      <c r="AA593" s="294">
        <f>IF(NFI_Expiration=1,IF($A593&lt;VLOOKUP(J$5,NFI,5,0),1,0)*Table_NFI[[#This Row],[Sanitary Kit]],Table_NFI[Sanitary Kit])</f>
        <v>0</v>
      </c>
      <c r="AB593" s="294">
        <f>IF(NFI_Expiration=1,IF($A593&lt;VLOOKUP(K$5,NFI,5,0),1,0)*Table_NFI[[#This Row],[Mosquito net]],Table_NFI[Mosquito net])</f>
        <v>0</v>
      </c>
      <c r="AC593" s="294">
        <f>IF(NFI_Expiration=1,IF($A593&lt;VLOOKUP(L$5,NFI,5,0),1,0)*Table_NFI[[#This Row],[Tarpaulin]],Table_NFI[[#This Row],[Tarpaulin]])</f>
        <v>0</v>
      </c>
      <c r="AD593" s="294">
        <f>IF(NFI_Expiration=1,IF($A593&lt;VLOOKUP(M$5,NFI,5,0),1,0)*Table_NFI[[#This Row],[Blanket]],Table_NFI[[#This Row],[Blanket]])</f>
        <v>0</v>
      </c>
      <c r="AE593" s="294">
        <f>IF(NFI_Expiration=1,IF($A593&lt;VLOOKUP(N$5,NFI,5,0),1,0)*Table_NFI[[#This Row],[Kitchen Set]],Table_NFI[Kitchen Set])</f>
        <v>0</v>
      </c>
      <c r="AF593" s="294">
        <f>IF(NFI_Expiration=1,IF($A593&lt;VLOOKUP(O$5,NFI,5,0),1,0)*Table_NFI[[#This Row],[Clothes Kit]],Table_NFI[Clothes Kit])</f>
        <v>0</v>
      </c>
      <c r="AG593" s="294">
        <f>IF(NFI_Expiration=1,IF($A593&lt;VLOOKUP(P$5,NFI,5,0),1,0)*Table_NFI[[#This Row],[Plastic Bucket]],Table_NFI[Plastic Bucket])</f>
        <v>0</v>
      </c>
      <c r="AH593" s="294">
        <f>IF(NFI_Expiration=1,IF($A593&lt;VLOOKUP(Q$5,NFI,5,0),1,0)*Table_NFI[[#This Row],[Plastic Mat]],Table_NFI[Plastic Mat])*IF(Table_NFI[[#This Row],[Distribution Date]]&gt;"2014-04-01",1,2.5)</f>
        <v>0</v>
      </c>
      <c r="AI593" s="294">
        <f>IF(NFI_Expiration=1,IF($A593&lt;VLOOKUP(R$5,NFI,5,0),1,0)*Table_NFI[[#This Row],[Winter Clothes Adult]],Table_NFI[Winter Clothes Adult])</f>
        <v>0</v>
      </c>
      <c r="AJ593" s="294">
        <f>IF(NFI_Expiration=1,IF($A593&lt;VLOOKUP(S$5,NFI,5,0),1,0)*Table_NFI[[#This Row],[Winter Clothes Children]],Table_NFI[Winter Clothes Children])</f>
        <v>0</v>
      </c>
      <c r="AK593" s="294">
        <f>IF(NFI_Expiration=1,IF($A593&lt;VLOOKUP(T$5,NFI,5,0),1,0)*Table_NFI[[#This Row],[Winter Items Other]],Table_NFI[Winter Items Other])</f>
        <v>0</v>
      </c>
      <c r="AL593" s="294">
        <f>IF(NFI_Expiration=1,IF($A593&lt;VLOOKUP(M$5,NFI,5,0),1,0)*Table_NFI[[#This Row],[Winter Blanket]],Table_NFI[[#This Row],[Winter Blanket]])</f>
        <v>0</v>
      </c>
      <c r="AM593" s="294">
        <f>IF(Table_NFI[[#This Row],[Winter Clothes Adult]]+Table_NFI[[#This Row],[Winter Clothes Children]]+Table_NFI[[#This Row],[Winter Items Other]]+Table_NFI[[#This Row],[Winter Blanket]]&gt;0,1,0)</f>
        <v>0</v>
      </c>
      <c r="AN593" s="331">
        <f>IF(NFI_Expiration=1,IF($A593&lt;VLOOKUP(V$5,NFI,5,0),1,0)*Table_NFI[[#This Row],[Jerry Can]],Table_NFI[Jerry Can])</f>
        <v>0</v>
      </c>
      <c r="AO593" s="331">
        <f>IF(NFI_Expiration=1,IF($A593&lt;VLOOKUP(V$5,NFI,5,0),1,0)*Table_NFI[[#This Row],[Shelter Tool kit]],Table_NFI[Shelter Tool kit])</f>
        <v>0</v>
      </c>
      <c r="AP593" s="331">
        <f>IF(NFI_Expiration=1,IF($A593&lt;VLOOKUP(V$5,NFI,5,0),1,0)*Table_NFI[[#This Row],[Tent]],Table_NFI[Tent])</f>
        <v>0</v>
      </c>
      <c r="AQ593" s="467" t="str">
        <f>IFERROR(VLOOKUP(Table_NFI[[#This Row],[Camp Name]],CL,2,0),"")</f>
        <v>MMR001CMP113</v>
      </c>
      <c r="AR593" s="835">
        <f ca="1">IF(Table_NFI[[#This Row],[Pcode]]="","",IF(OFFSET(CampList[Opening Date],MATCH(Table_NFI[[#This Row],[Pcode]],CampList[CP_Pcode],0)-1,0,1,1)&gt;=NFI_Monitor_Date,1,0))</f>
        <v>0</v>
      </c>
      <c r="AS593" s="467" t="str">
        <f>IFERROR(VLOOKUP(Table_NFI[[#This Row],[Camp Name]],CL,3,0),"")</f>
        <v>Open</v>
      </c>
      <c r="AT593" s="294" t="str">
        <f ca="1">IF(Table_NFI[[#This Row],[Pcode]]="","",OFFSET(CampList[Priority],MATCH(Table_NFI[[#This Row],[Pcode]],CampList[CP_Pcode],0)-1,0,1,1))</f>
        <v>P1</v>
      </c>
      <c r="AU593" s="293">
        <f>IFERROR(Table_NFI[[#This Row],[Kitchen Set]]/VLOOKUP(Table_NFI[[#This Row],[Camp Name]],CL,4,0),"")</f>
        <v>0</v>
      </c>
      <c r="AV593" s="461" t="s">
        <v>1092</v>
      </c>
      <c r="AW593" s="463"/>
    </row>
    <row r="594" spans="1:49" s="464" customFormat="1" ht="14.45" customHeight="1" x14ac:dyDescent="0.25">
      <c r="A594" s="297">
        <f t="shared" si="9"/>
        <v>37.9</v>
      </c>
      <c r="B594" s="460">
        <v>41599</v>
      </c>
      <c r="C594" s="462" t="s">
        <v>452</v>
      </c>
      <c r="D594" s="462" t="s">
        <v>452</v>
      </c>
      <c r="E594" s="461" t="s">
        <v>380</v>
      </c>
      <c r="F594" s="290" t="s">
        <v>5</v>
      </c>
      <c r="G594" s="290" t="s">
        <v>512</v>
      </c>
      <c r="H594" s="291"/>
      <c r="I594" s="291"/>
      <c r="J594" s="291"/>
      <c r="K594" s="291">
        <v>34</v>
      </c>
      <c r="L594" s="292">
        <v>18</v>
      </c>
      <c r="M594" s="292">
        <v>34</v>
      </c>
      <c r="N594" s="292">
        <v>18</v>
      </c>
      <c r="O594" s="292">
        <v>18</v>
      </c>
      <c r="P594" s="294"/>
      <c r="Q594" s="294"/>
      <c r="R594" s="294"/>
      <c r="S594" s="294"/>
      <c r="T594" s="294"/>
      <c r="U594" s="294"/>
      <c r="V594" s="431"/>
      <c r="W594" s="294"/>
      <c r="X594" s="294"/>
      <c r="Y594" s="294">
        <f>IF(NFI_Expiration=1,IF($A594&lt;VLOOKUP(H$5,NFI,5,0),1,0)*Table_NFI[[#This Row],[Hygiene Kit]],Table_NFI[Hygiene Kit])</f>
        <v>0</v>
      </c>
      <c r="Z594" s="294">
        <f>IF(NFI_Expiration=1,IF($A594&lt;VLOOKUP(I$5,NFI,5,0),1,0)*Table_NFI[[#This Row],[NFI Core Kit]],Table_NFI[NFI Core Kit])</f>
        <v>0</v>
      </c>
      <c r="AA594" s="294">
        <f>IF(NFI_Expiration=1,IF($A594&lt;VLOOKUP(J$5,NFI,5,0),1,0)*Table_NFI[[#This Row],[Sanitary Kit]],Table_NFI[Sanitary Kit])</f>
        <v>0</v>
      </c>
      <c r="AB594" s="294">
        <f>IF(NFI_Expiration=1,IF($A594&lt;VLOOKUP(K$5,NFI,5,0),1,0)*Table_NFI[[#This Row],[Mosquito net]],Table_NFI[Mosquito net])</f>
        <v>0</v>
      </c>
      <c r="AC594" s="294">
        <f>IF(NFI_Expiration=1,IF($A594&lt;VLOOKUP(L$5,NFI,5,0),1,0)*Table_NFI[[#This Row],[Tarpaulin]],Table_NFI[[#This Row],[Tarpaulin]])</f>
        <v>0</v>
      </c>
      <c r="AD594" s="294">
        <f>IF(NFI_Expiration=1,IF($A594&lt;VLOOKUP(M$5,NFI,5,0),1,0)*Table_NFI[[#This Row],[Blanket]],Table_NFI[[#This Row],[Blanket]])</f>
        <v>0</v>
      </c>
      <c r="AE594" s="294">
        <f>IF(NFI_Expiration=1,IF($A594&lt;VLOOKUP(N$5,NFI,5,0),1,0)*Table_NFI[[#This Row],[Kitchen Set]],Table_NFI[Kitchen Set])</f>
        <v>0</v>
      </c>
      <c r="AF594" s="294">
        <f>IF(NFI_Expiration=1,IF($A594&lt;VLOOKUP(O$5,NFI,5,0),1,0)*Table_NFI[[#This Row],[Clothes Kit]],Table_NFI[Clothes Kit])</f>
        <v>0</v>
      </c>
      <c r="AG594" s="294">
        <f>IF(NFI_Expiration=1,IF($A594&lt;VLOOKUP(P$5,NFI,5,0),1,0)*Table_NFI[[#This Row],[Plastic Bucket]],Table_NFI[Plastic Bucket])</f>
        <v>0</v>
      </c>
      <c r="AH594" s="294">
        <f>IF(NFI_Expiration=1,IF($A594&lt;VLOOKUP(Q$5,NFI,5,0),1,0)*Table_NFI[[#This Row],[Plastic Mat]],Table_NFI[Plastic Mat])*IF(Table_NFI[[#This Row],[Distribution Date]]&gt;"2014-04-01",1,2.5)</f>
        <v>0</v>
      </c>
      <c r="AI594" s="294">
        <f>IF(NFI_Expiration=1,IF($A594&lt;VLOOKUP(R$5,NFI,5,0),1,0)*Table_NFI[[#This Row],[Winter Clothes Adult]],Table_NFI[Winter Clothes Adult])</f>
        <v>0</v>
      </c>
      <c r="AJ594" s="294">
        <f>IF(NFI_Expiration=1,IF($A594&lt;VLOOKUP(S$5,NFI,5,0),1,0)*Table_NFI[[#This Row],[Winter Clothes Children]],Table_NFI[Winter Clothes Children])</f>
        <v>0</v>
      </c>
      <c r="AK594" s="294">
        <f>IF(NFI_Expiration=1,IF($A594&lt;VLOOKUP(T$5,NFI,5,0),1,0)*Table_NFI[[#This Row],[Winter Items Other]],Table_NFI[Winter Items Other])</f>
        <v>0</v>
      </c>
      <c r="AL594" s="294">
        <f>IF(NFI_Expiration=1,IF($A594&lt;VLOOKUP(M$5,NFI,5,0),1,0)*Table_NFI[[#This Row],[Winter Blanket]],Table_NFI[[#This Row],[Winter Blanket]])</f>
        <v>0</v>
      </c>
      <c r="AM594" s="294">
        <f>IF(Table_NFI[[#This Row],[Winter Clothes Adult]]+Table_NFI[[#This Row],[Winter Clothes Children]]+Table_NFI[[#This Row],[Winter Items Other]]+Table_NFI[[#This Row],[Winter Blanket]]&gt;0,1,0)</f>
        <v>0</v>
      </c>
      <c r="AN594" s="331">
        <f>IF(NFI_Expiration=1,IF($A594&lt;VLOOKUP(V$5,NFI,5,0),1,0)*Table_NFI[[#This Row],[Jerry Can]],Table_NFI[Jerry Can])</f>
        <v>0</v>
      </c>
      <c r="AO594" s="331">
        <f>IF(NFI_Expiration=1,IF($A594&lt;VLOOKUP(V$5,NFI,5,0),1,0)*Table_NFI[[#This Row],[Shelter Tool kit]],Table_NFI[Shelter Tool kit])</f>
        <v>0</v>
      </c>
      <c r="AP594" s="331">
        <f>IF(NFI_Expiration=1,IF($A594&lt;VLOOKUP(V$5,NFI,5,0),1,0)*Table_NFI[[#This Row],[Tent]],Table_NFI[Tent])</f>
        <v>0</v>
      </c>
      <c r="AQ594" s="467" t="str">
        <f>IFERROR(VLOOKUP(Table_NFI[[#This Row],[Camp Name]],CL,2,0),"")</f>
        <v>MMR001CMP194</v>
      </c>
      <c r="AR594" s="835">
        <f ca="1">IF(Table_NFI[[#This Row],[Pcode]]="","",IF(OFFSET(CampList[Opening Date],MATCH(Table_NFI[[#This Row],[Pcode]],CampList[CP_Pcode],0)-1,0,1,1)&gt;=NFI_Monitor_Date,1,0))</f>
        <v>0</v>
      </c>
      <c r="AS594" s="467" t="str">
        <f>IFERROR(VLOOKUP(Table_NFI[[#This Row],[Camp Name]],CL,3,0),"")</f>
        <v>Open</v>
      </c>
      <c r="AT594" s="294" t="str">
        <f ca="1">IF(Table_NFI[[#This Row],[Pcode]]="","",OFFSET(CampList[Priority],MATCH(Table_NFI[[#This Row],[Pcode]],CampList[CP_Pcode],0)-1,0,1,1))</f>
        <v>P4</v>
      </c>
      <c r="AU594" s="293">
        <f>IFERROR(Table_NFI[[#This Row],[Kitchen Set]]/VLOOKUP(Table_NFI[[#This Row],[Camp Name]],CL,4,0),"")</f>
        <v>4.4131708632652562E-4</v>
      </c>
      <c r="AV594" s="461" t="s">
        <v>1092</v>
      </c>
      <c r="AW594" s="463"/>
    </row>
    <row r="595" spans="1:49" s="464" customFormat="1" x14ac:dyDescent="0.25">
      <c r="A595" s="297">
        <f t="shared" si="9"/>
        <v>37.9</v>
      </c>
      <c r="B595" s="460">
        <v>41599</v>
      </c>
      <c r="C595" s="462" t="s">
        <v>452</v>
      </c>
      <c r="D595" s="462" t="s">
        <v>573</v>
      </c>
      <c r="E595" s="461" t="s">
        <v>380</v>
      </c>
      <c r="F595" s="461" t="s">
        <v>151</v>
      </c>
      <c r="G595" s="290" t="s">
        <v>876</v>
      </c>
      <c r="H595" s="291"/>
      <c r="I595" s="291"/>
      <c r="J595" s="291"/>
      <c r="K595" s="291">
        <v>400</v>
      </c>
      <c r="L595" s="292">
        <v>210</v>
      </c>
      <c r="M595" s="292">
        <v>400</v>
      </c>
      <c r="N595" s="292">
        <v>210</v>
      </c>
      <c r="O595" s="292"/>
      <c r="P595" s="294"/>
      <c r="Q595" s="294">
        <v>210</v>
      </c>
      <c r="R595" s="294"/>
      <c r="S595" s="294"/>
      <c r="T595" s="294"/>
      <c r="U595" s="294"/>
      <c r="V595" s="431"/>
      <c r="W595" s="294"/>
      <c r="X595" s="294"/>
      <c r="Y595" s="294">
        <f>IF(NFI_Expiration=1,IF($A595&lt;VLOOKUP(H$5,NFI,5,0),1,0)*Table_NFI[[#This Row],[Hygiene Kit]],Table_NFI[Hygiene Kit])</f>
        <v>0</v>
      </c>
      <c r="Z595" s="294">
        <f>IF(NFI_Expiration=1,IF($A595&lt;VLOOKUP(I$5,NFI,5,0),1,0)*Table_NFI[[#This Row],[NFI Core Kit]],Table_NFI[NFI Core Kit])</f>
        <v>0</v>
      </c>
      <c r="AA595" s="294">
        <f>IF(NFI_Expiration=1,IF($A595&lt;VLOOKUP(J$5,NFI,5,0),1,0)*Table_NFI[[#This Row],[Sanitary Kit]],Table_NFI[Sanitary Kit])</f>
        <v>0</v>
      </c>
      <c r="AB595" s="294">
        <f>IF(NFI_Expiration=1,IF($A595&lt;VLOOKUP(K$5,NFI,5,0),1,0)*Table_NFI[[#This Row],[Mosquito net]],Table_NFI[Mosquito net])</f>
        <v>0</v>
      </c>
      <c r="AC595" s="294">
        <f>IF(NFI_Expiration=1,IF($A595&lt;VLOOKUP(L$5,NFI,5,0),1,0)*Table_NFI[[#This Row],[Tarpaulin]],Table_NFI[[#This Row],[Tarpaulin]])</f>
        <v>0</v>
      </c>
      <c r="AD595" s="294">
        <f>IF(NFI_Expiration=1,IF($A595&lt;VLOOKUP(M$5,NFI,5,0),1,0)*Table_NFI[[#This Row],[Blanket]],Table_NFI[[#This Row],[Blanket]])</f>
        <v>0</v>
      </c>
      <c r="AE595" s="294">
        <f>IF(NFI_Expiration=1,IF($A595&lt;VLOOKUP(N$5,NFI,5,0),1,0)*Table_NFI[[#This Row],[Kitchen Set]],Table_NFI[Kitchen Set])</f>
        <v>0</v>
      </c>
      <c r="AF595" s="294">
        <f>IF(NFI_Expiration=1,IF($A595&lt;VLOOKUP(O$5,NFI,5,0),1,0)*Table_NFI[[#This Row],[Clothes Kit]],Table_NFI[Clothes Kit])</f>
        <v>0</v>
      </c>
      <c r="AG595" s="294">
        <f>IF(NFI_Expiration=1,IF($A595&lt;VLOOKUP(P$5,NFI,5,0),1,0)*Table_NFI[[#This Row],[Plastic Bucket]],Table_NFI[Plastic Bucket])</f>
        <v>0</v>
      </c>
      <c r="AH595" s="294">
        <f>IF(NFI_Expiration=1,IF($A595&lt;VLOOKUP(Q$5,NFI,5,0),1,0)*Table_NFI[[#This Row],[Plastic Mat]],Table_NFI[Plastic Mat])*IF(Table_NFI[[#This Row],[Distribution Date]]&gt;"2014-04-01",1,2.5)</f>
        <v>0</v>
      </c>
      <c r="AI595" s="294">
        <f>IF(NFI_Expiration=1,IF($A595&lt;VLOOKUP(R$5,NFI,5,0),1,0)*Table_NFI[[#This Row],[Winter Clothes Adult]],Table_NFI[Winter Clothes Adult])</f>
        <v>0</v>
      </c>
      <c r="AJ595" s="294">
        <f>IF(NFI_Expiration=1,IF($A595&lt;VLOOKUP(S$5,NFI,5,0),1,0)*Table_NFI[[#This Row],[Winter Clothes Children]],Table_NFI[Winter Clothes Children])</f>
        <v>0</v>
      </c>
      <c r="AK595" s="294">
        <f>IF(NFI_Expiration=1,IF($A595&lt;VLOOKUP(T$5,NFI,5,0),1,0)*Table_NFI[[#This Row],[Winter Items Other]],Table_NFI[Winter Items Other])</f>
        <v>0</v>
      </c>
      <c r="AL595" s="294">
        <f>IF(NFI_Expiration=1,IF($A595&lt;VLOOKUP(M$5,NFI,5,0),1,0)*Table_NFI[[#This Row],[Winter Blanket]],Table_NFI[[#This Row],[Winter Blanket]])</f>
        <v>0</v>
      </c>
      <c r="AM595" s="294">
        <f>IF(Table_NFI[[#This Row],[Winter Clothes Adult]]+Table_NFI[[#This Row],[Winter Clothes Children]]+Table_NFI[[#This Row],[Winter Items Other]]+Table_NFI[[#This Row],[Winter Blanket]]&gt;0,1,0)</f>
        <v>0</v>
      </c>
      <c r="AN595" s="331">
        <f>IF(NFI_Expiration=1,IF($A595&lt;VLOOKUP(V$5,NFI,5,0),1,0)*Table_NFI[[#This Row],[Jerry Can]],Table_NFI[Jerry Can])</f>
        <v>0</v>
      </c>
      <c r="AO595" s="331">
        <f>IF(NFI_Expiration=1,IF($A595&lt;VLOOKUP(V$5,NFI,5,0),1,0)*Table_NFI[[#This Row],[Shelter Tool kit]],Table_NFI[Shelter Tool kit])</f>
        <v>0</v>
      </c>
      <c r="AP595" s="331">
        <f>IF(NFI_Expiration=1,IF($A595&lt;VLOOKUP(V$5,NFI,5,0),1,0)*Table_NFI[[#This Row],[Tent]],Table_NFI[Tent])</f>
        <v>0</v>
      </c>
      <c r="AQ595" s="467" t="str">
        <f>IFERROR(VLOOKUP(Table_NFI[[#This Row],[Camp Name]],CL,2,0),"")</f>
        <v>MMR001CMP212</v>
      </c>
      <c r="AR595" s="835">
        <f ca="1">IF(Table_NFI[[#This Row],[Pcode]]="","",IF(OFFSET(CampList[Opening Date],MATCH(Table_NFI[[#This Row],[Pcode]],CampList[CP_Pcode],0)-1,0,1,1)&gt;=NFI_Monitor_Date,1,0))</f>
        <v>0</v>
      </c>
      <c r="AS595" s="467" t="str">
        <f>IFERROR(VLOOKUP(Table_NFI[[#This Row],[Camp Name]],CL,3,0),"")</f>
        <v>Closed</v>
      </c>
      <c r="AT595" s="294" t="str">
        <f ca="1">IF(Table_NFI[[#This Row],[Pcode]]="","",OFFSET(CampList[Priority],MATCH(Table_NFI[[#This Row],[Pcode]],CampList[CP_Pcode],0)-1,0,1,1))</f>
        <v/>
      </c>
      <c r="AU595" s="293" t="str">
        <f>IFERROR(Table_NFI[[#This Row],[Kitchen Set]]/VLOOKUP(Table_NFI[[#This Row],[Camp Name]],CL,4,0),"")</f>
        <v/>
      </c>
      <c r="AV595" s="461" t="s">
        <v>1092</v>
      </c>
      <c r="AW595" s="463"/>
    </row>
    <row r="596" spans="1:49" s="464" customFormat="1" x14ac:dyDescent="0.25">
      <c r="A596" s="297">
        <f t="shared" si="9"/>
        <v>37.9</v>
      </c>
      <c r="B596" s="460">
        <v>41599</v>
      </c>
      <c r="C596" s="462" t="s">
        <v>452</v>
      </c>
      <c r="D596" s="462" t="s">
        <v>452</v>
      </c>
      <c r="E596" s="461" t="s">
        <v>380</v>
      </c>
      <c r="F596" s="290" t="s">
        <v>5</v>
      </c>
      <c r="G596" s="290" t="s">
        <v>366</v>
      </c>
      <c r="H596" s="291"/>
      <c r="I596" s="291"/>
      <c r="J596" s="291"/>
      <c r="K596" s="291">
        <v>15</v>
      </c>
      <c r="L596" s="292">
        <v>9</v>
      </c>
      <c r="M596" s="292">
        <v>15</v>
      </c>
      <c r="N596" s="292">
        <v>9</v>
      </c>
      <c r="O596" s="292">
        <v>9</v>
      </c>
      <c r="P596" s="294"/>
      <c r="Q596" s="294"/>
      <c r="R596" s="294"/>
      <c r="S596" s="294"/>
      <c r="T596" s="294"/>
      <c r="U596" s="294"/>
      <c r="V596" s="431"/>
      <c r="W596" s="294"/>
      <c r="X596" s="294"/>
      <c r="Y596" s="294">
        <f>IF(NFI_Expiration=1,IF($A596&lt;VLOOKUP(H$5,NFI,5,0),1,0)*Table_NFI[[#This Row],[Hygiene Kit]],Table_NFI[Hygiene Kit])</f>
        <v>0</v>
      </c>
      <c r="Z596" s="294">
        <f>IF(NFI_Expiration=1,IF($A596&lt;VLOOKUP(I$5,NFI,5,0),1,0)*Table_NFI[[#This Row],[NFI Core Kit]],Table_NFI[NFI Core Kit])</f>
        <v>0</v>
      </c>
      <c r="AA596" s="294">
        <f>IF(NFI_Expiration=1,IF($A596&lt;VLOOKUP(J$5,NFI,5,0),1,0)*Table_NFI[[#This Row],[Sanitary Kit]],Table_NFI[Sanitary Kit])</f>
        <v>0</v>
      </c>
      <c r="AB596" s="294">
        <f>IF(NFI_Expiration=1,IF($A596&lt;VLOOKUP(K$5,NFI,5,0),1,0)*Table_NFI[[#This Row],[Mosquito net]],Table_NFI[Mosquito net])</f>
        <v>0</v>
      </c>
      <c r="AC596" s="294">
        <f>IF(NFI_Expiration=1,IF($A596&lt;VLOOKUP(L$5,NFI,5,0),1,0)*Table_NFI[[#This Row],[Tarpaulin]],Table_NFI[[#This Row],[Tarpaulin]])</f>
        <v>0</v>
      </c>
      <c r="AD596" s="294">
        <f>IF(NFI_Expiration=1,IF($A596&lt;VLOOKUP(M$5,NFI,5,0),1,0)*Table_NFI[[#This Row],[Blanket]],Table_NFI[[#This Row],[Blanket]])</f>
        <v>0</v>
      </c>
      <c r="AE596" s="294">
        <f>IF(NFI_Expiration=1,IF($A596&lt;VLOOKUP(N$5,NFI,5,0),1,0)*Table_NFI[[#This Row],[Kitchen Set]],Table_NFI[Kitchen Set])</f>
        <v>0</v>
      </c>
      <c r="AF596" s="294">
        <f>IF(NFI_Expiration=1,IF($A596&lt;VLOOKUP(O$5,NFI,5,0),1,0)*Table_NFI[[#This Row],[Clothes Kit]],Table_NFI[Clothes Kit])</f>
        <v>0</v>
      </c>
      <c r="AG596" s="294">
        <f>IF(NFI_Expiration=1,IF($A596&lt;VLOOKUP(P$5,NFI,5,0),1,0)*Table_NFI[[#This Row],[Plastic Bucket]],Table_NFI[Plastic Bucket])</f>
        <v>0</v>
      </c>
      <c r="AH596" s="294">
        <f>IF(NFI_Expiration=1,IF($A596&lt;VLOOKUP(Q$5,NFI,5,0),1,0)*Table_NFI[[#This Row],[Plastic Mat]],Table_NFI[Plastic Mat])*IF(Table_NFI[[#This Row],[Distribution Date]]&gt;"2014-04-01",1,2.5)</f>
        <v>0</v>
      </c>
      <c r="AI596" s="294">
        <f>IF(NFI_Expiration=1,IF($A596&lt;VLOOKUP(R$5,NFI,5,0),1,0)*Table_NFI[[#This Row],[Winter Clothes Adult]],Table_NFI[Winter Clothes Adult])</f>
        <v>0</v>
      </c>
      <c r="AJ596" s="294">
        <f>IF(NFI_Expiration=1,IF($A596&lt;VLOOKUP(S$5,NFI,5,0),1,0)*Table_NFI[[#This Row],[Winter Clothes Children]],Table_NFI[Winter Clothes Children])</f>
        <v>0</v>
      </c>
      <c r="AK596" s="294">
        <f>IF(NFI_Expiration=1,IF($A596&lt;VLOOKUP(T$5,NFI,5,0),1,0)*Table_NFI[[#This Row],[Winter Items Other]],Table_NFI[Winter Items Other])</f>
        <v>0</v>
      </c>
      <c r="AL596" s="294">
        <f>IF(NFI_Expiration=1,IF($A596&lt;VLOOKUP(M$5,NFI,5,0),1,0)*Table_NFI[[#This Row],[Winter Blanket]],Table_NFI[[#This Row],[Winter Blanket]])</f>
        <v>0</v>
      </c>
      <c r="AM596" s="294">
        <f>IF(Table_NFI[[#This Row],[Winter Clothes Adult]]+Table_NFI[[#This Row],[Winter Clothes Children]]+Table_NFI[[#This Row],[Winter Items Other]]+Table_NFI[[#This Row],[Winter Blanket]]&gt;0,1,0)</f>
        <v>0</v>
      </c>
      <c r="AN596" s="331">
        <f>IF(NFI_Expiration=1,IF($A596&lt;VLOOKUP(V$5,NFI,5,0),1,0)*Table_NFI[[#This Row],[Jerry Can]],Table_NFI[Jerry Can])</f>
        <v>0</v>
      </c>
      <c r="AO596" s="331">
        <f>IF(NFI_Expiration=1,IF($A596&lt;VLOOKUP(V$5,NFI,5,0),1,0)*Table_NFI[[#This Row],[Shelter Tool kit]],Table_NFI[Shelter Tool kit])</f>
        <v>0</v>
      </c>
      <c r="AP596" s="331">
        <f>IF(NFI_Expiration=1,IF($A596&lt;VLOOKUP(V$5,NFI,5,0),1,0)*Table_NFI[[#This Row],[Tent]],Table_NFI[Tent])</f>
        <v>0</v>
      </c>
      <c r="AQ596" s="467" t="str">
        <f>IFERROR(VLOOKUP(Table_NFI[[#This Row],[Camp Name]],CL,2,0),"")</f>
        <v>MMR001CMP193</v>
      </c>
      <c r="AR596" s="835">
        <f ca="1">IF(Table_NFI[[#This Row],[Pcode]]="","",IF(OFFSET(CampList[Opening Date],MATCH(Table_NFI[[#This Row],[Pcode]],CampList[CP_Pcode],0)-1,0,1,1)&gt;=NFI_Monitor_Date,1,0))</f>
        <v>0</v>
      </c>
      <c r="AS596" s="467" t="str">
        <f>IFERROR(VLOOKUP(Table_NFI[[#This Row],[Camp Name]],CL,3,0),"")</f>
        <v>Open</v>
      </c>
      <c r="AT596" s="294" t="str">
        <f ca="1">IF(Table_NFI[[#This Row],[Pcode]]="","",OFFSET(CampList[Priority],MATCH(Table_NFI[[#This Row],[Pcode]],CampList[CP_Pcode],0)-1,0,1,1))</f>
        <v>P4</v>
      </c>
      <c r="AU596" s="293">
        <f>IFERROR(Table_NFI[[#This Row],[Kitchen Set]]/VLOOKUP(Table_NFI[[#This Row],[Camp Name]],CL,4,0),"")</f>
        <v>2.1804966686856452E-4</v>
      </c>
      <c r="AV596" s="461" t="s">
        <v>1092</v>
      </c>
      <c r="AW596" s="463"/>
    </row>
    <row r="597" spans="1:49" s="464" customFormat="1" ht="14.45" customHeight="1" x14ac:dyDescent="0.25">
      <c r="A597" s="297">
        <f t="shared" si="9"/>
        <v>37.93333333333333</v>
      </c>
      <c r="B597" s="460">
        <v>41598</v>
      </c>
      <c r="C597" s="461" t="s">
        <v>905</v>
      </c>
      <c r="D597" s="461" t="s">
        <v>905</v>
      </c>
      <c r="E597" s="461" t="s">
        <v>380</v>
      </c>
      <c r="F597" s="461" t="s">
        <v>5</v>
      </c>
      <c r="G597" s="461" t="s">
        <v>22</v>
      </c>
      <c r="H597" s="291"/>
      <c r="I597" s="291"/>
      <c r="J597" s="291"/>
      <c r="K597" s="291"/>
      <c r="L597" s="292"/>
      <c r="M597" s="292"/>
      <c r="N597" s="292"/>
      <c r="O597" s="292"/>
      <c r="P597" s="294"/>
      <c r="Q597" s="294"/>
      <c r="R597" s="294"/>
      <c r="S597" s="294">
        <v>19</v>
      </c>
      <c r="T597" s="294">
        <v>38</v>
      </c>
      <c r="U597" s="294">
        <v>19</v>
      </c>
      <c r="V597" s="431"/>
      <c r="W597" s="294"/>
      <c r="X597" s="294"/>
      <c r="Y597" s="294">
        <f>IF(NFI_Expiration=1,IF($A597&lt;VLOOKUP(H$5,NFI,5,0),1,0)*Table_NFI[[#This Row],[Hygiene Kit]],Table_NFI[Hygiene Kit])</f>
        <v>0</v>
      </c>
      <c r="Z597" s="294">
        <f>IF(NFI_Expiration=1,IF($A597&lt;VLOOKUP(I$5,NFI,5,0),1,0)*Table_NFI[[#This Row],[NFI Core Kit]],Table_NFI[NFI Core Kit])</f>
        <v>0</v>
      </c>
      <c r="AA597" s="294">
        <f>IF(NFI_Expiration=1,IF($A597&lt;VLOOKUP(J$5,NFI,5,0),1,0)*Table_NFI[[#This Row],[Sanitary Kit]],Table_NFI[Sanitary Kit])</f>
        <v>0</v>
      </c>
      <c r="AB597" s="294">
        <f>IF(NFI_Expiration=1,IF($A597&lt;VLOOKUP(K$5,NFI,5,0),1,0)*Table_NFI[[#This Row],[Mosquito net]],Table_NFI[Mosquito net])</f>
        <v>0</v>
      </c>
      <c r="AC597" s="294">
        <f>IF(NFI_Expiration=1,IF($A597&lt;VLOOKUP(L$5,NFI,5,0),1,0)*Table_NFI[[#This Row],[Tarpaulin]],Table_NFI[[#This Row],[Tarpaulin]])</f>
        <v>0</v>
      </c>
      <c r="AD597" s="294">
        <f>IF(NFI_Expiration=1,IF($A597&lt;VLOOKUP(M$5,NFI,5,0),1,0)*Table_NFI[[#This Row],[Blanket]],Table_NFI[[#This Row],[Blanket]])</f>
        <v>0</v>
      </c>
      <c r="AE597" s="294">
        <f>IF(NFI_Expiration=1,IF($A597&lt;VLOOKUP(N$5,NFI,5,0),1,0)*Table_NFI[[#This Row],[Kitchen Set]],Table_NFI[Kitchen Set])</f>
        <v>0</v>
      </c>
      <c r="AF597" s="294">
        <f>IF(NFI_Expiration=1,IF($A597&lt;VLOOKUP(O$5,NFI,5,0),1,0)*Table_NFI[[#This Row],[Clothes Kit]],Table_NFI[Clothes Kit])</f>
        <v>0</v>
      </c>
      <c r="AG597" s="294">
        <f>IF(NFI_Expiration=1,IF($A597&lt;VLOOKUP(P$5,NFI,5,0),1,0)*Table_NFI[[#This Row],[Plastic Bucket]],Table_NFI[Plastic Bucket])</f>
        <v>0</v>
      </c>
      <c r="AH597" s="294">
        <f>IF(NFI_Expiration=1,IF($A597&lt;VLOOKUP(Q$5,NFI,5,0),1,0)*Table_NFI[[#This Row],[Plastic Mat]],Table_NFI[Plastic Mat])*IF(Table_NFI[[#This Row],[Distribution Date]]&gt;"2014-04-01",1,2.5)</f>
        <v>0</v>
      </c>
      <c r="AI597" s="294">
        <f>IF(NFI_Expiration=1,IF($A597&lt;VLOOKUP(R$5,NFI,5,0),1,0)*Table_NFI[[#This Row],[Winter Clothes Adult]],Table_NFI[Winter Clothes Adult])</f>
        <v>0</v>
      </c>
      <c r="AJ597" s="294">
        <f>IF(NFI_Expiration=1,IF($A597&lt;VLOOKUP(S$5,NFI,5,0),1,0)*Table_NFI[[#This Row],[Winter Clothes Children]],Table_NFI[Winter Clothes Children])</f>
        <v>0</v>
      </c>
      <c r="AK597" s="294">
        <f>IF(NFI_Expiration=1,IF($A597&lt;VLOOKUP(T$5,NFI,5,0),1,0)*Table_NFI[[#This Row],[Winter Items Other]],Table_NFI[Winter Items Other])</f>
        <v>0</v>
      </c>
      <c r="AL597" s="294">
        <f>IF(NFI_Expiration=1,IF($A597&lt;VLOOKUP(M$5,NFI,5,0),1,0)*Table_NFI[[#This Row],[Winter Blanket]],Table_NFI[[#This Row],[Winter Blanket]])</f>
        <v>0</v>
      </c>
      <c r="AM597" s="294">
        <f>IF(Table_NFI[[#This Row],[Winter Clothes Adult]]+Table_NFI[[#This Row],[Winter Clothes Children]]+Table_NFI[[#This Row],[Winter Items Other]]+Table_NFI[[#This Row],[Winter Blanket]]&gt;0,1,0)</f>
        <v>1</v>
      </c>
      <c r="AN597" s="331">
        <f>IF(NFI_Expiration=1,IF($A597&lt;VLOOKUP(V$5,NFI,5,0),1,0)*Table_NFI[[#This Row],[Jerry Can]],Table_NFI[Jerry Can])</f>
        <v>0</v>
      </c>
      <c r="AO597" s="331">
        <f>IF(NFI_Expiration=1,IF($A597&lt;VLOOKUP(V$5,NFI,5,0),1,0)*Table_NFI[[#This Row],[Shelter Tool kit]],Table_NFI[Shelter Tool kit])</f>
        <v>0</v>
      </c>
      <c r="AP597" s="331">
        <f>IF(NFI_Expiration=1,IF($A597&lt;VLOOKUP(V$5,NFI,5,0),1,0)*Table_NFI[[#This Row],[Tent]],Table_NFI[Tent])</f>
        <v>0</v>
      </c>
      <c r="AQ597" s="467" t="str">
        <f>IFERROR(VLOOKUP(Table_NFI[[#This Row],[Camp Name]],CL,2,0),"")</f>
        <v>MMR001CMP047</v>
      </c>
      <c r="AR597" s="835">
        <f ca="1">IF(Table_NFI[[#This Row],[Pcode]]="","",IF(OFFSET(CampList[Opening Date],MATCH(Table_NFI[[#This Row],[Pcode]],CampList[CP_Pcode],0)-1,0,1,1)&gt;=NFI_Monitor_Date,1,0))</f>
        <v>0</v>
      </c>
      <c r="AS597" s="467" t="str">
        <f>IFERROR(VLOOKUP(Table_NFI[[#This Row],[Camp Name]],CL,3,0),"")</f>
        <v>Open</v>
      </c>
      <c r="AT597" s="294" t="str">
        <f ca="1">IF(Table_NFI[[#This Row],[Pcode]]="","",OFFSET(CampList[Priority],MATCH(Table_NFI[[#This Row],[Pcode]],CampList[CP_Pcode],0)-1,0,1,1))</f>
        <v>P4</v>
      </c>
      <c r="AU597" s="293">
        <f>IFERROR(Table_NFI[[#This Row],[Kitchen Set]]/VLOOKUP(Table_NFI[[#This Row],[Camp Name]],CL,4,0),"")</f>
        <v>0</v>
      </c>
      <c r="AV597" s="461"/>
      <c r="AW597" s="463"/>
    </row>
    <row r="598" spans="1:49" s="464" customFormat="1" ht="14.45" customHeight="1" x14ac:dyDescent="0.25">
      <c r="A598" s="297">
        <f t="shared" si="9"/>
        <v>37.966666666666669</v>
      </c>
      <c r="B598" s="460">
        <v>41597</v>
      </c>
      <c r="C598" s="462" t="s">
        <v>452</v>
      </c>
      <c r="D598" s="462" t="s">
        <v>452</v>
      </c>
      <c r="E598" s="461" t="s">
        <v>380</v>
      </c>
      <c r="F598" s="461" t="s">
        <v>5</v>
      </c>
      <c r="G598" s="290" t="s">
        <v>12</v>
      </c>
      <c r="H598" s="291"/>
      <c r="I598" s="291"/>
      <c r="J598" s="291"/>
      <c r="K598" s="291">
        <v>57</v>
      </c>
      <c r="L598" s="292">
        <v>33</v>
      </c>
      <c r="M598" s="292">
        <v>57</v>
      </c>
      <c r="N598" s="292">
        <v>33</v>
      </c>
      <c r="O598" s="292">
        <v>33</v>
      </c>
      <c r="P598" s="294"/>
      <c r="Q598" s="294"/>
      <c r="R598" s="294"/>
      <c r="S598" s="294"/>
      <c r="T598" s="294"/>
      <c r="U598" s="294"/>
      <c r="V598" s="431"/>
      <c r="W598" s="294"/>
      <c r="X598" s="294"/>
      <c r="Y598" s="294">
        <f>IF(NFI_Expiration=1,IF($A598&lt;VLOOKUP(H$5,NFI,5,0),1,0)*Table_NFI[[#This Row],[Hygiene Kit]],Table_NFI[Hygiene Kit])</f>
        <v>0</v>
      </c>
      <c r="Z598" s="294">
        <f>IF(NFI_Expiration=1,IF($A598&lt;VLOOKUP(I$5,NFI,5,0),1,0)*Table_NFI[[#This Row],[NFI Core Kit]],Table_NFI[NFI Core Kit])</f>
        <v>0</v>
      </c>
      <c r="AA598" s="294">
        <f>IF(NFI_Expiration=1,IF($A598&lt;VLOOKUP(J$5,NFI,5,0),1,0)*Table_NFI[[#This Row],[Sanitary Kit]],Table_NFI[Sanitary Kit])</f>
        <v>0</v>
      </c>
      <c r="AB598" s="294">
        <f>IF(NFI_Expiration=1,IF($A598&lt;VLOOKUP(K$5,NFI,5,0),1,0)*Table_NFI[[#This Row],[Mosquito net]],Table_NFI[Mosquito net])</f>
        <v>0</v>
      </c>
      <c r="AC598" s="294">
        <f>IF(NFI_Expiration=1,IF($A598&lt;VLOOKUP(L$5,NFI,5,0),1,0)*Table_NFI[[#This Row],[Tarpaulin]],Table_NFI[[#This Row],[Tarpaulin]])</f>
        <v>0</v>
      </c>
      <c r="AD598" s="294">
        <f>IF(NFI_Expiration=1,IF($A598&lt;VLOOKUP(M$5,NFI,5,0),1,0)*Table_NFI[[#This Row],[Blanket]],Table_NFI[[#This Row],[Blanket]])</f>
        <v>0</v>
      </c>
      <c r="AE598" s="294">
        <f>IF(NFI_Expiration=1,IF($A598&lt;VLOOKUP(N$5,NFI,5,0),1,0)*Table_NFI[[#This Row],[Kitchen Set]],Table_NFI[Kitchen Set])</f>
        <v>0</v>
      </c>
      <c r="AF598" s="294">
        <f>IF(NFI_Expiration=1,IF($A598&lt;VLOOKUP(O$5,NFI,5,0),1,0)*Table_NFI[[#This Row],[Clothes Kit]],Table_NFI[Clothes Kit])</f>
        <v>0</v>
      </c>
      <c r="AG598" s="294">
        <f>IF(NFI_Expiration=1,IF($A598&lt;VLOOKUP(P$5,NFI,5,0),1,0)*Table_NFI[[#This Row],[Plastic Bucket]],Table_NFI[Plastic Bucket])</f>
        <v>0</v>
      </c>
      <c r="AH598" s="294">
        <f>IF(NFI_Expiration=1,IF($A598&lt;VLOOKUP(Q$5,NFI,5,0),1,0)*Table_NFI[[#This Row],[Plastic Mat]],Table_NFI[Plastic Mat])*IF(Table_NFI[[#This Row],[Distribution Date]]&gt;"2014-04-01",1,2.5)</f>
        <v>0</v>
      </c>
      <c r="AI598" s="294">
        <f>IF(NFI_Expiration=1,IF($A598&lt;VLOOKUP(R$5,NFI,5,0),1,0)*Table_NFI[[#This Row],[Winter Clothes Adult]],Table_NFI[Winter Clothes Adult])</f>
        <v>0</v>
      </c>
      <c r="AJ598" s="294">
        <f>IF(NFI_Expiration=1,IF($A598&lt;VLOOKUP(S$5,NFI,5,0),1,0)*Table_NFI[[#This Row],[Winter Clothes Children]],Table_NFI[Winter Clothes Children])</f>
        <v>0</v>
      </c>
      <c r="AK598" s="294">
        <f>IF(NFI_Expiration=1,IF($A598&lt;VLOOKUP(T$5,NFI,5,0),1,0)*Table_NFI[[#This Row],[Winter Items Other]],Table_NFI[Winter Items Other])</f>
        <v>0</v>
      </c>
      <c r="AL598" s="294">
        <f>IF(NFI_Expiration=1,IF($A598&lt;VLOOKUP(M$5,NFI,5,0),1,0)*Table_NFI[[#This Row],[Winter Blanket]],Table_NFI[[#This Row],[Winter Blanket]])</f>
        <v>0</v>
      </c>
      <c r="AM598" s="294">
        <f>IF(Table_NFI[[#This Row],[Winter Clothes Adult]]+Table_NFI[[#This Row],[Winter Clothes Children]]+Table_NFI[[#This Row],[Winter Items Other]]+Table_NFI[[#This Row],[Winter Blanket]]&gt;0,1,0)</f>
        <v>0</v>
      </c>
      <c r="AN598" s="331">
        <f>IF(NFI_Expiration=1,IF($A598&lt;VLOOKUP(V$5,NFI,5,0),1,0)*Table_NFI[[#This Row],[Jerry Can]],Table_NFI[Jerry Can])</f>
        <v>0</v>
      </c>
      <c r="AO598" s="331">
        <f>IF(NFI_Expiration=1,IF($A598&lt;VLOOKUP(V$5,NFI,5,0),1,0)*Table_NFI[[#This Row],[Shelter Tool kit]],Table_NFI[Shelter Tool kit])</f>
        <v>0</v>
      </c>
      <c r="AP598" s="331">
        <f>IF(NFI_Expiration=1,IF($A598&lt;VLOOKUP(V$5,NFI,5,0),1,0)*Table_NFI[[#This Row],[Tent]],Table_NFI[Tent])</f>
        <v>0</v>
      </c>
      <c r="AQ598" s="467" t="str">
        <f>IFERROR(VLOOKUP(Table_NFI[[#This Row],[Camp Name]],CL,2,0),"")</f>
        <v>MMR001CMP163</v>
      </c>
      <c r="AR598" s="835">
        <f ca="1">IF(Table_NFI[[#This Row],[Pcode]]="","",IF(OFFSET(CampList[Opening Date],MATCH(Table_NFI[[#This Row],[Pcode]],CampList[CP_Pcode],0)-1,0,1,1)&gt;=NFI_Monitor_Date,1,0))</f>
        <v>0</v>
      </c>
      <c r="AS598" s="467" t="str">
        <f>IFERROR(VLOOKUP(Table_NFI[[#This Row],[Camp Name]],CL,3,0),"")</f>
        <v>Open</v>
      </c>
      <c r="AT598" s="294" t="str">
        <f ca="1">IF(Table_NFI[[#This Row],[Pcode]]="","",OFFSET(CampList[Priority],MATCH(Table_NFI[[#This Row],[Pcode]],CampList[CP_Pcode],0)-1,0,1,1))</f>
        <v>P4</v>
      </c>
      <c r="AU598" s="293" t="str">
        <f>IFERROR(Table_NFI[[#This Row],[Kitchen Set]]/VLOOKUP(Table_NFI[[#This Row],[Camp Name]],CL,4,0),"")</f>
        <v/>
      </c>
      <c r="AV598" s="461" t="s">
        <v>1092</v>
      </c>
      <c r="AW598" s="463"/>
    </row>
    <row r="599" spans="1:49" s="464" customFormat="1" ht="14.45" customHeight="1" x14ac:dyDescent="0.25">
      <c r="A599" s="297">
        <f t="shared" si="9"/>
        <v>37.966666666666669</v>
      </c>
      <c r="B599" s="460">
        <v>41597</v>
      </c>
      <c r="C599" s="461" t="s">
        <v>905</v>
      </c>
      <c r="D599" s="461" t="s">
        <v>460</v>
      </c>
      <c r="E599" s="461" t="s">
        <v>380</v>
      </c>
      <c r="F599" s="461" t="s">
        <v>310</v>
      </c>
      <c r="G599" s="461" t="s">
        <v>322</v>
      </c>
      <c r="H599" s="291"/>
      <c r="I599" s="291"/>
      <c r="J599" s="291"/>
      <c r="K599" s="291"/>
      <c r="L599" s="292"/>
      <c r="M599" s="292"/>
      <c r="N599" s="292"/>
      <c r="O599" s="292"/>
      <c r="P599" s="294"/>
      <c r="Q599" s="294"/>
      <c r="R599" s="294">
        <v>613</v>
      </c>
      <c r="S599" s="294">
        <v>1226</v>
      </c>
      <c r="T599" s="294">
        <v>3678</v>
      </c>
      <c r="U599" s="294">
        <v>1839</v>
      </c>
      <c r="V599" s="431"/>
      <c r="W599" s="294"/>
      <c r="X599" s="294"/>
      <c r="Y599" s="294">
        <f>IF(NFI_Expiration=1,IF($A599&lt;VLOOKUP(H$5,NFI,5,0),1,0)*Table_NFI[[#This Row],[Hygiene Kit]],Table_NFI[Hygiene Kit])</f>
        <v>0</v>
      </c>
      <c r="Z599" s="294">
        <f>IF(NFI_Expiration=1,IF($A599&lt;VLOOKUP(I$5,NFI,5,0),1,0)*Table_NFI[[#This Row],[NFI Core Kit]],Table_NFI[NFI Core Kit])</f>
        <v>0</v>
      </c>
      <c r="AA599" s="294">
        <f>IF(NFI_Expiration=1,IF($A599&lt;VLOOKUP(J$5,NFI,5,0),1,0)*Table_NFI[[#This Row],[Sanitary Kit]],Table_NFI[Sanitary Kit])</f>
        <v>0</v>
      </c>
      <c r="AB599" s="294">
        <f>IF(NFI_Expiration=1,IF($A599&lt;VLOOKUP(K$5,NFI,5,0),1,0)*Table_NFI[[#This Row],[Mosquito net]],Table_NFI[Mosquito net])</f>
        <v>0</v>
      </c>
      <c r="AC599" s="294">
        <f>IF(NFI_Expiration=1,IF($A599&lt;VLOOKUP(L$5,NFI,5,0),1,0)*Table_NFI[[#This Row],[Tarpaulin]],Table_NFI[[#This Row],[Tarpaulin]])</f>
        <v>0</v>
      </c>
      <c r="AD599" s="294">
        <f>IF(NFI_Expiration=1,IF($A599&lt;VLOOKUP(M$5,NFI,5,0),1,0)*Table_NFI[[#This Row],[Blanket]],Table_NFI[[#This Row],[Blanket]])</f>
        <v>0</v>
      </c>
      <c r="AE599" s="294">
        <f>IF(NFI_Expiration=1,IF($A599&lt;VLOOKUP(N$5,NFI,5,0),1,0)*Table_NFI[[#This Row],[Kitchen Set]],Table_NFI[Kitchen Set])</f>
        <v>0</v>
      </c>
      <c r="AF599" s="294">
        <f>IF(NFI_Expiration=1,IF($A599&lt;VLOOKUP(O$5,NFI,5,0),1,0)*Table_NFI[[#This Row],[Clothes Kit]],Table_NFI[Clothes Kit])</f>
        <v>0</v>
      </c>
      <c r="AG599" s="294">
        <f>IF(NFI_Expiration=1,IF($A599&lt;VLOOKUP(P$5,NFI,5,0),1,0)*Table_NFI[[#This Row],[Plastic Bucket]],Table_NFI[Plastic Bucket])</f>
        <v>0</v>
      </c>
      <c r="AH599" s="294">
        <f>IF(NFI_Expiration=1,IF($A599&lt;VLOOKUP(Q$5,NFI,5,0),1,0)*Table_NFI[[#This Row],[Plastic Mat]],Table_NFI[Plastic Mat])*IF(Table_NFI[[#This Row],[Distribution Date]]&gt;"2014-04-01",1,2.5)</f>
        <v>0</v>
      </c>
      <c r="AI599" s="294">
        <f>IF(NFI_Expiration=1,IF($A599&lt;VLOOKUP(R$5,NFI,5,0),1,0)*Table_NFI[[#This Row],[Winter Clothes Adult]],Table_NFI[Winter Clothes Adult])</f>
        <v>0</v>
      </c>
      <c r="AJ599" s="294">
        <f>IF(NFI_Expiration=1,IF($A599&lt;VLOOKUP(S$5,NFI,5,0),1,0)*Table_NFI[[#This Row],[Winter Clothes Children]],Table_NFI[Winter Clothes Children])</f>
        <v>0</v>
      </c>
      <c r="AK599" s="294">
        <f>IF(NFI_Expiration=1,IF($A599&lt;VLOOKUP(T$5,NFI,5,0),1,0)*Table_NFI[[#This Row],[Winter Items Other]],Table_NFI[Winter Items Other])</f>
        <v>0</v>
      </c>
      <c r="AL599" s="294">
        <f>IF(NFI_Expiration=1,IF($A599&lt;VLOOKUP(M$5,NFI,5,0),1,0)*Table_NFI[[#This Row],[Winter Blanket]],Table_NFI[[#This Row],[Winter Blanket]])</f>
        <v>0</v>
      </c>
      <c r="AM599" s="294">
        <f>IF(Table_NFI[[#This Row],[Winter Clothes Adult]]+Table_NFI[[#This Row],[Winter Clothes Children]]+Table_NFI[[#This Row],[Winter Items Other]]+Table_NFI[[#This Row],[Winter Blanket]]&gt;0,1,0)</f>
        <v>1</v>
      </c>
      <c r="AN599" s="331">
        <f>IF(NFI_Expiration=1,IF($A599&lt;VLOOKUP(V$5,NFI,5,0),1,0)*Table_NFI[[#This Row],[Jerry Can]],Table_NFI[Jerry Can])</f>
        <v>0</v>
      </c>
      <c r="AO599" s="331">
        <f>IF(NFI_Expiration=1,IF($A599&lt;VLOOKUP(V$5,NFI,5,0),1,0)*Table_NFI[[#This Row],[Shelter Tool kit]],Table_NFI[Shelter Tool kit])</f>
        <v>0</v>
      </c>
      <c r="AP599" s="331">
        <f>IF(NFI_Expiration=1,IF($A599&lt;VLOOKUP(V$5,NFI,5,0),1,0)*Table_NFI[[#This Row],[Tent]],Table_NFI[Tent])</f>
        <v>0</v>
      </c>
      <c r="AQ599" s="467" t="str">
        <f>IFERROR(VLOOKUP(Table_NFI[[#This Row],[Camp Name]],CL,2,0),"")</f>
        <v>MMR001CMP119</v>
      </c>
      <c r="AR599" s="835">
        <f ca="1">IF(Table_NFI[[#This Row],[Pcode]]="","",IF(OFFSET(CampList[Opening Date],MATCH(Table_NFI[[#This Row],[Pcode]],CampList[CP_Pcode],0)-1,0,1,1)&gt;=NFI_Monitor_Date,1,0))</f>
        <v>0</v>
      </c>
      <c r="AS599" s="467" t="str">
        <f>IFERROR(VLOOKUP(Table_NFI[[#This Row],[Camp Name]],CL,3,0),"")</f>
        <v>Open</v>
      </c>
      <c r="AT599" s="294" t="str">
        <f ca="1">IF(Table_NFI[[#This Row],[Pcode]]="","",OFFSET(CampList[Priority],MATCH(Table_NFI[[#This Row],[Pcode]],CampList[CP_Pcode],0)-1,0,1,1))</f>
        <v>P2</v>
      </c>
      <c r="AU599" s="293">
        <f>IFERROR(Table_NFI[[#This Row],[Kitchen Set]]/VLOOKUP(Table_NFI[[#This Row],[Camp Name]],CL,4,0),"")</f>
        <v>0</v>
      </c>
      <c r="AV599" s="461"/>
      <c r="AW599" s="463"/>
    </row>
    <row r="600" spans="1:49" s="464" customFormat="1" x14ac:dyDescent="0.25">
      <c r="A600" s="297">
        <f t="shared" si="9"/>
        <v>37.966666666666669</v>
      </c>
      <c r="B600" s="460">
        <v>41597</v>
      </c>
      <c r="C600" s="462" t="s">
        <v>452</v>
      </c>
      <c r="D600" s="462" t="s">
        <v>452</v>
      </c>
      <c r="E600" s="461" t="s">
        <v>380</v>
      </c>
      <c r="F600" s="461" t="s">
        <v>5</v>
      </c>
      <c r="G600" s="290" t="s">
        <v>869</v>
      </c>
      <c r="H600" s="291"/>
      <c r="I600" s="291"/>
      <c r="J600" s="291"/>
      <c r="K600" s="291">
        <v>13</v>
      </c>
      <c r="L600" s="292">
        <v>9</v>
      </c>
      <c r="M600" s="292">
        <v>13</v>
      </c>
      <c r="N600" s="292">
        <v>9</v>
      </c>
      <c r="O600" s="292">
        <v>9</v>
      </c>
      <c r="P600" s="294"/>
      <c r="Q600" s="294"/>
      <c r="R600" s="294"/>
      <c r="S600" s="294"/>
      <c r="T600" s="294"/>
      <c r="U600" s="294"/>
      <c r="V600" s="431"/>
      <c r="W600" s="331"/>
      <c r="X600" s="331"/>
      <c r="Y600" s="294">
        <f>IF(NFI_Expiration=1,IF($A600&lt;VLOOKUP(H$5,NFI,5,0),1,0)*Table_NFI[[#This Row],[Hygiene Kit]],Table_NFI[Hygiene Kit])</f>
        <v>0</v>
      </c>
      <c r="Z600" s="294">
        <f>IF(NFI_Expiration=1,IF($A600&lt;VLOOKUP(I$5,NFI,5,0),1,0)*Table_NFI[[#This Row],[NFI Core Kit]],Table_NFI[NFI Core Kit])</f>
        <v>0</v>
      </c>
      <c r="AA600" s="294">
        <f>IF(NFI_Expiration=1,IF($A600&lt;VLOOKUP(J$5,NFI,5,0),1,0)*Table_NFI[[#This Row],[Sanitary Kit]],Table_NFI[Sanitary Kit])</f>
        <v>0</v>
      </c>
      <c r="AB600" s="294">
        <f>IF(NFI_Expiration=1,IF($A600&lt;VLOOKUP(K$5,NFI,5,0),1,0)*Table_NFI[[#This Row],[Mosquito net]],Table_NFI[Mosquito net])</f>
        <v>0</v>
      </c>
      <c r="AC600" s="294">
        <f>IF(NFI_Expiration=1,IF($A600&lt;VLOOKUP(L$5,NFI,5,0),1,0)*Table_NFI[[#This Row],[Tarpaulin]],Table_NFI[[#This Row],[Tarpaulin]])</f>
        <v>0</v>
      </c>
      <c r="AD600" s="294">
        <f>IF(NFI_Expiration=1,IF($A600&lt;VLOOKUP(M$5,NFI,5,0),1,0)*Table_NFI[[#This Row],[Blanket]],Table_NFI[[#This Row],[Blanket]])</f>
        <v>0</v>
      </c>
      <c r="AE600" s="294">
        <f>IF(NFI_Expiration=1,IF($A600&lt;VLOOKUP(N$5,NFI,5,0),1,0)*Table_NFI[[#This Row],[Kitchen Set]],Table_NFI[Kitchen Set])</f>
        <v>0</v>
      </c>
      <c r="AF600" s="294">
        <f>IF(NFI_Expiration=1,IF($A600&lt;VLOOKUP(O$5,NFI,5,0),1,0)*Table_NFI[[#This Row],[Clothes Kit]],Table_NFI[Clothes Kit])</f>
        <v>0</v>
      </c>
      <c r="AG600" s="294">
        <f>IF(NFI_Expiration=1,IF($A600&lt;VLOOKUP(P$5,NFI,5,0),1,0)*Table_NFI[[#This Row],[Plastic Bucket]],Table_NFI[Plastic Bucket])</f>
        <v>0</v>
      </c>
      <c r="AH600" s="294">
        <f>IF(NFI_Expiration=1,IF($A600&lt;VLOOKUP(Q$5,NFI,5,0),1,0)*Table_NFI[[#This Row],[Plastic Mat]],Table_NFI[Plastic Mat])*IF(Table_NFI[[#This Row],[Distribution Date]]&gt;"2014-04-01",1,2.5)</f>
        <v>0</v>
      </c>
      <c r="AI600" s="294">
        <f>IF(NFI_Expiration=1,IF($A600&lt;VLOOKUP(R$5,NFI,5,0),1,0)*Table_NFI[[#This Row],[Winter Clothes Adult]],Table_NFI[Winter Clothes Adult])</f>
        <v>0</v>
      </c>
      <c r="AJ600" s="294">
        <f>IF(NFI_Expiration=1,IF($A600&lt;VLOOKUP(S$5,NFI,5,0),1,0)*Table_NFI[[#This Row],[Winter Clothes Children]],Table_NFI[Winter Clothes Children])</f>
        <v>0</v>
      </c>
      <c r="AK600" s="294">
        <f>IF(NFI_Expiration=1,IF($A600&lt;VLOOKUP(T$5,NFI,5,0),1,0)*Table_NFI[[#This Row],[Winter Items Other]],Table_NFI[Winter Items Other])</f>
        <v>0</v>
      </c>
      <c r="AL600" s="294">
        <f>IF(NFI_Expiration=1,IF($A600&lt;VLOOKUP(M$5,NFI,5,0),1,0)*Table_NFI[[#This Row],[Winter Blanket]],Table_NFI[[#This Row],[Winter Blanket]])</f>
        <v>0</v>
      </c>
      <c r="AM600" s="294">
        <f>IF(Table_NFI[[#This Row],[Winter Clothes Adult]]+Table_NFI[[#This Row],[Winter Clothes Children]]+Table_NFI[[#This Row],[Winter Items Other]]+Table_NFI[[#This Row],[Winter Blanket]]&gt;0,1,0)</f>
        <v>0</v>
      </c>
      <c r="AN600" s="331">
        <f>IF(NFI_Expiration=1,IF($A600&lt;VLOOKUP(V$5,NFI,5,0),1,0)*Table_NFI[[#This Row],[Jerry Can]],Table_NFI[Jerry Can])</f>
        <v>0</v>
      </c>
      <c r="AO600" s="331">
        <f>IF(NFI_Expiration=1,IF($A600&lt;VLOOKUP(V$5,NFI,5,0),1,0)*Table_NFI[[#This Row],[Shelter Tool kit]],Table_NFI[Shelter Tool kit])</f>
        <v>0</v>
      </c>
      <c r="AP600" s="331">
        <f>IF(NFI_Expiration=1,IF($A600&lt;VLOOKUP(V$5,NFI,5,0),1,0)*Table_NFI[[#This Row],[Tent]],Table_NFI[Tent])</f>
        <v>0</v>
      </c>
      <c r="AQ600" s="467" t="str">
        <f>IFERROR(VLOOKUP(Table_NFI[[#This Row],[Camp Name]],CL,2,0),"")</f>
        <v>MMR001CMP211</v>
      </c>
      <c r="AR600" s="835">
        <f ca="1">IF(Table_NFI[[#This Row],[Pcode]]="","",IF(OFFSET(CampList[Opening Date],MATCH(Table_NFI[[#This Row],[Pcode]],CampList[CP_Pcode],0)-1,0,1,1)&gt;=NFI_Monitor_Date,1,0))</f>
        <v>0</v>
      </c>
      <c r="AS600" s="467" t="str">
        <f>IFERROR(VLOOKUP(Table_NFI[[#This Row],[Camp Name]],CL,3,0),"")</f>
        <v>Closed</v>
      </c>
      <c r="AT600" s="294" t="str">
        <f ca="1">IF(Table_NFI[[#This Row],[Pcode]]="","",OFFSET(CampList[Priority],MATCH(Table_NFI[[#This Row],[Pcode]],CampList[CP_Pcode],0)-1,0,1,1))</f>
        <v/>
      </c>
      <c r="AU600" s="293" t="str">
        <f>IFERROR(Table_NFI[[#This Row],[Kitchen Set]]/VLOOKUP(Table_NFI[[#This Row],[Camp Name]],CL,4,0),"")</f>
        <v/>
      </c>
      <c r="AV600" s="461" t="s">
        <v>1092</v>
      </c>
      <c r="AW600" s="463"/>
    </row>
    <row r="601" spans="1:49" s="464" customFormat="1" ht="14.45" customHeight="1" x14ac:dyDescent="0.25">
      <c r="A601" s="297">
        <f t="shared" si="9"/>
        <v>37.966666666666669</v>
      </c>
      <c r="B601" s="460">
        <v>41597</v>
      </c>
      <c r="C601" s="462" t="s">
        <v>452</v>
      </c>
      <c r="D601" s="462" t="s">
        <v>452</v>
      </c>
      <c r="E601" s="461" t="s">
        <v>380</v>
      </c>
      <c r="F601" s="461" t="s">
        <v>5</v>
      </c>
      <c r="G601" s="290" t="s">
        <v>22</v>
      </c>
      <c r="H601" s="291"/>
      <c r="I601" s="291"/>
      <c r="J601" s="291">
        <v>40</v>
      </c>
      <c r="K601" s="291">
        <v>38</v>
      </c>
      <c r="L601" s="292">
        <v>20</v>
      </c>
      <c r="M601" s="292">
        <v>38</v>
      </c>
      <c r="N601" s="292">
        <v>20</v>
      </c>
      <c r="O601" s="292">
        <v>20</v>
      </c>
      <c r="P601" s="294"/>
      <c r="Q601" s="294"/>
      <c r="R601" s="294"/>
      <c r="S601" s="294"/>
      <c r="T601" s="294"/>
      <c r="U601" s="294"/>
      <c r="V601" s="431"/>
      <c r="W601" s="294"/>
      <c r="X601" s="294"/>
      <c r="Y601" s="294">
        <f>IF(NFI_Expiration=1,IF($A601&lt;VLOOKUP(H$5,NFI,5,0),1,0)*Table_NFI[[#This Row],[Hygiene Kit]],Table_NFI[Hygiene Kit])</f>
        <v>0</v>
      </c>
      <c r="Z601" s="294">
        <f>IF(NFI_Expiration=1,IF($A601&lt;VLOOKUP(I$5,NFI,5,0),1,0)*Table_NFI[[#This Row],[NFI Core Kit]],Table_NFI[NFI Core Kit])</f>
        <v>0</v>
      </c>
      <c r="AA601" s="294">
        <f>IF(NFI_Expiration=1,IF($A601&lt;VLOOKUP(J$5,NFI,5,0),1,0)*Table_NFI[[#This Row],[Sanitary Kit]],Table_NFI[Sanitary Kit])</f>
        <v>0</v>
      </c>
      <c r="AB601" s="294">
        <f>IF(NFI_Expiration=1,IF($A601&lt;VLOOKUP(K$5,NFI,5,0),1,0)*Table_NFI[[#This Row],[Mosquito net]],Table_NFI[Mosquito net])</f>
        <v>0</v>
      </c>
      <c r="AC601" s="294">
        <f>IF(NFI_Expiration=1,IF($A601&lt;VLOOKUP(L$5,NFI,5,0),1,0)*Table_NFI[[#This Row],[Tarpaulin]],Table_NFI[[#This Row],[Tarpaulin]])</f>
        <v>0</v>
      </c>
      <c r="AD601" s="294">
        <f>IF(NFI_Expiration=1,IF($A601&lt;VLOOKUP(M$5,NFI,5,0),1,0)*Table_NFI[[#This Row],[Blanket]],Table_NFI[[#This Row],[Blanket]])</f>
        <v>0</v>
      </c>
      <c r="AE601" s="294">
        <f>IF(NFI_Expiration=1,IF($A601&lt;VLOOKUP(N$5,NFI,5,0),1,0)*Table_NFI[[#This Row],[Kitchen Set]],Table_NFI[Kitchen Set])</f>
        <v>0</v>
      </c>
      <c r="AF601" s="294">
        <f>IF(NFI_Expiration=1,IF($A601&lt;VLOOKUP(O$5,NFI,5,0),1,0)*Table_NFI[[#This Row],[Clothes Kit]],Table_NFI[Clothes Kit])</f>
        <v>0</v>
      </c>
      <c r="AG601" s="294">
        <f>IF(NFI_Expiration=1,IF($A601&lt;VLOOKUP(P$5,NFI,5,0),1,0)*Table_NFI[[#This Row],[Plastic Bucket]],Table_NFI[Plastic Bucket])</f>
        <v>0</v>
      </c>
      <c r="AH601" s="294">
        <f>IF(NFI_Expiration=1,IF($A601&lt;VLOOKUP(Q$5,NFI,5,0),1,0)*Table_NFI[[#This Row],[Plastic Mat]],Table_NFI[Plastic Mat])*IF(Table_NFI[[#This Row],[Distribution Date]]&gt;"2014-04-01",1,2.5)</f>
        <v>0</v>
      </c>
      <c r="AI601" s="294">
        <f>IF(NFI_Expiration=1,IF($A601&lt;VLOOKUP(R$5,NFI,5,0),1,0)*Table_NFI[[#This Row],[Winter Clothes Adult]],Table_NFI[Winter Clothes Adult])</f>
        <v>0</v>
      </c>
      <c r="AJ601" s="294">
        <f>IF(NFI_Expiration=1,IF($A601&lt;VLOOKUP(S$5,NFI,5,0),1,0)*Table_NFI[[#This Row],[Winter Clothes Children]],Table_NFI[Winter Clothes Children])</f>
        <v>0</v>
      </c>
      <c r="AK601" s="294">
        <f>IF(NFI_Expiration=1,IF($A601&lt;VLOOKUP(T$5,NFI,5,0),1,0)*Table_NFI[[#This Row],[Winter Items Other]],Table_NFI[Winter Items Other])</f>
        <v>0</v>
      </c>
      <c r="AL601" s="294">
        <f>IF(NFI_Expiration=1,IF($A601&lt;VLOOKUP(M$5,NFI,5,0),1,0)*Table_NFI[[#This Row],[Winter Blanket]],Table_NFI[[#This Row],[Winter Blanket]])</f>
        <v>0</v>
      </c>
      <c r="AM601" s="294">
        <f>IF(Table_NFI[[#This Row],[Winter Clothes Adult]]+Table_NFI[[#This Row],[Winter Clothes Children]]+Table_NFI[[#This Row],[Winter Items Other]]+Table_NFI[[#This Row],[Winter Blanket]]&gt;0,1,0)</f>
        <v>0</v>
      </c>
      <c r="AN601" s="331">
        <f>IF(NFI_Expiration=1,IF($A601&lt;VLOOKUP(V$5,NFI,5,0),1,0)*Table_NFI[[#This Row],[Jerry Can]],Table_NFI[Jerry Can])</f>
        <v>0</v>
      </c>
      <c r="AO601" s="331">
        <f>IF(NFI_Expiration=1,IF($A601&lt;VLOOKUP(V$5,NFI,5,0),1,0)*Table_NFI[[#This Row],[Shelter Tool kit]],Table_NFI[Shelter Tool kit])</f>
        <v>0</v>
      </c>
      <c r="AP601" s="331">
        <f>IF(NFI_Expiration=1,IF($A601&lt;VLOOKUP(V$5,NFI,5,0),1,0)*Table_NFI[[#This Row],[Tent]],Table_NFI[Tent])</f>
        <v>0</v>
      </c>
      <c r="AQ601" s="467" t="str">
        <f>IFERROR(VLOOKUP(Table_NFI[[#This Row],[Camp Name]],CL,2,0),"")</f>
        <v>MMR001CMP047</v>
      </c>
      <c r="AR601" s="835">
        <f ca="1">IF(Table_NFI[[#This Row],[Pcode]]="","",IF(OFFSET(CampList[Opening Date],MATCH(Table_NFI[[#This Row],[Pcode]],CampList[CP_Pcode],0)-1,0,1,1)&gt;=NFI_Monitor_Date,1,0))</f>
        <v>0</v>
      </c>
      <c r="AS601" s="467" t="str">
        <f>IFERROR(VLOOKUP(Table_NFI[[#This Row],[Camp Name]],CL,3,0),"")</f>
        <v>Open</v>
      </c>
      <c r="AT601" s="294" t="str">
        <f ca="1">IF(Table_NFI[[#This Row],[Pcode]]="","",OFFSET(CampList[Priority],MATCH(Table_NFI[[#This Row],[Pcode]],CampList[CP_Pcode],0)-1,0,1,1))</f>
        <v>P4</v>
      </c>
      <c r="AU601" s="293">
        <f>IFERROR(Table_NFI[[#This Row],[Kitchen Set]]/VLOOKUP(Table_NFI[[#This Row],[Camp Name]],CL,4,0),"")</f>
        <v>4.9109883364027013E-4</v>
      </c>
      <c r="AV601" s="461" t="s">
        <v>1092</v>
      </c>
      <c r="AW601" s="463"/>
    </row>
    <row r="602" spans="1:49" s="464" customFormat="1" ht="14.45" customHeight="1" x14ac:dyDescent="0.25">
      <c r="A602" s="297">
        <f t="shared" si="9"/>
        <v>38</v>
      </c>
      <c r="B602" s="460">
        <v>41596</v>
      </c>
      <c r="C602" s="461" t="s">
        <v>453</v>
      </c>
      <c r="D602" s="461"/>
      <c r="E602" s="461" t="s">
        <v>380</v>
      </c>
      <c r="F602" s="461" t="s">
        <v>185</v>
      </c>
      <c r="G602" s="461" t="s">
        <v>190</v>
      </c>
      <c r="H602" s="291"/>
      <c r="I602" s="291"/>
      <c r="J602" s="291"/>
      <c r="K602" s="291"/>
      <c r="L602" s="292"/>
      <c r="M602" s="292">
        <v>395</v>
      </c>
      <c r="N602" s="292"/>
      <c r="O602" s="292"/>
      <c r="P602" s="294"/>
      <c r="Q602" s="294"/>
      <c r="R602" s="294"/>
      <c r="S602" s="294"/>
      <c r="T602" s="294"/>
      <c r="U602" s="294"/>
      <c r="V602" s="431"/>
      <c r="W602" s="294"/>
      <c r="X602" s="294"/>
      <c r="Y602" s="294">
        <f>IF(NFI_Expiration=1,IF($A602&lt;VLOOKUP(H$5,NFI,5,0),1,0)*Table_NFI[[#This Row],[Hygiene Kit]],Table_NFI[Hygiene Kit])</f>
        <v>0</v>
      </c>
      <c r="Z602" s="294">
        <f>IF(NFI_Expiration=1,IF($A602&lt;VLOOKUP(I$5,NFI,5,0),1,0)*Table_NFI[[#This Row],[NFI Core Kit]],Table_NFI[NFI Core Kit])</f>
        <v>0</v>
      </c>
      <c r="AA602" s="294">
        <f>IF(NFI_Expiration=1,IF($A602&lt;VLOOKUP(J$5,NFI,5,0),1,0)*Table_NFI[[#This Row],[Sanitary Kit]],Table_NFI[Sanitary Kit])</f>
        <v>0</v>
      </c>
      <c r="AB602" s="294">
        <f>IF(NFI_Expiration=1,IF($A602&lt;VLOOKUP(K$5,NFI,5,0),1,0)*Table_NFI[[#This Row],[Mosquito net]],Table_NFI[Mosquito net])</f>
        <v>0</v>
      </c>
      <c r="AC602" s="294">
        <f>IF(NFI_Expiration=1,IF($A602&lt;VLOOKUP(L$5,NFI,5,0),1,0)*Table_NFI[[#This Row],[Tarpaulin]],Table_NFI[[#This Row],[Tarpaulin]])</f>
        <v>0</v>
      </c>
      <c r="AD602" s="294">
        <f>IF(NFI_Expiration=1,IF($A602&lt;VLOOKUP(M$5,NFI,5,0),1,0)*Table_NFI[[#This Row],[Blanket]],Table_NFI[[#This Row],[Blanket]])</f>
        <v>0</v>
      </c>
      <c r="AE602" s="294">
        <f>IF(NFI_Expiration=1,IF($A602&lt;VLOOKUP(N$5,NFI,5,0),1,0)*Table_NFI[[#This Row],[Kitchen Set]],Table_NFI[Kitchen Set])</f>
        <v>0</v>
      </c>
      <c r="AF602" s="294">
        <f>IF(NFI_Expiration=1,IF($A602&lt;VLOOKUP(O$5,NFI,5,0),1,0)*Table_NFI[[#This Row],[Clothes Kit]],Table_NFI[Clothes Kit])</f>
        <v>0</v>
      </c>
      <c r="AG602" s="294">
        <f>IF(NFI_Expiration=1,IF($A602&lt;VLOOKUP(P$5,NFI,5,0),1,0)*Table_NFI[[#This Row],[Plastic Bucket]],Table_NFI[Plastic Bucket])</f>
        <v>0</v>
      </c>
      <c r="AH602" s="294">
        <f>IF(NFI_Expiration=1,IF($A602&lt;VLOOKUP(Q$5,NFI,5,0),1,0)*Table_NFI[[#This Row],[Plastic Mat]],Table_NFI[Plastic Mat])*IF(Table_NFI[[#This Row],[Distribution Date]]&gt;"2014-04-01",1,2.5)</f>
        <v>0</v>
      </c>
      <c r="AI602" s="294">
        <f>IF(NFI_Expiration=1,IF($A602&lt;VLOOKUP(R$5,NFI,5,0),1,0)*Table_NFI[[#This Row],[Winter Clothes Adult]],Table_NFI[Winter Clothes Adult])</f>
        <v>0</v>
      </c>
      <c r="AJ602" s="294">
        <f>IF(NFI_Expiration=1,IF($A602&lt;VLOOKUP(S$5,NFI,5,0),1,0)*Table_NFI[[#This Row],[Winter Clothes Children]],Table_NFI[Winter Clothes Children])</f>
        <v>0</v>
      </c>
      <c r="AK602" s="294">
        <f>IF(NFI_Expiration=1,IF($A602&lt;VLOOKUP(T$5,NFI,5,0),1,0)*Table_NFI[[#This Row],[Winter Items Other]],Table_NFI[Winter Items Other])</f>
        <v>0</v>
      </c>
      <c r="AL602" s="294">
        <f>IF(NFI_Expiration=1,IF($A602&lt;VLOOKUP(M$5,NFI,5,0),1,0)*Table_NFI[[#This Row],[Winter Blanket]],Table_NFI[[#This Row],[Winter Blanket]])</f>
        <v>0</v>
      </c>
      <c r="AM602" s="294">
        <f>IF(Table_NFI[[#This Row],[Winter Clothes Adult]]+Table_NFI[[#This Row],[Winter Clothes Children]]+Table_NFI[[#This Row],[Winter Items Other]]+Table_NFI[[#This Row],[Winter Blanket]]&gt;0,1,0)</f>
        <v>0</v>
      </c>
      <c r="AN602" s="331">
        <f>IF(NFI_Expiration=1,IF($A602&lt;VLOOKUP(V$5,NFI,5,0),1,0)*Table_NFI[[#This Row],[Jerry Can]],Table_NFI[Jerry Can])</f>
        <v>0</v>
      </c>
      <c r="AO602" s="331">
        <f>IF(NFI_Expiration=1,IF($A602&lt;VLOOKUP(V$5,NFI,5,0),1,0)*Table_NFI[[#This Row],[Shelter Tool kit]],Table_NFI[Shelter Tool kit])</f>
        <v>0</v>
      </c>
      <c r="AP602" s="331">
        <f>IF(NFI_Expiration=1,IF($A602&lt;VLOOKUP(V$5,NFI,5,0),1,0)*Table_NFI[[#This Row],[Tent]],Table_NFI[Tent])</f>
        <v>0</v>
      </c>
      <c r="AQ602" s="467" t="str">
        <f>IFERROR(VLOOKUP(Table_NFI[[#This Row],[Camp Name]],CL,2,0),"")</f>
        <v>MMR001CMP070</v>
      </c>
      <c r="AR602" s="835">
        <f ca="1">IF(Table_NFI[[#This Row],[Pcode]]="","",IF(OFFSET(CampList[Opening Date],MATCH(Table_NFI[[#This Row],[Pcode]],CampList[CP_Pcode],0)-1,0,1,1)&gt;=NFI_Monitor_Date,1,0))</f>
        <v>0</v>
      </c>
      <c r="AS602" s="467" t="str">
        <f>IFERROR(VLOOKUP(Table_NFI[[#This Row],[Camp Name]],CL,3,0),"")</f>
        <v>Open</v>
      </c>
      <c r="AT602" s="294" t="str">
        <f ca="1">IF(Table_NFI[[#This Row],[Pcode]]="","",OFFSET(CampList[Priority],MATCH(Table_NFI[[#This Row],[Pcode]],CampList[CP_Pcode],0)-1,0,1,1))</f>
        <v>P3</v>
      </c>
      <c r="AU602" s="293">
        <f>IFERROR(Table_NFI[[#This Row],[Kitchen Set]]/VLOOKUP(Table_NFI[[#This Row],[Camp Name]],CL,4,0),"")</f>
        <v>0</v>
      </c>
      <c r="AV602" s="461" t="s">
        <v>1092</v>
      </c>
      <c r="AW602" s="463"/>
    </row>
    <row r="603" spans="1:49" s="464" customFormat="1" ht="14.45" customHeight="1" x14ac:dyDescent="0.25">
      <c r="A603" s="297">
        <f t="shared" si="9"/>
        <v>38.033333333333331</v>
      </c>
      <c r="B603" s="460">
        <v>41595</v>
      </c>
      <c r="C603" s="461" t="s">
        <v>453</v>
      </c>
      <c r="D603" s="461"/>
      <c r="E603" s="461" t="s">
        <v>380</v>
      </c>
      <c r="F603" s="461" t="s">
        <v>185</v>
      </c>
      <c r="G603" s="461" t="s">
        <v>223</v>
      </c>
      <c r="H603" s="291"/>
      <c r="I603" s="291"/>
      <c r="J603" s="291"/>
      <c r="K603" s="291"/>
      <c r="L603" s="292"/>
      <c r="M603" s="292">
        <v>141</v>
      </c>
      <c r="N603" s="292"/>
      <c r="O603" s="292"/>
      <c r="P603" s="294"/>
      <c r="Q603" s="294"/>
      <c r="R603" s="294"/>
      <c r="S603" s="294"/>
      <c r="T603" s="294"/>
      <c r="U603" s="294"/>
      <c r="V603" s="431"/>
      <c r="W603" s="294"/>
      <c r="X603" s="294"/>
      <c r="Y603" s="294">
        <f>IF(NFI_Expiration=1,IF($A603&lt;VLOOKUP(H$5,NFI,5,0),1,0)*Table_NFI[[#This Row],[Hygiene Kit]],Table_NFI[Hygiene Kit])</f>
        <v>0</v>
      </c>
      <c r="Z603" s="294">
        <f>IF(NFI_Expiration=1,IF($A603&lt;VLOOKUP(I$5,NFI,5,0),1,0)*Table_NFI[[#This Row],[NFI Core Kit]],Table_NFI[NFI Core Kit])</f>
        <v>0</v>
      </c>
      <c r="AA603" s="294">
        <f>IF(NFI_Expiration=1,IF($A603&lt;VLOOKUP(J$5,NFI,5,0),1,0)*Table_NFI[[#This Row],[Sanitary Kit]],Table_NFI[Sanitary Kit])</f>
        <v>0</v>
      </c>
      <c r="AB603" s="294">
        <f>IF(NFI_Expiration=1,IF($A603&lt;VLOOKUP(K$5,NFI,5,0),1,0)*Table_NFI[[#This Row],[Mosquito net]],Table_NFI[Mosquito net])</f>
        <v>0</v>
      </c>
      <c r="AC603" s="294">
        <f>IF(NFI_Expiration=1,IF($A603&lt;VLOOKUP(L$5,NFI,5,0),1,0)*Table_NFI[[#This Row],[Tarpaulin]],Table_NFI[[#This Row],[Tarpaulin]])</f>
        <v>0</v>
      </c>
      <c r="AD603" s="294">
        <f>IF(NFI_Expiration=1,IF($A603&lt;VLOOKUP(M$5,NFI,5,0),1,0)*Table_NFI[[#This Row],[Blanket]],Table_NFI[[#This Row],[Blanket]])</f>
        <v>0</v>
      </c>
      <c r="AE603" s="294">
        <f>IF(NFI_Expiration=1,IF($A603&lt;VLOOKUP(N$5,NFI,5,0),1,0)*Table_NFI[[#This Row],[Kitchen Set]],Table_NFI[Kitchen Set])</f>
        <v>0</v>
      </c>
      <c r="AF603" s="294">
        <f>IF(NFI_Expiration=1,IF($A603&lt;VLOOKUP(O$5,NFI,5,0),1,0)*Table_NFI[[#This Row],[Clothes Kit]],Table_NFI[Clothes Kit])</f>
        <v>0</v>
      </c>
      <c r="AG603" s="294">
        <f>IF(NFI_Expiration=1,IF($A603&lt;VLOOKUP(P$5,NFI,5,0),1,0)*Table_NFI[[#This Row],[Plastic Bucket]],Table_NFI[Plastic Bucket])</f>
        <v>0</v>
      </c>
      <c r="AH603" s="294">
        <f>IF(NFI_Expiration=1,IF($A603&lt;VLOOKUP(Q$5,NFI,5,0),1,0)*Table_NFI[[#This Row],[Plastic Mat]],Table_NFI[Plastic Mat])*IF(Table_NFI[[#This Row],[Distribution Date]]&gt;"2014-04-01",1,2.5)</f>
        <v>0</v>
      </c>
      <c r="AI603" s="294">
        <f>IF(NFI_Expiration=1,IF($A603&lt;VLOOKUP(R$5,NFI,5,0),1,0)*Table_NFI[[#This Row],[Winter Clothes Adult]],Table_NFI[Winter Clothes Adult])</f>
        <v>0</v>
      </c>
      <c r="AJ603" s="294">
        <f>IF(NFI_Expiration=1,IF($A603&lt;VLOOKUP(S$5,NFI,5,0),1,0)*Table_NFI[[#This Row],[Winter Clothes Children]],Table_NFI[Winter Clothes Children])</f>
        <v>0</v>
      </c>
      <c r="AK603" s="294">
        <f>IF(NFI_Expiration=1,IF($A603&lt;VLOOKUP(T$5,NFI,5,0),1,0)*Table_NFI[[#This Row],[Winter Items Other]],Table_NFI[Winter Items Other])</f>
        <v>0</v>
      </c>
      <c r="AL603" s="294">
        <f>IF(NFI_Expiration=1,IF($A603&lt;VLOOKUP(M$5,NFI,5,0),1,0)*Table_NFI[[#This Row],[Winter Blanket]],Table_NFI[[#This Row],[Winter Blanket]])</f>
        <v>0</v>
      </c>
      <c r="AM603" s="294">
        <f>IF(Table_NFI[[#This Row],[Winter Clothes Adult]]+Table_NFI[[#This Row],[Winter Clothes Children]]+Table_NFI[[#This Row],[Winter Items Other]]+Table_NFI[[#This Row],[Winter Blanket]]&gt;0,1,0)</f>
        <v>0</v>
      </c>
      <c r="AN603" s="331">
        <f>IF(NFI_Expiration=1,IF($A603&lt;VLOOKUP(V$5,NFI,5,0),1,0)*Table_NFI[[#This Row],[Jerry Can]],Table_NFI[Jerry Can])</f>
        <v>0</v>
      </c>
      <c r="AO603" s="331">
        <f>IF(NFI_Expiration=1,IF($A603&lt;VLOOKUP(V$5,NFI,5,0),1,0)*Table_NFI[[#This Row],[Shelter Tool kit]],Table_NFI[Shelter Tool kit])</f>
        <v>0</v>
      </c>
      <c r="AP603" s="331">
        <f>IF(NFI_Expiration=1,IF($A603&lt;VLOOKUP(V$5,NFI,5,0),1,0)*Table_NFI[[#This Row],[Tent]],Table_NFI[Tent])</f>
        <v>0</v>
      </c>
      <c r="AQ603" s="467" t="str">
        <f>IFERROR(VLOOKUP(Table_NFI[[#This Row],[Camp Name]],CL,2,0),"")</f>
        <v>MMR001CMP069</v>
      </c>
      <c r="AR603" s="835">
        <f ca="1">IF(Table_NFI[[#This Row],[Pcode]]="","",IF(OFFSET(CampList[Opening Date],MATCH(Table_NFI[[#This Row],[Pcode]],CampList[CP_Pcode],0)-1,0,1,1)&gt;=NFI_Monitor_Date,1,0))</f>
        <v>0</v>
      </c>
      <c r="AS603" s="467" t="str">
        <f>IFERROR(VLOOKUP(Table_NFI[[#This Row],[Camp Name]],CL,3,0),"")</f>
        <v>Open</v>
      </c>
      <c r="AT603" s="294" t="str">
        <f ca="1">IF(Table_NFI[[#This Row],[Pcode]]="","",OFFSET(CampList[Priority],MATCH(Table_NFI[[#This Row],[Pcode]],CampList[CP_Pcode],0)-1,0,1,1))</f>
        <v>P3</v>
      </c>
      <c r="AU603" s="293">
        <f>IFERROR(Table_NFI[[#This Row],[Kitchen Set]]/VLOOKUP(Table_NFI[[#This Row],[Camp Name]],CL,4,0),"")</f>
        <v>0</v>
      </c>
      <c r="AV603" s="461" t="s">
        <v>1092</v>
      </c>
      <c r="AW603" s="463"/>
    </row>
    <row r="604" spans="1:49" s="464" customFormat="1" ht="14.45" customHeight="1" x14ac:dyDescent="0.25">
      <c r="A604" s="297">
        <f t="shared" si="9"/>
        <v>38.033333333333331</v>
      </c>
      <c r="B604" s="460">
        <v>41595</v>
      </c>
      <c r="C604" s="462" t="s">
        <v>452</v>
      </c>
      <c r="D604" s="462" t="s">
        <v>573</v>
      </c>
      <c r="E604" s="461" t="s">
        <v>380</v>
      </c>
      <c r="F604" s="290" t="s">
        <v>151</v>
      </c>
      <c r="G604" s="290" t="s">
        <v>154</v>
      </c>
      <c r="H604" s="291"/>
      <c r="I604" s="291"/>
      <c r="J604" s="291"/>
      <c r="K604" s="291">
        <v>700</v>
      </c>
      <c r="L604" s="292">
        <v>350</v>
      </c>
      <c r="M604" s="292">
        <v>700</v>
      </c>
      <c r="N604" s="292">
        <v>350</v>
      </c>
      <c r="O604" s="292">
        <v>350</v>
      </c>
      <c r="P604" s="294"/>
      <c r="Q604" s="294"/>
      <c r="R604" s="294"/>
      <c r="S604" s="294"/>
      <c r="T604" s="294"/>
      <c r="U604" s="294"/>
      <c r="V604" s="431"/>
      <c r="W604" s="294"/>
      <c r="X604" s="294"/>
      <c r="Y604" s="294">
        <f>IF(NFI_Expiration=1,IF($A604&lt;VLOOKUP(H$5,NFI,5,0),1,0)*Table_NFI[[#This Row],[Hygiene Kit]],Table_NFI[Hygiene Kit])</f>
        <v>0</v>
      </c>
      <c r="Z604" s="294">
        <f>IF(NFI_Expiration=1,IF($A604&lt;VLOOKUP(I$5,NFI,5,0),1,0)*Table_NFI[[#This Row],[NFI Core Kit]],Table_NFI[NFI Core Kit])</f>
        <v>0</v>
      </c>
      <c r="AA604" s="294">
        <f>IF(NFI_Expiration=1,IF($A604&lt;VLOOKUP(J$5,NFI,5,0),1,0)*Table_NFI[[#This Row],[Sanitary Kit]],Table_NFI[Sanitary Kit])</f>
        <v>0</v>
      </c>
      <c r="AB604" s="294">
        <f>IF(NFI_Expiration=1,IF($A604&lt;VLOOKUP(K$5,NFI,5,0),1,0)*Table_NFI[[#This Row],[Mosquito net]],Table_NFI[Mosquito net])</f>
        <v>0</v>
      </c>
      <c r="AC604" s="294">
        <f>IF(NFI_Expiration=1,IF($A604&lt;VLOOKUP(L$5,NFI,5,0),1,0)*Table_NFI[[#This Row],[Tarpaulin]],Table_NFI[[#This Row],[Tarpaulin]])</f>
        <v>0</v>
      </c>
      <c r="AD604" s="294">
        <f>IF(NFI_Expiration=1,IF($A604&lt;VLOOKUP(M$5,NFI,5,0),1,0)*Table_NFI[[#This Row],[Blanket]],Table_NFI[[#This Row],[Blanket]])</f>
        <v>0</v>
      </c>
      <c r="AE604" s="294">
        <f>IF(NFI_Expiration=1,IF($A604&lt;VLOOKUP(N$5,NFI,5,0),1,0)*Table_NFI[[#This Row],[Kitchen Set]],Table_NFI[Kitchen Set])</f>
        <v>0</v>
      </c>
      <c r="AF604" s="294">
        <f>IF(NFI_Expiration=1,IF($A604&lt;VLOOKUP(O$5,NFI,5,0),1,0)*Table_NFI[[#This Row],[Clothes Kit]],Table_NFI[Clothes Kit])</f>
        <v>0</v>
      </c>
      <c r="AG604" s="294">
        <f>IF(NFI_Expiration=1,IF($A604&lt;VLOOKUP(P$5,NFI,5,0),1,0)*Table_NFI[[#This Row],[Plastic Bucket]],Table_NFI[Plastic Bucket])</f>
        <v>0</v>
      </c>
      <c r="AH604" s="294">
        <f>IF(NFI_Expiration=1,IF($A604&lt;VLOOKUP(Q$5,NFI,5,0),1,0)*Table_NFI[[#This Row],[Plastic Mat]],Table_NFI[Plastic Mat])*IF(Table_NFI[[#This Row],[Distribution Date]]&gt;"2014-04-01",1,2.5)</f>
        <v>0</v>
      </c>
      <c r="AI604" s="294">
        <f>IF(NFI_Expiration=1,IF($A604&lt;VLOOKUP(R$5,NFI,5,0),1,0)*Table_NFI[[#This Row],[Winter Clothes Adult]],Table_NFI[Winter Clothes Adult])</f>
        <v>0</v>
      </c>
      <c r="AJ604" s="294">
        <f>IF(NFI_Expiration=1,IF($A604&lt;VLOOKUP(S$5,NFI,5,0),1,0)*Table_NFI[[#This Row],[Winter Clothes Children]],Table_NFI[Winter Clothes Children])</f>
        <v>0</v>
      </c>
      <c r="AK604" s="294">
        <f>IF(NFI_Expiration=1,IF($A604&lt;VLOOKUP(T$5,NFI,5,0),1,0)*Table_NFI[[#This Row],[Winter Items Other]],Table_NFI[Winter Items Other])</f>
        <v>0</v>
      </c>
      <c r="AL604" s="294">
        <f>IF(NFI_Expiration=1,IF($A604&lt;VLOOKUP(M$5,NFI,5,0),1,0)*Table_NFI[[#This Row],[Winter Blanket]],Table_NFI[[#This Row],[Winter Blanket]])</f>
        <v>0</v>
      </c>
      <c r="AM604" s="294">
        <f>IF(Table_NFI[[#This Row],[Winter Clothes Adult]]+Table_NFI[[#This Row],[Winter Clothes Children]]+Table_NFI[[#This Row],[Winter Items Other]]+Table_NFI[[#This Row],[Winter Blanket]]&gt;0,1,0)</f>
        <v>0</v>
      </c>
      <c r="AN604" s="331">
        <f>IF(NFI_Expiration=1,IF($A604&lt;VLOOKUP(V$5,NFI,5,0),1,0)*Table_NFI[[#This Row],[Jerry Can]],Table_NFI[Jerry Can])</f>
        <v>0</v>
      </c>
      <c r="AO604" s="331">
        <f>IF(NFI_Expiration=1,IF($A604&lt;VLOOKUP(V$5,NFI,5,0),1,0)*Table_NFI[[#This Row],[Shelter Tool kit]],Table_NFI[Shelter Tool kit])</f>
        <v>0</v>
      </c>
      <c r="AP604" s="331">
        <f>IF(NFI_Expiration=1,IF($A604&lt;VLOOKUP(V$5,NFI,5,0),1,0)*Table_NFI[[#This Row],[Tent]],Table_NFI[Tent])</f>
        <v>0</v>
      </c>
      <c r="AQ604" s="467" t="str">
        <f>IFERROR(VLOOKUP(Table_NFI[[#This Row],[Camp Name]],CL,2,0),"")</f>
        <v>MMR001CMP132</v>
      </c>
      <c r="AR604" s="835">
        <f ca="1">IF(Table_NFI[[#This Row],[Pcode]]="","",IF(OFFSET(CampList[Opening Date],MATCH(Table_NFI[[#This Row],[Pcode]],CampList[CP_Pcode],0)-1,0,1,1)&gt;=NFI_Monitor_Date,1,0))</f>
        <v>0</v>
      </c>
      <c r="AS604" s="467" t="str">
        <f>IFERROR(VLOOKUP(Table_NFI[[#This Row],[Camp Name]],CL,3,0),"")</f>
        <v>Open</v>
      </c>
      <c r="AT604" s="294" t="str">
        <f ca="1">IF(Table_NFI[[#This Row],[Pcode]]="","",OFFSET(CampList[Priority],MATCH(Table_NFI[[#This Row],[Pcode]],CampList[CP_Pcode],0)-1,0,1,1))</f>
        <v>P4</v>
      </c>
      <c r="AU604" s="293">
        <f>IFERROR(Table_NFI[[#This Row],[Kitchen Set]]/VLOOKUP(Table_NFI[[#This Row],[Camp Name]],CL,4,0),"")</f>
        <v>8.5683509596553072E-3</v>
      </c>
      <c r="AV604" s="461" t="s">
        <v>1092</v>
      </c>
      <c r="AW604" s="463"/>
    </row>
    <row r="605" spans="1:49" s="464" customFormat="1" ht="14.45" customHeight="1" x14ac:dyDescent="0.25">
      <c r="A605" s="297">
        <f t="shared" si="9"/>
        <v>38.033333333333331</v>
      </c>
      <c r="B605" s="460">
        <v>41595</v>
      </c>
      <c r="C605" s="461" t="s">
        <v>453</v>
      </c>
      <c r="D605" s="461"/>
      <c r="E605" s="461" t="s">
        <v>380</v>
      </c>
      <c r="F605" s="461" t="s">
        <v>185</v>
      </c>
      <c r="G605" s="461" t="s">
        <v>229</v>
      </c>
      <c r="H605" s="291"/>
      <c r="I605" s="291"/>
      <c r="J605" s="291"/>
      <c r="K605" s="291"/>
      <c r="L605" s="292"/>
      <c r="M605" s="292">
        <v>145</v>
      </c>
      <c r="N605" s="292"/>
      <c r="O605" s="292"/>
      <c r="P605" s="294"/>
      <c r="Q605" s="294"/>
      <c r="R605" s="294"/>
      <c r="S605" s="294"/>
      <c r="T605" s="294"/>
      <c r="U605" s="294"/>
      <c r="V605" s="431"/>
      <c r="W605" s="294"/>
      <c r="X605" s="294"/>
      <c r="Y605" s="294">
        <f>IF(NFI_Expiration=1,IF($A605&lt;VLOOKUP(H$5,NFI,5,0),1,0)*Table_NFI[[#This Row],[Hygiene Kit]],Table_NFI[Hygiene Kit])</f>
        <v>0</v>
      </c>
      <c r="Z605" s="294">
        <f>IF(NFI_Expiration=1,IF($A605&lt;VLOOKUP(I$5,NFI,5,0),1,0)*Table_NFI[[#This Row],[NFI Core Kit]],Table_NFI[NFI Core Kit])</f>
        <v>0</v>
      </c>
      <c r="AA605" s="294">
        <f>IF(NFI_Expiration=1,IF($A605&lt;VLOOKUP(J$5,NFI,5,0),1,0)*Table_NFI[[#This Row],[Sanitary Kit]],Table_NFI[Sanitary Kit])</f>
        <v>0</v>
      </c>
      <c r="AB605" s="294">
        <f>IF(NFI_Expiration=1,IF($A605&lt;VLOOKUP(K$5,NFI,5,0),1,0)*Table_NFI[[#This Row],[Mosquito net]],Table_NFI[Mosquito net])</f>
        <v>0</v>
      </c>
      <c r="AC605" s="294">
        <f>IF(NFI_Expiration=1,IF($A605&lt;VLOOKUP(L$5,NFI,5,0),1,0)*Table_NFI[[#This Row],[Tarpaulin]],Table_NFI[[#This Row],[Tarpaulin]])</f>
        <v>0</v>
      </c>
      <c r="AD605" s="294">
        <f>IF(NFI_Expiration=1,IF($A605&lt;VLOOKUP(M$5,NFI,5,0),1,0)*Table_NFI[[#This Row],[Blanket]],Table_NFI[[#This Row],[Blanket]])</f>
        <v>0</v>
      </c>
      <c r="AE605" s="294">
        <f>IF(NFI_Expiration=1,IF($A605&lt;VLOOKUP(N$5,NFI,5,0),1,0)*Table_NFI[[#This Row],[Kitchen Set]],Table_NFI[Kitchen Set])</f>
        <v>0</v>
      </c>
      <c r="AF605" s="294">
        <f>IF(NFI_Expiration=1,IF($A605&lt;VLOOKUP(O$5,NFI,5,0),1,0)*Table_NFI[[#This Row],[Clothes Kit]],Table_NFI[Clothes Kit])</f>
        <v>0</v>
      </c>
      <c r="AG605" s="294">
        <f>IF(NFI_Expiration=1,IF($A605&lt;VLOOKUP(P$5,NFI,5,0),1,0)*Table_NFI[[#This Row],[Plastic Bucket]],Table_NFI[Plastic Bucket])</f>
        <v>0</v>
      </c>
      <c r="AH605" s="294">
        <f>IF(NFI_Expiration=1,IF($A605&lt;VLOOKUP(Q$5,NFI,5,0),1,0)*Table_NFI[[#This Row],[Plastic Mat]],Table_NFI[Plastic Mat])*IF(Table_NFI[[#This Row],[Distribution Date]]&gt;"2014-04-01",1,2.5)</f>
        <v>0</v>
      </c>
      <c r="AI605" s="294">
        <f>IF(NFI_Expiration=1,IF($A605&lt;VLOOKUP(R$5,NFI,5,0),1,0)*Table_NFI[[#This Row],[Winter Clothes Adult]],Table_NFI[Winter Clothes Adult])</f>
        <v>0</v>
      </c>
      <c r="AJ605" s="294">
        <f>IF(NFI_Expiration=1,IF($A605&lt;VLOOKUP(S$5,NFI,5,0),1,0)*Table_NFI[[#This Row],[Winter Clothes Children]],Table_NFI[Winter Clothes Children])</f>
        <v>0</v>
      </c>
      <c r="AK605" s="294">
        <f>IF(NFI_Expiration=1,IF($A605&lt;VLOOKUP(T$5,NFI,5,0),1,0)*Table_NFI[[#This Row],[Winter Items Other]],Table_NFI[Winter Items Other])</f>
        <v>0</v>
      </c>
      <c r="AL605" s="294">
        <f>IF(NFI_Expiration=1,IF($A605&lt;VLOOKUP(M$5,NFI,5,0),1,0)*Table_NFI[[#This Row],[Winter Blanket]],Table_NFI[[#This Row],[Winter Blanket]])</f>
        <v>0</v>
      </c>
      <c r="AM605" s="294">
        <f>IF(Table_NFI[[#This Row],[Winter Clothes Adult]]+Table_NFI[[#This Row],[Winter Clothes Children]]+Table_NFI[[#This Row],[Winter Items Other]]+Table_NFI[[#This Row],[Winter Blanket]]&gt;0,1,0)</f>
        <v>0</v>
      </c>
      <c r="AN605" s="331">
        <f>IF(NFI_Expiration=1,IF($A605&lt;VLOOKUP(V$5,NFI,5,0),1,0)*Table_NFI[[#This Row],[Jerry Can]],Table_NFI[Jerry Can])</f>
        <v>0</v>
      </c>
      <c r="AO605" s="331">
        <f>IF(NFI_Expiration=1,IF($A605&lt;VLOOKUP(V$5,NFI,5,0),1,0)*Table_NFI[[#This Row],[Shelter Tool kit]],Table_NFI[Shelter Tool kit])</f>
        <v>0</v>
      </c>
      <c r="AP605" s="331">
        <f>IF(NFI_Expiration=1,IF($A605&lt;VLOOKUP(V$5,NFI,5,0),1,0)*Table_NFI[[#This Row],[Tent]],Table_NFI[Tent])</f>
        <v>0</v>
      </c>
      <c r="AQ605" s="467" t="str">
        <f>IFERROR(VLOOKUP(Table_NFI[[#This Row],[Camp Name]],CL,2,0),"")</f>
        <v>MMR001CMP072</v>
      </c>
      <c r="AR605" s="835">
        <f ca="1">IF(Table_NFI[[#This Row],[Pcode]]="","",IF(OFFSET(CampList[Opening Date],MATCH(Table_NFI[[#This Row],[Pcode]],CampList[CP_Pcode],0)-1,0,1,1)&gt;=NFI_Monitor_Date,1,0))</f>
        <v>0</v>
      </c>
      <c r="AS605" s="467" t="str">
        <f>IFERROR(VLOOKUP(Table_NFI[[#This Row],[Camp Name]],CL,3,0),"")</f>
        <v>Open</v>
      </c>
      <c r="AT605" s="294" t="str">
        <f ca="1">IF(Table_NFI[[#This Row],[Pcode]]="","",OFFSET(CampList[Priority],MATCH(Table_NFI[[#This Row],[Pcode]],CampList[CP_Pcode],0)-1,0,1,1))</f>
        <v>P3</v>
      </c>
      <c r="AU605" s="293">
        <f>IFERROR(Table_NFI[[#This Row],[Kitchen Set]]/VLOOKUP(Table_NFI[[#This Row],[Camp Name]],CL,4,0),"")</f>
        <v>0</v>
      </c>
      <c r="AV605" s="461" t="s">
        <v>1092</v>
      </c>
      <c r="AW605" s="463"/>
    </row>
    <row r="606" spans="1:49" s="464" customFormat="1" ht="14.45" customHeight="1" x14ac:dyDescent="0.25">
      <c r="A606" s="297">
        <f t="shared" si="9"/>
        <v>38.06666666666667</v>
      </c>
      <c r="B606" s="460">
        <v>41594</v>
      </c>
      <c r="C606" s="461" t="s">
        <v>452</v>
      </c>
      <c r="D606" s="461" t="s">
        <v>573</v>
      </c>
      <c r="E606" s="461" t="s">
        <v>380</v>
      </c>
      <c r="F606" s="290" t="s">
        <v>5</v>
      </c>
      <c r="G606" s="290" t="s">
        <v>366</v>
      </c>
      <c r="H606" s="291"/>
      <c r="I606" s="291"/>
      <c r="J606" s="291"/>
      <c r="K606" s="291"/>
      <c r="L606" s="292">
        <v>11</v>
      </c>
      <c r="M606" s="292"/>
      <c r="N606" s="292"/>
      <c r="O606" s="292"/>
      <c r="P606" s="294"/>
      <c r="Q606" s="294"/>
      <c r="R606" s="294"/>
      <c r="S606" s="294"/>
      <c r="T606" s="294"/>
      <c r="U606" s="294"/>
      <c r="V606" s="431"/>
      <c r="W606" s="294"/>
      <c r="X606" s="294"/>
      <c r="Y606" s="294">
        <f>IF(NFI_Expiration=1,IF($A606&lt;VLOOKUP(H$5,NFI,5,0),1,0)*Table_NFI[[#This Row],[Hygiene Kit]],Table_NFI[Hygiene Kit])</f>
        <v>0</v>
      </c>
      <c r="Z606" s="294">
        <f>IF(NFI_Expiration=1,IF($A606&lt;VLOOKUP(I$5,NFI,5,0),1,0)*Table_NFI[[#This Row],[NFI Core Kit]],Table_NFI[NFI Core Kit])</f>
        <v>0</v>
      </c>
      <c r="AA606" s="294">
        <f>IF(NFI_Expiration=1,IF($A606&lt;VLOOKUP(J$5,NFI,5,0),1,0)*Table_NFI[[#This Row],[Sanitary Kit]],Table_NFI[Sanitary Kit])</f>
        <v>0</v>
      </c>
      <c r="AB606" s="294">
        <f>IF(NFI_Expiration=1,IF($A606&lt;VLOOKUP(K$5,NFI,5,0),1,0)*Table_NFI[[#This Row],[Mosquito net]],Table_NFI[Mosquito net])</f>
        <v>0</v>
      </c>
      <c r="AC606" s="294">
        <f>IF(NFI_Expiration=1,IF($A606&lt;VLOOKUP(L$5,NFI,5,0),1,0)*Table_NFI[[#This Row],[Tarpaulin]],Table_NFI[[#This Row],[Tarpaulin]])</f>
        <v>0</v>
      </c>
      <c r="AD606" s="294">
        <f>IF(NFI_Expiration=1,IF($A606&lt;VLOOKUP(M$5,NFI,5,0),1,0)*Table_NFI[[#This Row],[Blanket]],Table_NFI[[#This Row],[Blanket]])</f>
        <v>0</v>
      </c>
      <c r="AE606" s="294">
        <f>IF(NFI_Expiration=1,IF($A606&lt;VLOOKUP(N$5,NFI,5,0),1,0)*Table_NFI[[#This Row],[Kitchen Set]],Table_NFI[Kitchen Set])</f>
        <v>0</v>
      </c>
      <c r="AF606" s="294">
        <f>IF(NFI_Expiration=1,IF($A606&lt;VLOOKUP(O$5,NFI,5,0),1,0)*Table_NFI[[#This Row],[Clothes Kit]],Table_NFI[Clothes Kit])</f>
        <v>0</v>
      </c>
      <c r="AG606" s="294">
        <f>IF(NFI_Expiration=1,IF($A606&lt;VLOOKUP(P$5,NFI,5,0),1,0)*Table_NFI[[#This Row],[Plastic Bucket]],Table_NFI[Plastic Bucket])</f>
        <v>0</v>
      </c>
      <c r="AH606" s="294">
        <f>IF(NFI_Expiration=1,IF($A606&lt;VLOOKUP(Q$5,NFI,5,0),1,0)*Table_NFI[[#This Row],[Plastic Mat]],Table_NFI[Plastic Mat])*IF(Table_NFI[[#This Row],[Distribution Date]]&gt;"2014-04-01",1,2.5)</f>
        <v>0</v>
      </c>
      <c r="AI606" s="294">
        <f>IF(NFI_Expiration=1,IF($A606&lt;VLOOKUP(R$5,NFI,5,0),1,0)*Table_NFI[[#This Row],[Winter Clothes Adult]],Table_NFI[Winter Clothes Adult])</f>
        <v>0</v>
      </c>
      <c r="AJ606" s="294">
        <f>IF(NFI_Expiration=1,IF($A606&lt;VLOOKUP(S$5,NFI,5,0),1,0)*Table_NFI[[#This Row],[Winter Clothes Children]],Table_NFI[Winter Clothes Children])</f>
        <v>0</v>
      </c>
      <c r="AK606" s="294">
        <f>IF(NFI_Expiration=1,IF($A606&lt;VLOOKUP(T$5,NFI,5,0),1,0)*Table_NFI[[#This Row],[Winter Items Other]],Table_NFI[Winter Items Other])</f>
        <v>0</v>
      </c>
      <c r="AL606" s="294">
        <f>IF(NFI_Expiration=1,IF($A606&lt;VLOOKUP(M$5,NFI,5,0),1,0)*Table_NFI[[#This Row],[Winter Blanket]],Table_NFI[[#This Row],[Winter Blanket]])</f>
        <v>0</v>
      </c>
      <c r="AM606" s="294">
        <f>IF(Table_NFI[[#This Row],[Winter Clothes Adult]]+Table_NFI[[#This Row],[Winter Clothes Children]]+Table_NFI[[#This Row],[Winter Items Other]]+Table_NFI[[#This Row],[Winter Blanket]]&gt;0,1,0)</f>
        <v>0</v>
      </c>
      <c r="AN606" s="331">
        <f>IF(NFI_Expiration=1,IF($A606&lt;VLOOKUP(V$5,NFI,5,0),1,0)*Table_NFI[[#This Row],[Jerry Can]],Table_NFI[Jerry Can])</f>
        <v>0</v>
      </c>
      <c r="AO606" s="331">
        <f>IF(NFI_Expiration=1,IF($A606&lt;VLOOKUP(V$5,NFI,5,0),1,0)*Table_NFI[[#This Row],[Shelter Tool kit]],Table_NFI[Shelter Tool kit])</f>
        <v>0</v>
      </c>
      <c r="AP606" s="331">
        <f>IF(NFI_Expiration=1,IF($A606&lt;VLOOKUP(V$5,NFI,5,0),1,0)*Table_NFI[[#This Row],[Tent]],Table_NFI[Tent])</f>
        <v>0</v>
      </c>
      <c r="AQ606" s="467" t="str">
        <f>IFERROR(VLOOKUP(Table_NFI[[#This Row],[Camp Name]],CL,2,0),"")</f>
        <v>MMR001CMP193</v>
      </c>
      <c r="AR606" s="835">
        <f ca="1">IF(Table_NFI[[#This Row],[Pcode]]="","",IF(OFFSET(CampList[Opening Date],MATCH(Table_NFI[[#This Row],[Pcode]],CampList[CP_Pcode],0)-1,0,1,1)&gt;=NFI_Monitor_Date,1,0))</f>
        <v>0</v>
      </c>
      <c r="AS606" s="467" t="str">
        <f>IFERROR(VLOOKUP(Table_NFI[[#This Row],[Camp Name]],CL,3,0),"")</f>
        <v>Open</v>
      </c>
      <c r="AT606" s="294" t="str">
        <f ca="1">IF(Table_NFI[[#This Row],[Pcode]]="","",OFFSET(CampList[Priority],MATCH(Table_NFI[[#This Row],[Pcode]],CampList[CP_Pcode],0)-1,0,1,1))</f>
        <v>P4</v>
      </c>
      <c r="AU606" s="293">
        <f>IFERROR(Table_NFI[[#This Row],[Kitchen Set]]/VLOOKUP(Table_NFI[[#This Row],[Camp Name]],CL,4,0),"")</f>
        <v>0</v>
      </c>
      <c r="AV606" s="461" t="s">
        <v>1092</v>
      </c>
      <c r="AW606" s="463"/>
    </row>
    <row r="607" spans="1:49" s="464" customFormat="1" ht="14.45" customHeight="1" x14ac:dyDescent="0.25">
      <c r="A607" s="297">
        <f t="shared" si="9"/>
        <v>38.06666666666667</v>
      </c>
      <c r="B607" s="460">
        <v>41594</v>
      </c>
      <c r="C607" s="461" t="s">
        <v>452</v>
      </c>
      <c r="D607" s="461" t="s">
        <v>452</v>
      </c>
      <c r="E607" s="461" t="s">
        <v>380</v>
      </c>
      <c r="F607" s="290" t="s">
        <v>5</v>
      </c>
      <c r="G607" s="290" t="s">
        <v>22</v>
      </c>
      <c r="H607" s="291"/>
      <c r="I607" s="291"/>
      <c r="J607" s="291"/>
      <c r="K607" s="291"/>
      <c r="L607" s="292">
        <v>10</v>
      </c>
      <c r="M607" s="292"/>
      <c r="N607" s="292"/>
      <c r="O607" s="292"/>
      <c r="P607" s="294"/>
      <c r="Q607" s="294"/>
      <c r="R607" s="294"/>
      <c r="S607" s="294"/>
      <c r="T607" s="294"/>
      <c r="U607" s="294"/>
      <c r="V607" s="431"/>
      <c r="W607" s="294"/>
      <c r="X607" s="294"/>
      <c r="Y607" s="294">
        <f>IF(NFI_Expiration=1,IF($A607&lt;VLOOKUP(H$5,NFI,5,0),1,0)*Table_NFI[[#This Row],[Hygiene Kit]],Table_NFI[Hygiene Kit])</f>
        <v>0</v>
      </c>
      <c r="Z607" s="294">
        <f>IF(NFI_Expiration=1,IF($A607&lt;VLOOKUP(I$5,NFI,5,0),1,0)*Table_NFI[[#This Row],[NFI Core Kit]],Table_NFI[NFI Core Kit])</f>
        <v>0</v>
      </c>
      <c r="AA607" s="294">
        <f>IF(NFI_Expiration=1,IF($A607&lt;VLOOKUP(J$5,NFI,5,0),1,0)*Table_NFI[[#This Row],[Sanitary Kit]],Table_NFI[Sanitary Kit])</f>
        <v>0</v>
      </c>
      <c r="AB607" s="294">
        <f>IF(NFI_Expiration=1,IF($A607&lt;VLOOKUP(K$5,NFI,5,0),1,0)*Table_NFI[[#This Row],[Mosquito net]],Table_NFI[Mosquito net])</f>
        <v>0</v>
      </c>
      <c r="AC607" s="294">
        <f>IF(NFI_Expiration=1,IF($A607&lt;VLOOKUP(L$5,NFI,5,0),1,0)*Table_NFI[[#This Row],[Tarpaulin]],Table_NFI[[#This Row],[Tarpaulin]])</f>
        <v>0</v>
      </c>
      <c r="AD607" s="294">
        <f>IF(NFI_Expiration=1,IF($A607&lt;VLOOKUP(M$5,NFI,5,0),1,0)*Table_NFI[[#This Row],[Blanket]],Table_NFI[[#This Row],[Blanket]])</f>
        <v>0</v>
      </c>
      <c r="AE607" s="294">
        <f>IF(NFI_Expiration=1,IF($A607&lt;VLOOKUP(N$5,NFI,5,0),1,0)*Table_NFI[[#This Row],[Kitchen Set]],Table_NFI[Kitchen Set])</f>
        <v>0</v>
      </c>
      <c r="AF607" s="294">
        <f>IF(NFI_Expiration=1,IF($A607&lt;VLOOKUP(O$5,NFI,5,0),1,0)*Table_NFI[[#This Row],[Clothes Kit]],Table_NFI[Clothes Kit])</f>
        <v>0</v>
      </c>
      <c r="AG607" s="294">
        <f>IF(NFI_Expiration=1,IF($A607&lt;VLOOKUP(P$5,NFI,5,0),1,0)*Table_NFI[[#This Row],[Plastic Bucket]],Table_NFI[Plastic Bucket])</f>
        <v>0</v>
      </c>
      <c r="AH607" s="294">
        <f>IF(NFI_Expiration=1,IF($A607&lt;VLOOKUP(Q$5,NFI,5,0),1,0)*Table_NFI[[#This Row],[Plastic Mat]],Table_NFI[Plastic Mat])*IF(Table_NFI[[#This Row],[Distribution Date]]&gt;"2014-04-01",1,2.5)</f>
        <v>0</v>
      </c>
      <c r="AI607" s="294">
        <f>IF(NFI_Expiration=1,IF($A607&lt;VLOOKUP(R$5,NFI,5,0),1,0)*Table_NFI[[#This Row],[Winter Clothes Adult]],Table_NFI[Winter Clothes Adult])</f>
        <v>0</v>
      </c>
      <c r="AJ607" s="294">
        <f>IF(NFI_Expiration=1,IF($A607&lt;VLOOKUP(S$5,NFI,5,0),1,0)*Table_NFI[[#This Row],[Winter Clothes Children]],Table_NFI[Winter Clothes Children])</f>
        <v>0</v>
      </c>
      <c r="AK607" s="294">
        <f>IF(NFI_Expiration=1,IF($A607&lt;VLOOKUP(T$5,NFI,5,0),1,0)*Table_NFI[[#This Row],[Winter Items Other]],Table_NFI[Winter Items Other])</f>
        <v>0</v>
      </c>
      <c r="AL607" s="294">
        <f>IF(NFI_Expiration=1,IF($A607&lt;VLOOKUP(M$5,NFI,5,0),1,0)*Table_NFI[[#This Row],[Winter Blanket]],Table_NFI[[#This Row],[Winter Blanket]])</f>
        <v>0</v>
      </c>
      <c r="AM607" s="294">
        <f>IF(Table_NFI[[#This Row],[Winter Clothes Adult]]+Table_NFI[[#This Row],[Winter Clothes Children]]+Table_NFI[[#This Row],[Winter Items Other]]+Table_NFI[[#This Row],[Winter Blanket]]&gt;0,1,0)</f>
        <v>0</v>
      </c>
      <c r="AN607" s="331">
        <f>IF(NFI_Expiration=1,IF($A607&lt;VLOOKUP(V$5,NFI,5,0),1,0)*Table_NFI[[#This Row],[Jerry Can]],Table_NFI[Jerry Can])</f>
        <v>0</v>
      </c>
      <c r="AO607" s="331">
        <f>IF(NFI_Expiration=1,IF($A607&lt;VLOOKUP(V$5,NFI,5,0),1,0)*Table_NFI[[#This Row],[Shelter Tool kit]],Table_NFI[Shelter Tool kit])</f>
        <v>0</v>
      </c>
      <c r="AP607" s="331">
        <f>IF(NFI_Expiration=1,IF($A607&lt;VLOOKUP(V$5,NFI,5,0),1,0)*Table_NFI[[#This Row],[Tent]],Table_NFI[Tent])</f>
        <v>0</v>
      </c>
      <c r="AQ607" s="467" t="str">
        <f>IFERROR(VLOOKUP(Table_NFI[[#This Row],[Camp Name]],CL,2,0),"")</f>
        <v>MMR001CMP047</v>
      </c>
      <c r="AR607" s="835">
        <f ca="1">IF(Table_NFI[[#This Row],[Pcode]]="","",IF(OFFSET(CampList[Opening Date],MATCH(Table_NFI[[#This Row],[Pcode]],CampList[CP_Pcode],0)-1,0,1,1)&gt;=NFI_Monitor_Date,1,0))</f>
        <v>0</v>
      </c>
      <c r="AS607" s="467" t="str">
        <f>IFERROR(VLOOKUP(Table_NFI[[#This Row],[Camp Name]],CL,3,0),"")</f>
        <v>Open</v>
      </c>
      <c r="AT607" s="294" t="str">
        <f ca="1">IF(Table_NFI[[#This Row],[Pcode]]="","",OFFSET(CampList[Priority],MATCH(Table_NFI[[#This Row],[Pcode]],CampList[CP_Pcode],0)-1,0,1,1))</f>
        <v>P4</v>
      </c>
      <c r="AU607" s="293">
        <f>IFERROR(Table_NFI[[#This Row],[Kitchen Set]]/VLOOKUP(Table_NFI[[#This Row],[Camp Name]],CL,4,0),"")</f>
        <v>0</v>
      </c>
      <c r="AV607" s="461" t="s">
        <v>1092</v>
      </c>
      <c r="AW607" s="463"/>
    </row>
    <row r="608" spans="1:49" s="464" customFormat="1" ht="14.45" customHeight="1" x14ac:dyDescent="0.25">
      <c r="A608" s="297">
        <f t="shared" si="9"/>
        <v>38.1</v>
      </c>
      <c r="B608" s="460">
        <v>41593</v>
      </c>
      <c r="C608" s="461" t="s">
        <v>905</v>
      </c>
      <c r="D608" s="461" t="s">
        <v>1002</v>
      </c>
      <c r="E608" s="461" t="s">
        <v>380</v>
      </c>
      <c r="F608" s="461" t="s">
        <v>151</v>
      </c>
      <c r="G608" s="461" t="s">
        <v>158</v>
      </c>
      <c r="H608" s="291"/>
      <c r="I608" s="291"/>
      <c r="J608" s="291"/>
      <c r="K608" s="291"/>
      <c r="L608" s="292"/>
      <c r="M608" s="292"/>
      <c r="N608" s="292"/>
      <c r="O608" s="292"/>
      <c r="P608" s="294"/>
      <c r="Q608" s="294"/>
      <c r="R608" s="294">
        <v>54</v>
      </c>
      <c r="S608" s="294">
        <v>106</v>
      </c>
      <c r="T608" s="294">
        <v>320</v>
      </c>
      <c r="U608" s="294">
        <v>160</v>
      </c>
      <c r="V608" s="431"/>
      <c r="W608" s="294"/>
      <c r="X608" s="294"/>
      <c r="Y608" s="294">
        <f>IF(NFI_Expiration=1,IF($A608&lt;VLOOKUP(H$5,NFI,5,0),1,0)*Table_NFI[[#This Row],[Hygiene Kit]],Table_NFI[Hygiene Kit])</f>
        <v>0</v>
      </c>
      <c r="Z608" s="294">
        <f>IF(NFI_Expiration=1,IF($A608&lt;VLOOKUP(I$5,NFI,5,0),1,0)*Table_NFI[[#This Row],[NFI Core Kit]],Table_NFI[NFI Core Kit])</f>
        <v>0</v>
      </c>
      <c r="AA608" s="294">
        <f>IF(NFI_Expiration=1,IF($A608&lt;VLOOKUP(J$5,NFI,5,0),1,0)*Table_NFI[[#This Row],[Sanitary Kit]],Table_NFI[Sanitary Kit])</f>
        <v>0</v>
      </c>
      <c r="AB608" s="294">
        <f>IF(NFI_Expiration=1,IF($A608&lt;VLOOKUP(K$5,NFI,5,0),1,0)*Table_NFI[[#This Row],[Mosquito net]],Table_NFI[Mosquito net])</f>
        <v>0</v>
      </c>
      <c r="AC608" s="294">
        <f>IF(NFI_Expiration=1,IF($A608&lt;VLOOKUP(L$5,NFI,5,0),1,0)*Table_NFI[[#This Row],[Tarpaulin]],Table_NFI[[#This Row],[Tarpaulin]])</f>
        <v>0</v>
      </c>
      <c r="AD608" s="294">
        <f>IF(NFI_Expiration=1,IF($A608&lt;VLOOKUP(M$5,NFI,5,0),1,0)*Table_NFI[[#This Row],[Blanket]],Table_NFI[[#This Row],[Blanket]])</f>
        <v>0</v>
      </c>
      <c r="AE608" s="294">
        <f>IF(NFI_Expiration=1,IF($A608&lt;VLOOKUP(N$5,NFI,5,0),1,0)*Table_NFI[[#This Row],[Kitchen Set]],Table_NFI[Kitchen Set])</f>
        <v>0</v>
      </c>
      <c r="AF608" s="294">
        <f>IF(NFI_Expiration=1,IF($A608&lt;VLOOKUP(O$5,NFI,5,0),1,0)*Table_NFI[[#This Row],[Clothes Kit]],Table_NFI[Clothes Kit])</f>
        <v>0</v>
      </c>
      <c r="AG608" s="294">
        <f>IF(NFI_Expiration=1,IF($A608&lt;VLOOKUP(P$5,NFI,5,0),1,0)*Table_NFI[[#This Row],[Plastic Bucket]],Table_NFI[Plastic Bucket])</f>
        <v>0</v>
      </c>
      <c r="AH608" s="294">
        <f>IF(NFI_Expiration=1,IF($A608&lt;VLOOKUP(Q$5,NFI,5,0),1,0)*Table_NFI[[#This Row],[Plastic Mat]],Table_NFI[Plastic Mat])*IF(Table_NFI[[#This Row],[Distribution Date]]&gt;"2014-04-01",1,2.5)</f>
        <v>0</v>
      </c>
      <c r="AI608" s="294">
        <f>IF(NFI_Expiration=1,IF($A608&lt;VLOOKUP(R$5,NFI,5,0),1,0)*Table_NFI[[#This Row],[Winter Clothes Adult]],Table_NFI[Winter Clothes Adult])</f>
        <v>0</v>
      </c>
      <c r="AJ608" s="294">
        <f>IF(NFI_Expiration=1,IF($A608&lt;VLOOKUP(S$5,NFI,5,0),1,0)*Table_NFI[[#This Row],[Winter Clothes Children]],Table_NFI[Winter Clothes Children])</f>
        <v>0</v>
      </c>
      <c r="AK608" s="294">
        <f>IF(NFI_Expiration=1,IF($A608&lt;VLOOKUP(T$5,NFI,5,0),1,0)*Table_NFI[[#This Row],[Winter Items Other]],Table_NFI[Winter Items Other])</f>
        <v>0</v>
      </c>
      <c r="AL608" s="294">
        <f>IF(NFI_Expiration=1,IF($A608&lt;VLOOKUP(M$5,NFI,5,0),1,0)*Table_NFI[[#This Row],[Winter Blanket]],Table_NFI[[#This Row],[Winter Blanket]])</f>
        <v>0</v>
      </c>
      <c r="AM608" s="294">
        <f>IF(Table_NFI[[#This Row],[Winter Clothes Adult]]+Table_NFI[[#This Row],[Winter Clothes Children]]+Table_NFI[[#This Row],[Winter Items Other]]+Table_NFI[[#This Row],[Winter Blanket]]&gt;0,1,0)</f>
        <v>1</v>
      </c>
      <c r="AN608" s="331">
        <f>IF(NFI_Expiration=1,IF($A608&lt;VLOOKUP(V$5,NFI,5,0),1,0)*Table_NFI[[#This Row],[Jerry Can]],Table_NFI[Jerry Can])</f>
        <v>0</v>
      </c>
      <c r="AO608" s="331">
        <f>IF(NFI_Expiration=1,IF($A608&lt;VLOOKUP(V$5,NFI,5,0),1,0)*Table_NFI[[#This Row],[Shelter Tool kit]],Table_NFI[Shelter Tool kit])</f>
        <v>0</v>
      </c>
      <c r="AP608" s="331">
        <f>IF(NFI_Expiration=1,IF($A608&lt;VLOOKUP(V$5,NFI,5,0),1,0)*Table_NFI[[#This Row],[Tent]],Table_NFI[Tent])</f>
        <v>0</v>
      </c>
      <c r="AQ608" s="467" t="str">
        <f>IFERROR(VLOOKUP(Table_NFI[[#This Row],[Camp Name]],CL,2,0),"")</f>
        <v>MMR001CMP135</v>
      </c>
      <c r="AR608" s="835">
        <f ca="1">IF(Table_NFI[[#This Row],[Pcode]]="","",IF(OFFSET(CampList[Opening Date],MATCH(Table_NFI[[#This Row],[Pcode]],CampList[CP_Pcode],0)-1,0,1,1)&gt;=NFI_Monitor_Date,1,0))</f>
        <v>0</v>
      </c>
      <c r="AS608" s="467" t="str">
        <f>IFERROR(VLOOKUP(Table_NFI[[#This Row],[Camp Name]],CL,3,0),"")</f>
        <v>Closed</v>
      </c>
      <c r="AT608" s="294" t="str">
        <f ca="1">IF(Table_NFI[[#This Row],[Pcode]]="","",OFFSET(CampList[Priority],MATCH(Table_NFI[[#This Row],[Pcode]],CampList[CP_Pcode],0)-1,0,1,1))</f>
        <v>P2</v>
      </c>
      <c r="AU608" s="293">
        <f>IFERROR(Table_NFI[[#This Row],[Kitchen Set]]/VLOOKUP(Table_NFI[[#This Row],[Camp Name]],CL,4,0),"")</f>
        <v>0</v>
      </c>
      <c r="AV608" s="461"/>
      <c r="AW608" s="463"/>
    </row>
    <row r="609" spans="1:49" s="464" customFormat="1" ht="14.45" customHeight="1" x14ac:dyDescent="0.25">
      <c r="A609" s="297">
        <f t="shared" si="9"/>
        <v>38.1</v>
      </c>
      <c r="B609" s="460">
        <v>41593</v>
      </c>
      <c r="C609" s="461" t="s">
        <v>452</v>
      </c>
      <c r="D609" s="461" t="s">
        <v>573</v>
      </c>
      <c r="E609" s="461" t="s">
        <v>380</v>
      </c>
      <c r="F609" s="290" t="s">
        <v>5</v>
      </c>
      <c r="G609" s="290"/>
      <c r="H609" s="291"/>
      <c r="I609" s="291"/>
      <c r="J609" s="291"/>
      <c r="K609" s="291"/>
      <c r="L609" s="292">
        <v>12</v>
      </c>
      <c r="M609" s="292"/>
      <c r="N609" s="292"/>
      <c r="O609" s="292"/>
      <c r="P609" s="294"/>
      <c r="Q609" s="294"/>
      <c r="R609" s="294"/>
      <c r="S609" s="294"/>
      <c r="T609" s="294"/>
      <c r="U609" s="294"/>
      <c r="V609" s="431"/>
      <c r="W609" s="294"/>
      <c r="X609" s="294"/>
      <c r="Y609" s="294">
        <f>IF(NFI_Expiration=1,IF($A609&lt;VLOOKUP(H$5,NFI,5,0),1,0)*Table_NFI[[#This Row],[Hygiene Kit]],Table_NFI[Hygiene Kit])</f>
        <v>0</v>
      </c>
      <c r="Z609" s="294">
        <f>IF(NFI_Expiration=1,IF($A609&lt;VLOOKUP(I$5,NFI,5,0),1,0)*Table_NFI[[#This Row],[NFI Core Kit]],Table_NFI[NFI Core Kit])</f>
        <v>0</v>
      </c>
      <c r="AA609" s="294">
        <f>IF(NFI_Expiration=1,IF($A609&lt;VLOOKUP(J$5,NFI,5,0),1,0)*Table_NFI[[#This Row],[Sanitary Kit]],Table_NFI[Sanitary Kit])</f>
        <v>0</v>
      </c>
      <c r="AB609" s="294">
        <f>IF(NFI_Expiration=1,IF($A609&lt;VLOOKUP(K$5,NFI,5,0),1,0)*Table_NFI[[#This Row],[Mosquito net]],Table_NFI[Mosquito net])</f>
        <v>0</v>
      </c>
      <c r="AC609" s="294">
        <f>IF(NFI_Expiration=1,IF($A609&lt;VLOOKUP(L$5,NFI,5,0),1,0)*Table_NFI[[#This Row],[Tarpaulin]],Table_NFI[[#This Row],[Tarpaulin]])</f>
        <v>0</v>
      </c>
      <c r="AD609" s="294">
        <f>IF(NFI_Expiration=1,IF($A609&lt;VLOOKUP(M$5,NFI,5,0),1,0)*Table_NFI[[#This Row],[Blanket]],Table_NFI[[#This Row],[Blanket]])</f>
        <v>0</v>
      </c>
      <c r="AE609" s="294">
        <f>IF(NFI_Expiration=1,IF($A609&lt;VLOOKUP(N$5,NFI,5,0),1,0)*Table_NFI[[#This Row],[Kitchen Set]],Table_NFI[Kitchen Set])</f>
        <v>0</v>
      </c>
      <c r="AF609" s="294">
        <f>IF(NFI_Expiration=1,IF($A609&lt;VLOOKUP(O$5,NFI,5,0),1,0)*Table_NFI[[#This Row],[Clothes Kit]],Table_NFI[Clothes Kit])</f>
        <v>0</v>
      </c>
      <c r="AG609" s="294">
        <f>IF(NFI_Expiration=1,IF($A609&lt;VLOOKUP(P$5,NFI,5,0),1,0)*Table_NFI[[#This Row],[Plastic Bucket]],Table_NFI[Plastic Bucket])</f>
        <v>0</v>
      </c>
      <c r="AH609" s="294">
        <f>IF(NFI_Expiration=1,IF($A609&lt;VLOOKUP(Q$5,NFI,5,0),1,0)*Table_NFI[[#This Row],[Plastic Mat]],Table_NFI[Plastic Mat])*IF(Table_NFI[[#This Row],[Distribution Date]]&gt;"2014-04-01",1,2.5)</f>
        <v>0</v>
      </c>
      <c r="AI609" s="294">
        <f>IF(NFI_Expiration=1,IF($A609&lt;VLOOKUP(R$5,NFI,5,0),1,0)*Table_NFI[[#This Row],[Winter Clothes Adult]],Table_NFI[Winter Clothes Adult])</f>
        <v>0</v>
      </c>
      <c r="AJ609" s="294">
        <f>IF(NFI_Expiration=1,IF($A609&lt;VLOOKUP(S$5,NFI,5,0),1,0)*Table_NFI[[#This Row],[Winter Clothes Children]],Table_NFI[Winter Clothes Children])</f>
        <v>0</v>
      </c>
      <c r="AK609" s="294">
        <f>IF(NFI_Expiration=1,IF($A609&lt;VLOOKUP(T$5,NFI,5,0),1,0)*Table_NFI[[#This Row],[Winter Items Other]],Table_NFI[Winter Items Other])</f>
        <v>0</v>
      </c>
      <c r="AL609" s="294">
        <f>IF(NFI_Expiration=1,IF($A609&lt;VLOOKUP(M$5,NFI,5,0),1,0)*Table_NFI[[#This Row],[Winter Blanket]],Table_NFI[[#This Row],[Winter Blanket]])</f>
        <v>0</v>
      </c>
      <c r="AM609" s="294">
        <f>IF(Table_NFI[[#This Row],[Winter Clothes Adult]]+Table_NFI[[#This Row],[Winter Clothes Children]]+Table_NFI[[#This Row],[Winter Items Other]]+Table_NFI[[#This Row],[Winter Blanket]]&gt;0,1,0)</f>
        <v>0</v>
      </c>
      <c r="AN609" s="331">
        <f>IF(NFI_Expiration=1,IF($A609&lt;VLOOKUP(V$5,NFI,5,0),1,0)*Table_NFI[[#This Row],[Jerry Can]],Table_NFI[Jerry Can])</f>
        <v>0</v>
      </c>
      <c r="AO609" s="331">
        <f>IF(NFI_Expiration=1,IF($A609&lt;VLOOKUP(V$5,NFI,5,0),1,0)*Table_NFI[[#This Row],[Shelter Tool kit]],Table_NFI[Shelter Tool kit])</f>
        <v>0</v>
      </c>
      <c r="AP609" s="331">
        <f>IF(NFI_Expiration=1,IF($A609&lt;VLOOKUP(V$5,NFI,5,0),1,0)*Table_NFI[[#This Row],[Tent]],Table_NFI[Tent])</f>
        <v>0</v>
      </c>
      <c r="AQ609" s="467" t="str">
        <f>IFERROR(VLOOKUP(Table_NFI[[#This Row],[Camp Name]],CL,2,0),"")</f>
        <v/>
      </c>
      <c r="AR609" s="835" t="str">
        <f ca="1">IF(Table_NFI[[#This Row],[Pcode]]="","",IF(OFFSET(CampList[Opening Date],MATCH(Table_NFI[[#This Row],[Pcode]],CampList[CP_Pcode],0)-1,0,1,1)&gt;=NFI_Monitor_Date,1,0))</f>
        <v/>
      </c>
      <c r="AS609" s="467" t="str">
        <f>IFERROR(VLOOKUP(Table_NFI[[#This Row],[Camp Name]],CL,3,0),"")</f>
        <v/>
      </c>
      <c r="AT609" s="294" t="str">
        <f ca="1">IF(Table_NFI[[#This Row],[Pcode]]="","",OFFSET(CampList[Priority],MATCH(Table_NFI[[#This Row],[Pcode]],CampList[CP_Pcode],0)-1,0,1,1))</f>
        <v/>
      </c>
      <c r="AU609" s="293" t="str">
        <f>IFERROR(Table_NFI[[#This Row],[Kitchen Set]]/VLOOKUP(Table_NFI[[#This Row],[Camp Name]],CL,4,0),"")</f>
        <v/>
      </c>
      <c r="AV609" s="461" t="s">
        <v>1092</v>
      </c>
      <c r="AW609" s="463"/>
    </row>
    <row r="610" spans="1:49" s="464" customFormat="1" ht="14.45" customHeight="1" x14ac:dyDescent="0.25">
      <c r="A610" s="297">
        <f t="shared" si="9"/>
        <v>38.1</v>
      </c>
      <c r="B610" s="460">
        <v>41593</v>
      </c>
      <c r="C610" s="461" t="s">
        <v>905</v>
      </c>
      <c r="D610" s="461" t="s">
        <v>1002</v>
      </c>
      <c r="E610" s="461" t="s">
        <v>380</v>
      </c>
      <c r="F610" s="461" t="s">
        <v>185</v>
      </c>
      <c r="G610" s="461" t="s">
        <v>215</v>
      </c>
      <c r="H610" s="291"/>
      <c r="I610" s="291"/>
      <c r="J610" s="291"/>
      <c r="K610" s="291"/>
      <c r="L610" s="292"/>
      <c r="M610" s="292"/>
      <c r="N610" s="292"/>
      <c r="O610" s="292"/>
      <c r="P610" s="294"/>
      <c r="Q610" s="294"/>
      <c r="R610" s="294">
        <v>387</v>
      </c>
      <c r="S610" s="294">
        <v>760</v>
      </c>
      <c r="T610" s="294">
        <v>2294</v>
      </c>
      <c r="U610" s="294">
        <v>1147</v>
      </c>
      <c r="V610" s="431"/>
      <c r="W610" s="294"/>
      <c r="X610" s="294"/>
      <c r="Y610" s="294">
        <f>IF(NFI_Expiration=1,IF($A610&lt;VLOOKUP(H$5,NFI,5,0),1,0)*Table_NFI[[#This Row],[Hygiene Kit]],Table_NFI[Hygiene Kit])</f>
        <v>0</v>
      </c>
      <c r="Z610" s="294">
        <f>IF(NFI_Expiration=1,IF($A610&lt;VLOOKUP(I$5,NFI,5,0),1,0)*Table_NFI[[#This Row],[NFI Core Kit]],Table_NFI[NFI Core Kit])</f>
        <v>0</v>
      </c>
      <c r="AA610" s="294">
        <f>IF(NFI_Expiration=1,IF($A610&lt;VLOOKUP(J$5,NFI,5,0),1,0)*Table_NFI[[#This Row],[Sanitary Kit]],Table_NFI[Sanitary Kit])</f>
        <v>0</v>
      </c>
      <c r="AB610" s="294">
        <f>IF(NFI_Expiration=1,IF($A610&lt;VLOOKUP(K$5,NFI,5,0),1,0)*Table_NFI[[#This Row],[Mosquito net]],Table_NFI[Mosquito net])</f>
        <v>0</v>
      </c>
      <c r="AC610" s="294">
        <f>IF(NFI_Expiration=1,IF($A610&lt;VLOOKUP(L$5,NFI,5,0),1,0)*Table_NFI[[#This Row],[Tarpaulin]],Table_NFI[[#This Row],[Tarpaulin]])</f>
        <v>0</v>
      </c>
      <c r="AD610" s="294">
        <f>IF(NFI_Expiration=1,IF($A610&lt;VLOOKUP(M$5,NFI,5,0),1,0)*Table_NFI[[#This Row],[Blanket]],Table_NFI[[#This Row],[Blanket]])</f>
        <v>0</v>
      </c>
      <c r="AE610" s="294">
        <f>IF(NFI_Expiration=1,IF($A610&lt;VLOOKUP(N$5,NFI,5,0),1,0)*Table_NFI[[#This Row],[Kitchen Set]],Table_NFI[Kitchen Set])</f>
        <v>0</v>
      </c>
      <c r="AF610" s="294">
        <f>IF(NFI_Expiration=1,IF($A610&lt;VLOOKUP(O$5,NFI,5,0),1,0)*Table_NFI[[#This Row],[Clothes Kit]],Table_NFI[Clothes Kit])</f>
        <v>0</v>
      </c>
      <c r="AG610" s="294">
        <f>IF(NFI_Expiration=1,IF($A610&lt;VLOOKUP(P$5,NFI,5,0),1,0)*Table_NFI[[#This Row],[Plastic Bucket]],Table_NFI[Plastic Bucket])</f>
        <v>0</v>
      </c>
      <c r="AH610" s="294">
        <f>IF(NFI_Expiration=1,IF($A610&lt;VLOOKUP(Q$5,NFI,5,0),1,0)*Table_NFI[[#This Row],[Plastic Mat]],Table_NFI[Plastic Mat])*IF(Table_NFI[[#This Row],[Distribution Date]]&gt;"2014-04-01",1,2.5)</f>
        <v>0</v>
      </c>
      <c r="AI610" s="294">
        <f>IF(NFI_Expiration=1,IF($A610&lt;VLOOKUP(R$5,NFI,5,0),1,0)*Table_NFI[[#This Row],[Winter Clothes Adult]],Table_NFI[Winter Clothes Adult])</f>
        <v>0</v>
      </c>
      <c r="AJ610" s="294">
        <f>IF(NFI_Expiration=1,IF($A610&lt;VLOOKUP(S$5,NFI,5,0),1,0)*Table_NFI[[#This Row],[Winter Clothes Children]],Table_NFI[Winter Clothes Children])</f>
        <v>0</v>
      </c>
      <c r="AK610" s="294">
        <f>IF(NFI_Expiration=1,IF($A610&lt;VLOOKUP(T$5,NFI,5,0),1,0)*Table_NFI[[#This Row],[Winter Items Other]],Table_NFI[Winter Items Other])</f>
        <v>0</v>
      </c>
      <c r="AL610" s="294">
        <f>IF(NFI_Expiration=1,IF($A610&lt;VLOOKUP(M$5,NFI,5,0),1,0)*Table_NFI[[#This Row],[Winter Blanket]],Table_NFI[[#This Row],[Winter Blanket]])</f>
        <v>0</v>
      </c>
      <c r="AM610" s="294">
        <f>IF(Table_NFI[[#This Row],[Winter Clothes Adult]]+Table_NFI[[#This Row],[Winter Clothes Children]]+Table_NFI[[#This Row],[Winter Items Other]]+Table_NFI[[#This Row],[Winter Blanket]]&gt;0,1,0)</f>
        <v>1</v>
      </c>
      <c r="AN610" s="331">
        <f>IF(NFI_Expiration=1,IF($A610&lt;VLOOKUP(V$5,NFI,5,0),1,0)*Table_NFI[[#This Row],[Jerry Can]],Table_NFI[Jerry Can])</f>
        <v>0</v>
      </c>
      <c r="AO610" s="331">
        <f>IF(NFI_Expiration=1,IF($A610&lt;VLOOKUP(V$5,NFI,5,0),1,0)*Table_NFI[[#This Row],[Shelter Tool kit]],Table_NFI[Shelter Tool kit])</f>
        <v>0</v>
      </c>
      <c r="AP610" s="331">
        <f>IF(NFI_Expiration=1,IF($A610&lt;VLOOKUP(V$5,NFI,5,0),1,0)*Table_NFI[[#This Row],[Tent]],Table_NFI[Tent])</f>
        <v>0</v>
      </c>
      <c r="AQ610" s="467" t="str">
        <f>IFERROR(VLOOKUP(Table_NFI[[#This Row],[Camp Name]],CL,2,0),"")</f>
        <v>MMR001CMP131</v>
      </c>
      <c r="AR610" s="835">
        <f ca="1">IF(Table_NFI[[#This Row],[Pcode]]="","",IF(OFFSET(CampList[Opening Date],MATCH(Table_NFI[[#This Row],[Pcode]],CampList[CP_Pcode],0)-1,0,1,1)&gt;=NFI_Monitor_Date,1,0))</f>
        <v>0</v>
      </c>
      <c r="AS610" s="467" t="str">
        <f>IFERROR(VLOOKUP(Table_NFI[[#This Row],[Camp Name]],CL,3,0),"")</f>
        <v>Open</v>
      </c>
      <c r="AT610" s="294" t="str">
        <f ca="1">IF(Table_NFI[[#This Row],[Pcode]]="","",OFFSET(CampList[Priority],MATCH(Table_NFI[[#This Row],[Pcode]],CampList[CP_Pcode],0)-1,0,1,1))</f>
        <v>P1</v>
      </c>
      <c r="AU610" s="293">
        <f>IFERROR(Table_NFI[[#This Row],[Kitchen Set]]/VLOOKUP(Table_NFI[[#This Row],[Camp Name]],CL,4,0),"")</f>
        <v>0</v>
      </c>
      <c r="AV610" s="461"/>
      <c r="AW610" s="463"/>
    </row>
    <row r="611" spans="1:49" s="464" customFormat="1" ht="14.45" customHeight="1" x14ac:dyDescent="0.25">
      <c r="A611" s="297">
        <f t="shared" si="9"/>
        <v>38.133333333333333</v>
      </c>
      <c r="B611" s="460">
        <v>41592</v>
      </c>
      <c r="C611" s="461" t="s">
        <v>452</v>
      </c>
      <c r="D611" s="461" t="s">
        <v>573</v>
      </c>
      <c r="E611" s="461" t="s">
        <v>380</v>
      </c>
      <c r="F611" s="290" t="s">
        <v>5</v>
      </c>
      <c r="G611" s="290" t="s">
        <v>512</v>
      </c>
      <c r="H611" s="291"/>
      <c r="I611" s="291"/>
      <c r="J611" s="291"/>
      <c r="K611" s="291">
        <v>12</v>
      </c>
      <c r="L611" s="292">
        <v>9</v>
      </c>
      <c r="M611" s="292">
        <v>12</v>
      </c>
      <c r="N611" s="292">
        <v>9</v>
      </c>
      <c r="O611" s="292">
        <v>9</v>
      </c>
      <c r="P611" s="294"/>
      <c r="Q611" s="294"/>
      <c r="R611" s="294"/>
      <c r="S611" s="294"/>
      <c r="T611" s="294"/>
      <c r="U611" s="294"/>
      <c r="V611" s="431"/>
      <c r="W611" s="294"/>
      <c r="X611" s="294"/>
      <c r="Y611" s="294">
        <f>IF(NFI_Expiration=1,IF($A611&lt;VLOOKUP(H$5,NFI,5,0),1,0)*Table_NFI[[#This Row],[Hygiene Kit]],Table_NFI[Hygiene Kit])</f>
        <v>0</v>
      </c>
      <c r="Z611" s="294">
        <f>IF(NFI_Expiration=1,IF($A611&lt;VLOOKUP(I$5,NFI,5,0),1,0)*Table_NFI[[#This Row],[NFI Core Kit]],Table_NFI[NFI Core Kit])</f>
        <v>0</v>
      </c>
      <c r="AA611" s="294">
        <f>IF(NFI_Expiration=1,IF($A611&lt;VLOOKUP(J$5,NFI,5,0),1,0)*Table_NFI[[#This Row],[Sanitary Kit]],Table_NFI[Sanitary Kit])</f>
        <v>0</v>
      </c>
      <c r="AB611" s="294">
        <f>IF(NFI_Expiration=1,IF($A611&lt;VLOOKUP(K$5,NFI,5,0),1,0)*Table_NFI[[#This Row],[Mosquito net]],Table_NFI[Mosquito net])</f>
        <v>0</v>
      </c>
      <c r="AC611" s="294">
        <f>IF(NFI_Expiration=1,IF($A611&lt;VLOOKUP(L$5,NFI,5,0),1,0)*Table_NFI[[#This Row],[Tarpaulin]],Table_NFI[[#This Row],[Tarpaulin]])</f>
        <v>0</v>
      </c>
      <c r="AD611" s="294">
        <f>IF(NFI_Expiration=1,IF($A611&lt;VLOOKUP(M$5,NFI,5,0),1,0)*Table_NFI[[#This Row],[Blanket]],Table_NFI[[#This Row],[Blanket]])</f>
        <v>0</v>
      </c>
      <c r="AE611" s="294">
        <f>IF(NFI_Expiration=1,IF($A611&lt;VLOOKUP(N$5,NFI,5,0),1,0)*Table_NFI[[#This Row],[Kitchen Set]],Table_NFI[Kitchen Set])</f>
        <v>0</v>
      </c>
      <c r="AF611" s="294">
        <f>IF(NFI_Expiration=1,IF($A611&lt;VLOOKUP(O$5,NFI,5,0),1,0)*Table_NFI[[#This Row],[Clothes Kit]],Table_NFI[Clothes Kit])</f>
        <v>0</v>
      </c>
      <c r="AG611" s="294">
        <f>IF(NFI_Expiration=1,IF($A611&lt;VLOOKUP(P$5,NFI,5,0),1,0)*Table_NFI[[#This Row],[Plastic Bucket]],Table_NFI[Plastic Bucket])</f>
        <v>0</v>
      </c>
      <c r="AH611" s="294">
        <f>IF(NFI_Expiration=1,IF($A611&lt;VLOOKUP(Q$5,NFI,5,0),1,0)*Table_NFI[[#This Row],[Plastic Mat]],Table_NFI[Plastic Mat])*IF(Table_NFI[[#This Row],[Distribution Date]]&gt;"2014-04-01",1,2.5)</f>
        <v>0</v>
      </c>
      <c r="AI611" s="294">
        <f>IF(NFI_Expiration=1,IF($A611&lt;VLOOKUP(R$5,NFI,5,0),1,0)*Table_NFI[[#This Row],[Winter Clothes Adult]],Table_NFI[Winter Clothes Adult])</f>
        <v>0</v>
      </c>
      <c r="AJ611" s="294">
        <f>IF(NFI_Expiration=1,IF($A611&lt;VLOOKUP(S$5,NFI,5,0),1,0)*Table_NFI[[#This Row],[Winter Clothes Children]],Table_NFI[Winter Clothes Children])</f>
        <v>0</v>
      </c>
      <c r="AK611" s="294">
        <f>IF(NFI_Expiration=1,IF($A611&lt;VLOOKUP(T$5,NFI,5,0),1,0)*Table_NFI[[#This Row],[Winter Items Other]],Table_NFI[Winter Items Other])</f>
        <v>0</v>
      </c>
      <c r="AL611" s="294">
        <f>IF(NFI_Expiration=1,IF($A611&lt;VLOOKUP(M$5,NFI,5,0),1,0)*Table_NFI[[#This Row],[Winter Blanket]],Table_NFI[[#This Row],[Winter Blanket]])</f>
        <v>0</v>
      </c>
      <c r="AM611" s="294">
        <f>IF(Table_NFI[[#This Row],[Winter Clothes Adult]]+Table_NFI[[#This Row],[Winter Clothes Children]]+Table_NFI[[#This Row],[Winter Items Other]]+Table_NFI[[#This Row],[Winter Blanket]]&gt;0,1,0)</f>
        <v>0</v>
      </c>
      <c r="AN611" s="331">
        <f>IF(NFI_Expiration=1,IF($A611&lt;VLOOKUP(V$5,NFI,5,0),1,0)*Table_NFI[[#This Row],[Jerry Can]],Table_NFI[Jerry Can])</f>
        <v>0</v>
      </c>
      <c r="AO611" s="331">
        <f>IF(NFI_Expiration=1,IF($A611&lt;VLOOKUP(V$5,NFI,5,0),1,0)*Table_NFI[[#This Row],[Shelter Tool kit]],Table_NFI[Shelter Tool kit])</f>
        <v>0</v>
      </c>
      <c r="AP611" s="331">
        <f>IF(NFI_Expiration=1,IF($A611&lt;VLOOKUP(V$5,NFI,5,0),1,0)*Table_NFI[[#This Row],[Tent]],Table_NFI[Tent])</f>
        <v>0</v>
      </c>
      <c r="AQ611" s="467" t="str">
        <f>IFERROR(VLOOKUP(Table_NFI[[#This Row],[Camp Name]],CL,2,0),"")</f>
        <v>MMR001CMP194</v>
      </c>
      <c r="AR611" s="835">
        <f ca="1">IF(Table_NFI[[#This Row],[Pcode]]="","",IF(OFFSET(CampList[Opening Date],MATCH(Table_NFI[[#This Row],[Pcode]],CampList[CP_Pcode],0)-1,0,1,1)&gt;=NFI_Monitor_Date,1,0))</f>
        <v>0</v>
      </c>
      <c r="AS611" s="467" t="str">
        <f>IFERROR(VLOOKUP(Table_NFI[[#This Row],[Camp Name]],CL,3,0),"")</f>
        <v>Open</v>
      </c>
      <c r="AT611" s="294" t="str">
        <f ca="1">IF(Table_NFI[[#This Row],[Pcode]]="","",OFFSET(CampList[Priority],MATCH(Table_NFI[[#This Row],[Pcode]],CampList[CP_Pcode],0)-1,0,1,1))</f>
        <v>P4</v>
      </c>
      <c r="AU611" s="293">
        <f>IFERROR(Table_NFI[[#This Row],[Kitchen Set]]/VLOOKUP(Table_NFI[[#This Row],[Camp Name]],CL,4,0),"")</f>
        <v>2.2065854316326281E-4</v>
      </c>
      <c r="AV611" s="461" t="s">
        <v>1092</v>
      </c>
      <c r="AW611" s="463"/>
    </row>
    <row r="612" spans="1:49" s="464" customFormat="1" ht="14.45" customHeight="1" x14ac:dyDescent="0.25">
      <c r="A612" s="297">
        <f t="shared" si="9"/>
        <v>38.133333333333333</v>
      </c>
      <c r="B612" s="460">
        <v>41592</v>
      </c>
      <c r="C612" s="461" t="s">
        <v>905</v>
      </c>
      <c r="D612" s="461" t="s">
        <v>1002</v>
      </c>
      <c r="E612" s="461" t="s">
        <v>380</v>
      </c>
      <c r="F612" s="290" t="s">
        <v>151</v>
      </c>
      <c r="G612" s="461" t="s">
        <v>198</v>
      </c>
      <c r="H612" s="291"/>
      <c r="I612" s="291"/>
      <c r="J612" s="291"/>
      <c r="K612" s="291"/>
      <c r="L612" s="292"/>
      <c r="M612" s="292"/>
      <c r="N612" s="292"/>
      <c r="O612" s="292"/>
      <c r="P612" s="294"/>
      <c r="Q612" s="294"/>
      <c r="R612" s="294">
        <v>550</v>
      </c>
      <c r="S612" s="294">
        <v>1101</v>
      </c>
      <c r="T612" s="294">
        <v>3302</v>
      </c>
      <c r="U612" s="294">
        <v>1651</v>
      </c>
      <c r="V612" s="431"/>
      <c r="W612" s="294"/>
      <c r="X612" s="294"/>
      <c r="Y612" s="294">
        <f>IF(NFI_Expiration=1,IF($A612&lt;VLOOKUP(H$5,NFI,5,0),1,0)*Table_NFI[[#This Row],[Hygiene Kit]],Table_NFI[Hygiene Kit])</f>
        <v>0</v>
      </c>
      <c r="Z612" s="294">
        <f>IF(NFI_Expiration=1,IF($A612&lt;VLOOKUP(I$5,NFI,5,0),1,0)*Table_NFI[[#This Row],[NFI Core Kit]],Table_NFI[NFI Core Kit])</f>
        <v>0</v>
      </c>
      <c r="AA612" s="294">
        <f>IF(NFI_Expiration=1,IF($A612&lt;VLOOKUP(J$5,NFI,5,0),1,0)*Table_NFI[[#This Row],[Sanitary Kit]],Table_NFI[Sanitary Kit])</f>
        <v>0</v>
      </c>
      <c r="AB612" s="294">
        <f>IF(NFI_Expiration=1,IF($A612&lt;VLOOKUP(K$5,NFI,5,0),1,0)*Table_NFI[[#This Row],[Mosquito net]],Table_NFI[Mosquito net])</f>
        <v>0</v>
      </c>
      <c r="AC612" s="294">
        <f>IF(NFI_Expiration=1,IF($A612&lt;VLOOKUP(L$5,NFI,5,0),1,0)*Table_NFI[[#This Row],[Tarpaulin]],Table_NFI[[#This Row],[Tarpaulin]])</f>
        <v>0</v>
      </c>
      <c r="AD612" s="294">
        <f>IF(NFI_Expiration=1,IF($A612&lt;VLOOKUP(M$5,NFI,5,0),1,0)*Table_NFI[[#This Row],[Blanket]],Table_NFI[[#This Row],[Blanket]])</f>
        <v>0</v>
      </c>
      <c r="AE612" s="294">
        <f>IF(NFI_Expiration=1,IF($A612&lt;VLOOKUP(N$5,NFI,5,0),1,0)*Table_NFI[[#This Row],[Kitchen Set]],Table_NFI[Kitchen Set])</f>
        <v>0</v>
      </c>
      <c r="AF612" s="294">
        <f>IF(NFI_Expiration=1,IF($A612&lt;VLOOKUP(O$5,NFI,5,0),1,0)*Table_NFI[[#This Row],[Clothes Kit]],Table_NFI[Clothes Kit])</f>
        <v>0</v>
      </c>
      <c r="AG612" s="294">
        <f>IF(NFI_Expiration=1,IF($A612&lt;VLOOKUP(P$5,NFI,5,0),1,0)*Table_NFI[[#This Row],[Plastic Bucket]],Table_NFI[Plastic Bucket])</f>
        <v>0</v>
      </c>
      <c r="AH612" s="294">
        <f>IF(NFI_Expiration=1,IF($A612&lt;VLOOKUP(Q$5,NFI,5,0),1,0)*Table_NFI[[#This Row],[Plastic Mat]],Table_NFI[Plastic Mat])*IF(Table_NFI[[#This Row],[Distribution Date]]&gt;"2014-04-01",1,2.5)</f>
        <v>0</v>
      </c>
      <c r="AI612" s="294">
        <f>IF(NFI_Expiration=1,IF($A612&lt;VLOOKUP(R$5,NFI,5,0),1,0)*Table_NFI[[#This Row],[Winter Clothes Adult]],Table_NFI[Winter Clothes Adult])</f>
        <v>0</v>
      </c>
      <c r="AJ612" s="294">
        <f>IF(NFI_Expiration=1,IF($A612&lt;VLOOKUP(S$5,NFI,5,0),1,0)*Table_NFI[[#This Row],[Winter Clothes Children]],Table_NFI[Winter Clothes Children])</f>
        <v>0</v>
      </c>
      <c r="AK612" s="294">
        <f>IF(NFI_Expiration=1,IF($A612&lt;VLOOKUP(T$5,NFI,5,0),1,0)*Table_NFI[[#This Row],[Winter Items Other]],Table_NFI[Winter Items Other])</f>
        <v>0</v>
      </c>
      <c r="AL612" s="294">
        <f>IF(NFI_Expiration=1,IF($A612&lt;VLOOKUP(M$5,NFI,5,0),1,0)*Table_NFI[[#This Row],[Winter Blanket]],Table_NFI[[#This Row],[Winter Blanket]])</f>
        <v>0</v>
      </c>
      <c r="AM612" s="294">
        <f>IF(Table_NFI[[#This Row],[Winter Clothes Adult]]+Table_NFI[[#This Row],[Winter Clothes Children]]+Table_NFI[[#This Row],[Winter Items Other]]+Table_NFI[[#This Row],[Winter Blanket]]&gt;0,1,0)</f>
        <v>1</v>
      </c>
      <c r="AN612" s="331">
        <f>IF(NFI_Expiration=1,IF($A612&lt;VLOOKUP(V$5,NFI,5,0),1,0)*Table_NFI[[#This Row],[Jerry Can]],Table_NFI[Jerry Can])</f>
        <v>0</v>
      </c>
      <c r="AO612" s="331">
        <f>IF(NFI_Expiration=1,IF($A612&lt;VLOOKUP(V$5,NFI,5,0),1,0)*Table_NFI[[#This Row],[Shelter Tool kit]],Table_NFI[Shelter Tool kit])</f>
        <v>0</v>
      </c>
      <c r="AP612" s="331">
        <f>IF(NFI_Expiration=1,IF($A612&lt;VLOOKUP(V$5,NFI,5,0),1,0)*Table_NFI[[#This Row],[Tent]],Table_NFI[Tent])</f>
        <v>0</v>
      </c>
      <c r="AQ612" s="467" t="str">
        <f>IFERROR(VLOOKUP(Table_NFI[[#This Row],[Camp Name]],CL,2,0),"")</f>
        <v>MMR001CMP128</v>
      </c>
      <c r="AR612" s="835">
        <f ca="1">IF(Table_NFI[[#This Row],[Pcode]]="","",IF(OFFSET(CampList[Opening Date],MATCH(Table_NFI[[#This Row],[Pcode]],CampList[CP_Pcode],0)-1,0,1,1)&gt;=NFI_Monitor_Date,1,0))</f>
        <v>0</v>
      </c>
      <c r="AS612" s="467" t="str">
        <f>IFERROR(VLOOKUP(Table_NFI[[#This Row],[Camp Name]],CL,3,0),"")</f>
        <v>Open</v>
      </c>
      <c r="AT612" s="294" t="str">
        <f ca="1">IF(Table_NFI[[#This Row],[Pcode]]="","",OFFSET(CampList[Priority],MATCH(Table_NFI[[#This Row],[Pcode]],CampList[CP_Pcode],0)-1,0,1,1))</f>
        <v>P2</v>
      </c>
      <c r="AU612" s="293">
        <f>IFERROR(Table_NFI[[#This Row],[Kitchen Set]]/VLOOKUP(Table_NFI[[#This Row],[Camp Name]],CL,4,0),"")</f>
        <v>0</v>
      </c>
      <c r="AV612" s="461"/>
      <c r="AW612" s="463"/>
    </row>
    <row r="613" spans="1:49" s="464" customFormat="1" ht="14.45" customHeight="1" x14ac:dyDescent="0.25">
      <c r="A613" s="297">
        <f t="shared" si="9"/>
        <v>38.133333333333333</v>
      </c>
      <c r="B613" s="460">
        <v>41592</v>
      </c>
      <c r="C613" s="461" t="s">
        <v>453</v>
      </c>
      <c r="D613" s="461"/>
      <c r="E613" s="461" t="s">
        <v>380</v>
      </c>
      <c r="F613" s="461" t="s">
        <v>185</v>
      </c>
      <c r="G613" s="461" t="s">
        <v>186</v>
      </c>
      <c r="H613" s="291"/>
      <c r="I613" s="291"/>
      <c r="J613" s="291"/>
      <c r="K613" s="291"/>
      <c r="L613" s="292"/>
      <c r="M613" s="292">
        <v>75</v>
      </c>
      <c r="N613" s="292"/>
      <c r="O613" s="292"/>
      <c r="P613" s="294"/>
      <c r="Q613" s="294"/>
      <c r="R613" s="294"/>
      <c r="S613" s="294"/>
      <c r="T613" s="294"/>
      <c r="U613" s="294"/>
      <c r="V613" s="431"/>
      <c r="W613" s="294"/>
      <c r="X613" s="294"/>
      <c r="Y613" s="294">
        <f>IF(NFI_Expiration=1,IF($A613&lt;VLOOKUP(H$5,NFI,5,0),1,0)*Table_NFI[[#This Row],[Hygiene Kit]],Table_NFI[Hygiene Kit])</f>
        <v>0</v>
      </c>
      <c r="Z613" s="294">
        <f>IF(NFI_Expiration=1,IF($A613&lt;VLOOKUP(I$5,NFI,5,0),1,0)*Table_NFI[[#This Row],[NFI Core Kit]],Table_NFI[NFI Core Kit])</f>
        <v>0</v>
      </c>
      <c r="AA613" s="294">
        <f>IF(NFI_Expiration=1,IF($A613&lt;VLOOKUP(J$5,NFI,5,0),1,0)*Table_NFI[[#This Row],[Sanitary Kit]],Table_NFI[Sanitary Kit])</f>
        <v>0</v>
      </c>
      <c r="AB613" s="294">
        <f>IF(NFI_Expiration=1,IF($A613&lt;VLOOKUP(K$5,NFI,5,0),1,0)*Table_NFI[[#This Row],[Mosquito net]],Table_NFI[Mosquito net])</f>
        <v>0</v>
      </c>
      <c r="AC613" s="294">
        <f>IF(NFI_Expiration=1,IF($A613&lt;VLOOKUP(L$5,NFI,5,0),1,0)*Table_NFI[[#This Row],[Tarpaulin]],Table_NFI[[#This Row],[Tarpaulin]])</f>
        <v>0</v>
      </c>
      <c r="AD613" s="294">
        <f>IF(NFI_Expiration=1,IF($A613&lt;VLOOKUP(M$5,NFI,5,0),1,0)*Table_NFI[[#This Row],[Blanket]],Table_NFI[[#This Row],[Blanket]])</f>
        <v>0</v>
      </c>
      <c r="AE613" s="294">
        <f>IF(NFI_Expiration=1,IF($A613&lt;VLOOKUP(N$5,NFI,5,0),1,0)*Table_NFI[[#This Row],[Kitchen Set]],Table_NFI[Kitchen Set])</f>
        <v>0</v>
      </c>
      <c r="AF613" s="294">
        <f>IF(NFI_Expiration=1,IF($A613&lt;VLOOKUP(O$5,NFI,5,0),1,0)*Table_NFI[[#This Row],[Clothes Kit]],Table_NFI[Clothes Kit])</f>
        <v>0</v>
      </c>
      <c r="AG613" s="294">
        <f>IF(NFI_Expiration=1,IF($A613&lt;VLOOKUP(P$5,NFI,5,0),1,0)*Table_NFI[[#This Row],[Plastic Bucket]],Table_NFI[Plastic Bucket])</f>
        <v>0</v>
      </c>
      <c r="AH613" s="294">
        <f>IF(NFI_Expiration=1,IF($A613&lt;VLOOKUP(Q$5,NFI,5,0),1,0)*Table_NFI[[#This Row],[Plastic Mat]],Table_NFI[Plastic Mat])*IF(Table_NFI[[#This Row],[Distribution Date]]&gt;"2014-04-01",1,2.5)</f>
        <v>0</v>
      </c>
      <c r="AI613" s="294">
        <f>IF(NFI_Expiration=1,IF($A613&lt;VLOOKUP(R$5,NFI,5,0),1,0)*Table_NFI[[#This Row],[Winter Clothes Adult]],Table_NFI[Winter Clothes Adult])</f>
        <v>0</v>
      </c>
      <c r="AJ613" s="294">
        <f>IF(NFI_Expiration=1,IF($A613&lt;VLOOKUP(S$5,NFI,5,0),1,0)*Table_NFI[[#This Row],[Winter Clothes Children]],Table_NFI[Winter Clothes Children])</f>
        <v>0</v>
      </c>
      <c r="AK613" s="294">
        <f>IF(NFI_Expiration=1,IF($A613&lt;VLOOKUP(T$5,NFI,5,0),1,0)*Table_NFI[[#This Row],[Winter Items Other]],Table_NFI[Winter Items Other])</f>
        <v>0</v>
      </c>
      <c r="AL613" s="294">
        <f>IF(NFI_Expiration=1,IF($A613&lt;VLOOKUP(M$5,NFI,5,0),1,0)*Table_NFI[[#This Row],[Winter Blanket]],Table_NFI[[#This Row],[Winter Blanket]])</f>
        <v>0</v>
      </c>
      <c r="AM613" s="294">
        <f>IF(Table_NFI[[#This Row],[Winter Clothes Adult]]+Table_NFI[[#This Row],[Winter Clothes Children]]+Table_NFI[[#This Row],[Winter Items Other]]+Table_NFI[[#This Row],[Winter Blanket]]&gt;0,1,0)</f>
        <v>0</v>
      </c>
      <c r="AN613" s="331">
        <f>IF(NFI_Expiration=1,IF($A613&lt;VLOOKUP(V$5,NFI,5,0),1,0)*Table_NFI[[#This Row],[Jerry Can]],Table_NFI[Jerry Can])</f>
        <v>0</v>
      </c>
      <c r="AO613" s="331">
        <f>IF(NFI_Expiration=1,IF($A613&lt;VLOOKUP(V$5,NFI,5,0),1,0)*Table_NFI[[#This Row],[Shelter Tool kit]],Table_NFI[Shelter Tool kit])</f>
        <v>0</v>
      </c>
      <c r="AP613" s="331">
        <f>IF(NFI_Expiration=1,IF($A613&lt;VLOOKUP(V$5,NFI,5,0),1,0)*Table_NFI[[#This Row],[Tent]],Table_NFI[Tent])</f>
        <v>0</v>
      </c>
      <c r="AQ613" s="467" t="str">
        <f>IFERROR(VLOOKUP(Table_NFI[[#This Row],[Camp Name]],CL,2,0),"")</f>
        <v>MMR001CMP071</v>
      </c>
      <c r="AR613" s="835">
        <f ca="1">IF(Table_NFI[[#This Row],[Pcode]]="","",IF(OFFSET(CampList[Opening Date],MATCH(Table_NFI[[#This Row],[Pcode]],CampList[CP_Pcode],0)-1,0,1,1)&gt;=NFI_Monitor_Date,1,0))</f>
        <v>0</v>
      </c>
      <c r="AS613" s="467" t="str">
        <f>IFERROR(VLOOKUP(Table_NFI[[#This Row],[Camp Name]],CL,3,0),"")</f>
        <v>Open</v>
      </c>
      <c r="AT613" s="294" t="str">
        <f ca="1">IF(Table_NFI[[#This Row],[Pcode]]="","",OFFSET(CampList[Priority],MATCH(Table_NFI[[#This Row],[Pcode]],CampList[CP_Pcode],0)-1,0,1,1))</f>
        <v>P3</v>
      </c>
      <c r="AU613" s="293">
        <f>IFERROR(Table_NFI[[#This Row],[Kitchen Set]]/VLOOKUP(Table_NFI[[#This Row],[Camp Name]],CL,4,0),"")</f>
        <v>0</v>
      </c>
      <c r="AV613" s="461" t="s">
        <v>1092</v>
      </c>
      <c r="AW613" s="463"/>
    </row>
    <row r="614" spans="1:49" s="464" customFormat="1" ht="14.45" customHeight="1" x14ac:dyDescent="0.25">
      <c r="A614" s="297">
        <f t="shared" si="9"/>
        <v>38.133333333333333</v>
      </c>
      <c r="B614" s="460">
        <v>41592</v>
      </c>
      <c r="C614" s="461" t="s">
        <v>453</v>
      </c>
      <c r="D614" s="461"/>
      <c r="E614" s="461" t="s">
        <v>380</v>
      </c>
      <c r="F614" s="461" t="s">
        <v>151</v>
      </c>
      <c r="G614" s="461" t="s">
        <v>160</v>
      </c>
      <c r="H614" s="291"/>
      <c r="I614" s="291"/>
      <c r="J614" s="291"/>
      <c r="K614" s="291"/>
      <c r="L614" s="292"/>
      <c r="M614" s="292"/>
      <c r="N614" s="292"/>
      <c r="O614" s="292"/>
      <c r="P614" s="294"/>
      <c r="Q614" s="294"/>
      <c r="R614" s="294"/>
      <c r="S614" s="294">
        <v>32</v>
      </c>
      <c r="T614" s="294"/>
      <c r="U614" s="294"/>
      <c r="V614" s="431"/>
      <c r="W614" s="294"/>
      <c r="X614" s="294"/>
      <c r="Y614" s="294">
        <f>IF(NFI_Expiration=1,IF($A614&lt;VLOOKUP(H$5,NFI,5,0),1,0)*Table_NFI[[#This Row],[Hygiene Kit]],Table_NFI[Hygiene Kit])</f>
        <v>0</v>
      </c>
      <c r="Z614" s="294">
        <f>IF(NFI_Expiration=1,IF($A614&lt;VLOOKUP(I$5,NFI,5,0),1,0)*Table_NFI[[#This Row],[NFI Core Kit]],Table_NFI[NFI Core Kit])</f>
        <v>0</v>
      </c>
      <c r="AA614" s="294">
        <f>IF(NFI_Expiration=1,IF($A614&lt;VLOOKUP(J$5,NFI,5,0),1,0)*Table_NFI[[#This Row],[Sanitary Kit]],Table_NFI[Sanitary Kit])</f>
        <v>0</v>
      </c>
      <c r="AB614" s="294">
        <f>IF(NFI_Expiration=1,IF($A614&lt;VLOOKUP(K$5,NFI,5,0),1,0)*Table_NFI[[#This Row],[Mosquito net]],Table_NFI[Mosquito net])</f>
        <v>0</v>
      </c>
      <c r="AC614" s="294">
        <f>IF(NFI_Expiration=1,IF($A614&lt;VLOOKUP(L$5,NFI,5,0),1,0)*Table_NFI[[#This Row],[Tarpaulin]],Table_NFI[[#This Row],[Tarpaulin]])</f>
        <v>0</v>
      </c>
      <c r="AD614" s="294">
        <f>IF(NFI_Expiration=1,IF($A614&lt;VLOOKUP(M$5,NFI,5,0),1,0)*Table_NFI[[#This Row],[Blanket]],Table_NFI[[#This Row],[Blanket]])</f>
        <v>0</v>
      </c>
      <c r="AE614" s="294">
        <f>IF(NFI_Expiration=1,IF($A614&lt;VLOOKUP(N$5,NFI,5,0),1,0)*Table_NFI[[#This Row],[Kitchen Set]],Table_NFI[Kitchen Set])</f>
        <v>0</v>
      </c>
      <c r="AF614" s="294">
        <f>IF(NFI_Expiration=1,IF($A614&lt;VLOOKUP(O$5,NFI,5,0),1,0)*Table_NFI[[#This Row],[Clothes Kit]],Table_NFI[Clothes Kit])</f>
        <v>0</v>
      </c>
      <c r="AG614" s="294">
        <f>IF(NFI_Expiration=1,IF($A614&lt;VLOOKUP(P$5,NFI,5,0),1,0)*Table_NFI[[#This Row],[Plastic Bucket]],Table_NFI[Plastic Bucket])</f>
        <v>0</v>
      </c>
      <c r="AH614" s="294">
        <f>IF(NFI_Expiration=1,IF($A614&lt;VLOOKUP(Q$5,NFI,5,0),1,0)*Table_NFI[[#This Row],[Plastic Mat]],Table_NFI[Plastic Mat])*IF(Table_NFI[[#This Row],[Distribution Date]]&gt;"2014-04-01",1,2.5)</f>
        <v>0</v>
      </c>
      <c r="AI614" s="294">
        <f>IF(NFI_Expiration=1,IF($A614&lt;VLOOKUP(R$5,NFI,5,0),1,0)*Table_NFI[[#This Row],[Winter Clothes Adult]],Table_NFI[Winter Clothes Adult])</f>
        <v>0</v>
      </c>
      <c r="AJ614" s="294">
        <f>IF(NFI_Expiration=1,IF($A614&lt;VLOOKUP(S$5,NFI,5,0),1,0)*Table_NFI[[#This Row],[Winter Clothes Children]],Table_NFI[Winter Clothes Children])</f>
        <v>0</v>
      </c>
      <c r="AK614" s="294">
        <f>IF(NFI_Expiration=1,IF($A614&lt;VLOOKUP(T$5,NFI,5,0),1,0)*Table_NFI[[#This Row],[Winter Items Other]],Table_NFI[Winter Items Other])</f>
        <v>0</v>
      </c>
      <c r="AL614" s="294">
        <f>IF(NFI_Expiration=1,IF($A614&lt;VLOOKUP(M$5,NFI,5,0),1,0)*Table_NFI[[#This Row],[Winter Blanket]],Table_NFI[[#This Row],[Winter Blanket]])</f>
        <v>0</v>
      </c>
      <c r="AM614" s="294">
        <f>IF(Table_NFI[[#This Row],[Winter Clothes Adult]]+Table_NFI[[#This Row],[Winter Clothes Children]]+Table_NFI[[#This Row],[Winter Items Other]]+Table_NFI[[#This Row],[Winter Blanket]]&gt;0,1,0)</f>
        <v>1</v>
      </c>
      <c r="AN614" s="331">
        <f>IF(NFI_Expiration=1,IF($A614&lt;VLOOKUP(V$5,NFI,5,0),1,0)*Table_NFI[[#This Row],[Jerry Can]],Table_NFI[Jerry Can])</f>
        <v>0</v>
      </c>
      <c r="AO614" s="331">
        <f>IF(NFI_Expiration=1,IF($A614&lt;VLOOKUP(V$5,NFI,5,0),1,0)*Table_NFI[[#This Row],[Shelter Tool kit]],Table_NFI[Shelter Tool kit])</f>
        <v>0</v>
      </c>
      <c r="AP614" s="331">
        <f>IF(NFI_Expiration=1,IF($A614&lt;VLOOKUP(V$5,NFI,5,0),1,0)*Table_NFI[[#This Row],[Tent]],Table_NFI[Tent])</f>
        <v>0</v>
      </c>
      <c r="AQ614" s="467" t="str">
        <f>IFERROR(VLOOKUP(Table_NFI[[#This Row],[Camp Name]],CL,2,0),"")</f>
        <v>MMR001CMP133</v>
      </c>
      <c r="AR614" s="835">
        <f ca="1">IF(Table_NFI[[#This Row],[Pcode]]="","",IF(OFFSET(CampList[Opening Date],MATCH(Table_NFI[[#This Row],[Pcode]],CampList[CP_Pcode],0)-1,0,1,1)&gt;=NFI_Monitor_Date,1,0))</f>
        <v>0</v>
      </c>
      <c r="AS614" s="467" t="str">
        <f>IFERROR(VLOOKUP(Table_NFI[[#This Row],[Camp Name]],CL,3,0),"")</f>
        <v>Open</v>
      </c>
      <c r="AT614" s="294" t="str">
        <f ca="1">IF(Table_NFI[[#This Row],[Pcode]]="","",OFFSET(CampList[Priority],MATCH(Table_NFI[[#This Row],[Pcode]],CampList[CP_Pcode],0)-1,0,1,1))</f>
        <v>P4</v>
      </c>
      <c r="AU614" s="293">
        <f>IFERROR(Table_NFI[[#This Row],[Kitchen Set]]/VLOOKUP(Table_NFI[[#This Row],[Camp Name]],CL,4,0),"")</f>
        <v>0</v>
      </c>
      <c r="AV614" s="461" t="s">
        <v>1092</v>
      </c>
      <c r="AW614" s="463"/>
    </row>
    <row r="615" spans="1:49" s="464" customFormat="1" ht="14.45" customHeight="1" x14ac:dyDescent="0.25">
      <c r="A615" s="297">
        <f t="shared" si="9"/>
        <v>38.133333333333333</v>
      </c>
      <c r="B615" s="460">
        <v>41592</v>
      </c>
      <c r="C615" s="461" t="s">
        <v>905</v>
      </c>
      <c r="D615" s="461" t="s">
        <v>905</v>
      </c>
      <c r="E615" s="461" t="s">
        <v>380</v>
      </c>
      <c r="F615" s="461" t="s">
        <v>151</v>
      </c>
      <c r="G615" s="461" t="s">
        <v>154</v>
      </c>
      <c r="H615" s="291"/>
      <c r="I615" s="291"/>
      <c r="J615" s="291"/>
      <c r="K615" s="291"/>
      <c r="L615" s="292"/>
      <c r="M615" s="292"/>
      <c r="N615" s="292"/>
      <c r="O615" s="292"/>
      <c r="P615" s="294"/>
      <c r="Q615" s="294"/>
      <c r="R615" s="294"/>
      <c r="S615" s="294">
        <v>176</v>
      </c>
      <c r="T615" s="294">
        <v>352</v>
      </c>
      <c r="U615" s="294">
        <v>176</v>
      </c>
      <c r="V615" s="431"/>
      <c r="W615" s="294"/>
      <c r="X615" s="294"/>
      <c r="Y615" s="294">
        <f>IF(NFI_Expiration=1,IF($A615&lt;VLOOKUP(H$5,NFI,5,0),1,0)*Table_NFI[[#This Row],[Hygiene Kit]],Table_NFI[Hygiene Kit])</f>
        <v>0</v>
      </c>
      <c r="Z615" s="294">
        <f>IF(NFI_Expiration=1,IF($A615&lt;VLOOKUP(I$5,NFI,5,0),1,0)*Table_NFI[[#This Row],[NFI Core Kit]],Table_NFI[NFI Core Kit])</f>
        <v>0</v>
      </c>
      <c r="AA615" s="294">
        <f>IF(NFI_Expiration=1,IF($A615&lt;VLOOKUP(J$5,NFI,5,0),1,0)*Table_NFI[[#This Row],[Sanitary Kit]],Table_NFI[Sanitary Kit])</f>
        <v>0</v>
      </c>
      <c r="AB615" s="294">
        <f>IF(NFI_Expiration=1,IF($A615&lt;VLOOKUP(K$5,NFI,5,0),1,0)*Table_NFI[[#This Row],[Mosquito net]],Table_NFI[Mosquito net])</f>
        <v>0</v>
      </c>
      <c r="AC615" s="294">
        <f>IF(NFI_Expiration=1,IF($A615&lt;VLOOKUP(L$5,NFI,5,0),1,0)*Table_NFI[[#This Row],[Tarpaulin]],Table_NFI[[#This Row],[Tarpaulin]])</f>
        <v>0</v>
      </c>
      <c r="AD615" s="294">
        <f>IF(NFI_Expiration=1,IF($A615&lt;VLOOKUP(M$5,NFI,5,0),1,0)*Table_NFI[[#This Row],[Blanket]],Table_NFI[[#This Row],[Blanket]])</f>
        <v>0</v>
      </c>
      <c r="AE615" s="294">
        <f>IF(NFI_Expiration=1,IF($A615&lt;VLOOKUP(N$5,NFI,5,0),1,0)*Table_NFI[[#This Row],[Kitchen Set]],Table_NFI[Kitchen Set])</f>
        <v>0</v>
      </c>
      <c r="AF615" s="294">
        <f>IF(NFI_Expiration=1,IF($A615&lt;VLOOKUP(O$5,NFI,5,0),1,0)*Table_NFI[[#This Row],[Clothes Kit]],Table_NFI[Clothes Kit])</f>
        <v>0</v>
      </c>
      <c r="AG615" s="294">
        <f>IF(NFI_Expiration=1,IF($A615&lt;VLOOKUP(P$5,NFI,5,0),1,0)*Table_NFI[[#This Row],[Plastic Bucket]],Table_NFI[Plastic Bucket])</f>
        <v>0</v>
      </c>
      <c r="AH615" s="294">
        <f>IF(NFI_Expiration=1,IF($A615&lt;VLOOKUP(Q$5,NFI,5,0),1,0)*Table_NFI[[#This Row],[Plastic Mat]],Table_NFI[Plastic Mat])*IF(Table_NFI[[#This Row],[Distribution Date]]&gt;"2014-04-01",1,2.5)</f>
        <v>0</v>
      </c>
      <c r="AI615" s="294">
        <f>IF(NFI_Expiration=1,IF($A615&lt;VLOOKUP(R$5,NFI,5,0),1,0)*Table_NFI[[#This Row],[Winter Clothes Adult]],Table_NFI[Winter Clothes Adult])</f>
        <v>0</v>
      </c>
      <c r="AJ615" s="294">
        <f>IF(NFI_Expiration=1,IF($A615&lt;VLOOKUP(S$5,NFI,5,0),1,0)*Table_NFI[[#This Row],[Winter Clothes Children]],Table_NFI[Winter Clothes Children])</f>
        <v>0</v>
      </c>
      <c r="AK615" s="294">
        <f>IF(NFI_Expiration=1,IF($A615&lt;VLOOKUP(T$5,NFI,5,0),1,0)*Table_NFI[[#This Row],[Winter Items Other]],Table_NFI[Winter Items Other])</f>
        <v>0</v>
      </c>
      <c r="AL615" s="294">
        <f>IF(NFI_Expiration=1,IF($A615&lt;VLOOKUP(M$5,NFI,5,0),1,0)*Table_NFI[[#This Row],[Winter Blanket]],Table_NFI[[#This Row],[Winter Blanket]])</f>
        <v>0</v>
      </c>
      <c r="AM615" s="294">
        <f>IF(Table_NFI[[#This Row],[Winter Clothes Adult]]+Table_NFI[[#This Row],[Winter Clothes Children]]+Table_NFI[[#This Row],[Winter Items Other]]+Table_NFI[[#This Row],[Winter Blanket]]&gt;0,1,0)</f>
        <v>1</v>
      </c>
      <c r="AN615" s="331">
        <f>IF(NFI_Expiration=1,IF($A615&lt;VLOOKUP(V$5,NFI,5,0),1,0)*Table_NFI[[#This Row],[Jerry Can]],Table_NFI[Jerry Can])</f>
        <v>0</v>
      </c>
      <c r="AO615" s="331">
        <f>IF(NFI_Expiration=1,IF($A615&lt;VLOOKUP(V$5,NFI,5,0),1,0)*Table_NFI[[#This Row],[Shelter Tool kit]],Table_NFI[Shelter Tool kit])</f>
        <v>0</v>
      </c>
      <c r="AP615" s="331">
        <f>IF(NFI_Expiration=1,IF($A615&lt;VLOOKUP(V$5,NFI,5,0),1,0)*Table_NFI[[#This Row],[Tent]],Table_NFI[Tent])</f>
        <v>0</v>
      </c>
      <c r="AQ615" s="467" t="str">
        <f>IFERROR(VLOOKUP(Table_NFI[[#This Row],[Camp Name]],CL,2,0),"")</f>
        <v>MMR001CMP132</v>
      </c>
      <c r="AR615" s="835">
        <f ca="1">IF(Table_NFI[[#This Row],[Pcode]]="","",IF(OFFSET(CampList[Opening Date],MATCH(Table_NFI[[#This Row],[Pcode]],CampList[CP_Pcode],0)-1,0,1,1)&gt;=NFI_Monitor_Date,1,0))</f>
        <v>0</v>
      </c>
      <c r="AS615" s="467" t="str">
        <f>IFERROR(VLOOKUP(Table_NFI[[#This Row],[Camp Name]],CL,3,0),"")</f>
        <v>Open</v>
      </c>
      <c r="AT615" s="294" t="str">
        <f ca="1">IF(Table_NFI[[#This Row],[Pcode]]="","",OFFSET(CampList[Priority],MATCH(Table_NFI[[#This Row],[Pcode]],CampList[CP_Pcode],0)-1,0,1,1))</f>
        <v>P4</v>
      </c>
      <c r="AU615" s="293">
        <f>IFERROR(Table_NFI[[#This Row],[Kitchen Set]]/VLOOKUP(Table_NFI[[#This Row],[Camp Name]],CL,4,0),"")</f>
        <v>0</v>
      </c>
      <c r="AV615" s="461"/>
      <c r="AW615" s="463"/>
    </row>
    <row r="616" spans="1:49" s="464" customFormat="1" ht="14.45" customHeight="1" x14ac:dyDescent="0.25">
      <c r="A616" s="297">
        <f t="shared" si="9"/>
        <v>38.133333333333333</v>
      </c>
      <c r="B616" s="460">
        <v>41592</v>
      </c>
      <c r="C616" s="461" t="s">
        <v>452</v>
      </c>
      <c r="D616" s="461" t="s">
        <v>452</v>
      </c>
      <c r="E616" s="461" t="s">
        <v>380</v>
      </c>
      <c r="F616" s="290" t="s">
        <v>151</v>
      </c>
      <c r="G616" s="290" t="s">
        <v>152</v>
      </c>
      <c r="H616" s="291"/>
      <c r="I616" s="291"/>
      <c r="J616" s="291">
        <v>18</v>
      </c>
      <c r="K616" s="291">
        <v>31</v>
      </c>
      <c r="L616" s="292">
        <v>18</v>
      </c>
      <c r="M616" s="292">
        <v>31</v>
      </c>
      <c r="N616" s="292">
        <v>18</v>
      </c>
      <c r="O616" s="292">
        <v>18</v>
      </c>
      <c r="P616" s="294"/>
      <c r="Q616" s="294"/>
      <c r="R616" s="294"/>
      <c r="S616" s="294"/>
      <c r="T616" s="294"/>
      <c r="U616" s="294"/>
      <c r="V616" s="431"/>
      <c r="W616" s="294"/>
      <c r="X616" s="294"/>
      <c r="Y616" s="294">
        <f>IF(NFI_Expiration=1,IF($A616&lt;VLOOKUP(H$5,NFI,5,0),1,0)*Table_NFI[[#This Row],[Hygiene Kit]],Table_NFI[Hygiene Kit])</f>
        <v>0</v>
      </c>
      <c r="Z616" s="294">
        <f>IF(NFI_Expiration=1,IF($A616&lt;VLOOKUP(I$5,NFI,5,0),1,0)*Table_NFI[[#This Row],[NFI Core Kit]],Table_NFI[NFI Core Kit])</f>
        <v>0</v>
      </c>
      <c r="AA616" s="294">
        <f>IF(NFI_Expiration=1,IF($A616&lt;VLOOKUP(J$5,NFI,5,0),1,0)*Table_NFI[[#This Row],[Sanitary Kit]],Table_NFI[Sanitary Kit])</f>
        <v>0</v>
      </c>
      <c r="AB616" s="294">
        <f>IF(NFI_Expiration=1,IF($A616&lt;VLOOKUP(K$5,NFI,5,0),1,0)*Table_NFI[[#This Row],[Mosquito net]],Table_NFI[Mosquito net])</f>
        <v>0</v>
      </c>
      <c r="AC616" s="294">
        <f>IF(NFI_Expiration=1,IF($A616&lt;VLOOKUP(L$5,NFI,5,0),1,0)*Table_NFI[[#This Row],[Tarpaulin]],Table_NFI[[#This Row],[Tarpaulin]])</f>
        <v>0</v>
      </c>
      <c r="AD616" s="294">
        <f>IF(NFI_Expiration=1,IF($A616&lt;VLOOKUP(M$5,NFI,5,0),1,0)*Table_NFI[[#This Row],[Blanket]],Table_NFI[[#This Row],[Blanket]])</f>
        <v>0</v>
      </c>
      <c r="AE616" s="294">
        <f>IF(NFI_Expiration=1,IF($A616&lt;VLOOKUP(N$5,NFI,5,0),1,0)*Table_NFI[[#This Row],[Kitchen Set]],Table_NFI[Kitchen Set])</f>
        <v>0</v>
      </c>
      <c r="AF616" s="294">
        <f>IF(NFI_Expiration=1,IF($A616&lt;VLOOKUP(O$5,NFI,5,0),1,0)*Table_NFI[[#This Row],[Clothes Kit]],Table_NFI[Clothes Kit])</f>
        <v>0</v>
      </c>
      <c r="AG616" s="294">
        <f>IF(NFI_Expiration=1,IF($A616&lt;VLOOKUP(P$5,NFI,5,0),1,0)*Table_NFI[[#This Row],[Plastic Bucket]],Table_NFI[Plastic Bucket])</f>
        <v>0</v>
      </c>
      <c r="AH616" s="294">
        <f>IF(NFI_Expiration=1,IF($A616&lt;VLOOKUP(Q$5,NFI,5,0),1,0)*Table_NFI[[#This Row],[Plastic Mat]],Table_NFI[Plastic Mat])*IF(Table_NFI[[#This Row],[Distribution Date]]&gt;"2014-04-01",1,2.5)</f>
        <v>0</v>
      </c>
      <c r="AI616" s="294">
        <f>IF(NFI_Expiration=1,IF($A616&lt;VLOOKUP(R$5,NFI,5,0),1,0)*Table_NFI[[#This Row],[Winter Clothes Adult]],Table_NFI[Winter Clothes Adult])</f>
        <v>0</v>
      </c>
      <c r="AJ616" s="294">
        <f>IF(NFI_Expiration=1,IF($A616&lt;VLOOKUP(S$5,NFI,5,0),1,0)*Table_NFI[[#This Row],[Winter Clothes Children]],Table_NFI[Winter Clothes Children])</f>
        <v>0</v>
      </c>
      <c r="AK616" s="294">
        <f>IF(NFI_Expiration=1,IF($A616&lt;VLOOKUP(T$5,NFI,5,0),1,0)*Table_NFI[[#This Row],[Winter Items Other]],Table_NFI[Winter Items Other])</f>
        <v>0</v>
      </c>
      <c r="AL616" s="294">
        <f>IF(NFI_Expiration=1,IF($A616&lt;VLOOKUP(M$5,NFI,5,0),1,0)*Table_NFI[[#This Row],[Winter Blanket]],Table_NFI[[#This Row],[Winter Blanket]])</f>
        <v>0</v>
      </c>
      <c r="AM616" s="294">
        <f>IF(Table_NFI[[#This Row],[Winter Clothes Adult]]+Table_NFI[[#This Row],[Winter Clothes Children]]+Table_NFI[[#This Row],[Winter Items Other]]+Table_NFI[[#This Row],[Winter Blanket]]&gt;0,1,0)</f>
        <v>0</v>
      </c>
      <c r="AN616" s="331">
        <f>IF(NFI_Expiration=1,IF($A616&lt;VLOOKUP(V$5,NFI,5,0),1,0)*Table_NFI[[#This Row],[Jerry Can]],Table_NFI[Jerry Can])</f>
        <v>0</v>
      </c>
      <c r="AO616" s="331">
        <f>IF(NFI_Expiration=1,IF($A616&lt;VLOOKUP(V$5,NFI,5,0),1,0)*Table_NFI[[#This Row],[Shelter Tool kit]],Table_NFI[Shelter Tool kit])</f>
        <v>0</v>
      </c>
      <c r="AP616" s="331">
        <f>IF(NFI_Expiration=1,IF($A616&lt;VLOOKUP(V$5,NFI,5,0),1,0)*Table_NFI[[#This Row],[Tent]],Table_NFI[Tent])</f>
        <v>0</v>
      </c>
      <c r="AQ616" s="467" t="str">
        <f>IFERROR(VLOOKUP(Table_NFI[[#This Row],[Camp Name]],CL,2,0),"")</f>
        <v>MMR001CMP066</v>
      </c>
      <c r="AR616" s="835">
        <f ca="1">IF(Table_NFI[[#This Row],[Pcode]]="","",IF(OFFSET(CampList[Opening Date],MATCH(Table_NFI[[#This Row],[Pcode]],CampList[CP_Pcode],0)-1,0,1,1)&gt;=NFI_Monitor_Date,1,0))</f>
        <v>0</v>
      </c>
      <c r="AS616" s="467" t="str">
        <f>IFERROR(VLOOKUP(Table_NFI[[#This Row],[Camp Name]],CL,3,0),"")</f>
        <v>Open</v>
      </c>
      <c r="AT616" s="294" t="str">
        <f ca="1">IF(Table_NFI[[#This Row],[Pcode]]="","",OFFSET(CampList[Priority],MATCH(Table_NFI[[#This Row],[Pcode]],CampList[CP_Pcode],0)-1,0,1,1))</f>
        <v>P4</v>
      </c>
      <c r="AU616" s="293">
        <f>IFERROR(Table_NFI[[#This Row],[Kitchen Set]]/VLOOKUP(Table_NFI[[#This Row],[Camp Name]],CL,4,0),"")</f>
        <v>4.3291084441665265E-4</v>
      </c>
      <c r="AV616" s="461" t="s">
        <v>1092</v>
      </c>
      <c r="AW616" s="463"/>
    </row>
    <row r="617" spans="1:49" s="464" customFormat="1" ht="14.45" customHeight="1" x14ac:dyDescent="0.25">
      <c r="A617" s="297">
        <f t="shared" si="9"/>
        <v>38.133333333333333</v>
      </c>
      <c r="B617" s="460">
        <v>41592</v>
      </c>
      <c r="C617" s="461" t="s">
        <v>905</v>
      </c>
      <c r="D617" s="461" t="s">
        <v>905</v>
      </c>
      <c r="E617" s="461" t="s">
        <v>380</v>
      </c>
      <c r="F617" s="461" t="s">
        <v>151</v>
      </c>
      <c r="G617" s="461" t="s">
        <v>516</v>
      </c>
      <c r="H617" s="291"/>
      <c r="I617" s="291"/>
      <c r="J617" s="291"/>
      <c r="K617" s="291"/>
      <c r="L617" s="292"/>
      <c r="M617" s="292"/>
      <c r="N617" s="292"/>
      <c r="O617" s="292"/>
      <c r="P617" s="294"/>
      <c r="Q617" s="294"/>
      <c r="R617" s="294">
        <v>120</v>
      </c>
      <c r="S617" s="294">
        <v>207</v>
      </c>
      <c r="T617" s="294">
        <v>654</v>
      </c>
      <c r="U617" s="294">
        <v>327</v>
      </c>
      <c r="V617" s="431"/>
      <c r="W617" s="294"/>
      <c r="X617" s="294"/>
      <c r="Y617" s="294">
        <f>IF(NFI_Expiration=1,IF($A617&lt;VLOOKUP(H$5,NFI,5,0),1,0)*Table_NFI[[#This Row],[Hygiene Kit]],Table_NFI[Hygiene Kit])</f>
        <v>0</v>
      </c>
      <c r="Z617" s="294">
        <f>IF(NFI_Expiration=1,IF($A617&lt;VLOOKUP(I$5,NFI,5,0),1,0)*Table_NFI[[#This Row],[NFI Core Kit]],Table_NFI[NFI Core Kit])</f>
        <v>0</v>
      </c>
      <c r="AA617" s="294">
        <f>IF(NFI_Expiration=1,IF($A617&lt;VLOOKUP(J$5,NFI,5,0),1,0)*Table_NFI[[#This Row],[Sanitary Kit]],Table_NFI[Sanitary Kit])</f>
        <v>0</v>
      </c>
      <c r="AB617" s="294">
        <f>IF(NFI_Expiration=1,IF($A617&lt;VLOOKUP(K$5,NFI,5,0),1,0)*Table_NFI[[#This Row],[Mosquito net]],Table_NFI[Mosquito net])</f>
        <v>0</v>
      </c>
      <c r="AC617" s="294">
        <f>IF(NFI_Expiration=1,IF($A617&lt;VLOOKUP(L$5,NFI,5,0),1,0)*Table_NFI[[#This Row],[Tarpaulin]],Table_NFI[[#This Row],[Tarpaulin]])</f>
        <v>0</v>
      </c>
      <c r="AD617" s="294">
        <f>IF(NFI_Expiration=1,IF($A617&lt;VLOOKUP(M$5,NFI,5,0),1,0)*Table_NFI[[#This Row],[Blanket]],Table_NFI[[#This Row],[Blanket]])</f>
        <v>0</v>
      </c>
      <c r="AE617" s="294">
        <f>IF(NFI_Expiration=1,IF($A617&lt;VLOOKUP(N$5,NFI,5,0),1,0)*Table_NFI[[#This Row],[Kitchen Set]],Table_NFI[Kitchen Set])</f>
        <v>0</v>
      </c>
      <c r="AF617" s="294">
        <f>IF(NFI_Expiration=1,IF($A617&lt;VLOOKUP(O$5,NFI,5,0),1,0)*Table_NFI[[#This Row],[Clothes Kit]],Table_NFI[Clothes Kit])</f>
        <v>0</v>
      </c>
      <c r="AG617" s="294">
        <f>IF(NFI_Expiration=1,IF($A617&lt;VLOOKUP(P$5,NFI,5,0),1,0)*Table_NFI[[#This Row],[Plastic Bucket]],Table_NFI[Plastic Bucket])</f>
        <v>0</v>
      </c>
      <c r="AH617" s="294">
        <f>IF(NFI_Expiration=1,IF($A617&lt;VLOOKUP(Q$5,NFI,5,0),1,0)*Table_NFI[[#This Row],[Plastic Mat]],Table_NFI[Plastic Mat])*IF(Table_NFI[[#This Row],[Distribution Date]]&gt;"2014-04-01",1,2.5)</f>
        <v>0</v>
      </c>
      <c r="AI617" s="294">
        <f>IF(NFI_Expiration=1,IF($A617&lt;VLOOKUP(R$5,NFI,5,0),1,0)*Table_NFI[[#This Row],[Winter Clothes Adult]],Table_NFI[Winter Clothes Adult])</f>
        <v>0</v>
      </c>
      <c r="AJ617" s="294">
        <f>IF(NFI_Expiration=1,IF($A617&lt;VLOOKUP(S$5,NFI,5,0),1,0)*Table_NFI[[#This Row],[Winter Clothes Children]],Table_NFI[Winter Clothes Children])</f>
        <v>0</v>
      </c>
      <c r="AK617" s="294">
        <f>IF(NFI_Expiration=1,IF($A617&lt;VLOOKUP(T$5,NFI,5,0),1,0)*Table_NFI[[#This Row],[Winter Items Other]],Table_NFI[Winter Items Other])</f>
        <v>0</v>
      </c>
      <c r="AL617" s="294">
        <f>IF(NFI_Expiration=1,IF($A617&lt;VLOOKUP(M$5,NFI,5,0),1,0)*Table_NFI[[#This Row],[Winter Blanket]],Table_NFI[[#This Row],[Winter Blanket]])</f>
        <v>0</v>
      </c>
      <c r="AM617" s="294">
        <f>IF(Table_NFI[[#This Row],[Winter Clothes Adult]]+Table_NFI[[#This Row],[Winter Clothes Children]]+Table_NFI[[#This Row],[Winter Items Other]]+Table_NFI[[#This Row],[Winter Blanket]]&gt;0,1,0)</f>
        <v>1</v>
      </c>
      <c r="AN617" s="331">
        <f>IF(NFI_Expiration=1,IF($A617&lt;VLOOKUP(V$5,NFI,5,0),1,0)*Table_NFI[[#This Row],[Jerry Can]],Table_NFI[Jerry Can])</f>
        <v>0</v>
      </c>
      <c r="AO617" s="331">
        <f>IF(NFI_Expiration=1,IF($A617&lt;VLOOKUP(V$5,NFI,5,0),1,0)*Table_NFI[[#This Row],[Shelter Tool kit]],Table_NFI[Shelter Tool kit])</f>
        <v>0</v>
      </c>
      <c r="AP617" s="331">
        <f>IF(NFI_Expiration=1,IF($A617&lt;VLOOKUP(V$5,NFI,5,0),1,0)*Table_NFI[[#This Row],[Tent]],Table_NFI[Tent])</f>
        <v>0</v>
      </c>
      <c r="AQ617" s="467" t="str">
        <f>IFERROR(VLOOKUP(Table_NFI[[#This Row],[Camp Name]],CL,2,0),"")</f>
        <v>MMR001CMP202</v>
      </c>
      <c r="AR617" s="835">
        <f ca="1">IF(Table_NFI[[#This Row],[Pcode]]="","",IF(OFFSET(CampList[Opening Date],MATCH(Table_NFI[[#This Row],[Pcode]],CampList[CP_Pcode],0)-1,0,1,1)&gt;=NFI_Monitor_Date,1,0))</f>
        <v>0</v>
      </c>
      <c r="AS617" s="467" t="str">
        <f>IFERROR(VLOOKUP(Table_NFI[[#This Row],[Camp Name]],CL,3,0),"")</f>
        <v>Closed</v>
      </c>
      <c r="AT617" s="294" t="str">
        <f ca="1">IF(Table_NFI[[#This Row],[Pcode]]="","",OFFSET(CampList[Priority],MATCH(Table_NFI[[#This Row],[Pcode]],CampList[CP_Pcode],0)-1,0,1,1))</f>
        <v>P4</v>
      </c>
      <c r="AU617" s="293">
        <f>IFERROR(Table_NFI[[#This Row],[Kitchen Set]]/VLOOKUP(Table_NFI[[#This Row],[Camp Name]],CL,4,0),"")</f>
        <v>0</v>
      </c>
      <c r="AV617" s="461"/>
      <c r="AW617" s="463"/>
    </row>
    <row r="618" spans="1:49" s="464" customFormat="1" ht="14.45" customHeight="1" x14ac:dyDescent="0.25">
      <c r="A618" s="297">
        <f t="shared" si="9"/>
        <v>38.133333333333333</v>
      </c>
      <c r="B618" s="460">
        <v>41592</v>
      </c>
      <c r="C618" s="461" t="s">
        <v>453</v>
      </c>
      <c r="D618" s="461"/>
      <c r="E618" s="461" t="s">
        <v>380</v>
      </c>
      <c r="F618" s="461" t="s">
        <v>185</v>
      </c>
      <c r="G618" s="461" t="s">
        <v>225</v>
      </c>
      <c r="H618" s="291"/>
      <c r="I618" s="291"/>
      <c r="J618" s="291"/>
      <c r="K618" s="291"/>
      <c r="L618" s="292"/>
      <c r="M618" s="292">
        <v>110</v>
      </c>
      <c r="N618" s="292"/>
      <c r="O618" s="292"/>
      <c r="P618" s="294"/>
      <c r="Q618" s="294"/>
      <c r="R618" s="294"/>
      <c r="S618" s="294"/>
      <c r="T618" s="294"/>
      <c r="U618" s="294"/>
      <c r="V618" s="431"/>
      <c r="W618" s="294"/>
      <c r="X618" s="294"/>
      <c r="Y618" s="294">
        <f>IF(NFI_Expiration=1,IF($A618&lt;VLOOKUP(H$5,NFI,5,0),1,0)*Table_NFI[[#This Row],[Hygiene Kit]],Table_NFI[Hygiene Kit])</f>
        <v>0</v>
      </c>
      <c r="Z618" s="294">
        <f>IF(NFI_Expiration=1,IF($A618&lt;VLOOKUP(I$5,NFI,5,0),1,0)*Table_NFI[[#This Row],[NFI Core Kit]],Table_NFI[NFI Core Kit])</f>
        <v>0</v>
      </c>
      <c r="AA618" s="294">
        <f>IF(NFI_Expiration=1,IF($A618&lt;VLOOKUP(J$5,NFI,5,0),1,0)*Table_NFI[[#This Row],[Sanitary Kit]],Table_NFI[Sanitary Kit])</f>
        <v>0</v>
      </c>
      <c r="AB618" s="294">
        <f>IF(NFI_Expiration=1,IF($A618&lt;VLOOKUP(K$5,NFI,5,0),1,0)*Table_NFI[[#This Row],[Mosquito net]],Table_NFI[Mosquito net])</f>
        <v>0</v>
      </c>
      <c r="AC618" s="294">
        <f>IF(NFI_Expiration=1,IF($A618&lt;VLOOKUP(L$5,NFI,5,0),1,0)*Table_NFI[[#This Row],[Tarpaulin]],Table_NFI[[#This Row],[Tarpaulin]])</f>
        <v>0</v>
      </c>
      <c r="AD618" s="294">
        <f>IF(NFI_Expiration=1,IF($A618&lt;VLOOKUP(M$5,NFI,5,0),1,0)*Table_NFI[[#This Row],[Blanket]],Table_NFI[[#This Row],[Blanket]])</f>
        <v>0</v>
      </c>
      <c r="AE618" s="294">
        <f>IF(NFI_Expiration=1,IF($A618&lt;VLOOKUP(N$5,NFI,5,0),1,0)*Table_NFI[[#This Row],[Kitchen Set]],Table_NFI[Kitchen Set])</f>
        <v>0</v>
      </c>
      <c r="AF618" s="294">
        <f>IF(NFI_Expiration=1,IF($A618&lt;VLOOKUP(O$5,NFI,5,0),1,0)*Table_NFI[[#This Row],[Clothes Kit]],Table_NFI[Clothes Kit])</f>
        <v>0</v>
      </c>
      <c r="AG618" s="294">
        <f>IF(NFI_Expiration=1,IF($A618&lt;VLOOKUP(P$5,NFI,5,0),1,0)*Table_NFI[[#This Row],[Plastic Bucket]],Table_NFI[Plastic Bucket])</f>
        <v>0</v>
      </c>
      <c r="AH618" s="294">
        <f>IF(NFI_Expiration=1,IF($A618&lt;VLOOKUP(Q$5,NFI,5,0),1,0)*Table_NFI[[#This Row],[Plastic Mat]],Table_NFI[Plastic Mat])*IF(Table_NFI[[#This Row],[Distribution Date]]&gt;"2014-04-01",1,2.5)</f>
        <v>0</v>
      </c>
      <c r="AI618" s="294">
        <f>IF(NFI_Expiration=1,IF($A618&lt;VLOOKUP(R$5,NFI,5,0),1,0)*Table_NFI[[#This Row],[Winter Clothes Adult]],Table_NFI[Winter Clothes Adult])</f>
        <v>0</v>
      </c>
      <c r="AJ618" s="294">
        <f>IF(NFI_Expiration=1,IF($A618&lt;VLOOKUP(S$5,NFI,5,0),1,0)*Table_NFI[[#This Row],[Winter Clothes Children]],Table_NFI[Winter Clothes Children])</f>
        <v>0</v>
      </c>
      <c r="AK618" s="294">
        <f>IF(NFI_Expiration=1,IF($A618&lt;VLOOKUP(T$5,NFI,5,0),1,0)*Table_NFI[[#This Row],[Winter Items Other]],Table_NFI[Winter Items Other])</f>
        <v>0</v>
      </c>
      <c r="AL618" s="294">
        <f>IF(NFI_Expiration=1,IF($A618&lt;VLOOKUP(M$5,NFI,5,0),1,0)*Table_NFI[[#This Row],[Winter Blanket]],Table_NFI[[#This Row],[Winter Blanket]])</f>
        <v>0</v>
      </c>
      <c r="AM618" s="294">
        <f>IF(Table_NFI[[#This Row],[Winter Clothes Adult]]+Table_NFI[[#This Row],[Winter Clothes Children]]+Table_NFI[[#This Row],[Winter Items Other]]+Table_NFI[[#This Row],[Winter Blanket]]&gt;0,1,0)</f>
        <v>0</v>
      </c>
      <c r="AN618" s="331">
        <f>IF(NFI_Expiration=1,IF($A618&lt;VLOOKUP(V$5,NFI,5,0),1,0)*Table_NFI[[#This Row],[Jerry Can]],Table_NFI[Jerry Can])</f>
        <v>0</v>
      </c>
      <c r="AO618" s="331">
        <f>IF(NFI_Expiration=1,IF($A618&lt;VLOOKUP(V$5,NFI,5,0),1,0)*Table_NFI[[#This Row],[Shelter Tool kit]],Table_NFI[Shelter Tool kit])</f>
        <v>0</v>
      </c>
      <c r="AP618" s="331">
        <f>IF(NFI_Expiration=1,IF($A618&lt;VLOOKUP(V$5,NFI,5,0),1,0)*Table_NFI[[#This Row],[Tent]],Table_NFI[Tent])</f>
        <v>0</v>
      </c>
      <c r="AQ618" s="467" t="str">
        <f>IFERROR(VLOOKUP(Table_NFI[[#This Row],[Camp Name]],CL,2,0),"")</f>
        <v>MMR001CMP073</v>
      </c>
      <c r="AR618" s="835">
        <f ca="1">IF(Table_NFI[[#This Row],[Pcode]]="","",IF(OFFSET(CampList[Opening Date],MATCH(Table_NFI[[#This Row],[Pcode]],CampList[CP_Pcode],0)-1,0,1,1)&gt;=NFI_Monitor_Date,1,0))</f>
        <v>0</v>
      </c>
      <c r="AS618" s="467" t="str">
        <f>IFERROR(VLOOKUP(Table_NFI[[#This Row],[Camp Name]],CL,3,0),"")</f>
        <v>Open</v>
      </c>
      <c r="AT618" s="294" t="str">
        <f ca="1">IF(Table_NFI[[#This Row],[Pcode]]="","",OFFSET(CampList[Priority],MATCH(Table_NFI[[#This Row],[Pcode]],CampList[CP_Pcode],0)-1,0,1,1))</f>
        <v>P3</v>
      </c>
      <c r="AU618" s="293">
        <f>IFERROR(Table_NFI[[#This Row],[Kitchen Set]]/VLOOKUP(Table_NFI[[#This Row],[Camp Name]],CL,4,0),"")</f>
        <v>0</v>
      </c>
      <c r="AV618" s="461" t="s">
        <v>1092</v>
      </c>
      <c r="AW618" s="463"/>
    </row>
    <row r="619" spans="1:49" s="464" customFormat="1" ht="14.45" customHeight="1" x14ac:dyDescent="0.25">
      <c r="A619" s="297">
        <f t="shared" si="9"/>
        <v>38.166666666666664</v>
      </c>
      <c r="B619" s="460">
        <v>41591</v>
      </c>
      <c r="C619" s="461" t="s">
        <v>905</v>
      </c>
      <c r="D619" s="461" t="s">
        <v>905</v>
      </c>
      <c r="E619" s="461" t="s">
        <v>380</v>
      </c>
      <c r="F619" s="461" t="s">
        <v>151</v>
      </c>
      <c r="G619" s="461" t="s">
        <v>160</v>
      </c>
      <c r="H619" s="291"/>
      <c r="I619" s="291"/>
      <c r="J619" s="291"/>
      <c r="K619" s="291"/>
      <c r="L619" s="292"/>
      <c r="M619" s="292"/>
      <c r="N619" s="292"/>
      <c r="O619" s="292"/>
      <c r="P619" s="294"/>
      <c r="Q619" s="294"/>
      <c r="R619" s="294"/>
      <c r="S619" s="294">
        <v>160</v>
      </c>
      <c r="T619" s="294">
        <v>320</v>
      </c>
      <c r="U619" s="294">
        <v>160</v>
      </c>
      <c r="V619" s="431"/>
      <c r="W619" s="294"/>
      <c r="X619" s="294"/>
      <c r="Y619" s="294">
        <f>IF(NFI_Expiration=1,IF($A619&lt;VLOOKUP(H$5,NFI,5,0),1,0)*Table_NFI[[#This Row],[Hygiene Kit]],Table_NFI[Hygiene Kit])</f>
        <v>0</v>
      </c>
      <c r="Z619" s="294">
        <f>IF(NFI_Expiration=1,IF($A619&lt;VLOOKUP(I$5,NFI,5,0),1,0)*Table_NFI[[#This Row],[NFI Core Kit]],Table_NFI[NFI Core Kit])</f>
        <v>0</v>
      </c>
      <c r="AA619" s="294">
        <f>IF(NFI_Expiration=1,IF($A619&lt;VLOOKUP(J$5,NFI,5,0),1,0)*Table_NFI[[#This Row],[Sanitary Kit]],Table_NFI[Sanitary Kit])</f>
        <v>0</v>
      </c>
      <c r="AB619" s="294">
        <f>IF(NFI_Expiration=1,IF($A619&lt;VLOOKUP(K$5,NFI,5,0),1,0)*Table_NFI[[#This Row],[Mosquito net]],Table_NFI[Mosquito net])</f>
        <v>0</v>
      </c>
      <c r="AC619" s="294">
        <f>IF(NFI_Expiration=1,IF($A619&lt;VLOOKUP(L$5,NFI,5,0),1,0)*Table_NFI[[#This Row],[Tarpaulin]],Table_NFI[[#This Row],[Tarpaulin]])</f>
        <v>0</v>
      </c>
      <c r="AD619" s="294">
        <f>IF(NFI_Expiration=1,IF($A619&lt;VLOOKUP(M$5,NFI,5,0),1,0)*Table_NFI[[#This Row],[Blanket]],Table_NFI[[#This Row],[Blanket]])</f>
        <v>0</v>
      </c>
      <c r="AE619" s="294">
        <f>IF(NFI_Expiration=1,IF($A619&lt;VLOOKUP(N$5,NFI,5,0),1,0)*Table_NFI[[#This Row],[Kitchen Set]],Table_NFI[Kitchen Set])</f>
        <v>0</v>
      </c>
      <c r="AF619" s="294">
        <f>IF(NFI_Expiration=1,IF($A619&lt;VLOOKUP(O$5,NFI,5,0),1,0)*Table_NFI[[#This Row],[Clothes Kit]],Table_NFI[Clothes Kit])</f>
        <v>0</v>
      </c>
      <c r="AG619" s="294">
        <f>IF(NFI_Expiration=1,IF($A619&lt;VLOOKUP(P$5,NFI,5,0),1,0)*Table_NFI[[#This Row],[Plastic Bucket]],Table_NFI[Plastic Bucket])</f>
        <v>0</v>
      </c>
      <c r="AH619" s="294">
        <f>IF(NFI_Expiration=1,IF($A619&lt;VLOOKUP(Q$5,NFI,5,0),1,0)*Table_NFI[[#This Row],[Plastic Mat]],Table_NFI[Plastic Mat])*IF(Table_NFI[[#This Row],[Distribution Date]]&gt;"2014-04-01",1,2.5)</f>
        <v>0</v>
      </c>
      <c r="AI619" s="294">
        <f>IF(NFI_Expiration=1,IF($A619&lt;VLOOKUP(R$5,NFI,5,0),1,0)*Table_NFI[[#This Row],[Winter Clothes Adult]],Table_NFI[Winter Clothes Adult])</f>
        <v>0</v>
      </c>
      <c r="AJ619" s="294">
        <f>IF(NFI_Expiration=1,IF($A619&lt;VLOOKUP(S$5,NFI,5,0),1,0)*Table_NFI[[#This Row],[Winter Clothes Children]],Table_NFI[Winter Clothes Children])</f>
        <v>0</v>
      </c>
      <c r="AK619" s="294">
        <f>IF(NFI_Expiration=1,IF($A619&lt;VLOOKUP(T$5,NFI,5,0),1,0)*Table_NFI[[#This Row],[Winter Items Other]],Table_NFI[Winter Items Other])</f>
        <v>0</v>
      </c>
      <c r="AL619" s="294">
        <f>IF(NFI_Expiration=1,IF($A619&lt;VLOOKUP(M$5,NFI,5,0),1,0)*Table_NFI[[#This Row],[Winter Blanket]],Table_NFI[[#This Row],[Winter Blanket]])</f>
        <v>0</v>
      </c>
      <c r="AM619" s="294">
        <f>IF(Table_NFI[[#This Row],[Winter Clothes Adult]]+Table_NFI[[#This Row],[Winter Clothes Children]]+Table_NFI[[#This Row],[Winter Items Other]]+Table_NFI[[#This Row],[Winter Blanket]]&gt;0,1,0)</f>
        <v>1</v>
      </c>
      <c r="AN619" s="331">
        <f>IF(NFI_Expiration=1,IF($A619&lt;VLOOKUP(V$5,NFI,5,0),1,0)*Table_NFI[[#This Row],[Jerry Can]],Table_NFI[Jerry Can])</f>
        <v>0</v>
      </c>
      <c r="AO619" s="331">
        <f>IF(NFI_Expiration=1,IF($A619&lt;VLOOKUP(V$5,NFI,5,0),1,0)*Table_NFI[[#This Row],[Shelter Tool kit]],Table_NFI[Shelter Tool kit])</f>
        <v>0</v>
      </c>
      <c r="AP619" s="331">
        <f>IF(NFI_Expiration=1,IF($A619&lt;VLOOKUP(V$5,NFI,5,0),1,0)*Table_NFI[[#This Row],[Tent]],Table_NFI[Tent])</f>
        <v>0</v>
      </c>
      <c r="AQ619" s="467" t="str">
        <f>IFERROR(VLOOKUP(Table_NFI[[#This Row],[Camp Name]],CL,2,0),"")</f>
        <v>MMR001CMP133</v>
      </c>
      <c r="AR619" s="835">
        <f ca="1">IF(Table_NFI[[#This Row],[Pcode]]="","",IF(OFFSET(CampList[Opening Date],MATCH(Table_NFI[[#This Row],[Pcode]],CampList[CP_Pcode],0)-1,0,1,1)&gt;=NFI_Monitor_Date,1,0))</f>
        <v>0</v>
      </c>
      <c r="AS619" s="467" t="str">
        <f>IFERROR(VLOOKUP(Table_NFI[[#This Row],[Camp Name]],CL,3,0),"")</f>
        <v>Open</v>
      </c>
      <c r="AT619" s="294" t="str">
        <f ca="1">IF(Table_NFI[[#This Row],[Pcode]]="","",OFFSET(CampList[Priority],MATCH(Table_NFI[[#This Row],[Pcode]],CampList[CP_Pcode],0)-1,0,1,1))</f>
        <v>P4</v>
      </c>
      <c r="AU619" s="293">
        <f>IFERROR(Table_NFI[[#This Row],[Kitchen Set]]/VLOOKUP(Table_NFI[[#This Row],[Camp Name]],CL,4,0),"")</f>
        <v>0</v>
      </c>
      <c r="AV619" s="461"/>
      <c r="AW619" s="463"/>
    </row>
    <row r="620" spans="1:49" s="464" customFormat="1" ht="14.45" customHeight="1" x14ac:dyDescent="0.25">
      <c r="A620" s="297">
        <f t="shared" si="9"/>
        <v>38.166666666666664</v>
      </c>
      <c r="B620" s="460">
        <v>41591</v>
      </c>
      <c r="C620" s="461" t="s">
        <v>905</v>
      </c>
      <c r="D620" s="461" t="s">
        <v>1002</v>
      </c>
      <c r="E620" s="461" t="s">
        <v>380</v>
      </c>
      <c r="F620" s="461" t="s">
        <v>185</v>
      </c>
      <c r="G620" s="461" t="s">
        <v>219</v>
      </c>
      <c r="H620" s="291"/>
      <c r="I620" s="291"/>
      <c r="J620" s="291"/>
      <c r="K620" s="291"/>
      <c r="L620" s="292"/>
      <c r="M620" s="292"/>
      <c r="N620" s="292"/>
      <c r="O620" s="292"/>
      <c r="P620" s="294"/>
      <c r="Q620" s="294"/>
      <c r="R620" s="294">
        <v>514</v>
      </c>
      <c r="S620" s="294">
        <v>1016</v>
      </c>
      <c r="T620" s="294">
        <v>3060</v>
      </c>
      <c r="U620" s="294">
        <v>1530</v>
      </c>
      <c r="V620" s="431"/>
      <c r="W620" s="294"/>
      <c r="X620" s="294"/>
      <c r="Y620" s="294">
        <f>IF(NFI_Expiration=1,IF($A620&lt;VLOOKUP(H$5,NFI,5,0),1,0)*Table_NFI[[#This Row],[Hygiene Kit]],Table_NFI[Hygiene Kit])</f>
        <v>0</v>
      </c>
      <c r="Z620" s="294">
        <f>IF(NFI_Expiration=1,IF($A620&lt;VLOOKUP(I$5,NFI,5,0),1,0)*Table_NFI[[#This Row],[NFI Core Kit]],Table_NFI[NFI Core Kit])</f>
        <v>0</v>
      </c>
      <c r="AA620" s="294">
        <f>IF(NFI_Expiration=1,IF($A620&lt;VLOOKUP(J$5,NFI,5,0),1,0)*Table_NFI[[#This Row],[Sanitary Kit]],Table_NFI[Sanitary Kit])</f>
        <v>0</v>
      </c>
      <c r="AB620" s="294">
        <f>IF(NFI_Expiration=1,IF($A620&lt;VLOOKUP(K$5,NFI,5,0),1,0)*Table_NFI[[#This Row],[Mosquito net]],Table_NFI[Mosquito net])</f>
        <v>0</v>
      </c>
      <c r="AC620" s="294">
        <f>IF(NFI_Expiration=1,IF($A620&lt;VLOOKUP(L$5,NFI,5,0),1,0)*Table_NFI[[#This Row],[Tarpaulin]],Table_NFI[[#This Row],[Tarpaulin]])</f>
        <v>0</v>
      </c>
      <c r="AD620" s="294">
        <f>IF(NFI_Expiration=1,IF($A620&lt;VLOOKUP(M$5,NFI,5,0),1,0)*Table_NFI[[#This Row],[Blanket]],Table_NFI[[#This Row],[Blanket]])</f>
        <v>0</v>
      </c>
      <c r="AE620" s="294">
        <f>IF(NFI_Expiration=1,IF($A620&lt;VLOOKUP(N$5,NFI,5,0),1,0)*Table_NFI[[#This Row],[Kitchen Set]],Table_NFI[Kitchen Set])</f>
        <v>0</v>
      </c>
      <c r="AF620" s="294">
        <f>IF(NFI_Expiration=1,IF($A620&lt;VLOOKUP(O$5,NFI,5,0),1,0)*Table_NFI[[#This Row],[Clothes Kit]],Table_NFI[Clothes Kit])</f>
        <v>0</v>
      </c>
      <c r="AG620" s="294">
        <f>IF(NFI_Expiration=1,IF($A620&lt;VLOOKUP(P$5,NFI,5,0),1,0)*Table_NFI[[#This Row],[Plastic Bucket]],Table_NFI[Plastic Bucket])</f>
        <v>0</v>
      </c>
      <c r="AH620" s="294">
        <f>IF(NFI_Expiration=1,IF($A620&lt;VLOOKUP(Q$5,NFI,5,0),1,0)*Table_NFI[[#This Row],[Plastic Mat]],Table_NFI[Plastic Mat])*IF(Table_NFI[[#This Row],[Distribution Date]]&gt;"2014-04-01",1,2.5)</f>
        <v>0</v>
      </c>
      <c r="AI620" s="294">
        <f>IF(NFI_Expiration=1,IF($A620&lt;VLOOKUP(R$5,NFI,5,0),1,0)*Table_NFI[[#This Row],[Winter Clothes Adult]],Table_NFI[Winter Clothes Adult])</f>
        <v>0</v>
      </c>
      <c r="AJ620" s="294">
        <f>IF(NFI_Expiration=1,IF($A620&lt;VLOOKUP(S$5,NFI,5,0),1,0)*Table_NFI[[#This Row],[Winter Clothes Children]],Table_NFI[Winter Clothes Children])</f>
        <v>0</v>
      </c>
      <c r="AK620" s="294">
        <f>IF(NFI_Expiration=1,IF($A620&lt;VLOOKUP(T$5,NFI,5,0),1,0)*Table_NFI[[#This Row],[Winter Items Other]],Table_NFI[Winter Items Other])</f>
        <v>0</v>
      </c>
      <c r="AL620" s="294">
        <f>IF(NFI_Expiration=1,IF($A620&lt;VLOOKUP(M$5,NFI,5,0),1,0)*Table_NFI[[#This Row],[Winter Blanket]],Table_NFI[[#This Row],[Winter Blanket]])</f>
        <v>0</v>
      </c>
      <c r="AM620" s="294">
        <f>IF(Table_NFI[[#This Row],[Winter Clothes Adult]]+Table_NFI[[#This Row],[Winter Clothes Children]]+Table_NFI[[#This Row],[Winter Items Other]]+Table_NFI[[#This Row],[Winter Blanket]]&gt;0,1,0)</f>
        <v>1</v>
      </c>
      <c r="AN620" s="331">
        <f>IF(NFI_Expiration=1,IF($A620&lt;VLOOKUP(V$5,NFI,5,0),1,0)*Table_NFI[[#This Row],[Jerry Can]],Table_NFI[Jerry Can])</f>
        <v>0</v>
      </c>
      <c r="AO620" s="331">
        <f>IF(NFI_Expiration=1,IF($A620&lt;VLOOKUP(V$5,NFI,5,0),1,0)*Table_NFI[[#This Row],[Shelter Tool kit]],Table_NFI[Shelter Tool kit])</f>
        <v>0</v>
      </c>
      <c r="AP620" s="331">
        <f>IF(NFI_Expiration=1,IF($A620&lt;VLOOKUP(V$5,NFI,5,0),1,0)*Table_NFI[[#This Row],[Tent]],Table_NFI[Tent])</f>
        <v>0</v>
      </c>
      <c r="AQ620" s="467" t="str">
        <f>IFERROR(VLOOKUP(Table_NFI[[#This Row],[Camp Name]],CL,2,0),"")</f>
        <v>MMR001CMP126</v>
      </c>
      <c r="AR620" s="835">
        <f ca="1">IF(Table_NFI[[#This Row],[Pcode]]="","",IF(OFFSET(CampList[Opening Date],MATCH(Table_NFI[[#This Row],[Pcode]],CampList[CP_Pcode],0)-1,0,1,1)&gt;=NFI_Monitor_Date,1,0))</f>
        <v>0</v>
      </c>
      <c r="AS620" s="467" t="str">
        <f>IFERROR(VLOOKUP(Table_NFI[[#This Row],[Camp Name]],CL,3,0),"")</f>
        <v>Open</v>
      </c>
      <c r="AT620" s="294" t="str">
        <f ca="1">IF(Table_NFI[[#This Row],[Pcode]]="","",OFFSET(CampList[Priority],MATCH(Table_NFI[[#This Row],[Pcode]],CampList[CP_Pcode],0)-1,0,1,1))</f>
        <v>P2</v>
      </c>
      <c r="AU620" s="293">
        <f>IFERROR(Table_NFI[[#This Row],[Kitchen Set]]/VLOOKUP(Table_NFI[[#This Row],[Camp Name]],CL,4,0),"")</f>
        <v>0</v>
      </c>
      <c r="AV620" s="461"/>
      <c r="AW620" s="463"/>
    </row>
    <row r="621" spans="1:49" s="464" customFormat="1" ht="14.45" customHeight="1" x14ac:dyDescent="0.25">
      <c r="A621" s="297">
        <f t="shared" si="9"/>
        <v>38.233333333333334</v>
      </c>
      <c r="B621" s="460">
        <v>41589</v>
      </c>
      <c r="C621" s="461" t="s">
        <v>452</v>
      </c>
      <c r="D621" s="461" t="s">
        <v>573</v>
      </c>
      <c r="E621" s="461" t="s">
        <v>380</v>
      </c>
      <c r="F621" s="290" t="s">
        <v>185</v>
      </c>
      <c r="G621" s="290" t="s">
        <v>215</v>
      </c>
      <c r="H621" s="291"/>
      <c r="I621" s="291"/>
      <c r="J621" s="291">
        <v>36</v>
      </c>
      <c r="K621" s="291">
        <v>200</v>
      </c>
      <c r="L621" s="292">
        <v>100</v>
      </c>
      <c r="M621" s="292"/>
      <c r="N621" s="292">
        <v>100</v>
      </c>
      <c r="O621" s="292">
        <v>100</v>
      </c>
      <c r="P621" s="294"/>
      <c r="Q621" s="294"/>
      <c r="R621" s="294"/>
      <c r="S621" s="294"/>
      <c r="T621" s="294"/>
      <c r="U621" s="294"/>
      <c r="V621" s="431"/>
      <c r="W621" s="294"/>
      <c r="X621" s="294"/>
      <c r="Y621" s="294">
        <f>IF(NFI_Expiration=1,IF($A621&lt;VLOOKUP(H$5,NFI,5,0),1,0)*Table_NFI[[#This Row],[Hygiene Kit]],Table_NFI[Hygiene Kit])</f>
        <v>0</v>
      </c>
      <c r="Z621" s="294">
        <f>IF(NFI_Expiration=1,IF($A621&lt;VLOOKUP(I$5,NFI,5,0),1,0)*Table_NFI[[#This Row],[NFI Core Kit]],Table_NFI[NFI Core Kit])</f>
        <v>0</v>
      </c>
      <c r="AA621" s="294">
        <f>IF(NFI_Expiration=1,IF($A621&lt;VLOOKUP(J$5,NFI,5,0),1,0)*Table_NFI[[#This Row],[Sanitary Kit]],Table_NFI[Sanitary Kit])</f>
        <v>0</v>
      </c>
      <c r="AB621" s="294">
        <f>IF(NFI_Expiration=1,IF($A621&lt;VLOOKUP(K$5,NFI,5,0),1,0)*Table_NFI[[#This Row],[Mosquito net]],Table_NFI[Mosquito net])</f>
        <v>0</v>
      </c>
      <c r="AC621" s="294">
        <f>IF(NFI_Expiration=1,IF($A621&lt;VLOOKUP(L$5,NFI,5,0),1,0)*Table_NFI[[#This Row],[Tarpaulin]],Table_NFI[[#This Row],[Tarpaulin]])</f>
        <v>0</v>
      </c>
      <c r="AD621" s="294">
        <f>IF(NFI_Expiration=1,IF($A621&lt;VLOOKUP(M$5,NFI,5,0),1,0)*Table_NFI[[#This Row],[Blanket]],Table_NFI[[#This Row],[Blanket]])</f>
        <v>0</v>
      </c>
      <c r="AE621" s="294">
        <f>IF(NFI_Expiration=1,IF($A621&lt;VLOOKUP(N$5,NFI,5,0),1,0)*Table_NFI[[#This Row],[Kitchen Set]],Table_NFI[Kitchen Set])</f>
        <v>0</v>
      </c>
      <c r="AF621" s="294">
        <f>IF(NFI_Expiration=1,IF($A621&lt;VLOOKUP(O$5,NFI,5,0),1,0)*Table_NFI[[#This Row],[Clothes Kit]],Table_NFI[Clothes Kit])</f>
        <v>0</v>
      </c>
      <c r="AG621" s="294">
        <f>IF(NFI_Expiration=1,IF($A621&lt;VLOOKUP(P$5,NFI,5,0),1,0)*Table_NFI[[#This Row],[Plastic Bucket]],Table_NFI[Plastic Bucket])</f>
        <v>0</v>
      </c>
      <c r="AH621" s="294">
        <f>IF(NFI_Expiration=1,IF($A621&lt;VLOOKUP(Q$5,NFI,5,0),1,0)*Table_NFI[[#This Row],[Plastic Mat]],Table_NFI[Plastic Mat])*IF(Table_NFI[[#This Row],[Distribution Date]]&gt;"2014-04-01",1,2.5)</f>
        <v>0</v>
      </c>
      <c r="AI621" s="294">
        <f>IF(NFI_Expiration=1,IF($A621&lt;VLOOKUP(R$5,NFI,5,0),1,0)*Table_NFI[[#This Row],[Winter Clothes Adult]],Table_NFI[Winter Clothes Adult])</f>
        <v>0</v>
      </c>
      <c r="AJ621" s="294">
        <f>IF(NFI_Expiration=1,IF($A621&lt;VLOOKUP(S$5,NFI,5,0),1,0)*Table_NFI[[#This Row],[Winter Clothes Children]],Table_NFI[Winter Clothes Children])</f>
        <v>0</v>
      </c>
      <c r="AK621" s="294">
        <f>IF(NFI_Expiration=1,IF($A621&lt;VLOOKUP(T$5,NFI,5,0),1,0)*Table_NFI[[#This Row],[Winter Items Other]],Table_NFI[Winter Items Other])</f>
        <v>0</v>
      </c>
      <c r="AL621" s="294">
        <f>IF(NFI_Expiration=1,IF($A621&lt;VLOOKUP(M$5,NFI,5,0),1,0)*Table_NFI[[#This Row],[Winter Blanket]],Table_NFI[[#This Row],[Winter Blanket]])</f>
        <v>0</v>
      </c>
      <c r="AM621" s="294">
        <f>IF(Table_NFI[[#This Row],[Winter Clothes Adult]]+Table_NFI[[#This Row],[Winter Clothes Children]]+Table_NFI[[#This Row],[Winter Items Other]]+Table_NFI[[#This Row],[Winter Blanket]]&gt;0,1,0)</f>
        <v>0</v>
      </c>
      <c r="AN621" s="331">
        <f>IF(NFI_Expiration=1,IF($A621&lt;VLOOKUP(V$5,NFI,5,0),1,0)*Table_NFI[[#This Row],[Jerry Can]],Table_NFI[Jerry Can])</f>
        <v>0</v>
      </c>
      <c r="AO621" s="331">
        <f>IF(NFI_Expiration=1,IF($A621&lt;VLOOKUP(V$5,NFI,5,0),1,0)*Table_NFI[[#This Row],[Shelter Tool kit]],Table_NFI[Shelter Tool kit])</f>
        <v>0</v>
      </c>
      <c r="AP621" s="331">
        <f>IF(NFI_Expiration=1,IF($A621&lt;VLOOKUP(V$5,NFI,5,0),1,0)*Table_NFI[[#This Row],[Tent]],Table_NFI[Tent])</f>
        <v>0</v>
      </c>
      <c r="AQ621" s="467" t="str">
        <f>IFERROR(VLOOKUP(Table_NFI[[#This Row],[Camp Name]],CL,2,0),"")</f>
        <v>MMR001CMP131</v>
      </c>
      <c r="AR621" s="835">
        <f ca="1">IF(Table_NFI[[#This Row],[Pcode]]="","",IF(OFFSET(CampList[Opening Date],MATCH(Table_NFI[[#This Row],[Pcode]],CampList[CP_Pcode],0)-1,0,1,1)&gt;=NFI_Monitor_Date,1,0))</f>
        <v>0</v>
      </c>
      <c r="AS621" s="467" t="str">
        <f>IFERROR(VLOOKUP(Table_NFI[[#This Row],[Camp Name]],CL,3,0),"")</f>
        <v>Open</v>
      </c>
      <c r="AT621" s="294" t="str">
        <f ca="1">IF(Table_NFI[[#This Row],[Pcode]]="","",OFFSET(CampList[Priority],MATCH(Table_NFI[[#This Row],[Pcode]],CampList[CP_Pcode],0)-1,0,1,1))</f>
        <v>P1</v>
      </c>
      <c r="AU621" s="293">
        <f>IFERROR(Table_NFI[[#This Row],[Kitchen Set]]/VLOOKUP(Table_NFI[[#This Row],[Camp Name]],CL,4,0),"")</f>
        <v>2.4390243902439024E-3</v>
      </c>
      <c r="AV621" s="461" t="s">
        <v>1092</v>
      </c>
      <c r="AW621" s="463"/>
    </row>
    <row r="622" spans="1:49" s="464" customFormat="1" ht="14.45" customHeight="1" x14ac:dyDescent="0.25">
      <c r="A622" s="297">
        <f t="shared" si="9"/>
        <v>38.366666666666667</v>
      </c>
      <c r="B622" s="460">
        <v>41585</v>
      </c>
      <c r="C622" s="461" t="s">
        <v>905</v>
      </c>
      <c r="D622" s="461" t="s">
        <v>905</v>
      </c>
      <c r="E622" s="461" t="s">
        <v>380</v>
      </c>
      <c r="F622" s="461" t="s">
        <v>5</v>
      </c>
      <c r="G622" s="461" t="s">
        <v>512</v>
      </c>
      <c r="H622" s="291"/>
      <c r="I622" s="291"/>
      <c r="J622" s="291"/>
      <c r="K622" s="291"/>
      <c r="L622" s="292"/>
      <c r="M622" s="292"/>
      <c r="N622" s="292"/>
      <c r="O622" s="292"/>
      <c r="P622" s="294"/>
      <c r="Q622" s="294"/>
      <c r="R622" s="294">
        <v>25</v>
      </c>
      <c r="S622" s="294">
        <v>73</v>
      </c>
      <c r="T622" s="294">
        <v>196</v>
      </c>
      <c r="U622" s="294">
        <v>98</v>
      </c>
      <c r="V622" s="431"/>
      <c r="W622" s="294"/>
      <c r="X622" s="294"/>
      <c r="Y622" s="294">
        <f>IF(NFI_Expiration=1,IF($A622&lt;VLOOKUP(H$5,NFI,5,0),1,0)*Table_NFI[[#This Row],[Hygiene Kit]],Table_NFI[Hygiene Kit])</f>
        <v>0</v>
      </c>
      <c r="Z622" s="294">
        <f>IF(NFI_Expiration=1,IF($A622&lt;VLOOKUP(I$5,NFI,5,0),1,0)*Table_NFI[[#This Row],[NFI Core Kit]],Table_NFI[NFI Core Kit])</f>
        <v>0</v>
      </c>
      <c r="AA622" s="294">
        <f>IF(NFI_Expiration=1,IF($A622&lt;VLOOKUP(J$5,NFI,5,0),1,0)*Table_NFI[[#This Row],[Sanitary Kit]],Table_NFI[Sanitary Kit])</f>
        <v>0</v>
      </c>
      <c r="AB622" s="294">
        <f>IF(NFI_Expiration=1,IF($A622&lt;VLOOKUP(K$5,NFI,5,0),1,0)*Table_NFI[[#This Row],[Mosquito net]],Table_NFI[Mosquito net])</f>
        <v>0</v>
      </c>
      <c r="AC622" s="294">
        <f>IF(NFI_Expiration=1,IF($A622&lt;VLOOKUP(L$5,NFI,5,0),1,0)*Table_NFI[[#This Row],[Tarpaulin]],Table_NFI[[#This Row],[Tarpaulin]])</f>
        <v>0</v>
      </c>
      <c r="AD622" s="294">
        <f>IF(NFI_Expiration=1,IF($A622&lt;VLOOKUP(M$5,NFI,5,0),1,0)*Table_NFI[[#This Row],[Blanket]],Table_NFI[[#This Row],[Blanket]])</f>
        <v>0</v>
      </c>
      <c r="AE622" s="294">
        <f>IF(NFI_Expiration=1,IF($A622&lt;VLOOKUP(N$5,NFI,5,0),1,0)*Table_NFI[[#This Row],[Kitchen Set]],Table_NFI[Kitchen Set])</f>
        <v>0</v>
      </c>
      <c r="AF622" s="294">
        <f>IF(NFI_Expiration=1,IF($A622&lt;VLOOKUP(O$5,NFI,5,0),1,0)*Table_NFI[[#This Row],[Clothes Kit]],Table_NFI[Clothes Kit])</f>
        <v>0</v>
      </c>
      <c r="AG622" s="294">
        <f>IF(NFI_Expiration=1,IF($A622&lt;VLOOKUP(P$5,NFI,5,0),1,0)*Table_NFI[[#This Row],[Plastic Bucket]],Table_NFI[Plastic Bucket])</f>
        <v>0</v>
      </c>
      <c r="AH622" s="294">
        <f>IF(NFI_Expiration=1,IF($A622&lt;VLOOKUP(Q$5,NFI,5,0),1,0)*Table_NFI[[#This Row],[Plastic Mat]],Table_NFI[Plastic Mat])*IF(Table_NFI[[#This Row],[Distribution Date]]&gt;"2014-04-01",1,2.5)</f>
        <v>0</v>
      </c>
      <c r="AI622" s="294">
        <f>IF(NFI_Expiration=1,IF($A622&lt;VLOOKUP(R$5,NFI,5,0),1,0)*Table_NFI[[#This Row],[Winter Clothes Adult]],Table_NFI[Winter Clothes Adult])</f>
        <v>0</v>
      </c>
      <c r="AJ622" s="294">
        <f>IF(NFI_Expiration=1,IF($A622&lt;VLOOKUP(S$5,NFI,5,0),1,0)*Table_NFI[[#This Row],[Winter Clothes Children]],Table_NFI[Winter Clothes Children])</f>
        <v>0</v>
      </c>
      <c r="AK622" s="294">
        <f>IF(NFI_Expiration=1,IF($A622&lt;VLOOKUP(T$5,NFI,5,0),1,0)*Table_NFI[[#This Row],[Winter Items Other]],Table_NFI[Winter Items Other])</f>
        <v>0</v>
      </c>
      <c r="AL622" s="294">
        <f>IF(NFI_Expiration=1,IF($A622&lt;VLOOKUP(M$5,NFI,5,0),1,0)*Table_NFI[[#This Row],[Winter Blanket]],Table_NFI[[#This Row],[Winter Blanket]])</f>
        <v>0</v>
      </c>
      <c r="AM622" s="294">
        <f>IF(Table_NFI[[#This Row],[Winter Clothes Adult]]+Table_NFI[[#This Row],[Winter Clothes Children]]+Table_NFI[[#This Row],[Winter Items Other]]+Table_NFI[[#This Row],[Winter Blanket]]&gt;0,1,0)</f>
        <v>1</v>
      </c>
      <c r="AN622" s="331">
        <f>IF(NFI_Expiration=1,IF($A622&lt;VLOOKUP(V$5,NFI,5,0),1,0)*Table_NFI[[#This Row],[Jerry Can]],Table_NFI[Jerry Can])</f>
        <v>0</v>
      </c>
      <c r="AO622" s="331">
        <f>IF(NFI_Expiration=1,IF($A622&lt;VLOOKUP(V$5,NFI,5,0),1,0)*Table_NFI[[#This Row],[Shelter Tool kit]],Table_NFI[Shelter Tool kit])</f>
        <v>0</v>
      </c>
      <c r="AP622" s="331">
        <f>IF(NFI_Expiration=1,IF($A622&lt;VLOOKUP(V$5,NFI,5,0),1,0)*Table_NFI[[#This Row],[Tent]],Table_NFI[Tent])</f>
        <v>0</v>
      </c>
      <c r="AQ622" s="467" t="str">
        <f>IFERROR(VLOOKUP(Table_NFI[[#This Row],[Camp Name]],CL,2,0),"")</f>
        <v>MMR001CMP194</v>
      </c>
      <c r="AR622" s="835">
        <f ca="1">IF(Table_NFI[[#This Row],[Pcode]]="","",IF(OFFSET(CampList[Opening Date],MATCH(Table_NFI[[#This Row],[Pcode]],CampList[CP_Pcode],0)-1,0,1,1)&gt;=NFI_Monitor_Date,1,0))</f>
        <v>0</v>
      </c>
      <c r="AS622" s="467" t="s">
        <v>843</v>
      </c>
      <c r="AT622" s="294" t="str">
        <f ca="1">IF(Table_NFI[[#This Row],[Pcode]]="","",OFFSET(CampList[Priority],MATCH(Table_NFI[[#This Row],[Pcode]],CampList[CP_Pcode],0)-1,0,1,1))</f>
        <v>P4</v>
      </c>
      <c r="AU622" s="293">
        <f>IFERROR(Table_NFI[[#This Row],[Kitchen Set]]/VLOOKUP(Table_NFI[[#This Row],[Camp Name]],CL,4,0),"")</f>
        <v>0</v>
      </c>
      <c r="AV622" s="461"/>
      <c r="AW622" s="463"/>
    </row>
    <row r="623" spans="1:49" s="464" customFormat="1" ht="14.45" customHeight="1" x14ac:dyDescent="0.25">
      <c r="A623" s="297">
        <f t="shared" si="9"/>
        <v>38.366666666666667</v>
      </c>
      <c r="B623" s="460">
        <v>41585</v>
      </c>
      <c r="C623" s="461" t="s">
        <v>452</v>
      </c>
      <c r="D623" s="461" t="s">
        <v>452</v>
      </c>
      <c r="E623" s="461" t="s">
        <v>380</v>
      </c>
      <c r="F623" s="290" t="s">
        <v>527</v>
      </c>
      <c r="G623" s="290" t="s">
        <v>58</v>
      </c>
      <c r="H623" s="291"/>
      <c r="I623" s="291"/>
      <c r="J623" s="291">
        <v>13</v>
      </c>
      <c r="K623" s="291">
        <v>32</v>
      </c>
      <c r="L623" s="292">
        <v>15</v>
      </c>
      <c r="M623" s="292">
        <v>32</v>
      </c>
      <c r="N623" s="292">
        <v>15</v>
      </c>
      <c r="O623" s="292"/>
      <c r="P623" s="294">
        <v>15</v>
      </c>
      <c r="Q623" s="294">
        <v>32</v>
      </c>
      <c r="R623" s="294"/>
      <c r="S623" s="294"/>
      <c r="T623" s="294"/>
      <c r="U623" s="294"/>
      <c r="V623" s="431"/>
      <c r="W623" s="294"/>
      <c r="X623" s="294"/>
      <c r="Y623" s="294">
        <f>IF(NFI_Expiration=1,IF($A623&lt;VLOOKUP(H$5,NFI,5,0),1,0)*Table_NFI[[#This Row],[Hygiene Kit]],Table_NFI[Hygiene Kit])</f>
        <v>0</v>
      </c>
      <c r="Z623" s="294">
        <f>IF(NFI_Expiration=1,IF($A623&lt;VLOOKUP(I$5,NFI,5,0),1,0)*Table_NFI[[#This Row],[NFI Core Kit]],Table_NFI[NFI Core Kit])</f>
        <v>0</v>
      </c>
      <c r="AA623" s="294">
        <f>IF(NFI_Expiration=1,IF($A623&lt;VLOOKUP(J$5,NFI,5,0),1,0)*Table_NFI[[#This Row],[Sanitary Kit]],Table_NFI[Sanitary Kit])</f>
        <v>0</v>
      </c>
      <c r="AB623" s="294">
        <f>IF(NFI_Expiration=1,IF($A623&lt;VLOOKUP(K$5,NFI,5,0),1,0)*Table_NFI[[#This Row],[Mosquito net]],Table_NFI[Mosquito net])</f>
        <v>0</v>
      </c>
      <c r="AC623" s="294">
        <f>IF(NFI_Expiration=1,IF($A623&lt;VLOOKUP(L$5,NFI,5,0),1,0)*Table_NFI[[#This Row],[Tarpaulin]],Table_NFI[[#This Row],[Tarpaulin]])</f>
        <v>0</v>
      </c>
      <c r="AD623" s="294">
        <f>IF(NFI_Expiration=1,IF($A623&lt;VLOOKUP(M$5,NFI,5,0),1,0)*Table_NFI[[#This Row],[Blanket]],Table_NFI[[#This Row],[Blanket]])</f>
        <v>0</v>
      </c>
      <c r="AE623" s="294">
        <f>IF(NFI_Expiration=1,IF($A623&lt;VLOOKUP(N$5,NFI,5,0),1,0)*Table_NFI[[#This Row],[Kitchen Set]],Table_NFI[Kitchen Set])</f>
        <v>0</v>
      </c>
      <c r="AF623" s="294">
        <f>IF(NFI_Expiration=1,IF($A623&lt;VLOOKUP(O$5,NFI,5,0),1,0)*Table_NFI[[#This Row],[Clothes Kit]],Table_NFI[Clothes Kit])</f>
        <v>0</v>
      </c>
      <c r="AG623" s="294">
        <f>IF(NFI_Expiration=1,IF($A623&lt;VLOOKUP(P$5,NFI,5,0),1,0)*Table_NFI[[#This Row],[Plastic Bucket]],Table_NFI[Plastic Bucket])</f>
        <v>0</v>
      </c>
      <c r="AH623" s="294">
        <f>IF(NFI_Expiration=1,IF($A623&lt;VLOOKUP(Q$5,NFI,5,0),1,0)*Table_NFI[[#This Row],[Plastic Mat]],Table_NFI[Plastic Mat])*IF(Table_NFI[[#This Row],[Distribution Date]]&gt;"2014-04-01",1,2.5)</f>
        <v>0</v>
      </c>
      <c r="AI623" s="294">
        <f>IF(NFI_Expiration=1,IF($A623&lt;VLOOKUP(R$5,NFI,5,0),1,0)*Table_NFI[[#This Row],[Winter Clothes Adult]],Table_NFI[Winter Clothes Adult])</f>
        <v>0</v>
      </c>
      <c r="AJ623" s="294">
        <f>IF(NFI_Expiration=1,IF($A623&lt;VLOOKUP(S$5,NFI,5,0),1,0)*Table_NFI[[#This Row],[Winter Clothes Children]],Table_NFI[Winter Clothes Children])</f>
        <v>0</v>
      </c>
      <c r="AK623" s="294">
        <f>IF(NFI_Expiration=1,IF($A623&lt;VLOOKUP(T$5,NFI,5,0),1,0)*Table_NFI[[#This Row],[Winter Items Other]],Table_NFI[Winter Items Other])</f>
        <v>0</v>
      </c>
      <c r="AL623" s="294">
        <f>IF(NFI_Expiration=1,IF($A623&lt;VLOOKUP(M$5,NFI,5,0),1,0)*Table_NFI[[#This Row],[Winter Blanket]],Table_NFI[[#This Row],[Winter Blanket]])</f>
        <v>0</v>
      </c>
      <c r="AM623" s="294">
        <f>IF(Table_NFI[[#This Row],[Winter Clothes Adult]]+Table_NFI[[#This Row],[Winter Clothes Children]]+Table_NFI[[#This Row],[Winter Items Other]]+Table_NFI[[#This Row],[Winter Blanket]]&gt;0,1,0)</f>
        <v>0</v>
      </c>
      <c r="AN623" s="331">
        <f>IF(NFI_Expiration=1,IF($A623&lt;VLOOKUP(V$5,NFI,5,0),1,0)*Table_NFI[[#This Row],[Jerry Can]],Table_NFI[Jerry Can])</f>
        <v>0</v>
      </c>
      <c r="AO623" s="331">
        <f>IF(NFI_Expiration=1,IF($A623&lt;VLOOKUP(V$5,NFI,5,0),1,0)*Table_NFI[[#This Row],[Shelter Tool kit]],Table_NFI[Shelter Tool kit])</f>
        <v>0</v>
      </c>
      <c r="AP623" s="331">
        <f>IF(NFI_Expiration=1,IF($A623&lt;VLOOKUP(V$5,NFI,5,0),1,0)*Table_NFI[[#This Row],[Tent]],Table_NFI[Tent])</f>
        <v>0</v>
      </c>
      <c r="AQ623" s="467" t="str">
        <f>IFERROR(VLOOKUP(Table_NFI[[#This Row],[Camp Name]],CL,2,0),"")</f>
        <v>MMR001CMP188</v>
      </c>
      <c r="AR623" s="835">
        <f ca="1">IF(Table_NFI[[#This Row],[Pcode]]="","",IF(OFFSET(CampList[Opening Date],MATCH(Table_NFI[[#This Row],[Pcode]],CampList[CP_Pcode],0)-1,0,1,1)&gt;=NFI_Monitor_Date,1,0))</f>
        <v>0</v>
      </c>
      <c r="AS623" s="467" t="str">
        <f>IFERROR(VLOOKUP(Table_NFI[[#This Row],[Camp Name]],CL,3,0),"")</f>
        <v>Closed</v>
      </c>
      <c r="AT623" s="294" t="str">
        <f ca="1">IF(Table_NFI[[#This Row],[Pcode]]="","",OFFSET(CampList[Priority],MATCH(Table_NFI[[#This Row],[Pcode]],CampList[CP_Pcode],0)-1,0,1,1))</f>
        <v>P4</v>
      </c>
      <c r="AU623" s="293" t="str">
        <f>IFERROR(Table_NFI[[#This Row],[Kitchen Set]]/VLOOKUP(Table_NFI[[#This Row],[Camp Name]],CL,4,0),"")</f>
        <v/>
      </c>
      <c r="AV623" s="461" t="s">
        <v>1092</v>
      </c>
      <c r="AW623" s="463"/>
    </row>
    <row r="624" spans="1:49" s="464" customFormat="1" ht="14.45" customHeight="1" x14ac:dyDescent="0.25">
      <c r="A624" s="297">
        <f t="shared" si="9"/>
        <v>38.366666666666667</v>
      </c>
      <c r="B624" s="460">
        <v>41585</v>
      </c>
      <c r="C624" s="461" t="s">
        <v>905</v>
      </c>
      <c r="D624" s="461" t="s">
        <v>905</v>
      </c>
      <c r="E624" s="461" t="s">
        <v>380</v>
      </c>
      <c r="F624" s="461" t="s">
        <v>5</v>
      </c>
      <c r="G624" s="461" t="s">
        <v>366</v>
      </c>
      <c r="H624" s="291"/>
      <c r="I624" s="291"/>
      <c r="J624" s="291"/>
      <c r="K624" s="291"/>
      <c r="L624" s="292"/>
      <c r="M624" s="292"/>
      <c r="N624" s="292"/>
      <c r="O624" s="292"/>
      <c r="P624" s="294"/>
      <c r="Q624" s="294"/>
      <c r="R624" s="294">
        <v>23</v>
      </c>
      <c r="S624" s="294">
        <v>41</v>
      </c>
      <c r="T624" s="294">
        <v>128</v>
      </c>
      <c r="U624" s="294">
        <v>64</v>
      </c>
      <c r="V624" s="431"/>
      <c r="W624" s="294"/>
      <c r="X624" s="294"/>
      <c r="Y624" s="294">
        <f>IF(NFI_Expiration=1,IF($A624&lt;VLOOKUP(H$5,NFI,5,0),1,0)*Table_NFI[[#This Row],[Hygiene Kit]],Table_NFI[Hygiene Kit])</f>
        <v>0</v>
      </c>
      <c r="Z624" s="294">
        <f>IF(NFI_Expiration=1,IF($A624&lt;VLOOKUP(I$5,NFI,5,0),1,0)*Table_NFI[[#This Row],[NFI Core Kit]],Table_NFI[NFI Core Kit])</f>
        <v>0</v>
      </c>
      <c r="AA624" s="294">
        <f>IF(NFI_Expiration=1,IF($A624&lt;VLOOKUP(J$5,NFI,5,0),1,0)*Table_NFI[[#This Row],[Sanitary Kit]],Table_NFI[Sanitary Kit])</f>
        <v>0</v>
      </c>
      <c r="AB624" s="294">
        <f>IF(NFI_Expiration=1,IF($A624&lt;VLOOKUP(K$5,NFI,5,0),1,0)*Table_NFI[[#This Row],[Mosquito net]],Table_NFI[Mosquito net])</f>
        <v>0</v>
      </c>
      <c r="AC624" s="294">
        <f>IF(NFI_Expiration=1,IF($A624&lt;VLOOKUP(L$5,NFI,5,0),1,0)*Table_NFI[[#This Row],[Tarpaulin]],Table_NFI[[#This Row],[Tarpaulin]])</f>
        <v>0</v>
      </c>
      <c r="AD624" s="294">
        <f>IF(NFI_Expiration=1,IF($A624&lt;VLOOKUP(M$5,NFI,5,0),1,0)*Table_NFI[[#This Row],[Blanket]],Table_NFI[[#This Row],[Blanket]])</f>
        <v>0</v>
      </c>
      <c r="AE624" s="294">
        <f>IF(NFI_Expiration=1,IF($A624&lt;VLOOKUP(N$5,NFI,5,0),1,0)*Table_NFI[[#This Row],[Kitchen Set]],Table_NFI[Kitchen Set])</f>
        <v>0</v>
      </c>
      <c r="AF624" s="294">
        <f>IF(NFI_Expiration=1,IF($A624&lt;VLOOKUP(O$5,NFI,5,0),1,0)*Table_NFI[[#This Row],[Clothes Kit]],Table_NFI[Clothes Kit])</f>
        <v>0</v>
      </c>
      <c r="AG624" s="294">
        <f>IF(NFI_Expiration=1,IF($A624&lt;VLOOKUP(P$5,NFI,5,0),1,0)*Table_NFI[[#This Row],[Plastic Bucket]],Table_NFI[Plastic Bucket])</f>
        <v>0</v>
      </c>
      <c r="AH624" s="294">
        <f>IF(NFI_Expiration=1,IF($A624&lt;VLOOKUP(Q$5,NFI,5,0),1,0)*Table_NFI[[#This Row],[Plastic Mat]],Table_NFI[Plastic Mat])*IF(Table_NFI[[#This Row],[Distribution Date]]&gt;"2014-04-01",1,2.5)</f>
        <v>0</v>
      </c>
      <c r="AI624" s="294">
        <f>IF(NFI_Expiration=1,IF($A624&lt;VLOOKUP(R$5,NFI,5,0),1,0)*Table_NFI[[#This Row],[Winter Clothes Adult]],Table_NFI[Winter Clothes Adult])</f>
        <v>0</v>
      </c>
      <c r="AJ624" s="294">
        <f>IF(NFI_Expiration=1,IF($A624&lt;VLOOKUP(S$5,NFI,5,0),1,0)*Table_NFI[[#This Row],[Winter Clothes Children]],Table_NFI[Winter Clothes Children])</f>
        <v>0</v>
      </c>
      <c r="AK624" s="294">
        <f>IF(NFI_Expiration=1,IF($A624&lt;VLOOKUP(T$5,NFI,5,0),1,0)*Table_NFI[[#This Row],[Winter Items Other]],Table_NFI[Winter Items Other])</f>
        <v>0</v>
      </c>
      <c r="AL624" s="294">
        <f>IF(NFI_Expiration=1,IF($A624&lt;VLOOKUP(M$5,NFI,5,0),1,0)*Table_NFI[[#This Row],[Winter Blanket]],Table_NFI[[#This Row],[Winter Blanket]])</f>
        <v>0</v>
      </c>
      <c r="AM624" s="294">
        <f>IF(Table_NFI[[#This Row],[Winter Clothes Adult]]+Table_NFI[[#This Row],[Winter Clothes Children]]+Table_NFI[[#This Row],[Winter Items Other]]+Table_NFI[[#This Row],[Winter Blanket]]&gt;0,1,0)</f>
        <v>1</v>
      </c>
      <c r="AN624" s="331">
        <f>IF(NFI_Expiration=1,IF($A624&lt;VLOOKUP(V$5,NFI,5,0),1,0)*Table_NFI[[#This Row],[Jerry Can]],Table_NFI[Jerry Can])</f>
        <v>0</v>
      </c>
      <c r="AO624" s="331">
        <f>IF(NFI_Expiration=1,IF($A624&lt;VLOOKUP(V$5,NFI,5,0),1,0)*Table_NFI[[#This Row],[Shelter Tool kit]],Table_NFI[Shelter Tool kit])</f>
        <v>0</v>
      </c>
      <c r="AP624" s="331">
        <f>IF(NFI_Expiration=1,IF($A624&lt;VLOOKUP(V$5,NFI,5,0),1,0)*Table_NFI[[#This Row],[Tent]],Table_NFI[Tent])</f>
        <v>0</v>
      </c>
      <c r="AQ624" s="467" t="str">
        <f>IFERROR(VLOOKUP(Table_NFI[[#This Row],[Camp Name]],CL,2,0),"")</f>
        <v>MMR001CMP193</v>
      </c>
      <c r="AR624" s="835">
        <f ca="1">IF(Table_NFI[[#This Row],[Pcode]]="","",IF(OFFSET(CampList[Opening Date],MATCH(Table_NFI[[#This Row],[Pcode]],CampList[CP_Pcode],0)-1,0,1,1)&gt;=NFI_Monitor_Date,1,0))</f>
        <v>0</v>
      </c>
      <c r="AS624" s="467" t="str">
        <f>IFERROR(VLOOKUP(Table_NFI[[#This Row],[Camp Name]],CL,3,0),"")</f>
        <v>Open</v>
      </c>
      <c r="AT624" s="294" t="str">
        <f ca="1">IF(Table_NFI[[#This Row],[Pcode]]="","",OFFSET(CampList[Priority],MATCH(Table_NFI[[#This Row],[Pcode]],CampList[CP_Pcode],0)-1,0,1,1))</f>
        <v>P4</v>
      </c>
      <c r="AU624" s="293">
        <f>IFERROR(Table_NFI[[#This Row],[Kitchen Set]]/VLOOKUP(Table_NFI[[#This Row],[Camp Name]],CL,4,0),"")</f>
        <v>0</v>
      </c>
      <c r="AV624" s="461"/>
      <c r="AW624" s="463"/>
    </row>
    <row r="625" spans="1:49" s="464" customFormat="1" ht="14.45" customHeight="1" x14ac:dyDescent="0.25">
      <c r="A625" s="297">
        <f t="shared" si="9"/>
        <v>38.366666666666667</v>
      </c>
      <c r="B625" s="460">
        <v>41585</v>
      </c>
      <c r="C625" s="461" t="s">
        <v>452</v>
      </c>
      <c r="D625" s="461" t="s">
        <v>452</v>
      </c>
      <c r="E625" s="461" t="s">
        <v>380</v>
      </c>
      <c r="F625" s="290" t="s">
        <v>5</v>
      </c>
      <c r="G625" s="290" t="s">
        <v>366</v>
      </c>
      <c r="H625" s="291"/>
      <c r="I625" s="291"/>
      <c r="J625" s="291">
        <v>58</v>
      </c>
      <c r="K625" s="291">
        <v>46</v>
      </c>
      <c r="L625" s="292">
        <v>29</v>
      </c>
      <c r="M625" s="292">
        <v>46</v>
      </c>
      <c r="N625" s="292">
        <v>29</v>
      </c>
      <c r="O625" s="292">
        <v>29</v>
      </c>
      <c r="P625" s="294"/>
      <c r="Q625" s="294"/>
      <c r="R625" s="294"/>
      <c r="S625" s="294"/>
      <c r="T625" s="294"/>
      <c r="U625" s="294"/>
      <c r="V625" s="431"/>
      <c r="W625" s="294"/>
      <c r="X625" s="294"/>
      <c r="Y625" s="294">
        <f>IF(NFI_Expiration=1,IF($A625&lt;VLOOKUP(H$5,NFI,5,0),1,0)*Table_NFI[[#This Row],[Hygiene Kit]],Table_NFI[Hygiene Kit])</f>
        <v>0</v>
      </c>
      <c r="Z625" s="294">
        <f>IF(NFI_Expiration=1,IF($A625&lt;VLOOKUP(I$5,NFI,5,0),1,0)*Table_NFI[[#This Row],[NFI Core Kit]],Table_NFI[NFI Core Kit])</f>
        <v>0</v>
      </c>
      <c r="AA625" s="294">
        <f>IF(NFI_Expiration=1,IF($A625&lt;VLOOKUP(J$5,NFI,5,0),1,0)*Table_NFI[[#This Row],[Sanitary Kit]],Table_NFI[Sanitary Kit])</f>
        <v>0</v>
      </c>
      <c r="AB625" s="294">
        <f>IF(NFI_Expiration=1,IF($A625&lt;VLOOKUP(K$5,NFI,5,0),1,0)*Table_NFI[[#This Row],[Mosquito net]],Table_NFI[Mosquito net])</f>
        <v>0</v>
      </c>
      <c r="AC625" s="294">
        <f>IF(NFI_Expiration=1,IF($A625&lt;VLOOKUP(L$5,NFI,5,0),1,0)*Table_NFI[[#This Row],[Tarpaulin]],Table_NFI[[#This Row],[Tarpaulin]])</f>
        <v>0</v>
      </c>
      <c r="AD625" s="294">
        <f>IF(NFI_Expiration=1,IF($A625&lt;VLOOKUP(M$5,NFI,5,0),1,0)*Table_NFI[[#This Row],[Blanket]],Table_NFI[[#This Row],[Blanket]])</f>
        <v>0</v>
      </c>
      <c r="AE625" s="294">
        <f>IF(NFI_Expiration=1,IF($A625&lt;VLOOKUP(N$5,NFI,5,0),1,0)*Table_NFI[[#This Row],[Kitchen Set]],Table_NFI[Kitchen Set])</f>
        <v>0</v>
      </c>
      <c r="AF625" s="294">
        <f>IF(NFI_Expiration=1,IF($A625&lt;VLOOKUP(O$5,NFI,5,0),1,0)*Table_NFI[[#This Row],[Clothes Kit]],Table_NFI[Clothes Kit])</f>
        <v>0</v>
      </c>
      <c r="AG625" s="294">
        <f>IF(NFI_Expiration=1,IF($A625&lt;VLOOKUP(P$5,NFI,5,0),1,0)*Table_NFI[[#This Row],[Plastic Bucket]],Table_NFI[Plastic Bucket])</f>
        <v>0</v>
      </c>
      <c r="AH625" s="294">
        <f>IF(NFI_Expiration=1,IF($A625&lt;VLOOKUP(Q$5,NFI,5,0),1,0)*Table_NFI[[#This Row],[Plastic Mat]],Table_NFI[Plastic Mat])*IF(Table_NFI[[#This Row],[Distribution Date]]&gt;"2014-04-01",1,2.5)</f>
        <v>0</v>
      </c>
      <c r="AI625" s="294">
        <f>IF(NFI_Expiration=1,IF($A625&lt;VLOOKUP(R$5,NFI,5,0),1,0)*Table_NFI[[#This Row],[Winter Clothes Adult]],Table_NFI[Winter Clothes Adult])</f>
        <v>0</v>
      </c>
      <c r="AJ625" s="294">
        <f>IF(NFI_Expiration=1,IF($A625&lt;VLOOKUP(S$5,NFI,5,0),1,0)*Table_NFI[[#This Row],[Winter Clothes Children]],Table_NFI[Winter Clothes Children])</f>
        <v>0</v>
      </c>
      <c r="AK625" s="294">
        <f>IF(NFI_Expiration=1,IF($A625&lt;VLOOKUP(T$5,NFI,5,0),1,0)*Table_NFI[[#This Row],[Winter Items Other]],Table_NFI[Winter Items Other])</f>
        <v>0</v>
      </c>
      <c r="AL625" s="294">
        <f>IF(NFI_Expiration=1,IF($A625&lt;VLOOKUP(M$5,NFI,5,0),1,0)*Table_NFI[[#This Row],[Winter Blanket]],Table_NFI[[#This Row],[Winter Blanket]])</f>
        <v>0</v>
      </c>
      <c r="AM625" s="294">
        <f>IF(Table_NFI[[#This Row],[Winter Clothes Adult]]+Table_NFI[[#This Row],[Winter Clothes Children]]+Table_NFI[[#This Row],[Winter Items Other]]+Table_NFI[[#This Row],[Winter Blanket]]&gt;0,1,0)</f>
        <v>0</v>
      </c>
      <c r="AN625" s="331">
        <f>IF(NFI_Expiration=1,IF($A625&lt;VLOOKUP(V$5,NFI,5,0),1,0)*Table_NFI[[#This Row],[Jerry Can]],Table_NFI[Jerry Can])</f>
        <v>0</v>
      </c>
      <c r="AO625" s="331">
        <f>IF(NFI_Expiration=1,IF($A625&lt;VLOOKUP(V$5,NFI,5,0),1,0)*Table_NFI[[#This Row],[Shelter Tool kit]],Table_NFI[Shelter Tool kit])</f>
        <v>0</v>
      </c>
      <c r="AP625" s="331">
        <f>IF(NFI_Expiration=1,IF($A625&lt;VLOOKUP(V$5,NFI,5,0),1,0)*Table_NFI[[#This Row],[Tent]],Table_NFI[Tent])</f>
        <v>0</v>
      </c>
      <c r="AQ625" s="467" t="str">
        <f>IFERROR(VLOOKUP(Table_NFI[[#This Row],[Camp Name]],CL,2,0),"")</f>
        <v>MMR001CMP193</v>
      </c>
      <c r="AR625" s="835">
        <f ca="1">IF(Table_NFI[[#This Row],[Pcode]]="","",IF(OFFSET(CampList[Opening Date],MATCH(Table_NFI[[#This Row],[Pcode]],CampList[CP_Pcode],0)-1,0,1,1)&gt;=NFI_Monitor_Date,1,0))</f>
        <v>0</v>
      </c>
      <c r="AS625" s="467" t="str">
        <f>IFERROR(VLOOKUP(Table_NFI[[#This Row],[Camp Name]],CL,3,0),"")</f>
        <v>Open</v>
      </c>
      <c r="AT625" s="294" t="str">
        <f ca="1">IF(Table_NFI[[#This Row],[Pcode]]="","",OFFSET(CampList[Priority],MATCH(Table_NFI[[#This Row],[Pcode]],CampList[CP_Pcode],0)-1,0,1,1))</f>
        <v>P4</v>
      </c>
      <c r="AU625" s="293">
        <f>IFERROR(Table_NFI[[#This Row],[Kitchen Set]]/VLOOKUP(Table_NFI[[#This Row],[Camp Name]],CL,4,0),"")</f>
        <v>7.0260448213204122E-4</v>
      </c>
      <c r="AV625" s="461" t="s">
        <v>1092</v>
      </c>
      <c r="AW625" s="463"/>
    </row>
    <row r="626" spans="1:49" s="464" customFormat="1" ht="14.45" customHeight="1" x14ac:dyDescent="0.25">
      <c r="A626" s="297">
        <f t="shared" si="9"/>
        <v>38.366666666666667</v>
      </c>
      <c r="B626" s="460">
        <v>41585</v>
      </c>
      <c r="C626" s="461" t="s">
        <v>905</v>
      </c>
      <c r="D626" s="461" t="s">
        <v>905</v>
      </c>
      <c r="E626" s="461" t="s">
        <v>380</v>
      </c>
      <c r="F626" s="461" t="s">
        <v>5</v>
      </c>
      <c r="G626" s="461" t="s">
        <v>24</v>
      </c>
      <c r="H626" s="291"/>
      <c r="I626" s="291"/>
      <c r="J626" s="291"/>
      <c r="K626" s="291"/>
      <c r="L626" s="292"/>
      <c r="M626" s="292"/>
      <c r="N626" s="292"/>
      <c r="O626" s="292"/>
      <c r="P626" s="294"/>
      <c r="Q626" s="294"/>
      <c r="R626" s="294">
        <v>64</v>
      </c>
      <c r="S626" s="294">
        <v>118</v>
      </c>
      <c r="T626" s="294">
        <v>364</v>
      </c>
      <c r="U626" s="294">
        <v>182</v>
      </c>
      <c r="V626" s="431"/>
      <c r="W626" s="294"/>
      <c r="X626" s="294"/>
      <c r="Y626" s="294">
        <f>IF(NFI_Expiration=1,IF($A626&lt;VLOOKUP(H$5,NFI,5,0),1,0)*Table_NFI[[#This Row],[Hygiene Kit]],Table_NFI[Hygiene Kit])</f>
        <v>0</v>
      </c>
      <c r="Z626" s="294">
        <f>IF(NFI_Expiration=1,IF($A626&lt;VLOOKUP(I$5,NFI,5,0),1,0)*Table_NFI[[#This Row],[NFI Core Kit]],Table_NFI[NFI Core Kit])</f>
        <v>0</v>
      </c>
      <c r="AA626" s="294">
        <f>IF(NFI_Expiration=1,IF($A626&lt;VLOOKUP(J$5,NFI,5,0),1,0)*Table_NFI[[#This Row],[Sanitary Kit]],Table_NFI[Sanitary Kit])</f>
        <v>0</v>
      </c>
      <c r="AB626" s="294">
        <f>IF(NFI_Expiration=1,IF($A626&lt;VLOOKUP(K$5,NFI,5,0),1,0)*Table_NFI[[#This Row],[Mosquito net]],Table_NFI[Mosquito net])</f>
        <v>0</v>
      </c>
      <c r="AC626" s="294">
        <f>IF(NFI_Expiration=1,IF($A626&lt;VLOOKUP(L$5,NFI,5,0),1,0)*Table_NFI[[#This Row],[Tarpaulin]],Table_NFI[[#This Row],[Tarpaulin]])</f>
        <v>0</v>
      </c>
      <c r="AD626" s="294">
        <f>IF(NFI_Expiration=1,IF($A626&lt;VLOOKUP(M$5,NFI,5,0),1,0)*Table_NFI[[#This Row],[Blanket]],Table_NFI[[#This Row],[Blanket]])</f>
        <v>0</v>
      </c>
      <c r="AE626" s="294">
        <f>IF(NFI_Expiration=1,IF($A626&lt;VLOOKUP(N$5,NFI,5,0),1,0)*Table_NFI[[#This Row],[Kitchen Set]],Table_NFI[Kitchen Set])</f>
        <v>0</v>
      </c>
      <c r="AF626" s="294">
        <f>IF(NFI_Expiration=1,IF($A626&lt;VLOOKUP(O$5,NFI,5,0),1,0)*Table_NFI[[#This Row],[Clothes Kit]],Table_NFI[Clothes Kit])</f>
        <v>0</v>
      </c>
      <c r="AG626" s="294">
        <f>IF(NFI_Expiration=1,IF($A626&lt;VLOOKUP(P$5,NFI,5,0),1,0)*Table_NFI[[#This Row],[Plastic Bucket]],Table_NFI[Plastic Bucket])</f>
        <v>0</v>
      </c>
      <c r="AH626" s="294">
        <f>IF(NFI_Expiration=1,IF($A626&lt;VLOOKUP(Q$5,NFI,5,0),1,0)*Table_NFI[[#This Row],[Plastic Mat]],Table_NFI[Plastic Mat])*IF(Table_NFI[[#This Row],[Distribution Date]]&gt;"2014-04-01",1,2.5)</f>
        <v>0</v>
      </c>
      <c r="AI626" s="294">
        <f>IF(NFI_Expiration=1,IF($A626&lt;VLOOKUP(R$5,NFI,5,0),1,0)*Table_NFI[[#This Row],[Winter Clothes Adult]],Table_NFI[Winter Clothes Adult])</f>
        <v>0</v>
      </c>
      <c r="AJ626" s="294">
        <f>IF(NFI_Expiration=1,IF($A626&lt;VLOOKUP(S$5,NFI,5,0),1,0)*Table_NFI[[#This Row],[Winter Clothes Children]],Table_NFI[Winter Clothes Children])</f>
        <v>0</v>
      </c>
      <c r="AK626" s="294">
        <f>IF(NFI_Expiration=1,IF($A626&lt;VLOOKUP(T$5,NFI,5,0),1,0)*Table_NFI[[#This Row],[Winter Items Other]],Table_NFI[Winter Items Other])</f>
        <v>0</v>
      </c>
      <c r="AL626" s="294">
        <f>IF(NFI_Expiration=1,IF($A626&lt;VLOOKUP(M$5,NFI,5,0),1,0)*Table_NFI[[#This Row],[Winter Blanket]],Table_NFI[[#This Row],[Winter Blanket]])</f>
        <v>0</v>
      </c>
      <c r="AM626" s="294">
        <f>IF(Table_NFI[[#This Row],[Winter Clothes Adult]]+Table_NFI[[#This Row],[Winter Clothes Children]]+Table_NFI[[#This Row],[Winter Items Other]]+Table_NFI[[#This Row],[Winter Blanket]]&gt;0,1,0)</f>
        <v>1</v>
      </c>
      <c r="AN626" s="331">
        <f>IF(NFI_Expiration=1,IF($A626&lt;VLOOKUP(V$5,NFI,5,0),1,0)*Table_NFI[[#This Row],[Jerry Can]],Table_NFI[Jerry Can])</f>
        <v>0</v>
      </c>
      <c r="AO626" s="331">
        <f>IF(NFI_Expiration=1,IF($A626&lt;VLOOKUP(V$5,NFI,5,0),1,0)*Table_NFI[[#This Row],[Shelter Tool kit]],Table_NFI[Shelter Tool kit])</f>
        <v>0</v>
      </c>
      <c r="AP626" s="331">
        <f>IF(NFI_Expiration=1,IF($A626&lt;VLOOKUP(V$5,NFI,5,0),1,0)*Table_NFI[[#This Row],[Tent]],Table_NFI[Tent])</f>
        <v>0</v>
      </c>
      <c r="AQ626" s="467" t="str">
        <f>IFERROR(VLOOKUP(Table_NFI[[#This Row],[Camp Name]],CL,2,0),"")</f>
        <v>MMR001CMP055</v>
      </c>
      <c r="AR626" s="835">
        <f ca="1">IF(Table_NFI[[#This Row],[Pcode]]="","",IF(OFFSET(CampList[Opening Date],MATCH(Table_NFI[[#This Row],[Pcode]],CampList[CP_Pcode],0)-1,0,1,1)&gt;=NFI_Monitor_Date,1,0))</f>
        <v>0</v>
      </c>
      <c r="AS626" s="467" t="str">
        <f>IFERROR(VLOOKUP(Table_NFI[[#This Row],[Camp Name]],CL,3,0),"")</f>
        <v>Open</v>
      </c>
      <c r="AT626" s="294" t="str">
        <f ca="1">IF(Table_NFI[[#This Row],[Pcode]]="","",OFFSET(CampList[Priority],MATCH(Table_NFI[[#This Row],[Pcode]],CampList[CP_Pcode],0)-1,0,1,1))</f>
        <v>P4</v>
      </c>
      <c r="AU626" s="293">
        <f>IFERROR(Table_NFI[[#This Row],[Kitchen Set]]/VLOOKUP(Table_NFI[[#This Row],[Camp Name]],CL,4,0),"")</f>
        <v>0</v>
      </c>
      <c r="AV626" s="461"/>
      <c r="AW626" s="463"/>
    </row>
    <row r="627" spans="1:49" s="464" customFormat="1" ht="14.45" customHeight="1" x14ac:dyDescent="0.25">
      <c r="A627" s="297">
        <f t="shared" si="9"/>
        <v>38.43333333333333</v>
      </c>
      <c r="B627" s="460">
        <v>41583</v>
      </c>
      <c r="C627" s="461" t="s">
        <v>452</v>
      </c>
      <c r="D627" s="461" t="s">
        <v>452</v>
      </c>
      <c r="E627" s="461" t="s">
        <v>380</v>
      </c>
      <c r="F627" s="290" t="s">
        <v>151</v>
      </c>
      <c r="G627" s="290" t="s">
        <v>152</v>
      </c>
      <c r="H627" s="291"/>
      <c r="I627" s="291"/>
      <c r="J627" s="291">
        <v>60</v>
      </c>
      <c r="K627" s="291">
        <v>54</v>
      </c>
      <c r="L627" s="292">
        <v>30</v>
      </c>
      <c r="M627" s="292">
        <v>54</v>
      </c>
      <c r="N627" s="292">
        <v>30</v>
      </c>
      <c r="O627" s="292">
        <v>30</v>
      </c>
      <c r="P627" s="294"/>
      <c r="Q627" s="294"/>
      <c r="R627" s="294"/>
      <c r="S627" s="294"/>
      <c r="T627" s="294"/>
      <c r="U627" s="294"/>
      <c r="V627" s="431"/>
      <c r="W627" s="294"/>
      <c r="X627" s="294"/>
      <c r="Y627" s="294">
        <f>IF(NFI_Expiration=1,IF($A627&lt;VLOOKUP(H$5,NFI,5,0),1,0)*Table_NFI[[#This Row],[Hygiene Kit]],Table_NFI[Hygiene Kit])</f>
        <v>0</v>
      </c>
      <c r="Z627" s="294">
        <f>IF(NFI_Expiration=1,IF($A627&lt;VLOOKUP(I$5,NFI,5,0),1,0)*Table_NFI[[#This Row],[NFI Core Kit]],Table_NFI[NFI Core Kit])</f>
        <v>0</v>
      </c>
      <c r="AA627" s="294">
        <f>IF(NFI_Expiration=1,IF($A627&lt;VLOOKUP(J$5,NFI,5,0),1,0)*Table_NFI[[#This Row],[Sanitary Kit]],Table_NFI[Sanitary Kit])</f>
        <v>0</v>
      </c>
      <c r="AB627" s="294">
        <f>IF(NFI_Expiration=1,IF($A627&lt;VLOOKUP(K$5,NFI,5,0),1,0)*Table_NFI[[#This Row],[Mosquito net]],Table_NFI[Mosquito net])</f>
        <v>0</v>
      </c>
      <c r="AC627" s="294">
        <f>IF(NFI_Expiration=1,IF($A627&lt;VLOOKUP(L$5,NFI,5,0),1,0)*Table_NFI[[#This Row],[Tarpaulin]],Table_NFI[[#This Row],[Tarpaulin]])</f>
        <v>0</v>
      </c>
      <c r="AD627" s="294">
        <f>IF(NFI_Expiration=1,IF($A627&lt;VLOOKUP(M$5,NFI,5,0),1,0)*Table_NFI[[#This Row],[Blanket]],Table_NFI[[#This Row],[Blanket]])</f>
        <v>0</v>
      </c>
      <c r="AE627" s="294">
        <f>IF(NFI_Expiration=1,IF($A627&lt;VLOOKUP(N$5,NFI,5,0),1,0)*Table_NFI[[#This Row],[Kitchen Set]],Table_NFI[Kitchen Set])</f>
        <v>0</v>
      </c>
      <c r="AF627" s="294">
        <f>IF(NFI_Expiration=1,IF($A627&lt;VLOOKUP(O$5,NFI,5,0),1,0)*Table_NFI[[#This Row],[Clothes Kit]],Table_NFI[Clothes Kit])</f>
        <v>0</v>
      </c>
      <c r="AG627" s="294">
        <f>IF(NFI_Expiration=1,IF($A627&lt;VLOOKUP(P$5,NFI,5,0),1,0)*Table_NFI[[#This Row],[Plastic Bucket]],Table_NFI[Plastic Bucket])</f>
        <v>0</v>
      </c>
      <c r="AH627" s="294">
        <f>IF(NFI_Expiration=1,IF($A627&lt;VLOOKUP(Q$5,NFI,5,0),1,0)*Table_NFI[[#This Row],[Plastic Mat]],Table_NFI[Plastic Mat])*IF(Table_NFI[[#This Row],[Distribution Date]]&gt;"2014-04-01",1,2.5)</f>
        <v>0</v>
      </c>
      <c r="AI627" s="294">
        <f>IF(NFI_Expiration=1,IF($A627&lt;VLOOKUP(R$5,NFI,5,0),1,0)*Table_NFI[[#This Row],[Winter Clothes Adult]],Table_NFI[Winter Clothes Adult])</f>
        <v>0</v>
      </c>
      <c r="AJ627" s="294">
        <f>IF(NFI_Expiration=1,IF($A627&lt;VLOOKUP(S$5,NFI,5,0),1,0)*Table_NFI[[#This Row],[Winter Clothes Children]],Table_NFI[Winter Clothes Children])</f>
        <v>0</v>
      </c>
      <c r="AK627" s="294">
        <f>IF(NFI_Expiration=1,IF($A627&lt;VLOOKUP(T$5,NFI,5,0),1,0)*Table_NFI[[#This Row],[Winter Items Other]],Table_NFI[Winter Items Other])</f>
        <v>0</v>
      </c>
      <c r="AL627" s="294">
        <f>IF(NFI_Expiration=1,IF($A627&lt;VLOOKUP(M$5,NFI,5,0),1,0)*Table_NFI[[#This Row],[Winter Blanket]],Table_NFI[[#This Row],[Winter Blanket]])</f>
        <v>0</v>
      </c>
      <c r="AM627" s="294">
        <f>IF(Table_NFI[[#This Row],[Winter Clothes Adult]]+Table_NFI[[#This Row],[Winter Clothes Children]]+Table_NFI[[#This Row],[Winter Items Other]]+Table_NFI[[#This Row],[Winter Blanket]]&gt;0,1,0)</f>
        <v>0</v>
      </c>
      <c r="AN627" s="331">
        <f>IF(NFI_Expiration=1,IF($A627&lt;VLOOKUP(V$5,NFI,5,0),1,0)*Table_NFI[[#This Row],[Jerry Can]],Table_NFI[Jerry Can])</f>
        <v>0</v>
      </c>
      <c r="AO627" s="331">
        <f>IF(NFI_Expiration=1,IF($A627&lt;VLOOKUP(V$5,NFI,5,0),1,0)*Table_NFI[[#This Row],[Shelter Tool kit]],Table_NFI[Shelter Tool kit])</f>
        <v>0</v>
      </c>
      <c r="AP627" s="331">
        <f>IF(NFI_Expiration=1,IF($A627&lt;VLOOKUP(V$5,NFI,5,0),1,0)*Table_NFI[[#This Row],[Tent]],Table_NFI[Tent])</f>
        <v>0</v>
      </c>
      <c r="AQ627" s="467" t="str">
        <f>IFERROR(VLOOKUP(Table_NFI[[#This Row],[Camp Name]],CL,2,0),"")</f>
        <v>MMR001CMP066</v>
      </c>
      <c r="AR627" s="835">
        <f ca="1">IF(Table_NFI[[#This Row],[Pcode]]="","",IF(OFFSET(CampList[Opening Date],MATCH(Table_NFI[[#This Row],[Pcode]],CampList[CP_Pcode],0)-1,0,1,1)&gt;=NFI_Monitor_Date,1,0))</f>
        <v>0</v>
      </c>
      <c r="AS627" s="467" t="str">
        <f>IFERROR(VLOOKUP(Table_NFI[[#This Row],[Camp Name]],CL,3,0),"")</f>
        <v>Open</v>
      </c>
      <c r="AT627" s="294" t="str">
        <f ca="1">IF(Table_NFI[[#This Row],[Pcode]]="","",OFFSET(CampList[Priority],MATCH(Table_NFI[[#This Row],[Pcode]],CampList[CP_Pcode],0)-1,0,1,1))</f>
        <v>P4</v>
      </c>
      <c r="AU627" s="293">
        <f>IFERROR(Table_NFI[[#This Row],[Kitchen Set]]/VLOOKUP(Table_NFI[[#This Row],[Camp Name]],CL,4,0),"")</f>
        <v>7.215180740277544E-4</v>
      </c>
      <c r="AV627" s="461" t="s">
        <v>1092</v>
      </c>
      <c r="AW627" s="463"/>
    </row>
    <row r="628" spans="1:49" s="464" customFormat="1" ht="14.45" customHeight="1" x14ac:dyDescent="0.25">
      <c r="A628" s="297">
        <f t="shared" si="9"/>
        <v>38.5</v>
      </c>
      <c r="B628" s="460">
        <v>41581</v>
      </c>
      <c r="C628" s="461" t="s">
        <v>900</v>
      </c>
      <c r="D628" s="461" t="s">
        <v>900</v>
      </c>
      <c r="E628" s="461" t="s">
        <v>380</v>
      </c>
      <c r="F628" s="290" t="s">
        <v>5</v>
      </c>
      <c r="G628" s="290" t="s">
        <v>6</v>
      </c>
      <c r="H628" s="291"/>
      <c r="I628" s="291"/>
      <c r="J628" s="291">
        <v>21</v>
      </c>
      <c r="K628" s="291"/>
      <c r="L628" s="292"/>
      <c r="M628" s="292"/>
      <c r="N628" s="292">
        <v>21</v>
      </c>
      <c r="O628" s="292"/>
      <c r="P628" s="294"/>
      <c r="Q628" s="294"/>
      <c r="R628" s="294"/>
      <c r="S628" s="294"/>
      <c r="T628" s="294"/>
      <c r="U628" s="294"/>
      <c r="V628" s="431"/>
      <c r="W628" s="294"/>
      <c r="X628" s="294"/>
      <c r="Y628" s="294">
        <f>IF(NFI_Expiration=1,IF($A628&lt;VLOOKUP(H$5,NFI,5,0),1,0)*Table_NFI[[#This Row],[Hygiene Kit]],Table_NFI[Hygiene Kit])</f>
        <v>0</v>
      </c>
      <c r="Z628" s="294">
        <f>IF(NFI_Expiration=1,IF($A628&lt;VLOOKUP(I$5,NFI,5,0),1,0)*Table_NFI[[#This Row],[NFI Core Kit]],Table_NFI[NFI Core Kit])</f>
        <v>0</v>
      </c>
      <c r="AA628" s="294">
        <f>IF(NFI_Expiration=1,IF($A628&lt;VLOOKUP(J$5,NFI,5,0),1,0)*Table_NFI[[#This Row],[Sanitary Kit]],Table_NFI[Sanitary Kit])</f>
        <v>0</v>
      </c>
      <c r="AB628" s="294">
        <f>IF(NFI_Expiration=1,IF($A628&lt;VLOOKUP(K$5,NFI,5,0),1,0)*Table_NFI[[#This Row],[Mosquito net]],Table_NFI[Mosquito net])</f>
        <v>0</v>
      </c>
      <c r="AC628" s="294">
        <f>IF(NFI_Expiration=1,IF($A628&lt;VLOOKUP(L$5,NFI,5,0),1,0)*Table_NFI[[#This Row],[Tarpaulin]],Table_NFI[[#This Row],[Tarpaulin]])</f>
        <v>0</v>
      </c>
      <c r="AD628" s="294">
        <f>IF(NFI_Expiration=1,IF($A628&lt;VLOOKUP(M$5,NFI,5,0),1,0)*Table_NFI[[#This Row],[Blanket]],Table_NFI[[#This Row],[Blanket]])</f>
        <v>0</v>
      </c>
      <c r="AE628" s="294">
        <f>IF(NFI_Expiration=1,IF($A628&lt;VLOOKUP(N$5,NFI,5,0),1,0)*Table_NFI[[#This Row],[Kitchen Set]],Table_NFI[Kitchen Set])</f>
        <v>0</v>
      </c>
      <c r="AF628" s="294">
        <f>IF(NFI_Expiration=1,IF($A628&lt;VLOOKUP(O$5,NFI,5,0),1,0)*Table_NFI[[#This Row],[Clothes Kit]],Table_NFI[Clothes Kit])</f>
        <v>0</v>
      </c>
      <c r="AG628" s="294">
        <f>IF(NFI_Expiration=1,IF($A628&lt;VLOOKUP(P$5,NFI,5,0),1,0)*Table_NFI[[#This Row],[Plastic Bucket]],Table_NFI[Plastic Bucket])</f>
        <v>0</v>
      </c>
      <c r="AH628" s="294">
        <f>IF(NFI_Expiration=1,IF($A628&lt;VLOOKUP(Q$5,NFI,5,0),1,0)*Table_NFI[[#This Row],[Plastic Mat]],Table_NFI[Plastic Mat])*IF(Table_NFI[[#This Row],[Distribution Date]]&gt;"2014-04-01",1,2.5)</f>
        <v>0</v>
      </c>
      <c r="AI628" s="294">
        <f>IF(NFI_Expiration=1,IF($A628&lt;VLOOKUP(R$5,NFI,5,0),1,0)*Table_NFI[[#This Row],[Winter Clothes Adult]],Table_NFI[Winter Clothes Adult])</f>
        <v>0</v>
      </c>
      <c r="AJ628" s="294">
        <f>IF(NFI_Expiration=1,IF($A628&lt;VLOOKUP(S$5,NFI,5,0),1,0)*Table_NFI[[#This Row],[Winter Clothes Children]],Table_NFI[Winter Clothes Children])</f>
        <v>0</v>
      </c>
      <c r="AK628" s="294">
        <f>IF(NFI_Expiration=1,IF($A628&lt;VLOOKUP(T$5,NFI,5,0),1,0)*Table_NFI[[#This Row],[Winter Items Other]],Table_NFI[Winter Items Other])</f>
        <v>0</v>
      </c>
      <c r="AL628" s="294">
        <f>IF(NFI_Expiration=1,IF($A628&lt;VLOOKUP(M$5,NFI,5,0),1,0)*Table_NFI[[#This Row],[Winter Blanket]],Table_NFI[[#This Row],[Winter Blanket]])</f>
        <v>0</v>
      </c>
      <c r="AM628" s="294">
        <f>IF(Table_NFI[[#This Row],[Winter Clothes Adult]]+Table_NFI[[#This Row],[Winter Clothes Children]]+Table_NFI[[#This Row],[Winter Items Other]]+Table_NFI[[#This Row],[Winter Blanket]]&gt;0,1,0)</f>
        <v>0</v>
      </c>
      <c r="AN628" s="331">
        <f>IF(NFI_Expiration=1,IF($A628&lt;VLOOKUP(V$5,NFI,5,0),1,0)*Table_NFI[[#This Row],[Jerry Can]],Table_NFI[Jerry Can])</f>
        <v>0</v>
      </c>
      <c r="AO628" s="331">
        <f>IF(NFI_Expiration=1,IF($A628&lt;VLOOKUP(V$5,NFI,5,0),1,0)*Table_NFI[[#This Row],[Shelter Tool kit]],Table_NFI[Shelter Tool kit])</f>
        <v>0</v>
      </c>
      <c r="AP628" s="331">
        <f>IF(NFI_Expiration=1,IF($A628&lt;VLOOKUP(V$5,NFI,5,0),1,0)*Table_NFI[[#This Row],[Tent]],Table_NFI[Tent])</f>
        <v>0</v>
      </c>
      <c r="AQ628" s="467" t="str">
        <f>IFERROR(VLOOKUP(Table_NFI[[#This Row],[Camp Name]],CL,2,0),"")</f>
        <v>MMR001CMP050</v>
      </c>
      <c r="AR628" s="835">
        <f ca="1">IF(Table_NFI[[#This Row],[Pcode]]="","",IF(OFFSET(CampList[Opening Date],MATCH(Table_NFI[[#This Row],[Pcode]],CampList[CP_Pcode],0)-1,0,1,1)&gt;=NFI_Monitor_Date,1,0))</f>
        <v>0</v>
      </c>
      <c r="AS628" s="467" t="str">
        <f>IFERROR(VLOOKUP(Table_NFI[[#This Row],[Camp Name]],CL,3,0),"")</f>
        <v>Open</v>
      </c>
      <c r="AT628" s="294" t="str">
        <f ca="1">IF(Table_NFI[[#This Row],[Pcode]]="","",OFFSET(CampList[Priority],MATCH(Table_NFI[[#This Row],[Pcode]],CampList[CP_Pcode],0)-1,0,1,1))</f>
        <v>P4</v>
      </c>
      <c r="AU628" s="293">
        <f>IFERROR(Table_NFI[[#This Row],[Kitchen Set]]/VLOOKUP(Table_NFI[[#This Row],[Camp Name]],CL,4,0),"")</f>
        <v>5.1410105757931847E-4</v>
      </c>
      <c r="AV628" s="461" t="s">
        <v>1092</v>
      </c>
      <c r="AW628" s="463"/>
    </row>
    <row r="629" spans="1:49" s="464" customFormat="1" ht="14.45" customHeight="1" x14ac:dyDescent="0.25">
      <c r="A629" s="297">
        <f t="shared" si="9"/>
        <v>38.5</v>
      </c>
      <c r="B629" s="460">
        <v>41581</v>
      </c>
      <c r="C629" s="461" t="s">
        <v>452</v>
      </c>
      <c r="D629" s="461" t="s">
        <v>573</v>
      </c>
      <c r="E629" s="461" t="s">
        <v>380</v>
      </c>
      <c r="F629" s="290" t="s">
        <v>151</v>
      </c>
      <c r="G629" s="290" t="s">
        <v>188</v>
      </c>
      <c r="H629" s="291"/>
      <c r="I629" s="291"/>
      <c r="J629" s="291">
        <v>130</v>
      </c>
      <c r="K629" s="291">
        <v>130</v>
      </c>
      <c r="L629" s="292">
        <v>65</v>
      </c>
      <c r="M629" s="292">
        <v>65</v>
      </c>
      <c r="N629" s="292">
        <v>65</v>
      </c>
      <c r="O629" s="292">
        <v>65</v>
      </c>
      <c r="P629" s="294"/>
      <c r="Q629" s="294"/>
      <c r="R629" s="294"/>
      <c r="S629" s="294"/>
      <c r="T629" s="294"/>
      <c r="U629" s="294"/>
      <c r="V629" s="431"/>
      <c r="W629" s="294"/>
      <c r="X629" s="294"/>
      <c r="Y629" s="294">
        <f>IF(NFI_Expiration=1,IF($A629&lt;VLOOKUP(H$5,NFI,5,0),1,0)*Table_NFI[[#This Row],[Hygiene Kit]],Table_NFI[Hygiene Kit])</f>
        <v>0</v>
      </c>
      <c r="Z629" s="294">
        <f>IF(NFI_Expiration=1,IF($A629&lt;VLOOKUP(I$5,NFI,5,0),1,0)*Table_NFI[[#This Row],[NFI Core Kit]],Table_NFI[NFI Core Kit])</f>
        <v>0</v>
      </c>
      <c r="AA629" s="294">
        <f>IF(NFI_Expiration=1,IF($A629&lt;VLOOKUP(J$5,NFI,5,0),1,0)*Table_NFI[[#This Row],[Sanitary Kit]],Table_NFI[Sanitary Kit])</f>
        <v>0</v>
      </c>
      <c r="AB629" s="294">
        <f>IF(NFI_Expiration=1,IF($A629&lt;VLOOKUP(K$5,NFI,5,0),1,0)*Table_NFI[[#This Row],[Mosquito net]],Table_NFI[Mosquito net])</f>
        <v>0</v>
      </c>
      <c r="AC629" s="294">
        <f>IF(NFI_Expiration=1,IF($A629&lt;VLOOKUP(L$5,NFI,5,0),1,0)*Table_NFI[[#This Row],[Tarpaulin]],Table_NFI[[#This Row],[Tarpaulin]])</f>
        <v>0</v>
      </c>
      <c r="AD629" s="294">
        <f>IF(NFI_Expiration=1,IF($A629&lt;VLOOKUP(M$5,NFI,5,0),1,0)*Table_NFI[[#This Row],[Blanket]],Table_NFI[[#This Row],[Blanket]])</f>
        <v>0</v>
      </c>
      <c r="AE629" s="294">
        <f>IF(NFI_Expiration=1,IF($A629&lt;VLOOKUP(N$5,NFI,5,0),1,0)*Table_NFI[[#This Row],[Kitchen Set]],Table_NFI[Kitchen Set])</f>
        <v>0</v>
      </c>
      <c r="AF629" s="294">
        <f>IF(NFI_Expiration=1,IF($A629&lt;VLOOKUP(O$5,NFI,5,0),1,0)*Table_NFI[[#This Row],[Clothes Kit]],Table_NFI[Clothes Kit])</f>
        <v>0</v>
      </c>
      <c r="AG629" s="294">
        <f>IF(NFI_Expiration=1,IF($A629&lt;VLOOKUP(P$5,NFI,5,0),1,0)*Table_NFI[[#This Row],[Plastic Bucket]],Table_NFI[Plastic Bucket])</f>
        <v>0</v>
      </c>
      <c r="AH629" s="294">
        <f>IF(NFI_Expiration=1,IF($A629&lt;VLOOKUP(Q$5,NFI,5,0),1,0)*Table_NFI[[#This Row],[Plastic Mat]],Table_NFI[Plastic Mat])*IF(Table_NFI[[#This Row],[Distribution Date]]&gt;"2014-04-01",1,2.5)</f>
        <v>0</v>
      </c>
      <c r="AI629" s="294">
        <f>IF(NFI_Expiration=1,IF($A629&lt;VLOOKUP(R$5,NFI,5,0),1,0)*Table_NFI[[#This Row],[Winter Clothes Adult]],Table_NFI[Winter Clothes Adult])</f>
        <v>0</v>
      </c>
      <c r="AJ629" s="294">
        <f>IF(NFI_Expiration=1,IF($A629&lt;VLOOKUP(S$5,NFI,5,0),1,0)*Table_NFI[[#This Row],[Winter Clothes Children]],Table_NFI[Winter Clothes Children])</f>
        <v>0</v>
      </c>
      <c r="AK629" s="294">
        <f>IF(NFI_Expiration=1,IF($A629&lt;VLOOKUP(T$5,NFI,5,0),1,0)*Table_NFI[[#This Row],[Winter Items Other]],Table_NFI[Winter Items Other])</f>
        <v>0</v>
      </c>
      <c r="AL629" s="294">
        <f>IF(NFI_Expiration=1,IF($A629&lt;VLOOKUP(M$5,NFI,5,0),1,0)*Table_NFI[[#This Row],[Winter Blanket]],Table_NFI[[#This Row],[Winter Blanket]])</f>
        <v>0</v>
      </c>
      <c r="AM629" s="294">
        <f>IF(Table_NFI[[#This Row],[Winter Clothes Adult]]+Table_NFI[[#This Row],[Winter Clothes Children]]+Table_NFI[[#This Row],[Winter Items Other]]+Table_NFI[[#This Row],[Winter Blanket]]&gt;0,1,0)</f>
        <v>0</v>
      </c>
      <c r="AN629" s="331">
        <f>IF(NFI_Expiration=1,IF($A629&lt;VLOOKUP(V$5,NFI,5,0),1,0)*Table_NFI[[#This Row],[Jerry Can]],Table_NFI[Jerry Can])</f>
        <v>0</v>
      </c>
      <c r="AO629" s="331">
        <f>IF(NFI_Expiration=1,IF($A629&lt;VLOOKUP(V$5,NFI,5,0),1,0)*Table_NFI[[#This Row],[Shelter Tool kit]],Table_NFI[Shelter Tool kit])</f>
        <v>0</v>
      </c>
      <c r="AP629" s="331">
        <f>IF(NFI_Expiration=1,IF($A629&lt;VLOOKUP(V$5,NFI,5,0),1,0)*Table_NFI[[#This Row],[Tent]],Table_NFI[Tent])</f>
        <v>0</v>
      </c>
      <c r="AQ629" s="467" t="str">
        <f>IFERROR(VLOOKUP(Table_NFI[[#This Row],[Camp Name]],CL,2,0),"")</f>
        <v>MMR001CMP129</v>
      </c>
      <c r="AR629" s="835">
        <f ca="1">IF(Table_NFI[[#This Row],[Pcode]]="","",IF(OFFSET(CampList[Opening Date],MATCH(Table_NFI[[#This Row],[Pcode]],CampList[CP_Pcode],0)-1,0,1,1)&gt;=NFI_Monitor_Date,1,0))</f>
        <v>0</v>
      </c>
      <c r="AS629" s="467" t="str">
        <f>IFERROR(VLOOKUP(Table_NFI[[#This Row],[Camp Name]],CL,3,0),"")</f>
        <v>Open</v>
      </c>
      <c r="AT629" s="294" t="str">
        <f ca="1">IF(Table_NFI[[#This Row],[Pcode]]="","",OFFSET(CampList[Priority],MATCH(Table_NFI[[#This Row],[Pcode]],CampList[CP_Pcode],0)-1,0,1,1))</f>
        <v>P2</v>
      </c>
      <c r="AU629" s="293">
        <f>IFERROR(Table_NFI[[#This Row],[Kitchen Set]]/VLOOKUP(Table_NFI[[#This Row],[Camp Name]],CL,4,0),"")</f>
        <v>1.5924737241835509E-3</v>
      </c>
      <c r="AV629" s="461" t="s">
        <v>1092</v>
      </c>
      <c r="AW629" s="463"/>
    </row>
    <row r="630" spans="1:49" s="98" customFormat="1" ht="14.45" customHeight="1" x14ac:dyDescent="0.25">
      <c r="A630" s="297">
        <f t="shared" si="9"/>
        <v>38.5</v>
      </c>
      <c r="B630" s="460">
        <v>41581</v>
      </c>
      <c r="C630" s="461" t="s">
        <v>900</v>
      </c>
      <c r="D630" s="462" t="s">
        <v>900</v>
      </c>
      <c r="E630" s="461" t="s">
        <v>380</v>
      </c>
      <c r="F630" s="290" t="s">
        <v>5</v>
      </c>
      <c r="G630" s="290" t="s">
        <v>14</v>
      </c>
      <c r="H630" s="291"/>
      <c r="I630" s="291"/>
      <c r="J630" s="291">
        <v>41</v>
      </c>
      <c r="K630" s="291"/>
      <c r="L630" s="292"/>
      <c r="M630" s="292"/>
      <c r="N630" s="292">
        <v>41</v>
      </c>
      <c r="O630" s="292"/>
      <c r="P630" s="294"/>
      <c r="Q630" s="294"/>
      <c r="R630" s="294"/>
      <c r="S630" s="294"/>
      <c r="T630" s="294"/>
      <c r="U630" s="294"/>
      <c r="V630" s="431"/>
      <c r="W630" s="294"/>
      <c r="X630" s="294"/>
      <c r="Y630" s="294">
        <f>IF(NFI_Expiration=1,IF($A630&lt;VLOOKUP(H$5,NFI,5,0),1,0)*Table_NFI[[#This Row],[Hygiene Kit]],Table_NFI[Hygiene Kit])</f>
        <v>0</v>
      </c>
      <c r="Z630" s="294">
        <f>IF(NFI_Expiration=1,IF($A630&lt;VLOOKUP(I$5,NFI,5,0),1,0)*Table_NFI[[#This Row],[NFI Core Kit]],Table_NFI[NFI Core Kit])</f>
        <v>0</v>
      </c>
      <c r="AA630" s="294">
        <f>IF(NFI_Expiration=1,IF($A630&lt;VLOOKUP(J$5,NFI,5,0),1,0)*Table_NFI[[#This Row],[Sanitary Kit]],Table_NFI[Sanitary Kit])</f>
        <v>0</v>
      </c>
      <c r="AB630" s="294">
        <f>IF(NFI_Expiration=1,IF($A630&lt;VLOOKUP(K$5,NFI,5,0),1,0)*Table_NFI[[#This Row],[Mosquito net]],Table_NFI[Mosquito net])</f>
        <v>0</v>
      </c>
      <c r="AC630" s="294">
        <f>IF(NFI_Expiration=1,IF($A630&lt;VLOOKUP(L$5,NFI,5,0),1,0)*Table_NFI[[#This Row],[Tarpaulin]],Table_NFI[[#This Row],[Tarpaulin]])</f>
        <v>0</v>
      </c>
      <c r="AD630" s="294">
        <f>IF(NFI_Expiration=1,IF($A630&lt;VLOOKUP(M$5,NFI,5,0),1,0)*Table_NFI[[#This Row],[Blanket]],Table_NFI[[#This Row],[Blanket]])</f>
        <v>0</v>
      </c>
      <c r="AE630" s="294">
        <f>IF(NFI_Expiration=1,IF($A630&lt;VLOOKUP(N$5,NFI,5,0),1,0)*Table_NFI[[#This Row],[Kitchen Set]],Table_NFI[Kitchen Set])</f>
        <v>0</v>
      </c>
      <c r="AF630" s="294">
        <f>IF(NFI_Expiration=1,IF($A630&lt;VLOOKUP(O$5,NFI,5,0),1,0)*Table_NFI[[#This Row],[Clothes Kit]],Table_NFI[Clothes Kit])</f>
        <v>0</v>
      </c>
      <c r="AG630" s="294">
        <f>IF(NFI_Expiration=1,IF($A630&lt;VLOOKUP(P$5,NFI,5,0),1,0)*Table_NFI[[#This Row],[Plastic Bucket]],Table_NFI[Plastic Bucket])</f>
        <v>0</v>
      </c>
      <c r="AH630" s="294">
        <f>IF(NFI_Expiration=1,IF($A630&lt;VLOOKUP(Q$5,NFI,5,0),1,0)*Table_NFI[[#This Row],[Plastic Mat]],Table_NFI[Plastic Mat])*IF(Table_NFI[[#This Row],[Distribution Date]]&gt;"2014-04-01",1,2.5)</f>
        <v>0</v>
      </c>
      <c r="AI630" s="294">
        <f>IF(NFI_Expiration=1,IF($A630&lt;VLOOKUP(R$5,NFI,5,0),1,0)*Table_NFI[[#This Row],[Winter Clothes Adult]],Table_NFI[Winter Clothes Adult])</f>
        <v>0</v>
      </c>
      <c r="AJ630" s="294">
        <f>IF(NFI_Expiration=1,IF($A630&lt;VLOOKUP(S$5,NFI,5,0),1,0)*Table_NFI[[#This Row],[Winter Clothes Children]],Table_NFI[Winter Clothes Children])</f>
        <v>0</v>
      </c>
      <c r="AK630" s="294">
        <f>IF(NFI_Expiration=1,IF($A630&lt;VLOOKUP(T$5,NFI,5,0),1,0)*Table_NFI[[#This Row],[Winter Items Other]],Table_NFI[Winter Items Other])</f>
        <v>0</v>
      </c>
      <c r="AL630" s="294">
        <f>IF(NFI_Expiration=1,IF($A630&lt;VLOOKUP(M$5,NFI,5,0),1,0)*Table_NFI[[#This Row],[Winter Blanket]],Table_NFI[[#This Row],[Winter Blanket]])</f>
        <v>0</v>
      </c>
      <c r="AM630" s="294">
        <f>IF(Table_NFI[[#This Row],[Winter Clothes Adult]]+Table_NFI[[#This Row],[Winter Clothes Children]]+Table_NFI[[#This Row],[Winter Items Other]]+Table_NFI[[#This Row],[Winter Blanket]]&gt;0,1,0)</f>
        <v>0</v>
      </c>
      <c r="AN630" s="331">
        <f>IF(NFI_Expiration=1,IF($A630&lt;VLOOKUP(V$5,NFI,5,0),1,0)*Table_NFI[[#This Row],[Jerry Can]],Table_NFI[Jerry Can])</f>
        <v>0</v>
      </c>
      <c r="AO630" s="331">
        <f>IF(NFI_Expiration=1,IF($A630&lt;VLOOKUP(V$5,NFI,5,0),1,0)*Table_NFI[[#This Row],[Shelter Tool kit]],Table_NFI[Shelter Tool kit])</f>
        <v>0</v>
      </c>
      <c r="AP630" s="331">
        <f>IF(NFI_Expiration=1,IF($A630&lt;VLOOKUP(V$5,NFI,5,0),1,0)*Table_NFI[[#This Row],[Tent]],Table_NFI[Tent])</f>
        <v>0</v>
      </c>
      <c r="AQ630" s="467" t="str">
        <f>IFERROR(VLOOKUP(Table_NFI[[#This Row],[Camp Name]],CL,2,0),"")</f>
        <v>MMR001CMP052</v>
      </c>
      <c r="AR630" s="835">
        <f ca="1">IF(Table_NFI[[#This Row],[Pcode]]="","",IF(OFFSET(CampList[Opening Date],MATCH(Table_NFI[[#This Row],[Pcode]],CampList[CP_Pcode],0)-1,0,1,1)&gt;=NFI_Monitor_Date,1,0))</f>
        <v>0</v>
      </c>
      <c r="AS630" s="467" t="str">
        <f>IFERROR(VLOOKUP(Table_NFI[[#This Row],[Camp Name]],CL,3,0),"")</f>
        <v>Open</v>
      </c>
      <c r="AT630" s="294" t="str">
        <f ca="1">IF(Table_NFI[[#This Row],[Pcode]]="","",OFFSET(CampList[Priority],MATCH(Table_NFI[[#This Row],[Pcode]],CampList[CP_Pcode],0)-1,0,1,1))</f>
        <v>P4</v>
      </c>
      <c r="AU630" s="293">
        <f>IFERROR(Table_NFI[[#This Row],[Kitchen Set]]/VLOOKUP(Table_NFI[[#This Row],[Camp Name]],CL,4,0),"")</f>
        <v>1.0029844904349528E-3</v>
      </c>
      <c r="AV630" s="461" t="s">
        <v>1092</v>
      </c>
      <c r="AW630" s="463"/>
    </row>
    <row r="631" spans="1:49" s="98" customFormat="1" ht="14.45" customHeight="1" x14ac:dyDescent="0.25">
      <c r="A631" s="297">
        <f t="shared" si="9"/>
        <v>38.5</v>
      </c>
      <c r="B631" s="460">
        <v>41581</v>
      </c>
      <c r="C631" s="461" t="s">
        <v>452</v>
      </c>
      <c r="D631" s="461" t="s">
        <v>573</v>
      </c>
      <c r="E631" s="461" t="s">
        <v>380</v>
      </c>
      <c r="F631" s="290" t="s">
        <v>151</v>
      </c>
      <c r="G631" s="290" t="s">
        <v>198</v>
      </c>
      <c r="H631" s="291"/>
      <c r="I631" s="291"/>
      <c r="J631" s="291">
        <v>592</v>
      </c>
      <c r="K631" s="291">
        <v>592</v>
      </c>
      <c r="L631" s="292">
        <v>296</v>
      </c>
      <c r="M631" s="292">
        <v>296</v>
      </c>
      <c r="N631" s="292">
        <v>296</v>
      </c>
      <c r="O631" s="292">
        <v>296</v>
      </c>
      <c r="P631" s="294"/>
      <c r="Q631" s="294"/>
      <c r="R631" s="294"/>
      <c r="S631" s="294"/>
      <c r="T631" s="294"/>
      <c r="U631" s="294"/>
      <c r="V631" s="431"/>
      <c r="W631" s="294"/>
      <c r="X631" s="294"/>
      <c r="Y631" s="294">
        <f>IF(NFI_Expiration=1,IF($A631&lt;VLOOKUP(H$5,NFI,5,0),1,0)*Table_NFI[[#This Row],[Hygiene Kit]],Table_NFI[Hygiene Kit])</f>
        <v>0</v>
      </c>
      <c r="Z631" s="294">
        <f>IF(NFI_Expiration=1,IF($A631&lt;VLOOKUP(I$5,NFI,5,0),1,0)*Table_NFI[[#This Row],[NFI Core Kit]],Table_NFI[NFI Core Kit])</f>
        <v>0</v>
      </c>
      <c r="AA631" s="294">
        <f>IF(NFI_Expiration=1,IF($A631&lt;VLOOKUP(J$5,NFI,5,0),1,0)*Table_NFI[[#This Row],[Sanitary Kit]],Table_NFI[Sanitary Kit])</f>
        <v>0</v>
      </c>
      <c r="AB631" s="294">
        <f>IF(NFI_Expiration=1,IF($A631&lt;VLOOKUP(K$5,NFI,5,0),1,0)*Table_NFI[[#This Row],[Mosquito net]],Table_NFI[Mosquito net])</f>
        <v>0</v>
      </c>
      <c r="AC631" s="294">
        <f>IF(NFI_Expiration=1,IF($A631&lt;VLOOKUP(L$5,NFI,5,0),1,0)*Table_NFI[[#This Row],[Tarpaulin]],Table_NFI[[#This Row],[Tarpaulin]])</f>
        <v>0</v>
      </c>
      <c r="AD631" s="294">
        <f>IF(NFI_Expiration=1,IF($A631&lt;VLOOKUP(M$5,NFI,5,0),1,0)*Table_NFI[[#This Row],[Blanket]],Table_NFI[[#This Row],[Blanket]])</f>
        <v>0</v>
      </c>
      <c r="AE631" s="294">
        <f>IF(NFI_Expiration=1,IF($A631&lt;VLOOKUP(N$5,NFI,5,0),1,0)*Table_NFI[[#This Row],[Kitchen Set]],Table_NFI[Kitchen Set])</f>
        <v>0</v>
      </c>
      <c r="AF631" s="294">
        <f>IF(NFI_Expiration=1,IF($A631&lt;VLOOKUP(O$5,NFI,5,0),1,0)*Table_NFI[[#This Row],[Clothes Kit]],Table_NFI[Clothes Kit])</f>
        <v>0</v>
      </c>
      <c r="AG631" s="294">
        <f>IF(NFI_Expiration=1,IF($A631&lt;VLOOKUP(P$5,NFI,5,0),1,0)*Table_NFI[[#This Row],[Plastic Bucket]],Table_NFI[Plastic Bucket])</f>
        <v>0</v>
      </c>
      <c r="AH631" s="294">
        <f>IF(NFI_Expiration=1,IF($A631&lt;VLOOKUP(Q$5,NFI,5,0),1,0)*Table_NFI[[#This Row],[Plastic Mat]],Table_NFI[Plastic Mat])*IF(Table_NFI[[#This Row],[Distribution Date]]&gt;"2014-04-01",1,2.5)</f>
        <v>0</v>
      </c>
      <c r="AI631" s="294">
        <f>IF(NFI_Expiration=1,IF($A631&lt;VLOOKUP(R$5,NFI,5,0),1,0)*Table_NFI[[#This Row],[Winter Clothes Adult]],Table_NFI[Winter Clothes Adult])</f>
        <v>0</v>
      </c>
      <c r="AJ631" s="294">
        <f>IF(NFI_Expiration=1,IF($A631&lt;VLOOKUP(S$5,NFI,5,0),1,0)*Table_NFI[[#This Row],[Winter Clothes Children]],Table_NFI[Winter Clothes Children])</f>
        <v>0</v>
      </c>
      <c r="AK631" s="294">
        <f>IF(NFI_Expiration=1,IF($A631&lt;VLOOKUP(T$5,NFI,5,0),1,0)*Table_NFI[[#This Row],[Winter Items Other]],Table_NFI[Winter Items Other])</f>
        <v>0</v>
      </c>
      <c r="AL631" s="294">
        <f>IF(NFI_Expiration=1,IF($A631&lt;VLOOKUP(M$5,NFI,5,0),1,0)*Table_NFI[[#This Row],[Winter Blanket]],Table_NFI[[#This Row],[Winter Blanket]])</f>
        <v>0</v>
      </c>
      <c r="AM631" s="294">
        <f>IF(Table_NFI[[#This Row],[Winter Clothes Adult]]+Table_NFI[[#This Row],[Winter Clothes Children]]+Table_NFI[[#This Row],[Winter Items Other]]+Table_NFI[[#This Row],[Winter Blanket]]&gt;0,1,0)</f>
        <v>0</v>
      </c>
      <c r="AN631" s="331">
        <f>IF(NFI_Expiration=1,IF($A631&lt;VLOOKUP(V$5,NFI,5,0),1,0)*Table_NFI[[#This Row],[Jerry Can]],Table_NFI[Jerry Can])</f>
        <v>0</v>
      </c>
      <c r="AO631" s="331">
        <f>IF(NFI_Expiration=1,IF($A631&lt;VLOOKUP(V$5,NFI,5,0),1,0)*Table_NFI[[#This Row],[Shelter Tool kit]],Table_NFI[Shelter Tool kit])</f>
        <v>0</v>
      </c>
      <c r="AP631" s="331">
        <f>IF(NFI_Expiration=1,IF($A631&lt;VLOOKUP(V$5,NFI,5,0),1,0)*Table_NFI[[#This Row],[Tent]],Table_NFI[Tent])</f>
        <v>0</v>
      </c>
      <c r="AQ631" s="467" t="str">
        <f>IFERROR(VLOOKUP(Table_NFI[[#This Row],[Camp Name]],CL,2,0),"")</f>
        <v>MMR001CMP128</v>
      </c>
      <c r="AR631" s="835">
        <f ca="1">IF(Table_NFI[[#This Row],[Pcode]]="","",IF(OFFSET(CampList[Opening Date],MATCH(Table_NFI[[#This Row],[Pcode]],CampList[CP_Pcode],0)-1,0,1,1)&gt;=NFI_Monitor_Date,1,0))</f>
        <v>0</v>
      </c>
      <c r="AS631" s="467" t="str">
        <f>IFERROR(VLOOKUP(Table_NFI[[#This Row],[Camp Name]],CL,3,0),"")</f>
        <v>Open</v>
      </c>
      <c r="AT631" s="294" t="str">
        <f ca="1">IF(Table_NFI[[#This Row],[Pcode]]="","",OFFSET(CampList[Priority],MATCH(Table_NFI[[#This Row],[Pcode]],CampList[CP_Pcode],0)-1,0,1,1))</f>
        <v>P2</v>
      </c>
      <c r="AU631" s="293">
        <f>IFERROR(Table_NFI[[#This Row],[Kitchen Set]]/VLOOKUP(Table_NFI[[#This Row],[Camp Name]],CL,4,0),"")</f>
        <v>7.2518803439743243E-3</v>
      </c>
      <c r="AV631" s="461" t="s">
        <v>1092</v>
      </c>
      <c r="AW631" s="463"/>
    </row>
    <row r="632" spans="1:49" ht="14.45" customHeight="1" x14ac:dyDescent="0.25">
      <c r="A632" s="297">
        <f t="shared" si="9"/>
        <v>38.5</v>
      </c>
      <c r="B632" s="460">
        <v>41581</v>
      </c>
      <c r="C632" s="461" t="s">
        <v>452</v>
      </c>
      <c r="D632" s="461" t="s">
        <v>573</v>
      </c>
      <c r="E632" s="461" t="s">
        <v>380</v>
      </c>
      <c r="F632" s="290" t="s">
        <v>185</v>
      </c>
      <c r="G632" s="290" t="s">
        <v>190</v>
      </c>
      <c r="H632" s="291"/>
      <c r="I632" s="291"/>
      <c r="J632" s="291">
        <v>24</v>
      </c>
      <c r="K632" s="291">
        <v>24</v>
      </c>
      <c r="L632" s="292">
        <v>12</v>
      </c>
      <c r="M632" s="292">
        <v>12</v>
      </c>
      <c r="N632" s="292">
        <v>12</v>
      </c>
      <c r="O632" s="292">
        <v>12</v>
      </c>
      <c r="P632" s="294"/>
      <c r="Q632" s="294"/>
      <c r="R632" s="294"/>
      <c r="S632" s="294"/>
      <c r="T632" s="294"/>
      <c r="U632" s="294"/>
      <c r="V632" s="431"/>
      <c r="W632" s="294"/>
      <c r="X632" s="294"/>
      <c r="Y632" s="294">
        <f>IF(NFI_Expiration=1,IF($A632&lt;VLOOKUP(H$5,NFI,5,0),1,0)*Table_NFI[[#This Row],[Hygiene Kit]],Table_NFI[Hygiene Kit])</f>
        <v>0</v>
      </c>
      <c r="Z632" s="294">
        <f>IF(NFI_Expiration=1,IF($A632&lt;VLOOKUP(I$5,NFI,5,0),1,0)*Table_NFI[[#This Row],[NFI Core Kit]],Table_NFI[NFI Core Kit])</f>
        <v>0</v>
      </c>
      <c r="AA632" s="294">
        <f>IF(NFI_Expiration=1,IF($A632&lt;VLOOKUP(J$5,NFI,5,0),1,0)*Table_NFI[[#This Row],[Sanitary Kit]],Table_NFI[Sanitary Kit])</f>
        <v>0</v>
      </c>
      <c r="AB632" s="294">
        <f>IF(NFI_Expiration=1,IF($A632&lt;VLOOKUP(K$5,NFI,5,0),1,0)*Table_NFI[[#This Row],[Mosquito net]],Table_NFI[Mosquito net])</f>
        <v>0</v>
      </c>
      <c r="AC632" s="294">
        <f>IF(NFI_Expiration=1,IF($A632&lt;VLOOKUP(L$5,NFI,5,0),1,0)*Table_NFI[[#This Row],[Tarpaulin]],Table_NFI[[#This Row],[Tarpaulin]])</f>
        <v>0</v>
      </c>
      <c r="AD632" s="294">
        <f>IF(NFI_Expiration=1,IF($A632&lt;VLOOKUP(M$5,NFI,5,0),1,0)*Table_NFI[[#This Row],[Blanket]],Table_NFI[[#This Row],[Blanket]])</f>
        <v>0</v>
      </c>
      <c r="AE632" s="294">
        <f>IF(NFI_Expiration=1,IF($A632&lt;VLOOKUP(N$5,NFI,5,0),1,0)*Table_NFI[[#This Row],[Kitchen Set]],Table_NFI[Kitchen Set])</f>
        <v>0</v>
      </c>
      <c r="AF632" s="294">
        <f>IF(NFI_Expiration=1,IF($A632&lt;VLOOKUP(O$5,NFI,5,0),1,0)*Table_NFI[[#This Row],[Clothes Kit]],Table_NFI[Clothes Kit])</f>
        <v>0</v>
      </c>
      <c r="AG632" s="294">
        <f>IF(NFI_Expiration=1,IF($A632&lt;VLOOKUP(P$5,NFI,5,0),1,0)*Table_NFI[[#This Row],[Plastic Bucket]],Table_NFI[Plastic Bucket])</f>
        <v>0</v>
      </c>
      <c r="AH632" s="294">
        <f>IF(NFI_Expiration=1,IF($A632&lt;VLOOKUP(Q$5,NFI,5,0),1,0)*Table_NFI[[#This Row],[Plastic Mat]],Table_NFI[Plastic Mat])*IF(Table_NFI[[#This Row],[Distribution Date]]&gt;"2014-04-01",1,2.5)</f>
        <v>0</v>
      </c>
      <c r="AI632" s="294">
        <f>IF(NFI_Expiration=1,IF($A632&lt;VLOOKUP(R$5,NFI,5,0),1,0)*Table_NFI[[#This Row],[Winter Clothes Adult]],Table_NFI[Winter Clothes Adult])</f>
        <v>0</v>
      </c>
      <c r="AJ632" s="294">
        <f>IF(NFI_Expiration=1,IF($A632&lt;VLOOKUP(S$5,NFI,5,0),1,0)*Table_NFI[[#This Row],[Winter Clothes Children]],Table_NFI[Winter Clothes Children])</f>
        <v>0</v>
      </c>
      <c r="AK632" s="294">
        <f>IF(NFI_Expiration=1,IF($A632&lt;VLOOKUP(T$5,NFI,5,0),1,0)*Table_NFI[[#This Row],[Winter Items Other]],Table_NFI[Winter Items Other])</f>
        <v>0</v>
      </c>
      <c r="AL632" s="294">
        <f>IF(NFI_Expiration=1,IF($A632&lt;VLOOKUP(M$5,NFI,5,0),1,0)*Table_NFI[[#This Row],[Winter Blanket]],Table_NFI[[#This Row],[Winter Blanket]])</f>
        <v>0</v>
      </c>
      <c r="AM632" s="294">
        <f>IF(Table_NFI[[#This Row],[Winter Clothes Adult]]+Table_NFI[[#This Row],[Winter Clothes Children]]+Table_NFI[[#This Row],[Winter Items Other]]+Table_NFI[[#This Row],[Winter Blanket]]&gt;0,1,0)</f>
        <v>0</v>
      </c>
      <c r="AN632" s="331">
        <f>IF(NFI_Expiration=1,IF($A632&lt;VLOOKUP(V$5,NFI,5,0),1,0)*Table_NFI[[#This Row],[Jerry Can]],Table_NFI[Jerry Can])</f>
        <v>0</v>
      </c>
      <c r="AO632" s="331">
        <f>IF(NFI_Expiration=1,IF($A632&lt;VLOOKUP(V$5,NFI,5,0),1,0)*Table_NFI[[#This Row],[Shelter Tool kit]],Table_NFI[Shelter Tool kit])</f>
        <v>0</v>
      </c>
      <c r="AP632" s="331">
        <f>IF(NFI_Expiration=1,IF($A632&lt;VLOOKUP(V$5,NFI,5,0),1,0)*Table_NFI[[#This Row],[Tent]],Table_NFI[Tent])</f>
        <v>0</v>
      </c>
      <c r="AQ632" s="467" t="str">
        <f>IFERROR(VLOOKUP(Table_NFI[[#This Row],[Camp Name]],CL,2,0),"")</f>
        <v>MMR001CMP070</v>
      </c>
      <c r="AR632" s="835">
        <f ca="1">IF(Table_NFI[[#This Row],[Pcode]]="","",IF(OFFSET(CampList[Opening Date],MATCH(Table_NFI[[#This Row],[Pcode]],CampList[CP_Pcode],0)-1,0,1,1)&gt;=NFI_Monitor_Date,1,0))</f>
        <v>0</v>
      </c>
      <c r="AS632" s="467" t="str">
        <f>IFERROR(VLOOKUP(Table_NFI[[#This Row],[Camp Name]],CL,3,0),"")</f>
        <v>Open</v>
      </c>
      <c r="AT632" s="294" t="str">
        <f ca="1">IF(Table_NFI[[#This Row],[Pcode]]="","",OFFSET(CampList[Priority],MATCH(Table_NFI[[#This Row],[Pcode]],CampList[CP_Pcode],0)-1,0,1,1))</f>
        <v>P3</v>
      </c>
      <c r="AU632" s="293">
        <f>IFERROR(Table_NFI[[#This Row],[Kitchen Set]]/VLOOKUP(Table_NFI[[#This Row],[Camp Name]],CL,4,0),"")</f>
        <v>2.9268292682926828E-4</v>
      </c>
      <c r="AV632" s="461" t="s">
        <v>1092</v>
      </c>
      <c r="AW632" s="463"/>
    </row>
    <row r="633" spans="1:49" ht="14.45" customHeight="1" x14ac:dyDescent="0.25">
      <c r="A633" s="297">
        <f t="shared" si="9"/>
        <v>38.5</v>
      </c>
      <c r="B633" s="460">
        <v>41581</v>
      </c>
      <c r="C633" s="461" t="s">
        <v>900</v>
      </c>
      <c r="D633" s="462" t="s">
        <v>900</v>
      </c>
      <c r="E633" s="461" t="s">
        <v>380</v>
      </c>
      <c r="F633" s="290" t="s">
        <v>151</v>
      </c>
      <c r="G633" s="290" t="s">
        <v>152</v>
      </c>
      <c r="H633" s="291"/>
      <c r="I633" s="291"/>
      <c r="J633" s="291">
        <v>29</v>
      </c>
      <c r="K633" s="291"/>
      <c r="L633" s="292"/>
      <c r="M633" s="292"/>
      <c r="N633" s="292">
        <v>29</v>
      </c>
      <c r="O633" s="292"/>
      <c r="P633" s="294"/>
      <c r="Q633" s="294"/>
      <c r="R633" s="294"/>
      <c r="S633" s="294"/>
      <c r="T633" s="294"/>
      <c r="U633" s="294"/>
      <c r="V633" s="431"/>
      <c r="W633" s="294"/>
      <c r="X633" s="294"/>
      <c r="Y633" s="294">
        <f>IF(NFI_Expiration=1,IF($A633&lt;VLOOKUP(H$5,NFI,5,0),1,0)*Table_NFI[[#This Row],[Hygiene Kit]],Table_NFI[Hygiene Kit])</f>
        <v>0</v>
      </c>
      <c r="Z633" s="294">
        <f>IF(NFI_Expiration=1,IF($A633&lt;VLOOKUP(I$5,NFI,5,0),1,0)*Table_NFI[[#This Row],[NFI Core Kit]],Table_NFI[NFI Core Kit])</f>
        <v>0</v>
      </c>
      <c r="AA633" s="294">
        <f>IF(NFI_Expiration=1,IF($A633&lt;VLOOKUP(J$5,NFI,5,0),1,0)*Table_NFI[[#This Row],[Sanitary Kit]],Table_NFI[Sanitary Kit])</f>
        <v>0</v>
      </c>
      <c r="AB633" s="294">
        <f>IF(NFI_Expiration=1,IF($A633&lt;VLOOKUP(K$5,NFI,5,0),1,0)*Table_NFI[[#This Row],[Mosquito net]],Table_NFI[Mosquito net])</f>
        <v>0</v>
      </c>
      <c r="AC633" s="294">
        <f>IF(NFI_Expiration=1,IF($A633&lt;VLOOKUP(L$5,NFI,5,0),1,0)*Table_NFI[[#This Row],[Tarpaulin]],Table_NFI[[#This Row],[Tarpaulin]])</f>
        <v>0</v>
      </c>
      <c r="AD633" s="294">
        <f>IF(NFI_Expiration=1,IF($A633&lt;VLOOKUP(M$5,NFI,5,0),1,0)*Table_NFI[[#This Row],[Blanket]],Table_NFI[[#This Row],[Blanket]])</f>
        <v>0</v>
      </c>
      <c r="AE633" s="294">
        <f>IF(NFI_Expiration=1,IF($A633&lt;VLOOKUP(N$5,NFI,5,0),1,0)*Table_NFI[[#This Row],[Kitchen Set]],Table_NFI[Kitchen Set])</f>
        <v>0</v>
      </c>
      <c r="AF633" s="294">
        <f>IF(NFI_Expiration=1,IF($A633&lt;VLOOKUP(O$5,NFI,5,0),1,0)*Table_NFI[[#This Row],[Clothes Kit]],Table_NFI[Clothes Kit])</f>
        <v>0</v>
      </c>
      <c r="AG633" s="294">
        <f>IF(NFI_Expiration=1,IF($A633&lt;VLOOKUP(P$5,NFI,5,0),1,0)*Table_NFI[[#This Row],[Plastic Bucket]],Table_NFI[Plastic Bucket])</f>
        <v>0</v>
      </c>
      <c r="AH633" s="294">
        <f>IF(NFI_Expiration=1,IF($A633&lt;VLOOKUP(Q$5,NFI,5,0),1,0)*Table_NFI[[#This Row],[Plastic Mat]],Table_NFI[Plastic Mat])*IF(Table_NFI[[#This Row],[Distribution Date]]&gt;"2014-04-01",1,2.5)</f>
        <v>0</v>
      </c>
      <c r="AI633" s="294">
        <f>IF(NFI_Expiration=1,IF($A633&lt;VLOOKUP(R$5,NFI,5,0),1,0)*Table_NFI[[#This Row],[Winter Clothes Adult]],Table_NFI[Winter Clothes Adult])</f>
        <v>0</v>
      </c>
      <c r="AJ633" s="294">
        <f>IF(NFI_Expiration=1,IF($A633&lt;VLOOKUP(S$5,NFI,5,0),1,0)*Table_NFI[[#This Row],[Winter Clothes Children]],Table_NFI[Winter Clothes Children])</f>
        <v>0</v>
      </c>
      <c r="AK633" s="294">
        <f>IF(NFI_Expiration=1,IF($A633&lt;VLOOKUP(T$5,NFI,5,0),1,0)*Table_NFI[[#This Row],[Winter Items Other]],Table_NFI[Winter Items Other])</f>
        <v>0</v>
      </c>
      <c r="AL633" s="294">
        <f>IF(NFI_Expiration=1,IF($A633&lt;VLOOKUP(M$5,NFI,5,0),1,0)*Table_NFI[[#This Row],[Winter Blanket]],Table_NFI[[#This Row],[Winter Blanket]])</f>
        <v>0</v>
      </c>
      <c r="AM633" s="294">
        <f>IF(Table_NFI[[#This Row],[Winter Clothes Adult]]+Table_NFI[[#This Row],[Winter Clothes Children]]+Table_NFI[[#This Row],[Winter Items Other]]+Table_NFI[[#This Row],[Winter Blanket]]&gt;0,1,0)</f>
        <v>0</v>
      </c>
      <c r="AN633" s="331">
        <f>IF(NFI_Expiration=1,IF($A633&lt;VLOOKUP(V$5,NFI,5,0),1,0)*Table_NFI[[#This Row],[Jerry Can]],Table_NFI[Jerry Can])</f>
        <v>0</v>
      </c>
      <c r="AO633" s="331">
        <f>IF(NFI_Expiration=1,IF($A633&lt;VLOOKUP(V$5,NFI,5,0),1,0)*Table_NFI[[#This Row],[Shelter Tool kit]],Table_NFI[Shelter Tool kit])</f>
        <v>0</v>
      </c>
      <c r="AP633" s="331">
        <f>IF(NFI_Expiration=1,IF($A633&lt;VLOOKUP(V$5,NFI,5,0),1,0)*Table_NFI[[#This Row],[Tent]],Table_NFI[Tent])</f>
        <v>0</v>
      </c>
      <c r="AQ633" s="467" t="str">
        <f>IFERROR(VLOOKUP(Table_NFI[[#This Row],[Camp Name]],CL,2,0),"")</f>
        <v>MMR001CMP066</v>
      </c>
      <c r="AR633" s="835">
        <f ca="1">IF(Table_NFI[[#This Row],[Pcode]]="","",IF(OFFSET(CampList[Opening Date],MATCH(Table_NFI[[#This Row],[Pcode]],CampList[CP_Pcode],0)-1,0,1,1)&gt;=NFI_Monitor_Date,1,0))</f>
        <v>0</v>
      </c>
      <c r="AS633" s="467" t="str">
        <f>IFERROR(VLOOKUP(Table_NFI[[#This Row],[Camp Name]],CL,3,0),"")</f>
        <v>Open</v>
      </c>
      <c r="AT633" s="294" t="str">
        <f ca="1">IF(Table_NFI[[#This Row],[Pcode]]="","",OFFSET(CampList[Priority],MATCH(Table_NFI[[#This Row],[Pcode]],CampList[CP_Pcode],0)-1,0,1,1))</f>
        <v>P4</v>
      </c>
      <c r="AU633" s="293">
        <f>IFERROR(Table_NFI[[#This Row],[Kitchen Set]]/VLOOKUP(Table_NFI[[#This Row],[Camp Name]],CL,4,0),"")</f>
        <v>6.9746747156016256E-4</v>
      </c>
      <c r="AV633" s="461" t="s">
        <v>1092</v>
      </c>
      <c r="AW633" s="463"/>
    </row>
    <row r="634" spans="1:49" ht="14.45" customHeight="1" x14ac:dyDescent="0.25">
      <c r="A634" s="297">
        <f t="shared" si="9"/>
        <v>38.5</v>
      </c>
      <c r="B634" s="460">
        <v>41581</v>
      </c>
      <c r="C634" s="461" t="s">
        <v>900</v>
      </c>
      <c r="D634" s="462" t="s">
        <v>900</v>
      </c>
      <c r="E634" s="461" t="s">
        <v>380</v>
      </c>
      <c r="F634" s="290" t="s">
        <v>5</v>
      </c>
      <c r="G634" s="290" t="s">
        <v>366</v>
      </c>
      <c r="H634" s="291"/>
      <c r="I634" s="291"/>
      <c r="J634" s="291">
        <v>49</v>
      </c>
      <c r="K634" s="291"/>
      <c r="L634" s="292"/>
      <c r="M634" s="292"/>
      <c r="N634" s="292">
        <v>49</v>
      </c>
      <c r="O634" s="292"/>
      <c r="P634" s="294"/>
      <c r="Q634" s="294"/>
      <c r="R634" s="294"/>
      <c r="S634" s="294"/>
      <c r="T634" s="294"/>
      <c r="U634" s="294"/>
      <c r="V634" s="431"/>
      <c r="W634" s="294"/>
      <c r="X634" s="294"/>
      <c r="Y634" s="294">
        <f>IF(NFI_Expiration=1,IF($A634&lt;VLOOKUP(H$5,NFI,5,0),1,0)*Table_NFI[[#This Row],[Hygiene Kit]],Table_NFI[Hygiene Kit])</f>
        <v>0</v>
      </c>
      <c r="Z634" s="294">
        <f>IF(NFI_Expiration=1,IF($A634&lt;VLOOKUP(I$5,NFI,5,0),1,0)*Table_NFI[[#This Row],[NFI Core Kit]],Table_NFI[NFI Core Kit])</f>
        <v>0</v>
      </c>
      <c r="AA634" s="294">
        <f>IF(NFI_Expiration=1,IF($A634&lt;VLOOKUP(J$5,NFI,5,0),1,0)*Table_NFI[[#This Row],[Sanitary Kit]],Table_NFI[Sanitary Kit])</f>
        <v>0</v>
      </c>
      <c r="AB634" s="294">
        <f>IF(NFI_Expiration=1,IF($A634&lt;VLOOKUP(K$5,NFI,5,0),1,0)*Table_NFI[[#This Row],[Mosquito net]],Table_NFI[Mosquito net])</f>
        <v>0</v>
      </c>
      <c r="AC634" s="294">
        <f>IF(NFI_Expiration=1,IF($A634&lt;VLOOKUP(L$5,NFI,5,0),1,0)*Table_NFI[[#This Row],[Tarpaulin]],Table_NFI[[#This Row],[Tarpaulin]])</f>
        <v>0</v>
      </c>
      <c r="AD634" s="294">
        <f>IF(NFI_Expiration=1,IF($A634&lt;VLOOKUP(M$5,NFI,5,0),1,0)*Table_NFI[[#This Row],[Blanket]],Table_NFI[[#This Row],[Blanket]])</f>
        <v>0</v>
      </c>
      <c r="AE634" s="294">
        <f>IF(NFI_Expiration=1,IF($A634&lt;VLOOKUP(N$5,NFI,5,0),1,0)*Table_NFI[[#This Row],[Kitchen Set]],Table_NFI[Kitchen Set])</f>
        <v>0</v>
      </c>
      <c r="AF634" s="294">
        <f>IF(NFI_Expiration=1,IF($A634&lt;VLOOKUP(O$5,NFI,5,0),1,0)*Table_NFI[[#This Row],[Clothes Kit]],Table_NFI[Clothes Kit])</f>
        <v>0</v>
      </c>
      <c r="AG634" s="294">
        <f>IF(NFI_Expiration=1,IF($A634&lt;VLOOKUP(P$5,NFI,5,0),1,0)*Table_NFI[[#This Row],[Plastic Bucket]],Table_NFI[Plastic Bucket])</f>
        <v>0</v>
      </c>
      <c r="AH634" s="294">
        <f>IF(NFI_Expiration=1,IF($A634&lt;VLOOKUP(Q$5,NFI,5,0),1,0)*Table_NFI[[#This Row],[Plastic Mat]],Table_NFI[Plastic Mat])*IF(Table_NFI[[#This Row],[Distribution Date]]&gt;"2014-04-01",1,2.5)</f>
        <v>0</v>
      </c>
      <c r="AI634" s="294">
        <f>IF(NFI_Expiration=1,IF($A634&lt;VLOOKUP(R$5,NFI,5,0),1,0)*Table_NFI[[#This Row],[Winter Clothes Adult]],Table_NFI[Winter Clothes Adult])</f>
        <v>0</v>
      </c>
      <c r="AJ634" s="294">
        <f>IF(NFI_Expiration=1,IF($A634&lt;VLOOKUP(S$5,NFI,5,0),1,0)*Table_NFI[[#This Row],[Winter Clothes Children]],Table_NFI[Winter Clothes Children])</f>
        <v>0</v>
      </c>
      <c r="AK634" s="294">
        <f>IF(NFI_Expiration=1,IF($A634&lt;VLOOKUP(T$5,NFI,5,0),1,0)*Table_NFI[[#This Row],[Winter Items Other]],Table_NFI[Winter Items Other])</f>
        <v>0</v>
      </c>
      <c r="AL634" s="294">
        <f>IF(NFI_Expiration=1,IF($A634&lt;VLOOKUP(M$5,NFI,5,0),1,0)*Table_NFI[[#This Row],[Winter Blanket]],Table_NFI[[#This Row],[Winter Blanket]])</f>
        <v>0</v>
      </c>
      <c r="AM634" s="294">
        <f>IF(Table_NFI[[#This Row],[Winter Clothes Adult]]+Table_NFI[[#This Row],[Winter Clothes Children]]+Table_NFI[[#This Row],[Winter Items Other]]+Table_NFI[[#This Row],[Winter Blanket]]&gt;0,1,0)</f>
        <v>0</v>
      </c>
      <c r="AN634" s="331">
        <f>IF(NFI_Expiration=1,IF($A634&lt;VLOOKUP(V$5,NFI,5,0),1,0)*Table_NFI[[#This Row],[Jerry Can]],Table_NFI[Jerry Can])</f>
        <v>0</v>
      </c>
      <c r="AO634" s="331">
        <f>IF(NFI_Expiration=1,IF($A634&lt;VLOOKUP(V$5,NFI,5,0),1,0)*Table_NFI[[#This Row],[Shelter Tool kit]],Table_NFI[Shelter Tool kit])</f>
        <v>0</v>
      </c>
      <c r="AP634" s="331">
        <f>IF(NFI_Expiration=1,IF($A634&lt;VLOOKUP(V$5,NFI,5,0),1,0)*Table_NFI[[#This Row],[Tent]],Table_NFI[Tent])</f>
        <v>0</v>
      </c>
      <c r="AQ634" s="467" t="str">
        <f>IFERROR(VLOOKUP(Table_NFI[[#This Row],[Camp Name]],CL,2,0),"")</f>
        <v>MMR001CMP193</v>
      </c>
      <c r="AR634" s="835">
        <f ca="1">IF(Table_NFI[[#This Row],[Pcode]]="","",IF(OFFSET(CampList[Opening Date],MATCH(Table_NFI[[#This Row],[Pcode]],CampList[CP_Pcode],0)-1,0,1,1)&gt;=NFI_Monitor_Date,1,0))</f>
        <v>0</v>
      </c>
      <c r="AS634" s="467" t="str">
        <f>IFERROR(VLOOKUP(Table_NFI[[#This Row],[Camp Name]],CL,3,0),"")</f>
        <v>Open</v>
      </c>
      <c r="AT634" s="294" t="str">
        <f ca="1">IF(Table_NFI[[#This Row],[Pcode]]="","",OFFSET(CampList[Priority],MATCH(Table_NFI[[#This Row],[Pcode]],CampList[CP_Pcode],0)-1,0,1,1))</f>
        <v>P4</v>
      </c>
      <c r="AU634" s="293">
        <f>IFERROR(Table_NFI[[#This Row],[Kitchen Set]]/VLOOKUP(Table_NFI[[#This Row],[Camp Name]],CL,4,0),"")</f>
        <v>1.1871592973955178E-3</v>
      </c>
      <c r="AV634" s="461" t="s">
        <v>1092</v>
      </c>
      <c r="AW634" s="463"/>
    </row>
    <row r="635" spans="1:49" ht="14.45" customHeight="1" x14ac:dyDescent="0.25">
      <c r="A635" s="297">
        <f t="shared" si="9"/>
        <v>38.56666666666667</v>
      </c>
      <c r="B635" s="460">
        <v>41579</v>
      </c>
      <c r="C635" s="461" t="s">
        <v>452</v>
      </c>
      <c r="D635" s="461" t="s">
        <v>452</v>
      </c>
      <c r="E635" s="461" t="s">
        <v>380</v>
      </c>
      <c r="F635" s="290" t="s">
        <v>5</v>
      </c>
      <c r="G635" s="290" t="s">
        <v>512</v>
      </c>
      <c r="H635" s="291"/>
      <c r="I635" s="291"/>
      <c r="J635" s="291">
        <v>8</v>
      </c>
      <c r="K635" s="291">
        <v>6</v>
      </c>
      <c r="L635" s="292">
        <v>4</v>
      </c>
      <c r="M635" s="292">
        <v>6</v>
      </c>
      <c r="N635" s="292">
        <v>4</v>
      </c>
      <c r="O635" s="292">
        <v>4</v>
      </c>
      <c r="P635" s="294"/>
      <c r="Q635" s="294"/>
      <c r="R635" s="294"/>
      <c r="S635" s="294"/>
      <c r="T635" s="294"/>
      <c r="U635" s="294"/>
      <c r="V635" s="431"/>
      <c r="W635" s="294"/>
      <c r="X635" s="294"/>
      <c r="Y635" s="294">
        <f>IF(NFI_Expiration=1,IF($A635&lt;VLOOKUP(H$5,NFI,5,0),1,0)*Table_NFI[[#This Row],[Hygiene Kit]],Table_NFI[Hygiene Kit])</f>
        <v>0</v>
      </c>
      <c r="Z635" s="294">
        <f>IF(NFI_Expiration=1,IF($A635&lt;VLOOKUP(I$5,NFI,5,0),1,0)*Table_NFI[[#This Row],[NFI Core Kit]],Table_NFI[NFI Core Kit])</f>
        <v>0</v>
      </c>
      <c r="AA635" s="294">
        <f>IF(NFI_Expiration=1,IF($A635&lt;VLOOKUP(J$5,NFI,5,0),1,0)*Table_NFI[[#This Row],[Sanitary Kit]],Table_NFI[Sanitary Kit])</f>
        <v>0</v>
      </c>
      <c r="AB635" s="294">
        <f>IF(NFI_Expiration=1,IF($A635&lt;VLOOKUP(K$5,NFI,5,0),1,0)*Table_NFI[[#This Row],[Mosquito net]],Table_NFI[Mosquito net])</f>
        <v>0</v>
      </c>
      <c r="AC635" s="294">
        <f>IF(NFI_Expiration=1,IF($A635&lt;VLOOKUP(L$5,NFI,5,0),1,0)*Table_NFI[[#This Row],[Tarpaulin]],Table_NFI[[#This Row],[Tarpaulin]])</f>
        <v>0</v>
      </c>
      <c r="AD635" s="294">
        <f>IF(NFI_Expiration=1,IF($A635&lt;VLOOKUP(M$5,NFI,5,0),1,0)*Table_NFI[[#This Row],[Blanket]],Table_NFI[[#This Row],[Blanket]])</f>
        <v>0</v>
      </c>
      <c r="AE635" s="294">
        <f>IF(NFI_Expiration=1,IF($A635&lt;VLOOKUP(N$5,NFI,5,0),1,0)*Table_NFI[[#This Row],[Kitchen Set]],Table_NFI[Kitchen Set])</f>
        <v>0</v>
      </c>
      <c r="AF635" s="294">
        <f>IF(NFI_Expiration=1,IF($A635&lt;VLOOKUP(O$5,NFI,5,0),1,0)*Table_NFI[[#This Row],[Clothes Kit]],Table_NFI[Clothes Kit])</f>
        <v>0</v>
      </c>
      <c r="AG635" s="294">
        <f>IF(NFI_Expiration=1,IF($A635&lt;VLOOKUP(P$5,NFI,5,0),1,0)*Table_NFI[[#This Row],[Plastic Bucket]],Table_NFI[Plastic Bucket])</f>
        <v>0</v>
      </c>
      <c r="AH635" s="294">
        <f>IF(NFI_Expiration=1,IF($A635&lt;VLOOKUP(Q$5,NFI,5,0),1,0)*Table_NFI[[#This Row],[Plastic Mat]],Table_NFI[Plastic Mat])*IF(Table_NFI[[#This Row],[Distribution Date]]&gt;"2014-04-01",1,2.5)</f>
        <v>0</v>
      </c>
      <c r="AI635" s="294">
        <f>IF(NFI_Expiration=1,IF($A635&lt;VLOOKUP(R$5,NFI,5,0),1,0)*Table_NFI[[#This Row],[Winter Clothes Adult]],Table_NFI[Winter Clothes Adult])</f>
        <v>0</v>
      </c>
      <c r="AJ635" s="294">
        <f>IF(NFI_Expiration=1,IF($A635&lt;VLOOKUP(S$5,NFI,5,0),1,0)*Table_NFI[[#This Row],[Winter Clothes Children]],Table_NFI[Winter Clothes Children])</f>
        <v>0</v>
      </c>
      <c r="AK635" s="294">
        <f>IF(NFI_Expiration=1,IF($A635&lt;VLOOKUP(T$5,NFI,5,0),1,0)*Table_NFI[[#This Row],[Winter Items Other]],Table_NFI[Winter Items Other])</f>
        <v>0</v>
      </c>
      <c r="AL635" s="294">
        <f>IF(NFI_Expiration=1,IF($A635&lt;VLOOKUP(M$5,NFI,5,0),1,0)*Table_NFI[[#This Row],[Winter Blanket]],Table_NFI[[#This Row],[Winter Blanket]])</f>
        <v>0</v>
      </c>
      <c r="AM635" s="294">
        <f>IF(Table_NFI[[#This Row],[Winter Clothes Adult]]+Table_NFI[[#This Row],[Winter Clothes Children]]+Table_NFI[[#This Row],[Winter Items Other]]+Table_NFI[[#This Row],[Winter Blanket]]&gt;0,1,0)</f>
        <v>0</v>
      </c>
      <c r="AN635" s="331">
        <f>IF(NFI_Expiration=1,IF($A635&lt;VLOOKUP(V$5,NFI,5,0),1,0)*Table_NFI[[#This Row],[Jerry Can]],Table_NFI[Jerry Can])</f>
        <v>0</v>
      </c>
      <c r="AO635" s="331">
        <f>IF(NFI_Expiration=1,IF($A635&lt;VLOOKUP(V$5,NFI,5,0),1,0)*Table_NFI[[#This Row],[Shelter Tool kit]],Table_NFI[Shelter Tool kit])</f>
        <v>0</v>
      </c>
      <c r="AP635" s="331">
        <f>IF(NFI_Expiration=1,IF($A635&lt;VLOOKUP(V$5,NFI,5,0),1,0)*Table_NFI[[#This Row],[Tent]],Table_NFI[Tent])</f>
        <v>0</v>
      </c>
      <c r="AQ635" s="467" t="str">
        <f>IFERROR(VLOOKUP(Table_NFI[[#This Row],[Camp Name]],CL,2,0),"")</f>
        <v>MMR001CMP194</v>
      </c>
      <c r="AR635" s="835">
        <f ca="1">IF(Table_NFI[[#This Row],[Pcode]]="","",IF(OFFSET(CampList[Opening Date],MATCH(Table_NFI[[#This Row],[Pcode]],CampList[CP_Pcode],0)-1,0,1,1)&gt;=NFI_Monitor_Date,1,0))</f>
        <v>0</v>
      </c>
      <c r="AS635" s="467" t="str">
        <f>IFERROR(VLOOKUP(Table_NFI[[#This Row],[Camp Name]],CL,3,0),"")</f>
        <v>Open</v>
      </c>
      <c r="AT635" s="294" t="str">
        <f ca="1">IF(Table_NFI[[#This Row],[Pcode]]="","",OFFSET(CampList[Priority],MATCH(Table_NFI[[#This Row],[Pcode]],CampList[CP_Pcode],0)-1,0,1,1))</f>
        <v>P4</v>
      </c>
      <c r="AU635" s="293">
        <f>IFERROR(Table_NFI[[#This Row],[Kitchen Set]]/VLOOKUP(Table_NFI[[#This Row],[Camp Name]],CL,4,0),"")</f>
        <v>9.8070463628116802E-5</v>
      </c>
      <c r="AV635" s="461" t="s">
        <v>1092</v>
      </c>
      <c r="AW635" s="463"/>
    </row>
    <row r="636" spans="1:49" x14ac:dyDescent="0.25">
      <c r="A636" s="297">
        <f t="shared" si="9"/>
        <v>38.56666666666667</v>
      </c>
      <c r="B636" s="460">
        <v>41579</v>
      </c>
      <c r="C636" s="461" t="s">
        <v>452</v>
      </c>
      <c r="D636" s="461" t="s">
        <v>452</v>
      </c>
      <c r="E636" s="461" t="s">
        <v>380</v>
      </c>
      <c r="F636" s="290" t="s">
        <v>5</v>
      </c>
      <c r="G636" s="290" t="s">
        <v>14</v>
      </c>
      <c r="H636" s="291"/>
      <c r="I636" s="291"/>
      <c r="J636" s="291">
        <v>12</v>
      </c>
      <c r="K636" s="291">
        <v>9</v>
      </c>
      <c r="L636" s="292">
        <v>6</v>
      </c>
      <c r="M636" s="292">
        <v>9</v>
      </c>
      <c r="N636" s="292">
        <v>6</v>
      </c>
      <c r="O636" s="292">
        <v>6</v>
      </c>
      <c r="P636" s="294">
        <v>6</v>
      </c>
      <c r="Q636" s="294"/>
      <c r="R636" s="294"/>
      <c r="S636" s="294"/>
      <c r="T636" s="294"/>
      <c r="U636" s="294"/>
      <c r="V636" s="431"/>
      <c r="W636" s="294"/>
      <c r="X636" s="294"/>
      <c r="Y636" s="294">
        <f>IF(NFI_Expiration=1,IF($A636&lt;VLOOKUP(H$5,NFI,5,0),1,0)*Table_NFI[[#This Row],[Hygiene Kit]],Table_NFI[Hygiene Kit])</f>
        <v>0</v>
      </c>
      <c r="Z636" s="294">
        <f>IF(NFI_Expiration=1,IF($A636&lt;VLOOKUP(I$5,NFI,5,0),1,0)*Table_NFI[[#This Row],[NFI Core Kit]],Table_NFI[NFI Core Kit])</f>
        <v>0</v>
      </c>
      <c r="AA636" s="294">
        <f>IF(NFI_Expiration=1,IF($A636&lt;VLOOKUP(J$5,NFI,5,0),1,0)*Table_NFI[[#This Row],[Sanitary Kit]],Table_NFI[Sanitary Kit])</f>
        <v>0</v>
      </c>
      <c r="AB636" s="294">
        <f>IF(NFI_Expiration=1,IF($A636&lt;VLOOKUP(K$5,NFI,5,0),1,0)*Table_NFI[[#This Row],[Mosquito net]],Table_NFI[Mosquito net])</f>
        <v>0</v>
      </c>
      <c r="AC636" s="294">
        <f>IF(NFI_Expiration=1,IF($A636&lt;VLOOKUP(L$5,NFI,5,0),1,0)*Table_NFI[[#This Row],[Tarpaulin]],Table_NFI[[#This Row],[Tarpaulin]])</f>
        <v>0</v>
      </c>
      <c r="AD636" s="294">
        <f>IF(NFI_Expiration=1,IF($A636&lt;VLOOKUP(M$5,NFI,5,0),1,0)*Table_NFI[[#This Row],[Blanket]],Table_NFI[[#This Row],[Blanket]])</f>
        <v>0</v>
      </c>
      <c r="AE636" s="294">
        <f>IF(NFI_Expiration=1,IF($A636&lt;VLOOKUP(N$5,NFI,5,0),1,0)*Table_NFI[[#This Row],[Kitchen Set]],Table_NFI[Kitchen Set])</f>
        <v>0</v>
      </c>
      <c r="AF636" s="294">
        <f>IF(NFI_Expiration=1,IF($A636&lt;VLOOKUP(O$5,NFI,5,0),1,0)*Table_NFI[[#This Row],[Clothes Kit]],Table_NFI[Clothes Kit])</f>
        <v>0</v>
      </c>
      <c r="AG636" s="294">
        <f>IF(NFI_Expiration=1,IF($A636&lt;VLOOKUP(P$5,NFI,5,0),1,0)*Table_NFI[[#This Row],[Plastic Bucket]],Table_NFI[Plastic Bucket])</f>
        <v>0</v>
      </c>
      <c r="AH636" s="294">
        <f>IF(NFI_Expiration=1,IF($A636&lt;VLOOKUP(Q$5,NFI,5,0),1,0)*Table_NFI[[#This Row],[Plastic Mat]],Table_NFI[Plastic Mat])*IF(Table_NFI[[#This Row],[Distribution Date]]&gt;"2014-04-01",1,2.5)</f>
        <v>0</v>
      </c>
      <c r="AI636" s="294">
        <f>IF(NFI_Expiration=1,IF($A636&lt;VLOOKUP(R$5,NFI,5,0),1,0)*Table_NFI[[#This Row],[Winter Clothes Adult]],Table_NFI[Winter Clothes Adult])</f>
        <v>0</v>
      </c>
      <c r="AJ636" s="294">
        <f>IF(NFI_Expiration=1,IF($A636&lt;VLOOKUP(S$5,NFI,5,0),1,0)*Table_NFI[[#This Row],[Winter Clothes Children]],Table_NFI[Winter Clothes Children])</f>
        <v>0</v>
      </c>
      <c r="AK636" s="294">
        <f>IF(NFI_Expiration=1,IF($A636&lt;VLOOKUP(T$5,NFI,5,0),1,0)*Table_NFI[[#This Row],[Winter Items Other]],Table_NFI[Winter Items Other])</f>
        <v>0</v>
      </c>
      <c r="AL636" s="294">
        <f>IF(NFI_Expiration=1,IF($A636&lt;VLOOKUP(M$5,NFI,5,0),1,0)*Table_NFI[[#This Row],[Winter Blanket]],Table_NFI[[#This Row],[Winter Blanket]])</f>
        <v>0</v>
      </c>
      <c r="AM636" s="294">
        <f>IF(Table_NFI[[#This Row],[Winter Clothes Adult]]+Table_NFI[[#This Row],[Winter Clothes Children]]+Table_NFI[[#This Row],[Winter Items Other]]+Table_NFI[[#This Row],[Winter Blanket]]&gt;0,1,0)</f>
        <v>0</v>
      </c>
      <c r="AN636" s="331">
        <f>IF(NFI_Expiration=1,IF($A636&lt;VLOOKUP(V$5,NFI,5,0),1,0)*Table_NFI[[#This Row],[Jerry Can]],Table_NFI[Jerry Can])</f>
        <v>0</v>
      </c>
      <c r="AO636" s="331">
        <f>IF(NFI_Expiration=1,IF($A636&lt;VLOOKUP(V$5,NFI,5,0),1,0)*Table_NFI[[#This Row],[Shelter Tool kit]],Table_NFI[Shelter Tool kit])</f>
        <v>0</v>
      </c>
      <c r="AP636" s="331">
        <f>IF(NFI_Expiration=1,IF($A636&lt;VLOOKUP(V$5,NFI,5,0),1,0)*Table_NFI[[#This Row],[Tent]],Table_NFI[Tent])</f>
        <v>0</v>
      </c>
      <c r="AQ636" s="467" t="str">
        <f>IFERROR(VLOOKUP(Table_NFI[[#This Row],[Camp Name]],CL,2,0),"")</f>
        <v>MMR001CMP052</v>
      </c>
      <c r="AR636" s="835">
        <f ca="1">IF(Table_NFI[[#This Row],[Pcode]]="","",IF(OFFSET(CampList[Opening Date],MATCH(Table_NFI[[#This Row],[Pcode]],CampList[CP_Pcode],0)-1,0,1,1)&gt;=NFI_Monitor_Date,1,0))</f>
        <v>0</v>
      </c>
      <c r="AS636" s="467" t="str">
        <f>IFERROR(VLOOKUP(Table_NFI[[#This Row],[Camp Name]],CL,3,0),"")</f>
        <v>Open</v>
      </c>
      <c r="AT636" s="294" t="str">
        <f ca="1">IF(Table_NFI[[#This Row],[Pcode]]="","",OFFSET(CampList[Priority],MATCH(Table_NFI[[#This Row],[Pcode]],CampList[CP_Pcode],0)-1,0,1,1))</f>
        <v>P4</v>
      </c>
      <c r="AU636" s="293">
        <f>IFERROR(Table_NFI[[#This Row],[Kitchen Set]]/VLOOKUP(Table_NFI[[#This Row],[Camp Name]],CL,4,0),"")</f>
        <v>1.4677821811243211E-4</v>
      </c>
      <c r="AV636" s="461" t="s">
        <v>1092</v>
      </c>
      <c r="AW636" s="463"/>
    </row>
    <row r="637" spans="1:49" ht="14.45" customHeight="1" x14ac:dyDescent="0.25">
      <c r="A637" s="297">
        <f t="shared" si="9"/>
        <v>38.56666666666667</v>
      </c>
      <c r="B637" s="460">
        <v>41579</v>
      </c>
      <c r="C637" s="461" t="s">
        <v>452</v>
      </c>
      <c r="D637" s="461" t="s">
        <v>452</v>
      </c>
      <c r="E637" s="461" t="s">
        <v>380</v>
      </c>
      <c r="F637" s="290" t="s">
        <v>5</v>
      </c>
      <c r="G637" s="290" t="s">
        <v>22</v>
      </c>
      <c r="H637" s="291"/>
      <c r="I637" s="291"/>
      <c r="J637" s="291">
        <v>40</v>
      </c>
      <c r="K637" s="291">
        <v>48</v>
      </c>
      <c r="L637" s="292">
        <v>20</v>
      </c>
      <c r="M637" s="292">
        <v>48</v>
      </c>
      <c r="N637" s="292">
        <v>20</v>
      </c>
      <c r="O637" s="292">
        <v>20</v>
      </c>
      <c r="P637" s="294">
        <v>500</v>
      </c>
      <c r="Q637" s="294">
        <v>500</v>
      </c>
      <c r="R637" s="294"/>
      <c r="S637" s="294"/>
      <c r="T637" s="294"/>
      <c r="U637" s="294"/>
      <c r="V637" s="431"/>
      <c r="W637" s="294"/>
      <c r="X637" s="294"/>
      <c r="Y637" s="294">
        <f>IF(NFI_Expiration=1,IF($A637&lt;VLOOKUP(H$5,NFI,5,0),1,0)*Table_NFI[[#This Row],[Hygiene Kit]],Table_NFI[Hygiene Kit])</f>
        <v>0</v>
      </c>
      <c r="Z637" s="294">
        <f>IF(NFI_Expiration=1,IF($A637&lt;VLOOKUP(I$5,NFI,5,0),1,0)*Table_NFI[[#This Row],[NFI Core Kit]],Table_NFI[NFI Core Kit])</f>
        <v>0</v>
      </c>
      <c r="AA637" s="294">
        <f>IF(NFI_Expiration=1,IF($A637&lt;VLOOKUP(J$5,NFI,5,0),1,0)*Table_NFI[[#This Row],[Sanitary Kit]],Table_NFI[Sanitary Kit])</f>
        <v>0</v>
      </c>
      <c r="AB637" s="294">
        <f>IF(NFI_Expiration=1,IF($A637&lt;VLOOKUP(K$5,NFI,5,0),1,0)*Table_NFI[[#This Row],[Mosquito net]],Table_NFI[Mosquito net])</f>
        <v>0</v>
      </c>
      <c r="AC637" s="294">
        <f>IF(NFI_Expiration=1,IF($A637&lt;VLOOKUP(L$5,NFI,5,0),1,0)*Table_NFI[[#This Row],[Tarpaulin]],Table_NFI[[#This Row],[Tarpaulin]])</f>
        <v>0</v>
      </c>
      <c r="AD637" s="294">
        <f>IF(NFI_Expiration=1,IF($A637&lt;VLOOKUP(M$5,NFI,5,0),1,0)*Table_NFI[[#This Row],[Blanket]],Table_NFI[[#This Row],[Blanket]])</f>
        <v>0</v>
      </c>
      <c r="AE637" s="294">
        <f>IF(NFI_Expiration=1,IF($A637&lt;VLOOKUP(N$5,NFI,5,0),1,0)*Table_NFI[[#This Row],[Kitchen Set]],Table_NFI[Kitchen Set])</f>
        <v>0</v>
      </c>
      <c r="AF637" s="294">
        <f>IF(NFI_Expiration=1,IF($A637&lt;VLOOKUP(O$5,NFI,5,0),1,0)*Table_NFI[[#This Row],[Clothes Kit]],Table_NFI[Clothes Kit])</f>
        <v>0</v>
      </c>
      <c r="AG637" s="294">
        <f>IF(NFI_Expiration=1,IF($A637&lt;VLOOKUP(P$5,NFI,5,0),1,0)*Table_NFI[[#This Row],[Plastic Bucket]],Table_NFI[Plastic Bucket])</f>
        <v>0</v>
      </c>
      <c r="AH637" s="294">
        <f>IF(NFI_Expiration=1,IF($A637&lt;VLOOKUP(Q$5,NFI,5,0),1,0)*Table_NFI[[#This Row],[Plastic Mat]],Table_NFI[Plastic Mat])*IF(Table_NFI[[#This Row],[Distribution Date]]&gt;"2014-04-01",1,2.5)</f>
        <v>0</v>
      </c>
      <c r="AI637" s="294">
        <f>IF(NFI_Expiration=1,IF($A637&lt;VLOOKUP(R$5,NFI,5,0),1,0)*Table_NFI[[#This Row],[Winter Clothes Adult]],Table_NFI[Winter Clothes Adult])</f>
        <v>0</v>
      </c>
      <c r="AJ637" s="294">
        <f>IF(NFI_Expiration=1,IF($A637&lt;VLOOKUP(S$5,NFI,5,0),1,0)*Table_NFI[[#This Row],[Winter Clothes Children]],Table_NFI[Winter Clothes Children])</f>
        <v>0</v>
      </c>
      <c r="AK637" s="294">
        <f>IF(NFI_Expiration=1,IF($A637&lt;VLOOKUP(T$5,NFI,5,0),1,0)*Table_NFI[[#This Row],[Winter Items Other]],Table_NFI[Winter Items Other])</f>
        <v>0</v>
      </c>
      <c r="AL637" s="294">
        <f>IF(NFI_Expiration=1,IF($A637&lt;VLOOKUP(M$5,NFI,5,0),1,0)*Table_NFI[[#This Row],[Winter Blanket]],Table_NFI[[#This Row],[Winter Blanket]])</f>
        <v>0</v>
      </c>
      <c r="AM637" s="294">
        <f>IF(Table_NFI[[#This Row],[Winter Clothes Adult]]+Table_NFI[[#This Row],[Winter Clothes Children]]+Table_NFI[[#This Row],[Winter Items Other]]+Table_NFI[[#This Row],[Winter Blanket]]&gt;0,1,0)</f>
        <v>0</v>
      </c>
      <c r="AN637" s="331">
        <f>IF(NFI_Expiration=1,IF($A637&lt;VLOOKUP(V$5,NFI,5,0),1,0)*Table_NFI[[#This Row],[Jerry Can]],Table_NFI[Jerry Can])</f>
        <v>0</v>
      </c>
      <c r="AO637" s="331">
        <f>IF(NFI_Expiration=1,IF($A637&lt;VLOOKUP(V$5,NFI,5,0),1,0)*Table_NFI[[#This Row],[Shelter Tool kit]],Table_NFI[Shelter Tool kit])</f>
        <v>0</v>
      </c>
      <c r="AP637" s="331">
        <f>IF(NFI_Expiration=1,IF($A637&lt;VLOOKUP(V$5,NFI,5,0),1,0)*Table_NFI[[#This Row],[Tent]],Table_NFI[Tent])</f>
        <v>0</v>
      </c>
      <c r="AQ637" s="467" t="str">
        <f>IFERROR(VLOOKUP(Table_NFI[[#This Row],[Camp Name]],CL,2,0),"")</f>
        <v>MMR001CMP047</v>
      </c>
      <c r="AR637" s="835">
        <f ca="1">IF(Table_NFI[[#This Row],[Pcode]]="","",IF(OFFSET(CampList[Opening Date],MATCH(Table_NFI[[#This Row],[Pcode]],CampList[CP_Pcode],0)-1,0,1,1)&gt;=NFI_Monitor_Date,1,0))</f>
        <v>0</v>
      </c>
      <c r="AS637" s="467" t="str">
        <f>IFERROR(VLOOKUP(Table_NFI[[#This Row],[Camp Name]],CL,3,0),"")</f>
        <v>Open</v>
      </c>
      <c r="AT637" s="294" t="str">
        <f ca="1">IF(Table_NFI[[#This Row],[Pcode]]="","",OFFSET(CampList[Priority],MATCH(Table_NFI[[#This Row],[Pcode]],CampList[CP_Pcode],0)-1,0,1,1))</f>
        <v>P4</v>
      </c>
      <c r="AU637" s="293">
        <f>IFERROR(Table_NFI[[#This Row],[Kitchen Set]]/VLOOKUP(Table_NFI[[#This Row],[Camp Name]],CL,4,0),"")</f>
        <v>4.9109883364027013E-4</v>
      </c>
      <c r="AV637" s="461" t="s">
        <v>1092</v>
      </c>
      <c r="AW637" s="463"/>
    </row>
    <row r="638" spans="1:49" ht="14.45" customHeight="1" x14ac:dyDescent="0.25">
      <c r="A638" s="297">
        <f t="shared" si="9"/>
        <v>38.633333333333333</v>
      </c>
      <c r="B638" s="460">
        <v>41577</v>
      </c>
      <c r="C638" s="461" t="s">
        <v>452</v>
      </c>
      <c r="D638" s="461" t="s">
        <v>452</v>
      </c>
      <c r="E638" s="461" t="s">
        <v>380</v>
      </c>
      <c r="F638" s="290" t="s">
        <v>5</v>
      </c>
      <c r="G638" s="290" t="s">
        <v>6</v>
      </c>
      <c r="H638" s="291"/>
      <c r="I638" s="291"/>
      <c r="J638" s="291">
        <v>22</v>
      </c>
      <c r="K638" s="291">
        <v>40</v>
      </c>
      <c r="L638" s="292">
        <v>21</v>
      </c>
      <c r="M638" s="292">
        <v>40</v>
      </c>
      <c r="N638" s="292">
        <v>21</v>
      </c>
      <c r="O638" s="292">
        <v>21</v>
      </c>
      <c r="P638" s="294">
        <v>21</v>
      </c>
      <c r="Q638" s="294">
        <v>21</v>
      </c>
      <c r="R638" s="294"/>
      <c r="S638" s="294"/>
      <c r="T638" s="294"/>
      <c r="U638" s="294"/>
      <c r="V638" s="431"/>
      <c r="W638" s="294"/>
      <c r="X638" s="294"/>
      <c r="Y638" s="294">
        <f>IF(NFI_Expiration=1,IF($A638&lt;VLOOKUP(H$5,NFI,5,0),1,0)*Table_NFI[[#This Row],[Hygiene Kit]],Table_NFI[Hygiene Kit])</f>
        <v>0</v>
      </c>
      <c r="Z638" s="294">
        <f>IF(NFI_Expiration=1,IF($A638&lt;VLOOKUP(I$5,NFI,5,0),1,0)*Table_NFI[[#This Row],[NFI Core Kit]],Table_NFI[NFI Core Kit])</f>
        <v>0</v>
      </c>
      <c r="AA638" s="294">
        <f>IF(NFI_Expiration=1,IF($A638&lt;VLOOKUP(J$5,NFI,5,0),1,0)*Table_NFI[[#This Row],[Sanitary Kit]],Table_NFI[Sanitary Kit])</f>
        <v>0</v>
      </c>
      <c r="AB638" s="294">
        <f>IF(NFI_Expiration=1,IF($A638&lt;VLOOKUP(K$5,NFI,5,0),1,0)*Table_NFI[[#This Row],[Mosquito net]],Table_NFI[Mosquito net])</f>
        <v>0</v>
      </c>
      <c r="AC638" s="294">
        <f>IF(NFI_Expiration=1,IF($A638&lt;VLOOKUP(L$5,NFI,5,0),1,0)*Table_NFI[[#This Row],[Tarpaulin]],Table_NFI[[#This Row],[Tarpaulin]])</f>
        <v>0</v>
      </c>
      <c r="AD638" s="294">
        <f>IF(NFI_Expiration=1,IF($A638&lt;VLOOKUP(M$5,NFI,5,0),1,0)*Table_NFI[[#This Row],[Blanket]],Table_NFI[[#This Row],[Blanket]])</f>
        <v>0</v>
      </c>
      <c r="AE638" s="294">
        <f>IF(NFI_Expiration=1,IF($A638&lt;VLOOKUP(N$5,NFI,5,0),1,0)*Table_NFI[[#This Row],[Kitchen Set]],Table_NFI[Kitchen Set])</f>
        <v>0</v>
      </c>
      <c r="AF638" s="294">
        <f>IF(NFI_Expiration=1,IF($A638&lt;VLOOKUP(O$5,NFI,5,0),1,0)*Table_NFI[[#This Row],[Clothes Kit]],Table_NFI[Clothes Kit])</f>
        <v>0</v>
      </c>
      <c r="AG638" s="294">
        <f>IF(NFI_Expiration=1,IF($A638&lt;VLOOKUP(P$5,NFI,5,0),1,0)*Table_NFI[[#This Row],[Plastic Bucket]],Table_NFI[Plastic Bucket])</f>
        <v>0</v>
      </c>
      <c r="AH638" s="294">
        <f>IF(NFI_Expiration=1,IF($A638&lt;VLOOKUP(Q$5,NFI,5,0),1,0)*Table_NFI[[#This Row],[Plastic Mat]],Table_NFI[Plastic Mat])*IF(Table_NFI[[#This Row],[Distribution Date]]&gt;"2014-04-01",1,2.5)</f>
        <v>0</v>
      </c>
      <c r="AI638" s="294">
        <f>IF(NFI_Expiration=1,IF($A638&lt;VLOOKUP(R$5,NFI,5,0),1,0)*Table_NFI[[#This Row],[Winter Clothes Adult]],Table_NFI[Winter Clothes Adult])</f>
        <v>0</v>
      </c>
      <c r="AJ638" s="294">
        <f>IF(NFI_Expiration=1,IF($A638&lt;VLOOKUP(S$5,NFI,5,0),1,0)*Table_NFI[[#This Row],[Winter Clothes Children]],Table_NFI[Winter Clothes Children])</f>
        <v>0</v>
      </c>
      <c r="AK638" s="294">
        <f>IF(NFI_Expiration=1,IF($A638&lt;VLOOKUP(T$5,NFI,5,0),1,0)*Table_NFI[[#This Row],[Winter Items Other]],Table_NFI[Winter Items Other])</f>
        <v>0</v>
      </c>
      <c r="AL638" s="294">
        <f>IF(NFI_Expiration=1,IF($A638&lt;VLOOKUP(M$5,NFI,5,0),1,0)*Table_NFI[[#This Row],[Winter Blanket]],Table_NFI[[#This Row],[Winter Blanket]])</f>
        <v>0</v>
      </c>
      <c r="AM638" s="294">
        <f>IF(Table_NFI[[#This Row],[Winter Clothes Adult]]+Table_NFI[[#This Row],[Winter Clothes Children]]+Table_NFI[[#This Row],[Winter Items Other]]+Table_NFI[[#This Row],[Winter Blanket]]&gt;0,1,0)</f>
        <v>0</v>
      </c>
      <c r="AN638" s="331">
        <f>IF(NFI_Expiration=1,IF($A638&lt;VLOOKUP(V$5,NFI,5,0),1,0)*Table_NFI[[#This Row],[Jerry Can]],Table_NFI[Jerry Can])</f>
        <v>0</v>
      </c>
      <c r="AO638" s="331">
        <f>IF(NFI_Expiration=1,IF($A638&lt;VLOOKUP(V$5,NFI,5,0),1,0)*Table_NFI[[#This Row],[Shelter Tool kit]],Table_NFI[Shelter Tool kit])</f>
        <v>0</v>
      </c>
      <c r="AP638" s="331">
        <f>IF(NFI_Expiration=1,IF($A638&lt;VLOOKUP(V$5,NFI,5,0),1,0)*Table_NFI[[#This Row],[Tent]],Table_NFI[Tent])</f>
        <v>0</v>
      </c>
      <c r="AQ638" s="467" t="str">
        <f>IFERROR(VLOOKUP(Table_NFI[[#This Row],[Camp Name]],CL,2,0),"")</f>
        <v>MMR001CMP050</v>
      </c>
      <c r="AR638" s="835">
        <f ca="1">IF(Table_NFI[[#This Row],[Pcode]]="","",IF(OFFSET(CampList[Opening Date],MATCH(Table_NFI[[#This Row],[Pcode]],CampList[CP_Pcode],0)-1,0,1,1)&gt;=NFI_Monitor_Date,1,0))</f>
        <v>0</v>
      </c>
      <c r="AS638" s="467" t="str">
        <f>IFERROR(VLOOKUP(Table_NFI[[#This Row],[Camp Name]],CL,3,0),"")</f>
        <v>Open</v>
      </c>
      <c r="AT638" s="294" t="str">
        <f ca="1">IF(Table_NFI[[#This Row],[Pcode]]="","",OFFSET(CampList[Priority],MATCH(Table_NFI[[#This Row],[Pcode]],CampList[CP_Pcode],0)-1,0,1,1))</f>
        <v>P4</v>
      </c>
      <c r="AU638" s="293">
        <f>IFERROR(Table_NFI[[#This Row],[Kitchen Set]]/VLOOKUP(Table_NFI[[#This Row],[Camp Name]],CL,4,0),"")</f>
        <v>5.1410105757931847E-4</v>
      </c>
      <c r="AV638" s="461" t="s">
        <v>1092</v>
      </c>
      <c r="AW638" s="463"/>
    </row>
    <row r="639" spans="1:49" ht="14.45" customHeight="1" x14ac:dyDescent="0.25">
      <c r="A639" s="297">
        <f t="shared" si="9"/>
        <v>38.633333333333333</v>
      </c>
      <c r="B639" s="460">
        <v>41577</v>
      </c>
      <c r="C639" s="461" t="s">
        <v>452</v>
      </c>
      <c r="D639" s="461" t="s">
        <v>452</v>
      </c>
      <c r="E639" s="461" t="s">
        <v>380</v>
      </c>
      <c r="F639" s="290" t="s">
        <v>5</v>
      </c>
      <c r="G639" s="290" t="s">
        <v>14</v>
      </c>
      <c r="H639" s="291"/>
      <c r="I639" s="291"/>
      <c r="J639" s="291">
        <v>72</v>
      </c>
      <c r="K639" s="291">
        <v>61</v>
      </c>
      <c r="L639" s="292">
        <v>36</v>
      </c>
      <c r="M639" s="292">
        <v>61</v>
      </c>
      <c r="N639" s="292">
        <v>36</v>
      </c>
      <c r="O639" s="292">
        <v>36</v>
      </c>
      <c r="P639" s="294">
        <v>36</v>
      </c>
      <c r="Q639" s="294">
        <v>36</v>
      </c>
      <c r="R639" s="294"/>
      <c r="S639" s="294"/>
      <c r="T639" s="294"/>
      <c r="U639" s="294"/>
      <c r="V639" s="431"/>
      <c r="W639" s="294"/>
      <c r="X639" s="294"/>
      <c r="Y639" s="294">
        <f>IF(NFI_Expiration=1,IF($A639&lt;VLOOKUP(H$5,NFI,5,0),1,0)*Table_NFI[[#This Row],[Hygiene Kit]],Table_NFI[Hygiene Kit])</f>
        <v>0</v>
      </c>
      <c r="Z639" s="294">
        <f>IF(NFI_Expiration=1,IF($A639&lt;VLOOKUP(I$5,NFI,5,0),1,0)*Table_NFI[[#This Row],[NFI Core Kit]],Table_NFI[NFI Core Kit])</f>
        <v>0</v>
      </c>
      <c r="AA639" s="294">
        <f>IF(NFI_Expiration=1,IF($A639&lt;VLOOKUP(J$5,NFI,5,0),1,0)*Table_NFI[[#This Row],[Sanitary Kit]],Table_NFI[Sanitary Kit])</f>
        <v>0</v>
      </c>
      <c r="AB639" s="294">
        <f>IF(NFI_Expiration=1,IF($A639&lt;VLOOKUP(K$5,NFI,5,0),1,0)*Table_NFI[[#This Row],[Mosquito net]],Table_NFI[Mosquito net])</f>
        <v>0</v>
      </c>
      <c r="AC639" s="294">
        <f>IF(NFI_Expiration=1,IF($A639&lt;VLOOKUP(L$5,NFI,5,0),1,0)*Table_NFI[[#This Row],[Tarpaulin]],Table_NFI[[#This Row],[Tarpaulin]])</f>
        <v>0</v>
      </c>
      <c r="AD639" s="294">
        <f>IF(NFI_Expiration=1,IF($A639&lt;VLOOKUP(M$5,NFI,5,0),1,0)*Table_NFI[[#This Row],[Blanket]],Table_NFI[[#This Row],[Blanket]])</f>
        <v>0</v>
      </c>
      <c r="AE639" s="294">
        <f>IF(NFI_Expiration=1,IF($A639&lt;VLOOKUP(N$5,NFI,5,0),1,0)*Table_NFI[[#This Row],[Kitchen Set]],Table_NFI[Kitchen Set])</f>
        <v>0</v>
      </c>
      <c r="AF639" s="294">
        <f>IF(NFI_Expiration=1,IF($A639&lt;VLOOKUP(O$5,NFI,5,0),1,0)*Table_NFI[[#This Row],[Clothes Kit]],Table_NFI[Clothes Kit])</f>
        <v>0</v>
      </c>
      <c r="AG639" s="294">
        <f>IF(NFI_Expiration=1,IF($A639&lt;VLOOKUP(P$5,NFI,5,0),1,0)*Table_NFI[[#This Row],[Plastic Bucket]],Table_NFI[Plastic Bucket])</f>
        <v>0</v>
      </c>
      <c r="AH639" s="294">
        <f>IF(NFI_Expiration=1,IF($A639&lt;VLOOKUP(Q$5,NFI,5,0),1,0)*Table_NFI[[#This Row],[Plastic Mat]],Table_NFI[Plastic Mat])*IF(Table_NFI[[#This Row],[Distribution Date]]&gt;"2014-04-01",1,2.5)</f>
        <v>0</v>
      </c>
      <c r="AI639" s="294">
        <f>IF(NFI_Expiration=1,IF($A639&lt;VLOOKUP(R$5,NFI,5,0),1,0)*Table_NFI[[#This Row],[Winter Clothes Adult]],Table_NFI[Winter Clothes Adult])</f>
        <v>0</v>
      </c>
      <c r="AJ639" s="294">
        <f>IF(NFI_Expiration=1,IF($A639&lt;VLOOKUP(S$5,NFI,5,0),1,0)*Table_NFI[[#This Row],[Winter Clothes Children]],Table_NFI[Winter Clothes Children])</f>
        <v>0</v>
      </c>
      <c r="AK639" s="294">
        <f>IF(NFI_Expiration=1,IF($A639&lt;VLOOKUP(T$5,NFI,5,0),1,0)*Table_NFI[[#This Row],[Winter Items Other]],Table_NFI[Winter Items Other])</f>
        <v>0</v>
      </c>
      <c r="AL639" s="294">
        <f>IF(NFI_Expiration=1,IF($A639&lt;VLOOKUP(M$5,NFI,5,0),1,0)*Table_NFI[[#This Row],[Winter Blanket]],Table_NFI[[#This Row],[Winter Blanket]])</f>
        <v>0</v>
      </c>
      <c r="AM639" s="294">
        <f>IF(Table_NFI[[#This Row],[Winter Clothes Adult]]+Table_NFI[[#This Row],[Winter Clothes Children]]+Table_NFI[[#This Row],[Winter Items Other]]+Table_NFI[[#This Row],[Winter Blanket]]&gt;0,1,0)</f>
        <v>0</v>
      </c>
      <c r="AN639" s="331">
        <f>IF(NFI_Expiration=1,IF($A639&lt;VLOOKUP(V$5,NFI,5,0),1,0)*Table_NFI[[#This Row],[Jerry Can]],Table_NFI[Jerry Can])</f>
        <v>0</v>
      </c>
      <c r="AO639" s="331">
        <f>IF(NFI_Expiration=1,IF($A639&lt;VLOOKUP(V$5,NFI,5,0),1,0)*Table_NFI[[#This Row],[Shelter Tool kit]],Table_NFI[Shelter Tool kit])</f>
        <v>0</v>
      </c>
      <c r="AP639" s="331">
        <f>IF(NFI_Expiration=1,IF($A639&lt;VLOOKUP(V$5,NFI,5,0),1,0)*Table_NFI[[#This Row],[Tent]],Table_NFI[Tent])</f>
        <v>0</v>
      </c>
      <c r="AQ639" s="467" t="str">
        <f>IFERROR(VLOOKUP(Table_NFI[[#This Row],[Camp Name]],CL,2,0),"")</f>
        <v>MMR001CMP052</v>
      </c>
      <c r="AR639" s="835">
        <f ca="1">IF(Table_NFI[[#This Row],[Pcode]]="","",IF(OFFSET(CampList[Opening Date],MATCH(Table_NFI[[#This Row],[Pcode]],CampList[CP_Pcode],0)-1,0,1,1)&gt;=NFI_Monitor_Date,1,0))</f>
        <v>0</v>
      </c>
      <c r="AS639" s="467" t="str">
        <f>IFERROR(VLOOKUP(Table_NFI[[#This Row],[Camp Name]],CL,3,0),"")</f>
        <v>Open</v>
      </c>
      <c r="AT639" s="294" t="str">
        <f ca="1">IF(Table_NFI[[#This Row],[Pcode]]="","",OFFSET(CampList[Priority],MATCH(Table_NFI[[#This Row],[Pcode]],CampList[CP_Pcode],0)-1,0,1,1))</f>
        <v>P4</v>
      </c>
      <c r="AU639" s="293">
        <f>IFERROR(Table_NFI[[#This Row],[Kitchen Set]]/VLOOKUP(Table_NFI[[#This Row],[Camp Name]],CL,4,0),"")</f>
        <v>8.8066930867459266E-4</v>
      </c>
      <c r="AV639" s="461" t="s">
        <v>1092</v>
      </c>
      <c r="AW639" s="463"/>
    </row>
    <row r="640" spans="1:49" ht="14.45" customHeight="1" x14ac:dyDescent="0.25">
      <c r="A640" s="297">
        <f t="shared" si="9"/>
        <v>38.633333333333333</v>
      </c>
      <c r="B640" s="460">
        <v>41577</v>
      </c>
      <c r="C640" s="461" t="s">
        <v>452</v>
      </c>
      <c r="D640" s="461" t="s">
        <v>452</v>
      </c>
      <c r="E640" s="461" t="s">
        <v>380</v>
      </c>
      <c r="F640" s="290" t="s">
        <v>5</v>
      </c>
      <c r="G640" s="290" t="s">
        <v>366</v>
      </c>
      <c r="H640" s="291"/>
      <c r="I640" s="291"/>
      <c r="J640" s="291">
        <v>81</v>
      </c>
      <c r="K640" s="291">
        <v>94</v>
      </c>
      <c r="L640" s="292">
        <v>50</v>
      </c>
      <c r="M640" s="292">
        <v>94</v>
      </c>
      <c r="N640" s="292">
        <v>50</v>
      </c>
      <c r="O640" s="292">
        <v>50</v>
      </c>
      <c r="P640" s="294">
        <v>50</v>
      </c>
      <c r="Q640" s="294">
        <v>50</v>
      </c>
      <c r="R640" s="294"/>
      <c r="S640" s="294"/>
      <c r="T640" s="294"/>
      <c r="U640" s="294"/>
      <c r="V640" s="431"/>
      <c r="W640" s="294"/>
      <c r="X640" s="294"/>
      <c r="Y640" s="294">
        <f>IF(NFI_Expiration=1,IF($A640&lt;VLOOKUP(H$5,NFI,5,0),1,0)*Table_NFI[[#This Row],[Hygiene Kit]],Table_NFI[Hygiene Kit])</f>
        <v>0</v>
      </c>
      <c r="Z640" s="294">
        <f>IF(NFI_Expiration=1,IF($A640&lt;VLOOKUP(I$5,NFI,5,0),1,0)*Table_NFI[[#This Row],[NFI Core Kit]],Table_NFI[NFI Core Kit])</f>
        <v>0</v>
      </c>
      <c r="AA640" s="294">
        <f>IF(NFI_Expiration=1,IF($A640&lt;VLOOKUP(J$5,NFI,5,0),1,0)*Table_NFI[[#This Row],[Sanitary Kit]],Table_NFI[Sanitary Kit])</f>
        <v>0</v>
      </c>
      <c r="AB640" s="294">
        <f>IF(NFI_Expiration=1,IF($A640&lt;VLOOKUP(K$5,NFI,5,0),1,0)*Table_NFI[[#This Row],[Mosquito net]],Table_NFI[Mosquito net])</f>
        <v>0</v>
      </c>
      <c r="AC640" s="294">
        <f>IF(NFI_Expiration=1,IF($A640&lt;VLOOKUP(L$5,NFI,5,0),1,0)*Table_NFI[[#This Row],[Tarpaulin]],Table_NFI[[#This Row],[Tarpaulin]])</f>
        <v>0</v>
      </c>
      <c r="AD640" s="294">
        <f>IF(NFI_Expiration=1,IF($A640&lt;VLOOKUP(M$5,NFI,5,0),1,0)*Table_NFI[[#This Row],[Blanket]],Table_NFI[[#This Row],[Blanket]])</f>
        <v>0</v>
      </c>
      <c r="AE640" s="294">
        <f>IF(NFI_Expiration=1,IF($A640&lt;VLOOKUP(N$5,NFI,5,0),1,0)*Table_NFI[[#This Row],[Kitchen Set]],Table_NFI[Kitchen Set])</f>
        <v>0</v>
      </c>
      <c r="AF640" s="294">
        <f>IF(NFI_Expiration=1,IF($A640&lt;VLOOKUP(O$5,NFI,5,0),1,0)*Table_NFI[[#This Row],[Clothes Kit]],Table_NFI[Clothes Kit])</f>
        <v>0</v>
      </c>
      <c r="AG640" s="294">
        <f>IF(NFI_Expiration=1,IF($A640&lt;VLOOKUP(P$5,NFI,5,0),1,0)*Table_NFI[[#This Row],[Plastic Bucket]],Table_NFI[Plastic Bucket])</f>
        <v>0</v>
      </c>
      <c r="AH640" s="294">
        <f>IF(NFI_Expiration=1,IF($A640&lt;VLOOKUP(Q$5,NFI,5,0),1,0)*Table_NFI[[#This Row],[Plastic Mat]],Table_NFI[Plastic Mat])*IF(Table_NFI[[#This Row],[Distribution Date]]&gt;"2014-04-01",1,2.5)</f>
        <v>0</v>
      </c>
      <c r="AI640" s="294">
        <f>IF(NFI_Expiration=1,IF($A640&lt;VLOOKUP(R$5,NFI,5,0),1,0)*Table_NFI[[#This Row],[Winter Clothes Adult]],Table_NFI[Winter Clothes Adult])</f>
        <v>0</v>
      </c>
      <c r="AJ640" s="294">
        <f>IF(NFI_Expiration=1,IF($A640&lt;VLOOKUP(S$5,NFI,5,0),1,0)*Table_NFI[[#This Row],[Winter Clothes Children]],Table_NFI[Winter Clothes Children])</f>
        <v>0</v>
      </c>
      <c r="AK640" s="294">
        <f>IF(NFI_Expiration=1,IF($A640&lt;VLOOKUP(T$5,NFI,5,0),1,0)*Table_NFI[[#This Row],[Winter Items Other]],Table_NFI[Winter Items Other])</f>
        <v>0</v>
      </c>
      <c r="AL640" s="294">
        <f>IF(NFI_Expiration=1,IF($A640&lt;VLOOKUP(M$5,NFI,5,0),1,0)*Table_NFI[[#This Row],[Winter Blanket]],Table_NFI[[#This Row],[Winter Blanket]])</f>
        <v>0</v>
      </c>
      <c r="AM640" s="294">
        <f>IF(Table_NFI[[#This Row],[Winter Clothes Adult]]+Table_NFI[[#This Row],[Winter Clothes Children]]+Table_NFI[[#This Row],[Winter Items Other]]+Table_NFI[[#This Row],[Winter Blanket]]&gt;0,1,0)</f>
        <v>0</v>
      </c>
      <c r="AN640" s="331">
        <f>IF(NFI_Expiration=1,IF($A640&lt;VLOOKUP(V$5,NFI,5,0),1,0)*Table_NFI[[#This Row],[Jerry Can]],Table_NFI[Jerry Can])</f>
        <v>0</v>
      </c>
      <c r="AO640" s="331">
        <f>IF(NFI_Expiration=1,IF($A640&lt;VLOOKUP(V$5,NFI,5,0),1,0)*Table_NFI[[#This Row],[Shelter Tool kit]],Table_NFI[Shelter Tool kit])</f>
        <v>0</v>
      </c>
      <c r="AP640" s="331">
        <f>IF(NFI_Expiration=1,IF($A640&lt;VLOOKUP(V$5,NFI,5,0),1,0)*Table_NFI[[#This Row],[Tent]],Table_NFI[Tent])</f>
        <v>0</v>
      </c>
      <c r="AQ640" s="467" t="str">
        <f>IFERROR(VLOOKUP(Table_NFI[[#This Row],[Camp Name]],CL,2,0),"")</f>
        <v>MMR001CMP193</v>
      </c>
      <c r="AR640" s="835">
        <f ca="1">IF(Table_NFI[[#This Row],[Pcode]]="","",IF(OFFSET(CampList[Opening Date],MATCH(Table_NFI[[#This Row],[Pcode]],CampList[CP_Pcode],0)-1,0,1,1)&gt;=NFI_Monitor_Date,1,0))</f>
        <v>0</v>
      </c>
      <c r="AS640" s="467" t="str">
        <f>IFERROR(VLOOKUP(Table_NFI[[#This Row],[Camp Name]],CL,3,0),"")</f>
        <v>Open</v>
      </c>
      <c r="AT640" s="294" t="str">
        <f ca="1">IF(Table_NFI[[#This Row],[Pcode]]="","",OFFSET(CampList[Priority],MATCH(Table_NFI[[#This Row],[Pcode]],CampList[CP_Pcode],0)-1,0,1,1))</f>
        <v>P4</v>
      </c>
      <c r="AU640" s="293">
        <f>IFERROR(Table_NFI[[#This Row],[Kitchen Set]]/VLOOKUP(Table_NFI[[#This Row],[Camp Name]],CL,4,0),"")</f>
        <v>1.2113870381586917E-3</v>
      </c>
      <c r="AV640" s="461" t="s">
        <v>1092</v>
      </c>
      <c r="AW640" s="463"/>
    </row>
    <row r="641" spans="1:49" ht="14.45" customHeight="1" x14ac:dyDescent="0.25">
      <c r="A641" s="297">
        <f t="shared" si="9"/>
        <v>39.766666666666666</v>
      </c>
      <c r="B641" s="460">
        <v>41543</v>
      </c>
      <c r="C641" s="461" t="s">
        <v>452</v>
      </c>
      <c r="D641" s="461" t="s">
        <v>452</v>
      </c>
      <c r="E641" s="461" t="s">
        <v>380</v>
      </c>
      <c r="F641" s="290" t="s">
        <v>185</v>
      </c>
      <c r="G641" s="290" t="s">
        <v>194</v>
      </c>
      <c r="H641" s="291"/>
      <c r="I641" s="291"/>
      <c r="J641" s="291">
        <v>882</v>
      </c>
      <c r="K641" s="291">
        <v>882</v>
      </c>
      <c r="L641" s="292">
        <v>441</v>
      </c>
      <c r="M641" s="292">
        <v>882</v>
      </c>
      <c r="N641" s="292">
        <v>441</v>
      </c>
      <c r="O641" s="292"/>
      <c r="P641" s="294">
        <v>441</v>
      </c>
      <c r="Q641" s="294">
        <v>882</v>
      </c>
      <c r="R641" s="294"/>
      <c r="S641" s="294"/>
      <c r="T641" s="294"/>
      <c r="U641" s="294"/>
      <c r="V641" s="431"/>
      <c r="W641" s="294"/>
      <c r="X641" s="294"/>
      <c r="Y641" s="294">
        <f>IF(NFI_Expiration=1,IF($A641&lt;VLOOKUP(H$5,NFI,5,0),1,0)*Table_NFI[[#This Row],[Hygiene Kit]],Table_NFI[Hygiene Kit])</f>
        <v>0</v>
      </c>
      <c r="Z641" s="294">
        <f>IF(NFI_Expiration=1,IF($A641&lt;VLOOKUP(I$5,NFI,5,0),1,0)*Table_NFI[[#This Row],[NFI Core Kit]],Table_NFI[NFI Core Kit])</f>
        <v>0</v>
      </c>
      <c r="AA641" s="294">
        <f>IF(NFI_Expiration=1,IF($A641&lt;VLOOKUP(J$5,NFI,5,0),1,0)*Table_NFI[[#This Row],[Sanitary Kit]],Table_NFI[Sanitary Kit])</f>
        <v>0</v>
      </c>
      <c r="AB641" s="294">
        <f>IF(NFI_Expiration=1,IF($A641&lt;VLOOKUP(K$5,NFI,5,0),1,0)*Table_NFI[[#This Row],[Mosquito net]],Table_NFI[Mosquito net])</f>
        <v>0</v>
      </c>
      <c r="AC641" s="294">
        <f>IF(NFI_Expiration=1,IF($A641&lt;VLOOKUP(L$5,NFI,5,0),1,0)*Table_NFI[[#This Row],[Tarpaulin]],Table_NFI[[#This Row],[Tarpaulin]])</f>
        <v>0</v>
      </c>
      <c r="AD641" s="294">
        <f>IF(NFI_Expiration=1,IF($A641&lt;VLOOKUP(M$5,NFI,5,0),1,0)*Table_NFI[[#This Row],[Blanket]],Table_NFI[[#This Row],[Blanket]])</f>
        <v>0</v>
      </c>
      <c r="AE641" s="294">
        <f>IF(NFI_Expiration=1,IF($A641&lt;VLOOKUP(N$5,NFI,5,0),1,0)*Table_NFI[[#This Row],[Kitchen Set]],Table_NFI[Kitchen Set])</f>
        <v>0</v>
      </c>
      <c r="AF641" s="294">
        <f>IF(NFI_Expiration=1,IF($A641&lt;VLOOKUP(O$5,NFI,5,0),1,0)*Table_NFI[[#This Row],[Clothes Kit]],Table_NFI[Clothes Kit])</f>
        <v>0</v>
      </c>
      <c r="AG641" s="294">
        <f>IF(NFI_Expiration=1,IF($A641&lt;VLOOKUP(P$5,NFI,5,0),1,0)*Table_NFI[[#This Row],[Plastic Bucket]],Table_NFI[Plastic Bucket])</f>
        <v>0</v>
      </c>
      <c r="AH641" s="294">
        <f>IF(NFI_Expiration=1,IF($A641&lt;VLOOKUP(Q$5,NFI,5,0),1,0)*Table_NFI[[#This Row],[Plastic Mat]],Table_NFI[Plastic Mat])*IF(Table_NFI[[#This Row],[Distribution Date]]&gt;"2014-04-01",1,2.5)</f>
        <v>0</v>
      </c>
      <c r="AI641" s="294">
        <f>IF(NFI_Expiration=1,IF($A641&lt;VLOOKUP(R$5,NFI,5,0),1,0)*Table_NFI[[#This Row],[Winter Clothes Adult]],Table_NFI[Winter Clothes Adult])</f>
        <v>0</v>
      </c>
      <c r="AJ641" s="294">
        <f>IF(NFI_Expiration=1,IF($A641&lt;VLOOKUP(S$5,NFI,5,0),1,0)*Table_NFI[[#This Row],[Winter Clothes Children]],Table_NFI[Winter Clothes Children])</f>
        <v>0</v>
      </c>
      <c r="AK641" s="294">
        <f>IF(NFI_Expiration=1,IF($A641&lt;VLOOKUP(T$5,NFI,5,0),1,0)*Table_NFI[[#This Row],[Winter Items Other]],Table_NFI[Winter Items Other])</f>
        <v>0</v>
      </c>
      <c r="AL641" s="294">
        <f>IF(NFI_Expiration=1,IF($A641&lt;VLOOKUP(M$5,NFI,5,0),1,0)*Table_NFI[[#This Row],[Winter Blanket]],Table_NFI[[#This Row],[Winter Blanket]])</f>
        <v>0</v>
      </c>
      <c r="AM641" s="294">
        <f>IF(Table_NFI[[#This Row],[Winter Clothes Adult]]+Table_NFI[[#This Row],[Winter Clothes Children]]+Table_NFI[[#This Row],[Winter Items Other]]+Table_NFI[[#This Row],[Winter Blanket]]&gt;0,1,0)</f>
        <v>0</v>
      </c>
      <c r="AN641" s="331">
        <f>IF(NFI_Expiration=1,IF($A641&lt;VLOOKUP(V$5,NFI,5,0),1,0)*Table_NFI[[#This Row],[Jerry Can]],Table_NFI[Jerry Can])</f>
        <v>0</v>
      </c>
      <c r="AO641" s="331">
        <f>IF(NFI_Expiration=1,IF($A641&lt;VLOOKUP(V$5,NFI,5,0),1,0)*Table_NFI[[#This Row],[Shelter Tool kit]],Table_NFI[Shelter Tool kit])</f>
        <v>0</v>
      </c>
      <c r="AP641" s="331">
        <f>IF(NFI_Expiration=1,IF($A641&lt;VLOOKUP(V$5,NFI,5,0),1,0)*Table_NFI[[#This Row],[Tent]],Table_NFI[Tent])</f>
        <v>0</v>
      </c>
      <c r="AQ641" s="467" t="str">
        <f>IFERROR(VLOOKUP(Table_NFI[[#This Row],[Camp Name]],CL,2,0),"")</f>
        <v>MMR001CMP122</v>
      </c>
      <c r="AR641" s="835">
        <f ca="1">IF(Table_NFI[[#This Row],[Pcode]]="","",IF(OFFSET(CampList[Opening Date],MATCH(Table_NFI[[#This Row],[Pcode]],CampList[CP_Pcode],0)-1,0,1,1)&gt;=NFI_Monitor_Date,1,0))</f>
        <v>0</v>
      </c>
      <c r="AS641" s="467" t="str">
        <f>IFERROR(VLOOKUP(Table_NFI[[#This Row],[Camp Name]],CL,3,0),"")</f>
        <v>Open</v>
      </c>
      <c r="AT641" s="294" t="str">
        <f ca="1">IF(Table_NFI[[#This Row],[Pcode]]="","",OFFSET(CampList[Priority],MATCH(Table_NFI[[#This Row],[Pcode]],CampList[CP_Pcode],0)-1,0,1,1))</f>
        <v>P2</v>
      </c>
      <c r="AU641" s="293">
        <f>IFERROR(Table_NFI[[#This Row],[Kitchen Set]]/VLOOKUP(Table_NFI[[#This Row],[Camp Name]],CL,4,0),"")</f>
        <v>1.0836712126796905E-2</v>
      </c>
      <c r="AV641" s="461" t="s">
        <v>1092</v>
      </c>
      <c r="AW641" s="463"/>
    </row>
    <row r="642" spans="1:49" ht="14.45" customHeight="1" x14ac:dyDescent="0.25">
      <c r="A642" s="297">
        <f t="shared" si="9"/>
        <v>39.766666666666666</v>
      </c>
      <c r="B642" s="460">
        <v>41543</v>
      </c>
      <c r="C642" s="461" t="s">
        <v>452</v>
      </c>
      <c r="D642" s="461" t="s">
        <v>452</v>
      </c>
      <c r="E642" s="461" t="s">
        <v>380</v>
      </c>
      <c r="F642" s="461" t="s">
        <v>185</v>
      </c>
      <c r="G642" s="290" t="s">
        <v>196</v>
      </c>
      <c r="H642" s="291"/>
      <c r="I642" s="291"/>
      <c r="J642" s="291">
        <v>1628</v>
      </c>
      <c r="K642" s="291">
        <v>3256</v>
      </c>
      <c r="L642" s="292">
        <v>1628</v>
      </c>
      <c r="M642" s="292">
        <v>3256</v>
      </c>
      <c r="N642" s="292">
        <v>1628</v>
      </c>
      <c r="O642" s="292"/>
      <c r="P642" s="294">
        <v>1628</v>
      </c>
      <c r="Q642" s="294">
        <v>3256</v>
      </c>
      <c r="R642" s="294"/>
      <c r="S642" s="294"/>
      <c r="T642" s="294"/>
      <c r="U642" s="294"/>
      <c r="V642" s="431"/>
      <c r="W642" s="294"/>
      <c r="X642" s="294"/>
      <c r="Y642" s="294">
        <f>IF(NFI_Expiration=1,IF($A642&lt;VLOOKUP(H$5,NFI,5,0),1,0)*Table_NFI[[#This Row],[Hygiene Kit]],Table_NFI[Hygiene Kit])</f>
        <v>0</v>
      </c>
      <c r="Z642" s="294">
        <f>IF(NFI_Expiration=1,IF($A642&lt;VLOOKUP(I$5,NFI,5,0),1,0)*Table_NFI[[#This Row],[NFI Core Kit]],Table_NFI[NFI Core Kit])</f>
        <v>0</v>
      </c>
      <c r="AA642" s="294">
        <f>IF(NFI_Expiration=1,IF($A642&lt;VLOOKUP(J$5,NFI,5,0),1,0)*Table_NFI[[#This Row],[Sanitary Kit]],Table_NFI[Sanitary Kit])</f>
        <v>0</v>
      </c>
      <c r="AB642" s="294">
        <f>IF(NFI_Expiration=1,IF($A642&lt;VLOOKUP(K$5,NFI,5,0),1,0)*Table_NFI[[#This Row],[Mosquito net]],Table_NFI[Mosquito net])</f>
        <v>0</v>
      </c>
      <c r="AC642" s="294">
        <f>IF(NFI_Expiration=1,IF($A642&lt;VLOOKUP(L$5,NFI,5,0),1,0)*Table_NFI[[#This Row],[Tarpaulin]],Table_NFI[[#This Row],[Tarpaulin]])</f>
        <v>0</v>
      </c>
      <c r="AD642" s="294">
        <f>IF(NFI_Expiration=1,IF($A642&lt;VLOOKUP(M$5,NFI,5,0),1,0)*Table_NFI[[#This Row],[Blanket]],Table_NFI[[#This Row],[Blanket]])</f>
        <v>0</v>
      </c>
      <c r="AE642" s="294">
        <f>IF(NFI_Expiration=1,IF($A642&lt;VLOOKUP(N$5,NFI,5,0),1,0)*Table_NFI[[#This Row],[Kitchen Set]],Table_NFI[Kitchen Set])</f>
        <v>0</v>
      </c>
      <c r="AF642" s="294">
        <f>IF(NFI_Expiration=1,IF($A642&lt;VLOOKUP(O$5,NFI,5,0),1,0)*Table_NFI[[#This Row],[Clothes Kit]],Table_NFI[Clothes Kit])</f>
        <v>0</v>
      </c>
      <c r="AG642" s="294">
        <f>IF(NFI_Expiration=1,IF($A642&lt;VLOOKUP(P$5,NFI,5,0),1,0)*Table_NFI[[#This Row],[Plastic Bucket]],Table_NFI[Plastic Bucket])</f>
        <v>0</v>
      </c>
      <c r="AH642" s="294">
        <f>IF(NFI_Expiration=1,IF($A642&lt;VLOOKUP(Q$5,NFI,5,0),1,0)*Table_NFI[[#This Row],[Plastic Mat]],Table_NFI[Plastic Mat])*IF(Table_NFI[[#This Row],[Distribution Date]]&gt;"2014-04-01",1,2.5)</f>
        <v>0</v>
      </c>
      <c r="AI642" s="294">
        <f>IF(NFI_Expiration=1,IF($A642&lt;VLOOKUP(R$5,NFI,5,0),1,0)*Table_NFI[[#This Row],[Winter Clothes Adult]],Table_NFI[Winter Clothes Adult])</f>
        <v>0</v>
      </c>
      <c r="AJ642" s="294">
        <f>IF(NFI_Expiration=1,IF($A642&lt;VLOOKUP(S$5,NFI,5,0),1,0)*Table_NFI[[#This Row],[Winter Clothes Children]],Table_NFI[Winter Clothes Children])</f>
        <v>0</v>
      </c>
      <c r="AK642" s="294">
        <f>IF(NFI_Expiration=1,IF($A642&lt;VLOOKUP(T$5,NFI,5,0),1,0)*Table_NFI[[#This Row],[Winter Items Other]],Table_NFI[Winter Items Other])</f>
        <v>0</v>
      </c>
      <c r="AL642" s="294">
        <f>IF(NFI_Expiration=1,IF($A642&lt;VLOOKUP(M$5,NFI,5,0),1,0)*Table_NFI[[#This Row],[Winter Blanket]],Table_NFI[[#This Row],[Winter Blanket]])</f>
        <v>0</v>
      </c>
      <c r="AM642" s="294">
        <f>IF(Table_NFI[[#This Row],[Winter Clothes Adult]]+Table_NFI[[#This Row],[Winter Clothes Children]]+Table_NFI[[#This Row],[Winter Items Other]]+Table_NFI[[#This Row],[Winter Blanket]]&gt;0,1,0)</f>
        <v>0</v>
      </c>
      <c r="AN642" s="331">
        <f>IF(NFI_Expiration=1,IF($A642&lt;VLOOKUP(V$5,NFI,5,0),1,0)*Table_NFI[[#This Row],[Jerry Can]],Table_NFI[Jerry Can])</f>
        <v>0</v>
      </c>
      <c r="AO642" s="331">
        <f>IF(NFI_Expiration=1,IF($A642&lt;VLOOKUP(V$5,NFI,5,0),1,0)*Table_NFI[[#This Row],[Shelter Tool kit]],Table_NFI[Shelter Tool kit])</f>
        <v>0</v>
      </c>
      <c r="AP642" s="331">
        <f>IF(NFI_Expiration=1,IF($A642&lt;VLOOKUP(V$5,NFI,5,0),1,0)*Table_NFI[[#This Row],[Tent]],Table_NFI[Tent])</f>
        <v>0</v>
      </c>
      <c r="AQ642" s="467" t="str">
        <f>IFERROR(VLOOKUP(Table_NFI[[#This Row],[Camp Name]],CL,2,0),"")</f>
        <v>MMR001CMP121</v>
      </c>
      <c r="AR642" s="835">
        <f ca="1">IF(Table_NFI[[#This Row],[Pcode]]="","",IF(OFFSET(CampList[Opening Date],MATCH(Table_NFI[[#This Row],[Pcode]],CampList[CP_Pcode],0)-1,0,1,1)&gt;=NFI_Monitor_Date,1,0))</f>
        <v>0</v>
      </c>
      <c r="AS642" s="467" t="str">
        <f>IFERROR(VLOOKUP(Table_NFI[[#This Row],[Camp Name]],CL,3,0),"")</f>
        <v>Open</v>
      </c>
      <c r="AT642" s="294" t="str">
        <f ca="1">IF(Table_NFI[[#This Row],[Pcode]]="","",OFFSET(CampList[Priority],MATCH(Table_NFI[[#This Row],[Pcode]],CampList[CP_Pcode],0)-1,0,1,1))</f>
        <v>P2</v>
      </c>
      <c r="AU642" s="293">
        <f>IFERROR(Table_NFI[[#This Row],[Kitchen Set]]/VLOOKUP(Table_NFI[[#This Row],[Camp Name]],CL,4,0),"")</f>
        <v>3.9648328097221207E-2</v>
      </c>
      <c r="AV642" s="461" t="s">
        <v>1092</v>
      </c>
      <c r="AW642" s="463"/>
    </row>
    <row r="643" spans="1:49" ht="14.45" customHeight="1" x14ac:dyDescent="0.25">
      <c r="A643" s="297">
        <f t="shared" si="9"/>
        <v>39.766666666666666</v>
      </c>
      <c r="B643" s="460">
        <v>41543</v>
      </c>
      <c r="C643" s="461" t="s">
        <v>452</v>
      </c>
      <c r="D643" s="461" t="s">
        <v>452</v>
      </c>
      <c r="E643" s="461" t="s">
        <v>380</v>
      </c>
      <c r="F643" s="290" t="s">
        <v>310</v>
      </c>
      <c r="G643" s="290" t="s">
        <v>1248</v>
      </c>
      <c r="H643" s="291"/>
      <c r="I643" s="291"/>
      <c r="J643" s="291">
        <v>437</v>
      </c>
      <c r="K643" s="291">
        <v>874</v>
      </c>
      <c r="L643" s="292">
        <v>437</v>
      </c>
      <c r="M643" s="292">
        <v>874</v>
      </c>
      <c r="N643" s="292">
        <v>437</v>
      </c>
      <c r="O643" s="292">
        <v>54</v>
      </c>
      <c r="P643" s="294">
        <v>383</v>
      </c>
      <c r="Q643" s="294">
        <v>766</v>
      </c>
      <c r="R643" s="294"/>
      <c r="S643" s="294"/>
      <c r="T643" s="294"/>
      <c r="U643" s="294"/>
      <c r="V643" s="431"/>
      <c r="W643" s="294"/>
      <c r="X643" s="294"/>
      <c r="Y643" s="294">
        <f>IF(NFI_Expiration=1,IF($A643&lt;VLOOKUP(H$5,NFI,5,0),1,0)*Table_NFI[[#This Row],[Hygiene Kit]],Table_NFI[Hygiene Kit])</f>
        <v>0</v>
      </c>
      <c r="Z643" s="294">
        <f>IF(NFI_Expiration=1,IF($A643&lt;VLOOKUP(I$5,NFI,5,0),1,0)*Table_NFI[[#This Row],[NFI Core Kit]],Table_NFI[NFI Core Kit])</f>
        <v>0</v>
      </c>
      <c r="AA643" s="294">
        <f>IF(NFI_Expiration=1,IF($A643&lt;VLOOKUP(J$5,NFI,5,0),1,0)*Table_NFI[[#This Row],[Sanitary Kit]],Table_NFI[Sanitary Kit])</f>
        <v>0</v>
      </c>
      <c r="AB643" s="294">
        <f>IF(NFI_Expiration=1,IF($A643&lt;VLOOKUP(K$5,NFI,5,0),1,0)*Table_NFI[[#This Row],[Mosquito net]],Table_NFI[Mosquito net])</f>
        <v>0</v>
      </c>
      <c r="AC643" s="294">
        <f>IF(NFI_Expiration=1,IF($A643&lt;VLOOKUP(L$5,NFI,5,0),1,0)*Table_NFI[[#This Row],[Tarpaulin]],Table_NFI[[#This Row],[Tarpaulin]])</f>
        <v>0</v>
      </c>
      <c r="AD643" s="294">
        <f>IF(NFI_Expiration=1,IF($A643&lt;VLOOKUP(M$5,NFI,5,0),1,0)*Table_NFI[[#This Row],[Blanket]],Table_NFI[[#This Row],[Blanket]])</f>
        <v>0</v>
      </c>
      <c r="AE643" s="294">
        <f>IF(NFI_Expiration=1,IF($A643&lt;VLOOKUP(N$5,NFI,5,0),1,0)*Table_NFI[[#This Row],[Kitchen Set]],Table_NFI[Kitchen Set])</f>
        <v>0</v>
      </c>
      <c r="AF643" s="294">
        <f>IF(NFI_Expiration=1,IF($A643&lt;VLOOKUP(O$5,NFI,5,0),1,0)*Table_NFI[[#This Row],[Clothes Kit]],Table_NFI[Clothes Kit])</f>
        <v>0</v>
      </c>
      <c r="AG643" s="294">
        <f>IF(NFI_Expiration=1,IF($A643&lt;VLOOKUP(P$5,NFI,5,0),1,0)*Table_NFI[[#This Row],[Plastic Bucket]],Table_NFI[Plastic Bucket])</f>
        <v>0</v>
      </c>
      <c r="AH643" s="294">
        <f>IF(NFI_Expiration=1,IF($A643&lt;VLOOKUP(Q$5,NFI,5,0),1,0)*Table_NFI[[#This Row],[Plastic Mat]],Table_NFI[Plastic Mat])*IF(Table_NFI[[#This Row],[Distribution Date]]&gt;"2014-04-01",1,2.5)</f>
        <v>0</v>
      </c>
      <c r="AI643" s="294">
        <f>IF(NFI_Expiration=1,IF($A643&lt;VLOOKUP(R$5,NFI,5,0),1,0)*Table_NFI[[#This Row],[Winter Clothes Adult]],Table_NFI[Winter Clothes Adult])</f>
        <v>0</v>
      </c>
      <c r="AJ643" s="294">
        <f>IF(NFI_Expiration=1,IF($A643&lt;VLOOKUP(S$5,NFI,5,0),1,0)*Table_NFI[[#This Row],[Winter Clothes Children]],Table_NFI[Winter Clothes Children])</f>
        <v>0</v>
      </c>
      <c r="AK643" s="294">
        <f>IF(NFI_Expiration=1,IF($A643&lt;VLOOKUP(T$5,NFI,5,0),1,0)*Table_NFI[[#This Row],[Winter Items Other]],Table_NFI[Winter Items Other])</f>
        <v>0</v>
      </c>
      <c r="AL643" s="294">
        <f>IF(NFI_Expiration=1,IF($A643&lt;VLOOKUP(M$5,NFI,5,0),1,0)*Table_NFI[[#This Row],[Winter Blanket]],Table_NFI[[#This Row],[Winter Blanket]])</f>
        <v>0</v>
      </c>
      <c r="AM643" s="294">
        <f>IF(Table_NFI[[#This Row],[Winter Clothes Adult]]+Table_NFI[[#This Row],[Winter Clothes Children]]+Table_NFI[[#This Row],[Winter Items Other]]+Table_NFI[[#This Row],[Winter Blanket]]&gt;0,1,0)</f>
        <v>0</v>
      </c>
      <c r="AN643" s="331">
        <f>IF(NFI_Expiration=1,IF($A643&lt;VLOOKUP(V$5,NFI,5,0),1,0)*Table_NFI[[#This Row],[Jerry Can]],Table_NFI[Jerry Can])</f>
        <v>0</v>
      </c>
      <c r="AO643" s="331">
        <f>IF(NFI_Expiration=1,IF($A643&lt;VLOOKUP(V$5,NFI,5,0),1,0)*Table_NFI[[#This Row],[Shelter Tool kit]],Table_NFI[Shelter Tool kit])</f>
        <v>0</v>
      </c>
      <c r="AP643" s="331">
        <f>IF(NFI_Expiration=1,IF($A643&lt;VLOOKUP(V$5,NFI,5,0),1,0)*Table_NFI[[#This Row],[Tent]],Table_NFI[Tent])</f>
        <v>0</v>
      </c>
      <c r="AQ643" s="467" t="str">
        <f>IFERROR(VLOOKUP(Table_NFI[[#This Row],[Camp Name]],CL,2,0),"")</f>
        <v>MMR001CMP117</v>
      </c>
      <c r="AR643" s="835">
        <f ca="1">IF(Table_NFI[[#This Row],[Pcode]]="","",IF(OFFSET(CampList[Opening Date],MATCH(Table_NFI[[#This Row],[Pcode]],CampList[CP_Pcode],0)-1,0,1,1)&gt;=NFI_Monitor_Date,1,0))</f>
        <v>0</v>
      </c>
      <c r="AS643" s="467" t="str">
        <f>IFERROR(VLOOKUP(Table_NFI[[#This Row],[Camp Name]],CL,3,0),"")</f>
        <v>Closed</v>
      </c>
      <c r="AT643" s="294" t="str">
        <f ca="1">IF(Table_NFI[[#This Row],[Pcode]]="","",OFFSET(CampList[Priority],MATCH(Table_NFI[[#This Row],[Pcode]],CampList[CP_Pcode],0)-1,0,1,1))</f>
        <v>P2</v>
      </c>
      <c r="AU643" s="293">
        <f>IFERROR(Table_NFI[[#This Row],[Kitchen Set]]/VLOOKUP(Table_NFI[[#This Row],[Camp Name]],CL,4,0),"")</f>
        <v>1.0738419953311217E-2</v>
      </c>
      <c r="AV643" s="461" t="s">
        <v>1092</v>
      </c>
      <c r="AW643" s="463"/>
    </row>
    <row r="644" spans="1:49" ht="14.45" customHeight="1" x14ac:dyDescent="0.25">
      <c r="A644" s="297">
        <f t="shared" si="9"/>
        <v>40.033333333333331</v>
      </c>
      <c r="B644" s="460">
        <v>41535</v>
      </c>
      <c r="C644" s="461" t="s">
        <v>452</v>
      </c>
      <c r="D644" s="461" t="s">
        <v>452</v>
      </c>
      <c r="E644" s="461" t="s">
        <v>380</v>
      </c>
      <c r="F644" s="290" t="s">
        <v>310</v>
      </c>
      <c r="G644" s="290" t="s">
        <v>353</v>
      </c>
      <c r="H644" s="291"/>
      <c r="I644" s="291"/>
      <c r="J644" s="291">
        <v>1520</v>
      </c>
      <c r="K644" s="291">
        <v>1520</v>
      </c>
      <c r="L644" s="292">
        <v>760</v>
      </c>
      <c r="M644" s="292">
        <v>1520</v>
      </c>
      <c r="N644" s="292">
        <v>760</v>
      </c>
      <c r="O644" s="292">
        <v>760</v>
      </c>
      <c r="P644" s="294"/>
      <c r="Q644" s="294"/>
      <c r="R644" s="294"/>
      <c r="S644" s="294"/>
      <c r="T644" s="294"/>
      <c r="U644" s="294"/>
      <c r="V644" s="431"/>
      <c r="W644" s="294"/>
      <c r="X644" s="294"/>
      <c r="Y644" s="294">
        <f>IF(NFI_Expiration=1,IF($A644&lt;VLOOKUP(H$5,NFI,5,0),1,0)*Table_NFI[[#This Row],[Hygiene Kit]],Table_NFI[Hygiene Kit])</f>
        <v>0</v>
      </c>
      <c r="Z644" s="294">
        <f>IF(NFI_Expiration=1,IF($A644&lt;VLOOKUP(I$5,NFI,5,0),1,0)*Table_NFI[[#This Row],[NFI Core Kit]],Table_NFI[NFI Core Kit])</f>
        <v>0</v>
      </c>
      <c r="AA644" s="294">
        <f>IF(NFI_Expiration=1,IF($A644&lt;VLOOKUP(J$5,NFI,5,0),1,0)*Table_NFI[[#This Row],[Sanitary Kit]],Table_NFI[Sanitary Kit])</f>
        <v>0</v>
      </c>
      <c r="AB644" s="294">
        <f>IF(NFI_Expiration=1,IF($A644&lt;VLOOKUP(K$5,NFI,5,0),1,0)*Table_NFI[[#This Row],[Mosquito net]],Table_NFI[Mosquito net])</f>
        <v>0</v>
      </c>
      <c r="AC644" s="294">
        <f>IF(NFI_Expiration=1,IF($A644&lt;VLOOKUP(L$5,NFI,5,0),1,0)*Table_NFI[[#This Row],[Tarpaulin]],Table_NFI[[#This Row],[Tarpaulin]])</f>
        <v>0</v>
      </c>
      <c r="AD644" s="294">
        <f>IF(NFI_Expiration=1,IF($A644&lt;VLOOKUP(M$5,NFI,5,0),1,0)*Table_NFI[[#This Row],[Blanket]],Table_NFI[[#This Row],[Blanket]])</f>
        <v>0</v>
      </c>
      <c r="AE644" s="294">
        <f>IF(NFI_Expiration=1,IF($A644&lt;VLOOKUP(N$5,NFI,5,0),1,0)*Table_NFI[[#This Row],[Kitchen Set]],Table_NFI[Kitchen Set])</f>
        <v>0</v>
      </c>
      <c r="AF644" s="294">
        <f>IF(NFI_Expiration=1,IF($A644&lt;VLOOKUP(O$5,NFI,5,0),1,0)*Table_NFI[[#This Row],[Clothes Kit]],Table_NFI[Clothes Kit])</f>
        <v>0</v>
      </c>
      <c r="AG644" s="294">
        <f>IF(NFI_Expiration=1,IF($A644&lt;VLOOKUP(P$5,NFI,5,0),1,0)*Table_NFI[[#This Row],[Plastic Bucket]],Table_NFI[Plastic Bucket])</f>
        <v>0</v>
      </c>
      <c r="AH644" s="294">
        <f>IF(NFI_Expiration=1,IF($A644&lt;VLOOKUP(Q$5,NFI,5,0),1,0)*Table_NFI[[#This Row],[Plastic Mat]],Table_NFI[Plastic Mat])*IF(Table_NFI[[#This Row],[Distribution Date]]&gt;"2014-04-01",1,2.5)</f>
        <v>0</v>
      </c>
      <c r="AI644" s="294">
        <f>IF(NFI_Expiration=1,IF($A644&lt;VLOOKUP(R$5,NFI,5,0),1,0)*Table_NFI[[#This Row],[Winter Clothes Adult]],Table_NFI[Winter Clothes Adult])</f>
        <v>0</v>
      </c>
      <c r="AJ644" s="294">
        <f>IF(NFI_Expiration=1,IF($A644&lt;VLOOKUP(S$5,NFI,5,0),1,0)*Table_NFI[[#This Row],[Winter Clothes Children]],Table_NFI[Winter Clothes Children])</f>
        <v>0</v>
      </c>
      <c r="AK644" s="294">
        <f>IF(NFI_Expiration=1,IF($A644&lt;VLOOKUP(T$5,NFI,5,0),1,0)*Table_NFI[[#This Row],[Winter Items Other]],Table_NFI[Winter Items Other])</f>
        <v>0</v>
      </c>
      <c r="AL644" s="294">
        <f>IF(NFI_Expiration=1,IF($A644&lt;VLOOKUP(M$5,NFI,5,0),1,0)*Table_NFI[[#This Row],[Winter Blanket]],Table_NFI[[#This Row],[Winter Blanket]])</f>
        <v>0</v>
      </c>
      <c r="AM644" s="294">
        <f>IF(Table_NFI[[#This Row],[Winter Clothes Adult]]+Table_NFI[[#This Row],[Winter Clothes Children]]+Table_NFI[[#This Row],[Winter Items Other]]+Table_NFI[[#This Row],[Winter Blanket]]&gt;0,1,0)</f>
        <v>0</v>
      </c>
      <c r="AN644" s="331">
        <f>IF(NFI_Expiration=1,IF($A644&lt;VLOOKUP(V$5,NFI,5,0),1,0)*Table_NFI[[#This Row],[Jerry Can]],Table_NFI[Jerry Can])</f>
        <v>0</v>
      </c>
      <c r="AO644" s="331">
        <f>IF(NFI_Expiration=1,IF($A644&lt;VLOOKUP(V$5,NFI,5,0),1,0)*Table_NFI[[#This Row],[Shelter Tool kit]],Table_NFI[Shelter Tool kit])</f>
        <v>0</v>
      </c>
      <c r="AP644" s="331">
        <f>IF(NFI_Expiration=1,IF($A644&lt;VLOOKUP(V$5,NFI,5,0),1,0)*Table_NFI[[#This Row],[Tent]],Table_NFI[Tent])</f>
        <v>0</v>
      </c>
      <c r="AQ644" s="467" t="str">
        <f>IFERROR(VLOOKUP(Table_NFI[[#This Row],[Camp Name]],CL,2,0),"")</f>
        <v>MMR001CMP116</v>
      </c>
      <c r="AR644" s="835">
        <f ca="1">IF(Table_NFI[[#This Row],[Pcode]]="","",IF(OFFSET(CampList[Opening Date],MATCH(Table_NFI[[#This Row],[Pcode]],CampList[CP_Pcode],0)-1,0,1,1)&gt;=NFI_Monitor_Date,1,0))</f>
        <v>0</v>
      </c>
      <c r="AS644" s="467" t="str">
        <f>IFERROR(VLOOKUP(Table_NFI[[#This Row],[Camp Name]],CL,3,0),"")</f>
        <v>Open</v>
      </c>
      <c r="AT644" s="294" t="str">
        <f ca="1">IF(Table_NFI[[#This Row],[Pcode]]="","",OFFSET(CampList[Priority],MATCH(Table_NFI[[#This Row],[Pcode]],CampList[CP_Pcode],0)-1,0,1,1))</f>
        <v>P4</v>
      </c>
      <c r="AU644" s="293">
        <f>IFERROR(Table_NFI[[#This Row],[Kitchen Set]]/VLOOKUP(Table_NFI[[#This Row],[Camp Name]],CL,4,0),"")</f>
        <v>1.8675512962280379E-2</v>
      </c>
      <c r="AV644" s="461" t="s">
        <v>1092</v>
      </c>
      <c r="AW644" s="463"/>
    </row>
    <row r="645" spans="1:49" ht="14.45" customHeight="1" x14ac:dyDescent="0.25">
      <c r="A645" s="297">
        <f t="shared" si="9"/>
        <v>40.233333333333334</v>
      </c>
      <c r="B645" s="460">
        <v>41529</v>
      </c>
      <c r="C645" s="461" t="s">
        <v>452</v>
      </c>
      <c r="D645" s="461" t="s">
        <v>452</v>
      </c>
      <c r="E645" s="461" t="s">
        <v>380</v>
      </c>
      <c r="F645" s="290" t="s">
        <v>185</v>
      </c>
      <c r="G645" s="290" t="s">
        <v>215</v>
      </c>
      <c r="H645" s="291"/>
      <c r="I645" s="291"/>
      <c r="J645" s="291">
        <v>640</v>
      </c>
      <c r="K645" s="291">
        <v>640</v>
      </c>
      <c r="L645" s="292">
        <v>320</v>
      </c>
      <c r="M645" s="292">
        <v>320</v>
      </c>
      <c r="N645" s="292">
        <v>320</v>
      </c>
      <c r="O645" s="292">
        <v>320</v>
      </c>
      <c r="P645" s="294">
        <v>640</v>
      </c>
      <c r="Q645" s="294">
        <v>320</v>
      </c>
      <c r="R645" s="294"/>
      <c r="S645" s="294"/>
      <c r="T645" s="294"/>
      <c r="U645" s="294"/>
      <c r="V645" s="431"/>
      <c r="W645" s="294"/>
      <c r="X645" s="294"/>
      <c r="Y645" s="294">
        <f>IF(NFI_Expiration=1,IF($A645&lt;VLOOKUP(H$5,NFI,5,0),1,0)*Table_NFI[[#This Row],[Hygiene Kit]],Table_NFI[Hygiene Kit])</f>
        <v>0</v>
      </c>
      <c r="Z645" s="294">
        <f>IF(NFI_Expiration=1,IF($A645&lt;VLOOKUP(I$5,NFI,5,0),1,0)*Table_NFI[[#This Row],[NFI Core Kit]],Table_NFI[NFI Core Kit])</f>
        <v>0</v>
      </c>
      <c r="AA645" s="294">
        <f>IF(NFI_Expiration=1,IF($A645&lt;VLOOKUP(J$5,NFI,5,0),1,0)*Table_NFI[[#This Row],[Sanitary Kit]],Table_NFI[Sanitary Kit])</f>
        <v>0</v>
      </c>
      <c r="AB645" s="294">
        <f>IF(NFI_Expiration=1,IF($A645&lt;VLOOKUP(K$5,NFI,5,0),1,0)*Table_NFI[[#This Row],[Mosquito net]],Table_NFI[Mosquito net])</f>
        <v>0</v>
      </c>
      <c r="AC645" s="294">
        <f>IF(NFI_Expiration=1,IF($A645&lt;VLOOKUP(L$5,NFI,5,0),1,0)*Table_NFI[[#This Row],[Tarpaulin]],Table_NFI[[#This Row],[Tarpaulin]])</f>
        <v>0</v>
      </c>
      <c r="AD645" s="294">
        <f>IF(NFI_Expiration=1,IF($A645&lt;VLOOKUP(M$5,NFI,5,0),1,0)*Table_NFI[[#This Row],[Blanket]],Table_NFI[[#This Row],[Blanket]])</f>
        <v>0</v>
      </c>
      <c r="AE645" s="294">
        <f>IF(NFI_Expiration=1,IF($A645&lt;VLOOKUP(N$5,NFI,5,0),1,0)*Table_NFI[[#This Row],[Kitchen Set]],Table_NFI[Kitchen Set])</f>
        <v>0</v>
      </c>
      <c r="AF645" s="294">
        <f>IF(NFI_Expiration=1,IF($A645&lt;VLOOKUP(O$5,NFI,5,0),1,0)*Table_NFI[[#This Row],[Clothes Kit]],Table_NFI[Clothes Kit])</f>
        <v>0</v>
      </c>
      <c r="AG645" s="294">
        <f>IF(NFI_Expiration=1,IF($A645&lt;VLOOKUP(P$5,NFI,5,0),1,0)*Table_NFI[[#This Row],[Plastic Bucket]],Table_NFI[Plastic Bucket])</f>
        <v>0</v>
      </c>
      <c r="AH645" s="294">
        <f>IF(NFI_Expiration=1,IF($A645&lt;VLOOKUP(Q$5,NFI,5,0),1,0)*Table_NFI[[#This Row],[Plastic Mat]],Table_NFI[Plastic Mat])*IF(Table_NFI[[#This Row],[Distribution Date]]&gt;"2014-04-01",1,2.5)</f>
        <v>0</v>
      </c>
      <c r="AI645" s="294">
        <f>IF(NFI_Expiration=1,IF($A645&lt;VLOOKUP(R$5,NFI,5,0),1,0)*Table_NFI[[#This Row],[Winter Clothes Adult]],Table_NFI[Winter Clothes Adult])</f>
        <v>0</v>
      </c>
      <c r="AJ645" s="294">
        <f>IF(NFI_Expiration=1,IF($A645&lt;VLOOKUP(S$5,NFI,5,0),1,0)*Table_NFI[[#This Row],[Winter Clothes Children]],Table_NFI[Winter Clothes Children])</f>
        <v>0</v>
      </c>
      <c r="AK645" s="294">
        <f>IF(NFI_Expiration=1,IF($A645&lt;VLOOKUP(T$5,NFI,5,0),1,0)*Table_NFI[[#This Row],[Winter Items Other]],Table_NFI[Winter Items Other])</f>
        <v>0</v>
      </c>
      <c r="AL645" s="294">
        <f>IF(NFI_Expiration=1,IF($A645&lt;VLOOKUP(M$5,NFI,5,0),1,0)*Table_NFI[[#This Row],[Winter Blanket]],Table_NFI[[#This Row],[Winter Blanket]])</f>
        <v>0</v>
      </c>
      <c r="AM645" s="294">
        <f>IF(Table_NFI[[#This Row],[Winter Clothes Adult]]+Table_NFI[[#This Row],[Winter Clothes Children]]+Table_NFI[[#This Row],[Winter Items Other]]+Table_NFI[[#This Row],[Winter Blanket]]&gt;0,1,0)</f>
        <v>0</v>
      </c>
      <c r="AN645" s="331">
        <f>IF(NFI_Expiration=1,IF($A645&lt;VLOOKUP(V$5,NFI,5,0),1,0)*Table_NFI[[#This Row],[Jerry Can]],Table_NFI[Jerry Can])</f>
        <v>0</v>
      </c>
      <c r="AO645" s="331">
        <f>IF(NFI_Expiration=1,IF($A645&lt;VLOOKUP(V$5,NFI,5,0),1,0)*Table_NFI[[#This Row],[Shelter Tool kit]],Table_NFI[Shelter Tool kit])</f>
        <v>0</v>
      </c>
      <c r="AP645" s="331">
        <f>IF(NFI_Expiration=1,IF($A645&lt;VLOOKUP(V$5,NFI,5,0),1,0)*Table_NFI[[#This Row],[Tent]],Table_NFI[Tent])</f>
        <v>0</v>
      </c>
      <c r="AQ645" s="467" t="str">
        <f>IFERROR(VLOOKUP(Table_NFI[[#This Row],[Camp Name]],CL,2,0),"")</f>
        <v>MMR001CMP131</v>
      </c>
      <c r="AR645" s="835">
        <f ca="1">IF(Table_NFI[[#This Row],[Pcode]]="","",IF(OFFSET(CampList[Opening Date],MATCH(Table_NFI[[#This Row],[Pcode]],CampList[CP_Pcode],0)-1,0,1,1)&gt;=NFI_Monitor_Date,1,0))</f>
        <v>0</v>
      </c>
      <c r="AS645" s="467" t="str">
        <f>IFERROR(VLOOKUP(Table_NFI[[#This Row],[Camp Name]],CL,3,0),"")</f>
        <v>Open</v>
      </c>
      <c r="AT645" s="294" t="str">
        <f ca="1">IF(Table_NFI[[#This Row],[Pcode]]="","",OFFSET(CampList[Priority],MATCH(Table_NFI[[#This Row],[Pcode]],CampList[CP_Pcode],0)-1,0,1,1))</f>
        <v>P1</v>
      </c>
      <c r="AU645" s="293">
        <f>IFERROR(Table_NFI[[#This Row],[Kitchen Set]]/VLOOKUP(Table_NFI[[#This Row],[Camp Name]],CL,4,0),"")</f>
        <v>7.8048780487804878E-3</v>
      </c>
      <c r="AV645" s="461" t="s">
        <v>1092</v>
      </c>
      <c r="AW645" s="463"/>
    </row>
    <row r="646" spans="1:49" ht="14.45" customHeight="1" x14ac:dyDescent="0.25">
      <c r="A646" s="297">
        <f t="shared" ref="A646:A709" si="10">IF(ISBLANK(B646),"",(Report_Date-B646)/30)</f>
        <v>41.233333333333334</v>
      </c>
      <c r="B646" s="460">
        <v>41499</v>
      </c>
      <c r="C646" s="461" t="s">
        <v>452</v>
      </c>
      <c r="D646" s="461" t="s">
        <v>506</v>
      </c>
      <c r="E646" s="461" t="s">
        <v>553</v>
      </c>
      <c r="F646" s="461" t="s">
        <v>166</v>
      </c>
      <c r="G646" s="290" t="s">
        <v>12</v>
      </c>
      <c r="H646" s="291"/>
      <c r="I646" s="291"/>
      <c r="J646" s="291">
        <v>49</v>
      </c>
      <c r="K646" s="291">
        <v>90</v>
      </c>
      <c r="L646" s="292">
        <v>30</v>
      </c>
      <c r="M646" s="292">
        <v>90</v>
      </c>
      <c r="N646" s="292">
        <v>30</v>
      </c>
      <c r="O646" s="292">
        <v>30</v>
      </c>
      <c r="P646" s="294">
        <v>30</v>
      </c>
      <c r="Q646" s="294">
        <v>30</v>
      </c>
      <c r="R646" s="294"/>
      <c r="S646" s="294"/>
      <c r="T646" s="294"/>
      <c r="U646" s="294"/>
      <c r="V646" s="431"/>
      <c r="W646" s="294"/>
      <c r="X646" s="294"/>
      <c r="Y646" s="294">
        <f>IF(NFI_Expiration=1,IF($A646&lt;VLOOKUP(H$5,NFI,5,0),1,0)*Table_NFI[[#This Row],[Hygiene Kit]],Table_NFI[Hygiene Kit])</f>
        <v>0</v>
      </c>
      <c r="Z646" s="294">
        <f>IF(NFI_Expiration=1,IF($A646&lt;VLOOKUP(I$5,NFI,5,0),1,0)*Table_NFI[[#This Row],[NFI Core Kit]],Table_NFI[NFI Core Kit])</f>
        <v>0</v>
      </c>
      <c r="AA646" s="294">
        <f>IF(NFI_Expiration=1,IF($A646&lt;VLOOKUP(J$5,NFI,5,0),1,0)*Table_NFI[[#This Row],[Sanitary Kit]],Table_NFI[Sanitary Kit])</f>
        <v>0</v>
      </c>
      <c r="AB646" s="294">
        <f>IF(NFI_Expiration=1,IF($A646&lt;VLOOKUP(K$5,NFI,5,0),1,0)*Table_NFI[[#This Row],[Mosquito net]],Table_NFI[Mosquito net])</f>
        <v>0</v>
      </c>
      <c r="AC646" s="294">
        <f>IF(NFI_Expiration=1,IF($A646&lt;VLOOKUP(L$5,NFI,5,0),1,0)*Table_NFI[[#This Row],[Tarpaulin]],Table_NFI[[#This Row],[Tarpaulin]])</f>
        <v>0</v>
      </c>
      <c r="AD646" s="294">
        <f>IF(NFI_Expiration=1,IF($A646&lt;VLOOKUP(M$5,NFI,5,0),1,0)*Table_NFI[[#This Row],[Blanket]],Table_NFI[[#This Row],[Blanket]])</f>
        <v>0</v>
      </c>
      <c r="AE646" s="294">
        <f>IF(NFI_Expiration=1,IF($A646&lt;VLOOKUP(N$5,NFI,5,0),1,0)*Table_NFI[[#This Row],[Kitchen Set]],Table_NFI[Kitchen Set])</f>
        <v>0</v>
      </c>
      <c r="AF646" s="294">
        <f>IF(NFI_Expiration=1,IF($A646&lt;VLOOKUP(O$5,NFI,5,0),1,0)*Table_NFI[[#This Row],[Clothes Kit]],Table_NFI[Clothes Kit])</f>
        <v>0</v>
      </c>
      <c r="AG646" s="294">
        <f>IF(NFI_Expiration=1,IF($A646&lt;VLOOKUP(P$5,NFI,5,0),1,0)*Table_NFI[[#This Row],[Plastic Bucket]],Table_NFI[Plastic Bucket])</f>
        <v>0</v>
      </c>
      <c r="AH646" s="294">
        <f>IF(NFI_Expiration=1,IF($A646&lt;VLOOKUP(Q$5,NFI,5,0),1,0)*Table_NFI[[#This Row],[Plastic Mat]],Table_NFI[Plastic Mat])*IF(Table_NFI[[#This Row],[Distribution Date]]&gt;"2014-04-01",1,2.5)</f>
        <v>0</v>
      </c>
      <c r="AI646" s="294">
        <f>IF(NFI_Expiration=1,IF($A646&lt;VLOOKUP(R$5,NFI,5,0),1,0)*Table_NFI[[#This Row],[Winter Clothes Adult]],Table_NFI[Winter Clothes Adult])</f>
        <v>0</v>
      </c>
      <c r="AJ646" s="294">
        <f>IF(NFI_Expiration=1,IF($A646&lt;VLOOKUP(S$5,NFI,5,0),1,0)*Table_NFI[[#This Row],[Winter Clothes Children]],Table_NFI[Winter Clothes Children])</f>
        <v>0</v>
      </c>
      <c r="AK646" s="294">
        <f>IF(NFI_Expiration=1,IF($A646&lt;VLOOKUP(T$5,NFI,5,0),1,0)*Table_NFI[[#This Row],[Winter Items Other]],Table_NFI[Winter Items Other])</f>
        <v>0</v>
      </c>
      <c r="AL646" s="294">
        <f>IF(NFI_Expiration=1,IF($A646&lt;VLOOKUP(M$5,NFI,5,0),1,0)*Table_NFI[[#This Row],[Winter Blanket]],Table_NFI[[#This Row],[Winter Blanket]])</f>
        <v>0</v>
      </c>
      <c r="AM646" s="294">
        <f>IF(Table_NFI[[#This Row],[Winter Clothes Adult]]+Table_NFI[[#This Row],[Winter Clothes Children]]+Table_NFI[[#This Row],[Winter Items Other]]+Table_NFI[[#This Row],[Winter Blanket]]&gt;0,1,0)</f>
        <v>0</v>
      </c>
      <c r="AN646" s="331">
        <f>IF(NFI_Expiration=1,IF($A646&lt;VLOOKUP(V$5,NFI,5,0),1,0)*Table_NFI[[#This Row],[Jerry Can]],Table_NFI[Jerry Can])</f>
        <v>0</v>
      </c>
      <c r="AO646" s="331">
        <f>IF(NFI_Expiration=1,IF($A646&lt;VLOOKUP(V$5,NFI,5,0),1,0)*Table_NFI[[#This Row],[Shelter Tool kit]],Table_NFI[Shelter Tool kit])</f>
        <v>0</v>
      </c>
      <c r="AP646" s="331">
        <f>IF(NFI_Expiration=1,IF($A646&lt;VLOOKUP(V$5,NFI,5,0),1,0)*Table_NFI[[#This Row],[Tent]],Table_NFI[Tent])</f>
        <v>0</v>
      </c>
      <c r="AQ646" s="467" t="str">
        <f>IFERROR(VLOOKUP(Table_NFI[[#This Row],[Camp Name]],CL,2,0),"")</f>
        <v>MMR001CMP163</v>
      </c>
      <c r="AR646" s="835">
        <f ca="1">IF(Table_NFI[[#This Row],[Pcode]]="","",IF(OFFSET(CampList[Opening Date],MATCH(Table_NFI[[#This Row],[Pcode]],CampList[CP_Pcode],0)-1,0,1,1)&gt;=NFI_Monitor_Date,1,0))</f>
        <v>0</v>
      </c>
      <c r="AS646" s="467" t="str">
        <f>IFERROR(VLOOKUP(Table_NFI[[#This Row],[Camp Name]],CL,3,0),"")</f>
        <v>Open</v>
      </c>
      <c r="AT646" s="294" t="str">
        <f ca="1">IF(Table_NFI[[#This Row],[Pcode]]="","",OFFSET(CampList[Priority],MATCH(Table_NFI[[#This Row],[Pcode]],CampList[CP_Pcode],0)-1,0,1,1))</f>
        <v>P4</v>
      </c>
      <c r="AU646" s="293" t="str">
        <f>IFERROR(Table_NFI[[#This Row],[Kitchen Set]]/VLOOKUP(Table_NFI[[#This Row],[Camp Name]],CL,4,0),"")</f>
        <v/>
      </c>
      <c r="AV646" s="461" t="s">
        <v>1092</v>
      </c>
      <c r="AW646" s="463"/>
    </row>
    <row r="647" spans="1:49" ht="14.45" customHeight="1" x14ac:dyDescent="0.25">
      <c r="A647" s="297">
        <f t="shared" si="10"/>
        <v>41.233333333333334</v>
      </c>
      <c r="B647" s="460">
        <v>41499</v>
      </c>
      <c r="C647" s="461" t="s">
        <v>452</v>
      </c>
      <c r="D647" s="461" t="s">
        <v>460</v>
      </c>
      <c r="E647" s="461" t="s">
        <v>553</v>
      </c>
      <c r="F647" s="461" t="s">
        <v>146</v>
      </c>
      <c r="G647" s="290" t="s">
        <v>372</v>
      </c>
      <c r="H647" s="291"/>
      <c r="I647" s="291"/>
      <c r="J647" s="291">
        <v>70</v>
      </c>
      <c r="K647" s="291">
        <v>120</v>
      </c>
      <c r="L647" s="292">
        <v>48</v>
      </c>
      <c r="M647" s="292">
        <v>120</v>
      </c>
      <c r="N647" s="292">
        <v>48</v>
      </c>
      <c r="O647" s="292">
        <v>48</v>
      </c>
      <c r="P647" s="294">
        <v>48</v>
      </c>
      <c r="Q647" s="294">
        <v>48</v>
      </c>
      <c r="R647" s="294"/>
      <c r="S647" s="294"/>
      <c r="T647" s="294"/>
      <c r="U647" s="294"/>
      <c r="V647" s="431"/>
      <c r="W647" s="294"/>
      <c r="X647" s="294"/>
      <c r="Y647" s="294">
        <f>IF(NFI_Expiration=1,IF($A647&lt;VLOOKUP(H$5,NFI,5,0),1,0)*Table_NFI[[#This Row],[Hygiene Kit]],Table_NFI[Hygiene Kit])</f>
        <v>0</v>
      </c>
      <c r="Z647" s="294">
        <f>IF(NFI_Expiration=1,IF($A647&lt;VLOOKUP(I$5,NFI,5,0),1,0)*Table_NFI[[#This Row],[NFI Core Kit]],Table_NFI[NFI Core Kit])</f>
        <v>0</v>
      </c>
      <c r="AA647" s="294">
        <f>IF(NFI_Expiration=1,IF($A647&lt;VLOOKUP(J$5,NFI,5,0),1,0)*Table_NFI[[#This Row],[Sanitary Kit]],Table_NFI[Sanitary Kit])</f>
        <v>0</v>
      </c>
      <c r="AB647" s="294">
        <f>IF(NFI_Expiration=1,IF($A647&lt;VLOOKUP(K$5,NFI,5,0),1,0)*Table_NFI[[#This Row],[Mosquito net]],Table_NFI[Mosquito net])</f>
        <v>0</v>
      </c>
      <c r="AC647" s="294">
        <f>IF(NFI_Expiration=1,IF($A647&lt;VLOOKUP(L$5,NFI,5,0),1,0)*Table_NFI[[#This Row],[Tarpaulin]],Table_NFI[[#This Row],[Tarpaulin]])</f>
        <v>0</v>
      </c>
      <c r="AD647" s="294">
        <f>IF(NFI_Expiration=1,IF($A647&lt;VLOOKUP(M$5,NFI,5,0),1,0)*Table_NFI[[#This Row],[Blanket]],Table_NFI[[#This Row],[Blanket]])</f>
        <v>0</v>
      </c>
      <c r="AE647" s="294">
        <f>IF(NFI_Expiration=1,IF($A647&lt;VLOOKUP(N$5,NFI,5,0),1,0)*Table_NFI[[#This Row],[Kitchen Set]],Table_NFI[Kitchen Set])</f>
        <v>0</v>
      </c>
      <c r="AF647" s="294">
        <f>IF(NFI_Expiration=1,IF($A647&lt;VLOOKUP(O$5,NFI,5,0),1,0)*Table_NFI[[#This Row],[Clothes Kit]],Table_NFI[Clothes Kit])</f>
        <v>0</v>
      </c>
      <c r="AG647" s="294">
        <f>IF(NFI_Expiration=1,IF($A647&lt;VLOOKUP(P$5,NFI,5,0),1,0)*Table_NFI[[#This Row],[Plastic Bucket]],Table_NFI[Plastic Bucket])</f>
        <v>0</v>
      </c>
      <c r="AH647" s="294">
        <f>IF(NFI_Expiration=1,IF($A647&lt;VLOOKUP(Q$5,NFI,5,0),1,0)*Table_NFI[[#This Row],[Plastic Mat]],Table_NFI[Plastic Mat])*IF(Table_NFI[[#This Row],[Distribution Date]]&gt;"2014-04-01",1,2.5)</f>
        <v>0</v>
      </c>
      <c r="AI647" s="294">
        <f>IF(NFI_Expiration=1,IF($A647&lt;VLOOKUP(R$5,NFI,5,0),1,0)*Table_NFI[[#This Row],[Winter Clothes Adult]],Table_NFI[Winter Clothes Adult])</f>
        <v>0</v>
      </c>
      <c r="AJ647" s="294">
        <f>IF(NFI_Expiration=1,IF($A647&lt;VLOOKUP(S$5,NFI,5,0),1,0)*Table_NFI[[#This Row],[Winter Clothes Children]],Table_NFI[Winter Clothes Children])</f>
        <v>0</v>
      </c>
      <c r="AK647" s="294">
        <f>IF(NFI_Expiration=1,IF($A647&lt;VLOOKUP(T$5,NFI,5,0),1,0)*Table_NFI[[#This Row],[Winter Items Other]],Table_NFI[Winter Items Other])</f>
        <v>0</v>
      </c>
      <c r="AL647" s="294">
        <f>IF(NFI_Expiration=1,IF($A647&lt;VLOOKUP(M$5,NFI,5,0),1,0)*Table_NFI[[#This Row],[Winter Blanket]],Table_NFI[[#This Row],[Winter Blanket]])</f>
        <v>0</v>
      </c>
      <c r="AM647" s="294">
        <f>IF(Table_NFI[[#This Row],[Winter Clothes Adult]]+Table_NFI[[#This Row],[Winter Clothes Children]]+Table_NFI[[#This Row],[Winter Items Other]]+Table_NFI[[#This Row],[Winter Blanket]]&gt;0,1,0)</f>
        <v>0</v>
      </c>
      <c r="AN647" s="331">
        <f>IF(NFI_Expiration=1,IF($A647&lt;VLOOKUP(V$5,NFI,5,0),1,0)*Table_NFI[[#This Row],[Jerry Can]],Table_NFI[Jerry Can])</f>
        <v>0</v>
      </c>
      <c r="AO647" s="331">
        <f>IF(NFI_Expiration=1,IF($A647&lt;VLOOKUP(V$5,NFI,5,0),1,0)*Table_NFI[[#This Row],[Shelter Tool kit]],Table_NFI[Shelter Tool kit])</f>
        <v>0</v>
      </c>
      <c r="AP647" s="331">
        <f>IF(NFI_Expiration=1,IF($A647&lt;VLOOKUP(V$5,NFI,5,0),1,0)*Table_NFI[[#This Row],[Tent]],Table_NFI[Tent])</f>
        <v>0</v>
      </c>
      <c r="AQ647" s="467" t="str">
        <f>IFERROR(VLOOKUP(Table_NFI[[#This Row],[Camp Name]],CL,2,0),"")</f>
        <v>MMR015CMP015</v>
      </c>
      <c r="AR647" s="835">
        <f ca="1">IF(Table_NFI[[#This Row],[Pcode]]="","",IF(OFFSET(CampList[Opening Date],MATCH(Table_NFI[[#This Row],[Pcode]],CampList[CP_Pcode],0)-1,0,1,1)&gt;=NFI_Monitor_Date,1,0))</f>
        <v>0</v>
      </c>
      <c r="AS647" s="467" t="str">
        <f>IFERROR(VLOOKUP(Table_NFI[[#This Row],[Camp Name]],CL,3,0),"")</f>
        <v>Open</v>
      </c>
      <c r="AT647" s="294" t="str">
        <f ca="1">IF(Table_NFI[[#This Row],[Pcode]]="","",OFFSET(CampList[Priority],MATCH(Table_NFI[[#This Row],[Pcode]],CampList[CP_Pcode],0)-1,0,1,1))</f>
        <v>P3</v>
      </c>
      <c r="AU647" s="293">
        <f>IFERROR(Table_NFI[[#This Row],[Kitchen Set]]/VLOOKUP(Table_NFI[[#This Row],[Camp Name]],CL,4,0),"")</f>
        <v>1.162931556632344E-3</v>
      </c>
      <c r="AV647" s="461" t="s">
        <v>1092</v>
      </c>
      <c r="AW647" s="463"/>
    </row>
    <row r="648" spans="1:49" ht="14.45" customHeight="1" x14ac:dyDescent="0.25">
      <c r="A648" s="297">
        <f t="shared" si="10"/>
        <v>41.233333333333334</v>
      </c>
      <c r="B648" s="460">
        <v>41499</v>
      </c>
      <c r="C648" s="461" t="s">
        <v>452</v>
      </c>
      <c r="D648" s="462" t="s">
        <v>506</v>
      </c>
      <c r="E648" s="461" t="s">
        <v>553</v>
      </c>
      <c r="F648" s="290" t="s">
        <v>146</v>
      </c>
      <c r="G648" s="290" t="s">
        <v>370</v>
      </c>
      <c r="H648" s="291"/>
      <c r="I648" s="291"/>
      <c r="J648" s="291">
        <v>47</v>
      </c>
      <c r="K648" s="291">
        <v>103</v>
      </c>
      <c r="L648" s="292">
        <v>41</v>
      </c>
      <c r="M648" s="292">
        <v>103</v>
      </c>
      <c r="N648" s="292">
        <v>41</v>
      </c>
      <c r="O648" s="292">
        <v>41</v>
      </c>
      <c r="P648" s="294">
        <v>41</v>
      </c>
      <c r="Q648" s="294">
        <v>41</v>
      </c>
      <c r="R648" s="294"/>
      <c r="S648" s="294"/>
      <c r="T648" s="294"/>
      <c r="U648" s="294"/>
      <c r="V648" s="431"/>
      <c r="W648" s="294"/>
      <c r="X648" s="294"/>
      <c r="Y648" s="294">
        <f>IF(NFI_Expiration=1,IF($A648&lt;VLOOKUP(H$5,NFI,5,0),1,0)*Table_NFI[[#This Row],[Hygiene Kit]],Table_NFI[Hygiene Kit])</f>
        <v>0</v>
      </c>
      <c r="Z648" s="294">
        <f>IF(NFI_Expiration=1,IF($A648&lt;VLOOKUP(I$5,NFI,5,0),1,0)*Table_NFI[[#This Row],[NFI Core Kit]],Table_NFI[NFI Core Kit])</f>
        <v>0</v>
      </c>
      <c r="AA648" s="294">
        <f>IF(NFI_Expiration=1,IF($A648&lt;VLOOKUP(J$5,NFI,5,0),1,0)*Table_NFI[[#This Row],[Sanitary Kit]],Table_NFI[Sanitary Kit])</f>
        <v>0</v>
      </c>
      <c r="AB648" s="294">
        <f>IF(NFI_Expiration=1,IF($A648&lt;VLOOKUP(K$5,NFI,5,0),1,0)*Table_NFI[[#This Row],[Mosquito net]],Table_NFI[Mosquito net])</f>
        <v>0</v>
      </c>
      <c r="AC648" s="294">
        <f>IF(NFI_Expiration=1,IF($A648&lt;VLOOKUP(L$5,NFI,5,0),1,0)*Table_NFI[[#This Row],[Tarpaulin]],Table_NFI[[#This Row],[Tarpaulin]])</f>
        <v>0</v>
      </c>
      <c r="AD648" s="294">
        <f>IF(NFI_Expiration=1,IF($A648&lt;VLOOKUP(M$5,NFI,5,0),1,0)*Table_NFI[[#This Row],[Blanket]],Table_NFI[[#This Row],[Blanket]])</f>
        <v>0</v>
      </c>
      <c r="AE648" s="294">
        <f>IF(NFI_Expiration=1,IF($A648&lt;VLOOKUP(N$5,NFI,5,0),1,0)*Table_NFI[[#This Row],[Kitchen Set]],Table_NFI[Kitchen Set])</f>
        <v>0</v>
      </c>
      <c r="AF648" s="294">
        <f>IF(NFI_Expiration=1,IF($A648&lt;VLOOKUP(O$5,NFI,5,0),1,0)*Table_NFI[[#This Row],[Clothes Kit]],Table_NFI[Clothes Kit])</f>
        <v>0</v>
      </c>
      <c r="AG648" s="294">
        <f>IF(NFI_Expiration=1,IF($A648&lt;VLOOKUP(P$5,NFI,5,0),1,0)*Table_NFI[[#This Row],[Plastic Bucket]],Table_NFI[Plastic Bucket])</f>
        <v>0</v>
      </c>
      <c r="AH648" s="294">
        <f>IF(NFI_Expiration=1,IF($A648&lt;VLOOKUP(Q$5,NFI,5,0),1,0)*Table_NFI[[#This Row],[Plastic Mat]],Table_NFI[Plastic Mat])*IF(Table_NFI[[#This Row],[Distribution Date]]&gt;"2014-04-01",1,2.5)</f>
        <v>0</v>
      </c>
      <c r="AI648" s="294">
        <f>IF(NFI_Expiration=1,IF($A648&lt;VLOOKUP(R$5,NFI,5,0),1,0)*Table_NFI[[#This Row],[Winter Clothes Adult]],Table_NFI[Winter Clothes Adult])</f>
        <v>0</v>
      </c>
      <c r="AJ648" s="294">
        <f>IF(NFI_Expiration=1,IF($A648&lt;VLOOKUP(S$5,NFI,5,0),1,0)*Table_NFI[[#This Row],[Winter Clothes Children]],Table_NFI[Winter Clothes Children])</f>
        <v>0</v>
      </c>
      <c r="AK648" s="294">
        <f>IF(NFI_Expiration=1,IF($A648&lt;VLOOKUP(T$5,NFI,5,0),1,0)*Table_NFI[[#This Row],[Winter Items Other]],Table_NFI[Winter Items Other])</f>
        <v>0</v>
      </c>
      <c r="AL648" s="294">
        <f>IF(NFI_Expiration=1,IF($A648&lt;VLOOKUP(M$5,NFI,5,0),1,0)*Table_NFI[[#This Row],[Winter Blanket]],Table_NFI[[#This Row],[Winter Blanket]])</f>
        <v>0</v>
      </c>
      <c r="AM648" s="294">
        <f>IF(Table_NFI[[#This Row],[Winter Clothes Adult]]+Table_NFI[[#This Row],[Winter Clothes Children]]+Table_NFI[[#This Row],[Winter Items Other]]+Table_NFI[[#This Row],[Winter Blanket]]&gt;0,1,0)</f>
        <v>0</v>
      </c>
      <c r="AN648" s="331">
        <f>IF(NFI_Expiration=1,IF($A648&lt;VLOOKUP(V$5,NFI,5,0),1,0)*Table_NFI[[#This Row],[Jerry Can]],Table_NFI[Jerry Can])</f>
        <v>0</v>
      </c>
      <c r="AO648" s="331">
        <f>IF(NFI_Expiration=1,IF($A648&lt;VLOOKUP(V$5,NFI,5,0),1,0)*Table_NFI[[#This Row],[Shelter Tool kit]],Table_NFI[Shelter Tool kit])</f>
        <v>0</v>
      </c>
      <c r="AP648" s="331">
        <f>IF(NFI_Expiration=1,IF($A648&lt;VLOOKUP(V$5,NFI,5,0),1,0)*Table_NFI[[#This Row],[Tent]],Table_NFI[Tent])</f>
        <v>0</v>
      </c>
      <c r="AQ648" s="467" t="str">
        <f>IFERROR(VLOOKUP(Table_NFI[[#This Row],[Camp Name]],CL,2,0),"")</f>
        <v>MMR015CMP017</v>
      </c>
      <c r="AR648" s="835">
        <f ca="1">IF(Table_NFI[[#This Row],[Pcode]]="","",IF(OFFSET(CampList[Opening Date],MATCH(Table_NFI[[#This Row],[Pcode]],CampList[CP_Pcode],0)-1,0,1,1)&gt;=NFI_Monitor_Date,1,0))</f>
        <v>0</v>
      </c>
      <c r="AS648" s="467" t="str">
        <f>IFERROR(VLOOKUP(Table_NFI[[#This Row],[Camp Name]],CL,3,0),"")</f>
        <v>Open</v>
      </c>
      <c r="AT648" s="294" t="str">
        <f ca="1">IF(Table_NFI[[#This Row],[Pcode]]="","",OFFSET(CampList[Priority],MATCH(Table_NFI[[#This Row],[Pcode]],CampList[CP_Pcode],0)-1,0,1,1))</f>
        <v>P3</v>
      </c>
      <c r="AU648" s="293">
        <f>IFERROR(Table_NFI[[#This Row],[Kitchen Set]]/VLOOKUP(Table_NFI[[#This Row],[Camp Name]],CL,4,0),"")</f>
        <v>9.9408398797400837E-4</v>
      </c>
      <c r="AV648" s="461" t="s">
        <v>1092</v>
      </c>
      <c r="AW648" s="463"/>
    </row>
    <row r="649" spans="1:49" ht="14.45" customHeight="1" x14ac:dyDescent="0.25">
      <c r="A649" s="297">
        <f t="shared" si="10"/>
        <v>41.233333333333334</v>
      </c>
      <c r="B649" s="460">
        <v>41499</v>
      </c>
      <c r="C649" s="461" t="s">
        <v>452</v>
      </c>
      <c r="D649" s="462" t="s">
        <v>460</v>
      </c>
      <c r="E649" s="461" t="s">
        <v>553</v>
      </c>
      <c r="F649" s="290" t="s">
        <v>166</v>
      </c>
      <c r="G649" s="290" t="s">
        <v>167</v>
      </c>
      <c r="H649" s="291"/>
      <c r="I649" s="291"/>
      <c r="J649" s="291">
        <v>36</v>
      </c>
      <c r="K649" s="291">
        <v>84</v>
      </c>
      <c r="L649" s="292">
        <v>42</v>
      </c>
      <c r="M649" s="292">
        <v>84</v>
      </c>
      <c r="N649" s="292">
        <v>42</v>
      </c>
      <c r="O649" s="292">
        <v>42</v>
      </c>
      <c r="P649" s="294">
        <v>42</v>
      </c>
      <c r="Q649" s="294">
        <v>42</v>
      </c>
      <c r="R649" s="294"/>
      <c r="S649" s="294"/>
      <c r="T649" s="294"/>
      <c r="U649" s="294"/>
      <c r="V649" s="431"/>
      <c r="W649" s="294"/>
      <c r="X649" s="294"/>
      <c r="Y649" s="294">
        <f>IF(NFI_Expiration=1,IF($A649&lt;VLOOKUP(H$5,NFI,5,0),1,0)*Table_NFI[[#This Row],[Hygiene Kit]],Table_NFI[Hygiene Kit])</f>
        <v>0</v>
      </c>
      <c r="Z649" s="294">
        <f>IF(NFI_Expiration=1,IF($A649&lt;VLOOKUP(I$5,NFI,5,0),1,0)*Table_NFI[[#This Row],[NFI Core Kit]],Table_NFI[NFI Core Kit])</f>
        <v>0</v>
      </c>
      <c r="AA649" s="294">
        <f>IF(NFI_Expiration=1,IF($A649&lt;VLOOKUP(J$5,NFI,5,0),1,0)*Table_NFI[[#This Row],[Sanitary Kit]],Table_NFI[Sanitary Kit])</f>
        <v>0</v>
      </c>
      <c r="AB649" s="294">
        <f>IF(NFI_Expiration=1,IF($A649&lt;VLOOKUP(K$5,NFI,5,0),1,0)*Table_NFI[[#This Row],[Mosquito net]],Table_NFI[Mosquito net])</f>
        <v>0</v>
      </c>
      <c r="AC649" s="294">
        <f>IF(NFI_Expiration=1,IF($A649&lt;VLOOKUP(L$5,NFI,5,0),1,0)*Table_NFI[[#This Row],[Tarpaulin]],Table_NFI[[#This Row],[Tarpaulin]])</f>
        <v>0</v>
      </c>
      <c r="AD649" s="294">
        <f>IF(NFI_Expiration=1,IF($A649&lt;VLOOKUP(M$5,NFI,5,0),1,0)*Table_NFI[[#This Row],[Blanket]],Table_NFI[[#This Row],[Blanket]])</f>
        <v>0</v>
      </c>
      <c r="AE649" s="294">
        <f>IF(NFI_Expiration=1,IF($A649&lt;VLOOKUP(N$5,NFI,5,0),1,0)*Table_NFI[[#This Row],[Kitchen Set]],Table_NFI[Kitchen Set])</f>
        <v>0</v>
      </c>
      <c r="AF649" s="294">
        <f>IF(NFI_Expiration=1,IF($A649&lt;VLOOKUP(O$5,NFI,5,0),1,0)*Table_NFI[[#This Row],[Clothes Kit]],Table_NFI[Clothes Kit])</f>
        <v>0</v>
      </c>
      <c r="AG649" s="294">
        <f>IF(NFI_Expiration=1,IF($A649&lt;VLOOKUP(P$5,NFI,5,0),1,0)*Table_NFI[[#This Row],[Plastic Bucket]],Table_NFI[Plastic Bucket])</f>
        <v>0</v>
      </c>
      <c r="AH649" s="294">
        <f>IF(NFI_Expiration=1,IF($A649&lt;VLOOKUP(Q$5,NFI,5,0),1,0)*Table_NFI[[#This Row],[Plastic Mat]],Table_NFI[Plastic Mat])*IF(Table_NFI[[#This Row],[Distribution Date]]&gt;"2014-04-01",1,2.5)</f>
        <v>0</v>
      </c>
      <c r="AI649" s="294">
        <f>IF(NFI_Expiration=1,IF($A649&lt;VLOOKUP(R$5,NFI,5,0),1,0)*Table_NFI[[#This Row],[Winter Clothes Adult]],Table_NFI[Winter Clothes Adult])</f>
        <v>0</v>
      </c>
      <c r="AJ649" s="294">
        <f>IF(NFI_Expiration=1,IF($A649&lt;VLOOKUP(S$5,NFI,5,0),1,0)*Table_NFI[[#This Row],[Winter Clothes Children]],Table_NFI[Winter Clothes Children])</f>
        <v>0</v>
      </c>
      <c r="AK649" s="294">
        <f>IF(NFI_Expiration=1,IF($A649&lt;VLOOKUP(T$5,NFI,5,0),1,0)*Table_NFI[[#This Row],[Winter Items Other]],Table_NFI[Winter Items Other])</f>
        <v>0</v>
      </c>
      <c r="AL649" s="294">
        <f>IF(NFI_Expiration=1,IF($A649&lt;VLOOKUP(M$5,NFI,5,0),1,0)*Table_NFI[[#This Row],[Winter Blanket]],Table_NFI[[#This Row],[Winter Blanket]])</f>
        <v>0</v>
      </c>
      <c r="AM649" s="294">
        <f>IF(Table_NFI[[#This Row],[Winter Clothes Adult]]+Table_NFI[[#This Row],[Winter Clothes Children]]+Table_NFI[[#This Row],[Winter Items Other]]+Table_NFI[[#This Row],[Winter Blanket]]&gt;0,1,0)</f>
        <v>0</v>
      </c>
      <c r="AN649" s="331">
        <f>IF(NFI_Expiration=1,IF($A649&lt;VLOOKUP(V$5,NFI,5,0),1,0)*Table_NFI[[#This Row],[Jerry Can]],Table_NFI[Jerry Can])</f>
        <v>0</v>
      </c>
      <c r="AO649" s="331">
        <f>IF(NFI_Expiration=1,IF($A649&lt;VLOOKUP(V$5,NFI,5,0),1,0)*Table_NFI[[#This Row],[Shelter Tool kit]],Table_NFI[Shelter Tool kit])</f>
        <v>0</v>
      </c>
      <c r="AP649" s="331">
        <f>IF(NFI_Expiration=1,IF($A649&lt;VLOOKUP(V$5,NFI,5,0),1,0)*Table_NFI[[#This Row],[Tent]],Table_NFI[Tent])</f>
        <v>0</v>
      </c>
      <c r="AQ649" s="467" t="str">
        <f>IFERROR(VLOOKUP(Table_NFI[[#This Row],[Camp Name]],CL,2,0),"")</f>
        <v>MMR015CMP009</v>
      </c>
      <c r="AR649" s="835">
        <f ca="1">IF(Table_NFI[[#This Row],[Pcode]]="","",IF(OFFSET(CampList[Opening Date],MATCH(Table_NFI[[#This Row],[Pcode]],CampList[CP_Pcode],0)-1,0,1,1)&gt;=NFI_Monitor_Date,1,0))</f>
        <v>0</v>
      </c>
      <c r="AS649" s="467" t="str">
        <f>IFERROR(VLOOKUP(Table_NFI[[#This Row],[Camp Name]],CL,3,0),"")</f>
        <v>Open</v>
      </c>
      <c r="AT649" s="294" t="str">
        <f ca="1">IF(Table_NFI[[#This Row],[Pcode]]="","",OFFSET(CampList[Priority],MATCH(Table_NFI[[#This Row],[Pcode]],CampList[CP_Pcode],0)-1,0,1,1))</f>
        <v>P2</v>
      </c>
      <c r="AU649" s="293">
        <f>IFERROR(Table_NFI[[#This Row],[Kitchen Set]]/VLOOKUP(Table_NFI[[#This Row],[Camp Name]],CL,4,0),"")</f>
        <v>1.0243902439024391E-3</v>
      </c>
      <c r="AV649" s="461" t="s">
        <v>1092</v>
      </c>
      <c r="AW649" s="463"/>
    </row>
    <row r="650" spans="1:49" ht="14.45" customHeight="1" x14ac:dyDescent="0.25">
      <c r="A650" s="297">
        <f t="shared" si="10"/>
        <v>41.233333333333334</v>
      </c>
      <c r="B650" s="460">
        <v>41499</v>
      </c>
      <c r="C650" s="461" t="s">
        <v>452</v>
      </c>
      <c r="D650" s="462" t="s">
        <v>460</v>
      </c>
      <c r="E650" s="461" t="s">
        <v>553</v>
      </c>
      <c r="F650" s="290" t="s">
        <v>146</v>
      </c>
      <c r="G650" s="290" t="s">
        <v>368</v>
      </c>
      <c r="H650" s="291"/>
      <c r="I650" s="291"/>
      <c r="J650" s="291">
        <v>113</v>
      </c>
      <c r="K650" s="291">
        <v>160</v>
      </c>
      <c r="L650" s="292">
        <v>32</v>
      </c>
      <c r="M650" s="292">
        <v>160</v>
      </c>
      <c r="N650" s="292">
        <v>32</v>
      </c>
      <c r="O650" s="292">
        <v>32</v>
      </c>
      <c r="P650" s="294">
        <v>32</v>
      </c>
      <c r="Q650" s="294">
        <v>32</v>
      </c>
      <c r="R650" s="294"/>
      <c r="S650" s="294"/>
      <c r="T650" s="294"/>
      <c r="U650" s="294"/>
      <c r="V650" s="431"/>
      <c r="W650" s="294"/>
      <c r="X650" s="294"/>
      <c r="Y650" s="294">
        <f>IF(NFI_Expiration=1,IF($A650&lt;VLOOKUP(H$5,NFI,5,0),1,0)*Table_NFI[[#This Row],[Hygiene Kit]],Table_NFI[Hygiene Kit])</f>
        <v>0</v>
      </c>
      <c r="Z650" s="294">
        <f>IF(NFI_Expiration=1,IF($A650&lt;VLOOKUP(I$5,NFI,5,0),1,0)*Table_NFI[[#This Row],[NFI Core Kit]],Table_NFI[NFI Core Kit])</f>
        <v>0</v>
      </c>
      <c r="AA650" s="294">
        <f>IF(NFI_Expiration=1,IF($A650&lt;VLOOKUP(J$5,NFI,5,0),1,0)*Table_NFI[[#This Row],[Sanitary Kit]],Table_NFI[Sanitary Kit])</f>
        <v>0</v>
      </c>
      <c r="AB650" s="294">
        <f>IF(NFI_Expiration=1,IF($A650&lt;VLOOKUP(K$5,NFI,5,0),1,0)*Table_NFI[[#This Row],[Mosquito net]],Table_NFI[Mosquito net])</f>
        <v>0</v>
      </c>
      <c r="AC650" s="294">
        <f>IF(NFI_Expiration=1,IF($A650&lt;VLOOKUP(L$5,NFI,5,0),1,0)*Table_NFI[[#This Row],[Tarpaulin]],Table_NFI[[#This Row],[Tarpaulin]])</f>
        <v>0</v>
      </c>
      <c r="AD650" s="294">
        <f>IF(NFI_Expiration=1,IF($A650&lt;VLOOKUP(M$5,NFI,5,0),1,0)*Table_NFI[[#This Row],[Blanket]],Table_NFI[[#This Row],[Blanket]])</f>
        <v>0</v>
      </c>
      <c r="AE650" s="294">
        <f>IF(NFI_Expiration=1,IF($A650&lt;VLOOKUP(N$5,NFI,5,0),1,0)*Table_NFI[[#This Row],[Kitchen Set]],Table_NFI[Kitchen Set])</f>
        <v>0</v>
      </c>
      <c r="AF650" s="294">
        <f>IF(NFI_Expiration=1,IF($A650&lt;VLOOKUP(O$5,NFI,5,0),1,0)*Table_NFI[[#This Row],[Clothes Kit]],Table_NFI[Clothes Kit])</f>
        <v>0</v>
      </c>
      <c r="AG650" s="294">
        <f>IF(NFI_Expiration=1,IF($A650&lt;VLOOKUP(P$5,NFI,5,0),1,0)*Table_NFI[[#This Row],[Plastic Bucket]],Table_NFI[Plastic Bucket])</f>
        <v>0</v>
      </c>
      <c r="AH650" s="294">
        <f>IF(NFI_Expiration=1,IF($A650&lt;VLOOKUP(Q$5,NFI,5,0),1,0)*Table_NFI[[#This Row],[Plastic Mat]],Table_NFI[Plastic Mat])*IF(Table_NFI[[#This Row],[Distribution Date]]&gt;"2014-04-01",1,2.5)</f>
        <v>0</v>
      </c>
      <c r="AI650" s="294">
        <f>IF(NFI_Expiration=1,IF($A650&lt;VLOOKUP(R$5,NFI,5,0),1,0)*Table_NFI[[#This Row],[Winter Clothes Adult]],Table_NFI[Winter Clothes Adult])</f>
        <v>0</v>
      </c>
      <c r="AJ650" s="294">
        <f>IF(NFI_Expiration=1,IF($A650&lt;VLOOKUP(S$5,NFI,5,0),1,0)*Table_NFI[[#This Row],[Winter Clothes Children]],Table_NFI[Winter Clothes Children])</f>
        <v>0</v>
      </c>
      <c r="AK650" s="294">
        <f>IF(NFI_Expiration=1,IF($A650&lt;VLOOKUP(T$5,NFI,5,0),1,0)*Table_NFI[[#This Row],[Winter Items Other]],Table_NFI[Winter Items Other])</f>
        <v>0</v>
      </c>
      <c r="AL650" s="294">
        <f>IF(NFI_Expiration=1,IF($A650&lt;VLOOKUP(M$5,NFI,5,0),1,0)*Table_NFI[[#This Row],[Winter Blanket]],Table_NFI[[#This Row],[Winter Blanket]])</f>
        <v>0</v>
      </c>
      <c r="AM650" s="294">
        <f>IF(Table_NFI[[#This Row],[Winter Clothes Adult]]+Table_NFI[[#This Row],[Winter Clothes Children]]+Table_NFI[[#This Row],[Winter Items Other]]+Table_NFI[[#This Row],[Winter Blanket]]&gt;0,1,0)</f>
        <v>0</v>
      </c>
      <c r="AN650" s="331">
        <f>IF(NFI_Expiration=1,IF($A650&lt;VLOOKUP(V$5,NFI,5,0),1,0)*Table_NFI[[#This Row],[Jerry Can]],Table_NFI[Jerry Can])</f>
        <v>0</v>
      </c>
      <c r="AO650" s="331">
        <f>IF(NFI_Expiration=1,IF($A650&lt;VLOOKUP(V$5,NFI,5,0),1,0)*Table_NFI[[#This Row],[Shelter Tool kit]],Table_NFI[Shelter Tool kit])</f>
        <v>0</v>
      </c>
      <c r="AP650" s="331">
        <f>IF(NFI_Expiration=1,IF($A650&lt;VLOOKUP(V$5,NFI,5,0),1,0)*Table_NFI[[#This Row],[Tent]],Table_NFI[Tent])</f>
        <v>0</v>
      </c>
      <c r="AQ650" s="467" t="str">
        <f>IFERROR(VLOOKUP(Table_NFI[[#This Row],[Camp Name]],CL,2,0),"")</f>
        <v>MMR015CMP018</v>
      </c>
      <c r="AR650" s="835">
        <f ca="1">IF(Table_NFI[[#This Row],[Pcode]]="","",IF(OFFSET(CampList[Opening Date],MATCH(Table_NFI[[#This Row],[Pcode]],CampList[CP_Pcode],0)-1,0,1,1)&gt;=NFI_Monitor_Date,1,0))</f>
        <v>0</v>
      </c>
      <c r="AS650" s="467" t="str">
        <f>IFERROR(VLOOKUP(Table_NFI[[#This Row],[Camp Name]],CL,3,0),"")</f>
        <v>Open</v>
      </c>
      <c r="AT650" s="294" t="str">
        <f ca="1">IF(Table_NFI[[#This Row],[Pcode]]="","",OFFSET(CampList[Priority],MATCH(Table_NFI[[#This Row],[Pcode]],CampList[CP_Pcode],0)-1,0,1,1))</f>
        <v>P3</v>
      </c>
      <c r="AU650" s="293">
        <f>IFERROR(Table_NFI[[#This Row],[Kitchen Set]]/VLOOKUP(Table_NFI[[#This Row],[Camp Name]],CL,4,0),"")</f>
        <v>7.7528770442156269E-4</v>
      </c>
      <c r="AV650" s="461" t="s">
        <v>1092</v>
      </c>
      <c r="AW650" s="463"/>
    </row>
    <row r="651" spans="1:49" ht="14.45" customHeight="1" x14ac:dyDescent="0.25">
      <c r="A651" s="297">
        <f t="shared" si="10"/>
        <v>41.233333333333334</v>
      </c>
      <c r="B651" s="460">
        <v>41499</v>
      </c>
      <c r="C651" s="461" t="s">
        <v>452</v>
      </c>
      <c r="D651" s="462" t="s">
        <v>506</v>
      </c>
      <c r="E651" s="461" t="s">
        <v>553</v>
      </c>
      <c r="F651" s="290" t="s">
        <v>146</v>
      </c>
      <c r="G651" s="290" t="s">
        <v>371</v>
      </c>
      <c r="H651" s="291"/>
      <c r="I651" s="291"/>
      <c r="J651" s="291">
        <v>30</v>
      </c>
      <c r="K651" s="291">
        <v>56</v>
      </c>
      <c r="L651" s="292">
        <v>23</v>
      </c>
      <c r="M651" s="292">
        <v>56</v>
      </c>
      <c r="N651" s="292">
        <v>23</v>
      </c>
      <c r="O651" s="292">
        <v>23</v>
      </c>
      <c r="P651" s="294">
        <v>23</v>
      </c>
      <c r="Q651" s="294">
        <v>23</v>
      </c>
      <c r="R651" s="294"/>
      <c r="S651" s="294"/>
      <c r="T651" s="294"/>
      <c r="U651" s="294"/>
      <c r="V651" s="431"/>
      <c r="W651" s="294"/>
      <c r="X651" s="294"/>
      <c r="Y651" s="294">
        <f>IF(NFI_Expiration=1,IF($A651&lt;VLOOKUP(H$5,NFI,5,0),1,0)*Table_NFI[[#This Row],[Hygiene Kit]],Table_NFI[Hygiene Kit])</f>
        <v>0</v>
      </c>
      <c r="Z651" s="294">
        <f>IF(NFI_Expiration=1,IF($A651&lt;VLOOKUP(I$5,NFI,5,0),1,0)*Table_NFI[[#This Row],[NFI Core Kit]],Table_NFI[NFI Core Kit])</f>
        <v>0</v>
      </c>
      <c r="AA651" s="294">
        <f>IF(NFI_Expiration=1,IF($A651&lt;VLOOKUP(J$5,NFI,5,0),1,0)*Table_NFI[[#This Row],[Sanitary Kit]],Table_NFI[Sanitary Kit])</f>
        <v>0</v>
      </c>
      <c r="AB651" s="294">
        <f>IF(NFI_Expiration=1,IF($A651&lt;VLOOKUP(K$5,NFI,5,0),1,0)*Table_NFI[[#This Row],[Mosquito net]],Table_NFI[Mosquito net])</f>
        <v>0</v>
      </c>
      <c r="AC651" s="294">
        <f>IF(NFI_Expiration=1,IF($A651&lt;VLOOKUP(L$5,NFI,5,0),1,0)*Table_NFI[[#This Row],[Tarpaulin]],Table_NFI[[#This Row],[Tarpaulin]])</f>
        <v>0</v>
      </c>
      <c r="AD651" s="294">
        <f>IF(NFI_Expiration=1,IF($A651&lt;VLOOKUP(M$5,NFI,5,0),1,0)*Table_NFI[[#This Row],[Blanket]],Table_NFI[[#This Row],[Blanket]])</f>
        <v>0</v>
      </c>
      <c r="AE651" s="294">
        <f>IF(NFI_Expiration=1,IF($A651&lt;VLOOKUP(N$5,NFI,5,0),1,0)*Table_NFI[[#This Row],[Kitchen Set]],Table_NFI[Kitchen Set])</f>
        <v>0</v>
      </c>
      <c r="AF651" s="294">
        <f>IF(NFI_Expiration=1,IF($A651&lt;VLOOKUP(O$5,NFI,5,0),1,0)*Table_NFI[[#This Row],[Clothes Kit]],Table_NFI[Clothes Kit])</f>
        <v>0</v>
      </c>
      <c r="AG651" s="294">
        <f>IF(NFI_Expiration=1,IF($A651&lt;VLOOKUP(P$5,NFI,5,0),1,0)*Table_NFI[[#This Row],[Plastic Bucket]],Table_NFI[Plastic Bucket])</f>
        <v>0</v>
      </c>
      <c r="AH651" s="294">
        <f>IF(NFI_Expiration=1,IF($A651&lt;VLOOKUP(Q$5,NFI,5,0),1,0)*Table_NFI[[#This Row],[Plastic Mat]],Table_NFI[Plastic Mat])*IF(Table_NFI[[#This Row],[Distribution Date]]&gt;"2014-04-01",1,2.5)</f>
        <v>0</v>
      </c>
      <c r="AI651" s="294">
        <f>IF(NFI_Expiration=1,IF($A651&lt;VLOOKUP(R$5,NFI,5,0),1,0)*Table_NFI[[#This Row],[Winter Clothes Adult]],Table_NFI[Winter Clothes Adult])</f>
        <v>0</v>
      </c>
      <c r="AJ651" s="294">
        <f>IF(NFI_Expiration=1,IF($A651&lt;VLOOKUP(S$5,NFI,5,0),1,0)*Table_NFI[[#This Row],[Winter Clothes Children]],Table_NFI[Winter Clothes Children])</f>
        <v>0</v>
      </c>
      <c r="AK651" s="294">
        <f>IF(NFI_Expiration=1,IF($A651&lt;VLOOKUP(T$5,NFI,5,0),1,0)*Table_NFI[[#This Row],[Winter Items Other]],Table_NFI[Winter Items Other])</f>
        <v>0</v>
      </c>
      <c r="AL651" s="294">
        <f>IF(NFI_Expiration=1,IF($A651&lt;VLOOKUP(M$5,NFI,5,0),1,0)*Table_NFI[[#This Row],[Winter Blanket]],Table_NFI[[#This Row],[Winter Blanket]])</f>
        <v>0</v>
      </c>
      <c r="AM651" s="294">
        <f>IF(Table_NFI[[#This Row],[Winter Clothes Adult]]+Table_NFI[[#This Row],[Winter Clothes Children]]+Table_NFI[[#This Row],[Winter Items Other]]+Table_NFI[[#This Row],[Winter Blanket]]&gt;0,1,0)</f>
        <v>0</v>
      </c>
      <c r="AN651" s="331">
        <f>IF(NFI_Expiration=1,IF($A651&lt;VLOOKUP(V$5,NFI,5,0),1,0)*Table_NFI[[#This Row],[Jerry Can]],Table_NFI[Jerry Can])</f>
        <v>0</v>
      </c>
      <c r="AO651" s="331">
        <f>IF(NFI_Expiration=1,IF($A651&lt;VLOOKUP(V$5,NFI,5,0),1,0)*Table_NFI[[#This Row],[Shelter Tool kit]],Table_NFI[Shelter Tool kit])</f>
        <v>0</v>
      </c>
      <c r="AP651" s="331">
        <f>IF(NFI_Expiration=1,IF($A651&lt;VLOOKUP(V$5,NFI,5,0),1,0)*Table_NFI[[#This Row],[Tent]],Table_NFI[Tent])</f>
        <v>0</v>
      </c>
      <c r="AQ651" s="467" t="str">
        <f>IFERROR(VLOOKUP(Table_NFI[[#This Row],[Camp Name]],CL,2,0),"")</f>
        <v>MMR015CMP006</v>
      </c>
      <c r="AR651" s="835">
        <f ca="1">IF(Table_NFI[[#This Row],[Pcode]]="","",IF(OFFSET(CampList[Opening Date],MATCH(Table_NFI[[#This Row],[Pcode]],CampList[CP_Pcode],0)-1,0,1,1)&gt;=NFI_Monitor_Date,1,0))</f>
        <v>0</v>
      </c>
      <c r="AS651" s="467" t="str">
        <f>IFERROR(VLOOKUP(Table_NFI[[#This Row],[Camp Name]],CL,3,0),"")</f>
        <v>Open</v>
      </c>
      <c r="AT651" s="294" t="str">
        <f ca="1">IF(Table_NFI[[#This Row],[Pcode]]="","",OFFSET(CampList[Priority],MATCH(Table_NFI[[#This Row],[Pcode]],CampList[CP_Pcode],0)-1,0,1,1))</f>
        <v>P1</v>
      </c>
      <c r="AU651" s="293">
        <f>IFERROR(Table_NFI[[#This Row],[Kitchen Set]]/VLOOKUP(Table_NFI[[#This Row],[Camp Name]],CL,4,0),"")</f>
        <v>5.6390516586167158E-4</v>
      </c>
      <c r="AV651" s="461" t="s">
        <v>1092</v>
      </c>
      <c r="AW651" s="463"/>
    </row>
    <row r="652" spans="1:49" ht="14.45" customHeight="1" x14ac:dyDescent="0.25">
      <c r="A652" s="297">
        <f t="shared" si="10"/>
        <v>41.233333333333334</v>
      </c>
      <c r="B652" s="460">
        <v>41499</v>
      </c>
      <c r="C652" s="461" t="s">
        <v>452</v>
      </c>
      <c r="D652" s="461" t="s">
        <v>460</v>
      </c>
      <c r="E652" s="461" t="s">
        <v>553</v>
      </c>
      <c r="F652" s="461" t="s">
        <v>289</v>
      </c>
      <c r="G652" s="290" t="s">
        <v>292</v>
      </c>
      <c r="H652" s="291"/>
      <c r="I652" s="291"/>
      <c r="J652" s="291">
        <v>125</v>
      </c>
      <c r="K652" s="291">
        <v>233</v>
      </c>
      <c r="L652" s="292">
        <v>93</v>
      </c>
      <c r="M652" s="292">
        <v>233</v>
      </c>
      <c r="N652" s="292">
        <v>93</v>
      </c>
      <c r="O652" s="292">
        <v>93</v>
      </c>
      <c r="P652" s="294">
        <v>93</v>
      </c>
      <c r="Q652" s="294">
        <v>93</v>
      </c>
      <c r="R652" s="294"/>
      <c r="S652" s="294"/>
      <c r="T652" s="294"/>
      <c r="U652" s="294"/>
      <c r="V652" s="431"/>
      <c r="W652" s="294"/>
      <c r="X652" s="294"/>
      <c r="Y652" s="294">
        <f>IF(NFI_Expiration=1,IF($A652&lt;VLOOKUP(H$5,NFI,5,0),1,0)*Table_NFI[[#This Row],[Hygiene Kit]],Table_NFI[Hygiene Kit])</f>
        <v>0</v>
      </c>
      <c r="Z652" s="294">
        <f>IF(NFI_Expiration=1,IF($A652&lt;VLOOKUP(I$5,NFI,5,0),1,0)*Table_NFI[[#This Row],[NFI Core Kit]],Table_NFI[NFI Core Kit])</f>
        <v>0</v>
      </c>
      <c r="AA652" s="294">
        <f>IF(NFI_Expiration=1,IF($A652&lt;VLOOKUP(J$5,NFI,5,0),1,0)*Table_NFI[[#This Row],[Sanitary Kit]],Table_NFI[Sanitary Kit])</f>
        <v>0</v>
      </c>
      <c r="AB652" s="294">
        <f>IF(NFI_Expiration=1,IF($A652&lt;VLOOKUP(K$5,NFI,5,0),1,0)*Table_NFI[[#This Row],[Mosquito net]],Table_NFI[Mosquito net])</f>
        <v>0</v>
      </c>
      <c r="AC652" s="294">
        <f>IF(NFI_Expiration=1,IF($A652&lt;VLOOKUP(L$5,NFI,5,0),1,0)*Table_NFI[[#This Row],[Tarpaulin]],Table_NFI[[#This Row],[Tarpaulin]])</f>
        <v>0</v>
      </c>
      <c r="AD652" s="294">
        <f>IF(NFI_Expiration=1,IF($A652&lt;VLOOKUP(M$5,NFI,5,0),1,0)*Table_NFI[[#This Row],[Blanket]],Table_NFI[[#This Row],[Blanket]])</f>
        <v>0</v>
      </c>
      <c r="AE652" s="294">
        <f>IF(NFI_Expiration=1,IF($A652&lt;VLOOKUP(N$5,NFI,5,0),1,0)*Table_NFI[[#This Row],[Kitchen Set]],Table_NFI[Kitchen Set])</f>
        <v>0</v>
      </c>
      <c r="AF652" s="294">
        <f>IF(NFI_Expiration=1,IF($A652&lt;VLOOKUP(O$5,NFI,5,0),1,0)*Table_NFI[[#This Row],[Clothes Kit]],Table_NFI[Clothes Kit])</f>
        <v>0</v>
      </c>
      <c r="AG652" s="294">
        <f>IF(NFI_Expiration=1,IF($A652&lt;VLOOKUP(P$5,NFI,5,0),1,0)*Table_NFI[[#This Row],[Plastic Bucket]],Table_NFI[Plastic Bucket])</f>
        <v>0</v>
      </c>
      <c r="AH652" s="294">
        <f>IF(NFI_Expiration=1,IF($A652&lt;VLOOKUP(Q$5,NFI,5,0),1,0)*Table_NFI[[#This Row],[Plastic Mat]],Table_NFI[Plastic Mat])*IF(Table_NFI[[#This Row],[Distribution Date]]&gt;"2014-04-01",1,2.5)</f>
        <v>0</v>
      </c>
      <c r="AI652" s="294">
        <f>IF(NFI_Expiration=1,IF($A652&lt;VLOOKUP(R$5,NFI,5,0),1,0)*Table_NFI[[#This Row],[Winter Clothes Adult]],Table_NFI[Winter Clothes Adult])</f>
        <v>0</v>
      </c>
      <c r="AJ652" s="294">
        <f>IF(NFI_Expiration=1,IF($A652&lt;VLOOKUP(S$5,NFI,5,0),1,0)*Table_NFI[[#This Row],[Winter Clothes Children]],Table_NFI[Winter Clothes Children])</f>
        <v>0</v>
      </c>
      <c r="AK652" s="294">
        <f>IF(NFI_Expiration=1,IF($A652&lt;VLOOKUP(T$5,NFI,5,0),1,0)*Table_NFI[[#This Row],[Winter Items Other]],Table_NFI[Winter Items Other])</f>
        <v>0</v>
      </c>
      <c r="AL652" s="294">
        <f>IF(NFI_Expiration=1,IF($A652&lt;VLOOKUP(M$5,NFI,5,0),1,0)*Table_NFI[[#This Row],[Winter Blanket]],Table_NFI[[#This Row],[Winter Blanket]])</f>
        <v>0</v>
      </c>
      <c r="AM652" s="294">
        <f>IF(Table_NFI[[#This Row],[Winter Clothes Adult]]+Table_NFI[[#This Row],[Winter Clothes Children]]+Table_NFI[[#This Row],[Winter Items Other]]+Table_NFI[[#This Row],[Winter Blanket]]&gt;0,1,0)</f>
        <v>0</v>
      </c>
      <c r="AN652" s="331">
        <f>IF(NFI_Expiration=1,IF($A652&lt;VLOOKUP(V$5,NFI,5,0),1,0)*Table_NFI[[#This Row],[Jerry Can]],Table_NFI[Jerry Can])</f>
        <v>0</v>
      </c>
      <c r="AO652" s="331">
        <f>IF(NFI_Expiration=1,IF($A652&lt;VLOOKUP(V$5,NFI,5,0),1,0)*Table_NFI[[#This Row],[Shelter Tool kit]],Table_NFI[Shelter Tool kit])</f>
        <v>0</v>
      </c>
      <c r="AP652" s="331">
        <f>IF(NFI_Expiration=1,IF($A652&lt;VLOOKUP(V$5,NFI,5,0),1,0)*Table_NFI[[#This Row],[Tent]],Table_NFI[Tent])</f>
        <v>0</v>
      </c>
      <c r="AQ652" s="467" t="str">
        <f>IFERROR(VLOOKUP(Table_NFI[[#This Row],[Camp Name]],CL,2,0),"")</f>
        <v>MMR015CMP004</v>
      </c>
      <c r="AR652" s="835">
        <f ca="1">IF(Table_NFI[[#This Row],[Pcode]]="","",IF(OFFSET(CampList[Opening Date],MATCH(Table_NFI[[#This Row],[Pcode]],CampList[CP_Pcode],0)-1,0,1,1)&gt;=NFI_Monitor_Date,1,0))</f>
        <v>0</v>
      </c>
      <c r="AS652" s="467" t="str">
        <f>IFERROR(VLOOKUP(Table_NFI[[#This Row],[Camp Name]],CL,3,0),"")</f>
        <v>Open</v>
      </c>
      <c r="AT652" s="294" t="str">
        <f ca="1">IF(Table_NFI[[#This Row],[Pcode]]="","",OFFSET(CampList[Priority],MATCH(Table_NFI[[#This Row],[Pcode]],CampList[CP_Pcode],0)-1,0,1,1))</f>
        <v>P3</v>
      </c>
      <c r="AU652" s="293">
        <f>IFERROR(Table_NFI[[#This Row],[Kitchen Set]]/VLOOKUP(Table_NFI[[#This Row],[Camp Name]],CL,4,0),"")</f>
        <v>2.2350933692230047E-3</v>
      </c>
      <c r="AV652" s="461" t="s">
        <v>1092</v>
      </c>
      <c r="AW652" s="463"/>
    </row>
    <row r="653" spans="1:49" ht="14.45" customHeight="1" x14ac:dyDescent="0.25">
      <c r="A653" s="297">
        <f t="shared" si="10"/>
        <v>41.233333333333334</v>
      </c>
      <c r="B653" s="460">
        <v>41499</v>
      </c>
      <c r="C653" s="461" t="s">
        <v>452</v>
      </c>
      <c r="D653" s="461" t="s">
        <v>506</v>
      </c>
      <c r="E653" s="461" t="s">
        <v>553</v>
      </c>
      <c r="F653" s="461" t="s">
        <v>289</v>
      </c>
      <c r="G653" s="290" t="s">
        <v>290</v>
      </c>
      <c r="H653" s="291"/>
      <c r="I653" s="291"/>
      <c r="J653" s="291">
        <v>100</v>
      </c>
      <c r="K653" s="291">
        <v>188</v>
      </c>
      <c r="L653" s="292">
        <v>75</v>
      </c>
      <c r="M653" s="292">
        <v>188</v>
      </c>
      <c r="N653" s="292">
        <v>75</v>
      </c>
      <c r="O653" s="292">
        <v>75</v>
      </c>
      <c r="P653" s="294">
        <v>75</v>
      </c>
      <c r="Q653" s="294">
        <v>75</v>
      </c>
      <c r="R653" s="294"/>
      <c r="S653" s="294"/>
      <c r="T653" s="294"/>
      <c r="U653" s="294"/>
      <c r="V653" s="431"/>
      <c r="W653" s="294"/>
      <c r="X653" s="294"/>
      <c r="Y653" s="294">
        <f>IF(NFI_Expiration=1,IF($A653&lt;VLOOKUP(H$5,NFI,5,0),1,0)*Table_NFI[[#This Row],[Hygiene Kit]],Table_NFI[Hygiene Kit])</f>
        <v>0</v>
      </c>
      <c r="Z653" s="294">
        <f>IF(NFI_Expiration=1,IF($A653&lt;VLOOKUP(I$5,NFI,5,0),1,0)*Table_NFI[[#This Row],[NFI Core Kit]],Table_NFI[NFI Core Kit])</f>
        <v>0</v>
      </c>
      <c r="AA653" s="294">
        <f>IF(NFI_Expiration=1,IF($A653&lt;VLOOKUP(J$5,NFI,5,0),1,0)*Table_NFI[[#This Row],[Sanitary Kit]],Table_NFI[Sanitary Kit])</f>
        <v>0</v>
      </c>
      <c r="AB653" s="294">
        <f>IF(NFI_Expiration=1,IF($A653&lt;VLOOKUP(K$5,NFI,5,0),1,0)*Table_NFI[[#This Row],[Mosquito net]],Table_NFI[Mosquito net])</f>
        <v>0</v>
      </c>
      <c r="AC653" s="294">
        <f>IF(NFI_Expiration=1,IF($A653&lt;VLOOKUP(L$5,NFI,5,0),1,0)*Table_NFI[[#This Row],[Tarpaulin]],Table_NFI[[#This Row],[Tarpaulin]])</f>
        <v>0</v>
      </c>
      <c r="AD653" s="294">
        <f>IF(NFI_Expiration=1,IF($A653&lt;VLOOKUP(M$5,NFI,5,0),1,0)*Table_NFI[[#This Row],[Blanket]],Table_NFI[[#This Row],[Blanket]])</f>
        <v>0</v>
      </c>
      <c r="AE653" s="294">
        <f>IF(NFI_Expiration=1,IF($A653&lt;VLOOKUP(N$5,NFI,5,0),1,0)*Table_NFI[[#This Row],[Kitchen Set]],Table_NFI[Kitchen Set])</f>
        <v>0</v>
      </c>
      <c r="AF653" s="294">
        <f>IF(NFI_Expiration=1,IF($A653&lt;VLOOKUP(O$5,NFI,5,0),1,0)*Table_NFI[[#This Row],[Clothes Kit]],Table_NFI[Clothes Kit])</f>
        <v>0</v>
      </c>
      <c r="AG653" s="294">
        <f>IF(NFI_Expiration=1,IF($A653&lt;VLOOKUP(P$5,NFI,5,0),1,0)*Table_NFI[[#This Row],[Plastic Bucket]],Table_NFI[Plastic Bucket])</f>
        <v>0</v>
      </c>
      <c r="AH653" s="294">
        <f>IF(NFI_Expiration=1,IF($A653&lt;VLOOKUP(Q$5,NFI,5,0),1,0)*Table_NFI[[#This Row],[Plastic Mat]],Table_NFI[Plastic Mat])*IF(Table_NFI[[#This Row],[Distribution Date]]&gt;"2014-04-01",1,2.5)</f>
        <v>0</v>
      </c>
      <c r="AI653" s="294">
        <f>IF(NFI_Expiration=1,IF($A653&lt;VLOOKUP(R$5,NFI,5,0),1,0)*Table_NFI[[#This Row],[Winter Clothes Adult]],Table_NFI[Winter Clothes Adult])</f>
        <v>0</v>
      </c>
      <c r="AJ653" s="294">
        <f>IF(NFI_Expiration=1,IF($A653&lt;VLOOKUP(S$5,NFI,5,0),1,0)*Table_NFI[[#This Row],[Winter Clothes Children]],Table_NFI[Winter Clothes Children])</f>
        <v>0</v>
      </c>
      <c r="AK653" s="294">
        <f>IF(NFI_Expiration=1,IF($A653&lt;VLOOKUP(T$5,NFI,5,0),1,0)*Table_NFI[[#This Row],[Winter Items Other]],Table_NFI[Winter Items Other])</f>
        <v>0</v>
      </c>
      <c r="AL653" s="294">
        <f>IF(NFI_Expiration=1,IF($A653&lt;VLOOKUP(M$5,NFI,5,0),1,0)*Table_NFI[[#This Row],[Winter Blanket]],Table_NFI[[#This Row],[Winter Blanket]])</f>
        <v>0</v>
      </c>
      <c r="AM653" s="294">
        <f>IF(Table_NFI[[#This Row],[Winter Clothes Adult]]+Table_NFI[[#This Row],[Winter Clothes Children]]+Table_NFI[[#This Row],[Winter Items Other]]+Table_NFI[[#This Row],[Winter Blanket]]&gt;0,1,0)</f>
        <v>0</v>
      </c>
      <c r="AN653" s="331">
        <f>IF(NFI_Expiration=1,IF($A653&lt;VLOOKUP(V$5,NFI,5,0),1,0)*Table_NFI[[#This Row],[Jerry Can]],Table_NFI[Jerry Can])</f>
        <v>0</v>
      </c>
      <c r="AO653" s="331">
        <f>IF(NFI_Expiration=1,IF($A653&lt;VLOOKUP(V$5,NFI,5,0),1,0)*Table_NFI[[#This Row],[Shelter Tool kit]],Table_NFI[Shelter Tool kit])</f>
        <v>0</v>
      </c>
      <c r="AP653" s="331">
        <f>IF(NFI_Expiration=1,IF($A653&lt;VLOOKUP(V$5,NFI,5,0),1,0)*Table_NFI[[#This Row],[Tent]],Table_NFI[Tent])</f>
        <v>0</v>
      </c>
      <c r="AQ653" s="467" t="str">
        <f>IFERROR(VLOOKUP(Table_NFI[[#This Row],[Camp Name]],CL,2,0),"")</f>
        <v>MMR015CMP001</v>
      </c>
      <c r="AR653" s="835">
        <f ca="1">IF(Table_NFI[[#This Row],[Pcode]]="","",IF(OFFSET(CampList[Opening Date],MATCH(Table_NFI[[#This Row],[Pcode]],CampList[CP_Pcode],0)-1,0,1,1)&gt;=NFI_Monitor_Date,1,0))</f>
        <v>0</v>
      </c>
      <c r="AS653" s="467" t="str">
        <f>IFERROR(VLOOKUP(Table_NFI[[#This Row],[Camp Name]],CL,3,0),"")</f>
        <v>Open</v>
      </c>
      <c r="AT653" s="294" t="str">
        <f ca="1">IF(Table_NFI[[#This Row],[Pcode]]="","",OFFSET(CampList[Priority],MATCH(Table_NFI[[#This Row],[Pcode]],CampList[CP_Pcode],0)-1,0,1,1))</f>
        <v>P3</v>
      </c>
      <c r="AU653" s="293">
        <f>IFERROR(Table_NFI[[#This Row],[Kitchen Set]]/VLOOKUP(Table_NFI[[#This Row],[Camp Name]],CL,4,0),"")</f>
        <v>1.8347277264054015E-3</v>
      </c>
      <c r="AV653" s="461" t="s">
        <v>1092</v>
      </c>
      <c r="AW653" s="463"/>
    </row>
    <row r="654" spans="1:49" ht="14.45" customHeight="1" x14ac:dyDescent="0.25">
      <c r="A654" s="297">
        <f t="shared" si="10"/>
        <v>41.233333333333334</v>
      </c>
      <c r="B654" s="460">
        <v>41499</v>
      </c>
      <c r="C654" s="461" t="s">
        <v>452</v>
      </c>
      <c r="D654" s="461" t="s">
        <v>506</v>
      </c>
      <c r="E654" s="461" t="s">
        <v>553</v>
      </c>
      <c r="F654" s="290" t="s">
        <v>289</v>
      </c>
      <c r="G654" s="290" t="s">
        <v>374</v>
      </c>
      <c r="H654" s="291"/>
      <c r="I654" s="291"/>
      <c r="J654" s="291">
        <v>36</v>
      </c>
      <c r="K654" s="291">
        <v>72</v>
      </c>
      <c r="L654" s="292">
        <v>33</v>
      </c>
      <c r="M654" s="292">
        <v>72</v>
      </c>
      <c r="N654" s="292">
        <v>33</v>
      </c>
      <c r="O654" s="292">
        <v>33</v>
      </c>
      <c r="P654" s="294">
        <v>33</v>
      </c>
      <c r="Q654" s="294">
        <v>33</v>
      </c>
      <c r="R654" s="294"/>
      <c r="S654" s="294"/>
      <c r="T654" s="294"/>
      <c r="U654" s="294"/>
      <c r="V654" s="431"/>
      <c r="W654" s="294"/>
      <c r="X654" s="294"/>
      <c r="Y654" s="294">
        <f>IF(NFI_Expiration=1,IF($A654&lt;VLOOKUP(H$5,NFI,5,0),1,0)*Table_NFI[[#This Row],[Hygiene Kit]],Table_NFI[Hygiene Kit])</f>
        <v>0</v>
      </c>
      <c r="Z654" s="294">
        <f>IF(NFI_Expiration=1,IF($A654&lt;VLOOKUP(I$5,NFI,5,0),1,0)*Table_NFI[[#This Row],[NFI Core Kit]],Table_NFI[NFI Core Kit])</f>
        <v>0</v>
      </c>
      <c r="AA654" s="294">
        <f>IF(NFI_Expiration=1,IF($A654&lt;VLOOKUP(J$5,NFI,5,0),1,0)*Table_NFI[[#This Row],[Sanitary Kit]],Table_NFI[Sanitary Kit])</f>
        <v>0</v>
      </c>
      <c r="AB654" s="294">
        <f>IF(NFI_Expiration=1,IF($A654&lt;VLOOKUP(K$5,NFI,5,0),1,0)*Table_NFI[[#This Row],[Mosquito net]],Table_NFI[Mosquito net])</f>
        <v>0</v>
      </c>
      <c r="AC654" s="294">
        <f>IF(NFI_Expiration=1,IF($A654&lt;VLOOKUP(L$5,NFI,5,0),1,0)*Table_NFI[[#This Row],[Tarpaulin]],Table_NFI[[#This Row],[Tarpaulin]])</f>
        <v>0</v>
      </c>
      <c r="AD654" s="294">
        <f>IF(NFI_Expiration=1,IF($A654&lt;VLOOKUP(M$5,NFI,5,0),1,0)*Table_NFI[[#This Row],[Blanket]],Table_NFI[[#This Row],[Blanket]])</f>
        <v>0</v>
      </c>
      <c r="AE654" s="294">
        <f>IF(NFI_Expiration=1,IF($A654&lt;VLOOKUP(N$5,NFI,5,0),1,0)*Table_NFI[[#This Row],[Kitchen Set]],Table_NFI[Kitchen Set])</f>
        <v>0</v>
      </c>
      <c r="AF654" s="294">
        <f>IF(NFI_Expiration=1,IF($A654&lt;VLOOKUP(O$5,NFI,5,0),1,0)*Table_NFI[[#This Row],[Clothes Kit]],Table_NFI[Clothes Kit])</f>
        <v>0</v>
      </c>
      <c r="AG654" s="294">
        <f>IF(NFI_Expiration=1,IF($A654&lt;VLOOKUP(P$5,NFI,5,0),1,0)*Table_NFI[[#This Row],[Plastic Bucket]],Table_NFI[Plastic Bucket])</f>
        <v>0</v>
      </c>
      <c r="AH654" s="294">
        <f>IF(NFI_Expiration=1,IF($A654&lt;VLOOKUP(Q$5,NFI,5,0),1,0)*Table_NFI[[#This Row],[Plastic Mat]],Table_NFI[Plastic Mat])*IF(Table_NFI[[#This Row],[Distribution Date]]&gt;"2014-04-01",1,2.5)</f>
        <v>0</v>
      </c>
      <c r="AI654" s="294">
        <f>IF(NFI_Expiration=1,IF($A654&lt;VLOOKUP(R$5,NFI,5,0),1,0)*Table_NFI[[#This Row],[Winter Clothes Adult]],Table_NFI[Winter Clothes Adult])</f>
        <v>0</v>
      </c>
      <c r="AJ654" s="294">
        <f>IF(NFI_Expiration=1,IF($A654&lt;VLOOKUP(S$5,NFI,5,0),1,0)*Table_NFI[[#This Row],[Winter Clothes Children]],Table_NFI[Winter Clothes Children])</f>
        <v>0</v>
      </c>
      <c r="AK654" s="294">
        <f>IF(NFI_Expiration=1,IF($A654&lt;VLOOKUP(T$5,NFI,5,0),1,0)*Table_NFI[[#This Row],[Winter Items Other]],Table_NFI[Winter Items Other])</f>
        <v>0</v>
      </c>
      <c r="AL654" s="294">
        <f>IF(NFI_Expiration=1,IF($A654&lt;VLOOKUP(M$5,NFI,5,0),1,0)*Table_NFI[[#This Row],[Winter Blanket]],Table_NFI[[#This Row],[Winter Blanket]])</f>
        <v>0</v>
      </c>
      <c r="AM654" s="294">
        <f>IF(Table_NFI[[#This Row],[Winter Clothes Adult]]+Table_NFI[[#This Row],[Winter Clothes Children]]+Table_NFI[[#This Row],[Winter Items Other]]+Table_NFI[[#This Row],[Winter Blanket]]&gt;0,1,0)</f>
        <v>0</v>
      </c>
      <c r="AN654" s="331">
        <f>IF(NFI_Expiration=1,IF($A654&lt;VLOOKUP(V$5,NFI,5,0),1,0)*Table_NFI[[#This Row],[Jerry Can]],Table_NFI[Jerry Can])</f>
        <v>0</v>
      </c>
      <c r="AO654" s="331">
        <f>IF(NFI_Expiration=1,IF($A654&lt;VLOOKUP(V$5,NFI,5,0),1,0)*Table_NFI[[#This Row],[Shelter Tool kit]],Table_NFI[Shelter Tool kit])</f>
        <v>0</v>
      </c>
      <c r="AP654" s="331">
        <f>IF(NFI_Expiration=1,IF($A654&lt;VLOOKUP(V$5,NFI,5,0),1,0)*Table_NFI[[#This Row],[Tent]],Table_NFI[Tent])</f>
        <v>0</v>
      </c>
      <c r="AQ654" s="467" t="str">
        <f>IFERROR(VLOOKUP(Table_NFI[[#This Row],[Camp Name]],CL,2,0),"")</f>
        <v>MMR015CMP003</v>
      </c>
      <c r="AR654" s="835">
        <f ca="1">IF(Table_NFI[[#This Row],[Pcode]]="","",IF(OFFSET(CampList[Opening Date],MATCH(Table_NFI[[#This Row],[Pcode]],CampList[CP_Pcode],0)-1,0,1,1)&gt;=NFI_Monitor_Date,1,0))</f>
        <v>0</v>
      </c>
      <c r="AS654" s="467" t="str">
        <f>IFERROR(VLOOKUP(Table_NFI[[#This Row],[Camp Name]],CL,3,0),"")</f>
        <v>Open</v>
      </c>
      <c r="AT654" s="294" t="str">
        <f ca="1">IF(Table_NFI[[#This Row],[Pcode]]="","",OFFSET(CampList[Priority],MATCH(Table_NFI[[#This Row],[Pcode]],CampList[CP_Pcode],0)-1,0,1,1))</f>
        <v>P3</v>
      </c>
      <c r="AU654" s="293">
        <f>IFERROR(Table_NFI[[#This Row],[Kitchen Set]]/VLOOKUP(Table_NFI[[#This Row],[Camp Name]],CL,4,0),"")</f>
        <v>8.0728019961837658E-4</v>
      </c>
      <c r="AV654" s="461" t="s">
        <v>1092</v>
      </c>
      <c r="AW654" s="463"/>
    </row>
    <row r="655" spans="1:49" x14ac:dyDescent="0.25">
      <c r="A655" s="297">
        <f t="shared" si="10"/>
        <v>41.233333333333334</v>
      </c>
      <c r="B655" s="460">
        <v>41499</v>
      </c>
      <c r="C655" s="461" t="s">
        <v>452</v>
      </c>
      <c r="D655" s="461" t="s">
        <v>506</v>
      </c>
      <c r="E655" s="461" t="s">
        <v>553</v>
      </c>
      <c r="F655" s="290" t="s">
        <v>298</v>
      </c>
      <c r="G655" s="290" t="s">
        <v>593</v>
      </c>
      <c r="H655" s="291"/>
      <c r="I655" s="291"/>
      <c r="J655" s="291">
        <v>130</v>
      </c>
      <c r="K655" s="291">
        <v>288</v>
      </c>
      <c r="L655" s="292">
        <v>115</v>
      </c>
      <c r="M655" s="292">
        <v>288</v>
      </c>
      <c r="N655" s="292">
        <v>115</v>
      </c>
      <c r="O655" s="292">
        <v>115</v>
      </c>
      <c r="P655" s="294">
        <v>115</v>
      </c>
      <c r="Q655" s="294">
        <v>115</v>
      </c>
      <c r="R655" s="294"/>
      <c r="S655" s="294"/>
      <c r="T655" s="294"/>
      <c r="U655" s="294"/>
      <c r="V655" s="431"/>
      <c r="W655" s="294"/>
      <c r="X655" s="294"/>
      <c r="Y655" s="294">
        <f>IF(NFI_Expiration=1,IF($A655&lt;VLOOKUP(H$5,NFI,5,0),1,0)*Table_NFI[[#This Row],[Hygiene Kit]],Table_NFI[Hygiene Kit])</f>
        <v>0</v>
      </c>
      <c r="Z655" s="294">
        <f>IF(NFI_Expiration=1,IF($A655&lt;VLOOKUP(I$5,NFI,5,0),1,0)*Table_NFI[[#This Row],[NFI Core Kit]],Table_NFI[NFI Core Kit])</f>
        <v>0</v>
      </c>
      <c r="AA655" s="294">
        <f>IF(NFI_Expiration=1,IF($A655&lt;VLOOKUP(J$5,NFI,5,0),1,0)*Table_NFI[[#This Row],[Sanitary Kit]],Table_NFI[Sanitary Kit])</f>
        <v>0</v>
      </c>
      <c r="AB655" s="294">
        <f>IF(NFI_Expiration=1,IF($A655&lt;VLOOKUP(K$5,NFI,5,0),1,0)*Table_NFI[[#This Row],[Mosquito net]],Table_NFI[Mosquito net])</f>
        <v>0</v>
      </c>
      <c r="AC655" s="294">
        <f>IF(NFI_Expiration=1,IF($A655&lt;VLOOKUP(L$5,NFI,5,0),1,0)*Table_NFI[[#This Row],[Tarpaulin]],Table_NFI[[#This Row],[Tarpaulin]])</f>
        <v>0</v>
      </c>
      <c r="AD655" s="294">
        <f>IF(NFI_Expiration=1,IF($A655&lt;VLOOKUP(M$5,NFI,5,0),1,0)*Table_NFI[[#This Row],[Blanket]],Table_NFI[[#This Row],[Blanket]])</f>
        <v>0</v>
      </c>
      <c r="AE655" s="294">
        <f>IF(NFI_Expiration=1,IF($A655&lt;VLOOKUP(N$5,NFI,5,0),1,0)*Table_NFI[[#This Row],[Kitchen Set]],Table_NFI[Kitchen Set])</f>
        <v>0</v>
      </c>
      <c r="AF655" s="294">
        <f>IF(NFI_Expiration=1,IF($A655&lt;VLOOKUP(O$5,NFI,5,0),1,0)*Table_NFI[[#This Row],[Clothes Kit]],Table_NFI[Clothes Kit])</f>
        <v>0</v>
      </c>
      <c r="AG655" s="294">
        <f>IF(NFI_Expiration=1,IF($A655&lt;VLOOKUP(P$5,NFI,5,0),1,0)*Table_NFI[[#This Row],[Plastic Bucket]],Table_NFI[Plastic Bucket])</f>
        <v>0</v>
      </c>
      <c r="AH655" s="294">
        <f>IF(NFI_Expiration=1,IF($A655&lt;VLOOKUP(Q$5,NFI,5,0),1,0)*Table_NFI[[#This Row],[Plastic Mat]],Table_NFI[Plastic Mat])*IF(Table_NFI[[#This Row],[Distribution Date]]&gt;"2014-04-01",1,2.5)</f>
        <v>0</v>
      </c>
      <c r="AI655" s="294">
        <f>IF(NFI_Expiration=1,IF($A655&lt;VLOOKUP(R$5,NFI,5,0),1,0)*Table_NFI[[#This Row],[Winter Clothes Adult]],Table_NFI[Winter Clothes Adult])</f>
        <v>0</v>
      </c>
      <c r="AJ655" s="294">
        <f>IF(NFI_Expiration=1,IF($A655&lt;VLOOKUP(S$5,NFI,5,0),1,0)*Table_NFI[[#This Row],[Winter Clothes Children]],Table_NFI[Winter Clothes Children])</f>
        <v>0</v>
      </c>
      <c r="AK655" s="294">
        <f>IF(NFI_Expiration=1,IF($A655&lt;VLOOKUP(T$5,NFI,5,0),1,0)*Table_NFI[[#This Row],[Winter Items Other]],Table_NFI[Winter Items Other])</f>
        <v>0</v>
      </c>
      <c r="AL655" s="294">
        <f>IF(NFI_Expiration=1,IF($A655&lt;VLOOKUP(M$5,NFI,5,0),1,0)*Table_NFI[[#This Row],[Winter Blanket]],Table_NFI[[#This Row],[Winter Blanket]])</f>
        <v>0</v>
      </c>
      <c r="AM655" s="294">
        <f>IF(Table_NFI[[#This Row],[Winter Clothes Adult]]+Table_NFI[[#This Row],[Winter Clothes Children]]+Table_NFI[[#This Row],[Winter Items Other]]+Table_NFI[[#This Row],[Winter Blanket]]&gt;0,1,0)</f>
        <v>0</v>
      </c>
      <c r="AN655" s="331">
        <f>IF(NFI_Expiration=1,IF($A655&lt;VLOOKUP(V$5,NFI,5,0),1,0)*Table_NFI[[#This Row],[Jerry Can]],Table_NFI[Jerry Can])</f>
        <v>0</v>
      </c>
      <c r="AO655" s="331">
        <f>IF(NFI_Expiration=1,IF($A655&lt;VLOOKUP(V$5,NFI,5,0),1,0)*Table_NFI[[#This Row],[Shelter Tool kit]],Table_NFI[Shelter Tool kit])</f>
        <v>0</v>
      </c>
      <c r="AP655" s="331">
        <f>IF(NFI_Expiration=1,IF($A655&lt;VLOOKUP(V$5,NFI,5,0),1,0)*Table_NFI[[#This Row],[Tent]],Table_NFI[Tent])</f>
        <v>0</v>
      </c>
      <c r="AQ655" s="467" t="str">
        <f>IFERROR(VLOOKUP(Table_NFI[[#This Row],[Camp Name]],CL,2,0),"")</f>
        <v>MMR015CMP210</v>
      </c>
      <c r="AR655" s="835">
        <f ca="1">IF(Table_NFI[[#This Row],[Pcode]]="","",IF(OFFSET(CampList[Opening Date],MATCH(Table_NFI[[#This Row],[Pcode]],CampList[CP_Pcode],0)-1,0,1,1)&gt;=NFI_Monitor_Date,1,0))</f>
        <v>0</v>
      </c>
      <c r="AS655" s="467" t="str">
        <f>IFERROR(VLOOKUP(Table_NFI[[#This Row],[Camp Name]],CL,3,0),"")</f>
        <v>Open</v>
      </c>
      <c r="AT655" s="294" t="str">
        <f ca="1">IF(Table_NFI[[#This Row],[Pcode]]="","",OFFSET(CampList[Priority],MATCH(Table_NFI[[#This Row],[Pcode]],CampList[CP_Pcode],0)-1,0,1,1))</f>
        <v>P3</v>
      </c>
      <c r="AU655" s="293" t="str">
        <f>IFERROR(Table_NFI[[#This Row],[Kitchen Set]]/VLOOKUP(Table_NFI[[#This Row],[Camp Name]],CL,4,0),"")</f>
        <v/>
      </c>
      <c r="AV655" s="461" t="s">
        <v>1092</v>
      </c>
      <c r="AW655" s="463"/>
    </row>
    <row r="656" spans="1:49" x14ac:dyDescent="0.25">
      <c r="A656" s="297">
        <f t="shared" si="10"/>
        <v>41.233333333333334</v>
      </c>
      <c r="B656" s="460">
        <v>41499</v>
      </c>
      <c r="C656" s="461" t="s">
        <v>452</v>
      </c>
      <c r="D656" s="462" t="s">
        <v>506</v>
      </c>
      <c r="E656" s="461" t="s">
        <v>553</v>
      </c>
      <c r="F656" s="290" t="s">
        <v>146</v>
      </c>
      <c r="G656" s="290" t="s">
        <v>367</v>
      </c>
      <c r="H656" s="291"/>
      <c r="I656" s="291"/>
      <c r="J656" s="291">
        <v>70</v>
      </c>
      <c r="K656" s="291">
        <v>130</v>
      </c>
      <c r="L656" s="292">
        <v>52</v>
      </c>
      <c r="M656" s="292">
        <v>130</v>
      </c>
      <c r="N656" s="292">
        <v>52</v>
      </c>
      <c r="O656" s="292">
        <v>52</v>
      </c>
      <c r="P656" s="294">
        <v>52</v>
      </c>
      <c r="Q656" s="294">
        <v>52</v>
      </c>
      <c r="R656" s="294"/>
      <c r="S656" s="294"/>
      <c r="T656" s="294"/>
      <c r="U656" s="294"/>
      <c r="V656" s="431"/>
      <c r="W656" s="331"/>
      <c r="X656" s="331"/>
      <c r="Y656" s="294">
        <f>IF(NFI_Expiration=1,IF($A656&lt;VLOOKUP(H$5,NFI,5,0),1,0)*Table_NFI[[#This Row],[Hygiene Kit]],Table_NFI[Hygiene Kit])</f>
        <v>0</v>
      </c>
      <c r="Z656" s="294">
        <f>IF(NFI_Expiration=1,IF($A656&lt;VLOOKUP(I$5,NFI,5,0),1,0)*Table_NFI[[#This Row],[NFI Core Kit]],Table_NFI[NFI Core Kit])</f>
        <v>0</v>
      </c>
      <c r="AA656" s="294">
        <f>IF(NFI_Expiration=1,IF($A656&lt;VLOOKUP(J$5,NFI,5,0),1,0)*Table_NFI[[#This Row],[Sanitary Kit]],Table_NFI[Sanitary Kit])</f>
        <v>0</v>
      </c>
      <c r="AB656" s="294">
        <f>IF(NFI_Expiration=1,IF($A656&lt;VLOOKUP(K$5,NFI,5,0),1,0)*Table_NFI[[#This Row],[Mosquito net]],Table_NFI[Mosquito net])</f>
        <v>0</v>
      </c>
      <c r="AC656" s="294">
        <f>IF(NFI_Expiration=1,IF($A656&lt;VLOOKUP(L$5,NFI,5,0),1,0)*Table_NFI[[#This Row],[Tarpaulin]],Table_NFI[[#This Row],[Tarpaulin]])</f>
        <v>0</v>
      </c>
      <c r="AD656" s="294">
        <f>IF(NFI_Expiration=1,IF($A656&lt;VLOOKUP(M$5,NFI,5,0),1,0)*Table_NFI[[#This Row],[Blanket]],Table_NFI[[#This Row],[Blanket]])</f>
        <v>0</v>
      </c>
      <c r="AE656" s="294">
        <f>IF(NFI_Expiration=1,IF($A656&lt;VLOOKUP(N$5,NFI,5,0),1,0)*Table_NFI[[#This Row],[Kitchen Set]],Table_NFI[Kitchen Set])</f>
        <v>0</v>
      </c>
      <c r="AF656" s="294">
        <f>IF(NFI_Expiration=1,IF($A656&lt;VLOOKUP(O$5,NFI,5,0),1,0)*Table_NFI[[#This Row],[Clothes Kit]],Table_NFI[Clothes Kit])</f>
        <v>0</v>
      </c>
      <c r="AG656" s="294">
        <f>IF(NFI_Expiration=1,IF($A656&lt;VLOOKUP(P$5,NFI,5,0),1,0)*Table_NFI[[#This Row],[Plastic Bucket]],Table_NFI[Plastic Bucket])</f>
        <v>0</v>
      </c>
      <c r="AH656" s="294">
        <f>IF(NFI_Expiration=1,IF($A656&lt;VLOOKUP(Q$5,NFI,5,0),1,0)*Table_NFI[[#This Row],[Plastic Mat]],Table_NFI[Plastic Mat])*IF(Table_NFI[[#This Row],[Distribution Date]]&gt;"2014-04-01",1,2.5)</f>
        <v>0</v>
      </c>
      <c r="AI656" s="294">
        <f>IF(NFI_Expiration=1,IF($A656&lt;VLOOKUP(R$5,NFI,5,0),1,0)*Table_NFI[[#This Row],[Winter Clothes Adult]],Table_NFI[Winter Clothes Adult])</f>
        <v>0</v>
      </c>
      <c r="AJ656" s="294">
        <f>IF(NFI_Expiration=1,IF($A656&lt;VLOOKUP(S$5,NFI,5,0),1,0)*Table_NFI[[#This Row],[Winter Clothes Children]],Table_NFI[Winter Clothes Children])</f>
        <v>0</v>
      </c>
      <c r="AK656" s="294">
        <f>IF(NFI_Expiration=1,IF($A656&lt;VLOOKUP(T$5,NFI,5,0),1,0)*Table_NFI[[#This Row],[Winter Items Other]],Table_NFI[Winter Items Other])</f>
        <v>0</v>
      </c>
      <c r="AL656" s="294">
        <f>IF(NFI_Expiration=1,IF($A656&lt;VLOOKUP(M$5,NFI,5,0),1,0)*Table_NFI[[#This Row],[Winter Blanket]],Table_NFI[[#This Row],[Winter Blanket]])</f>
        <v>0</v>
      </c>
      <c r="AM656" s="294">
        <f>IF(Table_NFI[[#This Row],[Winter Clothes Adult]]+Table_NFI[[#This Row],[Winter Clothes Children]]+Table_NFI[[#This Row],[Winter Items Other]]+Table_NFI[[#This Row],[Winter Blanket]]&gt;0,1,0)</f>
        <v>0</v>
      </c>
      <c r="AN656" s="331">
        <f>IF(NFI_Expiration=1,IF($A656&lt;VLOOKUP(V$5,NFI,5,0),1,0)*Table_NFI[[#This Row],[Jerry Can]],Table_NFI[Jerry Can])</f>
        <v>0</v>
      </c>
      <c r="AO656" s="331">
        <f>IF(NFI_Expiration=1,IF($A656&lt;VLOOKUP(V$5,NFI,5,0),1,0)*Table_NFI[[#This Row],[Shelter Tool kit]],Table_NFI[Shelter Tool kit])</f>
        <v>0</v>
      </c>
      <c r="AP656" s="331">
        <f>IF(NFI_Expiration=1,IF($A656&lt;VLOOKUP(V$5,NFI,5,0),1,0)*Table_NFI[[#This Row],[Tent]],Table_NFI[Tent])</f>
        <v>0</v>
      </c>
      <c r="AQ656" s="467" t="str">
        <f>IFERROR(VLOOKUP(Table_NFI[[#This Row],[Camp Name]],CL,2,0),"")</f>
        <v>MMR015CMP019</v>
      </c>
      <c r="AR656" s="835">
        <f ca="1">IF(Table_NFI[[#This Row],[Pcode]]="","",IF(OFFSET(CampList[Opening Date],MATCH(Table_NFI[[#This Row],[Pcode]],CampList[CP_Pcode],0)-1,0,1,1)&gt;=NFI_Monitor_Date,1,0))</f>
        <v>0</v>
      </c>
      <c r="AS656" s="467" t="str">
        <f>IFERROR(VLOOKUP(Table_NFI[[#This Row],[Camp Name]],CL,3,0),"")</f>
        <v>Closed</v>
      </c>
      <c r="AT656" s="294" t="str">
        <f ca="1">IF(Table_NFI[[#This Row],[Pcode]]="","",OFFSET(CampList[Priority],MATCH(Table_NFI[[#This Row],[Pcode]],CampList[CP_Pcode],0)-1,0,1,1))</f>
        <v/>
      </c>
      <c r="AU656" s="293">
        <f>IFERROR(Table_NFI[[#This Row],[Kitchen Set]]/VLOOKUP(Table_NFI[[#This Row],[Camp Name]],CL,4,0),"")</f>
        <v>1.2749160271655184E-3</v>
      </c>
      <c r="AV656" s="461" t="s">
        <v>1092</v>
      </c>
      <c r="AW656" s="463"/>
    </row>
    <row r="657" spans="1:49" x14ac:dyDescent="0.25">
      <c r="A657" s="297">
        <f t="shared" si="10"/>
        <v>41.233333333333334</v>
      </c>
      <c r="B657" s="460">
        <v>41499</v>
      </c>
      <c r="C657" s="461" t="s">
        <v>452</v>
      </c>
      <c r="D657" s="461" t="s">
        <v>460</v>
      </c>
      <c r="E657" s="461" t="s">
        <v>553</v>
      </c>
      <c r="F657" s="461" t="s">
        <v>779</v>
      </c>
      <c r="G657" s="290" t="s">
        <v>914</v>
      </c>
      <c r="H657" s="291"/>
      <c r="I657" s="291"/>
      <c r="J657" s="291">
        <v>67</v>
      </c>
      <c r="K657" s="291">
        <v>90</v>
      </c>
      <c r="L657" s="292">
        <v>30</v>
      </c>
      <c r="M657" s="292">
        <v>90</v>
      </c>
      <c r="N657" s="292">
        <v>30</v>
      </c>
      <c r="O657" s="292">
        <v>30</v>
      </c>
      <c r="P657" s="294">
        <v>30</v>
      </c>
      <c r="Q657" s="294">
        <v>30</v>
      </c>
      <c r="R657" s="294"/>
      <c r="S657" s="294"/>
      <c r="T657" s="294"/>
      <c r="U657" s="294"/>
      <c r="V657" s="431"/>
      <c r="W657" s="331"/>
      <c r="X657" s="331"/>
      <c r="Y657" s="294">
        <f>IF(NFI_Expiration=1,IF($A657&lt;VLOOKUP(H$5,NFI,5,0),1,0)*Table_NFI[[#This Row],[Hygiene Kit]],Table_NFI[Hygiene Kit])</f>
        <v>0</v>
      </c>
      <c r="Z657" s="294">
        <f>IF(NFI_Expiration=1,IF($A657&lt;VLOOKUP(I$5,NFI,5,0),1,0)*Table_NFI[[#This Row],[NFI Core Kit]],Table_NFI[NFI Core Kit])</f>
        <v>0</v>
      </c>
      <c r="AA657" s="294">
        <f>IF(NFI_Expiration=1,IF($A657&lt;VLOOKUP(J$5,NFI,5,0),1,0)*Table_NFI[[#This Row],[Sanitary Kit]],Table_NFI[Sanitary Kit])</f>
        <v>0</v>
      </c>
      <c r="AB657" s="294">
        <f>IF(NFI_Expiration=1,IF($A657&lt;VLOOKUP(K$5,NFI,5,0),1,0)*Table_NFI[[#This Row],[Mosquito net]],Table_NFI[Mosquito net])</f>
        <v>0</v>
      </c>
      <c r="AC657" s="294">
        <f>IF(NFI_Expiration=1,IF($A657&lt;VLOOKUP(L$5,NFI,5,0),1,0)*Table_NFI[[#This Row],[Tarpaulin]],Table_NFI[[#This Row],[Tarpaulin]])</f>
        <v>0</v>
      </c>
      <c r="AD657" s="294">
        <f>IF(NFI_Expiration=1,IF($A657&lt;VLOOKUP(M$5,NFI,5,0),1,0)*Table_NFI[[#This Row],[Blanket]],Table_NFI[[#This Row],[Blanket]])</f>
        <v>0</v>
      </c>
      <c r="AE657" s="294">
        <f>IF(NFI_Expiration=1,IF($A657&lt;VLOOKUP(N$5,NFI,5,0),1,0)*Table_NFI[[#This Row],[Kitchen Set]],Table_NFI[Kitchen Set])</f>
        <v>0</v>
      </c>
      <c r="AF657" s="294">
        <f>IF(NFI_Expiration=1,IF($A657&lt;VLOOKUP(O$5,NFI,5,0),1,0)*Table_NFI[[#This Row],[Clothes Kit]],Table_NFI[Clothes Kit])</f>
        <v>0</v>
      </c>
      <c r="AG657" s="294">
        <f>IF(NFI_Expiration=1,IF($A657&lt;VLOOKUP(P$5,NFI,5,0),1,0)*Table_NFI[[#This Row],[Plastic Bucket]],Table_NFI[Plastic Bucket])</f>
        <v>0</v>
      </c>
      <c r="AH657" s="294">
        <f>IF(NFI_Expiration=1,IF($A657&lt;VLOOKUP(Q$5,NFI,5,0),1,0)*Table_NFI[[#This Row],[Plastic Mat]],Table_NFI[Plastic Mat])*IF(Table_NFI[[#This Row],[Distribution Date]]&gt;"2014-04-01",1,2.5)</f>
        <v>0</v>
      </c>
      <c r="AI657" s="294">
        <f>IF(NFI_Expiration=1,IF($A657&lt;VLOOKUP(R$5,NFI,5,0),1,0)*Table_NFI[[#This Row],[Winter Clothes Adult]],Table_NFI[Winter Clothes Adult])</f>
        <v>0</v>
      </c>
      <c r="AJ657" s="294">
        <f>IF(NFI_Expiration=1,IF($A657&lt;VLOOKUP(S$5,NFI,5,0),1,0)*Table_NFI[[#This Row],[Winter Clothes Children]],Table_NFI[Winter Clothes Children])</f>
        <v>0</v>
      </c>
      <c r="AK657" s="294">
        <f>IF(NFI_Expiration=1,IF($A657&lt;VLOOKUP(T$5,NFI,5,0),1,0)*Table_NFI[[#This Row],[Winter Items Other]],Table_NFI[Winter Items Other])</f>
        <v>0</v>
      </c>
      <c r="AL657" s="294">
        <f>IF(NFI_Expiration=1,IF($A657&lt;VLOOKUP(M$5,NFI,5,0),1,0)*Table_NFI[[#This Row],[Winter Blanket]],Table_NFI[[#This Row],[Winter Blanket]])</f>
        <v>0</v>
      </c>
      <c r="AM657" s="294">
        <f>IF(Table_NFI[[#This Row],[Winter Clothes Adult]]+Table_NFI[[#This Row],[Winter Clothes Children]]+Table_NFI[[#This Row],[Winter Items Other]]+Table_NFI[[#This Row],[Winter Blanket]]&gt;0,1,0)</f>
        <v>0</v>
      </c>
      <c r="AN657" s="331">
        <f>IF(NFI_Expiration=1,IF($A657&lt;VLOOKUP(V$5,NFI,5,0),1,0)*Table_NFI[[#This Row],[Jerry Can]],Table_NFI[Jerry Can])</f>
        <v>0</v>
      </c>
      <c r="AO657" s="331">
        <f>IF(NFI_Expiration=1,IF($A657&lt;VLOOKUP(V$5,NFI,5,0),1,0)*Table_NFI[[#This Row],[Shelter Tool kit]],Table_NFI[Shelter Tool kit])</f>
        <v>0</v>
      </c>
      <c r="AP657" s="331">
        <f>IF(NFI_Expiration=1,IF($A657&lt;VLOOKUP(V$5,NFI,5,0),1,0)*Table_NFI[[#This Row],[Tent]],Table_NFI[Tent])</f>
        <v>0</v>
      </c>
      <c r="AQ657" s="467" t="str">
        <f>IFERROR(VLOOKUP(Table_NFI[[#This Row],[Camp Name]],CL,2,0),"")</f>
        <v/>
      </c>
      <c r="AR657" s="835" t="str">
        <f ca="1">IF(Table_NFI[[#This Row],[Pcode]]="","",IF(OFFSET(CampList[Opening Date],MATCH(Table_NFI[[#This Row],[Pcode]],CampList[CP_Pcode],0)-1,0,1,1)&gt;=NFI_Monitor_Date,1,0))</f>
        <v/>
      </c>
      <c r="AS657" s="467" t="str">
        <f>IFERROR(VLOOKUP(Table_NFI[[#This Row],[Camp Name]],CL,3,0),"")</f>
        <v/>
      </c>
      <c r="AT657" s="294" t="str">
        <f ca="1">IF(Table_NFI[[#This Row],[Pcode]]="","",OFFSET(CampList[Priority],MATCH(Table_NFI[[#This Row],[Pcode]],CampList[CP_Pcode],0)-1,0,1,1))</f>
        <v/>
      </c>
      <c r="AU657" s="293" t="str">
        <f>IFERROR(Table_NFI[[#This Row],[Kitchen Set]]/VLOOKUP(Table_NFI[[#This Row],[Camp Name]],CL,4,0),"")</f>
        <v/>
      </c>
      <c r="AV657" s="461" t="s">
        <v>1092</v>
      </c>
      <c r="AW657" s="463"/>
    </row>
    <row r="658" spans="1:49" x14ac:dyDescent="0.25">
      <c r="A658" s="297">
        <f t="shared" si="10"/>
        <v>41.233333333333334</v>
      </c>
      <c r="B658" s="460">
        <v>41499</v>
      </c>
      <c r="C658" s="461" t="s">
        <v>452</v>
      </c>
      <c r="D658" s="461" t="s">
        <v>506</v>
      </c>
      <c r="E658" s="461" t="s">
        <v>553</v>
      </c>
      <c r="F658" s="290" t="s">
        <v>289</v>
      </c>
      <c r="G658" s="290" t="s">
        <v>375</v>
      </c>
      <c r="H658" s="291"/>
      <c r="I658" s="291"/>
      <c r="J658" s="291">
        <v>40</v>
      </c>
      <c r="K658" s="291">
        <v>83</v>
      </c>
      <c r="L658" s="292">
        <v>33</v>
      </c>
      <c r="M658" s="292">
        <v>83</v>
      </c>
      <c r="N658" s="292">
        <v>33</v>
      </c>
      <c r="O658" s="292">
        <v>33</v>
      </c>
      <c r="P658" s="294">
        <v>33</v>
      </c>
      <c r="Q658" s="294">
        <v>33</v>
      </c>
      <c r="R658" s="294"/>
      <c r="S658" s="294"/>
      <c r="T658" s="294"/>
      <c r="U658" s="294"/>
      <c r="V658" s="431"/>
      <c r="W658" s="294"/>
      <c r="X658" s="294"/>
      <c r="Y658" s="294">
        <f>IF(NFI_Expiration=1,IF($A658&lt;VLOOKUP(H$5,NFI,5,0),1,0)*Table_NFI[[#This Row],[Hygiene Kit]],Table_NFI[Hygiene Kit])</f>
        <v>0</v>
      </c>
      <c r="Z658" s="294">
        <f>IF(NFI_Expiration=1,IF($A658&lt;VLOOKUP(I$5,NFI,5,0),1,0)*Table_NFI[[#This Row],[NFI Core Kit]],Table_NFI[NFI Core Kit])</f>
        <v>0</v>
      </c>
      <c r="AA658" s="294">
        <f>IF(NFI_Expiration=1,IF($A658&lt;VLOOKUP(J$5,NFI,5,0),1,0)*Table_NFI[[#This Row],[Sanitary Kit]],Table_NFI[Sanitary Kit])</f>
        <v>0</v>
      </c>
      <c r="AB658" s="294">
        <f>IF(NFI_Expiration=1,IF($A658&lt;VLOOKUP(K$5,NFI,5,0),1,0)*Table_NFI[[#This Row],[Mosquito net]],Table_NFI[Mosquito net])</f>
        <v>0</v>
      </c>
      <c r="AC658" s="294">
        <f>IF(NFI_Expiration=1,IF($A658&lt;VLOOKUP(L$5,NFI,5,0),1,0)*Table_NFI[[#This Row],[Tarpaulin]],Table_NFI[[#This Row],[Tarpaulin]])</f>
        <v>0</v>
      </c>
      <c r="AD658" s="294">
        <f>IF(NFI_Expiration=1,IF($A658&lt;VLOOKUP(M$5,NFI,5,0),1,0)*Table_NFI[[#This Row],[Blanket]],Table_NFI[[#This Row],[Blanket]])</f>
        <v>0</v>
      </c>
      <c r="AE658" s="294">
        <f>IF(NFI_Expiration=1,IF($A658&lt;VLOOKUP(N$5,NFI,5,0),1,0)*Table_NFI[[#This Row],[Kitchen Set]],Table_NFI[Kitchen Set])</f>
        <v>0</v>
      </c>
      <c r="AF658" s="294">
        <f>IF(NFI_Expiration=1,IF($A658&lt;VLOOKUP(O$5,NFI,5,0),1,0)*Table_NFI[[#This Row],[Clothes Kit]],Table_NFI[Clothes Kit])</f>
        <v>0</v>
      </c>
      <c r="AG658" s="294">
        <f>IF(NFI_Expiration=1,IF($A658&lt;VLOOKUP(P$5,NFI,5,0),1,0)*Table_NFI[[#This Row],[Plastic Bucket]],Table_NFI[Plastic Bucket])</f>
        <v>0</v>
      </c>
      <c r="AH658" s="294">
        <f>IF(NFI_Expiration=1,IF($A658&lt;VLOOKUP(Q$5,NFI,5,0),1,0)*Table_NFI[[#This Row],[Plastic Mat]],Table_NFI[Plastic Mat])*IF(Table_NFI[[#This Row],[Distribution Date]]&gt;"2014-04-01",1,2.5)</f>
        <v>0</v>
      </c>
      <c r="AI658" s="294">
        <f>IF(NFI_Expiration=1,IF($A658&lt;VLOOKUP(R$5,NFI,5,0),1,0)*Table_NFI[[#This Row],[Winter Clothes Adult]],Table_NFI[Winter Clothes Adult])</f>
        <v>0</v>
      </c>
      <c r="AJ658" s="294">
        <f>IF(NFI_Expiration=1,IF($A658&lt;VLOOKUP(S$5,NFI,5,0),1,0)*Table_NFI[[#This Row],[Winter Clothes Children]],Table_NFI[Winter Clothes Children])</f>
        <v>0</v>
      </c>
      <c r="AK658" s="294">
        <f>IF(NFI_Expiration=1,IF($A658&lt;VLOOKUP(T$5,NFI,5,0),1,0)*Table_NFI[[#This Row],[Winter Items Other]],Table_NFI[Winter Items Other])</f>
        <v>0</v>
      </c>
      <c r="AL658" s="294">
        <f>IF(NFI_Expiration=1,IF($A658&lt;VLOOKUP(M$5,NFI,5,0),1,0)*Table_NFI[[#This Row],[Winter Blanket]],Table_NFI[[#This Row],[Winter Blanket]])</f>
        <v>0</v>
      </c>
      <c r="AM658" s="294">
        <f>IF(Table_NFI[[#This Row],[Winter Clothes Adult]]+Table_NFI[[#This Row],[Winter Clothes Children]]+Table_NFI[[#This Row],[Winter Items Other]]+Table_NFI[[#This Row],[Winter Blanket]]&gt;0,1,0)</f>
        <v>0</v>
      </c>
      <c r="AN658" s="331">
        <f>IF(NFI_Expiration=1,IF($A658&lt;VLOOKUP(V$5,NFI,5,0),1,0)*Table_NFI[[#This Row],[Jerry Can]],Table_NFI[Jerry Can])</f>
        <v>0</v>
      </c>
      <c r="AO658" s="331">
        <f>IF(NFI_Expiration=1,IF($A658&lt;VLOOKUP(V$5,NFI,5,0),1,0)*Table_NFI[[#This Row],[Shelter Tool kit]],Table_NFI[Shelter Tool kit])</f>
        <v>0</v>
      </c>
      <c r="AP658" s="331">
        <f>IF(NFI_Expiration=1,IF($A658&lt;VLOOKUP(V$5,NFI,5,0),1,0)*Table_NFI[[#This Row],[Tent]],Table_NFI[Tent])</f>
        <v>0</v>
      </c>
      <c r="AQ658" s="467" t="str">
        <f>IFERROR(VLOOKUP(Table_NFI[[#This Row],[Camp Name]],CL,2,0),"")</f>
        <v>MMR015CMP024</v>
      </c>
      <c r="AR658" s="835">
        <f ca="1">IF(Table_NFI[[#This Row],[Pcode]]="","",IF(OFFSET(CampList[Opening Date],MATCH(Table_NFI[[#This Row],[Pcode]],CampList[CP_Pcode],0)-1,0,1,1)&gt;=NFI_Monitor_Date,1,0))</f>
        <v>0</v>
      </c>
      <c r="AS658" s="467" t="str">
        <f>IFERROR(VLOOKUP(Table_NFI[[#This Row],[Camp Name]],CL,3,0),"")</f>
        <v>Closed</v>
      </c>
      <c r="AT658" s="294" t="str">
        <f ca="1">IF(Table_NFI[[#This Row],[Pcode]]="","",OFFSET(CampList[Priority],MATCH(Table_NFI[[#This Row],[Pcode]],CampList[CP_Pcode],0)-1,0,1,1))</f>
        <v/>
      </c>
      <c r="AU658" s="293" t="str">
        <f>IFERROR(Table_NFI[[#This Row],[Kitchen Set]]/VLOOKUP(Table_NFI[[#This Row],[Camp Name]],CL,4,0),"")</f>
        <v/>
      </c>
      <c r="AV658" s="461" t="s">
        <v>1092</v>
      </c>
      <c r="AW658" s="463"/>
    </row>
    <row r="659" spans="1:49" ht="14.45" customHeight="1" x14ac:dyDescent="0.25">
      <c r="A659" s="297">
        <f t="shared" si="10"/>
        <v>41.233333333333334</v>
      </c>
      <c r="B659" s="460">
        <v>41499</v>
      </c>
      <c r="C659" s="461" t="s">
        <v>452</v>
      </c>
      <c r="D659" s="461" t="s">
        <v>460</v>
      </c>
      <c r="E659" s="461" t="s">
        <v>553</v>
      </c>
      <c r="F659" s="290" t="s">
        <v>779</v>
      </c>
      <c r="G659" s="290" t="s">
        <v>594</v>
      </c>
      <c r="H659" s="291"/>
      <c r="I659" s="291"/>
      <c r="J659" s="291">
        <v>27</v>
      </c>
      <c r="K659" s="291">
        <v>43</v>
      </c>
      <c r="L659" s="292">
        <v>17</v>
      </c>
      <c r="M659" s="292">
        <v>43</v>
      </c>
      <c r="N659" s="292">
        <v>17</v>
      </c>
      <c r="O659" s="292">
        <v>17</v>
      </c>
      <c r="P659" s="294">
        <v>17</v>
      </c>
      <c r="Q659" s="294">
        <v>17</v>
      </c>
      <c r="R659" s="294"/>
      <c r="S659" s="294"/>
      <c r="T659" s="294"/>
      <c r="U659" s="294"/>
      <c r="V659" s="431"/>
      <c r="W659" s="294"/>
      <c r="X659" s="294"/>
      <c r="Y659" s="294">
        <f>IF(NFI_Expiration=1,IF($A659&lt;VLOOKUP(H$5,NFI,5,0),1,0)*Table_NFI[[#This Row],[Hygiene Kit]],Table_NFI[Hygiene Kit])</f>
        <v>0</v>
      </c>
      <c r="Z659" s="294">
        <f>IF(NFI_Expiration=1,IF($A659&lt;VLOOKUP(I$5,NFI,5,0),1,0)*Table_NFI[[#This Row],[NFI Core Kit]],Table_NFI[NFI Core Kit])</f>
        <v>0</v>
      </c>
      <c r="AA659" s="294">
        <f>IF(NFI_Expiration=1,IF($A659&lt;VLOOKUP(J$5,NFI,5,0),1,0)*Table_NFI[[#This Row],[Sanitary Kit]],Table_NFI[Sanitary Kit])</f>
        <v>0</v>
      </c>
      <c r="AB659" s="294">
        <f>IF(NFI_Expiration=1,IF($A659&lt;VLOOKUP(K$5,NFI,5,0),1,0)*Table_NFI[[#This Row],[Mosquito net]],Table_NFI[Mosquito net])</f>
        <v>0</v>
      </c>
      <c r="AC659" s="294">
        <f>IF(NFI_Expiration=1,IF($A659&lt;VLOOKUP(L$5,NFI,5,0),1,0)*Table_NFI[[#This Row],[Tarpaulin]],Table_NFI[[#This Row],[Tarpaulin]])</f>
        <v>0</v>
      </c>
      <c r="AD659" s="294">
        <f>IF(NFI_Expiration=1,IF($A659&lt;VLOOKUP(M$5,NFI,5,0),1,0)*Table_NFI[[#This Row],[Blanket]],Table_NFI[[#This Row],[Blanket]])</f>
        <v>0</v>
      </c>
      <c r="AE659" s="294">
        <f>IF(NFI_Expiration=1,IF($A659&lt;VLOOKUP(N$5,NFI,5,0),1,0)*Table_NFI[[#This Row],[Kitchen Set]],Table_NFI[Kitchen Set])</f>
        <v>0</v>
      </c>
      <c r="AF659" s="294">
        <f>IF(NFI_Expiration=1,IF($A659&lt;VLOOKUP(O$5,NFI,5,0),1,0)*Table_NFI[[#This Row],[Clothes Kit]],Table_NFI[Clothes Kit])</f>
        <v>0</v>
      </c>
      <c r="AG659" s="294">
        <f>IF(NFI_Expiration=1,IF($A659&lt;VLOOKUP(P$5,NFI,5,0),1,0)*Table_NFI[[#This Row],[Plastic Bucket]],Table_NFI[Plastic Bucket])</f>
        <v>0</v>
      </c>
      <c r="AH659" s="294">
        <f>IF(NFI_Expiration=1,IF($A659&lt;VLOOKUP(Q$5,NFI,5,0),1,0)*Table_NFI[[#This Row],[Plastic Mat]],Table_NFI[Plastic Mat])*IF(Table_NFI[[#This Row],[Distribution Date]]&gt;"2014-04-01",1,2.5)</f>
        <v>0</v>
      </c>
      <c r="AI659" s="294">
        <f>IF(NFI_Expiration=1,IF($A659&lt;VLOOKUP(R$5,NFI,5,0),1,0)*Table_NFI[[#This Row],[Winter Clothes Adult]],Table_NFI[Winter Clothes Adult])</f>
        <v>0</v>
      </c>
      <c r="AJ659" s="294">
        <f>IF(NFI_Expiration=1,IF($A659&lt;VLOOKUP(S$5,NFI,5,0),1,0)*Table_NFI[[#This Row],[Winter Clothes Children]],Table_NFI[Winter Clothes Children])</f>
        <v>0</v>
      </c>
      <c r="AK659" s="294">
        <f>IF(NFI_Expiration=1,IF($A659&lt;VLOOKUP(T$5,NFI,5,0),1,0)*Table_NFI[[#This Row],[Winter Items Other]],Table_NFI[Winter Items Other])</f>
        <v>0</v>
      </c>
      <c r="AL659" s="294">
        <f>IF(NFI_Expiration=1,IF($A659&lt;VLOOKUP(M$5,NFI,5,0),1,0)*Table_NFI[[#This Row],[Winter Blanket]],Table_NFI[[#This Row],[Winter Blanket]])</f>
        <v>0</v>
      </c>
      <c r="AM659" s="294">
        <f>IF(Table_NFI[[#This Row],[Winter Clothes Adult]]+Table_NFI[[#This Row],[Winter Clothes Children]]+Table_NFI[[#This Row],[Winter Items Other]]+Table_NFI[[#This Row],[Winter Blanket]]&gt;0,1,0)</f>
        <v>0</v>
      </c>
      <c r="AN659" s="331">
        <f>IF(NFI_Expiration=1,IF($A659&lt;VLOOKUP(V$5,NFI,5,0),1,0)*Table_NFI[[#This Row],[Jerry Can]],Table_NFI[Jerry Can])</f>
        <v>0</v>
      </c>
      <c r="AO659" s="331">
        <f>IF(NFI_Expiration=1,IF($A659&lt;VLOOKUP(V$5,NFI,5,0),1,0)*Table_NFI[[#This Row],[Shelter Tool kit]],Table_NFI[Shelter Tool kit])</f>
        <v>0</v>
      </c>
      <c r="AP659" s="331">
        <f>IF(NFI_Expiration=1,IF($A659&lt;VLOOKUP(V$5,NFI,5,0),1,0)*Table_NFI[[#This Row],[Tent]],Table_NFI[Tent])</f>
        <v>0</v>
      </c>
      <c r="AQ659" s="467" t="str">
        <f>IFERROR(VLOOKUP(Table_NFI[[#This Row],[Camp Name]],CL,2,0),"")</f>
        <v>MMR015CMP207</v>
      </c>
      <c r="AR659" s="835">
        <f ca="1">IF(Table_NFI[[#This Row],[Pcode]]="","",IF(OFFSET(CampList[Opening Date],MATCH(Table_NFI[[#This Row],[Pcode]],CampList[CP_Pcode],0)-1,0,1,1)&gt;=NFI_Monitor_Date,1,0))</f>
        <v>0</v>
      </c>
      <c r="AS659" s="467" t="str">
        <f>IFERROR(VLOOKUP(Table_NFI[[#This Row],[Camp Name]],CL,3,0),"")</f>
        <v>Open</v>
      </c>
      <c r="AT659" s="294" t="str">
        <f ca="1">IF(Table_NFI[[#This Row],[Pcode]]="","",OFFSET(CampList[Priority],MATCH(Table_NFI[[#This Row],[Pcode]],CampList[CP_Pcode],0)-1,0,1,1))</f>
        <v>P4</v>
      </c>
      <c r="AU659" s="293">
        <f>IFERROR(Table_NFI[[#This Row],[Kitchen Set]]/VLOOKUP(Table_NFI[[#This Row],[Camp Name]],CL,4,0),"")</f>
        <v>4.1097546234739513E-4</v>
      </c>
      <c r="AV659" s="461" t="s">
        <v>1092</v>
      </c>
      <c r="AW659" s="463"/>
    </row>
    <row r="660" spans="1:49" ht="14.45" customHeight="1" x14ac:dyDescent="0.25">
      <c r="A660" s="297">
        <f t="shared" si="10"/>
        <v>41.43333333333333</v>
      </c>
      <c r="B660" s="460">
        <v>41493</v>
      </c>
      <c r="C660" s="461" t="s">
        <v>452</v>
      </c>
      <c r="D660" s="461" t="s">
        <v>452</v>
      </c>
      <c r="E660" s="461" t="s">
        <v>380</v>
      </c>
      <c r="F660" s="290" t="s">
        <v>310</v>
      </c>
      <c r="G660" s="290" t="s">
        <v>320</v>
      </c>
      <c r="H660" s="291"/>
      <c r="I660" s="291"/>
      <c r="J660" s="291">
        <v>15</v>
      </c>
      <c r="K660" s="291">
        <v>57</v>
      </c>
      <c r="L660" s="292">
        <v>24</v>
      </c>
      <c r="M660" s="292">
        <v>57</v>
      </c>
      <c r="N660" s="292">
        <v>24</v>
      </c>
      <c r="O660" s="292">
        <v>24</v>
      </c>
      <c r="P660" s="294">
        <v>24</v>
      </c>
      <c r="Q660" s="294">
        <v>24</v>
      </c>
      <c r="R660" s="294"/>
      <c r="S660" s="294"/>
      <c r="T660" s="294"/>
      <c r="U660" s="294"/>
      <c r="V660" s="431"/>
      <c r="W660" s="294"/>
      <c r="X660" s="294"/>
      <c r="Y660" s="294">
        <f>IF(NFI_Expiration=1,IF($A660&lt;VLOOKUP(H$5,NFI,5,0),1,0)*Table_NFI[[#This Row],[Hygiene Kit]],Table_NFI[Hygiene Kit])</f>
        <v>0</v>
      </c>
      <c r="Z660" s="294">
        <f>IF(NFI_Expiration=1,IF($A660&lt;VLOOKUP(I$5,NFI,5,0),1,0)*Table_NFI[[#This Row],[NFI Core Kit]],Table_NFI[NFI Core Kit])</f>
        <v>0</v>
      </c>
      <c r="AA660" s="294">
        <f>IF(NFI_Expiration=1,IF($A660&lt;VLOOKUP(J$5,NFI,5,0),1,0)*Table_NFI[[#This Row],[Sanitary Kit]],Table_NFI[Sanitary Kit])</f>
        <v>0</v>
      </c>
      <c r="AB660" s="294">
        <f>IF(NFI_Expiration=1,IF($A660&lt;VLOOKUP(K$5,NFI,5,0),1,0)*Table_NFI[[#This Row],[Mosquito net]],Table_NFI[Mosquito net])</f>
        <v>0</v>
      </c>
      <c r="AC660" s="294">
        <f>IF(NFI_Expiration=1,IF($A660&lt;VLOOKUP(L$5,NFI,5,0),1,0)*Table_NFI[[#This Row],[Tarpaulin]],Table_NFI[[#This Row],[Tarpaulin]])</f>
        <v>0</v>
      </c>
      <c r="AD660" s="294">
        <f>IF(NFI_Expiration=1,IF($A660&lt;VLOOKUP(M$5,NFI,5,0),1,0)*Table_NFI[[#This Row],[Blanket]],Table_NFI[[#This Row],[Blanket]])</f>
        <v>0</v>
      </c>
      <c r="AE660" s="294">
        <f>IF(NFI_Expiration=1,IF($A660&lt;VLOOKUP(N$5,NFI,5,0),1,0)*Table_NFI[[#This Row],[Kitchen Set]],Table_NFI[Kitchen Set])</f>
        <v>0</v>
      </c>
      <c r="AF660" s="294">
        <f>IF(NFI_Expiration=1,IF($A660&lt;VLOOKUP(O$5,NFI,5,0),1,0)*Table_NFI[[#This Row],[Clothes Kit]],Table_NFI[Clothes Kit])</f>
        <v>0</v>
      </c>
      <c r="AG660" s="294">
        <f>IF(NFI_Expiration=1,IF($A660&lt;VLOOKUP(P$5,NFI,5,0),1,0)*Table_NFI[[#This Row],[Plastic Bucket]],Table_NFI[Plastic Bucket])</f>
        <v>0</v>
      </c>
      <c r="AH660" s="294">
        <f>IF(NFI_Expiration=1,IF($A660&lt;VLOOKUP(Q$5,NFI,5,0),1,0)*Table_NFI[[#This Row],[Plastic Mat]],Table_NFI[Plastic Mat])*IF(Table_NFI[[#This Row],[Distribution Date]]&gt;"2014-04-01",1,2.5)</f>
        <v>0</v>
      </c>
      <c r="AI660" s="294">
        <f>IF(NFI_Expiration=1,IF($A660&lt;VLOOKUP(R$5,NFI,5,0),1,0)*Table_NFI[[#This Row],[Winter Clothes Adult]],Table_NFI[Winter Clothes Adult])</f>
        <v>0</v>
      </c>
      <c r="AJ660" s="294">
        <f>IF(NFI_Expiration=1,IF($A660&lt;VLOOKUP(S$5,NFI,5,0),1,0)*Table_NFI[[#This Row],[Winter Clothes Children]],Table_NFI[Winter Clothes Children])</f>
        <v>0</v>
      </c>
      <c r="AK660" s="294">
        <f>IF(NFI_Expiration=1,IF($A660&lt;VLOOKUP(T$5,NFI,5,0),1,0)*Table_NFI[[#This Row],[Winter Items Other]],Table_NFI[Winter Items Other])</f>
        <v>0</v>
      </c>
      <c r="AL660" s="294">
        <f>IF(NFI_Expiration=1,IF($A660&lt;VLOOKUP(M$5,NFI,5,0),1,0)*Table_NFI[[#This Row],[Winter Blanket]],Table_NFI[[#This Row],[Winter Blanket]])</f>
        <v>0</v>
      </c>
      <c r="AM660" s="294">
        <f>IF(Table_NFI[[#This Row],[Winter Clothes Adult]]+Table_NFI[[#This Row],[Winter Clothes Children]]+Table_NFI[[#This Row],[Winter Items Other]]+Table_NFI[[#This Row],[Winter Blanket]]&gt;0,1,0)</f>
        <v>0</v>
      </c>
      <c r="AN660" s="331">
        <f>IF(NFI_Expiration=1,IF($A660&lt;VLOOKUP(V$5,NFI,5,0),1,0)*Table_NFI[[#This Row],[Jerry Can]],Table_NFI[Jerry Can])</f>
        <v>0</v>
      </c>
      <c r="AO660" s="331">
        <f>IF(NFI_Expiration=1,IF($A660&lt;VLOOKUP(V$5,NFI,5,0),1,0)*Table_NFI[[#This Row],[Shelter Tool kit]],Table_NFI[Shelter Tool kit])</f>
        <v>0</v>
      </c>
      <c r="AP660" s="331">
        <f>IF(NFI_Expiration=1,IF($A660&lt;VLOOKUP(V$5,NFI,5,0),1,0)*Table_NFI[[#This Row],[Tent]],Table_NFI[Tent])</f>
        <v>0</v>
      </c>
      <c r="AQ660" s="467" t="str">
        <f>IFERROR(VLOOKUP(Table_NFI[[#This Row],[Camp Name]],CL,2,0),"")</f>
        <v>MMR001CMP027</v>
      </c>
      <c r="AR660" s="835">
        <f ca="1">IF(Table_NFI[[#This Row],[Pcode]]="","",IF(OFFSET(CampList[Opening Date],MATCH(Table_NFI[[#This Row],[Pcode]],CampList[CP_Pcode],0)-1,0,1,1)&gt;=NFI_Monitor_Date,1,0))</f>
        <v>0</v>
      </c>
      <c r="AS660" s="467" t="str">
        <f>IFERROR(VLOOKUP(Table_NFI[[#This Row],[Camp Name]],CL,3,0),"")</f>
        <v>Open</v>
      </c>
      <c r="AT660" s="294" t="str">
        <f ca="1">IF(Table_NFI[[#This Row],[Pcode]]="","",OFFSET(CampList[Priority],MATCH(Table_NFI[[#This Row],[Pcode]],CampList[CP_Pcode],0)-1,0,1,1))</f>
        <v>P4</v>
      </c>
      <c r="AU660" s="293">
        <f>IFERROR(Table_NFI[[#This Row],[Kitchen Set]]/VLOOKUP(Table_NFI[[#This Row],[Camp Name]],CL,4,0),"")</f>
        <v>5.849378503534E-4</v>
      </c>
      <c r="AV660" s="461" t="s">
        <v>1092</v>
      </c>
      <c r="AW660" s="463"/>
    </row>
    <row r="661" spans="1:49" ht="14.45" customHeight="1" x14ac:dyDescent="0.25">
      <c r="A661" s="297">
        <f t="shared" si="10"/>
        <v>41.43333333333333</v>
      </c>
      <c r="B661" s="460">
        <v>41493</v>
      </c>
      <c r="C661" s="461" t="s">
        <v>452</v>
      </c>
      <c r="D661" s="462" t="s">
        <v>452</v>
      </c>
      <c r="E661" s="461" t="s">
        <v>380</v>
      </c>
      <c r="F661" s="290" t="s">
        <v>310</v>
      </c>
      <c r="G661" s="290" t="s">
        <v>328</v>
      </c>
      <c r="H661" s="291"/>
      <c r="I661" s="291"/>
      <c r="J661" s="291">
        <v>20</v>
      </c>
      <c r="K661" s="291">
        <v>40</v>
      </c>
      <c r="L661" s="292">
        <v>17</v>
      </c>
      <c r="M661" s="292">
        <v>40</v>
      </c>
      <c r="N661" s="292">
        <v>17</v>
      </c>
      <c r="O661" s="292">
        <v>17</v>
      </c>
      <c r="P661" s="294">
        <v>17</v>
      </c>
      <c r="Q661" s="294">
        <v>17</v>
      </c>
      <c r="R661" s="294"/>
      <c r="S661" s="294"/>
      <c r="T661" s="294"/>
      <c r="U661" s="294"/>
      <c r="V661" s="431"/>
      <c r="W661" s="294"/>
      <c r="X661" s="294"/>
      <c r="Y661" s="294">
        <f>IF(NFI_Expiration=1,IF($A661&lt;VLOOKUP(H$5,NFI,5,0),1,0)*Table_NFI[[#This Row],[Hygiene Kit]],Table_NFI[Hygiene Kit])</f>
        <v>0</v>
      </c>
      <c r="Z661" s="294">
        <f>IF(NFI_Expiration=1,IF($A661&lt;VLOOKUP(I$5,NFI,5,0),1,0)*Table_NFI[[#This Row],[NFI Core Kit]],Table_NFI[NFI Core Kit])</f>
        <v>0</v>
      </c>
      <c r="AA661" s="294">
        <f>IF(NFI_Expiration=1,IF($A661&lt;VLOOKUP(J$5,NFI,5,0),1,0)*Table_NFI[[#This Row],[Sanitary Kit]],Table_NFI[Sanitary Kit])</f>
        <v>0</v>
      </c>
      <c r="AB661" s="294">
        <f>IF(NFI_Expiration=1,IF($A661&lt;VLOOKUP(K$5,NFI,5,0),1,0)*Table_NFI[[#This Row],[Mosquito net]],Table_NFI[Mosquito net])</f>
        <v>0</v>
      </c>
      <c r="AC661" s="294">
        <f>IF(NFI_Expiration=1,IF($A661&lt;VLOOKUP(L$5,NFI,5,0),1,0)*Table_NFI[[#This Row],[Tarpaulin]],Table_NFI[[#This Row],[Tarpaulin]])</f>
        <v>0</v>
      </c>
      <c r="AD661" s="294">
        <f>IF(NFI_Expiration=1,IF($A661&lt;VLOOKUP(M$5,NFI,5,0),1,0)*Table_NFI[[#This Row],[Blanket]],Table_NFI[[#This Row],[Blanket]])</f>
        <v>0</v>
      </c>
      <c r="AE661" s="294">
        <f>IF(NFI_Expiration=1,IF($A661&lt;VLOOKUP(N$5,NFI,5,0),1,0)*Table_NFI[[#This Row],[Kitchen Set]],Table_NFI[Kitchen Set])</f>
        <v>0</v>
      </c>
      <c r="AF661" s="294">
        <f>IF(NFI_Expiration=1,IF($A661&lt;VLOOKUP(O$5,NFI,5,0),1,0)*Table_NFI[[#This Row],[Clothes Kit]],Table_NFI[Clothes Kit])</f>
        <v>0</v>
      </c>
      <c r="AG661" s="294">
        <f>IF(NFI_Expiration=1,IF($A661&lt;VLOOKUP(P$5,NFI,5,0),1,0)*Table_NFI[[#This Row],[Plastic Bucket]],Table_NFI[Plastic Bucket])</f>
        <v>0</v>
      </c>
      <c r="AH661" s="294">
        <f>IF(NFI_Expiration=1,IF($A661&lt;VLOOKUP(Q$5,NFI,5,0),1,0)*Table_NFI[[#This Row],[Plastic Mat]],Table_NFI[Plastic Mat])*IF(Table_NFI[[#This Row],[Distribution Date]]&gt;"2014-04-01",1,2.5)</f>
        <v>0</v>
      </c>
      <c r="AI661" s="294">
        <f>IF(NFI_Expiration=1,IF($A661&lt;VLOOKUP(R$5,NFI,5,0),1,0)*Table_NFI[[#This Row],[Winter Clothes Adult]],Table_NFI[Winter Clothes Adult])</f>
        <v>0</v>
      </c>
      <c r="AJ661" s="294">
        <f>IF(NFI_Expiration=1,IF($A661&lt;VLOOKUP(S$5,NFI,5,0),1,0)*Table_NFI[[#This Row],[Winter Clothes Children]],Table_NFI[Winter Clothes Children])</f>
        <v>0</v>
      </c>
      <c r="AK661" s="294">
        <f>IF(NFI_Expiration=1,IF($A661&lt;VLOOKUP(T$5,NFI,5,0),1,0)*Table_NFI[[#This Row],[Winter Items Other]],Table_NFI[Winter Items Other])</f>
        <v>0</v>
      </c>
      <c r="AL661" s="294">
        <f>IF(NFI_Expiration=1,IF($A661&lt;VLOOKUP(M$5,NFI,5,0),1,0)*Table_NFI[[#This Row],[Winter Blanket]],Table_NFI[[#This Row],[Winter Blanket]])</f>
        <v>0</v>
      </c>
      <c r="AM661" s="294">
        <f>IF(Table_NFI[[#This Row],[Winter Clothes Adult]]+Table_NFI[[#This Row],[Winter Clothes Children]]+Table_NFI[[#This Row],[Winter Items Other]]+Table_NFI[[#This Row],[Winter Blanket]]&gt;0,1,0)</f>
        <v>0</v>
      </c>
      <c r="AN661" s="331">
        <f>IF(NFI_Expiration=1,IF($A661&lt;VLOOKUP(V$5,NFI,5,0),1,0)*Table_NFI[[#This Row],[Jerry Can]],Table_NFI[Jerry Can])</f>
        <v>0</v>
      </c>
      <c r="AO661" s="331">
        <f>IF(NFI_Expiration=1,IF($A661&lt;VLOOKUP(V$5,NFI,5,0),1,0)*Table_NFI[[#This Row],[Shelter Tool kit]],Table_NFI[Shelter Tool kit])</f>
        <v>0</v>
      </c>
      <c r="AP661" s="331">
        <f>IF(NFI_Expiration=1,IF($A661&lt;VLOOKUP(V$5,NFI,5,0),1,0)*Table_NFI[[#This Row],[Tent]],Table_NFI[Tent])</f>
        <v>0</v>
      </c>
      <c r="AQ661" s="467" t="str">
        <f>IFERROR(VLOOKUP(Table_NFI[[#This Row],[Camp Name]],CL,2,0),"")</f>
        <v>MMR001CMP031</v>
      </c>
      <c r="AR661" s="835">
        <f ca="1">IF(Table_NFI[[#This Row],[Pcode]]="","",IF(OFFSET(CampList[Opening Date],MATCH(Table_NFI[[#This Row],[Pcode]],CampList[CP_Pcode],0)-1,0,1,1)&gt;=NFI_Monitor_Date,1,0))</f>
        <v>0</v>
      </c>
      <c r="AS661" s="467" t="str">
        <f>IFERROR(VLOOKUP(Table_NFI[[#This Row],[Camp Name]],CL,3,0),"")</f>
        <v>Open</v>
      </c>
      <c r="AT661" s="294" t="str">
        <f ca="1">IF(Table_NFI[[#This Row],[Pcode]]="","",OFFSET(CampList[Priority],MATCH(Table_NFI[[#This Row],[Pcode]],CampList[CP_Pcode],0)-1,0,1,1))</f>
        <v>P4</v>
      </c>
      <c r="AU661" s="293">
        <f>IFERROR(Table_NFI[[#This Row],[Kitchen Set]]/VLOOKUP(Table_NFI[[#This Row],[Camp Name]],CL,4,0),"")</f>
        <v>4.1007333076032419E-4</v>
      </c>
      <c r="AV661" s="461" t="s">
        <v>1092</v>
      </c>
      <c r="AW661" s="463"/>
    </row>
    <row r="662" spans="1:49" ht="14.45" customHeight="1" x14ac:dyDescent="0.25">
      <c r="A662" s="297">
        <f t="shared" si="10"/>
        <v>41.43333333333333</v>
      </c>
      <c r="B662" s="460">
        <v>41493</v>
      </c>
      <c r="C662" s="461" t="s">
        <v>452</v>
      </c>
      <c r="D662" s="462" t="s">
        <v>452</v>
      </c>
      <c r="E662" s="461" t="s">
        <v>380</v>
      </c>
      <c r="F662" s="290" t="s">
        <v>237</v>
      </c>
      <c r="G662" s="290" t="s">
        <v>259</v>
      </c>
      <c r="H662" s="291"/>
      <c r="I662" s="291"/>
      <c r="J662" s="291">
        <v>15</v>
      </c>
      <c r="K662" s="291">
        <v>25</v>
      </c>
      <c r="L662" s="292">
        <v>11</v>
      </c>
      <c r="M662" s="292">
        <v>25</v>
      </c>
      <c r="N662" s="292">
        <v>11</v>
      </c>
      <c r="O662" s="292">
        <v>11</v>
      </c>
      <c r="P662" s="294">
        <v>11</v>
      </c>
      <c r="Q662" s="294">
        <v>11</v>
      </c>
      <c r="R662" s="294"/>
      <c r="S662" s="294"/>
      <c r="T662" s="294"/>
      <c r="U662" s="294"/>
      <c r="V662" s="431"/>
      <c r="W662" s="294"/>
      <c r="X662" s="294"/>
      <c r="Y662" s="294">
        <f>IF(NFI_Expiration=1,IF($A662&lt;VLOOKUP(H$5,NFI,5,0),1,0)*Table_NFI[[#This Row],[Hygiene Kit]],Table_NFI[Hygiene Kit])</f>
        <v>0</v>
      </c>
      <c r="Z662" s="294">
        <f>IF(NFI_Expiration=1,IF($A662&lt;VLOOKUP(I$5,NFI,5,0),1,0)*Table_NFI[[#This Row],[NFI Core Kit]],Table_NFI[NFI Core Kit])</f>
        <v>0</v>
      </c>
      <c r="AA662" s="294">
        <f>IF(NFI_Expiration=1,IF($A662&lt;VLOOKUP(J$5,NFI,5,0),1,0)*Table_NFI[[#This Row],[Sanitary Kit]],Table_NFI[Sanitary Kit])</f>
        <v>0</v>
      </c>
      <c r="AB662" s="294">
        <f>IF(NFI_Expiration=1,IF($A662&lt;VLOOKUP(K$5,NFI,5,0),1,0)*Table_NFI[[#This Row],[Mosquito net]],Table_NFI[Mosquito net])</f>
        <v>0</v>
      </c>
      <c r="AC662" s="294">
        <f>IF(NFI_Expiration=1,IF($A662&lt;VLOOKUP(L$5,NFI,5,0),1,0)*Table_NFI[[#This Row],[Tarpaulin]],Table_NFI[[#This Row],[Tarpaulin]])</f>
        <v>0</v>
      </c>
      <c r="AD662" s="294">
        <f>IF(NFI_Expiration=1,IF($A662&lt;VLOOKUP(M$5,NFI,5,0),1,0)*Table_NFI[[#This Row],[Blanket]],Table_NFI[[#This Row],[Blanket]])</f>
        <v>0</v>
      </c>
      <c r="AE662" s="294">
        <f>IF(NFI_Expiration=1,IF($A662&lt;VLOOKUP(N$5,NFI,5,0),1,0)*Table_NFI[[#This Row],[Kitchen Set]],Table_NFI[Kitchen Set])</f>
        <v>0</v>
      </c>
      <c r="AF662" s="294">
        <f>IF(NFI_Expiration=1,IF($A662&lt;VLOOKUP(O$5,NFI,5,0),1,0)*Table_NFI[[#This Row],[Clothes Kit]],Table_NFI[Clothes Kit])</f>
        <v>0</v>
      </c>
      <c r="AG662" s="294">
        <f>IF(NFI_Expiration=1,IF($A662&lt;VLOOKUP(P$5,NFI,5,0),1,0)*Table_NFI[[#This Row],[Plastic Bucket]],Table_NFI[Plastic Bucket])</f>
        <v>0</v>
      </c>
      <c r="AH662" s="294">
        <f>IF(NFI_Expiration=1,IF($A662&lt;VLOOKUP(Q$5,NFI,5,0),1,0)*Table_NFI[[#This Row],[Plastic Mat]],Table_NFI[Plastic Mat])*IF(Table_NFI[[#This Row],[Distribution Date]]&gt;"2014-04-01",1,2.5)</f>
        <v>0</v>
      </c>
      <c r="AI662" s="294">
        <f>IF(NFI_Expiration=1,IF($A662&lt;VLOOKUP(R$5,NFI,5,0),1,0)*Table_NFI[[#This Row],[Winter Clothes Adult]],Table_NFI[Winter Clothes Adult])</f>
        <v>0</v>
      </c>
      <c r="AJ662" s="294">
        <f>IF(NFI_Expiration=1,IF($A662&lt;VLOOKUP(S$5,NFI,5,0),1,0)*Table_NFI[[#This Row],[Winter Clothes Children]],Table_NFI[Winter Clothes Children])</f>
        <v>0</v>
      </c>
      <c r="AK662" s="294">
        <f>IF(NFI_Expiration=1,IF($A662&lt;VLOOKUP(T$5,NFI,5,0),1,0)*Table_NFI[[#This Row],[Winter Items Other]],Table_NFI[Winter Items Other])</f>
        <v>0</v>
      </c>
      <c r="AL662" s="294">
        <f>IF(NFI_Expiration=1,IF($A662&lt;VLOOKUP(M$5,NFI,5,0),1,0)*Table_NFI[[#This Row],[Winter Blanket]],Table_NFI[[#This Row],[Winter Blanket]])</f>
        <v>0</v>
      </c>
      <c r="AM662" s="294">
        <f>IF(Table_NFI[[#This Row],[Winter Clothes Adult]]+Table_NFI[[#This Row],[Winter Clothes Children]]+Table_NFI[[#This Row],[Winter Items Other]]+Table_NFI[[#This Row],[Winter Blanket]]&gt;0,1,0)</f>
        <v>0</v>
      </c>
      <c r="AN662" s="331">
        <f>IF(NFI_Expiration=1,IF($A662&lt;VLOOKUP(V$5,NFI,5,0),1,0)*Table_NFI[[#This Row],[Jerry Can]],Table_NFI[Jerry Can])</f>
        <v>0</v>
      </c>
      <c r="AO662" s="331">
        <f>IF(NFI_Expiration=1,IF($A662&lt;VLOOKUP(V$5,NFI,5,0),1,0)*Table_NFI[[#This Row],[Shelter Tool kit]],Table_NFI[Shelter Tool kit])</f>
        <v>0</v>
      </c>
      <c r="AP662" s="331">
        <f>IF(NFI_Expiration=1,IF($A662&lt;VLOOKUP(V$5,NFI,5,0),1,0)*Table_NFI[[#This Row],[Tent]],Table_NFI[Tent])</f>
        <v>0</v>
      </c>
      <c r="AQ662" s="467" t="str">
        <f>IFERROR(VLOOKUP(Table_NFI[[#This Row],[Camp Name]],CL,2,0),"")</f>
        <v>MMR001CMP016</v>
      </c>
      <c r="AR662" s="835">
        <f ca="1">IF(Table_NFI[[#This Row],[Pcode]]="","",IF(OFFSET(CampList[Opening Date],MATCH(Table_NFI[[#This Row],[Pcode]],CampList[CP_Pcode],0)-1,0,1,1)&gt;=NFI_Monitor_Date,1,0))</f>
        <v>0</v>
      </c>
      <c r="AS662" s="467" t="str">
        <f>IFERROR(VLOOKUP(Table_NFI[[#This Row],[Camp Name]],CL,3,0),"")</f>
        <v>Open</v>
      </c>
      <c r="AT662" s="294" t="str">
        <f ca="1">IF(Table_NFI[[#This Row],[Pcode]]="","",OFFSET(CampList[Priority],MATCH(Table_NFI[[#This Row],[Pcode]],CampList[CP_Pcode],0)-1,0,1,1))</f>
        <v>P4</v>
      </c>
      <c r="AU662" s="293">
        <f>IFERROR(Table_NFI[[#This Row],[Kitchen Set]]/VLOOKUP(Table_NFI[[#This Row],[Camp Name]],CL,4,0),"")</f>
        <v>2.6989891058985181E-4</v>
      </c>
      <c r="AV662" s="461" t="s">
        <v>1092</v>
      </c>
      <c r="AW662" s="463"/>
    </row>
    <row r="663" spans="1:49" ht="14.45" customHeight="1" x14ac:dyDescent="0.25">
      <c r="A663" s="297">
        <f t="shared" si="10"/>
        <v>41.9</v>
      </c>
      <c r="B663" s="460">
        <v>41479</v>
      </c>
      <c r="C663" s="461" t="s">
        <v>452</v>
      </c>
      <c r="D663" s="461" t="s">
        <v>460</v>
      </c>
      <c r="E663" s="461" t="s">
        <v>380</v>
      </c>
      <c r="F663" s="290" t="s">
        <v>237</v>
      </c>
      <c r="G663" s="290" t="s">
        <v>240</v>
      </c>
      <c r="H663" s="291"/>
      <c r="I663" s="291"/>
      <c r="J663" s="291">
        <v>66</v>
      </c>
      <c r="K663" s="291">
        <v>98</v>
      </c>
      <c r="L663" s="292">
        <v>45</v>
      </c>
      <c r="M663" s="292">
        <v>98</v>
      </c>
      <c r="N663" s="292">
        <v>45</v>
      </c>
      <c r="O663" s="292">
        <v>45</v>
      </c>
      <c r="P663" s="294">
        <v>45</v>
      </c>
      <c r="Q663" s="294">
        <v>45</v>
      </c>
      <c r="R663" s="294"/>
      <c r="S663" s="294"/>
      <c r="T663" s="294"/>
      <c r="U663" s="294"/>
      <c r="V663" s="431"/>
      <c r="W663" s="294"/>
      <c r="X663" s="294"/>
      <c r="Y663" s="294">
        <f>IF(NFI_Expiration=1,IF($A663&lt;VLOOKUP(H$5,NFI,5,0),1,0)*Table_NFI[[#This Row],[Hygiene Kit]],Table_NFI[Hygiene Kit])</f>
        <v>0</v>
      </c>
      <c r="Z663" s="294">
        <f>IF(NFI_Expiration=1,IF($A663&lt;VLOOKUP(I$5,NFI,5,0),1,0)*Table_NFI[[#This Row],[NFI Core Kit]],Table_NFI[NFI Core Kit])</f>
        <v>0</v>
      </c>
      <c r="AA663" s="294">
        <f>IF(NFI_Expiration=1,IF($A663&lt;VLOOKUP(J$5,NFI,5,0),1,0)*Table_NFI[[#This Row],[Sanitary Kit]],Table_NFI[Sanitary Kit])</f>
        <v>0</v>
      </c>
      <c r="AB663" s="294">
        <f>IF(NFI_Expiration=1,IF($A663&lt;VLOOKUP(K$5,NFI,5,0),1,0)*Table_NFI[[#This Row],[Mosquito net]],Table_NFI[Mosquito net])</f>
        <v>0</v>
      </c>
      <c r="AC663" s="294">
        <f>IF(NFI_Expiration=1,IF($A663&lt;VLOOKUP(L$5,NFI,5,0),1,0)*Table_NFI[[#This Row],[Tarpaulin]],Table_NFI[[#This Row],[Tarpaulin]])</f>
        <v>0</v>
      </c>
      <c r="AD663" s="294">
        <f>IF(NFI_Expiration=1,IF($A663&lt;VLOOKUP(M$5,NFI,5,0),1,0)*Table_NFI[[#This Row],[Blanket]],Table_NFI[[#This Row],[Blanket]])</f>
        <v>0</v>
      </c>
      <c r="AE663" s="294">
        <f>IF(NFI_Expiration=1,IF($A663&lt;VLOOKUP(N$5,NFI,5,0),1,0)*Table_NFI[[#This Row],[Kitchen Set]],Table_NFI[Kitchen Set])</f>
        <v>0</v>
      </c>
      <c r="AF663" s="294">
        <f>IF(NFI_Expiration=1,IF($A663&lt;VLOOKUP(O$5,NFI,5,0),1,0)*Table_NFI[[#This Row],[Clothes Kit]],Table_NFI[Clothes Kit])</f>
        <v>0</v>
      </c>
      <c r="AG663" s="294">
        <f>IF(NFI_Expiration=1,IF($A663&lt;VLOOKUP(P$5,NFI,5,0),1,0)*Table_NFI[[#This Row],[Plastic Bucket]],Table_NFI[Plastic Bucket])</f>
        <v>0</v>
      </c>
      <c r="AH663" s="294">
        <f>IF(NFI_Expiration=1,IF($A663&lt;VLOOKUP(Q$5,NFI,5,0),1,0)*Table_NFI[[#This Row],[Plastic Mat]],Table_NFI[Plastic Mat])*IF(Table_NFI[[#This Row],[Distribution Date]]&gt;"2014-04-01",1,2.5)</f>
        <v>0</v>
      </c>
      <c r="AI663" s="294">
        <f>IF(NFI_Expiration=1,IF($A663&lt;VLOOKUP(R$5,NFI,5,0),1,0)*Table_NFI[[#This Row],[Winter Clothes Adult]],Table_NFI[Winter Clothes Adult])</f>
        <v>0</v>
      </c>
      <c r="AJ663" s="294">
        <f>IF(NFI_Expiration=1,IF($A663&lt;VLOOKUP(S$5,NFI,5,0),1,0)*Table_NFI[[#This Row],[Winter Clothes Children]],Table_NFI[Winter Clothes Children])</f>
        <v>0</v>
      </c>
      <c r="AK663" s="294">
        <f>IF(NFI_Expiration=1,IF($A663&lt;VLOOKUP(T$5,NFI,5,0),1,0)*Table_NFI[[#This Row],[Winter Items Other]],Table_NFI[Winter Items Other])</f>
        <v>0</v>
      </c>
      <c r="AL663" s="294">
        <f>IF(NFI_Expiration=1,IF($A663&lt;VLOOKUP(M$5,NFI,5,0),1,0)*Table_NFI[[#This Row],[Winter Blanket]],Table_NFI[[#This Row],[Winter Blanket]])</f>
        <v>0</v>
      </c>
      <c r="AM663" s="294">
        <f>IF(Table_NFI[[#This Row],[Winter Clothes Adult]]+Table_NFI[[#This Row],[Winter Clothes Children]]+Table_NFI[[#This Row],[Winter Items Other]]+Table_NFI[[#This Row],[Winter Blanket]]&gt;0,1,0)</f>
        <v>0</v>
      </c>
      <c r="AN663" s="331">
        <f>IF(NFI_Expiration=1,IF($A663&lt;VLOOKUP(V$5,NFI,5,0),1,0)*Table_NFI[[#This Row],[Jerry Can]],Table_NFI[Jerry Can])</f>
        <v>0</v>
      </c>
      <c r="AO663" s="331">
        <f>IF(NFI_Expiration=1,IF($A663&lt;VLOOKUP(V$5,NFI,5,0),1,0)*Table_NFI[[#This Row],[Shelter Tool kit]],Table_NFI[Shelter Tool kit])</f>
        <v>0</v>
      </c>
      <c r="AP663" s="331">
        <f>IF(NFI_Expiration=1,IF($A663&lt;VLOOKUP(V$5,NFI,5,0),1,0)*Table_NFI[[#This Row],[Tent]],Table_NFI[Tent])</f>
        <v>0</v>
      </c>
      <c r="AQ663" s="467" t="str">
        <f>IFERROR(VLOOKUP(Table_NFI[[#This Row],[Camp Name]],CL,2,0),"")</f>
        <v>MMR001CMP015</v>
      </c>
      <c r="AR663" s="835">
        <f ca="1">IF(Table_NFI[[#This Row],[Pcode]]="","",IF(OFFSET(CampList[Opening Date],MATCH(Table_NFI[[#This Row],[Pcode]],CampList[CP_Pcode],0)-1,0,1,1)&gt;=NFI_Monitor_Date,1,0))</f>
        <v>0</v>
      </c>
      <c r="AS663" s="467" t="str">
        <f>IFERROR(VLOOKUP(Table_NFI[[#This Row],[Camp Name]],CL,3,0),"")</f>
        <v>Open</v>
      </c>
      <c r="AT663" s="294" t="str">
        <f ca="1">IF(Table_NFI[[#This Row],[Pcode]]="","",OFFSET(CampList[Priority],MATCH(Table_NFI[[#This Row],[Pcode]],CampList[CP_Pcode],0)-1,0,1,1))</f>
        <v>P4</v>
      </c>
      <c r="AU663" s="293">
        <f>IFERROR(Table_NFI[[#This Row],[Kitchen Set]]/VLOOKUP(Table_NFI[[#This Row],[Camp Name]],CL,4,0),"")</f>
        <v>1.1082924907026574E-3</v>
      </c>
      <c r="AV663" s="461" t="s">
        <v>1092</v>
      </c>
      <c r="AW663" s="463"/>
    </row>
    <row r="664" spans="1:49" ht="14.45" customHeight="1" x14ac:dyDescent="0.25">
      <c r="A664" s="297">
        <f t="shared" si="10"/>
        <v>41.9</v>
      </c>
      <c r="B664" s="460">
        <v>41479</v>
      </c>
      <c r="C664" s="461" t="s">
        <v>452</v>
      </c>
      <c r="D664" s="462" t="s">
        <v>460</v>
      </c>
      <c r="E664" s="461" t="s">
        <v>380</v>
      </c>
      <c r="F664" s="290" t="s">
        <v>237</v>
      </c>
      <c r="G664" s="290" t="s">
        <v>285</v>
      </c>
      <c r="H664" s="291"/>
      <c r="I664" s="291"/>
      <c r="J664" s="291">
        <v>100</v>
      </c>
      <c r="K664" s="291">
        <v>158</v>
      </c>
      <c r="L664" s="292">
        <v>65</v>
      </c>
      <c r="M664" s="292">
        <v>158</v>
      </c>
      <c r="N664" s="292">
        <v>65</v>
      </c>
      <c r="O664" s="292">
        <v>65</v>
      </c>
      <c r="P664" s="294">
        <v>65</v>
      </c>
      <c r="Q664" s="294">
        <v>65</v>
      </c>
      <c r="R664" s="294"/>
      <c r="S664" s="294"/>
      <c r="T664" s="294"/>
      <c r="U664" s="294"/>
      <c r="V664" s="431"/>
      <c r="W664" s="294"/>
      <c r="X664" s="294"/>
      <c r="Y664" s="294">
        <f>IF(NFI_Expiration=1,IF($A664&lt;VLOOKUP(H$5,NFI,5,0),1,0)*Table_NFI[[#This Row],[Hygiene Kit]],Table_NFI[Hygiene Kit])</f>
        <v>0</v>
      </c>
      <c r="Z664" s="294">
        <f>IF(NFI_Expiration=1,IF($A664&lt;VLOOKUP(I$5,NFI,5,0),1,0)*Table_NFI[[#This Row],[NFI Core Kit]],Table_NFI[NFI Core Kit])</f>
        <v>0</v>
      </c>
      <c r="AA664" s="294">
        <f>IF(NFI_Expiration=1,IF($A664&lt;VLOOKUP(J$5,NFI,5,0),1,0)*Table_NFI[[#This Row],[Sanitary Kit]],Table_NFI[Sanitary Kit])</f>
        <v>0</v>
      </c>
      <c r="AB664" s="294">
        <f>IF(NFI_Expiration=1,IF($A664&lt;VLOOKUP(K$5,NFI,5,0),1,0)*Table_NFI[[#This Row],[Mosquito net]],Table_NFI[Mosquito net])</f>
        <v>0</v>
      </c>
      <c r="AC664" s="294">
        <f>IF(NFI_Expiration=1,IF($A664&lt;VLOOKUP(L$5,NFI,5,0),1,0)*Table_NFI[[#This Row],[Tarpaulin]],Table_NFI[[#This Row],[Tarpaulin]])</f>
        <v>0</v>
      </c>
      <c r="AD664" s="294">
        <f>IF(NFI_Expiration=1,IF($A664&lt;VLOOKUP(M$5,NFI,5,0),1,0)*Table_NFI[[#This Row],[Blanket]],Table_NFI[[#This Row],[Blanket]])</f>
        <v>0</v>
      </c>
      <c r="AE664" s="294">
        <f>IF(NFI_Expiration=1,IF($A664&lt;VLOOKUP(N$5,NFI,5,0),1,0)*Table_NFI[[#This Row],[Kitchen Set]],Table_NFI[Kitchen Set])</f>
        <v>0</v>
      </c>
      <c r="AF664" s="294">
        <f>IF(NFI_Expiration=1,IF($A664&lt;VLOOKUP(O$5,NFI,5,0),1,0)*Table_NFI[[#This Row],[Clothes Kit]],Table_NFI[Clothes Kit])</f>
        <v>0</v>
      </c>
      <c r="AG664" s="294">
        <f>IF(NFI_Expiration=1,IF($A664&lt;VLOOKUP(P$5,NFI,5,0),1,0)*Table_NFI[[#This Row],[Plastic Bucket]],Table_NFI[Plastic Bucket])</f>
        <v>0</v>
      </c>
      <c r="AH664" s="294">
        <f>IF(NFI_Expiration=1,IF($A664&lt;VLOOKUP(Q$5,NFI,5,0),1,0)*Table_NFI[[#This Row],[Plastic Mat]],Table_NFI[Plastic Mat])*IF(Table_NFI[[#This Row],[Distribution Date]]&gt;"2014-04-01",1,2.5)</f>
        <v>0</v>
      </c>
      <c r="AI664" s="294">
        <f>IF(NFI_Expiration=1,IF($A664&lt;VLOOKUP(R$5,NFI,5,0),1,0)*Table_NFI[[#This Row],[Winter Clothes Adult]],Table_NFI[Winter Clothes Adult])</f>
        <v>0</v>
      </c>
      <c r="AJ664" s="294">
        <f>IF(NFI_Expiration=1,IF($A664&lt;VLOOKUP(S$5,NFI,5,0),1,0)*Table_NFI[[#This Row],[Winter Clothes Children]],Table_NFI[Winter Clothes Children])</f>
        <v>0</v>
      </c>
      <c r="AK664" s="294">
        <f>IF(NFI_Expiration=1,IF($A664&lt;VLOOKUP(T$5,NFI,5,0),1,0)*Table_NFI[[#This Row],[Winter Items Other]],Table_NFI[Winter Items Other])</f>
        <v>0</v>
      </c>
      <c r="AL664" s="294">
        <f>IF(NFI_Expiration=1,IF($A664&lt;VLOOKUP(M$5,NFI,5,0),1,0)*Table_NFI[[#This Row],[Winter Blanket]],Table_NFI[[#This Row],[Winter Blanket]])</f>
        <v>0</v>
      </c>
      <c r="AM664" s="294">
        <f>IF(Table_NFI[[#This Row],[Winter Clothes Adult]]+Table_NFI[[#This Row],[Winter Clothes Children]]+Table_NFI[[#This Row],[Winter Items Other]]+Table_NFI[[#This Row],[Winter Blanket]]&gt;0,1,0)</f>
        <v>0</v>
      </c>
      <c r="AN664" s="331">
        <f>IF(NFI_Expiration=1,IF($A664&lt;VLOOKUP(V$5,NFI,5,0),1,0)*Table_NFI[[#This Row],[Jerry Can]],Table_NFI[Jerry Can])</f>
        <v>0</v>
      </c>
      <c r="AO664" s="331">
        <f>IF(NFI_Expiration=1,IF($A664&lt;VLOOKUP(V$5,NFI,5,0),1,0)*Table_NFI[[#This Row],[Shelter Tool kit]],Table_NFI[Shelter Tool kit])</f>
        <v>0</v>
      </c>
      <c r="AP664" s="331">
        <f>IF(NFI_Expiration=1,IF($A664&lt;VLOOKUP(V$5,NFI,5,0),1,0)*Table_NFI[[#This Row],[Tent]],Table_NFI[Tent])</f>
        <v>0</v>
      </c>
      <c r="AQ664" s="467" t="str">
        <f>IFERROR(VLOOKUP(Table_NFI[[#This Row],[Camp Name]],CL,2,0),"")</f>
        <v>MMR001CMP014</v>
      </c>
      <c r="AR664" s="835">
        <f ca="1">IF(Table_NFI[[#This Row],[Pcode]]="","",IF(OFFSET(CampList[Opening Date],MATCH(Table_NFI[[#This Row],[Pcode]],CampList[CP_Pcode],0)-1,0,1,1)&gt;=NFI_Monitor_Date,1,0))</f>
        <v>0</v>
      </c>
      <c r="AS664" s="467" t="str">
        <f>IFERROR(VLOOKUP(Table_NFI[[#This Row],[Camp Name]],CL,3,0),"")</f>
        <v>Open</v>
      </c>
      <c r="AT664" s="294" t="str">
        <f ca="1">IF(Table_NFI[[#This Row],[Pcode]]="","",OFFSET(CampList[Priority],MATCH(Table_NFI[[#This Row],[Pcode]],CampList[CP_Pcode],0)-1,0,1,1))</f>
        <v>P4</v>
      </c>
      <c r="AU664" s="293">
        <f>IFERROR(Table_NFI[[#This Row],[Kitchen Set]]/VLOOKUP(Table_NFI[[#This Row],[Camp Name]],CL,4,0),"")</f>
        <v>1.5972478191424008E-3</v>
      </c>
      <c r="AV664" s="461" t="s">
        <v>1092</v>
      </c>
      <c r="AW664" s="463"/>
    </row>
    <row r="665" spans="1:49" ht="14.45" customHeight="1" x14ac:dyDescent="0.25">
      <c r="A665" s="297">
        <f t="shared" si="10"/>
        <v>41.9</v>
      </c>
      <c r="B665" s="460">
        <v>41479</v>
      </c>
      <c r="C665" s="461" t="s">
        <v>452</v>
      </c>
      <c r="D665" s="462" t="s">
        <v>505</v>
      </c>
      <c r="E665" s="461" t="s">
        <v>380</v>
      </c>
      <c r="F665" s="290" t="s">
        <v>310</v>
      </c>
      <c r="G665" s="290" t="s">
        <v>328</v>
      </c>
      <c r="H665" s="291"/>
      <c r="I665" s="291"/>
      <c r="J665" s="291">
        <v>10</v>
      </c>
      <c r="K665" s="291">
        <v>14</v>
      </c>
      <c r="L665" s="292">
        <v>7</v>
      </c>
      <c r="M665" s="292">
        <v>14</v>
      </c>
      <c r="N665" s="292">
        <v>7</v>
      </c>
      <c r="O665" s="292">
        <v>7</v>
      </c>
      <c r="P665" s="294">
        <v>7</v>
      </c>
      <c r="Q665" s="294">
        <v>7</v>
      </c>
      <c r="R665" s="294"/>
      <c r="S665" s="294"/>
      <c r="T665" s="294"/>
      <c r="U665" s="294"/>
      <c r="V665" s="431"/>
      <c r="W665" s="294"/>
      <c r="X665" s="294"/>
      <c r="Y665" s="294">
        <f>IF(NFI_Expiration=1,IF($A665&lt;VLOOKUP(H$5,NFI,5,0),1,0)*Table_NFI[[#This Row],[Hygiene Kit]],Table_NFI[Hygiene Kit])</f>
        <v>0</v>
      </c>
      <c r="Z665" s="294">
        <f>IF(NFI_Expiration=1,IF($A665&lt;VLOOKUP(I$5,NFI,5,0),1,0)*Table_NFI[[#This Row],[NFI Core Kit]],Table_NFI[NFI Core Kit])</f>
        <v>0</v>
      </c>
      <c r="AA665" s="294">
        <f>IF(NFI_Expiration=1,IF($A665&lt;VLOOKUP(J$5,NFI,5,0),1,0)*Table_NFI[[#This Row],[Sanitary Kit]],Table_NFI[Sanitary Kit])</f>
        <v>0</v>
      </c>
      <c r="AB665" s="294">
        <f>IF(NFI_Expiration=1,IF($A665&lt;VLOOKUP(K$5,NFI,5,0),1,0)*Table_NFI[[#This Row],[Mosquito net]],Table_NFI[Mosquito net])</f>
        <v>0</v>
      </c>
      <c r="AC665" s="294">
        <f>IF(NFI_Expiration=1,IF($A665&lt;VLOOKUP(L$5,NFI,5,0),1,0)*Table_NFI[[#This Row],[Tarpaulin]],Table_NFI[[#This Row],[Tarpaulin]])</f>
        <v>0</v>
      </c>
      <c r="AD665" s="294">
        <f>IF(NFI_Expiration=1,IF($A665&lt;VLOOKUP(M$5,NFI,5,0),1,0)*Table_NFI[[#This Row],[Blanket]],Table_NFI[[#This Row],[Blanket]])</f>
        <v>0</v>
      </c>
      <c r="AE665" s="294">
        <f>IF(NFI_Expiration=1,IF($A665&lt;VLOOKUP(N$5,NFI,5,0),1,0)*Table_NFI[[#This Row],[Kitchen Set]],Table_NFI[Kitchen Set])</f>
        <v>0</v>
      </c>
      <c r="AF665" s="294">
        <f>IF(NFI_Expiration=1,IF($A665&lt;VLOOKUP(O$5,NFI,5,0),1,0)*Table_NFI[[#This Row],[Clothes Kit]],Table_NFI[Clothes Kit])</f>
        <v>0</v>
      </c>
      <c r="AG665" s="294">
        <f>IF(NFI_Expiration=1,IF($A665&lt;VLOOKUP(P$5,NFI,5,0),1,0)*Table_NFI[[#This Row],[Plastic Bucket]],Table_NFI[Plastic Bucket])</f>
        <v>0</v>
      </c>
      <c r="AH665" s="294">
        <f>IF(NFI_Expiration=1,IF($A665&lt;VLOOKUP(Q$5,NFI,5,0),1,0)*Table_NFI[[#This Row],[Plastic Mat]],Table_NFI[Plastic Mat])*IF(Table_NFI[[#This Row],[Distribution Date]]&gt;"2014-04-01",1,2.5)</f>
        <v>0</v>
      </c>
      <c r="AI665" s="294">
        <f>IF(NFI_Expiration=1,IF($A665&lt;VLOOKUP(R$5,NFI,5,0),1,0)*Table_NFI[[#This Row],[Winter Clothes Adult]],Table_NFI[Winter Clothes Adult])</f>
        <v>0</v>
      </c>
      <c r="AJ665" s="294">
        <f>IF(NFI_Expiration=1,IF($A665&lt;VLOOKUP(S$5,NFI,5,0),1,0)*Table_NFI[[#This Row],[Winter Clothes Children]],Table_NFI[Winter Clothes Children])</f>
        <v>0</v>
      </c>
      <c r="AK665" s="294">
        <f>IF(NFI_Expiration=1,IF($A665&lt;VLOOKUP(T$5,NFI,5,0),1,0)*Table_NFI[[#This Row],[Winter Items Other]],Table_NFI[Winter Items Other])</f>
        <v>0</v>
      </c>
      <c r="AL665" s="294">
        <f>IF(NFI_Expiration=1,IF($A665&lt;VLOOKUP(M$5,NFI,5,0),1,0)*Table_NFI[[#This Row],[Winter Blanket]],Table_NFI[[#This Row],[Winter Blanket]])</f>
        <v>0</v>
      </c>
      <c r="AM665" s="294">
        <f>IF(Table_NFI[[#This Row],[Winter Clothes Adult]]+Table_NFI[[#This Row],[Winter Clothes Children]]+Table_NFI[[#This Row],[Winter Items Other]]+Table_NFI[[#This Row],[Winter Blanket]]&gt;0,1,0)</f>
        <v>0</v>
      </c>
      <c r="AN665" s="331">
        <f>IF(NFI_Expiration=1,IF($A665&lt;VLOOKUP(V$5,NFI,5,0),1,0)*Table_NFI[[#This Row],[Jerry Can]],Table_NFI[Jerry Can])</f>
        <v>0</v>
      </c>
      <c r="AO665" s="331">
        <f>IF(NFI_Expiration=1,IF($A665&lt;VLOOKUP(V$5,NFI,5,0),1,0)*Table_NFI[[#This Row],[Shelter Tool kit]],Table_NFI[Shelter Tool kit])</f>
        <v>0</v>
      </c>
      <c r="AP665" s="331">
        <f>IF(NFI_Expiration=1,IF($A665&lt;VLOOKUP(V$5,NFI,5,0),1,0)*Table_NFI[[#This Row],[Tent]],Table_NFI[Tent])</f>
        <v>0</v>
      </c>
      <c r="AQ665" s="467" t="str">
        <f>IFERROR(VLOOKUP(Table_NFI[[#This Row],[Camp Name]],CL,2,0),"")</f>
        <v>MMR001CMP031</v>
      </c>
      <c r="AR665" s="835">
        <f ca="1">IF(Table_NFI[[#This Row],[Pcode]]="","",IF(OFFSET(CampList[Opening Date],MATCH(Table_NFI[[#This Row],[Pcode]],CampList[CP_Pcode],0)-1,0,1,1)&gt;=NFI_Monitor_Date,1,0))</f>
        <v>0</v>
      </c>
      <c r="AS665" s="467" t="str">
        <f>IFERROR(VLOOKUP(Table_NFI[[#This Row],[Camp Name]],CL,3,0),"")</f>
        <v>Open</v>
      </c>
      <c r="AT665" s="294" t="str">
        <f ca="1">IF(Table_NFI[[#This Row],[Pcode]]="","",OFFSET(CampList[Priority],MATCH(Table_NFI[[#This Row],[Pcode]],CampList[CP_Pcode],0)-1,0,1,1))</f>
        <v>P4</v>
      </c>
      <c r="AU665" s="293">
        <f>IFERROR(Table_NFI[[#This Row],[Kitchen Set]]/VLOOKUP(Table_NFI[[#This Row],[Camp Name]],CL,4,0),"")</f>
        <v>1.6885372443072174E-4</v>
      </c>
      <c r="AV665" s="461" t="s">
        <v>1092</v>
      </c>
      <c r="AW665" s="463"/>
    </row>
    <row r="666" spans="1:49" ht="14.45" customHeight="1" x14ac:dyDescent="0.25">
      <c r="A666" s="297">
        <f t="shared" si="10"/>
        <v>41.9</v>
      </c>
      <c r="B666" s="460">
        <v>41479</v>
      </c>
      <c r="C666" s="461" t="s">
        <v>452</v>
      </c>
      <c r="D666" s="461" t="s">
        <v>506</v>
      </c>
      <c r="E666" s="461" t="s">
        <v>380</v>
      </c>
      <c r="F666" s="461" t="s">
        <v>310</v>
      </c>
      <c r="G666" s="290" t="s">
        <v>330</v>
      </c>
      <c r="H666" s="291"/>
      <c r="I666" s="291"/>
      <c r="J666" s="291">
        <v>40</v>
      </c>
      <c r="K666" s="291">
        <v>49</v>
      </c>
      <c r="L666" s="292">
        <v>23</v>
      </c>
      <c r="M666" s="292">
        <v>49</v>
      </c>
      <c r="N666" s="292">
        <v>23</v>
      </c>
      <c r="O666" s="292">
        <v>23</v>
      </c>
      <c r="P666" s="294">
        <v>23</v>
      </c>
      <c r="Q666" s="294">
        <v>23</v>
      </c>
      <c r="R666" s="294"/>
      <c r="S666" s="294"/>
      <c r="T666" s="294"/>
      <c r="U666" s="294"/>
      <c r="V666" s="431"/>
      <c r="W666" s="294"/>
      <c r="X666" s="294"/>
      <c r="Y666" s="294">
        <f>IF(NFI_Expiration=1,IF($A666&lt;VLOOKUP(H$5,NFI,5,0),1,0)*Table_NFI[[#This Row],[Hygiene Kit]],Table_NFI[Hygiene Kit])</f>
        <v>0</v>
      </c>
      <c r="Z666" s="294">
        <f>IF(NFI_Expiration=1,IF($A666&lt;VLOOKUP(I$5,NFI,5,0),1,0)*Table_NFI[[#This Row],[NFI Core Kit]],Table_NFI[NFI Core Kit])</f>
        <v>0</v>
      </c>
      <c r="AA666" s="294">
        <f>IF(NFI_Expiration=1,IF($A666&lt;VLOOKUP(J$5,NFI,5,0),1,0)*Table_NFI[[#This Row],[Sanitary Kit]],Table_NFI[Sanitary Kit])</f>
        <v>0</v>
      </c>
      <c r="AB666" s="294">
        <f>IF(NFI_Expiration=1,IF($A666&lt;VLOOKUP(K$5,NFI,5,0),1,0)*Table_NFI[[#This Row],[Mosquito net]],Table_NFI[Mosquito net])</f>
        <v>0</v>
      </c>
      <c r="AC666" s="294">
        <f>IF(NFI_Expiration=1,IF($A666&lt;VLOOKUP(L$5,NFI,5,0),1,0)*Table_NFI[[#This Row],[Tarpaulin]],Table_NFI[[#This Row],[Tarpaulin]])</f>
        <v>0</v>
      </c>
      <c r="AD666" s="294">
        <f>IF(NFI_Expiration=1,IF($A666&lt;VLOOKUP(M$5,NFI,5,0),1,0)*Table_NFI[[#This Row],[Blanket]],Table_NFI[[#This Row],[Blanket]])</f>
        <v>0</v>
      </c>
      <c r="AE666" s="294">
        <f>IF(NFI_Expiration=1,IF($A666&lt;VLOOKUP(N$5,NFI,5,0),1,0)*Table_NFI[[#This Row],[Kitchen Set]],Table_NFI[Kitchen Set])</f>
        <v>0</v>
      </c>
      <c r="AF666" s="294">
        <f>IF(NFI_Expiration=1,IF($A666&lt;VLOOKUP(O$5,NFI,5,0),1,0)*Table_NFI[[#This Row],[Clothes Kit]],Table_NFI[Clothes Kit])</f>
        <v>0</v>
      </c>
      <c r="AG666" s="294">
        <f>IF(NFI_Expiration=1,IF($A666&lt;VLOOKUP(P$5,NFI,5,0),1,0)*Table_NFI[[#This Row],[Plastic Bucket]],Table_NFI[Plastic Bucket])</f>
        <v>0</v>
      </c>
      <c r="AH666" s="294">
        <f>IF(NFI_Expiration=1,IF($A666&lt;VLOOKUP(Q$5,NFI,5,0),1,0)*Table_NFI[[#This Row],[Plastic Mat]],Table_NFI[Plastic Mat])*IF(Table_NFI[[#This Row],[Distribution Date]]&gt;"2014-04-01",1,2.5)</f>
        <v>0</v>
      </c>
      <c r="AI666" s="294">
        <f>IF(NFI_Expiration=1,IF($A666&lt;VLOOKUP(R$5,NFI,5,0),1,0)*Table_NFI[[#This Row],[Winter Clothes Adult]],Table_NFI[Winter Clothes Adult])</f>
        <v>0</v>
      </c>
      <c r="AJ666" s="294">
        <f>IF(NFI_Expiration=1,IF($A666&lt;VLOOKUP(S$5,NFI,5,0),1,0)*Table_NFI[[#This Row],[Winter Clothes Children]],Table_NFI[Winter Clothes Children])</f>
        <v>0</v>
      </c>
      <c r="AK666" s="294">
        <f>IF(NFI_Expiration=1,IF($A666&lt;VLOOKUP(T$5,NFI,5,0),1,0)*Table_NFI[[#This Row],[Winter Items Other]],Table_NFI[Winter Items Other])</f>
        <v>0</v>
      </c>
      <c r="AL666" s="294">
        <f>IF(NFI_Expiration=1,IF($A666&lt;VLOOKUP(M$5,NFI,5,0),1,0)*Table_NFI[[#This Row],[Winter Blanket]],Table_NFI[[#This Row],[Winter Blanket]])</f>
        <v>0</v>
      </c>
      <c r="AM666" s="294">
        <f>IF(Table_NFI[[#This Row],[Winter Clothes Adult]]+Table_NFI[[#This Row],[Winter Clothes Children]]+Table_NFI[[#This Row],[Winter Items Other]]+Table_NFI[[#This Row],[Winter Blanket]]&gt;0,1,0)</f>
        <v>0</v>
      </c>
      <c r="AN666" s="331">
        <f>IF(NFI_Expiration=1,IF($A666&lt;VLOOKUP(V$5,NFI,5,0),1,0)*Table_NFI[[#This Row],[Jerry Can]],Table_NFI[Jerry Can])</f>
        <v>0</v>
      </c>
      <c r="AO666" s="331">
        <f>IF(NFI_Expiration=1,IF($A666&lt;VLOOKUP(V$5,NFI,5,0),1,0)*Table_NFI[[#This Row],[Shelter Tool kit]],Table_NFI[Shelter Tool kit])</f>
        <v>0</v>
      </c>
      <c r="AP666" s="331">
        <f>IF(NFI_Expiration=1,IF($A666&lt;VLOOKUP(V$5,NFI,5,0),1,0)*Table_NFI[[#This Row],[Tent]],Table_NFI[Tent])</f>
        <v>0</v>
      </c>
      <c r="AQ666" s="467" t="str">
        <f>IFERROR(VLOOKUP(Table_NFI[[#This Row],[Camp Name]],CL,2,0),"")</f>
        <v>MMR001CMP029</v>
      </c>
      <c r="AR666" s="835">
        <f ca="1">IF(Table_NFI[[#This Row],[Pcode]]="","",IF(OFFSET(CampList[Opening Date],MATCH(Table_NFI[[#This Row],[Pcode]],CampList[CP_Pcode],0)-1,0,1,1)&gt;=NFI_Monitor_Date,1,0))</f>
        <v>0</v>
      </c>
      <c r="AS666" s="467" t="str">
        <f>IFERROR(VLOOKUP(Table_NFI[[#This Row],[Camp Name]],CL,3,0),"")</f>
        <v>Open</v>
      </c>
      <c r="AT666" s="294" t="str">
        <f ca="1">IF(Table_NFI[[#This Row],[Pcode]]="","",OFFSET(CampList[Priority],MATCH(Table_NFI[[#This Row],[Pcode]],CampList[CP_Pcode],0)-1,0,1,1))</f>
        <v>P4</v>
      </c>
      <c r="AU666" s="293">
        <f>IFERROR(Table_NFI[[#This Row],[Kitchen Set]]/VLOOKUP(Table_NFI[[#This Row],[Camp Name]],CL,4,0),"")</f>
        <v>5.5520687490947715E-4</v>
      </c>
      <c r="AV666" s="461" t="s">
        <v>1092</v>
      </c>
      <c r="AW666" s="463"/>
    </row>
    <row r="667" spans="1:49" ht="14.45" customHeight="1" x14ac:dyDescent="0.25">
      <c r="A667" s="297">
        <f t="shared" si="10"/>
        <v>41.9</v>
      </c>
      <c r="B667" s="460">
        <v>41479</v>
      </c>
      <c r="C667" s="461" t="s">
        <v>452</v>
      </c>
      <c r="D667" s="461" t="s">
        <v>506</v>
      </c>
      <c r="E667" s="461" t="s">
        <v>380</v>
      </c>
      <c r="F667" s="290" t="s">
        <v>237</v>
      </c>
      <c r="G667" s="290" t="s">
        <v>271</v>
      </c>
      <c r="H667" s="291"/>
      <c r="I667" s="291"/>
      <c r="J667" s="291">
        <v>21</v>
      </c>
      <c r="K667" s="291">
        <v>30</v>
      </c>
      <c r="L667" s="294">
        <v>15</v>
      </c>
      <c r="M667" s="294">
        <v>30</v>
      </c>
      <c r="N667" s="294">
        <v>15</v>
      </c>
      <c r="O667" s="294">
        <v>15</v>
      </c>
      <c r="P667" s="294">
        <v>15</v>
      </c>
      <c r="Q667" s="294">
        <v>15</v>
      </c>
      <c r="R667" s="294"/>
      <c r="S667" s="294"/>
      <c r="T667" s="294"/>
      <c r="U667" s="294"/>
      <c r="V667" s="431"/>
      <c r="W667" s="294"/>
      <c r="X667" s="294"/>
      <c r="Y667" s="294">
        <f>IF(NFI_Expiration=1,IF($A667&lt;VLOOKUP(H$5,NFI,5,0),1,0)*Table_NFI[[#This Row],[Hygiene Kit]],Table_NFI[Hygiene Kit])</f>
        <v>0</v>
      </c>
      <c r="Z667" s="294">
        <f>IF(NFI_Expiration=1,IF($A667&lt;VLOOKUP(I$5,NFI,5,0),1,0)*Table_NFI[[#This Row],[NFI Core Kit]],Table_NFI[NFI Core Kit])</f>
        <v>0</v>
      </c>
      <c r="AA667" s="294">
        <f>IF(NFI_Expiration=1,IF($A667&lt;VLOOKUP(J$5,NFI,5,0),1,0)*Table_NFI[[#This Row],[Sanitary Kit]],Table_NFI[Sanitary Kit])</f>
        <v>0</v>
      </c>
      <c r="AB667" s="294">
        <f>IF(NFI_Expiration=1,IF($A667&lt;VLOOKUP(K$5,NFI,5,0),1,0)*Table_NFI[[#This Row],[Mosquito net]],Table_NFI[Mosquito net])</f>
        <v>0</v>
      </c>
      <c r="AC667" s="294">
        <f>IF(NFI_Expiration=1,IF($A667&lt;VLOOKUP(L$5,NFI,5,0),1,0)*Table_NFI[[#This Row],[Tarpaulin]],Table_NFI[[#This Row],[Tarpaulin]])</f>
        <v>0</v>
      </c>
      <c r="AD667" s="294">
        <f>IF(NFI_Expiration=1,IF($A667&lt;VLOOKUP(M$5,NFI,5,0),1,0)*Table_NFI[[#This Row],[Blanket]],Table_NFI[[#This Row],[Blanket]])</f>
        <v>0</v>
      </c>
      <c r="AE667" s="294">
        <f>IF(NFI_Expiration=1,IF($A667&lt;VLOOKUP(N$5,NFI,5,0),1,0)*Table_NFI[[#This Row],[Kitchen Set]],Table_NFI[Kitchen Set])</f>
        <v>0</v>
      </c>
      <c r="AF667" s="294">
        <f>IF(NFI_Expiration=1,IF($A667&lt;VLOOKUP(O$5,NFI,5,0),1,0)*Table_NFI[[#This Row],[Clothes Kit]],Table_NFI[Clothes Kit])</f>
        <v>0</v>
      </c>
      <c r="AG667" s="294">
        <f>IF(NFI_Expiration=1,IF($A667&lt;VLOOKUP(P$5,NFI,5,0),1,0)*Table_NFI[[#This Row],[Plastic Bucket]],Table_NFI[Plastic Bucket])</f>
        <v>0</v>
      </c>
      <c r="AH667" s="294">
        <f>IF(NFI_Expiration=1,IF($A667&lt;VLOOKUP(Q$5,NFI,5,0),1,0)*Table_NFI[[#This Row],[Plastic Mat]],Table_NFI[Plastic Mat])*IF(Table_NFI[[#This Row],[Distribution Date]]&gt;"2014-04-01",1,2.5)</f>
        <v>0</v>
      </c>
      <c r="AI667" s="294">
        <f>IF(NFI_Expiration=1,IF($A667&lt;VLOOKUP(R$5,NFI,5,0),1,0)*Table_NFI[[#This Row],[Winter Clothes Adult]],Table_NFI[Winter Clothes Adult])</f>
        <v>0</v>
      </c>
      <c r="AJ667" s="294">
        <f>IF(NFI_Expiration=1,IF($A667&lt;VLOOKUP(S$5,NFI,5,0),1,0)*Table_NFI[[#This Row],[Winter Clothes Children]],Table_NFI[Winter Clothes Children])</f>
        <v>0</v>
      </c>
      <c r="AK667" s="294">
        <f>IF(NFI_Expiration=1,IF($A667&lt;VLOOKUP(T$5,NFI,5,0),1,0)*Table_NFI[[#This Row],[Winter Items Other]],Table_NFI[Winter Items Other])</f>
        <v>0</v>
      </c>
      <c r="AL667" s="294">
        <f>IF(NFI_Expiration=1,IF($A667&lt;VLOOKUP(M$5,NFI,5,0),1,0)*Table_NFI[[#This Row],[Winter Blanket]],Table_NFI[[#This Row],[Winter Blanket]])</f>
        <v>0</v>
      </c>
      <c r="AM667" s="294">
        <f>IF(Table_NFI[[#This Row],[Winter Clothes Adult]]+Table_NFI[[#This Row],[Winter Clothes Children]]+Table_NFI[[#This Row],[Winter Items Other]]+Table_NFI[[#This Row],[Winter Blanket]]&gt;0,1,0)</f>
        <v>0</v>
      </c>
      <c r="AN667" s="331">
        <f>IF(NFI_Expiration=1,IF($A667&lt;VLOOKUP(V$5,NFI,5,0),1,0)*Table_NFI[[#This Row],[Jerry Can]],Table_NFI[Jerry Can])</f>
        <v>0</v>
      </c>
      <c r="AO667" s="331">
        <f>IF(NFI_Expiration=1,IF($A667&lt;VLOOKUP(V$5,NFI,5,0),1,0)*Table_NFI[[#This Row],[Shelter Tool kit]],Table_NFI[Shelter Tool kit])</f>
        <v>0</v>
      </c>
      <c r="AP667" s="331">
        <f>IF(NFI_Expiration=1,IF($A667&lt;VLOOKUP(V$5,NFI,5,0),1,0)*Table_NFI[[#This Row],[Tent]],Table_NFI[Tent])</f>
        <v>0</v>
      </c>
      <c r="AQ667" s="467" t="str">
        <f>IFERROR(VLOOKUP(Table_NFI[[#This Row],[Camp Name]],CL,2,0),"")</f>
        <v>MMR001CMP024</v>
      </c>
      <c r="AR667" s="835">
        <f ca="1">IF(Table_NFI[[#This Row],[Pcode]]="","",IF(OFFSET(CampList[Opening Date],MATCH(Table_NFI[[#This Row],[Pcode]],CampList[CP_Pcode],0)-1,0,1,1)&gt;=NFI_Monitor_Date,1,0))</f>
        <v>0</v>
      </c>
      <c r="AS667" s="467" t="str">
        <f>IFERROR(VLOOKUP(Table_NFI[[#This Row],[Camp Name]],CL,3,0),"")</f>
        <v>Open</v>
      </c>
      <c r="AT667" s="294" t="str">
        <f ca="1">IF(Table_NFI[[#This Row],[Pcode]]="","",OFFSET(CampList[Priority],MATCH(Table_NFI[[#This Row],[Pcode]],CampList[CP_Pcode],0)-1,0,1,1))</f>
        <v>P4</v>
      </c>
      <c r="AU667" s="293">
        <f>IFERROR(Table_NFI[[#This Row],[Kitchen Set]]/VLOOKUP(Table_NFI[[#This Row],[Camp Name]],CL,4,0),"")</f>
        <v>3.6666748148329219E-4</v>
      </c>
      <c r="AV667" s="461" t="s">
        <v>1092</v>
      </c>
      <c r="AW667" s="463"/>
    </row>
    <row r="668" spans="1:49" ht="14.45" customHeight="1" x14ac:dyDescent="0.25">
      <c r="A668" s="297">
        <f t="shared" si="10"/>
        <v>41.9</v>
      </c>
      <c r="B668" s="460">
        <v>41479</v>
      </c>
      <c r="C668" s="461" t="s">
        <v>452</v>
      </c>
      <c r="D668" s="461" t="s">
        <v>506</v>
      </c>
      <c r="E668" s="461" t="s">
        <v>380</v>
      </c>
      <c r="F668" s="461" t="s">
        <v>527</v>
      </c>
      <c r="G668" s="290" t="s">
        <v>108</v>
      </c>
      <c r="H668" s="291"/>
      <c r="I668" s="291"/>
      <c r="J668" s="291">
        <v>15</v>
      </c>
      <c r="K668" s="291">
        <v>25</v>
      </c>
      <c r="L668" s="292">
        <v>10</v>
      </c>
      <c r="M668" s="292">
        <v>25</v>
      </c>
      <c r="N668" s="292">
        <v>10</v>
      </c>
      <c r="O668" s="292">
        <v>10</v>
      </c>
      <c r="P668" s="294">
        <v>10</v>
      </c>
      <c r="Q668" s="294">
        <v>10</v>
      </c>
      <c r="R668" s="294"/>
      <c r="S668" s="294"/>
      <c r="T668" s="294"/>
      <c r="U668" s="294"/>
      <c r="V668" s="431"/>
      <c r="W668" s="294"/>
      <c r="X668" s="294"/>
      <c r="Y668" s="294">
        <f>IF(NFI_Expiration=1,IF($A668&lt;VLOOKUP(H$5,NFI,5,0),1,0)*Table_NFI[[#This Row],[Hygiene Kit]],Table_NFI[Hygiene Kit])</f>
        <v>0</v>
      </c>
      <c r="Z668" s="294">
        <f>IF(NFI_Expiration=1,IF($A668&lt;VLOOKUP(I$5,NFI,5,0),1,0)*Table_NFI[[#This Row],[NFI Core Kit]],Table_NFI[NFI Core Kit])</f>
        <v>0</v>
      </c>
      <c r="AA668" s="294">
        <f>IF(NFI_Expiration=1,IF($A668&lt;VLOOKUP(J$5,NFI,5,0),1,0)*Table_NFI[[#This Row],[Sanitary Kit]],Table_NFI[Sanitary Kit])</f>
        <v>0</v>
      </c>
      <c r="AB668" s="294">
        <f>IF(NFI_Expiration=1,IF($A668&lt;VLOOKUP(K$5,NFI,5,0),1,0)*Table_NFI[[#This Row],[Mosquito net]],Table_NFI[Mosquito net])</f>
        <v>0</v>
      </c>
      <c r="AC668" s="294">
        <f>IF(NFI_Expiration=1,IF($A668&lt;VLOOKUP(L$5,NFI,5,0),1,0)*Table_NFI[[#This Row],[Tarpaulin]],Table_NFI[[#This Row],[Tarpaulin]])</f>
        <v>0</v>
      </c>
      <c r="AD668" s="294">
        <f>IF(NFI_Expiration=1,IF($A668&lt;VLOOKUP(M$5,NFI,5,0),1,0)*Table_NFI[[#This Row],[Blanket]],Table_NFI[[#This Row],[Blanket]])</f>
        <v>0</v>
      </c>
      <c r="AE668" s="294">
        <f>IF(NFI_Expiration=1,IF($A668&lt;VLOOKUP(N$5,NFI,5,0),1,0)*Table_NFI[[#This Row],[Kitchen Set]],Table_NFI[Kitchen Set])</f>
        <v>0</v>
      </c>
      <c r="AF668" s="294">
        <f>IF(NFI_Expiration=1,IF($A668&lt;VLOOKUP(O$5,NFI,5,0),1,0)*Table_NFI[[#This Row],[Clothes Kit]],Table_NFI[Clothes Kit])</f>
        <v>0</v>
      </c>
      <c r="AG668" s="294">
        <f>IF(NFI_Expiration=1,IF($A668&lt;VLOOKUP(P$5,NFI,5,0),1,0)*Table_NFI[[#This Row],[Plastic Bucket]],Table_NFI[Plastic Bucket])</f>
        <v>0</v>
      </c>
      <c r="AH668" s="294">
        <f>IF(NFI_Expiration=1,IF($A668&lt;VLOOKUP(Q$5,NFI,5,0),1,0)*Table_NFI[[#This Row],[Plastic Mat]],Table_NFI[Plastic Mat])*IF(Table_NFI[[#This Row],[Distribution Date]]&gt;"2014-04-01",1,2.5)</f>
        <v>0</v>
      </c>
      <c r="AI668" s="294">
        <f>IF(NFI_Expiration=1,IF($A668&lt;VLOOKUP(R$5,NFI,5,0),1,0)*Table_NFI[[#This Row],[Winter Clothes Adult]],Table_NFI[Winter Clothes Adult])</f>
        <v>0</v>
      </c>
      <c r="AJ668" s="294">
        <f>IF(NFI_Expiration=1,IF($A668&lt;VLOOKUP(S$5,NFI,5,0),1,0)*Table_NFI[[#This Row],[Winter Clothes Children]],Table_NFI[Winter Clothes Children])</f>
        <v>0</v>
      </c>
      <c r="AK668" s="294">
        <f>IF(NFI_Expiration=1,IF($A668&lt;VLOOKUP(T$5,NFI,5,0),1,0)*Table_NFI[[#This Row],[Winter Items Other]],Table_NFI[Winter Items Other])</f>
        <v>0</v>
      </c>
      <c r="AL668" s="294">
        <f>IF(NFI_Expiration=1,IF($A668&lt;VLOOKUP(M$5,NFI,5,0),1,0)*Table_NFI[[#This Row],[Winter Blanket]],Table_NFI[[#This Row],[Winter Blanket]])</f>
        <v>0</v>
      </c>
      <c r="AM668" s="294">
        <f>IF(Table_NFI[[#This Row],[Winter Clothes Adult]]+Table_NFI[[#This Row],[Winter Clothes Children]]+Table_NFI[[#This Row],[Winter Items Other]]+Table_NFI[[#This Row],[Winter Blanket]]&gt;0,1,0)</f>
        <v>0</v>
      </c>
      <c r="AN668" s="331">
        <f>IF(NFI_Expiration=1,IF($A668&lt;VLOOKUP(V$5,NFI,5,0),1,0)*Table_NFI[[#This Row],[Jerry Can]],Table_NFI[Jerry Can])</f>
        <v>0</v>
      </c>
      <c r="AO668" s="331">
        <f>IF(NFI_Expiration=1,IF($A668&lt;VLOOKUP(V$5,NFI,5,0),1,0)*Table_NFI[[#This Row],[Shelter Tool kit]],Table_NFI[Shelter Tool kit])</f>
        <v>0</v>
      </c>
      <c r="AP668" s="331">
        <f>IF(NFI_Expiration=1,IF($A668&lt;VLOOKUP(V$5,NFI,5,0),1,0)*Table_NFI[[#This Row],[Tent]],Table_NFI[Tent])</f>
        <v>0</v>
      </c>
      <c r="AQ668" s="467" t="str">
        <f>IFERROR(VLOOKUP(Table_NFI[[#This Row],[Camp Name]],CL,2,0),"")</f>
        <v>MMR001CMP103</v>
      </c>
      <c r="AR668" s="835">
        <f ca="1">IF(Table_NFI[[#This Row],[Pcode]]="","",IF(OFFSET(CampList[Opening Date],MATCH(Table_NFI[[#This Row],[Pcode]],CampList[CP_Pcode],0)-1,0,1,1)&gt;=NFI_Monitor_Date,1,0))</f>
        <v>0</v>
      </c>
      <c r="AS668" s="467" t="str">
        <f>IFERROR(VLOOKUP(Table_NFI[[#This Row],[Camp Name]],CL,3,0),"")</f>
        <v>Open</v>
      </c>
      <c r="AT668" s="294" t="str">
        <f ca="1">IF(Table_NFI[[#This Row],[Pcode]]="","",OFFSET(CampList[Priority],MATCH(Table_NFI[[#This Row],[Pcode]],CampList[CP_Pcode],0)-1,0,1,1))</f>
        <v>P4</v>
      </c>
      <c r="AU668" s="293">
        <f>IFERROR(Table_NFI[[#This Row],[Kitchen Set]]/VLOOKUP(Table_NFI[[#This Row],[Camp Name]],CL,4,0),"")</f>
        <v>2.4103936172777015E-4</v>
      </c>
      <c r="AV668" s="461" t="s">
        <v>1092</v>
      </c>
      <c r="AW668" s="463"/>
    </row>
    <row r="669" spans="1:49" ht="14.45" customHeight="1" x14ac:dyDescent="0.25">
      <c r="A669" s="297">
        <f t="shared" si="10"/>
        <v>41.9</v>
      </c>
      <c r="B669" s="460">
        <v>41479</v>
      </c>
      <c r="C669" s="461" t="s">
        <v>452</v>
      </c>
      <c r="D669" s="461" t="s">
        <v>506</v>
      </c>
      <c r="E669" s="461" t="s">
        <v>380</v>
      </c>
      <c r="F669" s="461" t="s">
        <v>237</v>
      </c>
      <c r="G669" s="290" t="s">
        <v>273</v>
      </c>
      <c r="H669" s="291"/>
      <c r="I669" s="291"/>
      <c r="J669" s="291">
        <v>31</v>
      </c>
      <c r="K669" s="291">
        <v>41</v>
      </c>
      <c r="L669" s="292">
        <v>17</v>
      </c>
      <c r="M669" s="292">
        <v>41</v>
      </c>
      <c r="N669" s="292">
        <v>17</v>
      </c>
      <c r="O669" s="292">
        <v>17</v>
      </c>
      <c r="P669" s="294">
        <v>17</v>
      </c>
      <c r="Q669" s="294">
        <v>17</v>
      </c>
      <c r="R669" s="294"/>
      <c r="S669" s="294"/>
      <c r="T669" s="294"/>
      <c r="U669" s="294"/>
      <c r="V669" s="431"/>
      <c r="W669" s="294"/>
      <c r="X669" s="294"/>
      <c r="Y669" s="294">
        <f>IF(NFI_Expiration=1,IF($A669&lt;VLOOKUP(H$5,NFI,5,0),1,0)*Table_NFI[[#This Row],[Hygiene Kit]],Table_NFI[Hygiene Kit])</f>
        <v>0</v>
      </c>
      <c r="Z669" s="294">
        <f>IF(NFI_Expiration=1,IF($A669&lt;VLOOKUP(I$5,NFI,5,0),1,0)*Table_NFI[[#This Row],[NFI Core Kit]],Table_NFI[NFI Core Kit])</f>
        <v>0</v>
      </c>
      <c r="AA669" s="294">
        <f>IF(NFI_Expiration=1,IF($A669&lt;VLOOKUP(J$5,NFI,5,0),1,0)*Table_NFI[[#This Row],[Sanitary Kit]],Table_NFI[Sanitary Kit])</f>
        <v>0</v>
      </c>
      <c r="AB669" s="294">
        <f>IF(NFI_Expiration=1,IF($A669&lt;VLOOKUP(K$5,NFI,5,0),1,0)*Table_NFI[[#This Row],[Mosquito net]],Table_NFI[Mosquito net])</f>
        <v>0</v>
      </c>
      <c r="AC669" s="294">
        <f>IF(NFI_Expiration=1,IF($A669&lt;VLOOKUP(L$5,NFI,5,0),1,0)*Table_NFI[[#This Row],[Tarpaulin]],Table_NFI[[#This Row],[Tarpaulin]])</f>
        <v>0</v>
      </c>
      <c r="AD669" s="294">
        <f>IF(NFI_Expiration=1,IF($A669&lt;VLOOKUP(M$5,NFI,5,0),1,0)*Table_NFI[[#This Row],[Blanket]],Table_NFI[[#This Row],[Blanket]])</f>
        <v>0</v>
      </c>
      <c r="AE669" s="294">
        <f>IF(NFI_Expiration=1,IF($A669&lt;VLOOKUP(N$5,NFI,5,0),1,0)*Table_NFI[[#This Row],[Kitchen Set]],Table_NFI[Kitchen Set])</f>
        <v>0</v>
      </c>
      <c r="AF669" s="294">
        <f>IF(NFI_Expiration=1,IF($A669&lt;VLOOKUP(O$5,NFI,5,0),1,0)*Table_NFI[[#This Row],[Clothes Kit]],Table_NFI[Clothes Kit])</f>
        <v>0</v>
      </c>
      <c r="AG669" s="294">
        <f>IF(NFI_Expiration=1,IF($A669&lt;VLOOKUP(P$5,NFI,5,0),1,0)*Table_NFI[[#This Row],[Plastic Bucket]],Table_NFI[Plastic Bucket])</f>
        <v>0</v>
      </c>
      <c r="AH669" s="294">
        <f>IF(NFI_Expiration=1,IF($A669&lt;VLOOKUP(Q$5,NFI,5,0),1,0)*Table_NFI[[#This Row],[Plastic Mat]],Table_NFI[Plastic Mat])*IF(Table_NFI[[#This Row],[Distribution Date]]&gt;"2014-04-01",1,2.5)</f>
        <v>0</v>
      </c>
      <c r="AI669" s="294">
        <f>IF(NFI_Expiration=1,IF($A669&lt;VLOOKUP(R$5,NFI,5,0),1,0)*Table_NFI[[#This Row],[Winter Clothes Adult]],Table_NFI[Winter Clothes Adult])</f>
        <v>0</v>
      </c>
      <c r="AJ669" s="294">
        <f>IF(NFI_Expiration=1,IF($A669&lt;VLOOKUP(S$5,NFI,5,0),1,0)*Table_NFI[[#This Row],[Winter Clothes Children]],Table_NFI[Winter Clothes Children])</f>
        <v>0</v>
      </c>
      <c r="AK669" s="294">
        <f>IF(NFI_Expiration=1,IF($A669&lt;VLOOKUP(T$5,NFI,5,0),1,0)*Table_NFI[[#This Row],[Winter Items Other]],Table_NFI[Winter Items Other])</f>
        <v>0</v>
      </c>
      <c r="AL669" s="294">
        <f>IF(NFI_Expiration=1,IF($A669&lt;VLOOKUP(M$5,NFI,5,0),1,0)*Table_NFI[[#This Row],[Winter Blanket]],Table_NFI[[#This Row],[Winter Blanket]])</f>
        <v>0</v>
      </c>
      <c r="AM669" s="294">
        <f>IF(Table_NFI[[#This Row],[Winter Clothes Adult]]+Table_NFI[[#This Row],[Winter Clothes Children]]+Table_NFI[[#This Row],[Winter Items Other]]+Table_NFI[[#This Row],[Winter Blanket]]&gt;0,1,0)</f>
        <v>0</v>
      </c>
      <c r="AN669" s="331">
        <f>IF(NFI_Expiration=1,IF($A669&lt;VLOOKUP(V$5,NFI,5,0),1,0)*Table_NFI[[#This Row],[Jerry Can]],Table_NFI[Jerry Can])</f>
        <v>0</v>
      </c>
      <c r="AO669" s="331">
        <f>IF(NFI_Expiration=1,IF($A669&lt;VLOOKUP(V$5,NFI,5,0),1,0)*Table_NFI[[#This Row],[Shelter Tool kit]],Table_NFI[Shelter Tool kit])</f>
        <v>0</v>
      </c>
      <c r="AP669" s="331">
        <f>IF(NFI_Expiration=1,IF($A669&lt;VLOOKUP(V$5,NFI,5,0),1,0)*Table_NFI[[#This Row],[Tent]],Table_NFI[Tent])</f>
        <v>0</v>
      </c>
      <c r="AQ669" s="467" t="str">
        <f>IFERROR(VLOOKUP(Table_NFI[[#This Row],[Camp Name]],CL,2,0),"")</f>
        <v>MMR001CMP162</v>
      </c>
      <c r="AR669" s="835">
        <f ca="1">IF(Table_NFI[[#This Row],[Pcode]]="","",IF(OFFSET(CampList[Opening Date],MATCH(Table_NFI[[#This Row],[Pcode]],CampList[CP_Pcode],0)-1,0,1,1)&gt;=NFI_Monitor_Date,1,0))</f>
        <v>0</v>
      </c>
      <c r="AS669" s="467" t="str">
        <f>IFERROR(VLOOKUP(Table_NFI[[#This Row],[Camp Name]],CL,3,0),"")</f>
        <v>Open</v>
      </c>
      <c r="AT669" s="294" t="str">
        <f ca="1">IF(Table_NFI[[#This Row],[Pcode]]="","",OFFSET(CampList[Priority],MATCH(Table_NFI[[#This Row],[Pcode]],CampList[CP_Pcode],0)-1,0,1,1))</f>
        <v>P4</v>
      </c>
      <c r="AU669" s="293">
        <f>IFERROR(Table_NFI[[#This Row],[Kitchen Set]]/VLOOKUP(Table_NFI[[#This Row],[Camp Name]],CL,4,0),"")</f>
        <v>4.1218116574532053E-4</v>
      </c>
      <c r="AV669" s="461" t="s">
        <v>1092</v>
      </c>
      <c r="AW669" s="463"/>
    </row>
    <row r="670" spans="1:49" ht="14.45" customHeight="1" x14ac:dyDescent="0.25">
      <c r="A670" s="297">
        <f t="shared" si="10"/>
        <v>41.9</v>
      </c>
      <c r="B670" s="460">
        <v>41479</v>
      </c>
      <c r="C670" s="461" t="s">
        <v>452</v>
      </c>
      <c r="D670" s="461" t="s">
        <v>460</v>
      </c>
      <c r="E670" s="461" t="s">
        <v>380</v>
      </c>
      <c r="F670" s="290" t="s">
        <v>310</v>
      </c>
      <c r="G670" s="290" t="s">
        <v>342</v>
      </c>
      <c r="H670" s="291"/>
      <c r="I670" s="291"/>
      <c r="J670" s="291">
        <v>31</v>
      </c>
      <c r="K670" s="291">
        <v>44</v>
      </c>
      <c r="L670" s="294">
        <v>18</v>
      </c>
      <c r="M670" s="294">
        <v>44</v>
      </c>
      <c r="N670" s="294">
        <v>18</v>
      </c>
      <c r="O670" s="294">
        <v>18</v>
      </c>
      <c r="P670" s="294">
        <v>18</v>
      </c>
      <c r="Q670" s="294">
        <v>18</v>
      </c>
      <c r="R670" s="294"/>
      <c r="S670" s="294"/>
      <c r="T670" s="294"/>
      <c r="U670" s="294"/>
      <c r="V670" s="431"/>
      <c r="W670" s="294"/>
      <c r="X670" s="294"/>
      <c r="Y670" s="294">
        <f>IF(NFI_Expiration=1,IF($A670&lt;VLOOKUP(H$5,NFI,5,0),1,0)*Table_NFI[[#This Row],[Hygiene Kit]],Table_NFI[Hygiene Kit])</f>
        <v>0</v>
      </c>
      <c r="Z670" s="294">
        <f>IF(NFI_Expiration=1,IF($A670&lt;VLOOKUP(I$5,NFI,5,0),1,0)*Table_NFI[[#This Row],[NFI Core Kit]],Table_NFI[NFI Core Kit])</f>
        <v>0</v>
      </c>
      <c r="AA670" s="294">
        <f>IF(NFI_Expiration=1,IF($A670&lt;VLOOKUP(J$5,NFI,5,0),1,0)*Table_NFI[[#This Row],[Sanitary Kit]],Table_NFI[Sanitary Kit])</f>
        <v>0</v>
      </c>
      <c r="AB670" s="294">
        <f>IF(NFI_Expiration=1,IF($A670&lt;VLOOKUP(K$5,NFI,5,0),1,0)*Table_NFI[[#This Row],[Mosquito net]],Table_NFI[Mosquito net])</f>
        <v>0</v>
      </c>
      <c r="AC670" s="294">
        <f>IF(NFI_Expiration=1,IF($A670&lt;VLOOKUP(L$5,NFI,5,0),1,0)*Table_NFI[[#This Row],[Tarpaulin]],Table_NFI[[#This Row],[Tarpaulin]])</f>
        <v>0</v>
      </c>
      <c r="AD670" s="294">
        <f>IF(NFI_Expiration=1,IF($A670&lt;VLOOKUP(M$5,NFI,5,0),1,0)*Table_NFI[[#This Row],[Blanket]],Table_NFI[[#This Row],[Blanket]])</f>
        <v>0</v>
      </c>
      <c r="AE670" s="294">
        <f>IF(NFI_Expiration=1,IF($A670&lt;VLOOKUP(N$5,NFI,5,0),1,0)*Table_NFI[[#This Row],[Kitchen Set]],Table_NFI[Kitchen Set])</f>
        <v>0</v>
      </c>
      <c r="AF670" s="294">
        <f>IF(NFI_Expiration=1,IF($A670&lt;VLOOKUP(O$5,NFI,5,0),1,0)*Table_NFI[[#This Row],[Clothes Kit]],Table_NFI[Clothes Kit])</f>
        <v>0</v>
      </c>
      <c r="AG670" s="294">
        <f>IF(NFI_Expiration=1,IF($A670&lt;VLOOKUP(P$5,NFI,5,0),1,0)*Table_NFI[[#This Row],[Plastic Bucket]],Table_NFI[Plastic Bucket])</f>
        <v>0</v>
      </c>
      <c r="AH670" s="294">
        <f>IF(NFI_Expiration=1,IF($A670&lt;VLOOKUP(Q$5,NFI,5,0),1,0)*Table_NFI[[#This Row],[Plastic Mat]],Table_NFI[Plastic Mat])*IF(Table_NFI[[#This Row],[Distribution Date]]&gt;"2014-04-01",1,2.5)</f>
        <v>0</v>
      </c>
      <c r="AI670" s="294">
        <f>IF(NFI_Expiration=1,IF($A670&lt;VLOOKUP(R$5,NFI,5,0),1,0)*Table_NFI[[#This Row],[Winter Clothes Adult]],Table_NFI[Winter Clothes Adult])</f>
        <v>0</v>
      </c>
      <c r="AJ670" s="294">
        <f>IF(NFI_Expiration=1,IF($A670&lt;VLOOKUP(S$5,NFI,5,0),1,0)*Table_NFI[[#This Row],[Winter Clothes Children]],Table_NFI[Winter Clothes Children])</f>
        <v>0</v>
      </c>
      <c r="AK670" s="294">
        <f>IF(NFI_Expiration=1,IF($A670&lt;VLOOKUP(T$5,NFI,5,0),1,0)*Table_NFI[[#This Row],[Winter Items Other]],Table_NFI[Winter Items Other])</f>
        <v>0</v>
      </c>
      <c r="AL670" s="294">
        <f>IF(NFI_Expiration=1,IF($A670&lt;VLOOKUP(M$5,NFI,5,0),1,0)*Table_NFI[[#This Row],[Winter Blanket]],Table_NFI[[#This Row],[Winter Blanket]])</f>
        <v>0</v>
      </c>
      <c r="AM670" s="294">
        <f>IF(Table_NFI[[#This Row],[Winter Clothes Adult]]+Table_NFI[[#This Row],[Winter Clothes Children]]+Table_NFI[[#This Row],[Winter Items Other]]+Table_NFI[[#This Row],[Winter Blanket]]&gt;0,1,0)</f>
        <v>0</v>
      </c>
      <c r="AN670" s="331">
        <f>IF(NFI_Expiration=1,IF($A670&lt;VLOOKUP(V$5,NFI,5,0),1,0)*Table_NFI[[#This Row],[Jerry Can]],Table_NFI[Jerry Can])</f>
        <v>0</v>
      </c>
      <c r="AO670" s="331">
        <f>IF(NFI_Expiration=1,IF($A670&lt;VLOOKUP(V$5,NFI,5,0),1,0)*Table_NFI[[#This Row],[Shelter Tool kit]],Table_NFI[Shelter Tool kit])</f>
        <v>0</v>
      </c>
      <c r="AP670" s="331">
        <f>IF(NFI_Expiration=1,IF($A670&lt;VLOOKUP(V$5,NFI,5,0),1,0)*Table_NFI[[#This Row],[Tent]],Table_NFI[Tent])</f>
        <v>0</v>
      </c>
      <c r="AQ670" s="467" t="str">
        <f>IFERROR(VLOOKUP(Table_NFI[[#This Row],[Camp Name]],CL,2,0),"")</f>
        <v>MMR001CMP025</v>
      </c>
      <c r="AR670" s="835">
        <f ca="1">IF(Table_NFI[[#This Row],[Pcode]]="","",IF(OFFSET(CampList[Opening Date],MATCH(Table_NFI[[#This Row],[Pcode]],CampList[CP_Pcode],0)-1,0,1,1)&gt;=NFI_Monitor_Date,1,0))</f>
        <v>0</v>
      </c>
      <c r="AS670" s="467" t="str">
        <f>IFERROR(VLOOKUP(Table_NFI[[#This Row],[Camp Name]],CL,3,0),"")</f>
        <v>Open</v>
      </c>
      <c r="AT670" s="294" t="str">
        <f ca="1">IF(Table_NFI[[#This Row],[Pcode]]="","",OFFSET(CampList[Priority],MATCH(Table_NFI[[#This Row],[Pcode]],CampList[CP_Pcode],0)-1,0,1,1))</f>
        <v>P4</v>
      </c>
      <c r="AU670" s="293">
        <f>IFERROR(Table_NFI[[#This Row],[Kitchen Set]]/VLOOKUP(Table_NFI[[#This Row],[Camp Name]],CL,4,0),"")</f>
        <v>4.4231478068558792E-4</v>
      </c>
      <c r="AV670" s="461" t="s">
        <v>1092</v>
      </c>
      <c r="AW670" s="463"/>
    </row>
    <row r="671" spans="1:49" ht="14.45" customHeight="1" x14ac:dyDescent="0.25">
      <c r="A671" s="297">
        <f t="shared" si="10"/>
        <v>41.9</v>
      </c>
      <c r="B671" s="460">
        <v>41479</v>
      </c>
      <c r="C671" s="461" t="s">
        <v>452</v>
      </c>
      <c r="D671" s="461" t="s">
        <v>505</v>
      </c>
      <c r="E671" s="461" t="s">
        <v>380</v>
      </c>
      <c r="F671" s="461" t="s">
        <v>310</v>
      </c>
      <c r="G671" s="290" t="s">
        <v>351</v>
      </c>
      <c r="H671" s="291"/>
      <c r="I671" s="291"/>
      <c r="J671" s="291">
        <v>41</v>
      </c>
      <c r="K671" s="291">
        <v>73</v>
      </c>
      <c r="L671" s="292">
        <v>31</v>
      </c>
      <c r="M671" s="292">
        <v>73</v>
      </c>
      <c r="N671" s="292">
        <v>31</v>
      </c>
      <c r="O671" s="292">
        <v>31</v>
      </c>
      <c r="P671" s="294">
        <v>31</v>
      </c>
      <c r="Q671" s="294">
        <v>31</v>
      </c>
      <c r="R671" s="294"/>
      <c r="S671" s="294"/>
      <c r="T671" s="294"/>
      <c r="U671" s="294"/>
      <c r="V671" s="431"/>
      <c r="W671" s="294"/>
      <c r="X671" s="294"/>
      <c r="Y671" s="294">
        <f>IF(NFI_Expiration=1,IF($A671&lt;VLOOKUP(H$5,NFI,5,0),1,0)*Table_NFI[[#This Row],[Hygiene Kit]],Table_NFI[Hygiene Kit])</f>
        <v>0</v>
      </c>
      <c r="Z671" s="294">
        <f>IF(NFI_Expiration=1,IF($A671&lt;VLOOKUP(I$5,NFI,5,0),1,0)*Table_NFI[[#This Row],[NFI Core Kit]],Table_NFI[NFI Core Kit])</f>
        <v>0</v>
      </c>
      <c r="AA671" s="294">
        <f>IF(NFI_Expiration=1,IF($A671&lt;VLOOKUP(J$5,NFI,5,0),1,0)*Table_NFI[[#This Row],[Sanitary Kit]],Table_NFI[Sanitary Kit])</f>
        <v>0</v>
      </c>
      <c r="AB671" s="294">
        <f>IF(NFI_Expiration=1,IF($A671&lt;VLOOKUP(K$5,NFI,5,0),1,0)*Table_NFI[[#This Row],[Mosquito net]],Table_NFI[Mosquito net])</f>
        <v>0</v>
      </c>
      <c r="AC671" s="294">
        <f>IF(NFI_Expiration=1,IF($A671&lt;VLOOKUP(L$5,NFI,5,0),1,0)*Table_NFI[[#This Row],[Tarpaulin]],Table_NFI[[#This Row],[Tarpaulin]])</f>
        <v>0</v>
      </c>
      <c r="AD671" s="294">
        <f>IF(NFI_Expiration=1,IF($A671&lt;VLOOKUP(M$5,NFI,5,0),1,0)*Table_NFI[[#This Row],[Blanket]],Table_NFI[[#This Row],[Blanket]])</f>
        <v>0</v>
      </c>
      <c r="AE671" s="294">
        <f>IF(NFI_Expiration=1,IF($A671&lt;VLOOKUP(N$5,NFI,5,0),1,0)*Table_NFI[[#This Row],[Kitchen Set]],Table_NFI[Kitchen Set])</f>
        <v>0</v>
      </c>
      <c r="AF671" s="294">
        <f>IF(NFI_Expiration=1,IF($A671&lt;VLOOKUP(O$5,NFI,5,0),1,0)*Table_NFI[[#This Row],[Clothes Kit]],Table_NFI[Clothes Kit])</f>
        <v>0</v>
      </c>
      <c r="AG671" s="294">
        <f>IF(NFI_Expiration=1,IF($A671&lt;VLOOKUP(P$5,NFI,5,0),1,0)*Table_NFI[[#This Row],[Plastic Bucket]],Table_NFI[Plastic Bucket])</f>
        <v>0</v>
      </c>
      <c r="AH671" s="294">
        <f>IF(NFI_Expiration=1,IF($A671&lt;VLOOKUP(Q$5,NFI,5,0),1,0)*Table_NFI[[#This Row],[Plastic Mat]],Table_NFI[Plastic Mat])*IF(Table_NFI[[#This Row],[Distribution Date]]&gt;"2014-04-01",1,2.5)</f>
        <v>0</v>
      </c>
      <c r="AI671" s="294">
        <f>IF(NFI_Expiration=1,IF($A671&lt;VLOOKUP(R$5,NFI,5,0),1,0)*Table_NFI[[#This Row],[Winter Clothes Adult]],Table_NFI[Winter Clothes Adult])</f>
        <v>0</v>
      </c>
      <c r="AJ671" s="294">
        <f>IF(NFI_Expiration=1,IF($A671&lt;VLOOKUP(S$5,NFI,5,0),1,0)*Table_NFI[[#This Row],[Winter Clothes Children]],Table_NFI[Winter Clothes Children])</f>
        <v>0</v>
      </c>
      <c r="AK671" s="294">
        <f>IF(NFI_Expiration=1,IF($A671&lt;VLOOKUP(T$5,NFI,5,0),1,0)*Table_NFI[[#This Row],[Winter Items Other]],Table_NFI[Winter Items Other])</f>
        <v>0</v>
      </c>
      <c r="AL671" s="294">
        <f>IF(NFI_Expiration=1,IF($A671&lt;VLOOKUP(M$5,NFI,5,0),1,0)*Table_NFI[[#This Row],[Winter Blanket]],Table_NFI[[#This Row],[Winter Blanket]])</f>
        <v>0</v>
      </c>
      <c r="AM671" s="294">
        <f>IF(Table_NFI[[#This Row],[Winter Clothes Adult]]+Table_NFI[[#This Row],[Winter Clothes Children]]+Table_NFI[[#This Row],[Winter Items Other]]+Table_NFI[[#This Row],[Winter Blanket]]&gt;0,1,0)</f>
        <v>0</v>
      </c>
      <c r="AN671" s="331">
        <f>IF(NFI_Expiration=1,IF($A671&lt;VLOOKUP(V$5,NFI,5,0),1,0)*Table_NFI[[#This Row],[Jerry Can]],Table_NFI[Jerry Can])</f>
        <v>0</v>
      </c>
      <c r="AO671" s="331">
        <f>IF(NFI_Expiration=1,IF($A671&lt;VLOOKUP(V$5,NFI,5,0),1,0)*Table_NFI[[#This Row],[Shelter Tool kit]],Table_NFI[Shelter Tool kit])</f>
        <v>0</v>
      </c>
      <c r="AP671" s="331">
        <f>IF(NFI_Expiration=1,IF($A671&lt;VLOOKUP(V$5,NFI,5,0),1,0)*Table_NFI[[#This Row],[Tent]],Table_NFI[Tent])</f>
        <v>0</v>
      </c>
      <c r="AQ671" s="467" t="str">
        <f>IFERROR(VLOOKUP(Table_NFI[[#This Row],[Camp Name]],CL,2,0),"")</f>
        <v>MMR001CMP026</v>
      </c>
      <c r="AR671" s="835">
        <f ca="1">IF(Table_NFI[[#This Row],[Pcode]]="","",IF(OFFSET(CampList[Opening Date],MATCH(Table_NFI[[#This Row],[Pcode]],CampList[CP_Pcode],0)-1,0,1,1)&gt;=NFI_Monitor_Date,1,0))</f>
        <v>0</v>
      </c>
      <c r="AS671" s="467" t="str">
        <f>IFERROR(VLOOKUP(Table_NFI[[#This Row],[Camp Name]],CL,3,0),"")</f>
        <v>Open</v>
      </c>
      <c r="AT671" s="294" t="str">
        <f ca="1">IF(Table_NFI[[#This Row],[Pcode]]="","",OFFSET(CampList[Priority],MATCH(Table_NFI[[#This Row],[Pcode]],CampList[CP_Pcode],0)-1,0,1,1))</f>
        <v>P4</v>
      </c>
      <c r="AU671" s="293">
        <f>IFERROR(Table_NFI[[#This Row],[Kitchen Set]]/VLOOKUP(Table_NFI[[#This Row],[Camp Name]],CL,4,0),"")</f>
        <v>7.572056668295066E-4</v>
      </c>
      <c r="AV671" s="461" t="s">
        <v>1092</v>
      </c>
      <c r="AW671" s="463"/>
    </row>
    <row r="672" spans="1:49" ht="14.45" customHeight="1" x14ac:dyDescent="0.25">
      <c r="A672" s="297">
        <f t="shared" si="10"/>
        <v>41.9</v>
      </c>
      <c r="B672" s="460">
        <v>41479</v>
      </c>
      <c r="C672" s="461" t="s">
        <v>452</v>
      </c>
      <c r="D672" s="462" t="s">
        <v>460</v>
      </c>
      <c r="E672" s="461" t="s">
        <v>380</v>
      </c>
      <c r="F672" s="290" t="s">
        <v>237</v>
      </c>
      <c r="G672" s="290" t="s">
        <v>277</v>
      </c>
      <c r="H672" s="291"/>
      <c r="I672" s="291"/>
      <c r="J672" s="291">
        <v>21</v>
      </c>
      <c r="K672" s="291">
        <v>36</v>
      </c>
      <c r="L672" s="292">
        <v>16</v>
      </c>
      <c r="M672" s="292">
        <v>36</v>
      </c>
      <c r="N672" s="292">
        <v>16</v>
      </c>
      <c r="O672" s="292">
        <v>16</v>
      </c>
      <c r="P672" s="294">
        <v>16</v>
      </c>
      <c r="Q672" s="294">
        <v>16</v>
      </c>
      <c r="R672" s="294"/>
      <c r="S672" s="294"/>
      <c r="T672" s="294"/>
      <c r="U672" s="294"/>
      <c r="V672" s="431"/>
      <c r="W672" s="294"/>
      <c r="X672" s="294"/>
      <c r="Y672" s="294">
        <f>IF(NFI_Expiration=1,IF($A672&lt;VLOOKUP(H$5,NFI,5,0),1,0)*Table_NFI[[#This Row],[Hygiene Kit]],Table_NFI[Hygiene Kit])</f>
        <v>0</v>
      </c>
      <c r="Z672" s="294">
        <f>IF(NFI_Expiration=1,IF($A672&lt;VLOOKUP(I$5,NFI,5,0),1,0)*Table_NFI[[#This Row],[NFI Core Kit]],Table_NFI[NFI Core Kit])</f>
        <v>0</v>
      </c>
      <c r="AA672" s="294">
        <f>IF(NFI_Expiration=1,IF($A672&lt;VLOOKUP(J$5,NFI,5,0),1,0)*Table_NFI[[#This Row],[Sanitary Kit]],Table_NFI[Sanitary Kit])</f>
        <v>0</v>
      </c>
      <c r="AB672" s="294">
        <f>IF(NFI_Expiration=1,IF($A672&lt;VLOOKUP(K$5,NFI,5,0),1,0)*Table_NFI[[#This Row],[Mosquito net]],Table_NFI[Mosquito net])</f>
        <v>0</v>
      </c>
      <c r="AC672" s="294">
        <f>IF(NFI_Expiration=1,IF($A672&lt;VLOOKUP(L$5,NFI,5,0),1,0)*Table_NFI[[#This Row],[Tarpaulin]],Table_NFI[[#This Row],[Tarpaulin]])</f>
        <v>0</v>
      </c>
      <c r="AD672" s="294">
        <f>IF(NFI_Expiration=1,IF($A672&lt;VLOOKUP(M$5,NFI,5,0),1,0)*Table_NFI[[#This Row],[Blanket]],Table_NFI[[#This Row],[Blanket]])</f>
        <v>0</v>
      </c>
      <c r="AE672" s="294">
        <f>IF(NFI_Expiration=1,IF($A672&lt;VLOOKUP(N$5,NFI,5,0),1,0)*Table_NFI[[#This Row],[Kitchen Set]],Table_NFI[Kitchen Set])</f>
        <v>0</v>
      </c>
      <c r="AF672" s="294">
        <f>IF(NFI_Expiration=1,IF($A672&lt;VLOOKUP(O$5,NFI,5,0),1,0)*Table_NFI[[#This Row],[Clothes Kit]],Table_NFI[Clothes Kit])</f>
        <v>0</v>
      </c>
      <c r="AG672" s="294">
        <f>IF(NFI_Expiration=1,IF($A672&lt;VLOOKUP(P$5,NFI,5,0),1,0)*Table_NFI[[#This Row],[Plastic Bucket]],Table_NFI[Plastic Bucket])</f>
        <v>0</v>
      </c>
      <c r="AH672" s="294">
        <f>IF(NFI_Expiration=1,IF($A672&lt;VLOOKUP(Q$5,NFI,5,0),1,0)*Table_NFI[[#This Row],[Plastic Mat]],Table_NFI[Plastic Mat])*IF(Table_NFI[[#This Row],[Distribution Date]]&gt;"2014-04-01",1,2.5)</f>
        <v>0</v>
      </c>
      <c r="AI672" s="294">
        <f>IF(NFI_Expiration=1,IF($A672&lt;VLOOKUP(R$5,NFI,5,0),1,0)*Table_NFI[[#This Row],[Winter Clothes Adult]],Table_NFI[Winter Clothes Adult])</f>
        <v>0</v>
      </c>
      <c r="AJ672" s="294">
        <f>IF(NFI_Expiration=1,IF($A672&lt;VLOOKUP(S$5,NFI,5,0),1,0)*Table_NFI[[#This Row],[Winter Clothes Children]],Table_NFI[Winter Clothes Children])</f>
        <v>0</v>
      </c>
      <c r="AK672" s="294">
        <f>IF(NFI_Expiration=1,IF($A672&lt;VLOOKUP(T$5,NFI,5,0),1,0)*Table_NFI[[#This Row],[Winter Items Other]],Table_NFI[Winter Items Other])</f>
        <v>0</v>
      </c>
      <c r="AL672" s="294">
        <f>IF(NFI_Expiration=1,IF($A672&lt;VLOOKUP(M$5,NFI,5,0),1,0)*Table_NFI[[#This Row],[Winter Blanket]],Table_NFI[[#This Row],[Winter Blanket]])</f>
        <v>0</v>
      </c>
      <c r="AM672" s="294">
        <f>IF(Table_NFI[[#This Row],[Winter Clothes Adult]]+Table_NFI[[#This Row],[Winter Clothes Children]]+Table_NFI[[#This Row],[Winter Items Other]]+Table_NFI[[#This Row],[Winter Blanket]]&gt;0,1,0)</f>
        <v>0</v>
      </c>
      <c r="AN672" s="331">
        <f>IF(NFI_Expiration=1,IF($A672&lt;VLOOKUP(V$5,NFI,5,0),1,0)*Table_NFI[[#This Row],[Jerry Can]],Table_NFI[Jerry Can])</f>
        <v>0</v>
      </c>
      <c r="AO672" s="331">
        <f>IF(NFI_Expiration=1,IF($A672&lt;VLOOKUP(V$5,NFI,5,0),1,0)*Table_NFI[[#This Row],[Shelter Tool kit]],Table_NFI[Shelter Tool kit])</f>
        <v>0</v>
      </c>
      <c r="AP672" s="331">
        <f>IF(NFI_Expiration=1,IF($A672&lt;VLOOKUP(V$5,NFI,5,0),1,0)*Table_NFI[[#This Row],[Tent]],Table_NFI[Tent])</f>
        <v>0</v>
      </c>
      <c r="AQ672" s="467" t="str">
        <f>IFERROR(VLOOKUP(Table_NFI[[#This Row],[Camp Name]],CL,2,0),"")</f>
        <v>MMR001CMP006</v>
      </c>
      <c r="AR672" s="835">
        <f ca="1">IF(Table_NFI[[#This Row],[Pcode]]="","",IF(OFFSET(CampList[Opening Date],MATCH(Table_NFI[[#This Row],[Pcode]],CampList[CP_Pcode],0)-1,0,1,1)&gt;=NFI_Monitor_Date,1,0))</f>
        <v>0</v>
      </c>
      <c r="AS672" s="467" t="str">
        <f>IFERROR(VLOOKUP(Table_NFI[[#This Row],[Camp Name]],CL,3,0),"")</f>
        <v>Open</v>
      </c>
      <c r="AT672" s="294" t="str">
        <f ca="1">IF(Table_NFI[[#This Row],[Pcode]]="","",OFFSET(CampList[Priority],MATCH(Table_NFI[[#This Row],[Pcode]],CampList[CP_Pcode],0)-1,0,1,1))</f>
        <v>P4</v>
      </c>
      <c r="AU672" s="293">
        <f>IFERROR(Table_NFI[[#This Row],[Kitchen Set]]/VLOOKUP(Table_NFI[[#This Row],[Camp Name]],CL,4,0),"")</f>
        <v>3.92580233585239E-4</v>
      </c>
      <c r="AV672" s="461" t="s">
        <v>1092</v>
      </c>
      <c r="AW672" s="463"/>
    </row>
    <row r="673" spans="1:49" ht="14.45" customHeight="1" x14ac:dyDescent="0.25">
      <c r="A673" s="297">
        <f t="shared" si="10"/>
        <v>41.9</v>
      </c>
      <c r="B673" s="460">
        <v>41479</v>
      </c>
      <c r="C673" s="461" t="s">
        <v>452</v>
      </c>
      <c r="D673" s="461" t="s">
        <v>460</v>
      </c>
      <c r="E673" s="461" t="s">
        <v>380</v>
      </c>
      <c r="F673" s="461" t="s">
        <v>237</v>
      </c>
      <c r="G673" s="290" t="s">
        <v>1244</v>
      </c>
      <c r="H673" s="291"/>
      <c r="I673" s="291"/>
      <c r="J673" s="291">
        <v>34</v>
      </c>
      <c r="K673" s="291">
        <v>46</v>
      </c>
      <c r="L673" s="292">
        <v>22</v>
      </c>
      <c r="M673" s="292">
        <v>46</v>
      </c>
      <c r="N673" s="292">
        <v>22</v>
      </c>
      <c r="O673" s="292">
        <v>22</v>
      </c>
      <c r="P673" s="294">
        <v>22</v>
      </c>
      <c r="Q673" s="294">
        <v>22</v>
      </c>
      <c r="R673" s="294"/>
      <c r="S673" s="294"/>
      <c r="T673" s="294"/>
      <c r="U673" s="294"/>
      <c r="V673" s="431"/>
      <c r="W673" s="294"/>
      <c r="X673" s="294"/>
      <c r="Y673" s="294">
        <f>IF(NFI_Expiration=1,IF($A673&lt;VLOOKUP(H$5,NFI,5,0),1,0)*Table_NFI[[#This Row],[Hygiene Kit]],Table_NFI[Hygiene Kit])</f>
        <v>0</v>
      </c>
      <c r="Z673" s="294">
        <f>IF(NFI_Expiration=1,IF($A673&lt;VLOOKUP(I$5,NFI,5,0),1,0)*Table_NFI[[#This Row],[NFI Core Kit]],Table_NFI[NFI Core Kit])</f>
        <v>0</v>
      </c>
      <c r="AA673" s="294">
        <f>IF(NFI_Expiration=1,IF($A673&lt;VLOOKUP(J$5,NFI,5,0),1,0)*Table_NFI[[#This Row],[Sanitary Kit]],Table_NFI[Sanitary Kit])</f>
        <v>0</v>
      </c>
      <c r="AB673" s="294">
        <f>IF(NFI_Expiration=1,IF($A673&lt;VLOOKUP(K$5,NFI,5,0),1,0)*Table_NFI[[#This Row],[Mosquito net]],Table_NFI[Mosquito net])</f>
        <v>0</v>
      </c>
      <c r="AC673" s="294">
        <f>IF(NFI_Expiration=1,IF($A673&lt;VLOOKUP(L$5,NFI,5,0),1,0)*Table_NFI[[#This Row],[Tarpaulin]],Table_NFI[[#This Row],[Tarpaulin]])</f>
        <v>0</v>
      </c>
      <c r="AD673" s="294">
        <f>IF(NFI_Expiration=1,IF($A673&lt;VLOOKUP(M$5,NFI,5,0),1,0)*Table_NFI[[#This Row],[Blanket]],Table_NFI[[#This Row],[Blanket]])</f>
        <v>0</v>
      </c>
      <c r="AE673" s="294">
        <f>IF(NFI_Expiration=1,IF($A673&lt;VLOOKUP(N$5,NFI,5,0),1,0)*Table_NFI[[#This Row],[Kitchen Set]],Table_NFI[Kitchen Set])</f>
        <v>0</v>
      </c>
      <c r="AF673" s="294">
        <f>IF(NFI_Expiration=1,IF($A673&lt;VLOOKUP(O$5,NFI,5,0),1,0)*Table_NFI[[#This Row],[Clothes Kit]],Table_NFI[Clothes Kit])</f>
        <v>0</v>
      </c>
      <c r="AG673" s="294">
        <f>IF(NFI_Expiration=1,IF($A673&lt;VLOOKUP(P$5,NFI,5,0),1,0)*Table_NFI[[#This Row],[Plastic Bucket]],Table_NFI[Plastic Bucket])</f>
        <v>0</v>
      </c>
      <c r="AH673" s="294">
        <f>IF(NFI_Expiration=1,IF($A673&lt;VLOOKUP(Q$5,NFI,5,0),1,0)*Table_NFI[[#This Row],[Plastic Mat]],Table_NFI[Plastic Mat])*IF(Table_NFI[[#This Row],[Distribution Date]]&gt;"2014-04-01",1,2.5)</f>
        <v>0</v>
      </c>
      <c r="AI673" s="294">
        <f>IF(NFI_Expiration=1,IF($A673&lt;VLOOKUP(R$5,NFI,5,0),1,0)*Table_NFI[[#This Row],[Winter Clothes Adult]],Table_NFI[Winter Clothes Adult])</f>
        <v>0</v>
      </c>
      <c r="AJ673" s="294">
        <f>IF(NFI_Expiration=1,IF($A673&lt;VLOOKUP(S$5,NFI,5,0),1,0)*Table_NFI[[#This Row],[Winter Clothes Children]],Table_NFI[Winter Clothes Children])</f>
        <v>0</v>
      </c>
      <c r="AK673" s="294">
        <f>IF(NFI_Expiration=1,IF($A673&lt;VLOOKUP(T$5,NFI,5,0),1,0)*Table_NFI[[#This Row],[Winter Items Other]],Table_NFI[Winter Items Other])</f>
        <v>0</v>
      </c>
      <c r="AL673" s="294">
        <f>IF(NFI_Expiration=1,IF($A673&lt;VLOOKUP(M$5,NFI,5,0),1,0)*Table_NFI[[#This Row],[Winter Blanket]],Table_NFI[[#This Row],[Winter Blanket]])</f>
        <v>0</v>
      </c>
      <c r="AM673" s="294">
        <f>IF(Table_NFI[[#This Row],[Winter Clothes Adult]]+Table_NFI[[#This Row],[Winter Clothes Children]]+Table_NFI[[#This Row],[Winter Items Other]]+Table_NFI[[#This Row],[Winter Blanket]]&gt;0,1,0)</f>
        <v>0</v>
      </c>
      <c r="AN673" s="331">
        <f>IF(NFI_Expiration=1,IF($A673&lt;VLOOKUP(V$5,NFI,5,0),1,0)*Table_NFI[[#This Row],[Jerry Can]],Table_NFI[Jerry Can])</f>
        <v>0</v>
      </c>
      <c r="AO673" s="331">
        <f>IF(NFI_Expiration=1,IF($A673&lt;VLOOKUP(V$5,NFI,5,0),1,0)*Table_NFI[[#This Row],[Shelter Tool kit]],Table_NFI[Shelter Tool kit])</f>
        <v>0</v>
      </c>
      <c r="AP673" s="331">
        <f>IF(NFI_Expiration=1,IF($A673&lt;VLOOKUP(V$5,NFI,5,0),1,0)*Table_NFI[[#This Row],[Tent]],Table_NFI[Tent])</f>
        <v>0</v>
      </c>
      <c r="AQ673" s="467" t="str">
        <f>IFERROR(VLOOKUP(Table_NFI[[#This Row],[Camp Name]],CL,2,0),"")</f>
        <v>MMR001CMP023</v>
      </c>
      <c r="AR673" s="835">
        <f ca="1">IF(Table_NFI[[#This Row],[Pcode]]="","",IF(OFFSET(CampList[Opening Date],MATCH(Table_NFI[[#This Row],[Pcode]],CampList[CP_Pcode],0)-1,0,1,1)&gt;=NFI_Monitor_Date,1,0))</f>
        <v>0</v>
      </c>
      <c r="AS673" s="467" t="str">
        <f>IFERROR(VLOOKUP(Table_NFI[[#This Row],[Camp Name]],CL,3,0),"")</f>
        <v>Open</v>
      </c>
      <c r="AT673" s="294" t="str">
        <f ca="1">IF(Table_NFI[[#This Row],[Pcode]]="","",OFFSET(CampList[Priority],MATCH(Table_NFI[[#This Row],[Pcode]],CampList[CP_Pcode],0)-1,0,1,1))</f>
        <v>P4</v>
      </c>
      <c r="AU673" s="293">
        <f>IFERROR(Table_NFI[[#This Row],[Kitchen Set]]/VLOOKUP(Table_NFI[[#This Row],[Camp Name]],CL,4,0),"")</f>
        <v>5.3658536585365858E-4</v>
      </c>
      <c r="AV673" s="461" t="s">
        <v>1092</v>
      </c>
      <c r="AW673" s="463"/>
    </row>
    <row r="674" spans="1:49" ht="14.45" customHeight="1" x14ac:dyDescent="0.25">
      <c r="A674" s="297">
        <f t="shared" si="10"/>
        <v>41.9</v>
      </c>
      <c r="B674" s="460">
        <v>41479</v>
      </c>
      <c r="C674" s="461" t="s">
        <v>452</v>
      </c>
      <c r="D674" s="461" t="s">
        <v>505</v>
      </c>
      <c r="E674" s="461" t="s">
        <v>380</v>
      </c>
      <c r="F674" s="290" t="s">
        <v>310</v>
      </c>
      <c r="G674" s="290" t="s">
        <v>316</v>
      </c>
      <c r="H674" s="291"/>
      <c r="I674" s="291"/>
      <c r="J674" s="291">
        <v>22</v>
      </c>
      <c r="K674" s="291">
        <v>32</v>
      </c>
      <c r="L674" s="294">
        <v>15</v>
      </c>
      <c r="M674" s="294">
        <v>32</v>
      </c>
      <c r="N674" s="294">
        <v>15</v>
      </c>
      <c r="O674" s="294">
        <v>15</v>
      </c>
      <c r="P674" s="294">
        <v>15</v>
      </c>
      <c r="Q674" s="294">
        <v>15</v>
      </c>
      <c r="R674" s="294"/>
      <c r="S674" s="294"/>
      <c r="T674" s="294"/>
      <c r="U674" s="294"/>
      <c r="V674" s="431"/>
      <c r="W674" s="294"/>
      <c r="X674" s="294"/>
      <c r="Y674" s="294">
        <f>IF(NFI_Expiration=1,IF($A674&lt;VLOOKUP(H$5,NFI,5,0),1,0)*Table_NFI[[#This Row],[Hygiene Kit]],Table_NFI[Hygiene Kit])</f>
        <v>0</v>
      </c>
      <c r="Z674" s="294">
        <f>IF(NFI_Expiration=1,IF($A674&lt;VLOOKUP(I$5,NFI,5,0),1,0)*Table_NFI[[#This Row],[NFI Core Kit]],Table_NFI[NFI Core Kit])</f>
        <v>0</v>
      </c>
      <c r="AA674" s="294">
        <f>IF(NFI_Expiration=1,IF($A674&lt;VLOOKUP(J$5,NFI,5,0),1,0)*Table_NFI[[#This Row],[Sanitary Kit]],Table_NFI[Sanitary Kit])</f>
        <v>0</v>
      </c>
      <c r="AB674" s="294">
        <f>IF(NFI_Expiration=1,IF($A674&lt;VLOOKUP(K$5,NFI,5,0),1,0)*Table_NFI[[#This Row],[Mosquito net]],Table_NFI[Mosquito net])</f>
        <v>0</v>
      </c>
      <c r="AC674" s="294">
        <f>IF(NFI_Expiration=1,IF($A674&lt;VLOOKUP(L$5,NFI,5,0),1,0)*Table_NFI[[#This Row],[Tarpaulin]],Table_NFI[[#This Row],[Tarpaulin]])</f>
        <v>0</v>
      </c>
      <c r="AD674" s="294">
        <f>IF(NFI_Expiration=1,IF($A674&lt;VLOOKUP(M$5,NFI,5,0),1,0)*Table_NFI[[#This Row],[Blanket]],Table_NFI[[#This Row],[Blanket]])</f>
        <v>0</v>
      </c>
      <c r="AE674" s="294">
        <f>IF(NFI_Expiration=1,IF($A674&lt;VLOOKUP(N$5,NFI,5,0),1,0)*Table_NFI[[#This Row],[Kitchen Set]],Table_NFI[Kitchen Set])</f>
        <v>0</v>
      </c>
      <c r="AF674" s="294">
        <f>IF(NFI_Expiration=1,IF($A674&lt;VLOOKUP(O$5,NFI,5,0),1,0)*Table_NFI[[#This Row],[Clothes Kit]],Table_NFI[Clothes Kit])</f>
        <v>0</v>
      </c>
      <c r="AG674" s="294">
        <f>IF(NFI_Expiration=1,IF($A674&lt;VLOOKUP(P$5,NFI,5,0),1,0)*Table_NFI[[#This Row],[Plastic Bucket]],Table_NFI[Plastic Bucket])</f>
        <v>0</v>
      </c>
      <c r="AH674" s="294">
        <f>IF(NFI_Expiration=1,IF($A674&lt;VLOOKUP(Q$5,NFI,5,0),1,0)*Table_NFI[[#This Row],[Plastic Mat]],Table_NFI[Plastic Mat])*IF(Table_NFI[[#This Row],[Distribution Date]]&gt;"2014-04-01",1,2.5)</f>
        <v>0</v>
      </c>
      <c r="AI674" s="294">
        <f>IF(NFI_Expiration=1,IF($A674&lt;VLOOKUP(R$5,NFI,5,0),1,0)*Table_NFI[[#This Row],[Winter Clothes Adult]],Table_NFI[Winter Clothes Adult])</f>
        <v>0</v>
      </c>
      <c r="AJ674" s="294">
        <f>IF(NFI_Expiration=1,IF($A674&lt;VLOOKUP(S$5,NFI,5,0),1,0)*Table_NFI[[#This Row],[Winter Clothes Children]],Table_NFI[Winter Clothes Children])</f>
        <v>0</v>
      </c>
      <c r="AK674" s="294">
        <f>IF(NFI_Expiration=1,IF($A674&lt;VLOOKUP(T$5,NFI,5,0),1,0)*Table_NFI[[#This Row],[Winter Items Other]],Table_NFI[Winter Items Other])</f>
        <v>0</v>
      </c>
      <c r="AL674" s="294">
        <f>IF(NFI_Expiration=1,IF($A674&lt;VLOOKUP(M$5,NFI,5,0),1,0)*Table_NFI[[#This Row],[Winter Blanket]],Table_NFI[[#This Row],[Winter Blanket]])</f>
        <v>0</v>
      </c>
      <c r="AM674" s="294">
        <f>IF(Table_NFI[[#This Row],[Winter Clothes Adult]]+Table_NFI[[#This Row],[Winter Clothes Children]]+Table_NFI[[#This Row],[Winter Items Other]]+Table_NFI[[#This Row],[Winter Blanket]]&gt;0,1,0)</f>
        <v>0</v>
      </c>
      <c r="AN674" s="331">
        <f>IF(NFI_Expiration=1,IF($A674&lt;VLOOKUP(V$5,NFI,5,0),1,0)*Table_NFI[[#This Row],[Jerry Can]],Table_NFI[Jerry Can])</f>
        <v>0</v>
      </c>
      <c r="AO674" s="331">
        <f>IF(NFI_Expiration=1,IF($A674&lt;VLOOKUP(V$5,NFI,5,0),1,0)*Table_NFI[[#This Row],[Shelter Tool kit]],Table_NFI[Shelter Tool kit])</f>
        <v>0</v>
      </c>
      <c r="AP674" s="331">
        <f>IF(NFI_Expiration=1,IF($A674&lt;VLOOKUP(V$5,NFI,5,0),1,0)*Table_NFI[[#This Row],[Tent]],Table_NFI[Tent])</f>
        <v>0</v>
      </c>
      <c r="AQ674" s="467" t="str">
        <f>IFERROR(VLOOKUP(Table_NFI[[#This Row],[Camp Name]],CL,2,0),"")</f>
        <v>MMR001CMP038</v>
      </c>
      <c r="AR674" s="835">
        <f ca="1">IF(Table_NFI[[#This Row],[Pcode]]="","",IF(OFFSET(CampList[Opening Date],MATCH(Table_NFI[[#This Row],[Pcode]],CampList[CP_Pcode],0)-1,0,1,1)&gt;=NFI_Monitor_Date,1,0))</f>
        <v>0</v>
      </c>
      <c r="AS674" s="467" t="str">
        <f>IFERROR(VLOOKUP(Table_NFI[[#This Row],[Camp Name]],CL,3,0),"")</f>
        <v>Open</v>
      </c>
      <c r="AT674" s="294" t="str">
        <f ca="1">IF(Table_NFI[[#This Row],[Pcode]]="","",OFFSET(CampList[Priority],MATCH(Table_NFI[[#This Row],[Pcode]],CampList[CP_Pcode],0)-1,0,1,1))</f>
        <v>P4</v>
      </c>
      <c r="AU674" s="293">
        <f>IFERROR(Table_NFI[[#This Row],[Kitchen Set]]/VLOOKUP(Table_NFI[[#This Row],[Camp Name]],CL,4,0),"")</f>
        <v>3.6721504112808461E-4</v>
      </c>
      <c r="AV674" s="461" t="s">
        <v>1092</v>
      </c>
      <c r="AW674" s="463"/>
    </row>
    <row r="675" spans="1:49" ht="14.45" customHeight="1" x14ac:dyDescent="0.25">
      <c r="A675" s="297">
        <f t="shared" si="10"/>
        <v>42.166666666666664</v>
      </c>
      <c r="B675" s="460">
        <v>41471</v>
      </c>
      <c r="C675" s="461" t="s">
        <v>452</v>
      </c>
      <c r="D675" s="462" t="s">
        <v>505</v>
      </c>
      <c r="E675" s="461" t="s">
        <v>380</v>
      </c>
      <c r="F675" s="290" t="s">
        <v>237</v>
      </c>
      <c r="G675" s="290" t="s">
        <v>1244</v>
      </c>
      <c r="H675" s="291"/>
      <c r="I675" s="291"/>
      <c r="J675" s="291">
        <v>55</v>
      </c>
      <c r="K675" s="291">
        <v>74</v>
      </c>
      <c r="L675" s="292">
        <v>31</v>
      </c>
      <c r="M675" s="292">
        <v>74</v>
      </c>
      <c r="N675" s="292">
        <v>31</v>
      </c>
      <c r="O675" s="292">
        <v>31</v>
      </c>
      <c r="P675" s="294">
        <v>31</v>
      </c>
      <c r="Q675" s="294">
        <v>31</v>
      </c>
      <c r="R675" s="294"/>
      <c r="S675" s="294"/>
      <c r="T675" s="294"/>
      <c r="U675" s="294"/>
      <c r="V675" s="431"/>
      <c r="W675" s="294"/>
      <c r="X675" s="294"/>
      <c r="Y675" s="294">
        <f>IF(NFI_Expiration=1,IF($A675&lt;VLOOKUP(H$5,NFI,5,0),1,0)*Table_NFI[[#This Row],[Hygiene Kit]],Table_NFI[Hygiene Kit])</f>
        <v>0</v>
      </c>
      <c r="Z675" s="294">
        <f>IF(NFI_Expiration=1,IF($A675&lt;VLOOKUP(I$5,NFI,5,0),1,0)*Table_NFI[[#This Row],[NFI Core Kit]],Table_NFI[NFI Core Kit])</f>
        <v>0</v>
      </c>
      <c r="AA675" s="294">
        <f>IF(NFI_Expiration=1,IF($A675&lt;VLOOKUP(J$5,NFI,5,0),1,0)*Table_NFI[[#This Row],[Sanitary Kit]],Table_NFI[Sanitary Kit])</f>
        <v>0</v>
      </c>
      <c r="AB675" s="294">
        <f>IF(NFI_Expiration=1,IF($A675&lt;VLOOKUP(K$5,NFI,5,0),1,0)*Table_NFI[[#This Row],[Mosquito net]],Table_NFI[Mosquito net])</f>
        <v>0</v>
      </c>
      <c r="AC675" s="294">
        <f>IF(NFI_Expiration=1,IF($A675&lt;VLOOKUP(L$5,NFI,5,0),1,0)*Table_NFI[[#This Row],[Tarpaulin]],Table_NFI[[#This Row],[Tarpaulin]])</f>
        <v>0</v>
      </c>
      <c r="AD675" s="294">
        <f>IF(NFI_Expiration=1,IF($A675&lt;VLOOKUP(M$5,NFI,5,0),1,0)*Table_NFI[[#This Row],[Blanket]],Table_NFI[[#This Row],[Blanket]])</f>
        <v>0</v>
      </c>
      <c r="AE675" s="294">
        <f>IF(NFI_Expiration=1,IF($A675&lt;VLOOKUP(N$5,NFI,5,0),1,0)*Table_NFI[[#This Row],[Kitchen Set]],Table_NFI[Kitchen Set])</f>
        <v>0</v>
      </c>
      <c r="AF675" s="294">
        <f>IF(NFI_Expiration=1,IF($A675&lt;VLOOKUP(O$5,NFI,5,0),1,0)*Table_NFI[[#This Row],[Clothes Kit]],Table_NFI[Clothes Kit])</f>
        <v>0</v>
      </c>
      <c r="AG675" s="294">
        <f>IF(NFI_Expiration=1,IF($A675&lt;VLOOKUP(P$5,NFI,5,0),1,0)*Table_NFI[[#This Row],[Plastic Bucket]],Table_NFI[Plastic Bucket])</f>
        <v>0</v>
      </c>
      <c r="AH675" s="294">
        <f>IF(NFI_Expiration=1,IF($A675&lt;VLOOKUP(Q$5,NFI,5,0),1,0)*Table_NFI[[#This Row],[Plastic Mat]],Table_NFI[Plastic Mat])*IF(Table_NFI[[#This Row],[Distribution Date]]&gt;"2014-04-01",1,2.5)</f>
        <v>0</v>
      </c>
      <c r="AI675" s="294">
        <f>IF(NFI_Expiration=1,IF($A675&lt;VLOOKUP(R$5,NFI,5,0),1,0)*Table_NFI[[#This Row],[Winter Clothes Adult]],Table_NFI[Winter Clothes Adult])</f>
        <v>0</v>
      </c>
      <c r="AJ675" s="294">
        <f>IF(NFI_Expiration=1,IF($A675&lt;VLOOKUP(S$5,NFI,5,0),1,0)*Table_NFI[[#This Row],[Winter Clothes Children]],Table_NFI[Winter Clothes Children])</f>
        <v>0</v>
      </c>
      <c r="AK675" s="294">
        <f>IF(NFI_Expiration=1,IF($A675&lt;VLOOKUP(T$5,NFI,5,0),1,0)*Table_NFI[[#This Row],[Winter Items Other]],Table_NFI[Winter Items Other])</f>
        <v>0</v>
      </c>
      <c r="AL675" s="294">
        <f>IF(NFI_Expiration=1,IF($A675&lt;VLOOKUP(M$5,NFI,5,0),1,0)*Table_NFI[[#This Row],[Winter Blanket]],Table_NFI[[#This Row],[Winter Blanket]])</f>
        <v>0</v>
      </c>
      <c r="AM675" s="294">
        <f>IF(Table_NFI[[#This Row],[Winter Clothes Adult]]+Table_NFI[[#This Row],[Winter Clothes Children]]+Table_NFI[[#This Row],[Winter Items Other]]+Table_NFI[[#This Row],[Winter Blanket]]&gt;0,1,0)</f>
        <v>0</v>
      </c>
      <c r="AN675" s="331">
        <f>IF(NFI_Expiration=1,IF($A675&lt;VLOOKUP(V$5,NFI,5,0),1,0)*Table_NFI[[#This Row],[Jerry Can]],Table_NFI[Jerry Can])</f>
        <v>0</v>
      </c>
      <c r="AO675" s="331">
        <f>IF(NFI_Expiration=1,IF($A675&lt;VLOOKUP(V$5,NFI,5,0),1,0)*Table_NFI[[#This Row],[Shelter Tool kit]],Table_NFI[Shelter Tool kit])</f>
        <v>0</v>
      </c>
      <c r="AP675" s="331">
        <f>IF(NFI_Expiration=1,IF($A675&lt;VLOOKUP(V$5,NFI,5,0),1,0)*Table_NFI[[#This Row],[Tent]],Table_NFI[Tent])</f>
        <v>0</v>
      </c>
      <c r="AQ675" s="467" t="str">
        <f>IFERROR(VLOOKUP(Table_NFI[[#This Row],[Camp Name]],CL,2,0),"")</f>
        <v>MMR001CMP023</v>
      </c>
      <c r="AR675" s="835">
        <f ca="1">IF(Table_NFI[[#This Row],[Pcode]]="","",IF(OFFSET(CampList[Opening Date],MATCH(Table_NFI[[#This Row],[Pcode]],CampList[CP_Pcode],0)-1,0,1,1)&gt;=NFI_Monitor_Date,1,0))</f>
        <v>0</v>
      </c>
      <c r="AS675" s="467" t="str">
        <f>IFERROR(VLOOKUP(Table_NFI[[#This Row],[Camp Name]],CL,3,0),"")</f>
        <v>Open</v>
      </c>
      <c r="AT675" s="294" t="str">
        <f ca="1">IF(Table_NFI[[#This Row],[Pcode]]="","",OFFSET(CampList[Priority],MATCH(Table_NFI[[#This Row],[Pcode]],CampList[CP_Pcode],0)-1,0,1,1))</f>
        <v>P4</v>
      </c>
      <c r="AU675" s="293">
        <f>IFERROR(Table_NFI[[#This Row],[Kitchen Set]]/VLOOKUP(Table_NFI[[#This Row],[Camp Name]],CL,4,0),"")</f>
        <v>7.5609756097560978E-4</v>
      </c>
      <c r="AV675" s="461" t="s">
        <v>1092</v>
      </c>
      <c r="AW675" s="463"/>
    </row>
    <row r="676" spans="1:49" ht="14.45" customHeight="1" x14ac:dyDescent="0.25">
      <c r="A676" s="297">
        <f t="shared" si="10"/>
        <v>42.7</v>
      </c>
      <c r="B676" s="460">
        <v>41455</v>
      </c>
      <c r="C676" s="461" t="s">
        <v>452</v>
      </c>
      <c r="D676" s="461"/>
      <c r="E676" s="461" t="s">
        <v>380</v>
      </c>
      <c r="F676" s="461" t="s">
        <v>151</v>
      </c>
      <c r="G676" s="461" t="s">
        <v>885</v>
      </c>
      <c r="H676" s="291"/>
      <c r="I676" s="291"/>
      <c r="J676" s="291"/>
      <c r="K676" s="291"/>
      <c r="L676" s="292"/>
      <c r="M676" s="292">
        <v>9</v>
      </c>
      <c r="N676" s="292"/>
      <c r="O676" s="292"/>
      <c r="P676" s="294">
        <v>19</v>
      </c>
      <c r="Q676" s="294">
        <v>1</v>
      </c>
      <c r="R676" s="294"/>
      <c r="S676" s="294"/>
      <c r="T676" s="294"/>
      <c r="U676" s="294"/>
      <c r="V676" s="431"/>
      <c r="W676" s="294"/>
      <c r="X676" s="294"/>
      <c r="Y676" s="294">
        <f>IF(NFI_Expiration=1,IF($A676&lt;VLOOKUP(H$5,NFI,5,0),1,0)*Table_NFI[[#This Row],[Hygiene Kit]],Table_NFI[Hygiene Kit])</f>
        <v>0</v>
      </c>
      <c r="Z676" s="294">
        <f>IF(NFI_Expiration=1,IF($A676&lt;VLOOKUP(I$5,NFI,5,0),1,0)*Table_NFI[[#This Row],[NFI Core Kit]],Table_NFI[NFI Core Kit])</f>
        <v>0</v>
      </c>
      <c r="AA676" s="294">
        <f>IF(NFI_Expiration=1,IF($A676&lt;VLOOKUP(J$5,NFI,5,0),1,0)*Table_NFI[[#This Row],[Sanitary Kit]],Table_NFI[Sanitary Kit])</f>
        <v>0</v>
      </c>
      <c r="AB676" s="294">
        <f>IF(NFI_Expiration=1,IF($A676&lt;VLOOKUP(K$5,NFI,5,0),1,0)*Table_NFI[[#This Row],[Mosquito net]],Table_NFI[Mosquito net])</f>
        <v>0</v>
      </c>
      <c r="AC676" s="294">
        <f>IF(NFI_Expiration=1,IF($A676&lt;VLOOKUP(L$5,NFI,5,0),1,0)*Table_NFI[[#This Row],[Tarpaulin]],Table_NFI[[#This Row],[Tarpaulin]])</f>
        <v>0</v>
      </c>
      <c r="AD676" s="294">
        <f>IF(NFI_Expiration=1,IF($A676&lt;VLOOKUP(M$5,NFI,5,0),1,0)*Table_NFI[[#This Row],[Blanket]],Table_NFI[[#This Row],[Blanket]])</f>
        <v>0</v>
      </c>
      <c r="AE676" s="294">
        <f>IF(NFI_Expiration=1,IF($A676&lt;VLOOKUP(N$5,NFI,5,0),1,0)*Table_NFI[[#This Row],[Kitchen Set]],Table_NFI[Kitchen Set])</f>
        <v>0</v>
      </c>
      <c r="AF676" s="294">
        <f>IF(NFI_Expiration=1,IF($A676&lt;VLOOKUP(O$5,NFI,5,0),1,0)*Table_NFI[[#This Row],[Clothes Kit]],Table_NFI[Clothes Kit])</f>
        <v>0</v>
      </c>
      <c r="AG676" s="294">
        <f>IF(NFI_Expiration=1,IF($A676&lt;VLOOKUP(P$5,NFI,5,0),1,0)*Table_NFI[[#This Row],[Plastic Bucket]],Table_NFI[Plastic Bucket])</f>
        <v>0</v>
      </c>
      <c r="AH676" s="294">
        <f>IF(NFI_Expiration=1,IF($A676&lt;VLOOKUP(Q$5,NFI,5,0),1,0)*Table_NFI[[#This Row],[Plastic Mat]],Table_NFI[Plastic Mat])*IF(Table_NFI[[#This Row],[Distribution Date]]&gt;"2014-04-01",1,2.5)</f>
        <v>0</v>
      </c>
      <c r="AI676" s="294">
        <f>IF(NFI_Expiration=1,IF($A676&lt;VLOOKUP(R$5,NFI,5,0),1,0)*Table_NFI[[#This Row],[Winter Clothes Adult]],Table_NFI[Winter Clothes Adult])</f>
        <v>0</v>
      </c>
      <c r="AJ676" s="294">
        <f>IF(NFI_Expiration=1,IF($A676&lt;VLOOKUP(S$5,NFI,5,0),1,0)*Table_NFI[[#This Row],[Winter Clothes Children]],Table_NFI[Winter Clothes Children])</f>
        <v>0</v>
      </c>
      <c r="AK676" s="294">
        <f>IF(NFI_Expiration=1,IF($A676&lt;VLOOKUP(T$5,NFI,5,0),1,0)*Table_NFI[[#This Row],[Winter Items Other]],Table_NFI[Winter Items Other])</f>
        <v>0</v>
      </c>
      <c r="AL676" s="294">
        <f>IF(NFI_Expiration=1,IF($A676&lt;VLOOKUP(M$5,NFI,5,0),1,0)*Table_NFI[[#This Row],[Winter Blanket]],Table_NFI[[#This Row],[Winter Blanket]])</f>
        <v>0</v>
      </c>
      <c r="AM676" s="294">
        <f>IF(Table_NFI[[#This Row],[Winter Clothes Adult]]+Table_NFI[[#This Row],[Winter Clothes Children]]+Table_NFI[[#This Row],[Winter Items Other]]+Table_NFI[[#This Row],[Winter Blanket]]&gt;0,1,0)</f>
        <v>0</v>
      </c>
      <c r="AN676" s="331">
        <f>IF(NFI_Expiration=1,IF($A676&lt;VLOOKUP(V$5,NFI,5,0),1,0)*Table_NFI[[#This Row],[Jerry Can]],Table_NFI[Jerry Can])</f>
        <v>0</v>
      </c>
      <c r="AO676" s="331">
        <f>IF(NFI_Expiration=1,IF($A676&lt;VLOOKUP(V$5,NFI,5,0),1,0)*Table_NFI[[#This Row],[Shelter Tool kit]],Table_NFI[Shelter Tool kit])</f>
        <v>0</v>
      </c>
      <c r="AP676" s="331">
        <f>IF(NFI_Expiration=1,IF($A676&lt;VLOOKUP(V$5,NFI,5,0),1,0)*Table_NFI[[#This Row],[Tent]],Table_NFI[Tent])</f>
        <v>0</v>
      </c>
      <c r="AQ676" s="467" t="str">
        <f>IFERROR(VLOOKUP(Table_NFI[[#This Row],[Camp Name]],CL,2,0),"")</f>
        <v>MMR001CMP218</v>
      </c>
      <c r="AR676" s="835">
        <f ca="1">IF(Table_NFI[[#This Row],[Pcode]]="","",IF(OFFSET(CampList[Opening Date],MATCH(Table_NFI[[#This Row],[Pcode]],CampList[CP_Pcode],0)-1,0,1,1)&gt;=NFI_Monitor_Date,1,0))</f>
        <v>0</v>
      </c>
      <c r="AS676" s="467" t="str">
        <f>IFERROR(VLOOKUP(Table_NFI[[#This Row],[Camp Name]],CL,3,0),"")</f>
        <v>Open</v>
      </c>
      <c r="AT676" s="294" t="str">
        <f ca="1">IF(Table_NFI[[#This Row],[Pcode]]="","",OFFSET(CampList[Priority],MATCH(Table_NFI[[#This Row],[Pcode]],CampList[CP_Pcode],0)-1,0,1,1))</f>
        <v>P4</v>
      </c>
      <c r="AU676" s="293">
        <f>IFERROR(Table_NFI[[#This Row],[Kitchen Set]]/VLOOKUP(Table_NFI[[#This Row],[Camp Name]],CL,4,0),"")</f>
        <v>0</v>
      </c>
      <c r="AV676" s="461"/>
      <c r="AW676" s="463"/>
    </row>
    <row r="677" spans="1:49" ht="14.45" customHeight="1" x14ac:dyDescent="0.25">
      <c r="A677" s="297">
        <f t="shared" si="10"/>
        <v>42.7</v>
      </c>
      <c r="B677" s="460">
        <v>41455</v>
      </c>
      <c r="C677" s="461" t="s">
        <v>452</v>
      </c>
      <c r="D677" s="461"/>
      <c r="E677" s="461" t="s">
        <v>380</v>
      </c>
      <c r="F677" s="461" t="s">
        <v>151</v>
      </c>
      <c r="G677" s="461" t="s">
        <v>942</v>
      </c>
      <c r="H677" s="291"/>
      <c r="I677" s="291"/>
      <c r="J677" s="291"/>
      <c r="K677" s="291">
        <v>50</v>
      </c>
      <c r="L677" s="292">
        <v>15</v>
      </c>
      <c r="M677" s="292"/>
      <c r="N677" s="292">
        <v>15</v>
      </c>
      <c r="O677" s="292"/>
      <c r="P677" s="294">
        <v>15</v>
      </c>
      <c r="Q677" s="294">
        <v>60</v>
      </c>
      <c r="R677" s="294"/>
      <c r="S677" s="294"/>
      <c r="T677" s="294"/>
      <c r="U677" s="294"/>
      <c r="V677" s="431"/>
      <c r="W677" s="294"/>
      <c r="X677" s="294"/>
      <c r="Y677" s="294">
        <f>IF(NFI_Expiration=1,IF($A677&lt;VLOOKUP(H$5,NFI,5,0),1,0)*Table_NFI[[#This Row],[Hygiene Kit]],Table_NFI[Hygiene Kit])</f>
        <v>0</v>
      </c>
      <c r="Z677" s="294">
        <f>IF(NFI_Expiration=1,IF($A677&lt;VLOOKUP(I$5,NFI,5,0),1,0)*Table_NFI[[#This Row],[NFI Core Kit]],Table_NFI[NFI Core Kit])</f>
        <v>0</v>
      </c>
      <c r="AA677" s="294">
        <f>IF(NFI_Expiration=1,IF($A677&lt;VLOOKUP(J$5,NFI,5,0),1,0)*Table_NFI[[#This Row],[Sanitary Kit]],Table_NFI[Sanitary Kit])</f>
        <v>0</v>
      </c>
      <c r="AB677" s="294">
        <f>IF(NFI_Expiration=1,IF($A677&lt;VLOOKUP(K$5,NFI,5,0),1,0)*Table_NFI[[#This Row],[Mosquito net]],Table_NFI[Mosquito net])</f>
        <v>0</v>
      </c>
      <c r="AC677" s="294">
        <f>IF(NFI_Expiration=1,IF($A677&lt;VLOOKUP(L$5,NFI,5,0),1,0)*Table_NFI[[#This Row],[Tarpaulin]],Table_NFI[[#This Row],[Tarpaulin]])</f>
        <v>0</v>
      </c>
      <c r="AD677" s="294">
        <f>IF(NFI_Expiration=1,IF($A677&lt;VLOOKUP(M$5,NFI,5,0),1,0)*Table_NFI[[#This Row],[Blanket]],Table_NFI[[#This Row],[Blanket]])</f>
        <v>0</v>
      </c>
      <c r="AE677" s="294">
        <f>IF(NFI_Expiration=1,IF($A677&lt;VLOOKUP(N$5,NFI,5,0),1,0)*Table_NFI[[#This Row],[Kitchen Set]],Table_NFI[Kitchen Set])</f>
        <v>0</v>
      </c>
      <c r="AF677" s="294">
        <f>IF(NFI_Expiration=1,IF($A677&lt;VLOOKUP(O$5,NFI,5,0),1,0)*Table_NFI[[#This Row],[Clothes Kit]],Table_NFI[Clothes Kit])</f>
        <v>0</v>
      </c>
      <c r="AG677" s="294">
        <f>IF(NFI_Expiration=1,IF($A677&lt;VLOOKUP(P$5,NFI,5,0),1,0)*Table_NFI[[#This Row],[Plastic Bucket]],Table_NFI[Plastic Bucket])</f>
        <v>0</v>
      </c>
      <c r="AH677" s="294">
        <f>IF(NFI_Expiration=1,IF($A677&lt;VLOOKUP(Q$5,NFI,5,0),1,0)*Table_NFI[[#This Row],[Plastic Mat]],Table_NFI[Plastic Mat])*IF(Table_NFI[[#This Row],[Distribution Date]]&gt;"2014-04-01",1,2.5)</f>
        <v>0</v>
      </c>
      <c r="AI677" s="294">
        <f>IF(NFI_Expiration=1,IF($A677&lt;VLOOKUP(R$5,NFI,5,0),1,0)*Table_NFI[[#This Row],[Winter Clothes Adult]],Table_NFI[Winter Clothes Adult])</f>
        <v>0</v>
      </c>
      <c r="AJ677" s="294">
        <f>IF(NFI_Expiration=1,IF($A677&lt;VLOOKUP(S$5,NFI,5,0),1,0)*Table_NFI[[#This Row],[Winter Clothes Children]],Table_NFI[Winter Clothes Children])</f>
        <v>0</v>
      </c>
      <c r="AK677" s="294">
        <f>IF(NFI_Expiration=1,IF($A677&lt;VLOOKUP(T$5,NFI,5,0),1,0)*Table_NFI[[#This Row],[Winter Items Other]],Table_NFI[Winter Items Other])</f>
        <v>0</v>
      </c>
      <c r="AL677" s="294">
        <f>IF(NFI_Expiration=1,IF($A677&lt;VLOOKUP(M$5,NFI,5,0),1,0)*Table_NFI[[#This Row],[Winter Blanket]],Table_NFI[[#This Row],[Winter Blanket]])</f>
        <v>0</v>
      </c>
      <c r="AM677" s="294">
        <f>IF(Table_NFI[[#This Row],[Winter Clothes Adult]]+Table_NFI[[#This Row],[Winter Clothes Children]]+Table_NFI[[#This Row],[Winter Items Other]]+Table_NFI[[#This Row],[Winter Blanket]]&gt;0,1,0)</f>
        <v>0</v>
      </c>
      <c r="AN677" s="331">
        <f>IF(NFI_Expiration=1,IF($A677&lt;VLOOKUP(V$5,NFI,5,0),1,0)*Table_NFI[[#This Row],[Jerry Can]],Table_NFI[Jerry Can])</f>
        <v>0</v>
      </c>
      <c r="AO677" s="331">
        <f>IF(NFI_Expiration=1,IF($A677&lt;VLOOKUP(V$5,NFI,5,0),1,0)*Table_NFI[[#This Row],[Shelter Tool kit]],Table_NFI[Shelter Tool kit])</f>
        <v>0</v>
      </c>
      <c r="AP677" s="331">
        <f>IF(NFI_Expiration=1,IF($A677&lt;VLOOKUP(V$5,NFI,5,0),1,0)*Table_NFI[[#This Row],[Tent]],Table_NFI[Tent])</f>
        <v>0</v>
      </c>
      <c r="AQ677" s="467" t="str">
        <f>IFERROR(VLOOKUP(Table_NFI[[#This Row],[Camp Name]],CL,2,0),"")</f>
        <v>MMR001CMP223</v>
      </c>
      <c r="AR677" s="835">
        <f ca="1">IF(Table_NFI[[#This Row],[Pcode]]="","",IF(OFFSET(CampList[Opening Date],MATCH(Table_NFI[[#This Row],[Pcode]],CampList[CP_Pcode],0)-1,0,1,1)&gt;=NFI_Monitor_Date,1,0))</f>
        <v>0</v>
      </c>
      <c r="AS677" s="467" t="str">
        <f>IFERROR(VLOOKUP(Table_NFI[[#This Row],[Camp Name]],CL,3,0),"")</f>
        <v>Open</v>
      </c>
      <c r="AT677" s="294" t="str">
        <f ca="1">IF(Table_NFI[[#This Row],[Pcode]]="","",OFFSET(CampList[Priority],MATCH(Table_NFI[[#This Row],[Pcode]],CampList[CP_Pcode],0)-1,0,1,1))</f>
        <v>P4</v>
      </c>
      <c r="AU677" s="293">
        <f>IFERROR(Table_NFI[[#This Row],[Kitchen Set]]/VLOOKUP(Table_NFI[[#This Row],[Camp Name]],CL,4,0),"")</f>
        <v>3.6102820833734477E-4</v>
      </c>
      <c r="AV677" s="461"/>
      <c r="AW677" s="463"/>
    </row>
    <row r="678" spans="1:49" ht="14.45" customHeight="1" x14ac:dyDescent="0.25">
      <c r="A678" s="297">
        <f t="shared" si="10"/>
        <v>42.733333333333334</v>
      </c>
      <c r="B678" s="460">
        <v>41454</v>
      </c>
      <c r="C678" s="461" t="s">
        <v>452</v>
      </c>
      <c r="D678" s="461"/>
      <c r="E678" s="461" t="s">
        <v>380</v>
      </c>
      <c r="F678" s="461" t="s">
        <v>151</v>
      </c>
      <c r="G678" s="461" t="s">
        <v>885</v>
      </c>
      <c r="H678" s="291"/>
      <c r="I678" s="291"/>
      <c r="J678" s="291"/>
      <c r="K678" s="291"/>
      <c r="L678" s="292">
        <v>19</v>
      </c>
      <c r="M678" s="292"/>
      <c r="N678" s="292">
        <v>19</v>
      </c>
      <c r="O678" s="292"/>
      <c r="P678" s="294"/>
      <c r="Q678" s="294">
        <v>100</v>
      </c>
      <c r="R678" s="294"/>
      <c r="S678" s="294"/>
      <c r="T678" s="294"/>
      <c r="U678" s="294"/>
      <c r="V678" s="431"/>
      <c r="W678" s="294"/>
      <c r="X678" s="294"/>
      <c r="Y678" s="294">
        <f>IF(NFI_Expiration=1,IF($A678&lt;VLOOKUP(H$5,NFI,5,0),1,0)*Table_NFI[[#This Row],[Hygiene Kit]],Table_NFI[Hygiene Kit])</f>
        <v>0</v>
      </c>
      <c r="Z678" s="294">
        <f>IF(NFI_Expiration=1,IF($A678&lt;VLOOKUP(I$5,NFI,5,0),1,0)*Table_NFI[[#This Row],[NFI Core Kit]],Table_NFI[NFI Core Kit])</f>
        <v>0</v>
      </c>
      <c r="AA678" s="294">
        <f>IF(NFI_Expiration=1,IF($A678&lt;VLOOKUP(J$5,NFI,5,0),1,0)*Table_NFI[[#This Row],[Sanitary Kit]],Table_NFI[Sanitary Kit])</f>
        <v>0</v>
      </c>
      <c r="AB678" s="294">
        <f>IF(NFI_Expiration=1,IF($A678&lt;VLOOKUP(K$5,NFI,5,0),1,0)*Table_NFI[[#This Row],[Mosquito net]],Table_NFI[Mosquito net])</f>
        <v>0</v>
      </c>
      <c r="AC678" s="294">
        <f>IF(NFI_Expiration=1,IF($A678&lt;VLOOKUP(L$5,NFI,5,0),1,0)*Table_NFI[[#This Row],[Tarpaulin]],Table_NFI[[#This Row],[Tarpaulin]])</f>
        <v>0</v>
      </c>
      <c r="AD678" s="294">
        <f>IF(NFI_Expiration=1,IF($A678&lt;VLOOKUP(M$5,NFI,5,0),1,0)*Table_NFI[[#This Row],[Blanket]],Table_NFI[[#This Row],[Blanket]])</f>
        <v>0</v>
      </c>
      <c r="AE678" s="294">
        <f>IF(NFI_Expiration=1,IF($A678&lt;VLOOKUP(N$5,NFI,5,0),1,0)*Table_NFI[[#This Row],[Kitchen Set]],Table_NFI[Kitchen Set])</f>
        <v>0</v>
      </c>
      <c r="AF678" s="294">
        <f>IF(NFI_Expiration=1,IF($A678&lt;VLOOKUP(O$5,NFI,5,0),1,0)*Table_NFI[[#This Row],[Clothes Kit]],Table_NFI[Clothes Kit])</f>
        <v>0</v>
      </c>
      <c r="AG678" s="294">
        <f>IF(NFI_Expiration=1,IF($A678&lt;VLOOKUP(P$5,NFI,5,0),1,0)*Table_NFI[[#This Row],[Plastic Bucket]],Table_NFI[Plastic Bucket])</f>
        <v>0</v>
      </c>
      <c r="AH678" s="294">
        <f>IF(NFI_Expiration=1,IF($A678&lt;VLOOKUP(Q$5,NFI,5,0),1,0)*Table_NFI[[#This Row],[Plastic Mat]],Table_NFI[Plastic Mat])*IF(Table_NFI[[#This Row],[Distribution Date]]&gt;"2014-04-01",1,2.5)</f>
        <v>0</v>
      </c>
      <c r="AI678" s="294">
        <f>IF(NFI_Expiration=1,IF($A678&lt;VLOOKUP(R$5,NFI,5,0),1,0)*Table_NFI[[#This Row],[Winter Clothes Adult]],Table_NFI[Winter Clothes Adult])</f>
        <v>0</v>
      </c>
      <c r="AJ678" s="294">
        <f>IF(NFI_Expiration=1,IF($A678&lt;VLOOKUP(S$5,NFI,5,0),1,0)*Table_NFI[[#This Row],[Winter Clothes Children]],Table_NFI[Winter Clothes Children])</f>
        <v>0</v>
      </c>
      <c r="AK678" s="294">
        <f>IF(NFI_Expiration=1,IF($A678&lt;VLOOKUP(T$5,NFI,5,0),1,0)*Table_NFI[[#This Row],[Winter Items Other]],Table_NFI[Winter Items Other])</f>
        <v>0</v>
      </c>
      <c r="AL678" s="294">
        <f>IF(NFI_Expiration=1,IF($A678&lt;VLOOKUP(M$5,NFI,5,0),1,0)*Table_NFI[[#This Row],[Winter Blanket]],Table_NFI[[#This Row],[Winter Blanket]])</f>
        <v>0</v>
      </c>
      <c r="AM678" s="294">
        <f>IF(Table_NFI[[#This Row],[Winter Clothes Adult]]+Table_NFI[[#This Row],[Winter Clothes Children]]+Table_NFI[[#This Row],[Winter Items Other]]+Table_NFI[[#This Row],[Winter Blanket]]&gt;0,1,0)</f>
        <v>0</v>
      </c>
      <c r="AN678" s="331">
        <f>IF(NFI_Expiration=1,IF($A678&lt;VLOOKUP(V$5,NFI,5,0),1,0)*Table_NFI[[#This Row],[Jerry Can]],Table_NFI[Jerry Can])</f>
        <v>0</v>
      </c>
      <c r="AO678" s="331">
        <f>IF(NFI_Expiration=1,IF($A678&lt;VLOOKUP(V$5,NFI,5,0),1,0)*Table_NFI[[#This Row],[Shelter Tool kit]],Table_NFI[Shelter Tool kit])</f>
        <v>0</v>
      </c>
      <c r="AP678" s="331">
        <f>IF(NFI_Expiration=1,IF($A678&lt;VLOOKUP(V$5,NFI,5,0),1,0)*Table_NFI[[#This Row],[Tent]],Table_NFI[Tent])</f>
        <v>0</v>
      </c>
      <c r="AQ678" s="467" t="str">
        <f>IFERROR(VLOOKUP(Table_NFI[[#This Row],[Camp Name]],CL,2,0),"")</f>
        <v>MMR001CMP218</v>
      </c>
      <c r="AR678" s="835">
        <f ca="1">IF(Table_NFI[[#This Row],[Pcode]]="","",IF(OFFSET(CampList[Opening Date],MATCH(Table_NFI[[#This Row],[Pcode]],CampList[CP_Pcode],0)-1,0,1,1)&gt;=NFI_Monitor_Date,1,0))</f>
        <v>0</v>
      </c>
      <c r="AS678" s="467" t="str">
        <f>IFERROR(VLOOKUP(Table_NFI[[#This Row],[Camp Name]],CL,3,0),"")</f>
        <v>Open</v>
      </c>
      <c r="AT678" s="294" t="str">
        <f ca="1">IF(Table_NFI[[#This Row],[Pcode]]="","",OFFSET(CampList[Priority],MATCH(Table_NFI[[#This Row],[Pcode]],CampList[CP_Pcode],0)-1,0,1,1))</f>
        <v>P4</v>
      </c>
      <c r="AU678" s="293">
        <f>IFERROR(Table_NFI[[#This Row],[Kitchen Set]]/VLOOKUP(Table_NFI[[#This Row],[Camp Name]],CL,4,0),"")</f>
        <v>4.5730239722730338E-4</v>
      </c>
      <c r="AV678" s="461"/>
      <c r="AW678" s="463"/>
    </row>
    <row r="679" spans="1:49" ht="14.45" customHeight="1" x14ac:dyDescent="0.25">
      <c r="A679" s="297">
        <f t="shared" si="10"/>
        <v>42.766666666666666</v>
      </c>
      <c r="B679" s="460">
        <v>41453</v>
      </c>
      <c r="C679" s="461" t="s">
        <v>452</v>
      </c>
      <c r="D679" s="461"/>
      <c r="E679" s="461" t="s">
        <v>380</v>
      </c>
      <c r="F679" s="461" t="s">
        <v>151</v>
      </c>
      <c r="G679" s="461" t="s">
        <v>885</v>
      </c>
      <c r="H679" s="291"/>
      <c r="I679" s="291"/>
      <c r="J679" s="291"/>
      <c r="K679" s="291">
        <v>10</v>
      </c>
      <c r="L679" s="292">
        <v>3</v>
      </c>
      <c r="M679" s="292">
        <v>10</v>
      </c>
      <c r="N679" s="292">
        <v>3</v>
      </c>
      <c r="O679" s="292"/>
      <c r="P679" s="294">
        <v>3</v>
      </c>
      <c r="Q679" s="294">
        <v>10</v>
      </c>
      <c r="R679" s="294"/>
      <c r="S679" s="294"/>
      <c r="T679" s="294"/>
      <c r="U679" s="294"/>
      <c r="V679" s="431"/>
      <c r="W679" s="294"/>
      <c r="X679" s="294"/>
      <c r="Y679" s="294">
        <f>IF(NFI_Expiration=1,IF($A679&lt;VLOOKUP(H$5,NFI,5,0),1,0)*Table_NFI[[#This Row],[Hygiene Kit]],Table_NFI[Hygiene Kit])</f>
        <v>0</v>
      </c>
      <c r="Z679" s="294">
        <f>IF(NFI_Expiration=1,IF($A679&lt;VLOOKUP(I$5,NFI,5,0),1,0)*Table_NFI[[#This Row],[NFI Core Kit]],Table_NFI[NFI Core Kit])</f>
        <v>0</v>
      </c>
      <c r="AA679" s="294">
        <f>IF(NFI_Expiration=1,IF($A679&lt;VLOOKUP(J$5,NFI,5,0),1,0)*Table_NFI[[#This Row],[Sanitary Kit]],Table_NFI[Sanitary Kit])</f>
        <v>0</v>
      </c>
      <c r="AB679" s="294">
        <f>IF(NFI_Expiration=1,IF($A679&lt;VLOOKUP(K$5,NFI,5,0),1,0)*Table_NFI[[#This Row],[Mosquito net]],Table_NFI[Mosquito net])</f>
        <v>0</v>
      </c>
      <c r="AC679" s="294">
        <f>IF(NFI_Expiration=1,IF($A679&lt;VLOOKUP(L$5,NFI,5,0),1,0)*Table_NFI[[#This Row],[Tarpaulin]],Table_NFI[[#This Row],[Tarpaulin]])</f>
        <v>0</v>
      </c>
      <c r="AD679" s="294">
        <f>IF(NFI_Expiration=1,IF($A679&lt;VLOOKUP(M$5,NFI,5,0),1,0)*Table_NFI[[#This Row],[Blanket]],Table_NFI[[#This Row],[Blanket]])</f>
        <v>0</v>
      </c>
      <c r="AE679" s="294">
        <f>IF(NFI_Expiration=1,IF($A679&lt;VLOOKUP(N$5,NFI,5,0),1,0)*Table_NFI[[#This Row],[Kitchen Set]],Table_NFI[Kitchen Set])</f>
        <v>0</v>
      </c>
      <c r="AF679" s="294">
        <f>IF(NFI_Expiration=1,IF($A679&lt;VLOOKUP(O$5,NFI,5,0),1,0)*Table_NFI[[#This Row],[Clothes Kit]],Table_NFI[Clothes Kit])</f>
        <v>0</v>
      </c>
      <c r="AG679" s="294">
        <f>IF(NFI_Expiration=1,IF($A679&lt;VLOOKUP(P$5,NFI,5,0),1,0)*Table_NFI[[#This Row],[Plastic Bucket]],Table_NFI[Plastic Bucket])</f>
        <v>0</v>
      </c>
      <c r="AH679" s="294">
        <f>IF(NFI_Expiration=1,IF($A679&lt;VLOOKUP(Q$5,NFI,5,0),1,0)*Table_NFI[[#This Row],[Plastic Mat]],Table_NFI[Plastic Mat])*IF(Table_NFI[[#This Row],[Distribution Date]]&gt;"2014-04-01",1,2.5)</f>
        <v>0</v>
      </c>
      <c r="AI679" s="294">
        <f>IF(NFI_Expiration=1,IF($A679&lt;VLOOKUP(R$5,NFI,5,0),1,0)*Table_NFI[[#This Row],[Winter Clothes Adult]],Table_NFI[Winter Clothes Adult])</f>
        <v>0</v>
      </c>
      <c r="AJ679" s="294">
        <f>IF(NFI_Expiration=1,IF($A679&lt;VLOOKUP(S$5,NFI,5,0),1,0)*Table_NFI[[#This Row],[Winter Clothes Children]],Table_NFI[Winter Clothes Children])</f>
        <v>0</v>
      </c>
      <c r="AK679" s="294">
        <f>IF(NFI_Expiration=1,IF($A679&lt;VLOOKUP(T$5,NFI,5,0),1,0)*Table_NFI[[#This Row],[Winter Items Other]],Table_NFI[Winter Items Other])</f>
        <v>0</v>
      </c>
      <c r="AL679" s="294">
        <f>IF(NFI_Expiration=1,IF($A679&lt;VLOOKUP(M$5,NFI,5,0),1,0)*Table_NFI[[#This Row],[Winter Blanket]],Table_NFI[[#This Row],[Winter Blanket]])</f>
        <v>0</v>
      </c>
      <c r="AM679" s="294">
        <f>IF(Table_NFI[[#This Row],[Winter Clothes Adult]]+Table_NFI[[#This Row],[Winter Clothes Children]]+Table_NFI[[#This Row],[Winter Items Other]]+Table_NFI[[#This Row],[Winter Blanket]]&gt;0,1,0)</f>
        <v>0</v>
      </c>
      <c r="AN679" s="331">
        <f>IF(NFI_Expiration=1,IF($A679&lt;VLOOKUP(V$5,NFI,5,0),1,0)*Table_NFI[[#This Row],[Jerry Can]],Table_NFI[Jerry Can])</f>
        <v>0</v>
      </c>
      <c r="AO679" s="331">
        <f>IF(NFI_Expiration=1,IF($A679&lt;VLOOKUP(V$5,NFI,5,0),1,0)*Table_NFI[[#This Row],[Shelter Tool kit]],Table_NFI[Shelter Tool kit])</f>
        <v>0</v>
      </c>
      <c r="AP679" s="331">
        <f>IF(NFI_Expiration=1,IF($A679&lt;VLOOKUP(V$5,NFI,5,0),1,0)*Table_NFI[[#This Row],[Tent]],Table_NFI[Tent])</f>
        <v>0</v>
      </c>
      <c r="AQ679" s="467" t="str">
        <f>IFERROR(VLOOKUP(Table_NFI[[#This Row],[Camp Name]],CL,2,0),"")</f>
        <v>MMR001CMP218</v>
      </c>
      <c r="AR679" s="835">
        <f ca="1">IF(Table_NFI[[#This Row],[Pcode]]="","",IF(OFFSET(CampList[Opening Date],MATCH(Table_NFI[[#This Row],[Pcode]],CampList[CP_Pcode],0)-1,0,1,1)&gt;=NFI_Monitor_Date,1,0))</f>
        <v>0</v>
      </c>
      <c r="AS679" s="467" t="str">
        <f>IFERROR(VLOOKUP(Table_NFI[[#This Row],[Camp Name]],CL,3,0),"")</f>
        <v>Open</v>
      </c>
      <c r="AT679" s="294" t="str">
        <f ca="1">IF(Table_NFI[[#This Row],[Pcode]]="","",OFFSET(CampList[Priority],MATCH(Table_NFI[[#This Row],[Pcode]],CampList[CP_Pcode],0)-1,0,1,1))</f>
        <v>P4</v>
      </c>
      <c r="AU679" s="293">
        <f>IFERROR(Table_NFI[[#This Row],[Kitchen Set]]/VLOOKUP(Table_NFI[[#This Row],[Camp Name]],CL,4,0),"")</f>
        <v>7.2205641667468946E-5</v>
      </c>
      <c r="AV679" s="461"/>
      <c r="AW679" s="463"/>
    </row>
    <row r="680" spans="1:49" ht="14.45" customHeight="1" x14ac:dyDescent="0.25">
      <c r="A680" s="297">
        <f t="shared" si="10"/>
        <v>42.8</v>
      </c>
      <c r="B680" s="460">
        <v>41452</v>
      </c>
      <c r="C680" s="461" t="s">
        <v>452</v>
      </c>
      <c r="D680" s="461"/>
      <c r="E680" s="461" t="s">
        <v>380</v>
      </c>
      <c r="F680" s="461" t="s">
        <v>151</v>
      </c>
      <c r="G680" s="461" t="s">
        <v>885</v>
      </c>
      <c r="H680" s="291"/>
      <c r="I680" s="291"/>
      <c r="J680" s="291"/>
      <c r="K680" s="291">
        <v>54</v>
      </c>
      <c r="L680" s="292">
        <v>18</v>
      </c>
      <c r="M680" s="292">
        <v>45</v>
      </c>
      <c r="N680" s="292">
        <v>18</v>
      </c>
      <c r="O680" s="292"/>
      <c r="P680" s="294">
        <v>18</v>
      </c>
      <c r="Q680" s="294">
        <v>50</v>
      </c>
      <c r="R680" s="294"/>
      <c r="S680" s="294"/>
      <c r="T680" s="294"/>
      <c r="U680" s="294"/>
      <c r="V680" s="431"/>
      <c r="W680" s="294"/>
      <c r="X680" s="294"/>
      <c r="Y680" s="294">
        <f>IF(NFI_Expiration=1,IF($A680&lt;VLOOKUP(H$5,NFI,5,0),1,0)*Table_NFI[[#This Row],[Hygiene Kit]],Table_NFI[Hygiene Kit])</f>
        <v>0</v>
      </c>
      <c r="Z680" s="294">
        <f>IF(NFI_Expiration=1,IF($A680&lt;VLOOKUP(I$5,NFI,5,0),1,0)*Table_NFI[[#This Row],[NFI Core Kit]],Table_NFI[NFI Core Kit])</f>
        <v>0</v>
      </c>
      <c r="AA680" s="294">
        <f>IF(NFI_Expiration=1,IF($A680&lt;VLOOKUP(J$5,NFI,5,0),1,0)*Table_NFI[[#This Row],[Sanitary Kit]],Table_NFI[Sanitary Kit])</f>
        <v>0</v>
      </c>
      <c r="AB680" s="294">
        <f>IF(NFI_Expiration=1,IF($A680&lt;VLOOKUP(K$5,NFI,5,0),1,0)*Table_NFI[[#This Row],[Mosquito net]],Table_NFI[Mosquito net])</f>
        <v>0</v>
      </c>
      <c r="AC680" s="294">
        <f>IF(NFI_Expiration=1,IF($A680&lt;VLOOKUP(L$5,NFI,5,0),1,0)*Table_NFI[[#This Row],[Tarpaulin]],Table_NFI[[#This Row],[Tarpaulin]])</f>
        <v>0</v>
      </c>
      <c r="AD680" s="294">
        <f>IF(NFI_Expiration=1,IF($A680&lt;VLOOKUP(M$5,NFI,5,0),1,0)*Table_NFI[[#This Row],[Blanket]],Table_NFI[[#This Row],[Blanket]])</f>
        <v>0</v>
      </c>
      <c r="AE680" s="294">
        <f>IF(NFI_Expiration=1,IF($A680&lt;VLOOKUP(N$5,NFI,5,0),1,0)*Table_NFI[[#This Row],[Kitchen Set]],Table_NFI[Kitchen Set])</f>
        <v>0</v>
      </c>
      <c r="AF680" s="294">
        <f>IF(NFI_Expiration=1,IF($A680&lt;VLOOKUP(O$5,NFI,5,0),1,0)*Table_NFI[[#This Row],[Clothes Kit]],Table_NFI[Clothes Kit])</f>
        <v>0</v>
      </c>
      <c r="AG680" s="294">
        <f>IF(NFI_Expiration=1,IF($A680&lt;VLOOKUP(P$5,NFI,5,0),1,0)*Table_NFI[[#This Row],[Plastic Bucket]],Table_NFI[Plastic Bucket])</f>
        <v>0</v>
      </c>
      <c r="AH680" s="294">
        <f>IF(NFI_Expiration=1,IF($A680&lt;VLOOKUP(Q$5,NFI,5,0),1,0)*Table_NFI[[#This Row],[Plastic Mat]],Table_NFI[Plastic Mat])*IF(Table_NFI[[#This Row],[Distribution Date]]&gt;"2014-04-01",1,2.5)</f>
        <v>0</v>
      </c>
      <c r="AI680" s="294">
        <f>IF(NFI_Expiration=1,IF($A680&lt;VLOOKUP(R$5,NFI,5,0),1,0)*Table_NFI[[#This Row],[Winter Clothes Adult]],Table_NFI[Winter Clothes Adult])</f>
        <v>0</v>
      </c>
      <c r="AJ680" s="294">
        <f>IF(NFI_Expiration=1,IF($A680&lt;VLOOKUP(S$5,NFI,5,0),1,0)*Table_NFI[[#This Row],[Winter Clothes Children]],Table_NFI[Winter Clothes Children])</f>
        <v>0</v>
      </c>
      <c r="AK680" s="294">
        <f>IF(NFI_Expiration=1,IF($A680&lt;VLOOKUP(T$5,NFI,5,0),1,0)*Table_NFI[[#This Row],[Winter Items Other]],Table_NFI[Winter Items Other])</f>
        <v>0</v>
      </c>
      <c r="AL680" s="294">
        <f>IF(NFI_Expiration=1,IF($A680&lt;VLOOKUP(M$5,NFI,5,0),1,0)*Table_NFI[[#This Row],[Winter Blanket]],Table_NFI[[#This Row],[Winter Blanket]])</f>
        <v>0</v>
      </c>
      <c r="AM680" s="294">
        <f>IF(Table_NFI[[#This Row],[Winter Clothes Adult]]+Table_NFI[[#This Row],[Winter Clothes Children]]+Table_NFI[[#This Row],[Winter Items Other]]+Table_NFI[[#This Row],[Winter Blanket]]&gt;0,1,0)</f>
        <v>0</v>
      </c>
      <c r="AN680" s="331">
        <f>IF(NFI_Expiration=1,IF($A680&lt;VLOOKUP(V$5,NFI,5,0),1,0)*Table_NFI[[#This Row],[Jerry Can]],Table_NFI[Jerry Can])</f>
        <v>0</v>
      </c>
      <c r="AO680" s="331">
        <f>IF(NFI_Expiration=1,IF($A680&lt;VLOOKUP(V$5,NFI,5,0),1,0)*Table_NFI[[#This Row],[Shelter Tool kit]],Table_NFI[Shelter Tool kit])</f>
        <v>0</v>
      </c>
      <c r="AP680" s="331">
        <f>IF(NFI_Expiration=1,IF($A680&lt;VLOOKUP(V$5,NFI,5,0),1,0)*Table_NFI[[#This Row],[Tent]],Table_NFI[Tent])</f>
        <v>0</v>
      </c>
      <c r="AQ680" s="467" t="str">
        <f>IFERROR(VLOOKUP(Table_NFI[[#This Row],[Camp Name]],CL,2,0),"")</f>
        <v>MMR001CMP218</v>
      </c>
      <c r="AR680" s="835">
        <f ca="1">IF(Table_NFI[[#This Row],[Pcode]]="","",IF(OFFSET(CampList[Opening Date],MATCH(Table_NFI[[#This Row],[Pcode]],CampList[CP_Pcode],0)-1,0,1,1)&gt;=NFI_Monitor_Date,1,0))</f>
        <v>0</v>
      </c>
      <c r="AS680" s="467" t="str">
        <f>IFERROR(VLOOKUP(Table_NFI[[#This Row],[Camp Name]],CL,3,0),"")</f>
        <v>Open</v>
      </c>
      <c r="AT680" s="294" t="str">
        <f ca="1">IF(Table_NFI[[#This Row],[Pcode]]="","",OFFSET(CampList[Priority],MATCH(Table_NFI[[#This Row],[Pcode]],CampList[CP_Pcode],0)-1,0,1,1))</f>
        <v>P4</v>
      </c>
      <c r="AU680" s="293">
        <f>IFERROR(Table_NFI[[#This Row],[Kitchen Set]]/VLOOKUP(Table_NFI[[#This Row],[Camp Name]],CL,4,0),"")</f>
        <v>4.332338500048137E-4</v>
      </c>
      <c r="AV680" s="461"/>
      <c r="AW680" s="463"/>
    </row>
    <row r="681" spans="1:49" ht="14.45" customHeight="1" x14ac:dyDescent="0.25">
      <c r="A681" s="297">
        <f t="shared" si="10"/>
        <v>43.233333333333334</v>
      </c>
      <c r="B681" s="460">
        <v>41439</v>
      </c>
      <c r="C681" s="461" t="s">
        <v>452</v>
      </c>
      <c r="D681" s="462" t="s">
        <v>452</v>
      </c>
      <c r="E681" s="461" t="s">
        <v>380</v>
      </c>
      <c r="F681" s="290" t="s">
        <v>185</v>
      </c>
      <c r="G681" s="290" t="s">
        <v>219</v>
      </c>
      <c r="H681" s="291"/>
      <c r="I681" s="291"/>
      <c r="J681" s="291">
        <v>42</v>
      </c>
      <c r="K681" s="291">
        <v>42</v>
      </c>
      <c r="L681" s="292">
        <v>21</v>
      </c>
      <c r="M681" s="292">
        <v>42</v>
      </c>
      <c r="N681" s="292">
        <v>21</v>
      </c>
      <c r="O681" s="292">
        <v>21</v>
      </c>
      <c r="P681" s="294">
        <v>21</v>
      </c>
      <c r="Q681" s="294">
        <v>21</v>
      </c>
      <c r="R681" s="294"/>
      <c r="S681" s="294"/>
      <c r="T681" s="294"/>
      <c r="U681" s="294"/>
      <c r="V681" s="431"/>
      <c r="W681" s="294"/>
      <c r="X681" s="294"/>
      <c r="Y681" s="294">
        <f>IF(NFI_Expiration=1,IF($A681&lt;VLOOKUP(H$5,NFI,5,0),1,0)*Table_NFI[[#This Row],[Hygiene Kit]],Table_NFI[Hygiene Kit])</f>
        <v>0</v>
      </c>
      <c r="Z681" s="294">
        <f>IF(NFI_Expiration=1,IF($A681&lt;VLOOKUP(I$5,NFI,5,0),1,0)*Table_NFI[[#This Row],[NFI Core Kit]],Table_NFI[NFI Core Kit])</f>
        <v>0</v>
      </c>
      <c r="AA681" s="294">
        <f>IF(NFI_Expiration=1,IF($A681&lt;VLOOKUP(J$5,NFI,5,0),1,0)*Table_NFI[[#This Row],[Sanitary Kit]],Table_NFI[Sanitary Kit])</f>
        <v>0</v>
      </c>
      <c r="AB681" s="294">
        <f>IF(NFI_Expiration=1,IF($A681&lt;VLOOKUP(K$5,NFI,5,0),1,0)*Table_NFI[[#This Row],[Mosquito net]],Table_NFI[Mosquito net])</f>
        <v>0</v>
      </c>
      <c r="AC681" s="294">
        <f>IF(NFI_Expiration=1,IF($A681&lt;VLOOKUP(L$5,NFI,5,0),1,0)*Table_NFI[[#This Row],[Tarpaulin]],Table_NFI[[#This Row],[Tarpaulin]])</f>
        <v>0</v>
      </c>
      <c r="AD681" s="294">
        <f>IF(NFI_Expiration=1,IF($A681&lt;VLOOKUP(M$5,NFI,5,0),1,0)*Table_NFI[[#This Row],[Blanket]],Table_NFI[[#This Row],[Blanket]])</f>
        <v>0</v>
      </c>
      <c r="AE681" s="294">
        <f>IF(NFI_Expiration=1,IF($A681&lt;VLOOKUP(N$5,NFI,5,0),1,0)*Table_NFI[[#This Row],[Kitchen Set]],Table_NFI[Kitchen Set])</f>
        <v>0</v>
      </c>
      <c r="AF681" s="294">
        <f>IF(NFI_Expiration=1,IF($A681&lt;VLOOKUP(O$5,NFI,5,0),1,0)*Table_NFI[[#This Row],[Clothes Kit]],Table_NFI[Clothes Kit])</f>
        <v>0</v>
      </c>
      <c r="AG681" s="294">
        <f>IF(NFI_Expiration=1,IF($A681&lt;VLOOKUP(P$5,NFI,5,0),1,0)*Table_NFI[[#This Row],[Plastic Bucket]],Table_NFI[Plastic Bucket])</f>
        <v>0</v>
      </c>
      <c r="AH681" s="294">
        <f>IF(NFI_Expiration=1,IF($A681&lt;VLOOKUP(Q$5,NFI,5,0),1,0)*Table_NFI[[#This Row],[Plastic Mat]],Table_NFI[Plastic Mat])*IF(Table_NFI[[#This Row],[Distribution Date]]&gt;"2014-04-01",1,2.5)</f>
        <v>0</v>
      </c>
      <c r="AI681" s="294">
        <f>IF(NFI_Expiration=1,IF($A681&lt;VLOOKUP(R$5,NFI,5,0),1,0)*Table_NFI[[#This Row],[Winter Clothes Adult]],Table_NFI[Winter Clothes Adult])</f>
        <v>0</v>
      </c>
      <c r="AJ681" s="294">
        <f>IF(NFI_Expiration=1,IF($A681&lt;VLOOKUP(S$5,NFI,5,0),1,0)*Table_NFI[[#This Row],[Winter Clothes Children]],Table_NFI[Winter Clothes Children])</f>
        <v>0</v>
      </c>
      <c r="AK681" s="294">
        <f>IF(NFI_Expiration=1,IF($A681&lt;VLOOKUP(T$5,NFI,5,0),1,0)*Table_NFI[[#This Row],[Winter Items Other]],Table_NFI[Winter Items Other])</f>
        <v>0</v>
      </c>
      <c r="AL681" s="294">
        <f>IF(NFI_Expiration=1,IF($A681&lt;VLOOKUP(M$5,NFI,5,0),1,0)*Table_NFI[[#This Row],[Winter Blanket]],Table_NFI[[#This Row],[Winter Blanket]])</f>
        <v>0</v>
      </c>
      <c r="AM681" s="294">
        <f>IF(Table_NFI[[#This Row],[Winter Clothes Adult]]+Table_NFI[[#This Row],[Winter Clothes Children]]+Table_NFI[[#This Row],[Winter Items Other]]+Table_NFI[[#This Row],[Winter Blanket]]&gt;0,1,0)</f>
        <v>0</v>
      </c>
      <c r="AN681" s="331">
        <f>IF(NFI_Expiration=1,IF($A681&lt;VLOOKUP(V$5,NFI,5,0),1,0)*Table_NFI[[#This Row],[Jerry Can]],Table_NFI[Jerry Can])</f>
        <v>0</v>
      </c>
      <c r="AO681" s="331">
        <f>IF(NFI_Expiration=1,IF($A681&lt;VLOOKUP(V$5,NFI,5,0),1,0)*Table_NFI[[#This Row],[Shelter Tool kit]],Table_NFI[Shelter Tool kit])</f>
        <v>0</v>
      </c>
      <c r="AP681" s="331">
        <f>IF(NFI_Expiration=1,IF($A681&lt;VLOOKUP(V$5,NFI,5,0),1,0)*Table_NFI[[#This Row],[Tent]],Table_NFI[Tent])</f>
        <v>0</v>
      </c>
      <c r="AQ681" s="467" t="str">
        <f>IFERROR(VLOOKUP(Table_NFI[[#This Row],[Camp Name]],CL,2,0),"")</f>
        <v>MMR001CMP126</v>
      </c>
      <c r="AR681" s="835">
        <f ca="1">IF(Table_NFI[[#This Row],[Pcode]]="","",IF(OFFSET(CampList[Opening Date],MATCH(Table_NFI[[#This Row],[Pcode]],CampList[CP_Pcode],0)-1,0,1,1)&gt;=NFI_Monitor_Date,1,0))</f>
        <v>0</v>
      </c>
      <c r="AS681" s="467" t="str">
        <f>IFERROR(VLOOKUP(Table_NFI[[#This Row],[Camp Name]],CL,3,0),"")</f>
        <v>Open</v>
      </c>
      <c r="AT681" s="294" t="str">
        <f ca="1">IF(Table_NFI[[#This Row],[Pcode]]="","",OFFSET(CampList[Priority],MATCH(Table_NFI[[#This Row],[Pcode]],CampList[CP_Pcode],0)-1,0,1,1))</f>
        <v>P2</v>
      </c>
      <c r="AU681" s="293">
        <f>IFERROR(Table_NFI[[#This Row],[Kitchen Set]]/VLOOKUP(Table_NFI[[#This Row],[Camp Name]],CL,4,0),"")</f>
        <v>5.1219512195121953E-4</v>
      </c>
      <c r="AV681" s="461" t="s">
        <v>1092</v>
      </c>
      <c r="AW681" s="463"/>
    </row>
    <row r="682" spans="1:49" ht="14.45" customHeight="1" x14ac:dyDescent="0.25">
      <c r="A682" s="297">
        <f t="shared" si="10"/>
        <v>43.266666666666666</v>
      </c>
      <c r="B682" s="460">
        <v>41438</v>
      </c>
      <c r="C682" s="461" t="s">
        <v>452</v>
      </c>
      <c r="D682" s="462" t="s">
        <v>452</v>
      </c>
      <c r="E682" s="461" t="s">
        <v>380</v>
      </c>
      <c r="F682" s="290" t="s">
        <v>185</v>
      </c>
      <c r="G682" s="290" t="s">
        <v>186</v>
      </c>
      <c r="H682" s="291"/>
      <c r="I682" s="291"/>
      <c r="J682" s="291">
        <v>152</v>
      </c>
      <c r="K682" s="291">
        <v>11</v>
      </c>
      <c r="L682" s="292">
        <v>4</v>
      </c>
      <c r="M682" s="292">
        <v>11</v>
      </c>
      <c r="N682" s="292">
        <v>4</v>
      </c>
      <c r="O682" s="292">
        <v>4</v>
      </c>
      <c r="P682" s="294">
        <v>4</v>
      </c>
      <c r="Q682" s="294">
        <v>4</v>
      </c>
      <c r="R682" s="294"/>
      <c r="S682" s="294"/>
      <c r="T682" s="294"/>
      <c r="U682" s="294"/>
      <c r="V682" s="431"/>
      <c r="W682" s="294"/>
      <c r="X682" s="294"/>
      <c r="Y682" s="294">
        <f>IF(NFI_Expiration=1,IF($A682&lt;VLOOKUP(H$5,NFI,5,0),1,0)*Table_NFI[[#This Row],[Hygiene Kit]],Table_NFI[Hygiene Kit])</f>
        <v>0</v>
      </c>
      <c r="Z682" s="294">
        <f>IF(NFI_Expiration=1,IF($A682&lt;VLOOKUP(I$5,NFI,5,0),1,0)*Table_NFI[[#This Row],[NFI Core Kit]],Table_NFI[NFI Core Kit])</f>
        <v>0</v>
      </c>
      <c r="AA682" s="294">
        <f>IF(NFI_Expiration=1,IF($A682&lt;VLOOKUP(J$5,NFI,5,0),1,0)*Table_NFI[[#This Row],[Sanitary Kit]],Table_NFI[Sanitary Kit])</f>
        <v>0</v>
      </c>
      <c r="AB682" s="294">
        <f>IF(NFI_Expiration=1,IF($A682&lt;VLOOKUP(K$5,NFI,5,0),1,0)*Table_NFI[[#This Row],[Mosquito net]],Table_NFI[Mosquito net])</f>
        <v>0</v>
      </c>
      <c r="AC682" s="294">
        <f>IF(NFI_Expiration=1,IF($A682&lt;VLOOKUP(L$5,NFI,5,0),1,0)*Table_NFI[[#This Row],[Tarpaulin]],Table_NFI[[#This Row],[Tarpaulin]])</f>
        <v>0</v>
      </c>
      <c r="AD682" s="294">
        <f>IF(NFI_Expiration=1,IF($A682&lt;VLOOKUP(M$5,NFI,5,0),1,0)*Table_NFI[[#This Row],[Blanket]],Table_NFI[[#This Row],[Blanket]])</f>
        <v>0</v>
      </c>
      <c r="AE682" s="294">
        <f>IF(NFI_Expiration=1,IF($A682&lt;VLOOKUP(N$5,NFI,5,0),1,0)*Table_NFI[[#This Row],[Kitchen Set]],Table_NFI[Kitchen Set])</f>
        <v>0</v>
      </c>
      <c r="AF682" s="294">
        <f>IF(NFI_Expiration=1,IF($A682&lt;VLOOKUP(O$5,NFI,5,0),1,0)*Table_NFI[[#This Row],[Clothes Kit]],Table_NFI[Clothes Kit])</f>
        <v>0</v>
      </c>
      <c r="AG682" s="294">
        <f>IF(NFI_Expiration=1,IF($A682&lt;VLOOKUP(P$5,NFI,5,0),1,0)*Table_NFI[[#This Row],[Plastic Bucket]],Table_NFI[Plastic Bucket])</f>
        <v>0</v>
      </c>
      <c r="AH682" s="294">
        <f>IF(NFI_Expiration=1,IF($A682&lt;VLOOKUP(Q$5,NFI,5,0),1,0)*Table_NFI[[#This Row],[Plastic Mat]],Table_NFI[Plastic Mat])*IF(Table_NFI[[#This Row],[Distribution Date]]&gt;"2014-04-01",1,2.5)</f>
        <v>0</v>
      </c>
      <c r="AI682" s="294">
        <f>IF(NFI_Expiration=1,IF($A682&lt;VLOOKUP(R$5,NFI,5,0),1,0)*Table_NFI[[#This Row],[Winter Clothes Adult]],Table_NFI[Winter Clothes Adult])</f>
        <v>0</v>
      </c>
      <c r="AJ682" s="294">
        <f>IF(NFI_Expiration=1,IF($A682&lt;VLOOKUP(S$5,NFI,5,0),1,0)*Table_NFI[[#This Row],[Winter Clothes Children]],Table_NFI[Winter Clothes Children])</f>
        <v>0</v>
      </c>
      <c r="AK682" s="294">
        <f>IF(NFI_Expiration=1,IF($A682&lt;VLOOKUP(T$5,NFI,5,0),1,0)*Table_NFI[[#This Row],[Winter Items Other]],Table_NFI[Winter Items Other])</f>
        <v>0</v>
      </c>
      <c r="AL682" s="294">
        <f>IF(NFI_Expiration=1,IF($A682&lt;VLOOKUP(M$5,NFI,5,0),1,0)*Table_NFI[[#This Row],[Winter Blanket]],Table_NFI[[#This Row],[Winter Blanket]])</f>
        <v>0</v>
      </c>
      <c r="AM682" s="294">
        <f>IF(Table_NFI[[#This Row],[Winter Clothes Adult]]+Table_NFI[[#This Row],[Winter Clothes Children]]+Table_NFI[[#This Row],[Winter Items Other]]+Table_NFI[[#This Row],[Winter Blanket]]&gt;0,1,0)</f>
        <v>0</v>
      </c>
      <c r="AN682" s="331">
        <f>IF(NFI_Expiration=1,IF($A682&lt;VLOOKUP(V$5,NFI,5,0),1,0)*Table_NFI[[#This Row],[Jerry Can]],Table_NFI[Jerry Can])</f>
        <v>0</v>
      </c>
      <c r="AO682" s="331">
        <f>IF(NFI_Expiration=1,IF($A682&lt;VLOOKUP(V$5,NFI,5,0),1,0)*Table_NFI[[#This Row],[Shelter Tool kit]],Table_NFI[Shelter Tool kit])</f>
        <v>0</v>
      </c>
      <c r="AP682" s="331">
        <f>IF(NFI_Expiration=1,IF($A682&lt;VLOOKUP(V$5,NFI,5,0),1,0)*Table_NFI[[#This Row],[Tent]],Table_NFI[Tent])</f>
        <v>0</v>
      </c>
      <c r="AQ682" s="467" t="str">
        <f>IFERROR(VLOOKUP(Table_NFI[[#This Row],[Camp Name]],CL,2,0),"")</f>
        <v>MMR001CMP071</v>
      </c>
      <c r="AR682" s="835">
        <f ca="1">IF(Table_NFI[[#This Row],[Pcode]]="","",IF(OFFSET(CampList[Opening Date],MATCH(Table_NFI[[#This Row],[Pcode]],CampList[CP_Pcode],0)-1,0,1,1)&gt;=NFI_Monitor_Date,1,0))</f>
        <v>0</v>
      </c>
      <c r="AS682" s="467" t="str">
        <f>IFERROR(VLOOKUP(Table_NFI[[#This Row],[Camp Name]],CL,3,0),"")</f>
        <v>Open</v>
      </c>
      <c r="AT682" s="294" t="str">
        <f ca="1">IF(Table_NFI[[#This Row],[Pcode]]="","",OFFSET(CampList[Priority],MATCH(Table_NFI[[#This Row],[Pcode]],CampList[CP_Pcode],0)-1,0,1,1))</f>
        <v>P3</v>
      </c>
      <c r="AU682" s="293">
        <f>IFERROR(Table_NFI[[#This Row],[Kitchen Set]]/VLOOKUP(Table_NFI[[#This Row],[Camp Name]],CL,4,0),"")</f>
        <v>9.7489641725566662E-5</v>
      </c>
      <c r="AV682" s="461" t="s">
        <v>1092</v>
      </c>
      <c r="AW682" s="463"/>
    </row>
    <row r="683" spans="1:49" ht="14.45" customHeight="1" x14ac:dyDescent="0.25">
      <c r="A683" s="297">
        <f t="shared" si="10"/>
        <v>43.266666666666666</v>
      </c>
      <c r="B683" s="460">
        <v>41438</v>
      </c>
      <c r="C683" s="461" t="s">
        <v>452</v>
      </c>
      <c r="D683" s="462" t="s">
        <v>452</v>
      </c>
      <c r="E683" s="461" t="s">
        <v>380</v>
      </c>
      <c r="F683" s="290" t="s">
        <v>185</v>
      </c>
      <c r="G683" s="290" t="s">
        <v>223</v>
      </c>
      <c r="H683" s="291"/>
      <c r="I683" s="291"/>
      <c r="J683" s="291">
        <v>425</v>
      </c>
      <c r="K683" s="291">
        <v>30</v>
      </c>
      <c r="L683" s="292">
        <v>11</v>
      </c>
      <c r="M683" s="292">
        <v>30</v>
      </c>
      <c r="N683" s="292">
        <v>11</v>
      </c>
      <c r="O683" s="292">
        <v>11</v>
      </c>
      <c r="P683" s="294">
        <v>11</v>
      </c>
      <c r="Q683" s="294">
        <v>11</v>
      </c>
      <c r="R683" s="294"/>
      <c r="S683" s="294"/>
      <c r="T683" s="294"/>
      <c r="U683" s="294"/>
      <c r="V683" s="431"/>
      <c r="W683" s="294"/>
      <c r="X683" s="294"/>
      <c r="Y683" s="294">
        <f>IF(NFI_Expiration=1,IF($A683&lt;VLOOKUP(H$5,NFI,5,0),1,0)*Table_NFI[[#This Row],[Hygiene Kit]],Table_NFI[Hygiene Kit])</f>
        <v>0</v>
      </c>
      <c r="Z683" s="294">
        <f>IF(NFI_Expiration=1,IF($A683&lt;VLOOKUP(I$5,NFI,5,0),1,0)*Table_NFI[[#This Row],[NFI Core Kit]],Table_NFI[NFI Core Kit])</f>
        <v>0</v>
      </c>
      <c r="AA683" s="294">
        <f>IF(NFI_Expiration=1,IF($A683&lt;VLOOKUP(J$5,NFI,5,0),1,0)*Table_NFI[[#This Row],[Sanitary Kit]],Table_NFI[Sanitary Kit])</f>
        <v>0</v>
      </c>
      <c r="AB683" s="294">
        <f>IF(NFI_Expiration=1,IF($A683&lt;VLOOKUP(K$5,NFI,5,0),1,0)*Table_NFI[[#This Row],[Mosquito net]],Table_NFI[Mosquito net])</f>
        <v>0</v>
      </c>
      <c r="AC683" s="294">
        <f>IF(NFI_Expiration=1,IF($A683&lt;VLOOKUP(L$5,NFI,5,0),1,0)*Table_NFI[[#This Row],[Tarpaulin]],Table_NFI[[#This Row],[Tarpaulin]])</f>
        <v>0</v>
      </c>
      <c r="AD683" s="294">
        <f>IF(NFI_Expiration=1,IF($A683&lt;VLOOKUP(M$5,NFI,5,0),1,0)*Table_NFI[[#This Row],[Blanket]],Table_NFI[[#This Row],[Blanket]])</f>
        <v>0</v>
      </c>
      <c r="AE683" s="294">
        <f>IF(NFI_Expiration=1,IF($A683&lt;VLOOKUP(N$5,NFI,5,0),1,0)*Table_NFI[[#This Row],[Kitchen Set]],Table_NFI[Kitchen Set])</f>
        <v>0</v>
      </c>
      <c r="AF683" s="294">
        <f>IF(NFI_Expiration=1,IF($A683&lt;VLOOKUP(O$5,NFI,5,0),1,0)*Table_NFI[[#This Row],[Clothes Kit]],Table_NFI[Clothes Kit])</f>
        <v>0</v>
      </c>
      <c r="AG683" s="294">
        <f>IF(NFI_Expiration=1,IF($A683&lt;VLOOKUP(P$5,NFI,5,0),1,0)*Table_NFI[[#This Row],[Plastic Bucket]],Table_NFI[Plastic Bucket])</f>
        <v>0</v>
      </c>
      <c r="AH683" s="294">
        <f>IF(NFI_Expiration=1,IF($A683&lt;VLOOKUP(Q$5,NFI,5,0),1,0)*Table_NFI[[#This Row],[Plastic Mat]],Table_NFI[Plastic Mat])*IF(Table_NFI[[#This Row],[Distribution Date]]&gt;"2014-04-01",1,2.5)</f>
        <v>0</v>
      </c>
      <c r="AI683" s="294">
        <f>IF(NFI_Expiration=1,IF($A683&lt;VLOOKUP(R$5,NFI,5,0),1,0)*Table_NFI[[#This Row],[Winter Clothes Adult]],Table_NFI[Winter Clothes Adult])</f>
        <v>0</v>
      </c>
      <c r="AJ683" s="294">
        <f>IF(NFI_Expiration=1,IF($A683&lt;VLOOKUP(S$5,NFI,5,0),1,0)*Table_NFI[[#This Row],[Winter Clothes Children]],Table_NFI[Winter Clothes Children])</f>
        <v>0</v>
      </c>
      <c r="AK683" s="294">
        <f>IF(NFI_Expiration=1,IF($A683&lt;VLOOKUP(T$5,NFI,5,0),1,0)*Table_NFI[[#This Row],[Winter Items Other]],Table_NFI[Winter Items Other])</f>
        <v>0</v>
      </c>
      <c r="AL683" s="294">
        <f>IF(NFI_Expiration=1,IF($A683&lt;VLOOKUP(M$5,NFI,5,0),1,0)*Table_NFI[[#This Row],[Winter Blanket]],Table_NFI[[#This Row],[Winter Blanket]])</f>
        <v>0</v>
      </c>
      <c r="AM683" s="294">
        <f>IF(Table_NFI[[#This Row],[Winter Clothes Adult]]+Table_NFI[[#This Row],[Winter Clothes Children]]+Table_NFI[[#This Row],[Winter Items Other]]+Table_NFI[[#This Row],[Winter Blanket]]&gt;0,1,0)</f>
        <v>0</v>
      </c>
      <c r="AN683" s="331">
        <f>IF(NFI_Expiration=1,IF($A683&lt;VLOOKUP(V$5,NFI,5,0),1,0)*Table_NFI[[#This Row],[Jerry Can]],Table_NFI[Jerry Can])</f>
        <v>0</v>
      </c>
      <c r="AO683" s="331">
        <f>IF(NFI_Expiration=1,IF($A683&lt;VLOOKUP(V$5,NFI,5,0),1,0)*Table_NFI[[#This Row],[Shelter Tool kit]],Table_NFI[Shelter Tool kit])</f>
        <v>0</v>
      </c>
      <c r="AP683" s="331">
        <f>IF(NFI_Expiration=1,IF($A683&lt;VLOOKUP(V$5,NFI,5,0),1,0)*Table_NFI[[#This Row],[Tent]],Table_NFI[Tent])</f>
        <v>0</v>
      </c>
      <c r="AQ683" s="467" t="str">
        <f>IFERROR(VLOOKUP(Table_NFI[[#This Row],[Camp Name]],CL,2,0),"")</f>
        <v>MMR001CMP069</v>
      </c>
      <c r="AR683" s="835">
        <f ca="1">IF(Table_NFI[[#This Row],[Pcode]]="","",IF(OFFSET(CampList[Opening Date],MATCH(Table_NFI[[#This Row],[Pcode]],CampList[CP_Pcode],0)-1,0,1,1)&gt;=NFI_Monitor_Date,1,0))</f>
        <v>0</v>
      </c>
      <c r="AS683" s="467" t="str">
        <f>IFERROR(VLOOKUP(Table_NFI[[#This Row],[Camp Name]],CL,3,0),"")</f>
        <v>Open</v>
      </c>
      <c r="AT683" s="294" t="str">
        <f ca="1">IF(Table_NFI[[#This Row],[Pcode]]="","",OFFSET(CampList[Priority],MATCH(Table_NFI[[#This Row],[Pcode]],CampList[CP_Pcode],0)-1,0,1,1))</f>
        <v>P3</v>
      </c>
      <c r="AU683" s="293">
        <f>IFERROR(Table_NFI[[#This Row],[Kitchen Set]]/VLOOKUP(Table_NFI[[#This Row],[Camp Name]],CL,4,0),"")</f>
        <v>2.6929103016059538E-4</v>
      </c>
      <c r="AV683" s="461" t="s">
        <v>1092</v>
      </c>
      <c r="AW683" s="463"/>
    </row>
    <row r="684" spans="1:49" ht="14.45" customHeight="1" x14ac:dyDescent="0.25">
      <c r="A684" s="297">
        <f t="shared" si="10"/>
        <v>43.266666666666666</v>
      </c>
      <c r="B684" s="460">
        <v>41438</v>
      </c>
      <c r="C684" s="461" t="s">
        <v>452</v>
      </c>
      <c r="D684" s="462" t="s">
        <v>452</v>
      </c>
      <c r="E684" s="461" t="s">
        <v>380</v>
      </c>
      <c r="F684" s="290" t="s">
        <v>185</v>
      </c>
      <c r="G684" s="290" t="s">
        <v>190</v>
      </c>
      <c r="H684" s="291"/>
      <c r="I684" s="291"/>
      <c r="J684" s="291">
        <v>941</v>
      </c>
      <c r="K684" s="291">
        <v>67</v>
      </c>
      <c r="L684" s="292">
        <v>24</v>
      </c>
      <c r="M684" s="292">
        <v>67</v>
      </c>
      <c r="N684" s="292">
        <v>24</v>
      </c>
      <c r="O684" s="292">
        <v>24</v>
      </c>
      <c r="P684" s="294">
        <v>24</v>
      </c>
      <c r="Q684" s="294">
        <v>24</v>
      </c>
      <c r="R684" s="294"/>
      <c r="S684" s="294"/>
      <c r="T684" s="294"/>
      <c r="U684" s="294"/>
      <c r="V684" s="431"/>
      <c r="W684" s="294"/>
      <c r="X684" s="294"/>
      <c r="Y684" s="294">
        <f>IF(NFI_Expiration=1,IF($A684&lt;VLOOKUP(H$5,NFI,5,0),1,0)*Table_NFI[[#This Row],[Hygiene Kit]],Table_NFI[Hygiene Kit])</f>
        <v>0</v>
      </c>
      <c r="Z684" s="294">
        <f>IF(NFI_Expiration=1,IF($A684&lt;VLOOKUP(I$5,NFI,5,0),1,0)*Table_NFI[[#This Row],[NFI Core Kit]],Table_NFI[NFI Core Kit])</f>
        <v>0</v>
      </c>
      <c r="AA684" s="294">
        <f>IF(NFI_Expiration=1,IF($A684&lt;VLOOKUP(J$5,NFI,5,0),1,0)*Table_NFI[[#This Row],[Sanitary Kit]],Table_NFI[Sanitary Kit])</f>
        <v>0</v>
      </c>
      <c r="AB684" s="294">
        <f>IF(NFI_Expiration=1,IF($A684&lt;VLOOKUP(K$5,NFI,5,0),1,0)*Table_NFI[[#This Row],[Mosquito net]],Table_NFI[Mosquito net])</f>
        <v>0</v>
      </c>
      <c r="AC684" s="294">
        <f>IF(NFI_Expiration=1,IF($A684&lt;VLOOKUP(L$5,NFI,5,0),1,0)*Table_NFI[[#This Row],[Tarpaulin]],Table_NFI[[#This Row],[Tarpaulin]])</f>
        <v>0</v>
      </c>
      <c r="AD684" s="294">
        <f>IF(NFI_Expiration=1,IF($A684&lt;VLOOKUP(M$5,NFI,5,0),1,0)*Table_NFI[[#This Row],[Blanket]],Table_NFI[[#This Row],[Blanket]])</f>
        <v>0</v>
      </c>
      <c r="AE684" s="294">
        <f>IF(NFI_Expiration=1,IF($A684&lt;VLOOKUP(N$5,NFI,5,0),1,0)*Table_NFI[[#This Row],[Kitchen Set]],Table_NFI[Kitchen Set])</f>
        <v>0</v>
      </c>
      <c r="AF684" s="294">
        <f>IF(NFI_Expiration=1,IF($A684&lt;VLOOKUP(O$5,NFI,5,0),1,0)*Table_NFI[[#This Row],[Clothes Kit]],Table_NFI[Clothes Kit])</f>
        <v>0</v>
      </c>
      <c r="AG684" s="294">
        <f>IF(NFI_Expiration=1,IF($A684&lt;VLOOKUP(P$5,NFI,5,0),1,0)*Table_NFI[[#This Row],[Plastic Bucket]],Table_NFI[Plastic Bucket])</f>
        <v>0</v>
      </c>
      <c r="AH684" s="294">
        <f>IF(NFI_Expiration=1,IF($A684&lt;VLOOKUP(Q$5,NFI,5,0),1,0)*Table_NFI[[#This Row],[Plastic Mat]],Table_NFI[Plastic Mat])*IF(Table_NFI[[#This Row],[Distribution Date]]&gt;"2014-04-01",1,2.5)</f>
        <v>0</v>
      </c>
      <c r="AI684" s="294">
        <f>IF(NFI_Expiration=1,IF($A684&lt;VLOOKUP(R$5,NFI,5,0),1,0)*Table_NFI[[#This Row],[Winter Clothes Adult]],Table_NFI[Winter Clothes Adult])</f>
        <v>0</v>
      </c>
      <c r="AJ684" s="294">
        <f>IF(NFI_Expiration=1,IF($A684&lt;VLOOKUP(S$5,NFI,5,0),1,0)*Table_NFI[[#This Row],[Winter Clothes Children]],Table_NFI[Winter Clothes Children])</f>
        <v>0</v>
      </c>
      <c r="AK684" s="294">
        <f>IF(NFI_Expiration=1,IF($A684&lt;VLOOKUP(T$5,NFI,5,0),1,0)*Table_NFI[[#This Row],[Winter Items Other]],Table_NFI[Winter Items Other])</f>
        <v>0</v>
      </c>
      <c r="AL684" s="294">
        <f>IF(NFI_Expiration=1,IF($A684&lt;VLOOKUP(M$5,NFI,5,0),1,0)*Table_NFI[[#This Row],[Winter Blanket]],Table_NFI[[#This Row],[Winter Blanket]])</f>
        <v>0</v>
      </c>
      <c r="AM684" s="294">
        <f>IF(Table_NFI[[#This Row],[Winter Clothes Adult]]+Table_NFI[[#This Row],[Winter Clothes Children]]+Table_NFI[[#This Row],[Winter Items Other]]+Table_NFI[[#This Row],[Winter Blanket]]&gt;0,1,0)</f>
        <v>0</v>
      </c>
      <c r="AN684" s="331">
        <f>IF(NFI_Expiration=1,IF($A684&lt;VLOOKUP(V$5,NFI,5,0),1,0)*Table_NFI[[#This Row],[Jerry Can]],Table_NFI[Jerry Can])</f>
        <v>0</v>
      </c>
      <c r="AO684" s="331">
        <f>IF(NFI_Expiration=1,IF($A684&lt;VLOOKUP(V$5,NFI,5,0),1,0)*Table_NFI[[#This Row],[Shelter Tool kit]],Table_NFI[Shelter Tool kit])</f>
        <v>0</v>
      </c>
      <c r="AP684" s="331">
        <f>IF(NFI_Expiration=1,IF($A684&lt;VLOOKUP(V$5,NFI,5,0),1,0)*Table_NFI[[#This Row],[Tent]],Table_NFI[Tent])</f>
        <v>0</v>
      </c>
      <c r="AQ684" s="467" t="str">
        <f>IFERROR(VLOOKUP(Table_NFI[[#This Row],[Camp Name]],CL,2,0),"")</f>
        <v>MMR001CMP070</v>
      </c>
      <c r="AR684" s="835">
        <f ca="1">IF(Table_NFI[[#This Row],[Pcode]]="","",IF(OFFSET(CampList[Opening Date],MATCH(Table_NFI[[#This Row],[Pcode]],CampList[CP_Pcode],0)-1,0,1,1)&gt;=NFI_Monitor_Date,1,0))</f>
        <v>0</v>
      </c>
      <c r="AS684" s="467" t="str">
        <f>IFERROR(VLOOKUP(Table_NFI[[#This Row],[Camp Name]],CL,3,0),"")</f>
        <v>Open</v>
      </c>
      <c r="AT684" s="294" t="str">
        <f ca="1">IF(Table_NFI[[#This Row],[Pcode]]="","",OFFSET(CampList[Priority],MATCH(Table_NFI[[#This Row],[Pcode]],CampList[CP_Pcode],0)-1,0,1,1))</f>
        <v>P3</v>
      </c>
      <c r="AU684" s="293">
        <f>IFERROR(Table_NFI[[#This Row],[Kitchen Set]]/VLOOKUP(Table_NFI[[#This Row],[Camp Name]],CL,4,0),"")</f>
        <v>5.8536585365853656E-4</v>
      </c>
      <c r="AV684" s="461" t="s">
        <v>1092</v>
      </c>
      <c r="AW684" s="463"/>
    </row>
    <row r="685" spans="1:49" ht="14.45" customHeight="1" x14ac:dyDescent="0.25">
      <c r="A685" s="297">
        <f t="shared" si="10"/>
        <v>44</v>
      </c>
      <c r="B685" s="460">
        <v>41416</v>
      </c>
      <c r="C685" s="461" t="s">
        <v>901</v>
      </c>
      <c r="D685" s="462" t="s">
        <v>506</v>
      </c>
      <c r="E685" s="461" t="s">
        <v>380</v>
      </c>
      <c r="F685" s="290" t="s">
        <v>27</v>
      </c>
      <c r="G685" s="290" t="s">
        <v>28</v>
      </c>
      <c r="H685" s="291">
        <v>510</v>
      </c>
      <c r="I685" s="291"/>
      <c r="J685" s="291"/>
      <c r="K685" s="291"/>
      <c r="L685" s="292"/>
      <c r="M685" s="292"/>
      <c r="N685" s="292"/>
      <c r="O685" s="292"/>
      <c r="P685" s="294"/>
      <c r="Q685" s="294"/>
      <c r="R685" s="294"/>
      <c r="S685" s="294"/>
      <c r="T685" s="294"/>
      <c r="U685" s="294"/>
      <c r="V685" s="431"/>
      <c r="W685" s="294"/>
      <c r="X685" s="294"/>
      <c r="Y685" s="294">
        <f>IF(NFI_Expiration=1,IF($A685&lt;VLOOKUP(H$5,NFI,5,0),1,0)*Table_NFI[[#This Row],[Hygiene Kit]],Table_NFI[Hygiene Kit])</f>
        <v>0</v>
      </c>
      <c r="Z685" s="294">
        <f>IF(NFI_Expiration=1,IF($A685&lt;VLOOKUP(I$5,NFI,5,0),1,0)*Table_NFI[[#This Row],[NFI Core Kit]],Table_NFI[NFI Core Kit])</f>
        <v>0</v>
      </c>
      <c r="AA685" s="294">
        <f>IF(NFI_Expiration=1,IF($A685&lt;VLOOKUP(J$5,NFI,5,0),1,0)*Table_NFI[[#This Row],[Sanitary Kit]],Table_NFI[Sanitary Kit])</f>
        <v>0</v>
      </c>
      <c r="AB685" s="294">
        <f>IF(NFI_Expiration=1,IF($A685&lt;VLOOKUP(K$5,NFI,5,0),1,0)*Table_NFI[[#This Row],[Mosquito net]],Table_NFI[Mosquito net])</f>
        <v>0</v>
      </c>
      <c r="AC685" s="294">
        <f>IF(NFI_Expiration=1,IF($A685&lt;VLOOKUP(L$5,NFI,5,0),1,0)*Table_NFI[[#This Row],[Tarpaulin]],Table_NFI[[#This Row],[Tarpaulin]])</f>
        <v>0</v>
      </c>
      <c r="AD685" s="294">
        <f>IF(NFI_Expiration=1,IF($A685&lt;VLOOKUP(M$5,NFI,5,0),1,0)*Table_NFI[[#This Row],[Blanket]],Table_NFI[[#This Row],[Blanket]])</f>
        <v>0</v>
      </c>
      <c r="AE685" s="294">
        <f>IF(NFI_Expiration=1,IF($A685&lt;VLOOKUP(N$5,NFI,5,0),1,0)*Table_NFI[[#This Row],[Kitchen Set]],Table_NFI[Kitchen Set])</f>
        <v>0</v>
      </c>
      <c r="AF685" s="294">
        <f>IF(NFI_Expiration=1,IF($A685&lt;VLOOKUP(O$5,NFI,5,0),1,0)*Table_NFI[[#This Row],[Clothes Kit]],Table_NFI[Clothes Kit])</f>
        <v>0</v>
      </c>
      <c r="AG685" s="294">
        <f>IF(NFI_Expiration=1,IF($A685&lt;VLOOKUP(P$5,NFI,5,0),1,0)*Table_NFI[[#This Row],[Plastic Bucket]],Table_NFI[Plastic Bucket])</f>
        <v>0</v>
      </c>
      <c r="AH685" s="294">
        <f>IF(NFI_Expiration=1,IF($A685&lt;VLOOKUP(Q$5,NFI,5,0),1,0)*Table_NFI[[#This Row],[Plastic Mat]],Table_NFI[Plastic Mat])*IF(Table_NFI[[#This Row],[Distribution Date]]&gt;"2014-04-01",1,2.5)</f>
        <v>0</v>
      </c>
      <c r="AI685" s="294">
        <f>IF(NFI_Expiration=1,IF($A685&lt;VLOOKUP(R$5,NFI,5,0),1,0)*Table_NFI[[#This Row],[Winter Clothes Adult]],Table_NFI[Winter Clothes Adult])</f>
        <v>0</v>
      </c>
      <c r="AJ685" s="294">
        <f>IF(NFI_Expiration=1,IF($A685&lt;VLOOKUP(S$5,NFI,5,0),1,0)*Table_NFI[[#This Row],[Winter Clothes Children]],Table_NFI[Winter Clothes Children])</f>
        <v>0</v>
      </c>
      <c r="AK685" s="294">
        <f>IF(NFI_Expiration=1,IF($A685&lt;VLOOKUP(T$5,NFI,5,0),1,0)*Table_NFI[[#This Row],[Winter Items Other]],Table_NFI[Winter Items Other])</f>
        <v>0</v>
      </c>
      <c r="AL685" s="294">
        <f>IF(NFI_Expiration=1,IF($A685&lt;VLOOKUP(M$5,NFI,5,0),1,0)*Table_NFI[[#This Row],[Winter Blanket]],Table_NFI[[#This Row],[Winter Blanket]])</f>
        <v>0</v>
      </c>
      <c r="AM685" s="294">
        <f>IF(Table_NFI[[#This Row],[Winter Clothes Adult]]+Table_NFI[[#This Row],[Winter Clothes Children]]+Table_NFI[[#This Row],[Winter Items Other]]+Table_NFI[[#This Row],[Winter Blanket]]&gt;0,1,0)</f>
        <v>0</v>
      </c>
      <c r="AN685" s="331">
        <f>IF(NFI_Expiration=1,IF($A685&lt;VLOOKUP(V$5,NFI,5,0),1,0)*Table_NFI[[#This Row],[Jerry Can]],Table_NFI[Jerry Can])</f>
        <v>0</v>
      </c>
      <c r="AO685" s="331">
        <f>IF(NFI_Expiration=1,IF($A685&lt;VLOOKUP(V$5,NFI,5,0),1,0)*Table_NFI[[#This Row],[Shelter Tool kit]],Table_NFI[Shelter Tool kit])</f>
        <v>0</v>
      </c>
      <c r="AP685" s="331">
        <f>IF(NFI_Expiration=1,IF($A685&lt;VLOOKUP(V$5,NFI,5,0),1,0)*Table_NFI[[#This Row],[Tent]],Table_NFI[Tent])</f>
        <v>0</v>
      </c>
      <c r="AQ685" s="467" t="str">
        <f>IFERROR(VLOOKUP(Table_NFI[[#This Row],[Camp Name]],CL,2,0),"")</f>
        <v>MMR001CMP042</v>
      </c>
      <c r="AR685" s="835">
        <f ca="1">IF(Table_NFI[[#This Row],[Pcode]]="","",IF(OFFSET(CampList[Opening Date],MATCH(Table_NFI[[#This Row],[Pcode]],CampList[CP_Pcode],0)-1,0,1,1)&gt;=NFI_Monitor_Date,1,0))</f>
        <v>0</v>
      </c>
      <c r="AS685" s="467" t="str">
        <f>IFERROR(VLOOKUP(Table_NFI[[#This Row],[Camp Name]],CL,3,0),"")</f>
        <v>Open</v>
      </c>
      <c r="AT685" s="294" t="str">
        <f ca="1">IF(Table_NFI[[#This Row],[Pcode]]="","",OFFSET(CampList[Priority],MATCH(Table_NFI[[#This Row],[Pcode]],CampList[CP_Pcode],0)-1,0,1,1))</f>
        <v>P1</v>
      </c>
      <c r="AU685" s="293">
        <f>IFERROR(Table_NFI[[#This Row],[Kitchen Set]]/VLOOKUP(Table_NFI[[#This Row],[Camp Name]],CL,4,0),"")</f>
        <v>0</v>
      </c>
      <c r="AV685" s="461" t="s">
        <v>1092</v>
      </c>
      <c r="AW685" s="463"/>
    </row>
    <row r="686" spans="1:49" ht="14.45" customHeight="1" x14ac:dyDescent="0.25">
      <c r="A686" s="297">
        <f t="shared" si="10"/>
        <v>44</v>
      </c>
      <c r="B686" s="460">
        <v>41416</v>
      </c>
      <c r="C686" s="461" t="s">
        <v>452</v>
      </c>
      <c r="D686" s="462" t="s">
        <v>452</v>
      </c>
      <c r="E686" s="461" t="s">
        <v>380</v>
      </c>
      <c r="F686" s="290" t="s">
        <v>27</v>
      </c>
      <c r="G686" s="290" t="s">
        <v>28</v>
      </c>
      <c r="H686" s="291"/>
      <c r="I686" s="291"/>
      <c r="J686" s="291">
        <v>80</v>
      </c>
      <c r="K686" s="291">
        <v>84</v>
      </c>
      <c r="L686" s="292">
        <v>41</v>
      </c>
      <c r="M686" s="292">
        <v>84</v>
      </c>
      <c r="N686" s="292">
        <v>41</v>
      </c>
      <c r="O686" s="292">
        <v>41</v>
      </c>
      <c r="P686" s="294">
        <v>41</v>
      </c>
      <c r="Q686" s="294">
        <v>41</v>
      </c>
      <c r="R686" s="294"/>
      <c r="S686" s="294"/>
      <c r="T686" s="294"/>
      <c r="U686" s="294"/>
      <c r="V686" s="431"/>
      <c r="W686" s="294"/>
      <c r="X686" s="294"/>
      <c r="Y686" s="294">
        <f>IF(NFI_Expiration=1,IF($A686&lt;VLOOKUP(H$5,NFI,5,0),1,0)*Table_NFI[[#This Row],[Hygiene Kit]],Table_NFI[Hygiene Kit])</f>
        <v>0</v>
      </c>
      <c r="Z686" s="294">
        <f>IF(NFI_Expiration=1,IF($A686&lt;VLOOKUP(I$5,NFI,5,0),1,0)*Table_NFI[[#This Row],[NFI Core Kit]],Table_NFI[NFI Core Kit])</f>
        <v>0</v>
      </c>
      <c r="AA686" s="294">
        <f>IF(NFI_Expiration=1,IF($A686&lt;VLOOKUP(J$5,NFI,5,0),1,0)*Table_NFI[[#This Row],[Sanitary Kit]],Table_NFI[Sanitary Kit])</f>
        <v>0</v>
      </c>
      <c r="AB686" s="294">
        <f>IF(NFI_Expiration=1,IF($A686&lt;VLOOKUP(K$5,NFI,5,0),1,0)*Table_NFI[[#This Row],[Mosquito net]],Table_NFI[Mosquito net])</f>
        <v>0</v>
      </c>
      <c r="AC686" s="294">
        <f>IF(NFI_Expiration=1,IF($A686&lt;VLOOKUP(L$5,NFI,5,0),1,0)*Table_NFI[[#This Row],[Tarpaulin]],Table_NFI[[#This Row],[Tarpaulin]])</f>
        <v>0</v>
      </c>
      <c r="AD686" s="294">
        <f>IF(NFI_Expiration=1,IF($A686&lt;VLOOKUP(M$5,NFI,5,0),1,0)*Table_NFI[[#This Row],[Blanket]],Table_NFI[[#This Row],[Blanket]])</f>
        <v>0</v>
      </c>
      <c r="AE686" s="294">
        <f>IF(NFI_Expiration=1,IF($A686&lt;VLOOKUP(N$5,NFI,5,0),1,0)*Table_NFI[[#This Row],[Kitchen Set]],Table_NFI[Kitchen Set])</f>
        <v>0</v>
      </c>
      <c r="AF686" s="294">
        <f>IF(NFI_Expiration=1,IF($A686&lt;VLOOKUP(O$5,NFI,5,0),1,0)*Table_NFI[[#This Row],[Clothes Kit]],Table_NFI[Clothes Kit])</f>
        <v>0</v>
      </c>
      <c r="AG686" s="294">
        <f>IF(NFI_Expiration=1,IF($A686&lt;VLOOKUP(P$5,NFI,5,0),1,0)*Table_NFI[[#This Row],[Plastic Bucket]],Table_NFI[Plastic Bucket])</f>
        <v>0</v>
      </c>
      <c r="AH686" s="294">
        <f>IF(NFI_Expiration=1,IF($A686&lt;VLOOKUP(Q$5,NFI,5,0),1,0)*Table_NFI[[#This Row],[Plastic Mat]],Table_NFI[Plastic Mat])*IF(Table_NFI[[#This Row],[Distribution Date]]&gt;"2014-04-01",1,2.5)</f>
        <v>0</v>
      </c>
      <c r="AI686" s="294">
        <f>IF(NFI_Expiration=1,IF($A686&lt;VLOOKUP(R$5,NFI,5,0),1,0)*Table_NFI[[#This Row],[Winter Clothes Adult]],Table_NFI[Winter Clothes Adult])</f>
        <v>0</v>
      </c>
      <c r="AJ686" s="294">
        <f>IF(NFI_Expiration=1,IF($A686&lt;VLOOKUP(S$5,NFI,5,0),1,0)*Table_NFI[[#This Row],[Winter Clothes Children]],Table_NFI[Winter Clothes Children])</f>
        <v>0</v>
      </c>
      <c r="AK686" s="294">
        <f>IF(NFI_Expiration=1,IF($A686&lt;VLOOKUP(T$5,NFI,5,0),1,0)*Table_NFI[[#This Row],[Winter Items Other]],Table_NFI[Winter Items Other])</f>
        <v>0</v>
      </c>
      <c r="AL686" s="294">
        <f>IF(NFI_Expiration=1,IF($A686&lt;VLOOKUP(M$5,NFI,5,0),1,0)*Table_NFI[[#This Row],[Winter Blanket]],Table_NFI[[#This Row],[Winter Blanket]])</f>
        <v>0</v>
      </c>
      <c r="AM686" s="294">
        <f>IF(Table_NFI[[#This Row],[Winter Clothes Adult]]+Table_NFI[[#This Row],[Winter Clothes Children]]+Table_NFI[[#This Row],[Winter Items Other]]+Table_NFI[[#This Row],[Winter Blanket]]&gt;0,1,0)</f>
        <v>0</v>
      </c>
      <c r="AN686" s="331">
        <f>IF(NFI_Expiration=1,IF($A686&lt;VLOOKUP(V$5,NFI,5,0),1,0)*Table_NFI[[#This Row],[Jerry Can]],Table_NFI[Jerry Can])</f>
        <v>0</v>
      </c>
      <c r="AO686" s="331">
        <f>IF(NFI_Expiration=1,IF($A686&lt;VLOOKUP(V$5,NFI,5,0),1,0)*Table_NFI[[#This Row],[Shelter Tool kit]],Table_NFI[Shelter Tool kit])</f>
        <v>0</v>
      </c>
      <c r="AP686" s="331">
        <f>IF(NFI_Expiration=1,IF($A686&lt;VLOOKUP(V$5,NFI,5,0),1,0)*Table_NFI[[#This Row],[Tent]],Table_NFI[Tent])</f>
        <v>0</v>
      </c>
      <c r="AQ686" s="467" t="str">
        <f>IFERROR(VLOOKUP(Table_NFI[[#This Row],[Camp Name]],CL,2,0),"")</f>
        <v>MMR001CMP042</v>
      </c>
      <c r="AR686" s="835">
        <f ca="1">IF(Table_NFI[[#This Row],[Pcode]]="","",IF(OFFSET(CampList[Opening Date],MATCH(Table_NFI[[#This Row],[Pcode]],CampList[CP_Pcode],0)-1,0,1,1)&gt;=NFI_Monitor_Date,1,0))</f>
        <v>0</v>
      </c>
      <c r="AS686" s="467" t="str">
        <f>IFERROR(VLOOKUP(Table_NFI[[#This Row],[Camp Name]],CL,3,0),"")</f>
        <v>Open</v>
      </c>
      <c r="AT686" s="294" t="str">
        <f ca="1">IF(Table_NFI[[#This Row],[Pcode]]="","",OFFSET(CampList[Priority],MATCH(Table_NFI[[#This Row],[Pcode]],CampList[CP_Pcode],0)-1,0,1,1))</f>
        <v>P1</v>
      </c>
      <c r="AU686" s="293">
        <f>IFERROR(Table_NFI[[#This Row],[Kitchen Set]]/VLOOKUP(Table_NFI[[#This Row],[Camp Name]],CL,4,0),"")</f>
        <v>9.9408398797400837E-4</v>
      </c>
      <c r="AV686" s="461" t="s">
        <v>1092</v>
      </c>
      <c r="AW686" s="463"/>
    </row>
    <row r="687" spans="1:49" ht="14.45" customHeight="1" x14ac:dyDescent="0.25">
      <c r="A687" s="297">
        <f t="shared" si="10"/>
        <v>44</v>
      </c>
      <c r="B687" s="460">
        <v>41416</v>
      </c>
      <c r="C687" s="461" t="s">
        <v>901</v>
      </c>
      <c r="D687" s="462" t="s">
        <v>506</v>
      </c>
      <c r="E687" s="461" t="s">
        <v>380</v>
      </c>
      <c r="F687" s="290" t="s">
        <v>27</v>
      </c>
      <c r="G687" s="290" t="s">
        <v>365</v>
      </c>
      <c r="H687" s="291">
        <v>35</v>
      </c>
      <c r="I687" s="291"/>
      <c r="J687" s="291"/>
      <c r="K687" s="291"/>
      <c r="L687" s="292"/>
      <c r="M687" s="292"/>
      <c r="N687" s="292"/>
      <c r="O687" s="292"/>
      <c r="P687" s="294"/>
      <c r="Q687" s="294"/>
      <c r="R687" s="294"/>
      <c r="S687" s="294"/>
      <c r="T687" s="294"/>
      <c r="U687" s="294"/>
      <c r="V687" s="431"/>
      <c r="W687" s="294"/>
      <c r="X687" s="294"/>
      <c r="Y687" s="294">
        <f>IF(NFI_Expiration=1,IF($A687&lt;VLOOKUP(H$5,NFI,5,0),1,0)*Table_NFI[[#This Row],[Hygiene Kit]],Table_NFI[Hygiene Kit])</f>
        <v>0</v>
      </c>
      <c r="Z687" s="294">
        <f>IF(NFI_Expiration=1,IF($A687&lt;VLOOKUP(I$5,NFI,5,0),1,0)*Table_NFI[[#This Row],[NFI Core Kit]],Table_NFI[NFI Core Kit])</f>
        <v>0</v>
      </c>
      <c r="AA687" s="294">
        <f>IF(NFI_Expiration=1,IF($A687&lt;VLOOKUP(J$5,NFI,5,0),1,0)*Table_NFI[[#This Row],[Sanitary Kit]],Table_NFI[Sanitary Kit])</f>
        <v>0</v>
      </c>
      <c r="AB687" s="294">
        <f>IF(NFI_Expiration=1,IF($A687&lt;VLOOKUP(K$5,NFI,5,0),1,0)*Table_NFI[[#This Row],[Mosquito net]],Table_NFI[Mosquito net])</f>
        <v>0</v>
      </c>
      <c r="AC687" s="294">
        <f>IF(NFI_Expiration=1,IF($A687&lt;VLOOKUP(L$5,NFI,5,0),1,0)*Table_NFI[[#This Row],[Tarpaulin]],Table_NFI[[#This Row],[Tarpaulin]])</f>
        <v>0</v>
      </c>
      <c r="AD687" s="294">
        <f>IF(NFI_Expiration=1,IF($A687&lt;VLOOKUP(M$5,NFI,5,0),1,0)*Table_NFI[[#This Row],[Blanket]],Table_NFI[[#This Row],[Blanket]])</f>
        <v>0</v>
      </c>
      <c r="AE687" s="294">
        <f>IF(NFI_Expiration=1,IF($A687&lt;VLOOKUP(N$5,NFI,5,0),1,0)*Table_NFI[[#This Row],[Kitchen Set]],Table_NFI[Kitchen Set])</f>
        <v>0</v>
      </c>
      <c r="AF687" s="294">
        <f>IF(NFI_Expiration=1,IF($A687&lt;VLOOKUP(O$5,NFI,5,0),1,0)*Table_NFI[[#This Row],[Clothes Kit]],Table_NFI[Clothes Kit])</f>
        <v>0</v>
      </c>
      <c r="AG687" s="294">
        <f>IF(NFI_Expiration=1,IF($A687&lt;VLOOKUP(P$5,NFI,5,0),1,0)*Table_NFI[[#This Row],[Plastic Bucket]],Table_NFI[Plastic Bucket])</f>
        <v>0</v>
      </c>
      <c r="AH687" s="294">
        <f>IF(NFI_Expiration=1,IF($A687&lt;VLOOKUP(Q$5,NFI,5,0),1,0)*Table_NFI[[#This Row],[Plastic Mat]],Table_NFI[Plastic Mat])*IF(Table_NFI[[#This Row],[Distribution Date]]&gt;"2014-04-01",1,2.5)</f>
        <v>0</v>
      </c>
      <c r="AI687" s="294">
        <f>IF(NFI_Expiration=1,IF($A687&lt;VLOOKUP(R$5,NFI,5,0),1,0)*Table_NFI[[#This Row],[Winter Clothes Adult]],Table_NFI[Winter Clothes Adult])</f>
        <v>0</v>
      </c>
      <c r="AJ687" s="294">
        <f>IF(NFI_Expiration=1,IF($A687&lt;VLOOKUP(S$5,NFI,5,0),1,0)*Table_NFI[[#This Row],[Winter Clothes Children]],Table_NFI[Winter Clothes Children])</f>
        <v>0</v>
      </c>
      <c r="AK687" s="294">
        <f>IF(NFI_Expiration=1,IF($A687&lt;VLOOKUP(T$5,NFI,5,0),1,0)*Table_NFI[[#This Row],[Winter Items Other]],Table_NFI[Winter Items Other])</f>
        <v>0</v>
      </c>
      <c r="AL687" s="294">
        <f>IF(NFI_Expiration=1,IF($A687&lt;VLOOKUP(M$5,NFI,5,0),1,0)*Table_NFI[[#This Row],[Winter Blanket]],Table_NFI[[#This Row],[Winter Blanket]])</f>
        <v>0</v>
      </c>
      <c r="AM687" s="294">
        <f>IF(Table_NFI[[#This Row],[Winter Clothes Adult]]+Table_NFI[[#This Row],[Winter Clothes Children]]+Table_NFI[[#This Row],[Winter Items Other]]+Table_NFI[[#This Row],[Winter Blanket]]&gt;0,1,0)</f>
        <v>0</v>
      </c>
      <c r="AN687" s="331">
        <f>IF(NFI_Expiration=1,IF($A687&lt;VLOOKUP(V$5,NFI,5,0),1,0)*Table_NFI[[#This Row],[Jerry Can]],Table_NFI[Jerry Can])</f>
        <v>0</v>
      </c>
      <c r="AO687" s="331">
        <f>IF(NFI_Expiration=1,IF($A687&lt;VLOOKUP(V$5,NFI,5,0),1,0)*Table_NFI[[#This Row],[Shelter Tool kit]],Table_NFI[Shelter Tool kit])</f>
        <v>0</v>
      </c>
      <c r="AP687" s="331">
        <f>IF(NFI_Expiration=1,IF($A687&lt;VLOOKUP(V$5,NFI,5,0),1,0)*Table_NFI[[#This Row],[Tent]],Table_NFI[Tent])</f>
        <v>0</v>
      </c>
      <c r="AQ687" s="467" t="str">
        <f>IFERROR(VLOOKUP(Table_NFI[[#This Row],[Camp Name]],CL,2,0),"")</f>
        <v>MMR001CMP195</v>
      </c>
      <c r="AR687" s="835">
        <f ca="1">IF(Table_NFI[[#This Row],[Pcode]]="","",IF(OFFSET(CampList[Opening Date],MATCH(Table_NFI[[#This Row],[Pcode]],CampList[CP_Pcode],0)-1,0,1,1)&gt;=NFI_Monitor_Date,1,0))</f>
        <v>0</v>
      </c>
      <c r="AS687" s="467" t="str">
        <f>IFERROR(VLOOKUP(Table_NFI[[#This Row],[Camp Name]],CL,3,0),"")</f>
        <v>Open</v>
      </c>
      <c r="AT687" s="294" t="str">
        <f ca="1">IF(Table_NFI[[#This Row],[Pcode]]="","",OFFSET(CampList[Priority],MATCH(Table_NFI[[#This Row],[Pcode]],CampList[CP_Pcode],0)-1,0,1,1))</f>
        <v>P1</v>
      </c>
      <c r="AU687" s="293">
        <f>IFERROR(Table_NFI[[#This Row],[Kitchen Set]]/VLOOKUP(Table_NFI[[#This Row],[Camp Name]],CL,4,0),"")</f>
        <v>0</v>
      </c>
      <c r="AV687" s="461" t="s">
        <v>1092</v>
      </c>
      <c r="AW687" s="463"/>
    </row>
    <row r="688" spans="1:49" ht="14.45" customHeight="1" x14ac:dyDescent="0.25">
      <c r="A688" s="297">
        <f t="shared" si="10"/>
        <v>44</v>
      </c>
      <c r="B688" s="460">
        <v>41416</v>
      </c>
      <c r="C688" s="461" t="s">
        <v>452</v>
      </c>
      <c r="D688" s="462" t="s">
        <v>452</v>
      </c>
      <c r="E688" s="461" t="s">
        <v>380</v>
      </c>
      <c r="F688" s="290" t="s">
        <v>527</v>
      </c>
      <c r="G688" s="290" t="s">
        <v>611</v>
      </c>
      <c r="H688" s="291"/>
      <c r="I688" s="291"/>
      <c r="J688" s="291">
        <v>34</v>
      </c>
      <c r="K688" s="291">
        <v>61</v>
      </c>
      <c r="L688" s="292">
        <v>30</v>
      </c>
      <c r="M688" s="292">
        <v>61</v>
      </c>
      <c r="N688" s="292">
        <v>30</v>
      </c>
      <c r="O688" s="292">
        <v>30</v>
      </c>
      <c r="P688" s="294">
        <v>30</v>
      </c>
      <c r="Q688" s="294">
        <v>30</v>
      </c>
      <c r="R688" s="294"/>
      <c r="S688" s="294"/>
      <c r="T688" s="294"/>
      <c r="U688" s="294"/>
      <c r="V688" s="431"/>
      <c r="W688" s="294"/>
      <c r="X688" s="294"/>
      <c r="Y688" s="294">
        <f>IF(NFI_Expiration=1,IF($A688&lt;VLOOKUP(H$5,NFI,5,0),1,0)*Table_NFI[[#This Row],[Hygiene Kit]],Table_NFI[Hygiene Kit])</f>
        <v>0</v>
      </c>
      <c r="Z688" s="294">
        <f>IF(NFI_Expiration=1,IF($A688&lt;VLOOKUP(I$5,NFI,5,0),1,0)*Table_NFI[[#This Row],[NFI Core Kit]],Table_NFI[NFI Core Kit])</f>
        <v>0</v>
      </c>
      <c r="AA688" s="294">
        <f>IF(NFI_Expiration=1,IF($A688&lt;VLOOKUP(J$5,NFI,5,0),1,0)*Table_NFI[[#This Row],[Sanitary Kit]],Table_NFI[Sanitary Kit])</f>
        <v>0</v>
      </c>
      <c r="AB688" s="294">
        <f>IF(NFI_Expiration=1,IF($A688&lt;VLOOKUP(K$5,NFI,5,0),1,0)*Table_NFI[[#This Row],[Mosquito net]],Table_NFI[Mosquito net])</f>
        <v>0</v>
      </c>
      <c r="AC688" s="294">
        <f>IF(NFI_Expiration=1,IF($A688&lt;VLOOKUP(L$5,NFI,5,0),1,0)*Table_NFI[[#This Row],[Tarpaulin]],Table_NFI[[#This Row],[Tarpaulin]])</f>
        <v>0</v>
      </c>
      <c r="AD688" s="294">
        <f>IF(NFI_Expiration=1,IF($A688&lt;VLOOKUP(M$5,NFI,5,0),1,0)*Table_NFI[[#This Row],[Blanket]],Table_NFI[[#This Row],[Blanket]])</f>
        <v>0</v>
      </c>
      <c r="AE688" s="294">
        <f>IF(NFI_Expiration=1,IF($A688&lt;VLOOKUP(N$5,NFI,5,0),1,0)*Table_NFI[[#This Row],[Kitchen Set]],Table_NFI[Kitchen Set])</f>
        <v>0</v>
      </c>
      <c r="AF688" s="294">
        <f>IF(NFI_Expiration=1,IF($A688&lt;VLOOKUP(O$5,NFI,5,0),1,0)*Table_NFI[[#This Row],[Clothes Kit]],Table_NFI[Clothes Kit])</f>
        <v>0</v>
      </c>
      <c r="AG688" s="294">
        <f>IF(NFI_Expiration=1,IF($A688&lt;VLOOKUP(P$5,NFI,5,0),1,0)*Table_NFI[[#This Row],[Plastic Bucket]],Table_NFI[Plastic Bucket])</f>
        <v>0</v>
      </c>
      <c r="AH688" s="294">
        <f>IF(NFI_Expiration=1,IF($A688&lt;VLOOKUP(Q$5,NFI,5,0),1,0)*Table_NFI[[#This Row],[Plastic Mat]],Table_NFI[Plastic Mat])*IF(Table_NFI[[#This Row],[Distribution Date]]&gt;"2014-04-01",1,2.5)</f>
        <v>0</v>
      </c>
      <c r="AI688" s="294">
        <f>IF(NFI_Expiration=1,IF($A688&lt;VLOOKUP(R$5,NFI,5,0),1,0)*Table_NFI[[#This Row],[Winter Clothes Adult]],Table_NFI[Winter Clothes Adult])</f>
        <v>0</v>
      </c>
      <c r="AJ688" s="294">
        <f>IF(NFI_Expiration=1,IF($A688&lt;VLOOKUP(S$5,NFI,5,0),1,0)*Table_NFI[[#This Row],[Winter Clothes Children]],Table_NFI[Winter Clothes Children])</f>
        <v>0</v>
      </c>
      <c r="AK688" s="294">
        <f>IF(NFI_Expiration=1,IF($A688&lt;VLOOKUP(T$5,NFI,5,0),1,0)*Table_NFI[[#This Row],[Winter Items Other]],Table_NFI[Winter Items Other])</f>
        <v>0</v>
      </c>
      <c r="AL688" s="294">
        <f>IF(NFI_Expiration=1,IF($A688&lt;VLOOKUP(M$5,NFI,5,0),1,0)*Table_NFI[[#This Row],[Winter Blanket]],Table_NFI[[#This Row],[Winter Blanket]])</f>
        <v>0</v>
      </c>
      <c r="AM688" s="294">
        <f>IF(Table_NFI[[#This Row],[Winter Clothes Adult]]+Table_NFI[[#This Row],[Winter Clothes Children]]+Table_NFI[[#This Row],[Winter Items Other]]+Table_NFI[[#This Row],[Winter Blanket]]&gt;0,1,0)</f>
        <v>0</v>
      </c>
      <c r="AN688" s="331">
        <f>IF(NFI_Expiration=1,IF($A688&lt;VLOOKUP(V$5,NFI,5,0),1,0)*Table_NFI[[#This Row],[Jerry Can]],Table_NFI[Jerry Can])</f>
        <v>0</v>
      </c>
      <c r="AO688" s="331">
        <f>IF(NFI_Expiration=1,IF($A688&lt;VLOOKUP(V$5,NFI,5,0),1,0)*Table_NFI[[#This Row],[Shelter Tool kit]],Table_NFI[Shelter Tool kit])</f>
        <v>0</v>
      </c>
      <c r="AP688" s="331">
        <f>IF(NFI_Expiration=1,IF($A688&lt;VLOOKUP(V$5,NFI,5,0),1,0)*Table_NFI[[#This Row],[Tent]],Table_NFI[Tent])</f>
        <v>0</v>
      </c>
      <c r="AQ688" s="467" t="str">
        <f>IFERROR(VLOOKUP(Table_NFI[[#This Row],[Camp Name]],CL,2,0),"")</f>
        <v>MMR001CMP192</v>
      </c>
      <c r="AR688" s="835">
        <f ca="1">IF(Table_NFI[[#This Row],[Pcode]]="","",IF(OFFSET(CampList[Opening Date],MATCH(Table_NFI[[#This Row],[Pcode]],CampList[CP_Pcode],0)-1,0,1,1)&gt;=NFI_Monitor_Date,1,0))</f>
        <v>0</v>
      </c>
      <c r="AS688" s="467" t="str">
        <f>IFERROR(VLOOKUP(Table_NFI[[#This Row],[Camp Name]],CL,3,0),"")</f>
        <v>Open</v>
      </c>
      <c r="AT688" s="294" t="str">
        <f ca="1">IF(Table_NFI[[#This Row],[Pcode]]="","",OFFSET(CampList[Priority],MATCH(Table_NFI[[#This Row],[Pcode]],CampList[CP_Pcode],0)-1,0,1,1))</f>
        <v>P4</v>
      </c>
      <c r="AU688" s="293">
        <f>IFERROR(Table_NFI[[#This Row],[Kitchen Set]]/VLOOKUP(Table_NFI[[#This Row],[Camp Name]],CL,4,0),"")</f>
        <v>7.2683222289521504E-4</v>
      </c>
      <c r="AV688" s="461" t="s">
        <v>1092</v>
      </c>
      <c r="AW688" s="463"/>
    </row>
    <row r="689" spans="1:49" ht="14.45" customHeight="1" x14ac:dyDescent="0.25">
      <c r="A689" s="297">
        <f t="shared" si="10"/>
        <v>44</v>
      </c>
      <c r="B689" s="460">
        <v>41416</v>
      </c>
      <c r="C689" s="461" t="s">
        <v>452</v>
      </c>
      <c r="D689" s="461" t="s">
        <v>452</v>
      </c>
      <c r="E689" s="461" t="s">
        <v>380</v>
      </c>
      <c r="F689" s="290" t="s">
        <v>527</v>
      </c>
      <c r="G689" s="290" t="s">
        <v>54</v>
      </c>
      <c r="H689" s="291"/>
      <c r="I689" s="291"/>
      <c r="J689" s="291">
        <v>48</v>
      </c>
      <c r="K689" s="291">
        <v>74</v>
      </c>
      <c r="L689" s="292">
        <v>31</v>
      </c>
      <c r="M689" s="292">
        <v>74</v>
      </c>
      <c r="N689" s="292">
        <v>31</v>
      </c>
      <c r="O689" s="292">
        <v>31</v>
      </c>
      <c r="P689" s="294">
        <v>31</v>
      </c>
      <c r="Q689" s="294">
        <v>31</v>
      </c>
      <c r="R689" s="294"/>
      <c r="S689" s="294"/>
      <c r="T689" s="294"/>
      <c r="U689" s="294"/>
      <c r="V689" s="431"/>
      <c r="W689" s="294"/>
      <c r="X689" s="294"/>
      <c r="Y689" s="294">
        <f>IF(NFI_Expiration=1,IF($A689&lt;VLOOKUP(H$5,NFI,5,0),1,0)*Table_NFI[[#This Row],[Hygiene Kit]],Table_NFI[Hygiene Kit])</f>
        <v>0</v>
      </c>
      <c r="Z689" s="294">
        <f>IF(NFI_Expiration=1,IF($A689&lt;VLOOKUP(I$5,NFI,5,0),1,0)*Table_NFI[[#This Row],[NFI Core Kit]],Table_NFI[NFI Core Kit])</f>
        <v>0</v>
      </c>
      <c r="AA689" s="294">
        <f>IF(NFI_Expiration=1,IF($A689&lt;VLOOKUP(J$5,NFI,5,0),1,0)*Table_NFI[[#This Row],[Sanitary Kit]],Table_NFI[Sanitary Kit])</f>
        <v>0</v>
      </c>
      <c r="AB689" s="294">
        <f>IF(NFI_Expiration=1,IF($A689&lt;VLOOKUP(K$5,NFI,5,0),1,0)*Table_NFI[[#This Row],[Mosquito net]],Table_NFI[Mosquito net])</f>
        <v>0</v>
      </c>
      <c r="AC689" s="294">
        <f>IF(NFI_Expiration=1,IF($A689&lt;VLOOKUP(L$5,NFI,5,0),1,0)*Table_NFI[[#This Row],[Tarpaulin]],Table_NFI[[#This Row],[Tarpaulin]])</f>
        <v>0</v>
      </c>
      <c r="AD689" s="294">
        <f>IF(NFI_Expiration=1,IF($A689&lt;VLOOKUP(M$5,NFI,5,0),1,0)*Table_NFI[[#This Row],[Blanket]],Table_NFI[[#This Row],[Blanket]])</f>
        <v>0</v>
      </c>
      <c r="AE689" s="294">
        <f>IF(NFI_Expiration=1,IF($A689&lt;VLOOKUP(N$5,NFI,5,0),1,0)*Table_NFI[[#This Row],[Kitchen Set]],Table_NFI[Kitchen Set])</f>
        <v>0</v>
      </c>
      <c r="AF689" s="294">
        <f>IF(NFI_Expiration=1,IF($A689&lt;VLOOKUP(O$5,NFI,5,0),1,0)*Table_NFI[[#This Row],[Clothes Kit]],Table_NFI[Clothes Kit])</f>
        <v>0</v>
      </c>
      <c r="AG689" s="294">
        <f>IF(NFI_Expiration=1,IF($A689&lt;VLOOKUP(P$5,NFI,5,0),1,0)*Table_NFI[[#This Row],[Plastic Bucket]],Table_NFI[Plastic Bucket])</f>
        <v>0</v>
      </c>
      <c r="AH689" s="294">
        <f>IF(NFI_Expiration=1,IF($A689&lt;VLOOKUP(Q$5,NFI,5,0),1,0)*Table_NFI[[#This Row],[Plastic Mat]],Table_NFI[Plastic Mat])*IF(Table_NFI[[#This Row],[Distribution Date]]&gt;"2014-04-01",1,2.5)</f>
        <v>0</v>
      </c>
      <c r="AI689" s="294">
        <f>IF(NFI_Expiration=1,IF($A689&lt;VLOOKUP(R$5,NFI,5,0),1,0)*Table_NFI[[#This Row],[Winter Clothes Adult]],Table_NFI[Winter Clothes Adult])</f>
        <v>0</v>
      </c>
      <c r="AJ689" s="294">
        <f>IF(NFI_Expiration=1,IF($A689&lt;VLOOKUP(S$5,NFI,5,0),1,0)*Table_NFI[[#This Row],[Winter Clothes Children]],Table_NFI[Winter Clothes Children])</f>
        <v>0</v>
      </c>
      <c r="AK689" s="294">
        <f>IF(NFI_Expiration=1,IF($A689&lt;VLOOKUP(T$5,NFI,5,0),1,0)*Table_NFI[[#This Row],[Winter Items Other]],Table_NFI[Winter Items Other])</f>
        <v>0</v>
      </c>
      <c r="AL689" s="294">
        <f>IF(NFI_Expiration=1,IF($A689&lt;VLOOKUP(M$5,NFI,5,0),1,0)*Table_NFI[[#This Row],[Winter Blanket]],Table_NFI[[#This Row],[Winter Blanket]])</f>
        <v>0</v>
      </c>
      <c r="AM689" s="294">
        <f>IF(Table_NFI[[#This Row],[Winter Clothes Adult]]+Table_NFI[[#This Row],[Winter Clothes Children]]+Table_NFI[[#This Row],[Winter Items Other]]+Table_NFI[[#This Row],[Winter Blanket]]&gt;0,1,0)</f>
        <v>0</v>
      </c>
      <c r="AN689" s="331">
        <f>IF(NFI_Expiration=1,IF($A689&lt;VLOOKUP(V$5,NFI,5,0),1,0)*Table_NFI[[#This Row],[Jerry Can]],Table_NFI[Jerry Can])</f>
        <v>0</v>
      </c>
      <c r="AO689" s="331">
        <f>IF(NFI_Expiration=1,IF($A689&lt;VLOOKUP(V$5,NFI,5,0),1,0)*Table_NFI[[#This Row],[Shelter Tool kit]],Table_NFI[Shelter Tool kit])</f>
        <v>0</v>
      </c>
      <c r="AP689" s="331">
        <f>IF(NFI_Expiration=1,IF($A689&lt;VLOOKUP(V$5,NFI,5,0),1,0)*Table_NFI[[#This Row],[Tent]],Table_NFI[Tent])</f>
        <v>0</v>
      </c>
      <c r="AQ689" s="467" t="str">
        <f>IFERROR(VLOOKUP(Table_NFI[[#This Row],[Camp Name]],CL,2,0),"")</f>
        <v>MMR001CMP094</v>
      </c>
      <c r="AR689" s="835">
        <f ca="1">IF(Table_NFI[[#This Row],[Pcode]]="","",IF(OFFSET(CampList[Opening Date],MATCH(Table_NFI[[#This Row],[Pcode]],CampList[CP_Pcode],0)-1,0,1,1)&gt;=NFI_Monitor_Date,1,0))</f>
        <v>0</v>
      </c>
      <c r="AS689" s="467" t="str">
        <f>IFERROR(VLOOKUP(Table_NFI[[#This Row],[Camp Name]],CL,3,0),"")</f>
        <v>Closed</v>
      </c>
      <c r="AT689" s="294" t="str">
        <f ca="1">IF(Table_NFI[[#This Row],[Pcode]]="","",OFFSET(CampList[Priority],MATCH(Table_NFI[[#This Row],[Pcode]],CampList[CP_Pcode],0)-1,0,1,1))</f>
        <v/>
      </c>
      <c r="AU689" s="293" t="str">
        <f>IFERROR(Table_NFI[[#This Row],[Kitchen Set]]/VLOOKUP(Table_NFI[[#This Row],[Camp Name]],CL,4,0),"")</f>
        <v/>
      </c>
      <c r="AV689" s="461" t="s">
        <v>1092</v>
      </c>
      <c r="AW689" s="463"/>
    </row>
    <row r="690" spans="1:49" ht="15" customHeight="1" x14ac:dyDescent="0.25">
      <c r="A690" s="297">
        <f t="shared" si="10"/>
        <v>44</v>
      </c>
      <c r="B690" s="460">
        <v>41416</v>
      </c>
      <c r="C690" s="461" t="s">
        <v>452</v>
      </c>
      <c r="D690" s="461" t="s">
        <v>452</v>
      </c>
      <c r="E690" s="461" t="s">
        <v>380</v>
      </c>
      <c r="F690" s="461" t="s">
        <v>527</v>
      </c>
      <c r="G690" s="290" t="s">
        <v>110</v>
      </c>
      <c r="H690" s="291"/>
      <c r="I690" s="291"/>
      <c r="J690" s="291">
        <v>273</v>
      </c>
      <c r="K690" s="291">
        <v>339</v>
      </c>
      <c r="L690" s="292">
        <v>151</v>
      </c>
      <c r="M690" s="292">
        <v>339</v>
      </c>
      <c r="N690" s="292">
        <v>151</v>
      </c>
      <c r="O690" s="292">
        <v>151</v>
      </c>
      <c r="P690" s="294">
        <v>151</v>
      </c>
      <c r="Q690" s="294">
        <v>151</v>
      </c>
      <c r="R690" s="294"/>
      <c r="S690" s="294"/>
      <c r="T690" s="294"/>
      <c r="U690" s="294"/>
      <c r="V690" s="431"/>
      <c r="W690" s="294"/>
      <c r="X690" s="294"/>
      <c r="Y690" s="294">
        <f>IF(NFI_Expiration=1,IF($A690&lt;VLOOKUP(H$5,NFI,5,0),1,0)*Table_NFI[[#This Row],[Hygiene Kit]],Table_NFI[Hygiene Kit])</f>
        <v>0</v>
      </c>
      <c r="Z690" s="294">
        <f>IF(NFI_Expiration=1,IF($A690&lt;VLOOKUP(I$5,NFI,5,0),1,0)*Table_NFI[[#This Row],[NFI Core Kit]],Table_NFI[NFI Core Kit])</f>
        <v>0</v>
      </c>
      <c r="AA690" s="294">
        <f>IF(NFI_Expiration=1,IF($A690&lt;VLOOKUP(J$5,NFI,5,0),1,0)*Table_NFI[[#This Row],[Sanitary Kit]],Table_NFI[Sanitary Kit])</f>
        <v>0</v>
      </c>
      <c r="AB690" s="294">
        <f>IF(NFI_Expiration=1,IF($A690&lt;VLOOKUP(K$5,NFI,5,0),1,0)*Table_NFI[[#This Row],[Mosquito net]],Table_NFI[Mosquito net])</f>
        <v>0</v>
      </c>
      <c r="AC690" s="294">
        <f>IF(NFI_Expiration=1,IF($A690&lt;VLOOKUP(L$5,NFI,5,0),1,0)*Table_NFI[[#This Row],[Tarpaulin]],Table_NFI[[#This Row],[Tarpaulin]])</f>
        <v>0</v>
      </c>
      <c r="AD690" s="294">
        <f>IF(NFI_Expiration=1,IF($A690&lt;VLOOKUP(M$5,NFI,5,0),1,0)*Table_NFI[[#This Row],[Blanket]],Table_NFI[[#This Row],[Blanket]])</f>
        <v>0</v>
      </c>
      <c r="AE690" s="294">
        <f>IF(NFI_Expiration=1,IF($A690&lt;VLOOKUP(N$5,NFI,5,0),1,0)*Table_NFI[[#This Row],[Kitchen Set]],Table_NFI[Kitchen Set])</f>
        <v>0</v>
      </c>
      <c r="AF690" s="294">
        <f>IF(NFI_Expiration=1,IF($A690&lt;VLOOKUP(O$5,NFI,5,0),1,0)*Table_NFI[[#This Row],[Clothes Kit]],Table_NFI[Clothes Kit])</f>
        <v>0</v>
      </c>
      <c r="AG690" s="294">
        <f>IF(NFI_Expiration=1,IF($A690&lt;VLOOKUP(P$5,NFI,5,0),1,0)*Table_NFI[[#This Row],[Plastic Bucket]],Table_NFI[Plastic Bucket])</f>
        <v>0</v>
      </c>
      <c r="AH690" s="294">
        <f>IF(NFI_Expiration=1,IF($A690&lt;VLOOKUP(Q$5,NFI,5,0),1,0)*Table_NFI[[#This Row],[Plastic Mat]],Table_NFI[Plastic Mat])*IF(Table_NFI[[#This Row],[Distribution Date]]&gt;"2014-04-01",1,2.5)</f>
        <v>0</v>
      </c>
      <c r="AI690" s="294">
        <f>IF(NFI_Expiration=1,IF($A690&lt;VLOOKUP(R$5,NFI,5,0),1,0)*Table_NFI[[#This Row],[Winter Clothes Adult]],Table_NFI[Winter Clothes Adult])</f>
        <v>0</v>
      </c>
      <c r="AJ690" s="294">
        <f>IF(NFI_Expiration=1,IF($A690&lt;VLOOKUP(S$5,NFI,5,0),1,0)*Table_NFI[[#This Row],[Winter Clothes Children]],Table_NFI[Winter Clothes Children])</f>
        <v>0</v>
      </c>
      <c r="AK690" s="294">
        <f>IF(NFI_Expiration=1,IF($A690&lt;VLOOKUP(T$5,NFI,5,0),1,0)*Table_NFI[[#This Row],[Winter Items Other]],Table_NFI[Winter Items Other])</f>
        <v>0</v>
      </c>
      <c r="AL690" s="294">
        <f>IF(NFI_Expiration=1,IF($A690&lt;VLOOKUP(M$5,NFI,5,0),1,0)*Table_NFI[[#This Row],[Winter Blanket]],Table_NFI[[#This Row],[Winter Blanket]])</f>
        <v>0</v>
      </c>
      <c r="AM690" s="294">
        <f>IF(Table_NFI[[#This Row],[Winter Clothes Adult]]+Table_NFI[[#This Row],[Winter Clothes Children]]+Table_NFI[[#This Row],[Winter Items Other]]+Table_NFI[[#This Row],[Winter Blanket]]&gt;0,1,0)</f>
        <v>0</v>
      </c>
      <c r="AN690" s="331">
        <f>IF(NFI_Expiration=1,IF($A690&lt;VLOOKUP(V$5,NFI,5,0),1,0)*Table_NFI[[#This Row],[Jerry Can]],Table_NFI[Jerry Can])</f>
        <v>0</v>
      </c>
      <c r="AO690" s="331">
        <f>IF(NFI_Expiration=1,IF($A690&lt;VLOOKUP(V$5,NFI,5,0),1,0)*Table_NFI[[#This Row],[Shelter Tool kit]],Table_NFI[Shelter Tool kit])</f>
        <v>0</v>
      </c>
      <c r="AP690" s="331">
        <f>IF(NFI_Expiration=1,IF($A690&lt;VLOOKUP(V$5,NFI,5,0),1,0)*Table_NFI[[#This Row],[Tent]],Table_NFI[Tent])</f>
        <v>0</v>
      </c>
      <c r="AQ690" s="467" t="str">
        <f>IFERROR(VLOOKUP(Table_NFI[[#This Row],[Camp Name]],CL,2,0),"")</f>
        <v>MMR001CMP082</v>
      </c>
      <c r="AR690" s="835">
        <f ca="1">IF(Table_NFI[[#This Row],[Pcode]]="","",IF(OFFSET(CampList[Opening Date],MATCH(Table_NFI[[#This Row],[Pcode]],CampList[CP_Pcode],0)-1,0,1,1)&gt;=NFI_Monitor_Date,1,0))</f>
        <v>0</v>
      </c>
      <c r="AS690" s="467" t="str">
        <f>IFERROR(VLOOKUP(Table_NFI[[#This Row],[Camp Name]],CL,3,0),"")</f>
        <v>Closed</v>
      </c>
      <c r="AT690" s="294" t="str">
        <f ca="1">IF(Table_NFI[[#This Row],[Pcode]]="","",OFFSET(CampList[Priority],MATCH(Table_NFI[[#This Row],[Pcode]],CampList[CP_Pcode],0)-1,0,1,1))</f>
        <v/>
      </c>
      <c r="AU690" s="293">
        <f>IFERROR(Table_NFI[[#This Row],[Kitchen Set]]/VLOOKUP(Table_NFI[[#This Row],[Camp Name]],CL,4,0),"")</f>
        <v>3.6720003890861339E-3</v>
      </c>
      <c r="AV690" s="461" t="s">
        <v>1092</v>
      </c>
      <c r="AW690" s="463"/>
    </row>
    <row r="691" spans="1:49" x14ac:dyDescent="0.25">
      <c r="A691" s="297">
        <f t="shared" si="10"/>
        <v>44</v>
      </c>
      <c r="B691" s="460">
        <v>41416</v>
      </c>
      <c r="C691" s="461" t="s">
        <v>452</v>
      </c>
      <c r="D691" s="461" t="s">
        <v>452</v>
      </c>
      <c r="E691" s="461" t="s">
        <v>380</v>
      </c>
      <c r="F691" s="290" t="s">
        <v>310</v>
      </c>
      <c r="G691" s="290" t="s">
        <v>318</v>
      </c>
      <c r="H691" s="291"/>
      <c r="I691" s="291"/>
      <c r="J691" s="291">
        <v>18</v>
      </c>
      <c r="K691" s="291">
        <v>20</v>
      </c>
      <c r="L691" s="292">
        <v>14</v>
      </c>
      <c r="M691" s="292">
        <v>20</v>
      </c>
      <c r="N691" s="292">
        <v>10</v>
      </c>
      <c r="O691" s="292">
        <v>10</v>
      </c>
      <c r="P691" s="294">
        <v>10</v>
      </c>
      <c r="Q691" s="294">
        <v>10</v>
      </c>
      <c r="R691" s="294"/>
      <c r="S691" s="294"/>
      <c r="T691" s="294"/>
      <c r="U691" s="294"/>
      <c r="V691" s="431"/>
      <c r="W691" s="294"/>
      <c r="X691" s="294"/>
      <c r="Y691" s="294">
        <f>IF(NFI_Expiration=1,IF($A691&lt;VLOOKUP(H$5,NFI,5,0),1,0)*Table_NFI[[#This Row],[Hygiene Kit]],Table_NFI[Hygiene Kit])</f>
        <v>0</v>
      </c>
      <c r="Z691" s="294">
        <f>IF(NFI_Expiration=1,IF($A691&lt;VLOOKUP(I$5,NFI,5,0),1,0)*Table_NFI[[#This Row],[NFI Core Kit]],Table_NFI[NFI Core Kit])</f>
        <v>0</v>
      </c>
      <c r="AA691" s="294">
        <f>IF(NFI_Expiration=1,IF($A691&lt;VLOOKUP(J$5,NFI,5,0),1,0)*Table_NFI[[#This Row],[Sanitary Kit]],Table_NFI[Sanitary Kit])</f>
        <v>0</v>
      </c>
      <c r="AB691" s="294">
        <f>IF(NFI_Expiration=1,IF($A691&lt;VLOOKUP(K$5,NFI,5,0),1,0)*Table_NFI[[#This Row],[Mosquito net]],Table_NFI[Mosquito net])</f>
        <v>0</v>
      </c>
      <c r="AC691" s="294">
        <f>IF(NFI_Expiration=1,IF($A691&lt;VLOOKUP(L$5,NFI,5,0),1,0)*Table_NFI[[#This Row],[Tarpaulin]],Table_NFI[[#This Row],[Tarpaulin]])</f>
        <v>0</v>
      </c>
      <c r="AD691" s="294">
        <f>IF(NFI_Expiration=1,IF($A691&lt;VLOOKUP(M$5,NFI,5,0),1,0)*Table_NFI[[#This Row],[Blanket]],Table_NFI[[#This Row],[Blanket]])</f>
        <v>0</v>
      </c>
      <c r="AE691" s="294">
        <f>IF(NFI_Expiration=1,IF($A691&lt;VLOOKUP(N$5,NFI,5,0),1,0)*Table_NFI[[#This Row],[Kitchen Set]],Table_NFI[Kitchen Set])</f>
        <v>0</v>
      </c>
      <c r="AF691" s="294">
        <f>IF(NFI_Expiration=1,IF($A691&lt;VLOOKUP(O$5,NFI,5,0),1,0)*Table_NFI[[#This Row],[Clothes Kit]],Table_NFI[Clothes Kit])</f>
        <v>0</v>
      </c>
      <c r="AG691" s="294">
        <f>IF(NFI_Expiration=1,IF($A691&lt;VLOOKUP(P$5,NFI,5,0),1,0)*Table_NFI[[#This Row],[Plastic Bucket]],Table_NFI[Plastic Bucket])</f>
        <v>0</v>
      </c>
      <c r="AH691" s="294">
        <f>IF(NFI_Expiration=1,IF($A691&lt;VLOOKUP(Q$5,NFI,5,0),1,0)*Table_NFI[[#This Row],[Plastic Mat]],Table_NFI[Plastic Mat])*IF(Table_NFI[[#This Row],[Distribution Date]]&gt;"2014-04-01",1,2.5)</f>
        <v>0</v>
      </c>
      <c r="AI691" s="294">
        <f>IF(NFI_Expiration=1,IF($A691&lt;VLOOKUP(R$5,NFI,5,0),1,0)*Table_NFI[[#This Row],[Winter Clothes Adult]],Table_NFI[Winter Clothes Adult])</f>
        <v>0</v>
      </c>
      <c r="AJ691" s="294">
        <f>IF(NFI_Expiration=1,IF($A691&lt;VLOOKUP(S$5,NFI,5,0),1,0)*Table_NFI[[#This Row],[Winter Clothes Children]],Table_NFI[Winter Clothes Children])</f>
        <v>0</v>
      </c>
      <c r="AK691" s="294">
        <f>IF(NFI_Expiration=1,IF($A691&lt;VLOOKUP(T$5,NFI,5,0),1,0)*Table_NFI[[#This Row],[Winter Items Other]],Table_NFI[Winter Items Other])</f>
        <v>0</v>
      </c>
      <c r="AL691" s="294">
        <f>IF(NFI_Expiration=1,IF($A691&lt;VLOOKUP(M$5,NFI,5,0),1,0)*Table_NFI[[#This Row],[Winter Blanket]],Table_NFI[[#This Row],[Winter Blanket]])</f>
        <v>0</v>
      </c>
      <c r="AM691" s="294">
        <f>IF(Table_NFI[[#This Row],[Winter Clothes Adult]]+Table_NFI[[#This Row],[Winter Clothes Children]]+Table_NFI[[#This Row],[Winter Items Other]]+Table_NFI[[#This Row],[Winter Blanket]]&gt;0,1,0)</f>
        <v>0</v>
      </c>
      <c r="AN691" s="331">
        <f>IF(NFI_Expiration=1,IF($A691&lt;VLOOKUP(V$5,NFI,5,0),1,0)*Table_NFI[[#This Row],[Jerry Can]],Table_NFI[Jerry Can])</f>
        <v>0</v>
      </c>
      <c r="AO691" s="331">
        <f>IF(NFI_Expiration=1,IF($A691&lt;VLOOKUP(V$5,NFI,5,0),1,0)*Table_NFI[[#This Row],[Shelter Tool kit]],Table_NFI[Shelter Tool kit])</f>
        <v>0</v>
      </c>
      <c r="AP691" s="331">
        <f>IF(NFI_Expiration=1,IF($A691&lt;VLOOKUP(V$5,NFI,5,0),1,0)*Table_NFI[[#This Row],[Tent]],Table_NFI[Tent])</f>
        <v>0</v>
      </c>
      <c r="AQ691" s="467" t="str">
        <f>IFERROR(VLOOKUP(Table_NFI[[#This Row],[Camp Name]],CL,2,0),"")</f>
        <v>MMR001CMP032</v>
      </c>
      <c r="AR691" s="835">
        <f ca="1">IF(Table_NFI[[#This Row],[Pcode]]="","",IF(OFFSET(CampList[Opening Date],MATCH(Table_NFI[[#This Row],[Pcode]],CampList[CP_Pcode],0)-1,0,1,1)&gt;=NFI_Monitor_Date,1,0))</f>
        <v>0</v>
      </c>
      <c r="AS691" s="467" t="str">
        <f>IFERROR(VLOOKUP(Table_NFI[[#This Row],[Camp Name]],CL,3,0),"")</f>
        <v>Open</v>
      </c>
      <c r="AT691" s="294" t="str">
        <f ca="1">IF(Table_NFI[[#This Row],[Pcode]]="","",OFFSET(CampList[Priority],MATCH(Table_NFI[[#This Row],[Pcode]],CampList[CP_Pcode],0)-1,0,1,1))</f>
        <v>P4</v>
      </c>
      <c r="AU691" s="293">
        <f>IFERROR(Table_NFI[[#This Row],[Kitchen Set]]/VLOOKUP(Table_NFI[[#This Row],[Camp Name]],CL,4,0),"")</f>
        <v>2.4554941682013506E-4</v>
      </c>
      <c r="AV691" s="461" t="s">
        <v>1092</v>
      </c>
      <c r="AW691" s="463"/>
    </row>
    <row r="692" spans="1:49" ht="14.45" customHeight="1" x14ac:dyDescent="0.25">
      <c r="A692" s="297">
        <f t="shared" si="10"/>
        <v>44</v>
      </c>
      <c r="B692" s="460">
        <v>41416</v>
      </c>
      <c r="C692" s="461" t="s">
        <v>452</v>
      </c>
      <c r="D692" s="461" t="s">
        <v>452</v>
      </c>
      <c r="E692" s="461" t="s">
        <v>380</v>
      </c>
      <c r="F692" s="290" t="s">
        <v>527</v>
      </c>
      <c r="G692" s="290" t="s">
        <v>140</v>
      </c>
      <c r="H692" s="291"/>
      <c r="I692" s="291"/>
      <c r="J692" s="291">
        <v>42</v>
      </c>
      <c r="K692" s="291">
        <v>66</v>
      </c>
      <c r="L692" s="292">
        <v>28</v>
      </c>
      <c r="M692" s="292">
        <v>66</v>
      </c>
      <c r="N692" s="292">
        <v>28</v>
      </c>
      <c r="O692" s="292">
        <v>28</v>
      </c>
      <c r="P692" s="294">
        <v>28</v>
      </c>
      <c r="Q692" s="294">
        <v>28</v>
      </c>
      <c r="R692" s="294"/>
      <c r="S692" s="294"/>
      <c r="T692" s="294"/>
      <c r="U692" s="294"/>
      <c r="V692" s="431"/>
      <c r="W692" s="294"/>
      <c r="X692" s="294"/>
      <c r="Y692" s="294">
        <f>IF(NFI_Expiration=1,IF($A692&lt;VLOOKUP(H$5,NFI,5,0),1,0)*Table_NFI[[#This Row],[Hygiene Kit]],Table_NFI[Hygiene Kit])</f>
        <v>0</v>
      </c>
      <c r="Z692" s="294">
        <f>IF(NFI_Expiration=1,IF($A692&lt;VLOOKUP(I$5,NFI,5,0),1,0)*Table_NFI[[#This Row],[NFI Core Kit]],Table_NFI[NFI Core Kit])</f>
        <v>0</v>
      </c>
      <c r="AA692" s="294">
        <f>IF(NFI_Expiration=1,IF($A692&lt;VLOOKUP(J$5,NFI,5,0),1,0)*Table_NFI[[#This Row],[Sanitary Kit]],Table_NFI[Sanitary Kit])</f>
        <v>0</v>
      </c>
      <c r="AB692" s="294">
        <f>IF(NFI_Expiration=1,IF($A692&lt;VLOOKUP(K$5,NFI,5,0),1,0)*Table_NFI[[#This Row],[Mosquito net]],Table_NFI[Mosquito net])</f>
        <v>0</v>
      </c>
      <c r="AC692" s="294">
        <f>IF(NFI_Expiration=1,IF($A692&lt;VLOOKUP(L$5,NFI,5,0),1,0)*Table_NFI[[#This Row],[Tarpaulin]],Table_NFI[[#This Row],[Tarpaulin]])</f>
        <v>0</v>
      </c>
      <c r="AD692" s="294">
        <f>IF(NFI_Expiration=1,IF($A692&lt;VLOOKUP(M$5,NFI,5,0),1,0)*Table_NFI[[#This Row],[Blanket]],Table_NFI[[#This Row],[Blanket]])</f>
        <v>0</v>
      </c>
      <c r="AE692" s="294">
        <f>IF(NFI_Expiration=1,IF($A692&lt;VLOOKUP(N$5,NFI,5,0),1,0)*Table_NFI[[#This Row],[Kitchen Set]],Table_NFI[Kitchen Set])</f>
        <v>0</v>
      </c>
      <c r="AF692" s="294">
        <f>IF(NFI_Expiration=1,IF($A692&lt;VLOOKUP(O$5,NFI,5,0),1,0)*Table_NFI[[#This Row],[Clothes Kit]],Table_NFI[Clothes Kit])</f>
        <v>0</v>
      </c>
      <c r="AG692" s="294">
        <f>IF(NFI_Expiration=1,IF($A692&lt;VLOOKUP(P$5,NFI,5,0),1,0)*Table_NFI[[#This Row],[Plastic Bucket]],Table_NFI[Plastic Bucket])</f>
        <v>0</v>
      </c>
      <c r="AH692" s="294">
        <f>IF(NFI_Expiration=1,IF($A692&lt;VLOOKUP(Q$5,NFI,5,0),1,0)*Table_NFI[[#This Row],[Plastic Mat]],Table_NFI[Plastic Mat])*IF(Table_NFI[[#This Row],[Distribution Date]]&gt;"2014-04-01",1,2.5)</f>
        <v>0</v>
      </c>
      <c r="AI692" s="294">
        <f>IF(NFI_Expiration=1,IF($A692&lt;VLOOKUP(R$5,NFI,5,0),1,0)*Table_NFI[[#This Row],[Winter Clothes Adult]],Table_NFI[Winter Clothes Adult])</f>
        <v>0</v>
      </c>
      <c r="AJ692" s="294">
        <f>IF(NFI_Expiration=1,IF($A692&lt;VLOOKUP(S$5,NFI,5,0),1,0)*Table_NFI[[#This Row],[Winter Clothes Children]],Table_NFI[Winter Clothes Children])</f>
        <v>0</v>
      </c>
      <c r="AK692" s="294">
        <f>IF(NFI_Expiration=1,IF($A692&lt;VLOOKUP(T$5,NFI,5,0),1,0)*Table_NFI[[#This Row],[Winter Items Other]],Table_NFI[Winter Items Other])</f>
        <v>0</v>
      </c>
      <c r="AL692" s="294">
        <f>IF(NFI_Expiration=1,IF($A692&lt;VLOOKUP(M$5,NFI,5,0),1,0)*Table_NFI[[#This Row],[Winter Blanket]],Table_NFI[[#This Row],[Winter Blanket]])</f>
        <v>0</v>
      </c>
      <c r="AM692" s="294">
        <f>IF(Table_NFI[[#This Row],[Winter Clothes Adult]]+Table_NFI[[#This Row],[Winter Clothes Children]]+Table_NFI[[#This Row],[Winter Items Other]]+Table_NFI[[#This Row],[Winter Blanket]]&gt;0,1,0)</f>
        <v>0</v>
      </c>
      <c r="AN692" s="331">
        <f>IF(NFI_Expiration=1,IF($A692&lt;VLOOKUP(V$5,NFI,5,0),1,0)*Table_NFI[[#This Row],[Jerry Can]],Table_NFI[Jerry Can])</f>
        <v>0</v>
      </c>
      <c r="AO692" s="331">
        <f>IF(NFI_Expiration=1,IF($A692&lt;VLOOKUP(V$5,NFI,5,0),1,0)*Table_NFI[[#This Row],[Shelter Tool kit]],Table_NFI[Shelter Tool kit])</f>
        <v>0</v>
      </c>
      <c r="AP692" s="331">
        <f>IF(NFI_Expiration=1,IF($A692&lt;VLOOKUP(V$5,NFI,5,0),1,0)*Table_NFI[[#This Row],[Tent]],Table_NFI[Tent])</f>
        <v>0</v>
      </c>
      <c r="AQ692" s="467" t="str">
        <f>IFERROR(VLOOKUP(Table_NFI[[#This Row],[Camp Name]],CL,2,0),"")</f>
        <v>MMR001CMP105</v>
      </c>
      <c r="AR692" s="835">
        <f ca="1">IF(Table_NFI[[#This Row],[Pcode]]="","",IF(OFFSET(CampList[Opening Date],MATCH(Table_NFI[[#This Row],[Pcode]],CampList[CP_Pcode],0)-1,0,1,1)&gt;=NFI_Monitor_Date,1,0))</f>
        <v>0</v>
      </c>
      <c r="AS692" s="467" t="str">
        <f>IFERROR(VLOOKUP(Table_NFI[[#This Row],[Camp Name]],CL,3,0),"")</f>
        <v>Open</v>
      </c>
      <c r="AT692" s="294" t="str">
        <f ca="1">IF(Table_NFI[[#This Row],[Pcode]]="","",OFFSET(CampList[Priority],MATCH(Table_NFI[[#This Row],[Pcode]],CampList[CP_Pcode],0)-1,0,1,1))</f>
        <v>P4</v>
      </c>
      <c r="AU692" s="293">
        <f>IFERROR(Table_NFI[[#This Row],[Kitchen Set]]/VLOOKUP(Table_NFI[[#This Row],[Camp Name]],CL,4,0),"")</f>
        <v>6.8090073440007777E-4</v>
      </c>
      <c r="AV692" s="461" t="s">
        <v>1092</v>
      </c>
      <c r="AW692" s="463"/>
    </row>
    <row r="693" spans="1:49" ht="14.45" customHeight="1" x14ac:dyDescent="0.25">
      <c r="A693" s="297">
        <f t="shared" si="10"/>
        <v>44.2</v>
      </c>
      <c r="B693" s="460">
        <v>41410</v>
      </c>
      <c r="C693" s="461" t="s">
        <v>901</v>
      </c>
      <c r="D693" s="461" t="s">
        <v>506</v>
      </c>
      <c r="E693" s="461" t="s">
        <v>380</v>
      </c>
      <c r="F693" s="290" t="s">
        <v>527</v>
      </c>
      <c r="G693" s="290" t="s">
        <v>108</v>
      </c>
      <c r="H693" s="291">
        <v>423</v>
      </c>
      <c r="I693" s="291"/>
      <c r="J693" s="291"/>
      <c r="K693" s="291"/>
      <c r="L693" s="292"/>
      <c r="M693" s="292"/>
      <c r="N693" s="292"/>
      <c r="O693" s="292"/>
      <c r="P693" s="294"/>
      <c r="Q693" s="294"/>
      <c r="R693" s="294"/>
      <c r="S693" s="294"/>
      <c r="T693" s="294"/>
      <c r="U693" s="294"/>
      <c r="V693" s="431"/>
      <c r="W693" s="294"/>
      <c r="X693" s="294"/>
      <c r="Y693" s="294">
        <f>IF(NFI_Expiration=1,IF($A693&lt;VLOOKUP(H$5,NFI,5,0),1,0)*Table_NFI[[#This Row],[Hygiene Kit]],Table_NFI[Hygiene Kit])</f>
        <v>0</v>
      </c>
      <c r="Z693" s="294">
        <f>IF(NFI_Expiration=1,IF($A693&lt;VLOOKUP(I$5,NFI,5,0),1,0)*Table_NFI[[#This Row],[NFI Core Kit]],Table_NFI[NFI Core Kit])</f>
        <v>0</v>
      </c>
      <c r="AA693" s="294">
        <f>IF(NFI_Expiration=1,IF($A693&lt;VLOOKUP(J$5,NFI,5,0),1,0)*Table_NFI[[#This Row],[Sanitary Kit]],Table_NFI[Sanitary Kit])</f>
        <v>0</v>
      </c>
      <c r="AB693" s="294">
        <f>IF(NFI_Expiration=1,IF($A693&lt;VLOOKUP(K$5,NFI,5,0),1,0)*Table_NFI[[#This Row],[Mosquito net]],Table_NFI[Mosquito net])</f>
        <v>0</v>
      </c>
      <c r="AC693" s="294">
        <f>IF(NFI_Expiration=1,IF($A693&lt;VLOOKUP(L$5,NFI,5,0),1,0)*Table_NFI[[#This Row],[Tarpaulin]],Table_NFI[[#This Row],[Tarpaulin]])</f>
        <v>0</v>
      </c>
      <c r="AD693" s="294">
        <f>IF(NFI_Expiration=1,IF($A693&lt;VLOOKUP(M$5,NFI,5,0),1,0)*Table_NFI[[#This Row],[Blanket]],Table_NFI[[#This Row],[Blanket]])</f>
        <v>0</v>
      </c>
      <c r="AE693" s="294">
        <f>IF(NFI_Expiration=1,IF($A693&lt;VLOOKUP(N$5,NFI,5,0),1,0)*Table_NFI[[#This Row],[Kitchen Set]],Table_NFI[Kitchen Set])</f>
        <v>0</v>
      </c>
      <c r="AF693" s="294">
        <f>IF(NFI_Expiration=1,IF($A693&lt;VLOOKUP(O$5,NFI,5,0),1,0)*Table_NFI[[#This Row],[Clothes Kit]],Table_NFI[Clothes Kit])</f>
        <v>0</v>
      </c>
      <c r="AG693" s="294">
        <f>IF(NFI_Expiration=1,IF($A693&lt;VLOOKUP(P$5,NFI,5,0),1,0)*Table_NFI[[#This Row],[Plastic Bucket]],Table_NFI[Plastic Bucket])</f>
        <v>0</v>
      </c>
      <c r="AH693" s="294">
        <f>IF(NFI_Expiration=1,IF($A693&lt;VLOOKUP(Q$5,NFI,5,0),1,0)*Table_NFI[[#This Row],[Plastic Mat]],Table_NFI[Plastic Mat])*IF(Table_NFI[[#This Row],[Distribution Date]]&gt;"2014-04-01",1,2.5)</f>
        <v>0</v>
      </c>
      <c r="AI693" s="294">
        <f>IF(NFI_Expiration=1,IF($A693&lt;VLOOKUP(R$5,NFI,5,0),1,0)*Table_NFI[[#This Row],[Winter Clothes Adult]],Table_NFI[Winter Clothes Adult])</f>
        <v>0</v>
      </c>
      <c r="AJ693" s="294">
        <f>IF(NFI_Expiration=1,IF($A693&lt;VLOOKUP(S$5,NFI,5,0),1,0)*Table_NFI[[#This Row],[Winter Clothes Children]],Table_NFI[Winter Clothes Children])</f>
        <v>0</v>
      </c>
      <c r="AK693" s="294">
        <f>IF(NFI_Expiration=1,IF($A693&lt;VLOOKUP(T$5,NFI,5,0),1,0)*Table_NFI[[#This Row],[Winter Items Other]],Table_NFI[Winter Items Other])</f>
        <v>0</v>
      </c>
      <c r="AL693" s="294">
        <f>IF(NFI_Expiration=1,IF($A693&lt;VLOOKUP(M$5,NFI,5,0),1,0)*Table_NFI[[#This Row],[Winter Blanket]],Table_NFI[[#This Row],[Winter Blanket]])</f>
        <v>0</v>
      </c>
      <c r="AM693" s="294">
        <f>IF(Table_NFI[[#This Row],[Winter Clothes Adult]]+Table_NFI[[#This Row],[Winter Clothes Children]]+Table_NFI[[#This Row],[Winter Items Other]]+Table_NFI[[#This Row],[Winter Blanket]]&gt;0,1,0)</f>
        <v>0</v>
      </c>
      <c r="AN693" s="331">
        <f>IF(NFI_Expiration=1,IF($A693&lt;VLOOKUP(V$5,NFI,5,0),1,0)*Table_NFI[[#This Row],[Jerry Can]],Table_NFI[Jerry Can])</f>
        <v>0</v>
      </c>
      <c r="AO693" s="331">
        <f>IF(NFI_Expiration=1,IF($A693&lt;VLOOKUP(V$5,NFI,5,0),1,0)*Table_NFI[[#This Row],[Shelter Tool kit]],Table_NFI[Shelter Tool kit])</f>
        <v>0</v>
      </c>
      <c r="AP693" s="331">
        <f>IF(NFI_Expiration=1,IF($A693&lt;VLOOKUP(V$5,NFI,5,0),1,0)*Table_NFI[[#This Row],[Tent]],Table_NFI[Tent])</f>
        <v>0</v>
      </c>
      <c r="AQ693" s="467" t="str">
        <f>IFERROR(VLOOKUP(Table_NFI[[#This Row],[Camp Name]],CL,2,0),"")</f>
        <v>MMR001CMP103</v>
      </c>
      <c r="AR693" s="835">
        <f ca="1">IF(Table_NFI[[#This Row],[Pcode]]="","",IF(OFFSET(CampList[Opening Date],MATCH(Table_NFI[[#This Row],[Pcode]],CampList[CP_Pcode],0)-1,0,1,1)&gt;=NFI_Monitor_Date,1,0))</f>
        <v>0</v>
      </c>
      <c r="AS693" s="467" t="str">
        <f>IFERROR(VLOOKUP(Table_NFI[[#This Row],[Camp Name]],CL,3,0),"")</f>
        <v>Open</v>
      </c>
      <c r="AT693" s="294" t="str">
        <f ca="1">IF(Table_NFI[[#This Row],[Pcode]]="","",OFFSET(CampList[Priority],MATCH(Table_NFI[[#This Row],[Pcode]],CampList[CP_Pcode],0)-1,0,1,1))</f>
        <v>P4</v>
      </c>
      <c r="AU693" s="293">
        <f>IFERROR(Table_NFI[[#This Row],[Kitchen Set]]/VLOOKUP(Table_NFI[[#This Row],[Camp Name]],CL,4,0),"")</f>
        <v>0</v>
      </c>
      <c r="AV693" s="461" t="s">
        <v>1092</v>
      </c>
      <c r="AW693" s="463"/>
    </row>
    <row r="694" spans="1:49" ht="14.45" customHeight="1" x14ac:dyDescent="0.25">
      <c r="A694" s="297">
        <f t="shared" si="10"/>
        <v>44.2</v>
      </c>
      <c r="B694" s="460">
        <v>41410</v>
      </c>
      <c r="C694" s="461" t="s">
        <v>901</v>
      </c>
      <c r="D694" s="461" t="s">
        <v>506</v>
      </c>
      <c r="E694" s="461" t="s">
        <v>380</v>
      </c>
      <c r="F694" s="461" t="s">
        <v>527</v>
      </c>
      <c r="G694" s="290" t="s">
        <v>909</v>
      </c>
      <c r="H694" s="291">
        <v>394</v>
      </c>
      <c r="I694" s="291"/>
      <c r="J694" s="291"/>
      <c r="K694" s="291"/>
      <c r="L694" s="292"/>
      <c r="M694" s="292"/>
      <c r="N694" s="292"/>
      <c r="O694" s="292"/>
      <c r="P694" s="294"/>
      <c r="Q694" s="294"/>
      <c r="R694" s="294"/>
      <c r="S694" s="294"/>
      <c r="T694" s="294"/>
      <c r="U694" s="294"/>
      <c r="V694" s="431"/>
      <c r="W694" s="294"/>
      <c r="X694" s="294"/>
      <c r="Y694" s="294">
        <f>IF(NFI_Expiration=1,IF($A694&lt;VLOOKUP(H$5,NFI,5,0),1,0)*Table_NFI[[#This Row],[Hygiene Kit]],Table_NFI[Hygiene Kit])</f>
        <v>0</v>
      </c>
      <c r="Z694" s="294">
        <f>IF(NFI_Expiration=1,IF($A694&lt;VLOOKUP(I$5,NFI,5,0),1,0)*Table_NFI[[#This Row],[NFI Core Kit]],Table_NFI[NFI Core Kit])</f>
        <v>0</v>
      </c>
      <c r="AA694" s="294">
        <f>IF(NFI_Expiration=1,IF($A694&lt;VLOOKUP(J$5,NFI,5,0),1,0)*Table_NFI[[#This Row],[Sanitary Kit]],Table_NFI[Sanitary Kit])</f>
        <v>0</v>
      </c>
      <c r="AB694" s="294">
        <f>IF(NFI_Expiration=1,IF($A694&lt;VLOOKUP(K$5,NFI,5,0),1,0)*Table_NFI[[#This Row],[Mosquito net]],Table_NFI[Mosquito net])</f>
        <v>0</v>
      </c>
      <c r="AC694" s="294">
        <f>IF(NFI_Expiration=1,IF($A694&lt;VLOOKUP(L$5,NFI,5,0),1,0)*Table_NFI[[#This Row],[Tarpaulin]],Table_NFI[[#This Row],[Tarpaulin]])</f>
        <v>0</v>
      </c>
      <c r="AD694" s="294">
        <f>IF(NFI_Expiration=1,IF($A694&lt;VLOOKUP(M$5,NFI,5,0),1,0)*Table_NFI[[#This Row],[Blanket]],Table_NFI[[#This Row],[Blanket]])</f>
        <v>0</v>
      </c>
      <c r="AE694" s="294">
        <f>IF(NFI_Expiration=1,IF($A694&lt;VLOOKUP(N$5,NFI,5,0),1,0)*Table_NFI[[#This Row],[Kitchen Set]],Table_NFI[Kitchen Set])</f>
        <v>0</v>
      </c>
      <c r="AF694" s="294">
        <f>IF(NFI_Expiration=1,IF($A694&lt;VLOOKUP(O$5,NFI,5,0),1,0)*Table_NFI[[#This Row],[Clothes Kit]],Table_NFI[Clothes Kit])</f>
        <v>0</v>
      </c>
      <c r="AG694" s="294">
        <f>IF(NFI_Expiration=1,IF($A694&lt;VLOOKUP(P$5,NFI,5,0),1,0)*Table_NFI[[#This Row],[Plastic Bucket]],Table_NFI[Plastic Bucket])</f>
        <v>0</v>
      </c>
      <c r="AH694" s="294">
        <f>IF(NFI_Expiration=1,IF($A694&lt;VLOOKUP(Q$5,NFI,5,0),1,0)*Table_NFI[[#This Row],[Plastic Mat]],Table_NFI[Plastic Mat])*IF(Table_NFI[[#This Row],[Distribution Date]]&gt;"2014-04-01",1,2.5)</f>
        <v>0</v>
      </c>
      <c r="AI694" s="294">
        <f>IF(NFI_Expiration=1,IF($A694&lt;VLOOKUP(R$5,NFI,5,0),1,0)*Table_NFI[[#This Row],[Winter Clothes Adult]],Table_NFI[Winter Clothes Adult])</f>
        <v>0</v>
      </c>
      <c r="AJ694" s="294">
        <f>IF(NFI_Expiration=1,IF($A694&lt;VLOOKUP(S$5,NFI,5,0),1,0)*Table_NFI[[#This Row],[Winter Clothes Children]],Table_NFI[Winter Clothes Children])</f>
        <v>0</v>
      </c>
      <c r="AK694" s="294">
        <f>IF(NFI_Expiration=1,IF($A694&lt;VLOOKUP(T$5,NFI,5,0),1,0)*Table_NFI[[#This Row],[Winter Items Other]],Table_NFI[Winter Items Other])</f>
        <v>0</v>
      </c>
      <c r="AL694" s="294">
        <f>IF(NFI_Expiration=1,IF($A694&lt;VLOOKUP(M$5,NFI,5,0),1,0)*Table_NFI[[#This Row],[Winter Blanket]],Table_NFI[[#This Row],[Winter Blanket]])</f>
        <v>0</v>
      </c>
      <c r="AM694" s="294">
        <f>IF(Table_NFI[[#This Row],[Winter Clothes Adult]]+Table_NFI[[#This Row],[Winter Clothes Children]]+Table_NFI[[#This Row],[Winter Items Other]]+Table_NFI[[#This Row],[Winter Blanket]]&gt;0,1,0)</f>
        <v>0</v>
      </c>
      <c r="AN694" s="331">
        <f>IF(NFI_Expiration=1,IF($A694&lt;VLOOKUP(V$5,NFI,5,0),1,0)*Table_NFI[[#This Row],[Jerry Can]],Table_NFI[Jerry Can])</f>
        <v>0</v>
      </c>
      <c r="AO694" s="331">
        <f>IF(NFI_Expiration=1,IF($A694&lt;VLOOKUP(V$5,NFI,5,0),1,0)*Table_NFI[[#This Row],[Shelter Tool kit]],Table_NFI[Shelter Tool kit])</f>
        <v>0</v>
      </c>
      <c r="AP694" s="331">
        <f>IF(NFI_Expiration=1,IF($A694&lt;VLOOKUP(V$5,NFI,5,0),1,0)*Table_NFI[[#This Row],[Tent]],Table_NFI[Tent])</f>
        <v>0</v>
      </c>
      <c r="AQ694" s="467" t="str">
        <f>IFERROR(VLOOKUP(Table_NFI[[#This Row],[Camp Name]],CL,2,0),"")</f>
        <v/>
      </c>
      <c r="AR694" s="835" t="str">
        <f ca="1">IF(Table_NFI[[#This Row],[Pcode]]="","",IF(OFFSET(CampList[Opening Date],MATCH(Table_NFI[[#This Row],[Pcode]],CampList[CP_Pcode],0)-1,0,1,1)&gt;=NFI_Monitor_Date,1,0))</f>
        <v/>
      </c>
      <c r="AS694" s="467" t="str">
        <f>IFERROR(VLOOKUP(Table_NFI[[#This Row],[Camp Name]],CL,3,0),"")</f>
        <v/>
      </c>
      <c r="AT694" s="294" t="str">
        <f ca="1">IF(Table_NFI[[#This Row],[Pcode]]="","",OFFSET(CampList[Priority],MATCH(Table_NFI[[#This Row],[Pcode]],CampList[CP_Pcode],0)-1,0,1,1))</f>
        <v/>
      </c>
      <c r="AU694" s="293" t="str">
        <f>IFERROR(Table_NFI[[#This Row],[Kitchen Set]]/VLOOKUP(Table_NFI[[#This Row],[Camp Name]],CL,4,0),"")</f>
        <v/>
      </c>
      <c r="AV694" s="461" t="s">
        <v>1092</v>
      </c>
      <c r="AW694" s="463"/>
    </row>
    <row r="695" spans="1:49" ht="14.45" customHeight="1" x14ac:dyDescent="0.25">
      <c r="A695" s="297">
        <f t="shared" si="10"/>
        <v>44.2</v>
      </c>
      <c r="B695" s="460">
        <v>41410</v>
      </c>
      <c r="C695" s="461" t="s">
        <v>901</v>
      </c>
      <c r="D695" s="462" t="s">
        <v>506</v>
      </c>
      <c r="E695" s="461" t="s">
        <v>380</v>
      </c>
      <c r="F695" s="290" t="s">
        <v>527</v>
      </c>
      <c r="G695" s="290" t="s">
        <v>64</v>
      </c>
      <c r="H695" s="291">
        <v>103</v>
      </c>
      <c r="I695" s="291"/>
      <c r="J695" s="291"/>
      <c r="K695" s="291"/>
      <c r="L695" s="292"/>
      <c r="M695" s="292"/>
      <c r="N695" s="292"/>
      <c r="O695" s="292"/>
      <c r="P695" s="294"/>
      <c r="Q695" s="294"/>
      <c r="R695" s="294"/>
      <c r="S695" s="294"/>
      <c r="T695" s="294"/>
      <c r="U695" s="294"/>
      <c r="V695" s="431"/>
      <c r="W695" s="294"/>
      <c r="X695" s="294"/>
      <c r="Y695" s="294">
        <f>IF(NFI_Expiration=1,IF($A695&lt;VLOOKUP(H$5,NFI,5,0),1,0)*Table_NFI[[#This Row],[Hygiene Kit]],Table_NFI[Hygiene Kit])</f>
        <v>0</v>
      </c>
      <c r="Z695" s="294">
        <f>IF(NFI_Expiration=1,IF($A695&lt;VLOOKUP(I$5,NFI,5,0),1,0)*Table_NFI[[#This Row],[NFI Core Kit]],Table_NFI[NFI Core Kit])</f>
        <v>0</v>
      </c>
      <c r="AA695" s="294">
        <f>IF(NFI_Expiration=1,IF($A695&lt;VLOOKUP(J$5,NFI,5,0),1,0)*Table_NFI[[#This Row],[Sanitary Kit]],Table_NFI[Sanitary Kit])</f>
        <v>0</v>
      </c>
      <c r="AB695" s="294">
        <f>IF(NFI_Expiration=1,IF($A695&lt;VLOOKUP(K$5,NFI,5,0),1,0)*Table_NFI[[#This Row],[Mosquito net]],Table_NFI[Mosquito net])</f>
        <v>0</v>
      </c>
      <c r="AC695" s="294">
        <f>IF(NFI_Expiration=1,IF($A695&lt;VLOOKUP(L$5,NFI,5,0),1,0)*Table_NFI[[#This Row],[Tarpaulin]],Table_NFI[[#This Row],[Tarpaulin]])</f>
        <v>0</v>
      </c>
      <c r="AD695" s="294">
        <f>IF(NFI_Expiration=1,IF($A695&lt;VLOOKUP(M$5,NFI,5,0),1,0)*Table_NFI[[#This Row],[Blanket]],Table_NFI[[#This Row],[Blanket]])</f>
        <v>0</v>
      </c>
      <c r="AE695" s="294">
        <f>IF(NFI_Expiration=1,IF($A695&lt;VLOOKUP(N$5,NFI,5,0),1,0)*Table_NFI[[#This Row],[Kitchen Set]],Table_NFI[Kitchen Set])</f>
        <v>0</v>
      </c>
      <c r="AF695" s="294">
        <f>IF(NFI_Expiration=1,IF($A695&lt;VLOOKUP(O$5,NFI,5,0),1,0)*Table_NFI[[#This Row],[Clothes Kit]],Table_NFI[Clothes Kit])</f>
        <v>0</v>
      </c>
      <c r="AG695" s="294">
        <f>IF(NFI_Expiration=1,IF($A695&lt;VLOOKUP(P$5,NFI,5,0),1,0)*Table_NFI[[#This Row],[Plastic Bucket]],Table_NFI[Plastic Bucket])</f>
        <v>0</v>
      </c>
      <c r="AH695" s="294">
        <f>IF(NFI_Expiration=1,IF($A695&lt;VLOOKUP(Q$5,NFI,5,0),1,0)*Table_NFI[[#This Row],[Plastic Mat]],Table_NFI[Plastic Mat])*IF(Table_NFI[[#This Row],[Distribution Date]]&gt;"2014-04-01",1,2.5)</f>
        <v>0</v>
      </c>
      <c r="AI695" s="294">
        <f>IF(NFI_Expiration=1,IF($A695&lt;VLOOKUP(R$5,NFI,5,0),1,0)*Table_NFI[[#This Row],[Winter Clothes Adult]],Table_NFI[Winter Clothes Adult])</f>
        <v>0</v>
      </c>
      <c r="AJ695" s="294">
        <f>IF(NFI_Expiration=1,IF($A695&lt;VLOOKUP(S$5,NFI,5,0),1,0)*Table_NFI[[#This Row],[Winter Clothes Children]],Table_NFI[Winter Clothes Children])</f>
        <v>0</v>
      </c>
      <c r="AK695" s="294">
        <f>IF(NFI_Expiration=1,IF($A695&lt;VLOOKUP(T$5,NFI,5,0),1,0)*Table_NFI[[#This Row],[Winter Items Other]],Table_NFI[Winter Items Other])</f>
        <v>0</v>
      </c>
      <c r="AL695" s="294">
        <f>IF(NFI_Expiration=1,IF($A695&lt;VLOOKUP(M$5,NFI,5,0),1,0)*Table_NFI[[#This Row],[Winter Blanket]],Table_NFI[[#This Row],[Winter Blanket]])</f>
        <v>0</v>
      </c>
      <c r="AM695" s="294">
        <f>IF(Table_NFI[[#This Row],[Winter Clothes Adult]]+Table_NFI[[#This Row],[Winter Clothes Children]]+Table_NFI[[#This Row],[Winter Items Other]]+Table_NFI[[#This Row],[Winter Blanket]]&gt;0,1,0)</f>
        <v>0</v>
      </c>
      <c r="AN695" s="331">
        <f>IF(NFI_Expiration=1,IF($A695&lt;VLOOKUP(V$5,NFI,5,0),1,0)*Table_NFI[[#This Row],[Jerry Can]],Table_NFI[Jerry Can])</f>
        <v>0</v>
      </c>
      <c r="AO695" s="331">
        <f>IF(NFI_Expiration=1,IF($A695&lt;VLOOKUP(V$5,NFI,5,0),1,0)*Table_NFI[[#This Row],[Shelter Tool kit]],Table_NFI[Shelter Tool kit])</f>
        <v>0</v>
      </c>
      <c r="AP695" s="331">
        <f>IF(NFI_Expiration=1,IF($A695&lt;VLOOKUP(V$5,NFI,5,0),1,0)*Table_NFI[[#This Row],[Tent]],Table_NFI[Tent])</f>
        <v>0</v>
      </c>
      <c r="AQ695" s="467" t="str">
        <f>IFERROR(VLOOKUP(Table_NFI[[#This Row],[Camp Name]],CL,2,0),"")</f>
        <v>MMR001CMP185</v>
      </c>
      <c r="AR695" s="835">
        <f ca="1">IF(Table_NFI[[#This Row],[Pcode]]="","",IF(OFFSET(CampList[Opening Date],MATCH(Table_NFI[[#This Row],[Pcode]],CampList[CP_Pcode],0)-1,0,1,1)&gt;=NFI_Monitor_Date,1,0))</f>
        <v>0</v>
      </c>
      <c r="AS695" s="467" t="str">
        <f>IFERROR(VLOOKUP(Table_NFI[[#This Row],[Camp Name]],CL,3,0),"")</f>
        <v>Closed</v>
      </c>
      <c r="AT695" s="294" t="str">
        <f ca="1">IF(Table_NFI[[#This Row],[Pcode]]="","",OFFSET(CampList[Priority],MATCH(Table_NFI[[#This Row],[Pcode]],CampList[CP_Pcode],0)-1,0,1,1))</f>
        <v/>
      </c>
      <c r="AU695" s="293">
        <f>IFERROR(Table_NFI[[#This Row],[Kitchen Set]]/VLOOKUP(Table_NFI[[#This Row],[Camp Name]],CL,4,0),"")</f>
        <v>0</v>
      </c>
      <c r="AV695" s="461" t="s">
        <v>1092</v>
      </c>
      <c r="AW695" s="463"/>
    </row>
    <row r="696" spans="1:49" ht="14.45" customHeight="1" x14ac:dyDescent="0.25">
      <c r="A696" s="297">
        <f t="shared" si="10"/>
        <v>44.266666666666666</v>
      </c>
      <c r="B696" s="460">
        <v>41408</v>
      </c>
      <c r="C696" s="461" t="s">
        <v>901</v>
      </c>
      <c r="D696" s="461" t="s">
        <v>506</v>
      </c>
      <c r="E696" s="461" t="s">
        <v>380</v>
      </c>
      <c r="F696" s="461" t="s">
        <v>310</v>
      </c>
      <c r="G696" s="290" t="s">
        <v>334</v>
      </c>
      <c r="H696" s="291">
        <v>604</v>
      </c>
      <c r="I696" s="291"/>
      <c r="J696" s="291"/>
      <c r="K696" s="291"/>
      <c r="L696" s="292"/>
      <c r="M696" s="292"/>
      <c r="N696" s="292"/>
      <c r="O696" s="292"/>
      <c r="P696" s="294"/>
      <c r="Q696" s="294"/>
      <c r="R696" s="294"/>
      <c r="S696" s="294"/>
      <c r="T696" s="294"/>
      <c r="U696" s="294"/>
      <c r="V696" s="431"/>
      <c r="W696" s="294"/>
      <c r="X696" s="294"/>
      <c r="Y696" s="294">
        <f>IF(NFI_Expiration=1,IF($A696&lt;VLOOKUP(H$5,NFI,5,0),1,0)*Table_NFI[[#This Row],[Hygiene Kit]],Table_NFI[Hygiene Kit])</f>
        <v>0</v>
      </c>
      <c r="Z696" s="294">
        <f>IF(NFI_Expiration=1,IF($A696&lt;VLOOKUP(I$5,NFI,5,0),1,0)*Table_NFI[[#This Row],[NFI Core Kit]],Table_NFI[NFI Core Kit])</f>
        <v>0</v>
      </c>
      <c r="AA696" s="294">
        <f>IF(NFI_Expiration=1,IF($A696&lt;VLOOKUP(J$5,NFI,5,0),1,0)*Table_NFI[[#This Row],[Sanitary Kit]],Table_NFI[Sanitary Kit])</f>
        <v>0</v>
      </c>
      <c r="AB696" s="294">
        <f>IF(NFI_Expiration=1,IF($A696&lt;VLOOKUP(K$5,NFI,5,0),1,0)*Table_NFI[[#This Row],[Mosquito net]],Table_NFI[Mosquito net])</f>
        <v>0</v>
      </c>
      <c r="AC696" s="294">
        <f>IF(NFI_Expiration=1,IF($A696&lt;VLOOKUP(L$5,NFI,5,0),1,0)*Table_NFI[[#This Row],[Tarpaulin]],Table_NFI[[#This Row],[Tarpaulin]])</f>
        <v>0</v>
      </c>
      <c r="AD696" s="294">
        <f>IF(NFI_Expiration=1,IF($A696&lt;VLOOKUP(M$5,NFI,5,0),1,0)*Table_NFI[[#This Row],[Blanket]],Table_NFI[[#This Row],[Blanket]])</f>
        <v>0</v>
      </c>
      <c r="AE696" s="294">
        <f>IF(NFI_Expiration=1,IF($A696&lt;VLOOKUP(N$5,NFI,5,0),1,0)*Table_NFI[[#This Row],[Kitchen Set]],Table_NFI[Kitchen Set])</f>
        <v>0</v>
      </c>
      <c r="AF696" s="294">
        <f>IF(NFI_Expiration=1,IF($A696&lt;VLOOKUP(O$5,NFI,5,0),1,0)*Table_NFI[[#This Row],[Clothes Kit]],Table_NFI[Clothes Kit])</f>
        <v>0</v>
      </c>
      <c r="AG696" s="294">
        <f>IF(NFI_Expiration=1,IF($A696&lt;VLOOKUP(P$5,NFI,5,0),1,0)*Table_NFI[[#This Row],[Plastic Bucket]],Table_NFI[Plastic Bucket])</f>
        <v>0</v>
      </c>
      <c r="AH696" s="294">
        <f>IF(NFI_Expiration=1,IF($A696&lt;VLOOKUP(Q$5,NFI,5,0),1,0)*Table_NFI[[#This Row],[Plastic Mat]],Table_NFI[Plastic Mat])*IF(Table_NFI[[#This Row],[Distribution Date]]&gt;"2014-04-01",1,2.5)</f>
        <v>0</v>
      </c>
      <c r="AI696" s="294">
        <f>IF(NFI_Expiration=1,IF($A696&lt;VLOOKUP(R$5,NFI,5,0),1,0)*Table_NFI[[#This Row],[Winter Clothes Adult]],Table_NFI[Winter Clothes Adult])</f>
        <v>0</v>
      </c>
      <c r="AJ696" s="294">
        <f>IF(NFI_Expiration=1,IF($A696&lt;VLOOKUP(S$5,NFI,5,0),1,0)*Table_NFI[[#This Row],[Winter Clothes Children]],Table_NFI[Winter Clothes Children])</f>
        <v>0</v>
      </c>
      <c r="AK696" s="294">
        <f>IF(NFI_Expiration=1,IF($A696&lt;VLOOKUP(T$5,NFI,5,0),1,0)*Table_NFI[[#This Row],[Winter Items Other]],Table_NFI[Winter Items Other])</f>
        <v>0</v>
      </c>
      <c r="AL696" s="294">
        <f>IF(NFI_Expiration=1,IF($A696&lt;VLOOKUP(M$5,NFI,5,0),1,0)*Table_NFI[[#This Row],[Winter Blanket]],Table_NFI[[#This Row],[Winter Blanket]])</f>
        <v>0</v>
      </c>
      <c r="AM696" s="294">
        <f>IF(Table_NFI[[#This Row],[Winter Clothes Adult]]+Table_NFI[[#This Row],[Winter Clothes Children]]+Table_NFI[[#This Row],[Winter Items Other]]+Table_NFI[[#This Row],[Winter Blanket]]&gt;0,1,0)</f>
        <v>0</v>
      </c>
      <c r="AN696" s="331">
        <f>IF(NFI_Expiration=1,IF($A696&lt;VLOOKUP(V$5,NFI,5,0),1,0)*Table_NFI[[#This Row],[Jerry Can]],Table_NFI[Jerry Can])</f>
        <v>0</v>
      </c>
      <c r="AO696" s="331">
        <f>IF(NFI_Expiration=1,IF($A696&lt;VLOOKUP(V$5,NFI,5,0),1,0)*Table_NFI[[#This Row],[Shelter Tool kit]],Table_NFI[Shelter Tool kit])</f>
        <v>0</v>
      </c>
      <c r="AP696" s="331">
        <f>IF(NFI_Expiration=1,IF($A696&lt;VLOOKUP(V$5,NFI,5,0),1,0)*Table_NFI[[#This Row],[Tent]],Table_NFI[Tent])</f>
        <v>0</v>
      </c>
      <c r="AQ696" s="467" t="str">
        <f>IFERROR(VLOOKUP(Table_NFI[[#This Row],[Camp Name]],CL,2,0),"")</f>
        <v>MMR001CMP113</v>
      </c>
      <c r="AR696" s="835">
        <f ca="1">IF(Table_NFI[[#This Row],[Pcode]]="","",IF(OFFSET(CampList[Opening Date],MATCH(Table_NFI[[#This Row],[Pcode]],CampList[CP_Pcode],0)-1,0,1,1)&gt;=NFI_Monitor_Date,1,0))</f>
        <v>0</v>
      </c>
      <c r="AS696" s="467" t="str">
        <f>IFERROR(VLOOKUP(Table_NFI[[#This Row],[Camp Name]],CL,3,0),"")</f>
        <v>Open</v>
      </c>
      <c r="AT696" s="294" t="str">
        <f ca="1">IF(Table_NFI[[#This Row],[Pcode]]="","",OFFSET(CampList[Priority],MATCH(Table_NFI[[#This Row],[Pcode]],CampList[CP_Pcode],0)-1,0,1,1))</f>
        <v>P1</v>
      </c>
      <c r="AU696" s="293">
        <f>IFERROR(Table_NFI[[#This Row],[Kitchen Set]]/VLOOKUP(Table_NFI[[#This Row],[Camp Name]],CL,4,0),"")</f>
        <v>0</v>
      </c>
      <c r="AV696" s="461" t="s">
        <v>1092</v>
      </c>
      <c r="AW696" s="463"/>
    </row>
    <row r="697" spans="1:49" ht="14.45" customHeight="1" x14ac:dyDescent="0.25">
      <c r="A697" s="297">
        <f t="shared" si="10"/>
        <v>44.366666666666667</v>
      </c>
      <c r="B697" s="460">
        <v>41405</v>
      </c>
      <c r="C697" s="461" t="s">
        <v>901</v>
      </c>
      <c r="D697" s="462" t="s">
        <v>506</v>
      </c>
      <c r="E697" s="461" t="s">
        <v>380</v>
      </c>
      <c r="F697" s="290" t="s">
        <v>310</v>
      </c>
      <c r="G697" s="290" t="s">
        <v>355</v>
      </c>
      <c r="H697" s="291">
        <v>490</v>
      </c>
      <c r="I697" s="291"/>
      <c r="J697" s="291"/>
      <c r="K697" s="291"/>
      <c r="L697" s="292"/>
      <c r="M697" s="292"/>
      <c r="N697" s="292"/>
      <c r="O697" s="292"/>
      <c r="P697" s="294"/>
      <c r="Q697" s="294"/>
      <c r="R697" s="294"/>
      <c r="S697" s="294"/>
      <c r="T697" s="294"/>
      <c r="U697" s="294"/>
      <c r="V697" s="431"/>
      <c r="W697" s="294"/>
      <c r="X697" s="294"/>
      <c r="Y697" s="294">
        <f>IF(NFI_Expiration=1,IF($A697&lt;VLOOKUP(H$5,NFI,5,0),1,0)*Table_NFI[[#This Row],[Hygiene Kit]],Table_NFI[Hygiene Kit])</f>
        <v>0</v>
      </c>
      <c r="Z697" s="294">
        <f>IF(NFI_Expiration=1,IF($A697&lt;VLOOKUP(I$5,NFI,5,0),1,0)*Table_NFI[[#This Row],[NFI Core Kit]],Table_NFI[NFI Core Kit])</f>
        <v>0</v>
      </c>
      <c r="AA697" s="294">
        <f>IF(NFI_Expiration=1,IF($A697&lt;VLOOKUP(J$5,NFI,5,0),1,0)*Table_NFI[[#This Row],[Sanitary Kit]],Table_NFI[Sanitary Kit])</f>
        <v>0</v>
      </c>
      <c r="AB697" s="294">
        <f>IF(NFI_Expiration=1,IF($A697&lt;VLOOKUP(K$5,NFI,5,0),1,0)*Table_NFI[[#This Row],[Mosquito net]],Table_NFI[Mosquito net])</f>
        <v>0</v>
      </c>
      <c r="AC697" s="294">
        <f>IF(NFI_Expiration=1,IF($A697&lt;VLOOKUP(L$5,NFI,5,0),1,0)*Table_NFI[[#This Row],[Tarpaulin]],Table_NFI[[#This Row],[Tarpaulin]])</f>
        <v>0</v>
      </c>
      <c r="AD697" s="294">
        <f>IF(NFI_Expiration=1,IF($A697&lt;VLOOKUP(M$5,NFI,5,0),1,0)*Table_NFI[[#This Row],[Blanket]],Table_NFI[[#This Row],[Blanket]])</f>
        <v>0</v>
      </c>
      <c r="AE697" s="294">
        <f>IF(NFI_Expiration=1,IF($A697&lt;VLOOKUP(N$5,NFI,5,0),1,0)*Table_NFI[[#This Row],[Kitchen Set]],Table_NFI[Kitchen Set])</f>
        <v>0</v>
      </c>
      <c r="AF697" s="294">
        <f>IF(NFI_Expiration=1,IF($A697&lt;VLOOKUP(O$5,NFI,5,0),1,0)*Table_NFI[[#This Row],[Clothes Kit]],Table_NFI[Clothes Kit])</f>
        <v>0</v>
      </c>
      <c r="AG697" s="294">
        <f>IF(NFI_Expiration=1,IF($A697&lt;VLOOKUP(P$5,NFI,5,0),1,0)*Table_NFI[[#This Row],[Plastic Bucket]],Table_NFI[Plastic Bucket])</f>
        <v>0</v>
      </c>
      <c r="AH697" s="294">
        <f>IF(NFI_Expiration=1,IF($A697&lt;VLOOKUP(Q$5,NFI,5,0),1,0)*Table_NFI[[#This Row],[Plastic Mat]],Table_NFI[Plastic Mat])*IF(Table_NFI[[#This Row],[Distribution Date]]&gt;"2014-04-01",1,2.5)</f>
        <v>0</v>
      </c>
      <c r="AI697" s="294">
        <f>IF(NFI_Expiration=1,IF($A697&lt;VLOOKUP(R$5,NFI,5,0),1,0)*Table_NFI[[#This Row],[Winter Clothes Adult]],Table_NFI[Winter Clothes Adult])</f>
        <v>0</v>
      </c>
      <c r="AJ697" s="294">
        <f>IF(NFI_Expiration=1,IF($A697&lt;VLOOKUP(S$5,NFI,5,0),1,0)*Table_NFI[[#This Row],[Winter Clothes Children]],Table_NFI[Winter Clothes Children])</f>
        <v>0</v>
      </c>
      <c r="AK697" s="294">
        <f>IF(NFI_Expiration=1,IF($A697&lt;VLOOKUP(T$5,NFI,5,0),1,0)*Table_NFI[[#This Row],[Winter Items Other]],Table_NFI[Winter Items Other])</f>
        <v>0</v>
      </c>
      <c r="AL697" s="294">
        <f>IF(NFI_Expiration=1,IF($A697&lt;VLOOKUP(M$5,NFI,5,0),1,0)*Table_NFI[[#This Row],[Winter Blanket]],Table_NFI[[#This Row],[Winter Blanket]])</f>
        <v>0</v>
      </c>
      <c r="AM697" s="294">
        <f>IF(Table_NFI[[#This Row],[Winter Clothes Adult]]+Table_NFI[[#This Row],[Winter Clothes Children]]+Table_NFI[[#This Row],[Winter Items Other]]+Table_NFI[[#This Row],[Winter Blanket]]&gt;0,1,0)</f>
        <v>0</v>
      </c>
      <c r="AN697" s="331">
        <f>IF(NFI_Expiration=1,IF($A697&lt;VLOOKUP(V$5,NFI,5,0),1,0)*Table_NFI[[#This Row],[Jerry Can]],Table_NFI[Jerry Can])</f>
        <v>0</v>
      </c>
      <c r="AO697" s="331">
        <f>IF(NFI_Expiration=1,IF($A697&lt;VLOOKUP(V$5,NFI,5,0),1,0)*Table_NFI[[#This Row],[Shelter Tool kit]],Table_NFI[Shelter Tool kit])</f>
        <v>0</v>
      </c>
      <c r="AP697" s="331">
        <f>IF(NFI_Expiration=1,IF($A697&lt;VLOOKUP(V$5,NFI,5,0),1,0)*Table_NFI[[#This Row],[Tent]],Table_NFI[Tent])</f>
        <v>0</v>
      </c>
      <c r="AQ697" s="467" t="str">
        <f>IFERROR(VLOOKUP(Table_NFI[[#This Row],[Camp Name]],CL,2,0),"")</f>
        <v>MMR001CMP160</v>
      </c>
      <c r="AR697" s="835">
        <f ca="1">IF(Table_NFI[[#This Row],[Pcode]]="","",IF(OFFSET(CampList[Opening Date],MATCH(Table_NFI[[#This Row],[Pcode]],CampList[CP_Pcode],0)-1,0,1,1)&gt;=NFI_Monitor_Date,1,0))</f>
        <v>0</v>
      </c>
      <c r="AS697" s="467" t="str">
        <f>IFERROR(VLOOKUP(Table_NFI[[#This Row],[Camp Name]],CL,3,0),"")</f>
        <v>Open</v>
      </c>
      <c r="AT697" s="294" t="str">
        <f ca="1">IF(Table_NFI[[#This Row],[Pcode]]="","",OFFSET(CampList[Priority],MATCH(Table_NFI[[#This Row],[Pcode]],CampList[CP_Pcode],0)-1,0,1,1))</f>
        <v>P1</v>
      </c>
      <c r="AU697" s="293">
        <f>IFERROR(Table_NFI[[#This Row],[Kitchen Set]]/VLOOKUP(Table_NFI[[#This Row],[Camp Name]],CL,4,0),"")</f>
        <v>0</v>
      </c>
      <c r="AV697" s="461" t="s">
        <v>1092</v>
      </c>
      <c r="AW697" s="463"/>
    </row>
    <row r="698" spans="1:49" ht="14.45" customHeight="1" x14ac:dyDescent="0.25">
      <c r="A698" s="297">
        <f t="shared" si="10"/>
        <v>44.43333333333333</v>
      </c>
      <c r="B698" s="460">
        <v>41403</v>
      </c>
      <c r="C698" s="461" t="s">
        <v>901</v>
      </c>
      <c r="D698" s="462" t="s">
        <v>506</v>
      </c>
      <c r="E698" s="461" t="s">
        <v>380</v>
      </c>
      <c r="F698" s="290" t="s">
        <v>237</v>
      </c>
      <c r="G698" s="290" t="s">
        <v>255</v>
      </c>
      <c r="H698" s="291">
        <v>460</v>
      </c>
      <c r="I698" s="291"/>
      <c r="J698" s="291"/>
      <c r="K698" s="291"/>
      <c r="L698" s="292"/>
      <c r="M698" s="292"/>
      <c r="N698" s="292"/>
      <c r="O698" s="292"/>
      <c r="P698" s="294"/>
      <c r="Q698" s="294"/>
      <c r="R698" s="294"/>
      <c r="S698" s="294"/>
      <c r="T698" s="294"/>
      <c r="U698" s="294"/>
      <c r="V698" s="431"/>
      <c r="W698" s="294"/>
      <c r="X698" s="294"/>
      <c r="Y698" s="294">
        <f>IF(NFI_Expiration=1,IF($A698&lt;VLOOKUP(H$5,NFI,5,0),1,0)*Table_NFI[[#This Row],[Hygiene Kit]],Table_NFI[Hygiene Kit])</f>
        <v>0</v>
      </c>
      <c r="Z698" s="294">
        <f>IF(NFI_Expiration=1,IF($A698&lt;VLOOKUP(I$5,NFI,5,0),1,0)*Table_NFI[[#This Row],[NFI Core Kit]],Table_NFI[NFI Core Kit])</f>
        <v>0</v>
      </c>
      <c r="AA698" s="294">
        <f>IF(NFI_Expiration=1,IF($A698&lt;VLOOKUP(J$5,NFI,5,0),1,0)*Table_NFI[[#This Row],[Sanitary Kit]],Table_NFI[Sanitary Kit])</f>
        <v>0</v>
      </c>
      <c r="AB698" s="294">
        <f>IF(NFI_Expiration=1,IF($A698&lt;VLOOKUP(K$5,NFI,5,0),1,0)*Table_NFI[[#This Row],[Mosquito net]],Table_NFI[Mosquito net])</f>
        <v>0</v>
      </c>
      <c r="AC698" s="294">
        <f>IF(NFI_Expiration=1,IF($A698&lt;VLOOKUP(L$5,NFI,5,0),1,0)*Table_NFI[[#This Row],[Tarpaulin]],Table_NFI[[#This Row],[Tarpaulin]])</f>
        <v>0</v>
      </c>
      <c r="AD698" s="294">
        <f>IF(NFI_Expiration=1,IF($A698&lt;VLOOKUP(M$5,NFI,5,0),1,0)*Table_NFI[[#This Row],[Blanket]],Table_NFI[[#This Row],[Blanket]])</f>
        <v>0</v>
      </c>
      <c r="AE698" s="294">
        <f>IF(NFI_Expiration=1,IF($A698&lt;VLOOKUP(N$5,NFI,5,0),1,0)*Table_NFI[[#This Row],[Kitchen Set]],Table_NFI[Kitchen Set])</f>
        <v>0</v>
      </c>
      <c r="AF698" s="294">
        <f>IF(NFI_Expiration=1,IF($A698&lt;VLOOKUP(O$5,NFI,5,0),1,0)*Table_NFI[[#This Row],[Clothes Kit]],Table_NFI[Clothes Kit])</f>
        <v>0</v>
      </c>
      <c r="AG698" s="294">
        <f>IF(NFI_Expiration=1,IF($A698&lt;VLOOKUP(P$5,NFI,5,0),1,0)*Table_NFI[[#This Row],[Plastic Bucket]],Table_NFI[Plastic Bucket])</f>
        <v>0</v>
      </c>
      <c r="AH698" s="294">
        <f>IF(NFI_Expiration=1,IF($A698&lt;VLOOKUP(Q$5,NFI,5,0),1,0)*Table_NFI[[#This Row],[Plastic Mat]],Table_NFI[Plastic Mat])*IF(Table_NFI[[#This Row],[Distribution Date]]&gt;"2014-04-01",1,2.5)</f>
        <v>0</v>
      </c>
      <c r="AI698" s="294">
        <f>IF(NFI_Expiration=1,IF($A698&lt;VLOOKUP(R$5,NFI,5,0),1,0)*Table_NFI[[#This Row],[Winter Clothes Adult]],Table_NFI[Winter Clothes Adult])</f>
        <v>0</v>
      </c>
      <c r="AJ698" s="294">
        <f>IF(NFI_Expiration=1,IF($A698&lt;VLOOKUP(S$5,NFI,5,0),1,0)*Table_NFI[[#This Row],[Winter Clothes Children]],Table_NFI[Winter Clothes Children])</f>
        <v>0</v>
      </c>
      <c r="AK698" s="294">
        <f>IF(NFI_Expiration=1,IF($A698&lt;VLOOKUP(T$5,NFI,5,0),1,0)*Table_NFI[[#This Row],[Winter Items Other]],Table_NFI[Winter Items Other])</f>
        <v>0</v>
      </c>
      <c r="AL698" s="294">
        <f>IF(NFI_Expiration=1,IF($A698&lt;VLOOKUP(M$5,NFI,5,0),1,0)*Table_NFI[[#This Row],[Winter Blanket]],Table_NFI[[#This Row],[Winter Blanket]])</f>
        <v>0</v>
      </c>
      <c r="AM698" s="294">
        <f>IF(Table_NFI[[#This Row],[Winter Clothes Adult]]+Table_NFI[[#This Row],[Winter Clothes Children]]+Table_NFI[[#This Row],[Winter Items Other]]+Table_NFI[[#This Row],[Winter Blanket]]&gt;0,1,0)</f>
        <v>0</v>
      </c>
      <c r="AN698" s="331">
        <f>IF(NFI_Expiration=1,IF($A698&lt;VLOOKUP(V$5,NFI,5,0),1,0)*Table_NFI[[#This Row],[Jerry Can]],Table_NFI[Jerry Can])</f>
        <v>0</v>
      </c>
      <c r="AO698" s="331">
        <f>IF(NFI_Expiration=1,IF($A698&lt;VLOOKUP(V$5,NFI,5,0),1,0)*Table_NFI[[#This Row],[Shelter Tool kit]],Table_NFI[Shelter Tool kit])</f>
        <v>0</v>
      </c>
      <c r="AP698" s="331">
        <f>IF(NFI_Expiration=1,IF($A698&lt;VLOOKUP(V$5,NFI,5,0),1,0)*Table_NFI[[#This Row],[Tent]],Table_NFI[Tent])</f>
        <v>0</v>
      </c>
      <c r="AQ698" s="467" t="str">
        <f>IFERROR(VLOOKUP(Table_NFI[[#This Row],[Camp Name]],CL,2,0),"")</f>
        <v>MMR001CMP019</v>
      </c>
      <c r="AR698" s="835">
        <f ca="1">IF(Table_NFI[[#This Row],[Pcode]]="","",IF(OFFSET(CampList[Opening Date],MATCH(Table_NFI[[#This Row],[Pcode]],CampList[CP_Pcode],0)-1,0,1,1)&gt;=NFI_Monitor_Date,1,0))</f>
        <v>0</v>
      </c>
      <c r="AS698" s="467" t="str">
        <f>IFERROR(VLOOKUP(Table_NFI[[#This Row],[Camp Name]],CL,3,0),"")</f>
        <v>Open</v>
      </c>
      <c r="AT698" s="294" t="str">
        <f ca="1">IF(Table_NFI[[#This Row],[Pcode]]="","",OFFSET(CampList[Priority],MATCH(Table_NFI[[#This Row],[Pcode]],CampList[CP_Pcode],0)-1,0,1,1))</f>
        <v>P4</v>
      </c>
      <c r="AU698" s="293">
        <f>IFERROR(Table_NFI[[#This Row],[Kitchen Set]]/VLOOKUP(Table_NFI[[#This Row],[Camp Name]],CL,4,0),"")</f>
        <v>0</v>
      </c>
      <c r="AV698" s="461" t="s">
        <v>1092</v>
      </c>
      <c r="AW698" s="463"/>
    </row>
    <row r="699" spans="1:49" ht="14.45" customHeight="1" x14ac:dyDescent="0.25">
      <c r="A699" s="297">
        <f t="shared" si="10"/>
        <v>44.43333333333333</v>
      </c>
      <c r="B699" s="460">
        <v>41403</v>
      </c>
      <c r="C699" s="461" t="s">
        <v>901</v>
      </c>
      <c r="D699" s="461" t="s">
        <v>506</v>
      </c>
      <c r="E699" s="461" t="s">
        <v>380</v>
      </c>
      <c r="F699" s="290" t="s">
        <v>237</v>
      </c>
      <c r="G699" s="290" t="s">
        <v>271</v>
      </c>
      <c r="H699" s="291">
        <v>324</v>
      </c>
      <c r="I699" s="291"/>
      <c r="J699" s="291"/>
      <c r="K699" s="291"/>
      <c r="L699" s="292"/>
      <c r="M699" s="292"/>
      <c r="N699" s="292"/>
      <c r="O699" s="292"/>
      <c r="P699" s="294"/>
      <c r="Q699" s="294"/>
      <c r="R699" s="294"/>
      <c r="S699" s="294"/>
      <c r="T699" s="294"/>
      <c r="U699" s="294"/>
      <c r="V699" s="431"/>
      <c r="W699" s="331"/>
      <c r="X699" s="331"/>
      <c r="Y699" s="294">
        <f>IF(NFI_Expiration=1,IF($A699&lt;VLOOKUP(H$5,NFI,5,0),1,0)*Table_NFI[[#This Row],[Hygiene Kit]],Table_NFI[Hygiene Kit])</f>
        <v>0</v>
      </c>
      <c r="Z699" s="294">
        <f>IF(NFI_Expiration=1,IF($A699&lt;VLOOKUP(I$5,NFI,5,0),1,0)*Table_NFI[[#This Row],[NFI Core Kit]],Table_NFI[NFI Core Kit])</f>
        <v>0</v>
      </c>
      <c r="AA699" s="294">
        <f>IF(NFI_Expiration=1,IF($A699&lt;VLOOKUP(J$5,NFI,5,0),1,0)*Table_NFI[[#This Row],[Sanitary Kit]],Table_NFI[Sanitary Kit])</f>
        <v>0</v>
      </c>
      <c r="AB699" s="294">
        <f>IF(NFI_Expiration=1,IF($A699&lt;VLOOKUP(K$5,NFI,5,0),1,0)*Table_NFI[[#This Row],[Mosquito net]],Table_NFI[Mosquito net])</f>
        <v>0</v>
      </c>
      <c r="AC699" s="294">
        <f>IF(NFI_Expiration=1,IF($A699&lt;VLOOKUP(L$5,NFI,5,0),1,0)*Table_NFI[[#This Row],[Tarpaulin]],Table_NFI[[#This Row],[Tarpaulin]])</f>
        <v>0</v>
      </c>
      <c r="AD699" s="294">
        <f>IF(NFI_Expiration=1,IF($A699&lt;VLOOKUP(M$5,NFI,5,0),1,0)*Table_NFI[[#This Row],[Blanket]],Table_NFI[[#This Row],[Blanket]])</f>
        <v>0</v>
      </c>
      <c r="AE699" s="294">
        <f>IF(NFI_Expiration=1,IF($A699&lt;VLOOKUP(N$5,NFI,5,0),1,0)*Table_NFI[[#This Row],[Kitchen Set]],Table_NFI[Kitchen Set])</f>
        <v>0</v>
      </c>
      <c r="AF699" s="294">
        <f>IF(NFI_Expiration=1,IF($A699&lt;VLOOKUP(O$5,NFI,5,0),1,0)*Table_NFI[[#This Row],[Clothes Kit]],Table_NFI[Clothes Kit])</f>
        <v>0</v>
      </c>
      <c r="AG699" s="294">
        <f>IF(NFI_Expiration=1,IF($A699&lt;VLOOKUP(P$5,NFI,5,0),1,0)*Table_NFI[[#This Row],[Plastic Bucket]],Table_NFI[Plastic Bucket])</f>
        <v>0</v>
      </c>
      <c r="AH699" s="294">
        <f>IF(NFI_Expiration=1,IF($A699&lt;VLOOKUP(Q$5,NFI,5,0),1,0)*Table_NFI[[#This Row],[Plastic Mat]],Table_NFI[Plastic Mat])*IF(Table_NFI[[#This Row],[Distribution Date]]&gt;"2014-04-01",1,2.5)</f>
        <v>0</v>
      </c>
      <c r="AI699" s="294">
        <f>IF(NFI_Expiration=1,IF($A699&lt;VLOOKUP(R$5,NFI,5,0),1,0)*Table_NFI[[#This Row],[Winter Clothes Adult]],Table_NFI[Winter Clothes Adult])</f>
        <v>0</v>
      </c>
      <c r="AJ699" s="294">
        <f>IF(NFI_Expiration=1,IF($A699&lt;VLOOKUP(S$5,NFI,5,0),1,0)*Table_NFI[[#This Row],[Winter Clothes Children]],Table_NFI[Winter Clothes Children])</f>
        <v>0</v>
      </c>
      <c r="AK699" s="294">
        <f>IF(NFI_Expiration=1,IF($A699&lt;VLOOKUP(T$5,NFI,5,0),1,0)*Table_NFI[[#This Row],[Winter Items Other]],Table_NFI[Winter Items Other])</f>
        <v>0</v>
      </c>
      <c r="AL699" s="294">
        <f>IF(NFI_Expiration=1,IF($A699&lt;VLOOKUP(M$5,NFI,5,0),1,0)*Table_NFI[[#This Row],[Winter Blanket]],Table_NFI[[#This Row],[Winter Blanket]])</f>
        <v>0</v>
      </c>
      <c r="AM699" s="294">
        <f>IF(Table_NFI[[#This Row],[Winter Clothes Adult]]+Table_NFI[[#This Row],[Winter Clothes Children]]+Table_NFI[[#This Row],[Winter Items Other]]+Table_NFI[[#This Row],[Winter Blanket]]&gt;0,1,0)</f>
        <v>0</v>
      </c>
      <c r="AN699" s="331">
        <f>IF(NFI_Expiration=1,IF($A699&lt;VLOOKUP(V$5,NFI,5,0),1,0)*Table_NFI[[#This Row],[Jerry Can]],Table_NFI[Jerry Can])</f>
        <v>0</v>
      </c>
      <c r="AO699" s="331">
        <f>IF(NFI_Expiration=1,IF($A699&lt;VLOOKUP(V$5,NFI,5,0),1,0)*Table_NFI[[#This Row],[Shelter Tool kit]],Table_NFI[Shelter Tool kit])</f>
        <v>0</v>
      </c>
      <c r="AP699" s="331">
        <f>IF(NFI_Expiration=1,IF($A699&lt;VLOOKUP(V$5,NFI,5,0),1,0)*Table_NFI[[#This Row],[Tent]],Table_NFI[Tent])</f>
        <v>0</v>
      </c>
      <c r="AQ699" s="467" t="str">
        <f>IFERROR(VLOOKUP(Table_NFI[[#This Row],[Camp Name]],CL,2,0),"")</f>
        <v>MMR001CMP024</v>
      </c>
      <c r="AR699" s="835">
        <f ca="1">IF(Table_NFI[[#This Row],[Pcode]]="","",IF(OFFSET(CampList[Opening Date],MATCH(Table_NFI[[#This Row],[Pcode]],CampList[CP_Pcode],0)-1,0,1,1)&gt;=NFI_Monitor_Date,1,0))</f>
        <v>0</v>
      </c>
      <c r="AS699" s="467" t="str">
        <f>IFERROR(VLOOKUP(Table_NFI[[#This Row],[Camp Name]],CL,3,0),"")</f>
        <v>Open</v>
      </c>
      <c r="AT699" s="294" t="str">
        <f ca="1">IF(Table_NFI[[#This Row],[Pcode]]="","",OFFSET(CampList[Priority],MATCH(Table_NFI[[#This Row],[Pcode]],CampList[CP_Pcode],0)-1,0,1,1))</f>
        <v>P4</v>
      </c>
      <c r="AU699" s="293">
        <f>IFERROR(Table_NFI[[#This Row],[Kitchen Set]]/VLOOKUP(Table_NFI[[#This Row],[Camp Name]],CL,4,0),"")</f>
        <v>0</v>
      </c>
      <c r="AV699" s="461" t="s">
        <v>1092</v>
      </c>
      <c r="AW699" s="463"/>
    </row>
    <row r="700" spans="1:49" ht="14.45" customHeight="1" x14ac:dyDescent="0.25">
      <c r="A700" s="297">
        <f t="shared" si="10"/>
        <v>44.466666666666669</v>
      </c>
      <c r="B700" s="460">
        <v>41402</v>
      </c>
      <c r="C700" s="461" t="s">
        <v>901</v>
      </c>
      <c r="D700" s="462" t="s">
        <v>506</v>
      </c>
      <c r="E700" s="461" t="s">
        <v>380</v>
      </c>
      <c r="F700" s="290" t="s">
        <v>310</v>
      </c>
      <c r="G700" s="290" t="s">
        <v>330</v>
      </c>
      <c r="H700" s="291">
        <v>1062</v>
      </c>
      <c r="I700" s="291"/>
      <c r="J700" s="291"/>
      <c r="K700" s="291"/>
      <c r="L700" s="292"/>
      <c r="M700" s="292"/>
      <c r="N700" s="292"/>
      <c r="O700" s="292"/>
      <c r="P700" s="294"/>
      <c r="Q700" s="294"/>
      <c r="R700" s="294"/>
      <c r="S700" s="294"/>
      <c r="T700" s="294"/>
      <c r="U700" s="294"/>
      <c r="V700" s="431"/>
      <c r="W700" s="294"/>
      <c r="X700" s="294"/>
      <c r="Y700" s="294">
        <f>IF(NFI_Expiration=1,IF($A700&lt;VLOOKUP(H$5,NFI,5,0),1,0)*Table_NFI[[#This Row],[Hygiene Kit]],Table_NFI[Hygiene Kit])</f>
        <v>0</v>
      </c>
      <c r="Z700" s="294">
        <f>IF(NFI_Expiration=1,IF($A700&lt;VLOOKUP(I$5,NFI,5,0),1,0)*Table_NFI[[#This Row],[NFI Core Kit]],Table_NFI[NFI Core Kit])</f>
        <v>0</v>
      </c>
      <c r="AA700" s="294">
        <f>IF(NFI_Expiration=1,IF($A700&lt;VLOOKUP(J$5,NFI,5,0),1,0)*Table_NFI[[#This Row],[Sanitary Kit]],Table_NFI[Sanitary Kit])</f>
        <v>0</v>
      </c>
      <c r="AB700" s="294">
        <f>IF(NFI_Expiration=1,IF($A700&lt;VLOOKUP(K$5,NFI,5,0),1,0)*Table_NFI[[#This Row],[Mosquito net]],Table_NFI[Mosquito net])</f>
        <v>0</v>
      </c>
      <c r="AC700" s="294">
        <f>IF(NFI_Expiration=1,IF($A700&lt;VLOOKUP(L$5,NFI,5,0),1,0)*Table_NFI[[#This Row],[Tarpaulin]],Table_NFI[[#This Row],[Tarpaulin]])</f>
        <v>0</v>
      </c>
      <c r="AD700" s="294">
        <f>IF(NFI_Expiration=1,IF($A700&lt;VLOOKUP(M$5,NFI,5,0),1,0)*Table_NFI[[#This Row],[Blanket]],Table_NFI[[#This Row],[Blanket]])</f>
        <v>0</v>
      </c>
      <c r="AE700" s="294">
        <f>IF(NFI_Expiration=1,IF($A700&lt;VLOOKUP(N$5,NFI,5,0),1,0)*Table_NFI[[#This Row],[Kitchen Set]],Table_NFI[Kitchen Set])</f>
        <v>0</v>
      </c>
      <c r="AF700" s="294">
        <f>IF(NFI_Expiration=1,IF($A700&lt;VLOOKUP(O$5,NFI,5,0),1,0)*Table_NFI[[#This Row],[Clothes Kit]],Table_NFI[Clothes Kit])</f>
        <v>0</v>
      </c>
      <c r="AG700" s="294">
        <f>IF(NFI_Expiration=1,IF($A700&lt;VLOOKUP(P$5,NFI,5,0),1,0)*Table_NFI[[#This Row],[Plastic Bucket]],Table_NFI[Plastic Bucket])</f>
        <v>0</v>
      </c>
      <c r="AH700" s="294">
        <f>IF(NFI_Expiration=1,IF($A700&lt;VLOOKUP(Q$5,NFI,5,0),1,0)*Table_NFI[[#This Row],[Plastic Mat]],Table_NFI[Plastic Mat])*IF(Table_NFI[[#This Row],[Distribution Date]]&gt;"2014-04-01",1,2.5)</f>
        <v>0</v>
      </c>
      <c r="AI700" s="294">
        <f>IF(NFI_Expiration=1,IF($A700&lt;VLOOKUP(R$5,NFI,5,0),1,0)*Table_NFI[[#This Row],[Winter Clothes Adult]],Table_NFI[Winter Clothes Adult])</f>
        <v>0</v>
      </c>
      <c r="AJ700" s="294">
        <f>IF(NFI_Expiration=1,IF($A700&lt;VLOOKUP(S$5,NFI,5,0),1,0)*Table_NFI[[#This Row],[Winter Clothes Children]],Table_NFI[Winter Clothes Children])</f>
        <v>0</v>
      </c>
      <c r="AK700" s="294">
        <f>IF(NFI_Expiration=1,IF($A700&lt;VLOOKUP(T$5,NFI,5,0),1,0)*Table_NFI[[#This Row],[Winter Items Other]],Table_NFI[Winter Items Other])</f>
        <v>0</v>
      </c>
      <c r="AL700" s="294">
        <f>IF(NFI_Expiration=1,IF($A700&lt;VLOOKUP(M$5,NFI,5,0),1,0)*Table_NFI[[#This Row],[Winter Blanket]],Table_NFI[[#This Row],[Winter Blanket]])</f>
        <v>0</v>
      </c>
      <c r="AM700" s="294">
        <f>IF(Table_NFI[[#This Row],[Winter Clothes Adult]]+Table_NFI[[#This Row],[Winter Clothes Children]]+Table_NFI[[#This Row],[Winter Items Other]]+Table_NFI[[#This Row],[Winter Blanket]]&gt;0,1,0)</f>
        <v>0</v>
      </c>
      <c r="AN700" s="331">
        <f>IF(NFI_Expiration=1,IF($A700&lt;VLOOKUP(V$5,NFI,5,0),1,0)*Table_NFI[[#This Row],[Jerry Can]],Table_NFI[Jerry Can])</f>
        <v>0</v>
      </c>
      <c r="AO700" s="331">
        <f>IF(NFI_Expiration=1,IF($A700&lt;VLOOKUP(V$5,NFI,5,0),1,0)*Table_NFI[[#This Row],[Shelter Tool kit]],Table_NFI[Shelter Tool kit])</f>
        <v>0</v>
      </c>
      <c r="AP700" s="331">
        <f>IF(NFI_Expiration=1,IF($A700&lt;VLOOKUP(V$5,NFI,5,0),1,0)*Table_NFI[[#This Row],[Tent]],Table_NFI[Tent])</f>
        <v>0</v>
      </c>
      <c r="AQ700" s="467" t="str">
        <f>IFERROR(VLOOKUP(Table_NFI[[#This Row],[Camp Name]],CL,2,0),"")</f>
        <v>MMR001CMP029</v>
      </c>
      <c r="AR700" s="835">
        <f ca="1">IF(Table_NFI[[#This Row],[Pcode]]="","",IF(OFFSET(CampList[Opening Date],MATCH(Table_NFI[[#This Row],[Pcode]],CampList[CP_Pcode],0)-1,0,1,1)&gt;=NFI_Monitor_Date,1,0))</f>
        <v>0</v>
      </c>
      <c r="AS700" s="467" t="str">
        <f>IFERROR(VLOOKUP(Table_NFI[[#This Row],[Camp Name]],CL,3,0),"")</f>
        <v>Open</v>
      </c>
      <c r="AT700" s="294" t="str">
        <f ca="1">IF(Table_NFI[[#This Row],[Pcode]]="","",OFFSET(CampList[Priority],MATCH(Table_NFI[[#This Row],[Pcode]],CampList[CP_Pcode],0)-1,0,1,1))</f>
        <v>P4</v>
      </c>
      <c r="AU700" s="293">
        <f>IFERROR(Table_NFI[[#This Row],[Kitchen Set]]/VLOOKUP(Table_NFI[[#This Row],[Camp Name]],CL,4,0),"")</f>
        <v>0</v>
      </c>
      <c r="AV700" s="461" t="s">
        <v>1092</v>
      </c>
      <c r="AW700" s="463"/>
    </row>
    <row r="701" spans="1:49" x14ac:dyDescent="0.25">
      <c r="A701" s="297">
        <f t="shared" si="10"/>
        <v>44.5</v>
      </c>
      <c r="B701" s="460">
        <v>41401</v>
      </c>
      <c r="C701" s="461" t="s">
        <v>901</v>
      </c>
      <c r="D701" s="462" t="s">
        <v>506</v>
      </c>
      <c r="E701" s="461" t="s">
        <v>380</v>
      </c>
      <c r="F701" s="290" t="s">
        <v>237</v>
      </c>
      <c r="G701" s="290" t="s">
        <v>273</v>
      </c>
      <c r="H701" s="291">
        <v>149</v>
      </c>
      <c r="I701" s="291"/>
      <c r="J701" s="291"/>
      <c r="K701" s="291"/>
      <c r="L701" s="292"/>
      <c r="M701" s="292"/>
      <c r="N701" s="292"/>
      <c r="O701" s="292"/>
      <c r="P701" s="294"/>
      <c r="Q701" s="294"/>
      <c r="R701" s="294"/>
      <c r="S701" s="294"/>
      <c r="T701" s="294"/>
      <c r="U701" s="294"/>
      <c r="V701" s="431"/>
      <c r="W701" s="331"/>
      <c r="X701" s="331"/>
      <c r="Y701" s="294">
        <f>IF(NFI_Expiration=1,IF($A701&lt;VLOOKUP(H$5,NFI,5,0),1,0)*Table_NFI[[#This Row],[Hygiene Kit]],Table_NFI[Hygiene Kit])</f>
        <v>0</v>
      </c>
      <c r="Z701" s="294">
        <f>IF(NFI_Expiration=1,IF($A701&lt;VLOOKUP(I$5,NFI,5,0),1,0)*Table_NFI[[#This Row],[NFI Core Kit]],Table_NFI[NFI Core Kit])</f>
        <v>0</v>
      </c>
      <c r="AA701" s="294">
        <f>IF(NFI_Expiration=1,IF($A701&lt;VLOOKUP(J$5,NFI,5,0),1,0)*Table_NFI[[#This Row],[Sanitary Kit]],Table_NFI[Sanitary Kit])</f>
        <v>0</v>
      </c>
      <c r="AB701" s="294">
        <f>IF(NFI_Expiration=1,IF($A701&lt;VLOOKUP(K$5,NFI,5,0),1,0)*Table_NFI[[#This Row],[Mosquito net]],Table_NFI[Mosquito net])</f>
        <v>0</v>
      </c>
      <c r="AC701" s="294">
        <f>IF(NFI_Expiration=1,IF($A701&lt;VLOOKUP(L$5,NFI,5,0),1,0)*Table_NFI[[#This Row],[Tarpaulin]],Table_NFI[[#This Row],[Tarpaulin]])</f>
        <v>0</v>
      </c>
      <c r="AD701" s="294">
        <f>IF(NFI_Expiration=1,IF($A701&lt;VLOOKUP(M$5,NFI,5,0),1,0)*Table_NFI[[#This Row],[Blanket]],Table_NFI[[#This Row],[Blanket]])</f>
        <v>0</v>
      </c>
      <c r="AE701" s="294">
        <f>IF(NFI_Expiration=1,IF($A701&lt;VLOOKUP(N$5,NFI,5,0),1,0)*Table_NFI[[#This Row],[Kitchen Set]],Table_NFI[Kitchen Set])</f>
        <v>0</v>
      </c>
      <c r="AF701" s="294">
        <f>IF(NFI_Expiration=1,IF($A701&lt;VLOOKUP(O$5,NFI,5,0),1,0)*Table_NFI[[#This Row],[Clothes Kit]],Table_NFI[Clothes Kit])</f>
        <v>0</v>
      </c>
      <c r="AG701" s="294">
        <f>IF(NFI_Expiration=1,IF($A701&lt;VLOOKUP(P$5,NFI,5,0),1,0)*Table_NFI[[#This Row],[Plastic Bucket]],Table_NFI[Plastic Bucket])</f>
        <v>0</v>
      </c>
      <c r="AH701" s="294">
        <f>IF(NFI_Expiration=1,IF($A701&lt;VLOOKUP(Q$5,NFI,5,0),1,0)*Table_NFI[[#This Row],[Plastic Mat]],Table_NFI[Plastic Mat])*IF(Table_NFI[[#This Row],[Distribution Date]]&gt;"2014-04-01",1,2.5)</f>
        <v>0</v>
      </c>
      <c r="AI701" s="294">
        <f>IF(NFI_Expiration=1,IF($A701&lt;VLOOKUP(R$5,NFI,5,0),1,0)*Table_NFI[[#This Row],[Winter Clothes Adult]],Table_NFI[Winter Clothes Adult])</f>
        <v>0</v>
      </c>
      <c r="AJ701" s="294">
        <f>IF(NFI_Expiration=1,IF($A701&lt;VLOOKUP(S$5,NFI,5,0),1,0)*Table_NFI[[#This Row],[Winter Clothes Children]],Table_NFI[Winter Clothes Children])</f>
        <v>0</v>
      </c>
      <c r="AK701" s="294">
        <f>IF(NFI_Expiration=1,IF($A701&lt;VLOOKUP(T$5,NFI,5,0),1,0)*Table_NFI[[#This Row],[Winter Items Other]],Table_NFI[Winter Items Other])</f>
        <v>0</v>
      </c>
      <c r="AL701" s="294">
        <f>IF(NFI_Expiration=1,IF($A701&lt;VLOOKUP(M$5,NFI,5,0),1,0)*Table_NFI[[#This Row],[Winter Blanket]],Table_NFI[[#This Row],[Winter Blanket]])</f>
        <v>0</v>
      </c>
      <c r="AM701" s="294">
        <f>IF(Table_NFI[[#This Row],[Winter Clothes Adult]]+Table_NFI[[#This Row],[Winter Clothes Children]]+Table_NFI[[#This Row],[Winter Items Other]]+Table_NFI[[#This Row],[Winter Blanket]]&gt;0,1,0)</f>
        <v>0</v>
      </c>
      <c r="AN701" s="331">
        <f>IF(NFI_Expiration=1,IF($A701&lt;VLOOKUP(V$5,NFI,5,0),1,0)*Table_NFI[[#This Row],[Jerry Can]],Table_NFI[Jerry Can])</f>
        <v>0</v>
      </c>
      <c r="AO701" s="331">
        <f>IF(NFI_Expiration=1,IF($A701&lt;VLOOKUP(V$5,NFI,5,0),1,0)*Table_NFI[[#This Row],[Shelter Tool kit]],Table_NFI[Shelter Tool kit])</f>
        <v>0</v>
      </c>
      <c r="AP701" s="331">
        <f>IF(NFI_Expiration=1,IF($A701&lt;VLOOKUP(V$5,NFI,5,0),1,0)*Table_NFI[[#This Row],[Tent]],Table_NFI[Tent])</f>
        <v>0</v>
      </c>
      <c r="AQ701" s="467" t="str">
        <f>IFERROR(VLOOKUP(Table_NFI[[#This Row],[Camp Name]],CL,2,0),"")</f>
        <v>MMR001CMP162</v>
      </c>
      <c r="AR701" s="835">
        <f ca="1">IF(Table_NFI[[#This Row],[Pcode]]="","",IF(OFFSET(CampList[Opening Date],MATCH(Table_NFI[[#This Row],[Pcode]],CampList[CP_Pcode],0)-1,0,1,1)&gt;=NFI_Monitor_Date,1,0))</f>
        <v>0</v>
      </c>
      <c r="AS701" s="467" t="str">
        <f>IFERROR(VLOOKUP(Table_NFI[[#This Row],[Camp Name]],CL,3,0),"")</f>
        <v>Open</v>
      </c>
      <c r="AT701" s="294" t="str">
        <f ca="1">IF(Table_NFI[[#This Row],[Pcode]]="","",OFFSET(CampList[Priority],MATCH(Table_NFI[[#This Row],[Pcode]],CampList[CP_Pcode],0)-1,0,1,1))</f>
        <v>P4</v>
      </c>
      <c r="AU701" s="293">
        <f>IFERROR(Table_NFI[[#This Row],[Kitchen Set]]/VLOOKUP(Table_NFI[[#This Row],[Camp Name]],CL,4,0),"")</f>
        <v>0</v>
      </c>
      <c r="AV701" s="461" t="s">
        <v>1092</v>
      </c>
      <c r="AW701" s="463"/>
    </row>
    <row r="702" spans="1:49" x14ac:dyDescent="0.25">
      <c r="A702" s="297">
        <f t="shared" si="10"/>
        <v>45.633333333333333</v>
      </c>
      <c r="B702" s="460">
        <v>41367</v>
      </c>
      <c r="C702" s="461" t="s">
        <v>452</v>
      </c>
      <c r="D702" s="461" t="s">
        <v>452</v>
      </c>
      <c r="E702" s="461" t="s">
        <v>380</v>
      </c>
      <c r="F702" s="290" t="s">
        <v>310</v>
      </c>
      <c r="G702" s="290" t="s">
        <v>328</v>
      </c>
      <c r="H702" s="291"/>
      <c r="I702" s="291"/>
      <c r="J702" s="291">
        <v>15</v>
      </c>
      <c r="K702" s="291">
        <v>22</v>
      </c>
      <c r="L702" s="292">
        <v>11</v>
      </c>
      <c r="M702" s="292">
        <v>22</v>
      </c>
      <c r="N702" s="292">
        <v>11</v>
      </c>
      <c r="O702" s="292">
        <v>11</v>
      </c>
      <c r="P702" s="294">
        <v>11</v>
      </c>
      <c r="Q702" s="294">
        <v>11</v>
      </c>
      <c r="R702" s="294"/>
      <c r="S702" s="294"/>
      <c r="T702" s="294"/>
      <c r="U702" s="294"/>
      <c r="V702" s="431"/>
      <c r="W702" s="331"/>
      <c r="X702" s="331"/>
      <c r="Y702" s="294">
        <f>IF(NFI_Expiration=1,IF($A702&lt;VLOOKUP(H$5,NFI,5,0),1,0)*Table_NFI[[#This Row],[Hygiene Kit]],Table_NFI[Hygiene Kit])</f>
        <v>0</v>
      </c>
      <c r="Z702" s="294">
        <f>IF(NFI_Expiration=1,IF($A702&lt;VLOOKUP(I$5,NFI,5,0),1,0)*Table_NFI[[#This Row],[NFI Core Kit]],Table_NFI[NFI Core Kit])</f>
        <v>0</v>
      </c>
      <c r="AA702" s="294">
        <f>IF(NFI_Expiration=1,IF($A702&lt;VLOOKUP(J$5,NFI,5,0),1,0)*Table_NFI[[#This Row],[Sanitary Kit]],Table_NFI[Sanitary Kit])</f>
        <v>0</v>
      </c>
      <c r="AB702" s="294">
        <f>IF(NFI_Expiration=1,IF($A702&lt;VLOOKUP(K$5,NFI,5,0),1,0)*Table_NFI[[#This Row],[Mosquito net]],Table_NFI[Mosquito net])</f>
        <v>0</v>
      </c>
      <c r="AC702" s="294">
        <f>IF(NFI_Expiration=1,IF($A702&lt;VLOOKUP(L$5,NFI,5,0),1,0)*Table_NFI[[#This Row],[Tarpaulin]],Table_NFI[[#This Row],[Tarpaulin]])</f>
        <v>0</v>
      </c>
      <c r="AD702" s="294">
        <f>IF(NFI_Expiration=1,IF($A702&lt;VLOOKUP(M$5,NFI,5,0),1,0)*Table_NFI[[#This Row],[Blanket]],Table_NFI[[#This Row],[Blanket]])</f>
        <v>0</v>
      </c>
      <c r="AE702" s="294">
        <f>IF(NFI_Expiration=1,IF($A702&lt;VLOOKUP(N$5,NFI,5,0),1,0)*Table_NFI[[#This Row],[Kitchen Set]],Table_NFI[Kitchen Set])</f>
        <v>0</v>
      </c>
      <c r="AF702" s="294">
        <f>IF(NFI_Expiration=1,IF($A702&lt;VLOOKUP(O$5,NFI,5,0),1,0)*Table_NFI[[#This Row],[Clothes Kit]],Table_NFI[Clothes Kit])</f>
        <v>0</v>
      </c>
      <c r="AG702" s="294">
        <f>IF(NFI_Expiration=1,IF($A702&lt;VLOOKUP(P$5,NFI,5,0),1,0)*Table_NFI[[#This Row],[Plastic Bucket]],Table_NFI[Plastic Bucket])</f>
        <v>0</v>
      </c>
      <c r="AH702" s="294">
        <f>IF(NFI_Expiration=1,IF($A702&lt;VLOOKUP(Q$5,NFI,5,0),1,0)*Table_NFI[[#This Row],[Plastic Mat]],Table_NFI[Plastic Mat])*IF(Table_NFI[[#This Row],[Distribution Date]]&gt;"2014-04-01",1,2.5)</f>
        <v>0</v>
      </c>
      <c r="AI702" s="294">
        <f>IF(NFI_Expiration=1,IF($A702&lt;VLOOKUP(R$5,NFI,5,0),1,0)*Table_NFI[[#This Row],[Winter Clothes Adult]],Table_NFI[Winter Clothes Adult])</f>
        <v>0</v>
      </c>
      <c r="AJ702" s="294">
        <f>IF(NFI_Expiration=1,IF($A702&lt;VLOOKUP(S$5,NFI,5,0),1,0)*Table_NFI[[#This Row],[Winter Clothes Children]],Table_NFI[Winter Clothes Children])</f>
        <v>0</v>
      </c>
      <c r="AK702" s="294">
        <f>IF(NFI_Expiration=1,IF($A702&lt;VLOOKUP(T$5,NFI,5,0),1,0)*Table_NFI[[#This Row],[Winter Items Other]],Table_NFI[Winter Items Other])</f>
        <v>0</v>
      </c>
      <c r="AL702" s="294">
        <f>IF(NFI_Expiration=1,IF($A702&lt;VLOOKUP(M$5,NFI,5,0),1,0)*Table_NFI[[#This Row],[Winter Blanket]],Table_NFI[[#This Row],[Winter Blanket]])</f>
        <v>0</v>
      </c>
      <c r="AM702" s="294">
        <f>IF(Table_NFI[[#This Row],[Winter Clothes Adult]]+Table_NFI[[#This Row],[Winter Clothes Children]]+Table_NFI[[#This Row],[Winter Items Other]]+Table_NFI[[#This Row],[Winter Blanket]]&gt;0,1,0)</f>
        <v>0</v>
      </c>
      <c r="AN702" s="331">
        <f>IF(NFI_Expiration=1,IF($A702&lt;VLOOKUP(V$5,NFI,5,0),1,0)*Table_NFI[[#This Row],[Jerry Can]],Table_NFI[Jerry Can])</f>
        <v>0</v>
      </c>
      <c r="AO702" s="331">
        <f>IF(NFI_Expiration=1,IF($A702&lt;VLOOKUP(V$5,NFI,5,0),1,0)*Table_NFI[[#This Row],[Shelter Tool kit]],Table_NFI[Shelter Tool kit])</f>
        <v>0</v>
      </c>
      <c r="AP702" s="331">
        <f>IF(NFI_Expiration=1,IF($A702&lt;VLOOKUP(V$5,NFI,5,0),1,0)*Table_NFI[[#This Row],[Tent]],Table_NFI[Tent])</f>
        <v>0</v>
      </c>
      <c r="AQ702" s="467" t="str">
        <f>IFERROR(VLOOKUP(Table_NFI[[#This Row],[Camp Name]],CL,2,0),"")</f>
        <v>MMR001CMP031</v>
      </c>
      <c r="AR702" s="835">
        <f ca="1">IF(Table_NFI[[#This Row],[Pcode]]="","",IF(OFFSET(CampList[Opening Date],MATCH(Table_NFI[[#This Row],[Pcode]],CampList[CP_Pcode],0)-1,0,1,1)&gt;=NFI_Monitor_Date,1,0))</f>
        <v>0</v>
      </c>
      <c r="AS702" s="467" t="str">
        <f>IFERROR(VLOOKUP(Table_NFI[[#This Row],[Camp Name]],CL,3,0),"")</f>
        <v>Open</v>
      </c>
      <c r="AT702" s="294" t="str">
        <f ca="1">IF(Table_NFI[[#This Row],[Pcode]]="","",OFFSET(CampList[Priority],MATCH(Table_NFI[[#This Row],[Pcode]],CampList[CP_Pcode],0)-1,0,1,1))</f>
        <v>P4</v>
      </c>
      <c r="AU702" s="293">
        <f>IFERROR(Table_NFI[[#This Row],[Kitchen Set]]/VLOOKUP(Table_NFI[[#This Row],[Camp Name]],CL,4,0),"")</f>
        <v>2.6534156696256272E-4</v>
      </c>
      <c r="AV702" s="461" t="s">
        <v>1092</v>
      </c>
      <c r="AW702" s="463"/>
    </row>
    <row r="703" spans="1:49" x14ac:dyDescent="0.25">
      <c r="A703" s="297">
        <f t="shared" si="10"/>
        <v>45.633333333333333</v>
      </c>
      <c r="B703" s="460">
        <v>41367</v>
      </c>
      <c r="C703" s="461" t="s">
        <v>452</v>
      </c>
      <c r="D703" s="462" t="s">
        <v>452</v>
      </c>
      <c r="E703" s="461" t="s">
        <v>380</v>
      </c>
      <c r="F703" s="290" t="s">
        <v>310</v>
      </c>
      <c r="G703" s="290" t="s">
        <v>316</v>
      </c>
      <c r="H703" s="291"/>
      <c r="I703" s="291"/>
      <c r="J703" s="291">
        <v>4</v>
      </c>
      <c r="K703" s="291">
        <v>7</v>
      </c>
      <c r="L703" s="292">
        <v>3</v>
      </c>
      <c r="M703" s="292">
        <v>7</v>
      </c>
      <c r="N703" s="292">
        <v>3</v>
      </c>
      <c r="O703" s="292">
        <v>3</v>
      </c>
      <c r="P703" s="294">
        <v>3</v>
      </c>
      <c r="Q703" s="294">
        <v>3</v>
      </c>
      <c r="R703" s="294"/>
      <c r="S703" s="294"/>
      <c r="T703" s="294"/>
      <c r="U703" s="294"/>
      <c r="V703" s="431"/>
      <c r="W703" s="331"/>
      <c r="X703" s="331"/>
      <c r="Y703" s="294">
        <f>IF(NFI_Expiration=1,IF($A703&lt;VLOOKUP(H$5,NFI,5,0),1,0)*Table_NFI[[#This Row],[Hygiene Kit]],Table_NFI[Hygiene Kit])</f>
        <v>0</v>
      </c>
      <c r="Z703" s="294">
        <f>IF(NFI_Expiration=1,IF($A703&lt;VLOOKUP(I$5,NFI,5,0),1,0)*Table_NFI[[#This Row],[NFI Core Kit]],Table_NFI[NFI Core Kit])</f>
        <v>0</v>
      </c>
      <c r="AA703" s="294">
        <f>IF(NFI_Expiration=1,IF($A703&lt;VLOOKUP(J$5,NFI,5,0),1,0)*Table_NFI[[#This Row],[Sanitary Kit]],Table_NFI[Sanitary Kit])</f>
        <v>0</v>
      </c>
      <c r="AB703" s="294">
        <f>IF(NFI_Expiration=1,IF($A703&lt;VLOOKUP(K$5,NFI,5,0),1,0)*Table_NFI[[#This Row],[Mosquito net]],Table_NFI[Mosquito net])</f>
        <v>0</v>
      </c>
      <c r="AC703" s="294">
        <f>IF(NFI_Expiration=1,IF($A703&lt;VLOOKUP(L$5,NFI,5,0),1,0)*Table_NFI[[#This Row],[Tarpaulin]],Table_NFI[[#This Row],[Tarpaulin]])</f>
        <v>0</v>
      </c>
      <c r="AD703" s="294">
        <f>IF(NFI_Expiration=1,IF($A703&lt;VLOOKUP(M$5,NFI,5,0),1,0)*Table_NFI[[#This Row],[Blanket]],Table_NFI[[#This Row],[Blanket]])</f>
        <v>0</v>
      </c>
      <c r="AE703" s="294">
        <f>IF(NFI_Expiration=1,IF($A703&lt;VLOOKUP(N$5,NFI,5,0),1,0)*Table_NFI[[#This Row],[Kitchen Set]],Table_NFI[Kitchen Set])</f>
        <v>0</v>
      </c>
      <c r="AF703" s="294">
        <f>IF(NFI_Expiration=1,IF($A703&lt;VLOOKUP(O$5,NFI,5,0),1,0)*Table_NFI[[#This Row],[Clothes Kit]],Table_NFI[Clothes Kit])</f>
        <v>0</v>
      </c>
      <c r="AG703" s="294">
        <f>IF(NFI_Expiration=1,IF($A703&lt;VLOOKUP(P$5,NFI,5,0),1,0)*Table_NFI[[#This Row],[Plastic Bucket]],Table_NFI[Plastic Bucket])</f>
        <v>0</v>
      </c>
      <c r="AH703" s="294">
        <f>IF(NFI_Expiration=1,IF($A703&lt;VLOOKUP(Q$5,NFI,5,0),1,0)*Table_NFI[[#This Row],[Plastic Mat]],Table_NFI[Plastic Mat])*IF(Table_NFI[[#This Row],[Distribution Date]]&gt;"2014-04-01",1,2.5)</f>
        <v>0</v>
      </c>
      <c r="AI703" s="294">
        <f>IF(NFI_Expiration=1,IF($A703&lt;VLOOKUP(R$5,NFI,5,0),1,0)*Table_NFI[[#This Row],[Winter Clothes Adult]],Table_NFI[Winter Clothes Adult])</f>
        <v>0</v>
      </c>
      <c r="AJ703" s="294">
        <f>IF(NFI_Expiration=1,IF($A703&lt;VLOOKUP(S$5,NFI,5,0),1,0)*Table_NFI[[#This Row],[Winter Clothes Children]],Table_NFI[Winter Clothes Children])</f>
        <v>0</v>
      </c>
      <c r="AK703" s="294">
        <f>IF(NFI_Expiration=1,IF($A703&lt;VLOOKUP(T$5,NFI,5,0),1,0)*Table_NFI[[#This Row],[Winter Items Other]],Table_NFI[Winter Items Other])</f>
        <v>0</v>
      </c>
      <c r="AL703" s="294">
        <f>IF(NFI_Expiration=1,IF($A703&lt;VLOOKUP(M$5,NFI,5,0),1,0)*Table_NFI[[#This Row],[Winter Blanket]],Table_NFI[[#This Row],[Winter Blanket]])</f>
        <v>0</v>
      </c>
      <c r="AM703" s="294">
        <f>IF(Table_NFI[[#This Row],[Winter Clothes Adult]]+Table_NFI[[#This Row],[Winter Clothes Children]]+Table_NFI[[#This Row],[Winter Items Other]]+Table_NFI[[#This Row],[Winter Blanket]]&gt;0,1,0)</f>
        <v>0</v>
      </c>
      <c r="AN703" s="331">
        <f>IF(NFI_Expiration=1,IF($A703&lt;VLOOKUP(V$5,NFI,5,0),1,0)*Table_NFI[[#This Row],[Jerry Can]],Table_NFI[Jerry Can])</f>
        <v>0</v>
      </c>
      <c r="AO703" s="331">
        <f>IF(NFI_Expiration=1,IF($A703&lt;VLOOKUP(V$5,NFI,5,0),1,0)*Table_NFI[[#This Row],[Shelter Tool kit]],Table_NFI[Shelter Tool kit])</f>
        <v>0</v>
      </c>
      <c r="AP703" s="331">
        <f>IF(NFI_Expiration=1,IF($A703&lt;VLOOKUP(V$5,NFI,5,0),1,0)*Table_NFI[[#This Row],[Tent]],Table_NFI[Tent])</f>
        <v>0</v>
      </c>
      <c r="AQ703" s="467" t="str">
        <f>IFERROR(VLOOKUP(Table_NFI[[#This Row],[Camp Name]],CL,2,0),"")</f>
        <v>MMR001CMP038</v>
      </c>
      <c r="AR703" s="835">
        <f ca="1">IF(Table_NFI[[#This Row],[Pcode]]="","",IF(OFFSET(CampList[Opening Date],MATCH(Table_NFI[[#This Row],[Pcode]],CampList[CP_Pcode],0)-1,0,1,1)&gt;=NFI_Monitor_Date,1,0))</f>
        <v>0</v>
      </c>
      <c r="AS703" s="467" t="str">
        <f>IFERROR(VLOOKUP(Table_NFI[[#This Row],[Camp Name]],CL,3,0),"")</f>
        <v>Open</v>
      </c>
      <c r="AT703" s="294" t="str">
        <f ca="1">IF(Table_NFI[[#This Row],[Pcode]]="","",OFFSET(CampList[Priority],MATCH(Table_NFI[[#This Row],[Pcode]],CampList[CP_Pcode],0)-1,0,1,1))</f>
        <v>P4</v>
      </c>
      <c r="AU703" s="293">
        <f>IFERROR(Table_NFI[[#This Row],[Kitchen Set]]/VLOOKUP(Table_NFI[[#This Row],[Camp Name]],CL,4,0),"")</f>
        <v>7.3443008225616919E-5</v>
      </c>
      <c r="AV703" s="461" t="s">
        <v>1092</v>
      </c>
      <c r="AW703" s="463"/>
    </row>
    <row r="704" spans="1:49" x14ac:dyDescent="0.25">
      <c r="A704" s="297">
        <f t="shared" si="10"/>
        <v>45.8</v>
      </c>
      <c r="B704" s="460">
        <v>41362</v>
      </c>
      <c r="C704" s="461" t="s">
        <v>900</v>
      </c>
      <c r="D704" s="461" t="s">
        <v>900</v>
      </c>
      <c r="E704" s="461" t="s">
        <v>380</v>
      </c>
      <c r="F704" s="461" t="s">
        <v>808</v>
      </c>
      <c r="G704" s="290" t="s">
        <v>808</v>
      </c>
      <c r="H704" s="291"/>
      <c r="I704" s="291"/>
      <c r="J704" s="291">
        <v>6</v>
      </c>
      <c r="K704" s="291"/>
      <c r="L704" s="292"/>
      <c r="M704" s="292"/>
      <c r="N704" s="292">
        <v>6</v>
      </c>
      <c r="O704" s="292"/>
      <c r="P704" s="294">
        <v>0</v>
      </c>
      <c r="Q704" s="294">
        <v>0</v>
      </c>
      <c r="R704" s="294"/>
      <c r="S704" s="294"/>
      <c r="T704" s="294"/>
      <c r="U704" s="294"/>
      <c r="V704" s="431"/>
      <c r="W704" s="331"/>
      <c r="X704" s="331"/>
      <c r="Y704" s="294">
        <f>IF(NFI_Expiration=1,IF($A704&lt;VLOOKUP(H$5,NFI,5,0),1,0)*Table_NFI[[#This Row],[Hygiene Kit]],Table_NFI[Hygiene Kit])</f>
        <v>0</v>
      </c>
      <c r="Z704" s="294">
        <f>IF(NFI_Expiration=1,IF($A704&lt;VLOOKUP(I$5,NFI,5,0),1,0)*Table_NFI[[#This Row],[NFI Core Kit]],Table_NFI[NFI Core Kit])</f>
        <v>0</v>
      </c>
      <c r="AA704" s="294">
        <f>IF(NFI_Expiration=1,IF($A704&lt;VLOOKUP(J$5,NFI,5,0),1,0)*Table_NFI[[#This Row],[Sanitary Kit]],Table_NFI[Sanitary Kit])</f>
        <v>0</v>
      </c>
      <c r="AB704" s="294">
        <f>IF(NFI_Expiration=1,IF($A704&lt;VLOOKUP(K$5,NFI,5,0),1,0)*Table_NFI[[#This Row],[Mosquito net]],Table_NFI[Mosquito net])</f>
        <v>0</v>
      </c>
      <c r="AC704" s="294">
        <f>IF(NFI_Expiration=1,IF($A704&lt;VLOOKUP(L$5,NFI,5,0),1,0)*Table_NFI[[#This Row],[Tarpaulin]],Table_NFI[[#This Row],[Tarpaulin]])</f>
        <v>0</v>
      </c>
      <c r="AD704" s="294">
        <f>IF(NFI_Expiration=1,IF($A704&lt;VLOOKUP(M$5,NFI,5,0),1,0)*Table_NFI[[#This Row],[Blanket]],Table_NFI[[#This Row],[Blanket]])</f>
        <v>0</v>
      </c>
      <c r="AE704" s="294">
        <f>IF(NFI_Expiration=1,IF($A704&lt;VLOOKUP(N$5,NFI,5,0),1,0)*Table_NFI[[#This Row],[Kitchen Set]],Table_NFI[Kitchen Set])</f>
        <v>0</v>
      </c>
      <c r="AF704" s="294">
        <f>IF(NFI_Expiration=1,IF($A704&lt;VLOOKUP(O$5,NFI,5,0),1,0)*Table_NFI[[#This Row],[Clothes Kit]],Table_NFI[Clothes Kit])</f>
        <v>0</v>
      </c>
      <c r="AG704" s="294">
        <f>IF(NFI_Expiration=1,IF($A704&lt;VLOOKUP(P$5,NFI,5,0),1,0)*Table_NFI[[#This Row],[Plastic Bucket]],Table_NFI[Plastic Bucket])</f>
        <v>0</v>
      </c>
      <c r="AH704" s="294">
        <f>IF(NFI_Expiration=1,IF($A704&lt;VLOOKUP(Q$5,NFI,5,0),1,0)*Table_NFI[[#This Row],[Plastic Mat]],Table_NFI[Plastic Mat])*IF(Table_NFI[[#This Row],[Distribution Date]]&gt;"2014-04-01",1,2.5)</f>
        <v>0</v>
      </c>
      <c r="AI704" s="294">
        <f>IF(NFI_Expiration=1,IF($A704&lt;VLOOKUP(R$5,NFI,5,0),1,0)*Table_NFI[[#This Row],[Winter Clothes Adult]],Table_NFI[Winter Clothes Adult])</f>
        <v>0</v>
      </c>
      <c r="AJ704" s="294">
        <f>IF(NFI_Expiration=1,IF($A704&lt;VLOOKUP(S$5,NFI,5,0),1,0)*Table_NFI[[#This Row],[Winter Clothes Children]],Table_NFI[Winter Clothes Children])</f>
        <v>0</v>
      </c>
      <c r="AK704" s="294">
        <f>IF(NFI_Expiration=1,IF($A704&lt;VLOOKUP(T$5,NFI,5,0),1,0)*Table_NFI[[#This Row],[Winter Items Other]],Table_NFI[Winter Items Other])</f>
        <v>0</v>
      </c>
      <c r="AL704" s="294">
        <f>IF(NFI_Expiration=1,IF($A704&lt;VLOOKUP(M$5,NFI,5,0),1,0)*Table_NFI[[#This Row],[Winter Blanket]],Table_NFI[[#This Row],[Winter Blanket]])</f>
        <v>0</v>
      </c>
      <c r="AM704" s="294">
        <f>IF(Table_NFI[[#This Row],[Winter Clothes Adult]]+Table_NFI[[#This Row],[Winter Clothes Children]]+Table_NFI[[#This Row],[Winter Items Other]]+Table_NFI[[#This Row],[Winter Blanket]]&gt;0,1,0)</f>
        <v>0</v>
      </c>
      <c r="AN704" s="331">
        <f>IF(NFI_Expiration=1,IF($A704&lt;VLOOKUP(V$5,NFI,5,0),1,0)*Table_NFI[[#This Row],[Jerry Can]],Table_NFI[Jerry Can])</f>
        <v>0</v>
      </c>
      <c r="AO704" s="331">
        <f>IF(NFI_Expiration=1,IF($A704&lt;VLOOKUP(V$5,NFI,5,0),1,0)*Table_NFI[[#This Row],[Shelter Tool kit]],Table_NFI[Shelter Tool kit])</f>
        <v>0</v>
      </c>
      <c r="AP704" s="331">
        <f>IF(NFI_Expiration=1,IF($A704&lt;VLOOKUP(V$5,NFI,5,0),1,0)*Table_NFI[[#This Row],[Tent]],Table_NFI[Tent])</f>
        <v>0</v>
      </c>
      <c r="AQ704" s="467" t="str">
        <f>IFERROR(VLOOKUP(Table_NFI[[#This Row],[Camp Name]],CL,2,0),"")</f>
        <v>MMR001CMP206</v>
      </c>
      <c r="AR704" s="835">
        <f ca="1">IF(Table_NFI[[#This Row],[Pcode]]="","",IF(OFFSET(CampList[Opening Date],MATCH(Table_NFI[[#This Row],[Pcode]],CampList[CP_Pcode],0)-1,0,1,1)&gt;=NFI_Monitor_Date,1,0))</f>
        <v>0</v>
      </c>
      <c r="AS704" s="467" t="str">
        <f>IFERROR(VLOOKUP(Table_NFI[[#This Row],[Camp Name]],CL,3,0),"")</f>
        <v>Open</v>
      </c>
      <c r="AT704" s="294" t="str">
        <f ca="1">IF(Table_NFI[[#This Row],[Pcode]]="","",OFFSET(CampList[Priority],MATCH(Table_NFI[[#This Row],[Pcode]],CampList[CP_Pcode],0)-1,0,1,1))</f>
        <v>P4</v>
      </c>
      <c r="AU704" s="293" t="str">
        <f>IFERROR(Table_NFI[[#This Row],[Kitchen Set]]/VLOOKUP(Table_NFI[[#This Row],[Camp Name]],CL,4,0),"")</f>
        <v/>
      </c>
      <c r="AV704" s="461" t="s">
        <v>1092</v>
      </c>
      <c r="AW704" s="463"/>
    </row>
    <row r="705" spans="1:49" x14ac:dyDescent="0.25">
      <c r="A705" s="297">
        <f t="shared" si="10"/>
        <v>46.06666666666667</v>
      </c>
      <c r="B705" s="460">
        <v>41354</v>
      </c>
      <c r="C705" s="461" t="s">
        <v>452</v>
      </c>
      <c r="D705" s="462" t="s">
        <v>452</v>
      </c>
      <c r="E705" s="461" t="s">
        <v>380</v>
      </c>
      <c r="F705" s="290" t="s">
        <v>527</v>
      </c>
      <c r="G705" s="290" t="s">
        <v>90</v>
      </c>
      <c r="H705" s="291"/>
      <c r="I705" s="291"/>
      <c r="J705" s="291">
        <v>34</v>
      </c>
      <c r="K705" s="291">
        <v>40</v>
      </c>
      <c r="L705" s="292">
        <v>40</v>
      </c>
      <c r="M705" s="292">
        <v>75</v>
      </c>
      <c r="N705" s="292">
        <v>40</v>
      </c>
      <c r="O705" s="292">
        <v>75</v>
      </c>
      <c r="P705" s="294">
        <v>75</v>
      </c>
      <c r="Q705" s="294">
        <v>75</v>
      </c>
      <c r="R705" s="294"/>
      <c r="S705" s="294"/>
      <c r="T705" s="294"/>
      <c r="U705" s="294"/>
      <c r="V705" s="431"/>
      <c r="W705" s="331"/>
      <c r="X705" s="331"/>
      <c r="Y705" s="294">
        <f>IF(NFI_Expiration=1,IF($A705&lt;VLOOKUP(H$5,NFI,5,0),1,0)*Table_NFI[[#This Row],[Hygiene Kit]],Table_NFI[Hygiene Kit])</f>
        <v>0</v>
      </c>
      <c r="Z705" s="294">
        <f>IF(NFI_Expiration=1,IF($A705&lt;VLOOKUP(I$5,NFI,5,0),1,0)*Table_NFI[[#This Row],[NFI Core Kit]],Table_NFI[NFI Core Kit])</f>
        <v>0</v>
      </c>
      <c r="AA705" s="294">
        <f>IF(NFI_Expiration=1,IF($A705&lt;VLOOKUP(J$5,NFI,5,0),1,0)*Table_NFI[[#This Row],[Sanitary Kit]],Table_NFI[Sanitary Kit])</f>
        <v>0</v>
      </c>
      <c r="AB705" s="294">
        <f>IF(NFI_Expiration=1,IF($A705&lt;VLOOKUP(K$5,NFI,5,0),1,0)*Table_NFI[[#This Row],[Mosquito net]],Table_NFI[Mosquito net])</f>
        <v>0</v>
      </c>
      <c r="AC705" s="294">
        <f>IF(NFI_Expiration=1,IF($A705&lt;VLOOKUP(L$5,NFI,5,0),1,0)*Table_NFI[[#This Row],[Tarpaulin]],Table_NFI[[#This Row],[Tarpaulin]])</f>
        <v>0</v>
      </c>
      <c r="AD705" s="294">
        <f>IF(NFI_Expiration=1,IF($A705&lt;VLOOKUP(M$5,NFI,5,0),1,0)*Table_NFI[[#This Row],[Blanket]],Table_NFI[[#This Row],[Blanket]])</f>
        <v>0</v>
      </c>
      <c r="AE705" s="294">
        <f>IF(NFI_Expiration=1,IF($A705&lt;VLOOKUP(N$5,NFI,5,0),1,0)*Table_NFI[[#This Row],[Kitchen Set]],Table_NFI[Kitchen Set])</f>
        <v>0</v>
      </c>
      <c r="AF705" s="294">
        <f>IF(NFI_Expiration=1,IF($A705&lt;VLOOKUP(O$5,NFI,5,0),1,0)*Table_NFI[[#This Row],[Clothes Kit]],Table_NFI[Clothes Kit])</f>
        <v>0</v>
      </c>
      <c r="AG705" s="294">
        <f>IF(NFI_Expiration=1,IF($A705&lt;VLOOKUP(P$5,NFI,5,0),1,0)*Table_NFI[[#This Row],[Plastic Bucket]],Table_NFI[Plastic Bucket])</f>
        <v>0</v>
      </c>
      <c r="AH705" s="294">
        <f>IF(NFI_Expiration=1,IF($A705&lt;VLOOKUP(Q$5,NFI,5,0),1,0)*Table_NFI[[#This Row],[Plastic Mat]],Table_NFI[Plastic Mat])*IF(Table_NFI[[#This Row],[Distribution Date]]&gt;"2014-04-01",1,2.5)</f>
        <v>0</v>
      </c>
      <c r="AI705" s="294">
        <f>IF(NFI_Expiration=1,IF($A705&lt;VLOOKUP(R$5,NFI,5,0),1,0)*Table_NFI[[#This Row],[Winter Clothes Adult]],Table_NFI[Winter Clothes Adult])</f>
        <v>0</v>
      </c>
      <c r="AJ705" s="294">
        <f>IF(NFI_Expiration=1,IF($A705&lt;VLOOKUP(S$5,NFI,5,0),1,0)*Table_NFI[[#This Row],[Winter Clothes Children]],Table_NFI[Winter Clothes Children])</f>
        <v>0</v>
      </c>
      <c r="AK705" s="294">
        <f>IF(NFI_Expiration=1,IF($A705&lt;VLOOKUP(T$5,NFI,5,0),1,0)*Table_NFI[[#This Row],[Winter Items Other]],Table_NFI[Winter Items Other])</f>
        <v>0</v>
      </c>
      <c r="AL705" s="294">
        <f>IF(NFI_Expiration=1,IF($A705&lt;VLOOKUP(M$5,NFI,5,0),1,0)*Table_NFI[[#This Row],[Winter Blanket]],Table_NFI[[#This Row],[Winter Blanket]])</f>
        <v>0</v>
      </c>
      <c r="AM705" s="294">
        <f>IF(Table_NFI[[#This Row],[Winter Clothes Adult]]+Table_NFI[[#This Row],[Winter Clothes Children]]+Table_NFI[[#This Row],[Winter Items Other]]+Table_NFI[[#This Row],[Winter Blanket]]&gt;0,1,0)</f>
        <v>0</v>
      </c>
      <c r="AN705" s="331">
        <f>IF(NFI_Expiration=1,IF($A705&lt;VLOOKUP(V$5,NFI,5,0),1,0)*Table_NFI[[#This Row],[Jerry Can]],Table_NFI[Jerry Can])</f>
        <v>0</v>
      </c>
      <c r="AO705" s="331">
        <f>IF(NFI_Expiration=1,IF($A705&lt;VLOOKUP(V$5,NFI,5,0),1,0)*Table_NFI[[#This Row],[Shelter Tool kit]],Table_NFI[Shelter Tool kit])</f>
        <v>0</v>
      </c>
      <c r="AP705" s="331">
        <f>IF(NFI_Expiration=1,IF($A705&lt;VLOOKUP(V$5,NFI,5,0),1,0)*Table_NFI[[#This Row],[Tent]],Table_NFI[Tent])</f>
        <v>0</v>
      </c>
      <c r="AQ705" s="467" t="str">
        <f>IFERROR(VLOOKUP(Table_NFI[[#This Row],[Camp Name]],CL,2,0),"")</f>
        <v>MMR001CMP181</v>
      </c>
      <c r="AR705" s="835">
        <f ca="1">IF(Table_NFI[[#This Row],[Pcode]]="","",IF(OFFSET(CampList[Opening Date],MATCH(Table_NFI[[#This Row],[Pcode]],CampList[CP_Pcode],0)-1,0,1,1)&gt;=NFI_Monitor_Date,1,0))</f>
        <v>0</v>
      </c>
      <c r="AS705" s="467" t="str">
        <f>IFERROR(VLOOKUP(Table_NFI[[#This Row],[Camp Name]],CL,3,0),"")</f>
        <v>Open</v>
      </c>
      <c r="AT705" s="294" t="str">
        <f ca="1">IF(Table_NFI[[#This Row],[Pcode]]="","",OFFSET(CampList[Priority],MATCH(Table_NFI[[#This Row],[Pcode]],CampList[CP_Pcode],0)-1,0,1,1))</f>
        <v>P4</v>
      </c>
      <c r="AU705" s="293">
        <f>IFERROR(Table_NFI[[#This Row],[Kitchen Set]]/VLOOKUP(Table_NFI[[#This Row],[Camp Name]],CL,4,0),"")</f>
        <v>9.6910963052695336E-4</v>
      </c>
      <c r="AV705" s="461" t="s">
        <v>1092</v>
      </c>
      <c r="AW705" s="463"/>
    </row>
    <row r="706" spans="1:49" x14ac:dyDescent="0.25">
      <c r="A706" s="297">
        <f t="shared" si="10"/>
        <v>46.06666666666667</v>
      </c>
      <c r="B706" s="460">
        <v>41354</v>
      </c>
      <c r="C706" s="461" t="s">
        <v>452</v>
      </c>
      <c r="D706" s="462" t="s">
        <v>452</v>
      </c>
      <c r="E706" s="461" t="s">
        <v>380</v>
      </c>
      <c r="F706" s="290" t="s">
        <v>527</v>
      </c>
      <c r="G706" s="290" t="s">
        <v>118</v>
      </c>
      <c r="H706" s="291"/>
      <c r="I706" s="291"/>
      <c r="J706" s="291">
        <v>15</v>
      </c>
      <c r="K706" s="291">
        <v>8</v>
      </c>
      <c r="L706" s="292">
        <v>8</v>
      </c>
      <c r="M706" s="292">
        <v>17</v>
      </c>
      <c r="N706" s="292">
        <v>8</v>
      </c>
      <c r="O706" s="292">
        <v>17</v>
      </c>
      <c r="P706" s="294">
        <v>17</v>
      </c>
      <c r="Q706" s="294">
        <v>17</v>
      </c>
      <c r="R706" s="294"/>
      <c r="S706" s="294"/>
      <c r="T706" s="294"/>
      <c r="U706" s="294"/>
      <c r="V706" s="431"/>
      <c r="W706" s="294"/>
      <c r="X706" s="294"/>
      <c r="Y706" s="294">
        <f>IF(NFI_Expiration=1,IF($A706&lt;VLOOKUP(H$5,NFI,5,0),1,0)*Table_NFI[[#This Row],[Hygiene Kit]],Table_NFI[Hygiene Kit])</f>
        <v>0</v>
      </c>
      <c r="Z706" s="294">
        <f>IF(NFI_Expiration=1,IF($A706&lt;VLOOKUP(I$5,NFI,5,0),1,0)*Table_NFI[[#This Row],[NFI Core Kit]],Table_NFI[NFI Core Kit])</f>
        <v>0</v>
      </c>
      <c r="AA706" s="294">
        <f>IF(NFI_Expiration=1,IF($A706&lt;VLOOKUP(J$5,NFI,5,0),1,0)*Table_NFI[[#This Row],[Sanitary Kit]],Table_NFI[Sanitary Kit])</f>
        <v>0</v>
      </c>
      <c r="AB706" s="294">
        <f>IF(NFI_Expiration=1,IF($A706&lt;VLOOKUP(K$5,NFI,5,0),1,0)*Table_NFI[[#This Row],[Mosquito net]],Table_NFI[Mosquito net])</f>
        <v>0</v>
      </c>
      <c r="AC706" s="294">
        <f>IF(NFI_Expiration=1,IF($A706&lt;VLOOKUP(L$5,NFI,5,0),1,0)*Table_NFI[[#This Row],[Tarpaulin]],Table_NFI[[#This Row],[Tarpaulin]])</f>
        <v>0</v>
      </c>
      <c r="AD706" s="294">
        <f>IF(NFI_Expiration=1,IF($A706&lt;VLOOKUP(M$5,NFI,5,0),1,0)*Table_NFI[[#This Row],[Blanket]],Table_NFI[[#This Row],[Blanket]])</f>
        <v>0</v>
      </c>
      <c r="AE706" s="294">
        <f>IF(NFI_Expiration=1,IF($A706&lt;VLOOKUP(N$5,NFI,5,0),1,0)*Table_NFI[[#This Row],[Kitchen Set]],Table_NFI[Kitchen Set])</f>
        <v>0</v>
      </c>
      <c r="AF706" s="294">
        <f>IF(NFI_Expiration=1,IF($A706&lt;VLOOKUP(O$5,NFI,5,0),1,0)*Table_NFI[[#This Row],[Clothes Kit]],Table_NFI[Clothes Kit])</f>
        <v>0</v>
      </c>
      <c r="AG706" s="294">
        <f>IF(NFI_Expiration=1,IF($A706&lt;VLOOKUP(P$5,NFI,5,0),1,0)*Table_NFI[[#This Row],[Plastic Bucket]],Table_NFI[Plastic Bucket])</f>
        <v>0</v>
      </c>
      <c r="AH706" s="294">
        <f>IF(NFI_Expiration=1,IF($A706&lt;VLOOKUP(Q$5,NFI,5,0),1,0)*Table_NFI[[#This Row],[Plastic Mat]],Table_NFI[Plastic Mat])*IF(Table_NFI[[#This Row],[Distribution Date]]&gt;"2014-04-01",1,2.5)</f>
        <v>0</v>
      </c>
      <c r="AI706" s="294">
        <f>IF(NFI_Expiration=1,IF($A706&lt;VLOOKUP(R$5,NFI,5,0),1,0)*Table_NFI[[#This Row],[Winter Clothes Adult]],Table_NFI[Winter Clothes Adult])</f>
        <v>0</v>
      </c>
      <c r="AJ706" s="294">
        <f>IF(NFI_Expiration=1,IF($A706&lt;VLOOKUP(S$5,NFI,5,0),1,0)*Table_NFI[[#This Row],[Winter Clothes Children]],Table_NFI[Winter Clothes Children])</f>
        <v>0</v>
      </c>
      <c r="AK706" s="294">
        <f>IF(NFI_Expiration=1,IF($A706&lt;VLOOKUP(T$5,NFI,5,0),1,0)*Table_NFI[[#This Row],[Winter Items Other]],Table_NFI[Winter Items Other])</f>
        <v>0</v>
      </c>
      <c r="AL706" s="294">
        <f>IF(NFI_Expiration=1,IF($A706&lt;VLOOKUP(M$5,NFI,5,0),1,0)*Table_NFI[[#This Row],[Winter Blanket]],Table_NFI[[#This Row],[Winter Blanket]])</f>
        <v>0</v>
      </c>
      <c r="AM706" s="294">
        <f>IF(Table_NFI[[#This Row],[Winter Clothes Adult]]+Table_NFI[[#This Row],[Winter Clothes Children]]+Table_NFI[[#This Row],[Winter Items Other]]+Table_NFI[[#This Row],[Winter Blanket]]&gt;0,1,0)</f>
        <v>0</v>
      </c>
      <c r="AN706" s="331">
        <f>IF(NFI_Expiration=1,IF($A706&lt;VLOOKUP(V$5,NFI,5,0),1,0)*Table_NFI[[#This Row],[Jerry Can]],Table_NFI[Jerry Can])</f>
        <v>0</v>
      </c>
      <c r="AO706" s="331">
        <f>IF(NFI_Expiration=1,IF($A706&lt;VLOOKUP(V$5,NFI,5,0),1,0)*Table_NFI[[#This Row],[Shelter Tool kit]],Table_NFI[Shelter Tool kit])</f>
        <v>0</v>
      </c>
      <c r="AP706" s="331">
        <f>IF(NFI_Expiration=1,IF($A706&lt;VLOOKUP(V$5,NFI,5,0),1,0)*Table_NFI[[#This Row],[Tent]],Table_NFI[Tent])</f>
        <v>0</v>
      </c>
      <c r="AQ706" s="467" t="str">
        <f>IFERROR(VLOOKUP(Table_NFI[[#This Row],[Camp Name]],CL,2,0),"")</f>
        <v>MMR001CMP182</v>
      </c>
      <c r="AR706" s="835">
        <f ca="1">IF(Table_NFI[[#This Row],[Pcode]]="","",IF(OFFSET(CampList[Opening Date],MATCH(Table_NFI[[#This Row],[Pcode]],CampList[CP_Pcode],0)-1,0,1,1)&gt;=NFI_Monitor_Date,1,0))</f>
        <v>0</v>
      </c>
      <c r="AS706" s="467" t="str">
        <f>IFERROR(VLOOKUP(Table_NFI[[#This Row],[Camp Name]],CL,3,0),"")</f>
        <v>Open</v>
      </c>
      <c r="AT706" s="294" t="str">
        <f ca="1">IF(Table_NFI[[#This Row],[Pcode]]="","",OFFSET(CampList[Priority],MATCH(Table_NFI[[#This Row],[Pcode]],CampList[CP_Pcode],0)-1,0,1,1))</f>
        <v>P4</v>
      </c>
      <c r="AU706" s="293">
        <f>IFERROR(Table_NFI[[#This Row],[Kitchen Set]]/VLOOKUP(Table_NFI[[#This Row],[Camp Name]],CL,4,0),"")</f>
        <v>1.9382192610539067E-4</v>
      </c>
      <c r="AV706" s="461" t="s">
        <v>1092</v>
      </c>
      <c r="AW706" s="463"/>
    </row>
    <row r="707" spans="1:49" x14ac:dyDescent="0.25">
      <c r="A707" s="297">
        <f t="shared" si="10"/>
        <v>46.1</v>
      </c>
      <c r="B707" s="460">
        <v>41353</v>
      </c>
      <c r="C707" s="461" t="s">
        <v>452</v>
      </c>
      <c r="D707" s="461" t="s">
        <v>452</v>
      </c>
      <c r="E707" s="461" t="s">
        <v>380</v>
      </c>
      <c r="F707" s="461" t="s">
        <v>527</v>
      </c>
      <c r="G707" s="290" t="s">
        <v>43</v>
      </c>
      <c r="H707" s="291"/>
      <c r="I707" s="291"/>
      <c r="J707" s="291">
        <v>24</v>
      </c>
      <c r="K707" s="291">
        <v>17</v>
      </c>
      <c r="L707" s="292">
        <v>17</v>
      </c>
      <c r="M707" s="292">
        <v>41</v>
      </c>
      <c r="N707" s="292">
        <v>17</v>
      </c>
      <c r="O707" s="292">
        <v>41</v>
      </c>
      <c r="P707" s="294">
        <v>41</v>
      </c>
      <c r="Q707" s="294">
        <v>41</v>
      </c>
      <c r="R707" s="294"/>
      <c r="S707" s="294"/>
      <c r="T707" s="294"/>
      <c r="U707" s="294"/>
      <c r="V707" s="431"/>
      <c r="W707" s="331"/>
      <c r="X707" s="331"/>
      <c r="Y707" s="294">
        <f>IF(NFI_Expiration=1,IF($A707&lt;VLOOKUP(H$5,NFI,5,0),1,0)*Table_NFI[[#This Row],[Hygiene Kit]],Table_NFI[Hygiene Kit])</f>
        <v>0</v>
      </c>
      <c r="Z707" s="294">
        <f>IF(NFI_Expiration=1,IF($A707&lt;VLOOKUP(I$5,NFI,5,0),1,0)*Table_NFI[[#This Row],[NFI Core Kit]],Table_NFI[NFI Core Kit])</f>
        <v>0</v>
      </c>
      <c r="AA707" s="294">
        <f>IF(NFI_Expiration=1,IF($A707&lt;VLOOKUP(J$5,NFI,5,0),1,0)*Table_NFI[[#This Row],[Sanitary Kit]],Table_NFI[Sanitary Kit])</f>
        <v>0</v>
      </c>
      <c r="AB707" s="294">
        <f>IF(NFI_Expiration=1,IF($A707&lt;VLOOKUP(K$5,NFI,5,0),1,0)*Table_NFI[[#This Row],[Mosquito net]],Table_NFI[Mosquito net])</f>
        <v>0</v>
      </c>
      <c r="AC707" s="294">
        <f>IF(NFI_Expiration=1,IF($A707&lt;VLOOKUP(L$5,NFI,5,0),1,0)*Table_NFI[[#This Row],[Tarpaulin]],Table_NFI[[#This Row],[Tarpaulin]])</f>
        <v>0</v>
      </c>
      <c r="AD707" s="294">
        <f>IF(NFI_Expiration=1,IF($A707&lt;VLOOKUP(M$5,NFI,5,0),1,0)*Table_NFI[[#This Row],[Blanket]],Table_NFI[[#This Row],[Blanket]])</f>
        <v>0</v>
      </c>
      <c r="AE707" s="294">
        <f>IF(NFI_Expiration=1,IF($A707&lt;VLOOKUP(N$5,NFI,5,0),1,0)*Table_NFI[[#This Row],[Kitchen Set]],Table_NFI[Kitchen Set])</f>
        <v>0</v>
      </c>
      <c r="AF707" s="294">
        <f>IF(NFI_Expiration=1,IF($A707&lt;VLOOKUP(O$5,NFI,5,0),1,0)*Table_NFI[[#This Row],[Clothes Kit]],Table_NFI[Clothes Kit])</f>
        <v>0</v>
      </c>
      <c r="AG707" s="294">
        <f>IF(NFI_Expiration=1,IF($A707&lt;VLOOKUP(P$5,NFI,5,0),1,0)*Table_NFI[[#This Row],[Plastic Bucket]],Table_NFI[Plastic Bucket])</f>
        <v>0</v>
      </c>
      <c r="AH707" s="294">
        <f>IF(NFI_Expiration=1,IF($A707&lt;VLOOKUP(Q$5,NFI,5,0),1,0)*Table_NFI[[#This Row],[Plastic Mat]],Table_NFI[Plastic Mat])*IF(Table_NFI[[#This Row],[Distribution Date]]&gt;"2014-04-01",1,2.5)</f>
        <v>0</v>
      </c>
      <c r="AI707" s="294">
        <f>IF(NFI_Expiration=1,IF($A707&lt;VLOOKUP(R$5,NFI,5,0),1,0)*Table_NFI[[#This Row],[Winter Clothes Adult]],Table_NFI[Winter Clothes Adult])</f>
        <v>0</v>
      </c>
      <c r="AJ707" s="294">
        <f>IF(NFI_Expiration=1,IF($A707&lt;VLOOKUP(S$5,NFI,5,0),1,0)*Table_NFI[[#This Row],[Winter Clothes Children]],Table_NFI[Winter Clothes Children])</f>
        <v>0</v>
      </c>
      <c r="AK707" s="294">
        <f>IF(NFI_Expiration=1,IF($A707&lt;VLOOKUP(T$5,NFI,5,0),1,0)*Table_NFI[[#This Row],[Winter Items Other]],Table_NFI[Winter Items Other])</f>
        <v>0</v>
      </c>
      <c r="AL707" s="294">
        <f>IF(NFI_Expiration=1,IF($A707&lt;VLOOKUP(M$5,NFI,5,0),1,0)*Table_NFI[[#This Row],[Winter Blanket]],Table_NFI[[#This Row],[Winter Blanket]])</f>
        <v>0</v>
      </c>
      <c r="AM707" s="294">
        <f>IF(Table_NFI[[#This Row],[Winter Clothes Adult]]+Table_NFI[[#This Row],[Winter Clothes Children]]+Table_NFI[[#This Row],[Winter Items Other]]+Table_NFI[[#This Row],[Winter Blanket]]&gt;0,1,0)</f>
        <v>0</v>
      </c>
      <c r="AN707" s="331">
        <f>IF(NFI_Expiration=1,IF($A707&lt;VLOOKUP(V$5,NFI,5,0),1,0)*Table_NFI[[#This Row],[Jerry Can]],Table_NFI[Jerry Can])</f>
        <v>0</v>
      </c>
      <c r="AO707" s="331">
        <f>IF(NFI_Expiration=1,IF($A707&lt;VLOOKUP(V$5,NFI,5,0),1,0)*Table_NFI[[#This Row],[Shelter Tool kit]],Table_NFI[Shelter Tool kit])</f>
        <v>0</v>
      </c>
      <c r="AP707" s="331">
        <f>IF(NFI_Expiration=1,IF($A707&lt;VLOOKUP(V$5,NFI,5,0),1,0)*Table_NFI[[#This Row],[Tent]],Table_NFI[Tent])</f>
        <v>0</v>
      </c>
      <c r="AQ707" s="467" t="str">
        <f>IFERROR(VLOOKUP(Table_NFI[[#This Row],[Camp Name]],CL,2,0),"")</f>
        <v>MMR001CMP190</v>
      </c>
      <c r="AR707" s="835">
        <f ca="1">IF(Table_NFI[[#This Row],[Pcode]]="","",IF(OFFSET(CampList[Opening Date],MATCH(Table_NFI[[#This Row],[Pcode]],CampList[CP_Pcode],0)-1,0,1,1)&gt;=NFI_Monitor_Date,1,0))</f>
        <v>0</v>
      </c>
      <c r="AS707" s="467" t="str">
        <f>IFERROR(VLOOKUP(Table_NFI[[#This Row],[Camp Name]],CL,3,0),"")</f>
        <v>Open</v>
      </c>
      <c r="AT707" s="294" t="str">
        <f ca="1">IF(Table_NFI[[#This Row],[Pcode]]="","",OFFSET(CampList[Priority],MATCH(Table_NFI[[#This Row],[Pcode]],CampList[CP_Pcode],0)-1,0,1,1))</f>
        <v>P4</v>
      </c>
      <c r="AU707" s="293">
        <f>IFERROR(Table_NFI[[#This Row],[Kitchen Set]]/VLOOKUP(Table_NFI[[#This Row],[Camp Name]],CL,4,0),"")</f>
        <v>4.1187159297395516E-4</v>
      </c>
      <c r="AV707" s="461" t="s">
        <v>1092</v>
      </c>
      <c r="AW707" s="463"/>
    </row>
    <row r="708" spans="1:49" x14ac:dyDescent="0.25">
      <c r="A708" s="297">
        <f t="shared" si="10"/>
        <v>46.1</v>
      </c>
      <c r="B708" s="460">
        <v>41353</v>
      </c>
      <c r="C708" s="461" t="s">
        <v>452</v>
      </c>
      <c r="D708" s="462" t="s">
        <v>452</v>
      </c>
      <c r="E708" s="461" t="s">
        <v>380</v>
      </c>
      <c r="F708" s="290" t="s">
        <v>527</v>
      </c>
      <c r="G708" s="290" t="s">
        <v>72</v>
      </c>
      <c r="H708" s="291"/>
      <c r="I708" s="291"/>
      <c r="J708" s="291">
        <v>3</v>
      </c>
      <c r="K708" s="291">
        <v>8</v>
      </c>
      <c r="L708" s="292">
        <v>8</v>
      </c>
      <c r="M708" s="292">
        <v>15</v>
      </c>
      <c r="N708" s="292">
        <v>8</v>
      </c>
      <c r="O708" s="292">
        <v>15</v>
      </c>
      <c r="P708" s="294">
        <v>15</v>
      </c>
      <c r="Q708" s="294">
        <v>15</v>
      </c>
      <c r="R708" s="294"/>
      <c r="S708" s="294"/>
      <c r="T708" s="294"/>
      <c r="U708" s="294"/>
      <c r="V708" s="613"/>
      <c r="W708" s="331"/>
      <c r="X708" s="331"/>
      <c r="Y708" s="294">
        <f>IF(NFI_Expiration=1,IF($A708&lt;VLOOKUP(H$5,NFI,5,0),1,0)*Table_NFI[[#This Row],[Hygiene Kit]],Table_NFI[Hygiene Kit])</f>
        <v>0</v>
      </c>
      <c r="Z708" s="294">
        <f>IF(NFI_Expiration=1,IF($A708&lt;VLOOKUP(I$5,NFI,5,0),1,0)*Table_NFI[[#This Row],[NFI Core Kit]],Table_NFI[NFI Core Kit])</f>
        <v>0</v>
      </c>
      <c r="AA708" s="294">
        <f>IF(NFI_Expiration=1,IF($A708&lt;VLOOKUP(J$5,NFI,5,0),1,0)*Table_NFI[[#This Row],[Sanitary Kit]],Table_NFI[Sanitary Kit])</f>
        <v>0</v>
      </c>
      <c r="AB708" s="294">
        <f>IF(NFI_Expiration=1,IF($A708&lt;VLOOKUP(K$5,NFI,5,0),1,0)*Table_NFI[[#This Row],[Mosquito net]],Table_NFI[Mosquito net])</f>
        <v>0</v>
      </c>
      <c r="AC708" s="294">
        <f>IF(NFI_Expiration=1,IF($A708&lt;VLOOKUP(L$5,NFI,5,0),1,0)*Table_NFI[[#This Row],[Tarpaulin]],Table_NFI[[#This Row],[Tarpaulin]])</f>
        <v>0</v>
      </c>
      <c r="AD708" s="294">
        <f>IF(NFI_Expiration=1,IF($A708&lt;VLOOKUP(M$5,NFI,5,0),1,0)*Table_NFI[[#This Row],[Blanket]],Table_NFI[[#This Row],[Blanket]])</f>
        <v>0</v>
      </c>
      <c r="AE708" s="294">
        <f>IF(NFI_Expiration=1,IF($A708&lt;VLOOKUP(N$5,NFI,5,0),1,0)*Table_NFI[[#This Row],[Kitchen Set]],Table_NFI[Kitchen Set])</f>
        <v>0</v>
      </c>
      <c r="AF708" s="294">
        <f>IF(NFI_Expiration=1,IF($A708&lt;VLOOKUP(O$5,NFI,5,0),1,0)*Table_NFI[[#This Row],[Clothes Kit]],Table_NFI[Clothes Kit])</f>
        <v>0</v>
      </c>
      <c r="AG708" s="294">
        <f>IF(NFI_Expiration=1,IF($A708&lt;VLOOKUP(P$5,NFI,5,0),1,0)*Table_NFI[[#This Row],[Plastic Bucket]],Table_NFI[Plastic Bucket])</f>
        <v>0</v>
      </c>
      <c r="AH708" s="294">
        <f>IF(NFI_Expiration=1,IF($A708&lt;VLOOKUP(Q$5,NFI,5,0),1,0)*Table_NFI[[#This Row],[Plastic Mat]],Table_NFI[Plastic Mat])*IF(Table_NFI[[#This Row],[Distribution Date]]&gt;"2014-04-01",1,2.5)</f>
        <v>0</v>
      </c>
      <c r="AI708" s="294">
        <f>IF(NFI_Expiration=1,IF($A708&lt;VLOOKUP(R$5,NFI,5,0),1,0)*Table_NFI[[#This Row],[Winter Clothes Adult]],Table_NFI[Winter Clothes Adult])</f>
        <v>0</v>
      </c>
      <c r="AJ708" s="294">
        <f>IF(NFI_Expiration=1,IF($A708&lt;VLOOKUP(S$5,NFI,5,0),1,0)*Table_NFI[[#This Row],[Winter Clothes Children]],Table_NFI[Winter Clothes Children])</f>
        <v>0</v>
      </c>
      <c r="AK708" s="294">
        <f>IF(NFI_Expiration=1,IF($A708&lt;VLOOKUP(T$5,NFI,5,0),1,0)*Table_NFI[[#This Row],[Winter Items Other]],Table_NFI[Winter Items Other])</f>
        <v>0</v>
      </c>
      <c r="AL708" s="294">
        <f>IF(NFI_Expiration=1,IF($A708&lt;VLOOKUP(M$5,NFI,5,0),1,0)*Table_NFI[[#This Row],[Winter Blanket]],Table_NFI[[#This Row],[Winter Blanket]])</f>
        <v>0</v>
      </c>
      <c r="AM708" s="294">
        <f>IF(Table_NFI[[#This Row],[Winter Clothes Adult]]+Table_NFI[[#This Row],[Winter Clothes Children]]+Table_NFI[[#This Row],[Winter Items Other]]+Table_NFI[[#This Row],[Winter Blanket]]&gt;0,1,0)</f>
        <v>0</v>
      </c>
      <c r="AN708" s="331">
        <f>IF(NFI_Expiration=1,IF($A708&lt;VLOOKUP(V$5,NFI,5,0),1,0)*Table_NFI[[#This Row],[Jerry Can]],Table_NFI[Jerry Can])</f>
        <v>0</v>
      </c>
      <c r="AO708" s="331">
        <f>IF(NFI_Expiration=1,IF($A708&lt;VLOOKUP(V$5,NFI,5,0),1,0)*Table_NFI[[#This Row],[Shelter Tool kit]],Table_NFI[Shelter Tool kit])</f>
        <v>0</v>
      </c>
      <c r="AP708" s="331">
        <f>IF(NFI_Expiration=1,IF($A708&lt;VLOOKUP(V$5,NFI,5,0),1,0)*Table_NFI[[#This Row],[Tent]],Table_NFI[Tent])</f>
        <v>0</v>
      </c>
      <c r="AQ708" s="467" t="str">
        <f>IFERROR(VLOOKUP(Table_NFI[[#This Row],[Camp Name]],CL,2,0),"")</f>
        <v>MMR001CMP109</v>
      </c>
      <c r="AR708" s="835">
        <f ca="1">IF(Table_NFI[[#This Row],[Pcode]]="","",IF(OFFSET(CampList[Opening Date],MATCH(Table_NFI[[#This Row],[Pcode]],CampList[CP_Pcode],0)-1,0,1,1)&gt;=NFI_Monitor_Date,1,0))</f>
        <v>0</v>
      </c>
      <c r="AS708" s="467" t="str">
        <f>IFERROR(VLOOKUP(Table_NFI[[#This Row],[Camp Name]],CL,3,0),"")</f>
        <v>Open</v>
      </c>
      <c r="AT708" s="294" t="str">
        <f ca="1">IF(Table_NFI[[#This Row],[Pcode]]="","",OFFSET(CampList[Priority],MATCH(Table_NFI[[#This Row],[Pcode]],CampList[CP_Pcode],0)-1,0,1,1))</f>
        <v>P4</v>
      </c>
      <c r="AU708" s="293">
        <f>IFERROR(Table_NFI[[#This Row],[Kitchen Set]]/VLOOKUP(Table_NFI[[#This Row],[Camp Name]],CL,4,0),"")</f>
        <v>1.9283148938221612E-4</v>
      </c>
      <c r="AV708" s="461" t="s">
        <v>1092</v>
      </c>
      <c r="AW708" s="463"/>
    </row>
    <row r="709" spans="1:49" x14ac:dyDescent="0.25">
      <c r="A709" s="297">
        <f t="shared" si="10"/>
        <v>46.1</v>
      </c>
      <c r="B709" s="460">
        <v>41353</v>
      </c>
      <c r="C709" s="461" t="s">
        <v>452</v>
      </c>
      <c r="D709" s="462" t="s">
        <v>452</v>
      </c>
      <c r="E709" s="461" t="s">
        <v>380</v>
      </c>
      <c r="F709" s="290" t="s">
        <v>527</v>
      </c>
      <c r="G709" s="290" t="s">
        <v>92</v>
      </c>
      <c r="H709" s="291"/>
      <c r="I709" s="291"/>
      <c r="J709" s="291">
        <v>32</v>
      </c>
      <c r="K709" s="291">
        <v>27</v>
      </c>
      <c r="L709" s="292">
        <v>27</v>
      </c>
      <c r="M709" s="292">
        <v>66</v>
      </c>
      <c r="N709" s="292">
        <v>27</v>
      </c>
      <c r="O709" s="292">
        <v>66</v>
      </c>
      <c r="P709" s="294">
        <v>66</v>
      </c>
      <c r="Q709" s="294">
        <v>66</v>
      </c>
      <c r="R709" s="294"/>
      <c r="S709" s="294"/>
      <c r="T709" s="294"/>
      <c r="U709" s="294"/>
      <c r="V709" s="431"/>
      <c r="W709" s="331"/>
      <c r="X709" s="331"/>
      <c r="Y709" s="294">
        <f>IF(NFI_Expiration=1,IF($A709&lt;VLOOKUP(H$5,NFI,5,0),1,0)*Table_NFI[[#This Row],[Hygiene Kit]],Table_NFI[Hygiene Kit])</f>
        <v>0</v>
      </c>
      <c r="Z709" s="294">
        <f>IF(NFI_Expiration=1,IF($A709&lt;VLOOKUP(I$5,NFI,5,0),1,0)*Table_NFI[[#This Row],[NFI Core Kit]],Table_NFI[NFI Core Kit])</f>
        <v>0</v>
      </c>
      <c r="AA709" s="294">
        <f>IF(NFI_Expiration=1,IF($A709&lt;VLOOKUP(J$5,NFI,5,0),1,0)*Table_NFI[[#This Row],[Sanitary Kit]],Table_NFI[Sanitary Kit])</f>
        <v>0</v>
      </c>
      <c r="AB709" s="294">
        <f>IF(NFI_Expiration=1,IF($A709&lt;VLOOKUP(K$5,NFI,5,0),1,0)*Table_NFI[[#This Row],[Mosquito net]],Table_NFI[Mosquito net])</f>
        <v>0</v>
      </c>
      <c r="AC709" s="294">
        <f>IF(NFI_Expiration=1,IF($A709&lt;VLOOKUP(L$5,NFI,5,0),1,0)*Table_NFI[[#This Row],[Tarpaulin]],Table_NFI[[#This Row],[Tarpaulin]])</f>
        <v>0</v>
      </c>
      <c r="AD709" s="294">
        <f>IF(NFI_Expiration=1,IF($A709&lt;VLOOKUP(M$5,NFI,5,0),1,0)*Table_NFI[[#This Row],[Blanket]],Table_NFI[[#This Row],[Blanket]])</f>
        <v>0</v>
      </c>
      <c r="AE709" s="294">
        <f>IF(NFI_Expiration=1,IF($A709&lt;VLOOKUP(N$5,NFI,5,0),1,0)*Table_NFI[[#This Row],[Kitchen Set]],Table_NFI[Kitchen Set])</f>
        <v>0</v>
      </c>
      <c r="AF709" s="294">
        <f>IF(NFI_Expiration=1,IF($A709&lt;VLOOKUP(O$5,NFI,5,0),1,0)*Table_NFI[[#This Row],[Clothes Kit]],Table_NFI[Clothes Kit])</f>
        <v>0</v>
      </c>
      <c r="AG709" s="294">
        <f>IF(NFI_Expiration=1,IF($A709&lt;VLOOKUP(P$5,NFI,5,0),1,0)*Table_NFI[[#This Row],[Plastic Bucket]],Table_NFI[Plastic Bucket])</f>
        <v>0</v>
      </c>
      <c r="AH709" s="294">
        <f>IF(NFI_Expiration=1,IF($A709&lt;VLOOKUP(Q$5,NFI,5,0),1,0)*Table_NFI[[#This Row],[Plastic Mat]],Table_NFI[Plastic Mat])*IF(Table_NFI[[#This Row],[Distribution Date]]&gt;"2014-04-01",1,2.5)</f>
        <v>0</v>
      </c>
      <c r="AI709" s="294">
        <f>IF(NFI_Expiration=1,IF($A709&lt;VLOOKUP(R$5,NFI,5,0),1,0)*Table_NFI[[#This Row],[Winter Clothes Adult]],Table_NFI[Winter Clothes Adult])</f>
        <v>0</v>
      </c>
      <c r="AJ709" s="294">
        <f>IF(NFI_Expiration=1,IF($A709&lt;VLOOKUP(S$5,NFI,5,0),1,0)*Table_NFI[[#This Row],[Winter Clothes Children]],Table_NFI[Winter Clothes Children])</f>
        <v>0</v>
      </c>
      <c r="AK709" s="294">
        <f>IF(NFI_Expiration=1,IF($A709&lt;VLOOKUP(T$5,NFI,5,0),1,0)*Table_NFI[[#This Row],[Winter Items Other]],Table_NFI[Winter Items Other])</f>
        <v>0</v>
      </c>
      <c r="AL709" s="294">
        <f>IF(NFI_Expiration=1,IF($A709&lt;VLOOKUP(M$5,NFI,5,0),1,0)*Table_NFI[[#This Row],[Winter Blanket]],Table_NFI[[#This Row],[Winter Blanket]])</f>
        <v>0</v>
      </c>
      <c r="AM709" s="294">
        <f>IF(Table_NFI[[#This Row],[Winter Clothes Adult]]+Table_NFI[[#This Row],[Winter Clothes Children]]+Table_NFI[[#This Row],[Winter Items Other]]+Table_NFI[[#This Row],[Winter Blanket]]&gt;0,1,0)</f>
        <v>0</v>
      </c>
      <c r="AN709" s="331">
        <f>IF(NFI_Expiration=1,IF($A709&lt;VLOOKUP(V$5,NFI,5,0),1,0)*Table_NFI[[#This Row],[Jerry Can]],Table_NFI[Jerry Can])</f>
        <v>0</v>
      </c>
      <c r="AO709" s="331">
        <f>IF(NFI_Expiration=1,IF($A709&lt;VLOOKUP(V$5,NFI,5,0),1,0)*Table_NFI[[#This Row],[Shelter Tool kit]],Table_NFI[Shelter Tool kit])</f>
        <v>0</v>
      </c>
      <c r="AP709" s="331">
        <f>IF(NFI_Expiration=1,IF($A709&lt;VLOOKUP(V$5,NFI,5,0),1,0)*Table_NFI[[#This Row],[Tent]],Table_NFI[Tent])</f>
        <v>0</v>
      </c>
      <c r="AQ709" s="467" t="str">
        <f>IFERROR(VLOOKUP(Table_NFI[[#This Row],[Camp Name]],CL,2,0),"")</f>
        <v>MMR001CMP167</v>
      </c>
      <c r="AR709" s="835">
        <f ca="1">IF(Table_NFI[[#This Row],[Pcode]]="","",IF(OFFSET(CampList[Opening Date],MATCH(Table_NFI[[#This Row],[Pcode]],CampList[CP_Pcode],0)-1,0,1,1)&gt;=NFI_Monitor_Date,1,0))</f>
        <v>0</v>
      </c>
      <c r="AS709" s="467" t="str">
        <f>IFERROR(VLOOKUP(Table_NFI[[#This Row],[Camp Name]],CL,3,0),"")</f>
        <v>Open</v>
      </c>
      <c r="AT709" s="294" t="str">
        <f ca="1">IF(Table_NFI[[#This Row],[Pcode]]="","",OFFSET(CampList[Priority],MATCH(Table_NFI[[#This Row],[Pcode]],CampList[CP_Pcode],0)-1,0,1,1))</f>
        <v>P4</v>
      </c>
      <c r="AU709" s="293">
        <f>IFERROR(Table_NFI[[#This Row],[Kitchen Set]]/VLOOKUP(Table_NFI[[#This Row],[Camp Name]],CL,4,0),"")</f>
        <v>6.5414900060569347E-4</v>
      </c>
      <c r="AV709" s="461" t="s">
        <v>1092</v>
      </c>
      <c r="AW709" s="463"/>
    </row>
    <row r="710" spans="1:49" x14ac:dyDescent="0.25">
      <c r="A710" s="297">
        <f t="shared" ref="A710:A773" si="11">IF(ISBLANK(B710),"",(Report_Date-B710)/30)</f>
        <v>46.1</v>
      </c>
      <c r="B710" s="460">
        <v>41353</v>
      </c>
      <c r="C710" s="461" t="s">
        <v>452</v>
      </c>
      <c r="D710" s="462" t="s">
        <v>452</v>
      </c>
      <c r="E710" s="461" t="s">
        <v>380</v>
      </c>
      <c r="F710" s="290" t="s">
        <v>527</v>
      </c>
      <c r="G710" s="290" t="s">
        <v>100</v>
      </c>
      <c r="H710" s="291"/>
      <c r="I710" s="291"/>
      <c r="J710" s="291">
        <v>17</v>
      </c>
      <c r="K710" s="291">
        <v>17</v>
      </c>
      <c r="L710" s="292">
        <v>17</v>
      </c>
      <c r="M710" s="292">
        <v>41</v>
      </c>
      <c r="N710" s="292">
        <v>17</v>
      </c>
      <c r="O710" s="292">
        <v>41</v>
      </c>
      <c r="P710" s="294">
        <v>41</v>
      </c>
      <c r="Q710" s="294">
        <v>41</v>
      </c>
      <c r="R710" s="294"/>
      <c r="S710" s="294"/>
      <c r="T710" s="294"/>
      <c r="U710" s="294"/>
      <c r="V710" s="431"/>
      <c r="W710" s="331"/>
      <c r="X710" s="331"/>
      <c r="Y710" s="294">
        <f>IF(NFI_Expiration=1,IF($A710&lt;VLOOKUP(H$5,NFI,5,0),1,0)*Table_NFI[[#This Row],[Hygiene Kit]],Table_NFI[Hygiene Kit])</f>
        <v>0</v>
      </c>
      <c r="Z710" s="294">
        <f>IF(NFI_Expiration=1,IF($A710&lt;VLOOKUP(I$5,NFI,5,0),1,0)*Table_NFI[[#This Row],[NFI Core Kit]],Table_NFI[NFI Core Kit])</f>
        <v>0</v>
      </c>
      <c r="AA710" s="294">
        <f>IF(NFI_Expiration=1,IF($A710&lt;VLOOKUP(J$5,NFI,5,0),1,0)*Table_NFI[[#This Row],[Sanitary Kit]],Table_NFI[Sanitary Kit])</f>
        <v>0</v>
      </c>
      <c r="AB710" s="294">
        <f>IF(NFI_Expiration=1,IF($A710&lt;VLOOKUP(K$5,NFI,5,0),1,0)*Table_NFI[[#This Row],[Mosquito net]],Table_NFI[Mosquito net])</f>
        <v>0</v>
      </c>
      <c r="AC710" s="294">
        <f>IF(NFI_Expiration=1,IF($A710&lt;VLOOKUP(L$5,NFI,5,0),1,0)*Table_NFI[[#This Row],[Tarpaulin]],Table_NFI[[#This Row],[Tarpaulin]])</f>
        <v>0</v>
      </c>
      <c r="AD710" s="294">
        <f>IF(NFI_Expiration=1,IF($A710&lt;VLOOKUP(M$5,NFI,5,0),1,0)*Table_NFI[[#This Row],[Blanket]],Table_NFI[[#This Row],[Blanket]])</f>
        <v>0</v>
      </c>
      <c r="AE710" s="294">
        <f>IF(NFI_Expiration=1,IF($A710&lt;VLOOKUP(N$5,NFI,5,0),1,0)*Table_NFI[[#This Row],[Kitchen Set]],Table_NFI[Kitchen Set])</f>
        <v>0</v>
      </c>
      <c r="AF710" s="294">
        <f>IF(NFI_Expiration=1,IF($A710&lt;VLOOKUP(O$5,NFI,5,0),1,0)*Table_NFI[[#This Row],[Clothes Kit]],Table_NFI[Clothes Kit])</f>
        <v>0</v>
      </c>
      <c r="AG710" s="294">
        <f>IF(NFI_Expiration=1,IF($A710&lt;VLOOKUP(P$5,NFI,5,0),1,0)*Table_NFI[[#This Row],[Plastic Bucket]],Table_NFI[Plastic Bucket])</f>
        <v>0</v>
      </c>
      <c r="AH710" s="294">
        <f>IF(NFI_Expiration=1,IF($A710&lt;VLOOKUP(Q$5,NFI,5,0),1,0)*Table_NFI[[#This Row],[Plastic Mat]],Table_NFI[Plastic Mat])*IF(Table_NFI[[#This Row],[Distribution Date]]&gt;"2014-04-01",1,2.5)</f>
        <v>0</v>
      </c>
      <c r="AI710" s="294">
        <f>IF(NFI_Expiration=1,IF($A710&lt;VLOOKUP(R$5,NFI,5,0),1,0)*Table_NFI[[#This Row],[Winter Clothes Adult]],Table_NFI[Winter Clothes Adult])</f>
        <v>0</v>
      </c>
      <c r="AJ710" s="294">
        <f>IF(NFI_Expiration=1,IF($A710&lt;VLOOKUP(S$5,NFI,5,0),1,0)*Table_NFI[[#This Row],[Winter Clothes Children]],Table_NFI[Winter Clothes Children])</f>
        <v>0</v>
      </c>
      <c r="AK710" s="294">
        <f>IF(NFI_Expiration=1,IF($A710&lt;VLOOKUP(T$5,NFI,5,0),1,0)*Table_NFI[[#This Row],[Winter Items Other]],Table_NFI[Winter Items Other])</f>
        <v>0</v>
      </c>
      <c r="AL710" s="294">
        <f>IF(NFI_Expiration=1,IF($A710&lt;VLOOKUP(M$5,NFI,5,0),1,0)*Table_NFI[[#This Row],[Winter Blanket]],Table_NFI[[#This Row],[Winter Blanket]])</f>
        <v>0</v>
      </c>
      <c r="AM710" s="294">
        <f>IF(Table_NFI[[#This Row],[Winter Clothes Adult]]+Table_NFI[[#This Row],[Winter Clothes Children]]+Table_NFI[[#This Row],[Winter Items Other]]+Table_NFI[[#This Row],[Winter Blanket]]&gt;0,1,0)</f>
        <v>0</v>
      </c>
      <c r="AN710" s="331">
        <f>IF(NFI_Expiration=1,IF($A710&lt;VLOOKUP(V$5,NFI,5,0),1,0)*Table_NFI[[#This Row],[Jerry Can]],Table_NFI[Jerry Can])</f>
        <v>0</v>
      </c>
      <c r="AO710" s="331">
        <f>IF(NFI_Expiration=1,IF($A710&lt;VLOOKUP(V$5,NFI,5,0),1,0)*Table_NFI[[#This Row],[Shelter Tool kit]],Table_NFI[Shelter Tool kit])</f>
        <v>0</v>
      </c>
      <c r="AP710" s="331">
        <f>IF(NFI_Expiration=1,IF($A710&lt;VLOOKUP(V$5,NFI,5,0),1,0)*Table_NFI[[#This Row],[Tent]],Table_NFI[Tent])</f>
        <v>0</v>
      </c>
      <c r="AQ710" s="467" t="str">
        <f>IFERROR(VLOOKUP(Table_NFI[[#This Row],[Camp Name]],CL,2,0),"")</f>
        <v>MMR001CMP091</v>
      </c>
      <c r="AR710" s="835">
        <f ca="1">IF(Table_NFI[[#This Row],[Pcode]]="","",IF(OFFSET(CampList[Opening Date],MATCH(Table_NFI[[#This Row],[Pcode]],CampList[CP_Pcode],0)-1,0,1,1)&gt;=NFI_Monitor_Date,1,0))</f>
        <v>0</v>
      </c>
      <c r="AS710" s="467" t="str">
        <f>IFERROR(VLOOKUP(Table_NFI[[#This Row],[Camp Name]],CL,3,0),"")</f>
        <v>Open</v>
      </c>
      <c r="AT710" s="294" t="str">
        <f ca="1">IF(Table_NFI[[#This Row],[Pcode]]="","",OFFSET(CampList[Priority],MATCH(Table_NFI[[#This Row],[Pcode]],CampList[CP_Pcode],0)-1,0,1,1))</f>
        <v>P4</v>
      </c>
      <c r="AU710" s="293">
        <f>IFERROR(Table_NFI[[#This Row],[Kitchen Set]]/VLOOKUP(Table_NFI[[#This Row],[Camp Name]],CL,4,0),"")</f>
        <v>4.1340401731433294E-4</v>
      </c>
      <c r="AV710" s="461" t="s">
        <v>1092</v>
      </c>
      <c r="AW710" s="463"/>
    </row>
    <row r="711" spans="1:49" x14ac:dyDescent="0.25">
      <c r="A711" s="297">
        <f t="shared" si="11"/>
        <v>46.1</v>
      </c>
      <c r="B711" s="460">
        <v>41353</v>
      </c>
      <c r="C711" s="461" t="s">
        <v>452</v>
      </c>
      <c r="D711" s="461" t="s">
        <v>452</v>
      </c>
      <c r="E711" s="461" t="s">
        <v>380</v>
      </c>
      <c r="F711" s="290" t="s">
        <v>527</v>
      </c>
      <c r="G711" s="290" t="s">
        <v>39</v>
      </c>
      <c r="H711" s="291"/>
      <c r="I711" s="291"/>
      <c r="J711" s="291">
        <v>38</v>
      </c>
      <c r="K711" s="291">
        <v>11</v>
      </c>
      <c r="L711" s="292">
        <v>11</v>
      </c>
      <c r="M711" s="292">
        <v>87</v>
      </c>
      <c r="N711" s="292">
        <v>11</v>
      </c>
      <c r="O711" s="292">
        <v>26</v>
      </c>
      <c r="P711" s="294">
        <v>26</v>
      </c>
      <c r="Q711" s="294">
        <v>26</v>
      </c>
      <c r="R711" s="294"/>
      <c r="S711" s="294"/>
      <c r="T711" s="294"/>
      <c r="U711" s="294"/>
      <c r="V711" s="431"/>
      <c r="W711" s="294"/>
      <c r="X711" s="294"/>
      <c r="Y711" s="294">
        <f>IF(NFI_Expiration=1,IF($A711&lt;VLOOKUP(H$5,NFI,5,0),1,0)*Table_NFI[[#This Row],[Hygiene Kit]],Table_NFI[Hygiene Kit])</f>
        <v>0</v>
      </c>
      <c r="Z711" s="294">
        <f>IF(NFI_Expiration=1,IF($A711&lt;VLOOKUP(I$5,NFI,5,0),1,0)*Table_NFI[[#This Row],[NFI Core Kit]],Table_NFI[NFI Core Kit])</f>
        <v>0</v>
      </c>
      <c r="AA711" s="294">
        <f>IF(NFI_Expiration=1,IF($A711&lt;VLOOKUP(J$5,NFI,5,0),1,0)*Table_NFI[[#This Row],[Sanitary Kit]],Table_NFI[Sanitary Kit])</f>
        <v>0</v>
      </c>
      <c r="AB711" s="294">
        <f>IF(NFI_Expiration=1,IF($A711&lt;VLOOKUP(K$5,NFI,5,0),1,0)*Table_NFI[[#This Row],[Mosquito net]],Table_NFI[Mosquito net])</f>
        <v>0</v>
      </c>
      <c r="AC711" s="294">
        <f>IF(NFI_Expiration=1,IF($A711&lt;VLOOKUP(L$5,NFI,5,0),1,0)*Table_NFI[[#This Row],[Tarpaulin]],Table_NFI[[#This Row],[Tarpaulin]])</f>
        <v>0</v>
      </c>
      <c r="AD711" s="294">
        <f>IF(NFI_Expiration=1,IF($A711&lt;VLOOKUP(M$5,NFI,5,0),1,0)*Table_NFI[[#This Row],[Blanket]],Table_NFI[[#This Row],[Blanket]])</f>
        <v>0</v>
      </c>
      <c r="AE711" s="294">
        <f>IF(NFI_Expiration=1,IF($A711&lt;VLOOKUP(N$5,NFI,5,0),1,0)*Table_NFI[[#This Row],[Kitchen Set]],Table_NFI[Kitchen Set])</f>
        <v>0</v>
      </c>
      <c r="AF711" s="294">
        <f>IF(NFI_Expiration=1,IF($A711&lt;VLOOKUP(O$5,NFI,5,0),1,0)*Table_NFI[[#This Row],[Clothes Kit]],Table_NFI[Clothes Kit])</f>
        <v>0</v>
      </c>
      <c r="AG711" s="294">
        <f>IF(NFI_Expiration=1,IF($A711&lt;VLOOKUP(P$5,NFI,5,0),1,0)*Table_NFI[[#This Row],[Plastic Bucket]],Table_NFI[Plastic Bucket])</f>
        <v>0</v>
      </c>
      <c r="AH711" s="294">
        <f>IF(NFI_Expiration=1,IF($A711&lt;VLOOKUP(Q$5,NFI,5,0),1,0)*Table_NFI[[#This Row],[Plastic Mat]],Table_NFI[Plastic Mat])*IF(Table_NFI[[#This Row],[Distribution Date]]&gt;"2014-04-01",1,2.5)</f>
        <v>0</v>
      </c>
      <c r="AI711" s="294">
        <f>IF(NFI_Expiration=1,IF($A711&lt;VLOOKUP(R$5,NFI,5,0),1,0)*Table_NFI[[#This Row],[Winter Clothes Adult]],Table_NFI[Winter Clothes Adult])</f>
        <v>0</v>
      </c>
      <c r="AJ711" s="294">
        <f>IF(NFI_Expiration=1,IF($A711&lt;VLOOKUP(S$5,NFI,5,0),1,0)*Table_NFI[[#This Row],[Winter Clothes Children]],Table_NFI[Winter Clothes Children])</f>
        <v>0</v>
      </c>
      <c r="AK711" s="294">
        <f>IF(NFI_Expiration=1,IF($A711&lt;VLOOKUP(T$5,NFI,5,0),1,0)*Table_NFI[[#This Row],[Winter Items Other]],Table_NFI[Winter Items Other])</f>
        <v>0</v>
      </c>
      <c r="AL711" s="294">
        <f>IF(NFI_Expiration=1,IF($A711&lt;VLOOKUP(M$5,NFI,5,0),1,0)*Table_NFI[[#This Row],[Winter Blanket]],Table_NFI[[#This Row],[Winter Blanket]])</f>
        <v>0</v>
      </c>
      <c r="AM711" s="294">
        <f>IF(Table_NFI[[#This Row],[Winter Clothes Adult]]+Table_NFI[[#This Row],[Winter Clothes Children]]+Table_NFI[[#This Row],[Winter Items Other]]+Table_NFI[[#This Row],[Winter Blanket]]&gt;0,1,0)</f>
        <v>0</v>
      </c>
      <c r="AN711" s="331">
        <f>IF(NFI_Expiration=1,IF($A711&lt;VLOOKUP(V$5,NFI,5,0),1,0)*Table_NFI[[#This Row],[Jerry Can]],Table_NFI[Jerry Can])</f>
        <v>0</v>
      </c>
      <c r="AO711" s="331">
        <f>IF(NFI_Expiration=1,IF($A711&lt;VLOOKUP(V$5,NFI,5,0),1,0)*Table_NFI[[#This Row],[Shelter Tool kit]],Table_NFI[Shelter Tool kit])</f>
        <v>0</v>
      </c>
      <c r="AP711" s="331">
        <f>IF(NFI_Expiration=1,IF($A711&lt;VLOOKUP(V$5,NFI,5,0),1,0)*Table_NFI[[#This Row],[Tent]],Table_NFI[Tent])</f>
        <v>0</v>
      </c>
      <c r="AQ711" s="467" t="str">
        <f>IFERROR(VLOOKUP(Table_NFI[[#This Row],[Camp Name]],CL,2,0),"")</f>
        <v>MMR001CMP173</v>
      </c>
      <c r="AR711" s="835">
        <f ca="1">IF(Table_NFI[[#This Row],[Pcode]]="","",IF(OFFSET(CampList[Opening Date],MATCH(Table_NFI[[#This Row],[Pcode]],CampList[CP_Pcode],0)-1,0,1,1)&gt;=NFI_Monitor_Date,1,0))</f>
        <v>0</v>
      </c>
      <c r="AS711" s="467" t="str">
        <f>IFERROR(VLOOKUP(Table_NFI[[#This Row],[Camp Name]],CL,3,0),"")</f>
        <v>Closed</v>
      </c>
      <c r="AT711" s="294" t="str">
        <f ca="1">IF(Table_NFI[[#This Row],[Pcode]]="","",OFFSET(CampList[Priority],MATCH(Table_NFI[[#This Row],[Pcode]],CampList[CP_Pcode],0)-1,0,1,1))</f>
        <v/>
      </c>
      <c r="AU711" s="293" t="str">
        <f>IFERROR(Table_NFI[[#This Row],[Kitchen Set]]/VLOOKUP(Table_NFI[[#This Row],[Camp Name]],CL,4,0),"")</f>
        <v/>
      </c>
      <c r="AV711" s="461" t="s">
        <v>1092</v>
      </c>
      <c r="AW711" s="463"/>
    </row>
    <row r="712" spans="1:49" x14ac:dyDescent="0.25">
      <c r="A712" s="297">
        <f t="shared" si="11"/>
        <v>46.1</v>
      </c>
      <c r="B712" s="460">
        <v>41353</v>
      </c>
      <c r="C712" s="461" t="s">
        <v>452</v>
      </c>
      <c r="D712" s="462" t="s">
        <v>452</v>
      </c>
      <c r="E712" s="461" t="s">
        <v>380</v>
      </c>
      <c r="F712" s="290" t="s">
        <v>527</v>
      </c>
      <c r="G712" s="290" t="s">
        <v>70</v>
      </c>
      <c r="H712" s="291"/>
      <c r="I712" s="291"/>
      <c r="J712" s="291">
        <v>9</v>
      </c>
      <c r="K712" s="291">
        <v>6</v>
      </c>
      <c r="L712" s="292">
        <v>6</v>
      </c>
      <c r="M712" s="292">
        <v>15</v>
      </c>
      <c r="N712" s="292">
        <v>6</v>
      </c>
      <c r="O712" s="292">
        <v>15</v>
      </c>
      <c r="P712" s="294">
        <v>15</v>
      </c>
      <c r="Q712" s="294">
        <v>15</v>
      </c>
      <c r="R712" s="294"/>
      <c r="S712" s="294"/>
      <c r="T712" s="294"/>
      <c r="U712" s="294"/>
      <c r="V712" s="431"/>
      <c r="W712" s="294"/>
      <c r="X712" s="294"/>
      <c r="Y712" s="294">
        <f>IF(NFI_Expiration=1,IF($A712&lt;VLOOKUP(H$5,NFI,5,0),1,0)*Table_NFI[[#This Row],[Hygiene Kit]],Table_NFI[Hygiene Kit])</f>
        <v>0</v>
      </c>
      <c r="Z712" s="294">
        <f>IF(NFI_Expiration=1,IF($A712&lt;VLOOKUP(I$5,NFI,5,0),1,0)*Table_NFI[[#This Row],[NFI Core Kit]],Table_NFI[NFI Core Kit])</f>
        <v>0</v>
      </c>
      <c r="AA712" s="294">
        <f>IF(NFI_Expiration=1,IF($A712&lt;VLOOKUP(J$5,NFI,5,0),1,0)*Table_NFI[[#This Row],[Sanitary Kit]],Table_NFI[Sanitary Kit])</f>
        <v>0</v>
      </c>
      <c r="AB712" s="294">
        <f>IF(NFI_Expiration=1,IF($A712&lt;VLOOKUP(K$5,NFI,5,0),1,0)*Table_NFI[[#This Row],[Mosquito net]],Table_NFI[Mosquito net])</f>
        <v>0</v>
      </c>
      <c r="AC712" s="294">
        <f>IF(NFI_Expiration=1,IF($A712&lt;VLOOKUP(L$5,NFI,5,0),1,0)*Table_NFI[[#This Row],[Tarpaulin]],Table_NFI[[#This Row],[Tarpaulin]])</f>
        <v>0</v>
      </c>
      <c r="AD712" s="294">
        <f>IF(NFI_Expiration=1,IF($A712&lt;VLOOKUP(M$5,NFI,5,0),1,0)*Table_NFI[[#This Row],[Blanket]],Table_NFI[[#This Row],[Blanket]])</f>
        <v>0</v>
      </c>
      <c r="AE712" s="294">
        <f>IF(NFI_Expiration=1,IF($A712&lt;VLOOKUP(N$5,NFI,5,0),1,0)*Table_NFI[[#This Row],[Kitchen Set]],Table_NFI[Kitchen Set])</f>
        <v>0</v>
      </c>
      <c r="AF712" s="294">
        <f>IF(NFI_Expiration=1,IF($A712&lt;VLOOKUP(O$5,NFI,5,0),1,0)*Table_NFI[[#This Row],[Clothes Kit]],Table_NFI[Clothes Kit])</f>
        <v>0</v>
      </c>
      <c r="AG712" s="294">
        <f>IF(NFI_Expiration=1,IF($A712&lt;VLOOKUP(P$5,NFI,5,0),1,0)*Table_NFI[[#This Row],[Plastic Bucket]],Table_NFI[Plastic Bucket])</f>
        <v>0</v>
      </c>
      <c r="AH712" s="294">
        <f>IF(NFI_Expiration=1,IF($A712&lt;VLOOKUP(Q$5,NFI,5,0),1,0)*Table_NFI[[#This Row],[Plastic Mat]],Table_NFI[Plastic Mat])*IF(Table_NFI[[#This Row],[Distribution Date]]&gt;"2014-04-01",1,2.5)</f>
        <v>0</v>
      </c>
      <c r="AI712" s="294">
        <f>IF(NFI_Expiration=1,IF($A712&lt;VLOOKUP(R$5,NFI,5,0),1,0)*Table_NFI[[#This Row],[Winter Clothes Adult]],Table_NFI[Winter Clothes Adult])</f>
        <v>0</v>
      </c>
      <c r="AJ712" s="294">
        <f>IF(NFI_Expiration=1,IF($A712&lt;VLOOKUP(S$5,NFI,5,0),1,0)*Table_NFI[[#This Row],[Winter Clothes Children]],Table_NFI[Winter Clothes Children])</f>
        <v>0</v>
      </c>
      <c r="AK712" s="294">
        <f>IF(NFI_Expiration=1,IF($A712&lt;VLOOKUP(T$5,NFI,5,0),1,0)*Table_NFI[[#This Row],[Winter Items Other]],Table_NFI[Winter Items Other])</f>
        <v>0</v>
      </c>
      <c r="AL712" s="294">
        <f>IF(NFI_Expiration=1,IF($A712&lt;VLOOKUP(M$5,NFI,5,0),1,0)*Table_NFI[[#This Row],[Winter Blanket]],Table_NFI[[#This Row],[Winter Blanket]])</f>
        <v>0</v>
      </c>
      <c r="AM712" s="294">
        <f>IF(Table_NFI[[#This Row],[Winter Clothes Adult]]+Table_NFI[[#This Row],[Winter Clothes Children]]+Table_NFI[[#This Row],[Winter Items Other]]+Table_NFI[[#This Row],[Winter Blanket]]&gt;0,1,0)</f>
        <v>0</v>
      </c>
      <c r="AN712" s="331">
        <f>IF(NFI_Expiration=1,IF($A712&lt;VLOOKUP(V$5,NFI,5,0),1,0)*Table_NFI[[#This Row],[Jerry Can]],Table_NFI[Jerry Can])</f>
        <v>0</v>
      </c>
      <c r="AO712" s="331">
        <f>IF(NFI_Expiration=1,IF($A712&lt;VLOOKUP(V$5,NFI,5,0),1,0)*Table_NFI[[#This Row],[Shelter Tool kit]],Table_NFI[Shelter Tool kit])</f>
        <v>0</v>
      </c>
      <c r="AP712" s="331">
        <f>IF(NFI_Expiration=1,IF($A712&lt;VLOOKUP(V$5,NFI,5,0),1,0)*Table_NFI[[#This Row],[Tent]],Table_NFI[Tent])</f>
        <v>0</v>
      </c>
      <c r="AQ712" s="467" t="str">
        <f>IFERROR(VLOOKUP(Table_NFI[[#This Row],[Camp Name]],CL,2,0),"")</f>
        <v>MMR001CMP086</v>
      </c>
      <c r="AR712" s="835">
        <f ca="1">IF(Table_NFI[[#This Row],[Pcode]]="","",IF(OFFSET(CampList[Opening Date],MATCH(Table_NFI[[#This Row],[Pcode]],CampList[CP_Pcode],0)-1,0,1,1)&gt;=NFI_Monitor_Date,1,0))</f>
        <v>0</v>
      </c>
      <c r="AS712" s="467" t="str">
        <f>IFERROR(VLOOKUP(Table_NFI[[#This Row],[Camp Name]],CL,3,0),"")</f>
        <v>Closed</v>
      </c>
      <c r="AT712" s="294" t="str">
        <f ca="1">IF(Table_NFI[[#This Row],[Pcode]]="","",OFFSET(CampList[Priority],MATCH(Table_NFI[[#This Row],[Pcode]],CampList[CP_Pcode],0)-1,0,1,1))</f>
        <v/>
      </c>
      <c r="AU712" s="293" t="str">
        <f>IFERROR(Table_NFI[[#This Row],[Kitchen Set]]/VLOOKUP(Table_NFI[[#This Row],[Camp Name]],CL,4,0),"")</f>
        <v/>
      </c>
      <c r="AV712" s="461" t="s">
        <v>1092</v>
      </c>
      <c r="AW712" s="463"/>
    </row>
    <row r="713" spans="1:49" ht="14.45" customHeight="1" x14ac:dyDescent="0.25">
      <c r="A713" s="297">
        <f t="shared" si="11"/>
        <v>46.1</v>
      </c>
      <c r="B713" s="460">
        <v>41353</v>
      </c>
      <c r="C713" s="461" t="s">
        <v>452</v>
      </c>
      <c r="D713" s="461" t="s">
        <v>452</v>
      </c>
      <c r="E713" s="461" t="s">
        <v>380</v>
      </c>
      <c r="F713" s="461" t="s">
        <v>527</v>
      </c>
      <c r="G713" s="290" t="s">
        <v>84</v>
      </c>
      <c r="H713" s="291"/>
      <c r="I713" s="291"/>
      <c r="J713" s="291">
        <v>18</v>
      </c>
      <c r="K713" s="291">
        <v>17</v>
      </c>
      <c r="L713" s="292">
        <v>17</v>
      </c>
      <c r="M713" s="292">
        <v>42</v>
      </c>
      <c r="N713" s="292">
        <v>17</v>
      </c>
      <c r="O713" s="292">
        <v>42</v>
      </c>
      <c r="P713" s="294">
        <v>42</v>
      </c>
      <c r="Q713" s="294">
        <v>42</v>
      </c>
      <c r="R713" s="294"/>
      <c r="S713" s="294"/>
      <c r="T713" s="294"/>
      <c r="U713" s="294"/>
      <c r="V713" s="431"/>
      <c r="W713" s="294"/>
      <c r="X713" s="294"/>
      <c r="Y713" s="294">
        <f>IF(NFI_Expiration=1,IF($A713&lt;VLOOKUP(H$5,NFI,5,0),1,0)*Table_NFI[[#This Row],[Hygiene Kit]],Table_NFI[Hygiene Kit])</f>
        <v>0</v>
      </c>
      <c r="Z713" s="294">
        <f>IF(NFI_Expiration=1,IF($A713&lt;VLOOKUP(I$5,NFI,5,0),1,0)*Table_NFI[[#This Row],[NFI Core Kit]],Table_NFI[NFI Core Kit])</f>
        <v>0</v>
      </c>
      <c r="AA713" s="294">
        <f>IF(NFI_Expiration=1,IF($A713&lt;VLOOKUP(J$5,NFI,5,0),1,0)*Table_NFI[[#This Row],[Sanitary Kit]],Table_NFI[Sanitary Kit])</f>
        <v>0</v>
      </c>
      <c r="AB713" s="294">
        <f>IF(NFI_Expiration=1,IF($A713&lt;VLOOKUP(K$5,NFI,5,0),1,0)*Table_NFI[[#This Row],[Mosquito net]],Table_NFI[Mosquito net])</f>
        <v>0</v>
      </c>
      <c r="AC713" s="294">
        <f>IF(NFI_Expiration=1,IF($A713&lt;VLOOKUP(L$5,NFI,5,0),1,0)*Table_NFI[[#This Row],[Tarpaulin]],Table_NFI[[#This Row],[Tarpaulin]])</f>
        <v>0</v>
      </c>
      <c r="AD713" s="294">
        <f>IF(NFI_Expiration=1,IF($A713&lt;VLOOKUP(M$5,NFI,5,0),1,0)*Table_NFI[[#This Row],[Blanket]],Table_NFI[[#This Row],[Blanket]])</f>
        <v>0</v>
      </c>
      <c r="AE713" s="294">
        <f>IF(NFI_Expiration=1,IF($A713&lt;VLOOKUP(N$5,NFI,5,0),1,0)*Table_NFI[[#This Row],[Kitchen Set]],Table_NFI[Kitchen Set])</f>
        <v>0</v>
      </c>
      <c r="AF713" s="294">
        <f>IF(NFI_Expiration=1,IF($A713&lt;VLOOKUP(O$5,NFI,5,0),1,0)*Table_NFI[[#This Row],[Clothes Kit]],Table_NFI[Clothes Kit])</f>
        <v>0</v>
      </c>
      <c r="AG713" s="294">
        <f>IF(NFI_Expiration=1,IF($A713&lt;VLOOKUP(P$5,NFI,5,0),1,0)*Table_NFI[[#This Row],[Plastic Bucket]],Table_NFI[Plastic Bucket])</f>
        <v>0</v>
      </c>
      <c r="AH713" s="294">
        <f>IF(NFI_Expiration=1,IF($A713&lt;VLOOKUP(Q$5,NFI,5,0),1,0)*Table_NFI[[#This Row],[Plastic Mat]],Table_NFI[Plastic Mat])*IF(Table_NFI[[#This Row],[Distribution Date]]&gt;"2014-04-01",1,2.5)</f>
        <v>0</v>
      </c>
      <c r="AI713" s="294">
        <f>IF(NFI_Expiration=1,IF($A713&lt;VLOOKUP(R$5,NFI,5,0),1,0)*Table_NFI[[#This Row],[Winter Clothes Adult]],Table_NFI[Winter Clothes Adult])</f>
        <v>0</v>
      </c>
      <c r="AJ713" s="294">
        <f>IF(NFI_Expiration=1,IF($A713&lt;VLOOKUP(S$5,NFI,5,0),1,0)*Table_NFI[[#This Row],[Winter Clothes Children]],Table_NFI[Winter Clothes Children])</f>
        <v>0</v>
      </c>
      <c r="AK713" s="294">
        <f>IF(NFI_Expiration=1,IF($A713&lt;VLOOKUP(T$5,NFI,5,0),1,0)*Table_NFI[[#This Row],[Winter Items Other]],Table_NFI[Winter Items Other])</f>
        <v>0</v>
      </c>
      <c r="AL713" s="294">
        <f>IF(NFI_Expiration=1,IF($A713&lt;VLOOKUP(M$5,NFI,5,0),1,0)*Table_NFI[[#This Row],[Winter Blanket]],Table_NFI[[#This Row],[Winter Blanket]])</f>
        <v>0</v>
      </c>
      <c r="AM713" s="294">
        <f>IF(Table_NFI[[#This Row],[Winter Clothes Adult]]+Table_NFI[[#This Row],[Winter Clothes Children]]+Table_NFI[[#This Row],[Winter Items Other]]+Table_NFI[[#This Row],[Winter Blanket]]&gt;0,1,0)</f>
        <v>0</v>
      </c>
      <c r="AN713" s="331">
        <f>IF(NFI_Expiration=1,IF($A713&lt;VLOOKUP(V$5,NFI,5,0),1,0)*Table_NFI[[#This Row],[Jerry Can]],Table_NFI[Jerry Can])</f>
        <v>0</v>
      </c>
      <c r="AO713" s="331">
        <f>IF(NFI_Expiration=1,IF($A713&lt;VLOOKUP(V$5,NFI,5,0),1,0)*Table_NFI[[#This Row],[Shelter Tool kit]],Table_NFI[Shelter Tool kit])</f>
        <v>0</v>
      </c>
      <c r="AP713" s="331">
        <f>IF(NFI_Expiration=1,IF($A713&lt;VLOOKUP(V$5,NFI,5,0),1,0)*Table_NFI[[#This Row],[Tent]],Table_NFI[Tent])</f>
        <v>0</v>
      </c>
      <c r="AQ713" s="467" t="str">
        <f>IFERROR(VLOOKUP(Table_NFI[[#This Row],[Camp Name]],CL,2,0),"")</f>
        <v>MMR001CMP085</v>
      </c>
      <c r="AR713" s="835">
        <f ca="1">IF(Table_NFI[[#This Row],[Pcode]]="","",IF(OFFSET(CampList[Opening Date],MATCH(Table_NFI[[#This Row],[Pcode]],CampList[CP_Pcode],0)-1,0,1,1)&gt;=NFI_Monitor_Date,1,0))</f>
        <v>0</v>
      </c>
      <c r="AS713" s="467" t="str">
        <f>IFERROR(VLOOKUP(Table_NFI[[#This Row],[Camp Name]],CL,3,0),"")</f>
        <v>Closed</v>
      </c>
      <c r="AT713" s="294" t="str">
        <f ca="1">IF(Table_NFI[[#This Row],[Pcode]]="","",OFFSET(CampList[Priority],MATCH(Table_NFI[[#This Row],[Pcode]],CampList[CP_Pcode],0)-1,0,1,1))</f>
        <v/>
      </c>
      <c r="AU713" s="293" t="str">
        <f>IFERROR(Table_NFI[[#This Row],[Kitchen Set]]/VLOOKUP(Table_NFI[[#This Row],[Camp Name]],CL,4,0),"")</f>
        <v/>
      </c>
      <c r="AV713" s="461" t="s">
        <v>1092</v>
      </c>
      <c r="AW713" s="463"/>
    </row>
    <row r="714" spans="1:49" ht="14.45" customHeight="1" x14ac:dyDescent="0.25">
      <c r="A714" s="297">
        <f t="shared" si="11"/>
        <v>46.1</v>
      </c>
      <c r="B714" s="460">
        <v>41353</v>
      </c>
      <c r="C714" s="461" t="s">
        <v>452</v>
      </c>
      <c r="D714" s="462" t="s">
        <v>452</v>
      </c>
      <c r="E714" s="461" t="s">
        <v>380</v>
      </c>
      <c r="F714" s="290" t="s">
        <v>527</v>
      </c>
      <c r="G714" s="290" t="s">
        <v>142</v>
      </c>
      <c r="H714" s="291"/>
      <c r="I714" s="291"/>
      <c r="J714" s="291">
        <v>48</v>
      </c>
      <c r="K714" s="291">
        <v>48</v>
      </c>
      <c r="L714" s="292">
        <v>48</v>
      </c>
      <c r="M714" s="292">
        <v>98</v>
      </c>
      <c r="N714" s="292">
        <v>48</v>
      </c>
      <c r="O714" s="292">
        <v>98</v>
      </c>
      <c r="P714" s="294">
        <v>98</v>
      </c>
      <c r="Q714" s="294">
        <v>98</v>
      </c>
      <c r="R714" s="294"/>
      <c r="S714" s="294"/>
      <c r="T714" s="294"/>
      <c r="U714" s="294"/>
      <c r="V714" s="431"/>
      <c r="W714" s="294"/>
      <c r="X714" s="294"/>
      <c r="Y714" s="294">
        <f>IF(NFI_Expiration=1,IF($A714&lt;VLOOKUP(H$5,NFI,5,0),1,0)*Table_NFI[[#This Row],[Hygiene Kit]],Table_NFI[Hygiene Kit])</f>
        <v>0</v>
      </c>
      <c r="Z714" s="294">
        <f>IF(NFI_Expiration=1,IF($A714&lt;VLOOKUP(I$5,NFI,5,0),1,0)*Table_NFI[[#This Row],[NFI Core Kit]],Table_NFI[NFI Core Kit])</f>
        <v>0</v>
      </c>
      <c r="AA714" s="294">
        <f>IF(NFI_Expiration=1,IF($A714&lt;VLOOKUP(J$5,NFI,5,0),1,0)*Table_NFI[[#This Row],[Sanitary Kit]],Table_NFI[Sanitary Kit])</f>
        <v>0</v>
      </c>
      <c r="AB714" s="294">
        <f>IF(NFI_Expiration=1,IF($A714&lt;VLOOKUP(K$5,NFI,5,0),1,0)*Table_NFI[[#This Row],[Mosquito net]],Table_NFI[Mosquito net])</f>
        <v>0</v>
      </c>
      <c r="AC714" s="294">
        <f>IF(NFI_Expiration=1,IF($A714&lt;VLOOKUP(L$5,NFI,5,0),1,0)*Table_NFI[[#This Row],[Tarpaulin]],Table_NFI[[#This Row],[Tarpaulin]])</f>
        <v>0</v>
      </c>
      <c r="AD714" s="294">
        <f>IF(NFI_Expiration=1,IF($A714&lt;VLOOKUP(M$5,NFI,5,0),1,0)*Table_NFI[[#This Row],[Blanket]],Table_NFI[[#This Row],[Blanket]])</f>
        <v>0</v>
      </c>
      <c r="AE714" s="294">
        <f>IF(NFI_Expiration=1,IF($A714&lt;VLOOKUP(N$5,NFI,5,0),1,0)*Table_NFI[[#This Row],[Kitchen Set]],Table_NFI[Kitchen Set])</f>
        <v>0</v>
      </c>
      <c r="AF714" s="294">
        <f>IF(NFI_Expiration=1,IF($A714&lt;VLOOKUP(O$5,NFI,5,0),1,0)*Table_NFI[[#This Row],[Clothes Kit]],Table_NFI[Clothes Kit])</f>
        <v>0</v>
      </c>
      <c r="AG714" s="294">
        <f>IF(NFI_Expiration=1,IF($A714&lt;VLOOKUP(P$5,NFI,5,0),1,0)*Table_NFI[[#This Row],[Plastic Bucket]],Table_NFI[Plastic Bucket])</f>
        <v>0</v>
      </c>
      <c r="AH714" s="294">
        <f>IF(NFI_Expiration=1,IF($A714&lt;VLOOKUP(Q$5,NFI,5,0),1,0)*Table_NFI[[#This Row],[Plastic Mat]],Table_NFI[Plastic Mat])*IF(Table_NFI[[#This Row],[Distribution Date]]&gt;"2014-04-01",1,2.5)</f>
        <v>0</v>
      </c>
      <c r="AI714" s="294">
        <f>IF(NFI_Expiration=1,IF($A714&lt;VLOOKUP(R$5,NFI,5,0),1,0)*Table_NFI[[#This Row],[Winter Clothes Adult]],Table_NFI[Winter Clothes Adult])</f>
        <v>0</v>
      </c>
      <c r="AJ714" s="294">
        <f>IF(NFI_Expiration=1,IF($A714&lt;VLOOKUP(S$5,NFI,5,0),1,0)*Table_NFI[[#This Row],[Winter Clothes Children]],Table_NFI[Winter Clothes Children])</f>
        <v>0</v>
      </c>
      <c r="AK714" s="294">
        <f>IF(NFI_Expiration=1,IF($A714&lt;VLOOKUP(T$5,NFI,5,0),1,0)*Table_NFI[[#This Row],[Winter Items Other]],Table_NFI[Winter Items Other])</f>
        <v>0</v>
      </c>
      <c r="AL714" s="294">
        <f>IF(NFI_Expiration=1,IF($A714&lt;VLOOKUP(M$5,NFI,5,0),1,0)*Table_NFI[[#This Row],[Winter Blanket]],Table_NFI[[#This Row],[Winter Blanket]])</f>
        <v>0</v>
      </c>
      <c r="AM714" s="294">
        <f>IF(Table_NFI[[#This Row],[Winter Clothes Adult]]+Table_NFI[[#This Row],[Winter Clothes Children]]+Table_NFI[[#This Row],[Winter Items Other]]+Table_NFI[[#This Row],[Winter Blanket]]&gt;0,1,0)</f>
        <v>0</v>
      </c>
      <c r="AN714" s="331">
        <f>IF(NFI_Expiration=1,IF($A714&lt;VLOOKUP(V$5,NFI,5,0),1,0)*Table_NFI[[#This Row],[Jerry Can]],Table_NFI[Jerry Can])</f>
        <v>0</v>
      </c>
      <c r="AO714" s="331">
        <f>IF(NFI_Expiration=1,IF($A714&lt;VLOOKUP(V$5,NFI,5,0),1,0)*Table_NFI[[#This Row],[Shelter Tool kit]],Table_NFI[Shelter Tool kit])</f>
        <v>0</v>
      </c>
      <c r="AP714" s="331">
        <f>IF(NFI_Expiration=1,IF($A714&lt;VLOOKUP(V$5,NFI,5,0),1,0)*Table_NFI[[#This Row],[Tent]],Table_NFI[Tent])</f>
        <v>0</v>
      </c>
      <c r="AQ714" s="467" t="str">
        <f>IFERROR(VLOOKUP(Table_NFI[[#This Row],[Camp Name]],CL,2,0),"")</f>
        <v>MMR001CMP177</v>
      </c>
      <c r="AR714" s="835">
        <f ca="1">IF(Table_NFI[[#This Row],[Pcode]]="","",IF(OFFSET(CampList[Opening Date],MATCH(Table_NFI[[#This Row],[Pcode]],CampList[CP_Pcode],0)-1,0,1,1)&gt;=NFI_Monitor_Date,1,0))</f>
        <v>0</v>
      </c>
      <c r="AS714" s="467" t="str">
        <f>IFERROR(VLOOKUP(Table_NFI[[#This Row],[Camp Name]],CL,3,0),"")</f>
        <v>Closed</v>
      </c>
      <c r="AT714" s="294" t="str">
        <f ca="1">IF(Table_NFI[[#This Row],[Pcode]]="","",OFFSET(CampList[Priority],MATCH(Table_NFI[[#This Row],[Pcode]],CampList[CP_Pcode],0)-1,0,1,1))</f>
        <v/>
      </c>
      <c r="AU714" s="293">
        <f>IFERROR(Table_NFI[[#This Row],[Kitchen Set]]/VLOOKUP(Table_NFI[[#This Row],[Camp Name]],CL,4,0),"")</f>
        <v>1.162931556632344E-3</v>
      </c>
      <c r="AV714" s="461" t="s">
        <v>1092</v>
      </c>
      <c r="AW714" s="463"/>
    </row>
    <row r="715" spans="1:49" ht="14.45" customHeight="1" x14ac:dyDescent="0.25">
      <c r="A715" s="297">
        <f t="shared" si="11"/>
        <v>46.1</v>
      </c>
      <c r="B715" s="460">
        <v>41353</v>
      </c>
      <c r="C715" s="461" t="s">
        <v>452</v>
      </c>
      <c r="D715" s="462" t="s">
        <v>452</v>
      </c>
      <c r="E715" s="461" t="s">
        <v>380</v>
      </c>
      <c r="F715" s="290" t="s">
        <v>527</v>
      </c>
      <c r="G715" s="290" t="s">
        <v>74</v>
      </c>
      <c r="H715" s="291"/>
      <c r="I715" s="291"/>
      <c r="J715" s="291">
        <v>34</v>
      </c>
      <c r="K715" s="291">
        <v>26</v>
      </c>
      <c r="L715" s="292">
        <v>26</v>
      </c>
      <c r="M715" s="292">
        <v>60</v>
      </c>
      <c r="N715" s="292">
        <v>26</v>
      </c>
      <c r="O715" s="292">
        <v>60</v>
      </c>
      <c r="P715" s="294">
        <v>60</v>
      </c>
      <c r="Q715" s="294">
        <v>60</v>
      </c>
      <c r="R715" s="294"/>
      <c r="S715" s="294"/>
      <c r="T715" s="294"/>
      <c r="U715" s="294"/>
      <c r="V715" s="431"/>
      <c r="W715" s="294"/>
      <c r="X715" s="294"/>
      <c r="Y715" s="294">
        <f>IF(NFI_Expiration=1,IF($A715&lt;VLOOKUP(H$5,NFI,5,0),1,0)*Table_NFI[[#This Row],[Hygiene Kit]],Table_NFI[Hygiene Kit])</f>
        <v>0</v>
      </c>
      <c r="Z715" s="294">
        <f>IF(NFI_Expiration=1,IF($A715&lt;VLOOKUP(I$5,NFI,5,0),1,0)*Table_NFI[[#This Row],[NFI Core Kit]],Table_NFI[NFI Core Kit])</f>
        <v>0</v>
      </c>
      <c r="AA715" s="294">
        <f>IF(NFI_Expiration=1,IF($A715&lt;VLOOKUP(J$5,NFI,5,0),1,0)*Table_NFI[[#This Row],[Sanitary Kit]],Table_NFI[Sanitary Kit])</f>
        <v>0</v>
      </c>
      <c r="AB715" s="294">
        <f>IF(NFI_Expiration=1,IF($A715&lt;VLOOKUP(K$5,NFI,5,0),1,0)*Table_NFI[[#This Row],[Mosquito net]],Table_NFI[Mosquito net])</f>
        <v>0</v>
      </c>
      <c r="AC715" s="294">
        <f>IF(NFI_Expiration=1,IF($A715&lt;VLOOKUP(L$5,NFI,5,0),1,0)*Table_NFI[[#This Row],[Tarpaulin]],Table_NFI[[#This Row],[Tarpaulin]])</f>
        <v>0</v>
      </c>
      <c r="AD715" s="294">
        <f>IF(NFI_Expiration=1,IF($A715&lt;VLOOKUP(M$5,NFI,5,0),1,0)*Table_NFI[[#This Row],[Blanket]],Table_NFI[[#This Row],[Blanket]])</f>
        <v>0</v>
      </c>
      <c r="AE715" s="294">
        <f>IF(NFI_Expiration=1,IF($A715&lt;VLOOKUP(N$5,NFI,5,0),1,0)*Table_NFI[[#This Row],[Kitchen Set]],Table_NFI[Kitchen Set])</f>
        <v>0</v>
      </c>
      <c r="AF715" s="294">
        <f>IF(NFI_Expiration=1,IF($A715&lt;VLOOKUP(O$5,NFI,5,0),1,0)*Table_NFI[[#This Row],[Clothes Kit]],Table_NFI[Clothes Kit])</f>
        <v>0</v>
      </c>
      <c r="AG715" s="294">
        <f>IF(NFI_Expiration=1,IF($A715&lt;VLOOKUP(P$5,NFI,5,0),1,0)*Table_NFI[[#This Row],[Plastic Bucket]],Table_NFI[Plastic Bucket])</f>
        <v>0</v>
      </c>
      <c r="AH715" s="294">
        <f>IF(NFI_Expiration=1,IF($A715&lt;VLOOKUP(Q$5,NFI,5,0),1,0)*Table_NFI[[#This Row],[Plastic Mat]],Table_NFI[Plastic Mat])*IF(Table_NFI[[#This Row],[Distribution Date]]&gt;"2014-04-01",1,2.5)</f>
        <v>0</v>
      </c>
      <c r="AI715" s="294">
        <f>IF(NFI_Expiration=1,IF($A715&lt;VLOOKUP(R$5,NFI,5,0),1,0)*Table_NFI[[#This Row],[Winter Clothes Adult]],Table_NFI[Winter Clothes Adult])</f>
        <v>0</v>
      </c>
      <c r="AJ715" s="294">
        <f>IF(NFI_Expiration=1,IF($A715&lt;VLOOKUP(S$5,NFI,5,0),1,0)*Table_NFI[[#This Row],[Winter Clothes Children]],Table_NFI[Winter Clothes Children])</f>
        <v>0</v>
      </c>
      <c r="AK715" s="294">
        <f>IF(NFI_Expiration=1,IF($A715&lt;VLOOKUP(T$5,NFI,5,0),1,0)*Table_NFI[[#This Row],[Winter Items Other]],Table_NFI[Winter Items Other])</f>
        <v>0</v>
      </c>
      <c r="AL715" s="294">
        <f>IF(NFI_Expiration=1,IF($A715&lt;VLOOKUP(M$5,NFI,5,0),1,0)*Table_NFI[[#This Row],[Winter Blanket]],Table_NFI[[#This Row],[Winter Blanket]])</f>
        <v>0</v>
      </c>
      <c r="AM715" s="294">
        <f>IF(Table_NFI[[#This Row],[Winter Clothes Adult]]+Table_NFI[[#This Row],[Winter Clothes Children]]+Table_NFI[[#This Row],[Winter Items Other]]+Table_NFI[[#This Row],[Winter Blanket]]&gt;0,1,0)</f>
        <v>0</v>
      </c>
      <c r="AN715" s="331">
        <f>IF(NFI_Expiration=1,IF($A715&lt;VLOOKUP(V$5,NFI,5,0),1,0)*Table_NFI[[#This Row],[Jerry Can]],Table_NFI[Jerry Can])</f>
        <v>0</v>
      </c>
      <c r="AO715" s="331">
        <f>IF(NFI_Expiration=1,IF($A715&lt;VLOOKUP(V$5,NFI,5,0),1,0)*Table_NFI[[#This Row],[Shelter Tool kit]],Table_NFI[Shelter Tool kit])</f>
        <v>0</v>
      </c>
      <c r="AP715" s="331">
        <f>IF(NFI_Expiration=1,IF($A715&lt;VLOOKUP(V$5,NFI,5,0),1,0)*Table_NFI[[#This Row],[Tent]],Table_NFI[Tent])</f>
        <v>0</v>
      </c>
      <c r="AQ715" s="467" t="str">
        <f>IFERROR(VLOOKUP(Table_NFI[[#This Row],[Camp Name]],CL,2,0),"")</f>
        <v>MMR001CMP175</v>
      </c>
      <c r="AR715" s="835">
        <f ca="1">IF(Table_NFI[[#This Row],[Pcode]]="","",IF(OFFSET(CampList[Opening Date],MATCH(Table_NFI[[#This Row],[Pcode]],CampList[CP_Pcode],0)-1,0,1,1)&gt;=NFI_Monitor_Date,1,0))</f>
        <v>0</v>
      </c>
      <c r="AS715" s="467" t="str">
        <f>IFERROR(VLOOKUP(Table_NFI[[#This Row],[Camp Name]],CL,3,0),"")</f>
        <v>Closed</v>
      </c>
      <c r="AT715" s="294" t="str">
        <f ca="1">IF(Table_NFI[[#This Row],[Pcode]]="","",OFFSET(CampList[Priority],MATCH(Table_NFI[[#This Row],[Pcode]],CampList[CP_Pcode],0)-1,0,1,1))</f>
        <v/>
      </c>
      <c r="AU715" s="293" t="str">
        <f>IFERROR(Table_NFI[[#This Row],[Kitchen Set]]/VLOOKUP(Table_NFI[[#This Row],[Camp Name]],CL,4,0),"")</f>
        <v/>
      </c>
      <c r="AV715" s="461" t="s">
        <v>1092</v>
      </c>
      <c r="AW715" s="463"/>
    </row>
    <row r="716" spans="1:49" ht="14.45" customHeight="1" x14ac:dyDescent="0.25">
      <c r="A716" s="297">
        <f t="shared" si="11"/>
        <v>46.1</v>
      </c>
      <c r="B716" s="460">
        <v>41353</v>
      </c>
      <c r="C716" s="461" t="s">
        <v>452</v>
      </c>
      <c r="D716" s="461" t="s">
        <v>452</v>
      </c>
      <c r="E716" s="461" t="s">
        <v>380</v>
      </c>
      <c r="F716" s="290" t="s">
        <v>527</v>
      </c>
      <c r="G716" s="290" t="s">
        <v>514</v>
      </c>
      <c r="H716" s="291"/>
      <c r="I716" s="291"/>
      <c r="J716" s="291">
        <v>6</v>
      </c>
      <c r="K716" s="291">
        <v>0</v>
      </c>
      <c r="L716" s="292">
        <v>0</v>
      </c>
      <c r="M716" s="292">
        <v>11</v>
      </c>
      <c r="N716" s="292">
        <v>0</v>
      </c>
      <c r="O716" s="292">
        <v>0</v>
      </c>
      <c r="P716" s="294"/>
      <c r="Q716" s="294"/>
      <c r="R716" s="294"/>
      <c r="S716" s="294"/>
      <c r="T716" s="294"/>
      <c r="U716" s="294"/>
      <c r="V716" s="431"/>
      <c r="W716" s="294"/>
      <c r="X716" s="294"/>
      <c r="Y716" s="294">
        <f>IF(NFI_Expiration=1,IF($A716&lt;VLOOKUP(H$5,NFI,5,0),1,0)*Table_NFI[[#This Row],[Hygiene Kit]],Table_NFI[Hygiene Kit])</f>
        <v>0</v>
      </c>
      <c r="Z716" s="294">
        <f>IF(NFI_Expiration=1,IF($A716&lt;VLOOKUP(I$5,NFI,5,0),1,0)*Table_NFI[[#This Row],[NFI Core Kit]],Table_NFI[NFI Core Kit])</f>
        <v>0</v>
      </c>
      <c r="AA716" s="294">
        <f>IF(NFI_Expiration=1,IF($A716&lt;VLOOKUP(J$5,NFI,5,0),1,0)*Table_NFI[[#This Row],[Sanitary Kit]],Table_NFI[Sanitary Kit])</f>
        <v>0</v>
      </c>
      <c r="AB716" s="294">
        <f>IF(NFI_Expiration=1,IF($A716&lt;VLOOKUP(K$5,NFI,5,0),1,0)*Table_NFI[[#This Row],[Mosquito net]],Table_NFI[Mosquito net])</f>
        <v>0</v>
      </c>
      <c r="AC716" s="294">
        <f>IF(NFI_Expiration=1,IF($A716&lt;VLOOKUP(L$5,NFI,5,0),1,0)*Table_NFI[[#This Row],[Tarpaulin]],Table_NFI[[#This Row],[Tarpaulin]])</f>
        <v>0</v>
      </c>
      <c r="AD716" s="294">
        <f>IF(NFI_Expiration=1,IF($A716&lt;VLOOKUP(M$5,NFI,5,0),1,0)*Table_NFI[[#This Row],[Blanket]],Table_NFI[[#This Row],[Blanket]])</f>
        <v>0</v>
      </c>
      <c r="AE716" s="294">
        <f>IF(NFI_Expiration=1,IF($A716&lt;VLOOKUP(N$5,NFI,5,0),1,0)*Table_NFI[[#This Row],[Kitchen Set]],Table_NFI[Kitchen Set])</f>
        <v>0</v>
      </c>
      <c r="AF716" s="294">
        <f>IF(NFI_Expiration=1,IF($A716&lt;VLOOKUP(O$5,NFI,5,0),1,0)*Table_NFI[[#This Row],[Clothes Kit]],Table_NFI[Clothes Kit])</f>
        <v>0</v>
      </c>
      <c r="AG716" s="294">
        <f>IF(NFI_Expiration=1,IF($A716&lt;VLOOKUP(P$5,NFI,5,0),1,0)*Table_NFI[[#This Row],[Plastic Bucket]],Table_NFI[Plastic Bucket])</f>
        <v>0</v>
      </c>
      <c r="AH716" s="294">
        <f>IF(NFI_Expiration=1,IF($A716&lt;VLOOKUP(Q$5,NFI,5,0),1,0)*Table_NFI[[#This Row],[Plastic Mat]],Table_NFI[Plastic Mat])*IF(Table_NFI[[#This Row],[Distribution Date]]&gt;"2014-04-01",1,2.5)</f>
        <v>0</v>
      </c>
      <c r="AI716" s="294">
        <f>IF(NFI_Expiration=1,IF($A716&lt;VLOOKUP(R$5,NFI,5,0),1,0)*Table_NFI[[#This Row],[Winter Clothes Adult]],Table_NFI[Winter Clothes Adult])</f>
        <v>0</v>
      </c>
      <c r="AJ716" s="294">
        <f>IF(NFI_Expiration=1,IF($A716&lt;VLOOKUP(S$5,NFI,5,0),1,0)*Table_NFI[[#This Row],[Winter Clothes Children]],Table_NFI[Winter Clothes Children])</f>
        <v>0</v>
      </c>
      <c r="AK716" s="294">
        <f>IF(NFI_Expiration=1,IF($A716&lt;VLOOKUP(T$5,NFI,5,0),1,0)*Table_NFI[[#This Row],[Winter Items Other]],Table_NFI[Winter Items Other])</f>
        <v>0</v>
      </c>
      <c r="AL716" s="294">
        <f>IF(NFI_Expiration=1,IF($A716&lt;VLOOKUP(M$5,NFI,5,0),1,0)*Table_NFI[[#This Row],[Winter Blanket]],Table_NFI[[#This Row],[Winter Blanket]])</f>
        <v>0</v>
      </c>
      <c r="AM716" s="294">
        <f>IF(Table_NFI[[#This Row],[Winter Clothes Adult]]+Table_NFI[[#This Row],[Winter Clothes Children]]+Table_NFI[[#This Row],[Winter Items Other]]+Table_NFI[[#This Row],[Winter Blanket]]&gt;0,1,0)</f>
        <v>0</v>
      </c>
      <c r="AN716" s="331">
        <f>IF(NFI_Expiration=1,IF($A716&lt;VLOOKUP(V$5,NFI,5,0),1,0)*Table_NFI[[#This Row],[Jerry Can]],Table_NFI[Jerry Can])</f>
        <v>0</v>
      </c>
      <c r="AO716" s="331">
        <f>IF(NFI_Expiration=1,IF($A716&lt;VLOOKUP(V$5,NFI,5,0),1,0)*Table_NFI[[#This Row],[Shelter Tool kit]],Table_NFI[Shelter Tool kit])</f>
        <v>0</v>
      </c>
      <c r="AP716" s="331">
        <f>IF(NFI_Expiration=1,IF($A716&lt;VLOOKUP(V$5,NFI,5,0),1,0)*Table_NFI[[#This Row],[Tent]],Table_NFI[Tent])</f>
        <v>0</v>
      </c>
      <c r="AQ716" s="467" t="str">
        <f>IFERROR(VLOOKUP(Table_NFI[[#This Row],[Camp Name]],CL,2,0),"")</f>
        <v>MMR001CMP201</v>
      </c>
      <c r="AR716" s="835">
        <f ca="1">IF(Table_NFI[[#This Row],[Pcode]]="","",IF(OFFSET(CampList[Opening Date],MATCH(Table_NFI[[#This Row],[Pcode]],CampList[CP_Pcode],0)-1,0,1,1)&gt;=NFI_Monitor_Date,1,0))</f>
        <v>0</v>
      </c>
      <c r="AS716" s="467" t="str">
        <f>IFERROR(VLOOKUP(Table_NFI[[#This Row],[Camp Name]],CL,3,0),"")</f>
        <v>Closed</v>
      </c>
      <c r="AT716" s="294" t="str">
        <f ca="1">IF(Table_NFI[[#This Row],[Pcode]]="","",OFFSET(CampList[Priority],MATCH(Table_NFI[[#This Row],[Pcode]],CampList[CP_Pcode],0)-1,0,1,1))</f>
        <v/>
      </c>
      <c r="AU716" s="293" t="str">
        <f>IFERROR(Table_NFI[[#This Row],[Kitchen Set]]/VLOOKUP(Table_NFI[[#This Row],[Camp Name]],CL,4,0),"")</f>
        <v/>
      </c>
      <c r="AV716" s="461" t="s">
        <v>1092</v>
      </c>
      <c r="AW716" s="463"/>
    </row>
    <row r="717" spans="1:49" ht="14.45" customHeight="1" x14ac:dyDescent="0.25">
      <c r="A717" s="297">
        <f t="shared" si="11"/>
        <v>46.1</v>
      </c>
      <c r="B717" s="460">
        <v>41353</v>
      </c>
      <c r="C717" s="461" t="s">
        <v>452</v>
      </c>
      <c r="D717" s="462" t="s">
        <v>452</v>
      </c>
      <c r="E717" s="461" t="s">
        <v>380</v>
      </c>
      <c r="F717" s="290" t="s">
        <v>527</v>
      </c>
      <c r="G717" s="290" t="s">
        <v>126</v>
      </c>
      <c r="H717" s="291"/>
      <c r="I717" s="291"/>
      <c r="J717" s="291">
        <v>124</v>
      </c>
      <c r="K717" s="291">
        <v>117</v>
      </c>
      <c r="L717" s="292">
        <v>121</v>
      </c>
      <c r="M717" s="292">
        <v>227</v>
      </c>
      <c r="N717" s="292">
        <v>122</v>
      </c>
      <c r="O717" s="292">
        <v>263</v>
      </c>
      <c r="P717" s="294">
        <v>263</v>
      </c>
      <c r="Q717" s="294">
        <v>263</v>
      </c>
      <c r="R717" s="294"/>
      <c r="S717" s="294"/>
      <c r="T717" s="294"/>
      <c r="U717" s="294"/>
      <c r="V717" s="431"/>
      <c r="W717" s="294"/>
      <c r="X717" s="294"/>
      <c r="Y717" s="294">
        <f>IF(NFI_Expiration=1,IF($A717&lt;VLOOKUP(H$5,NFI,5,0),1,0)*Table_NFI[[#This Row],[Hygiene Kit]],Table_NFI[Hygiene Kit])</f>
        <v>0</v>
      </c>
      <c r="Z717" s="294">
        <f>IF(NFI_Expiration=1,IF($A717&lt;VLOOKUP(I$5,NFI,5,0),1,0)*Table_NFI[[#This Row],[NFI Core Kit]],Table_NFI[NFI Core Kit])</f>
        <v>0</v>
      </c>
      <c r="AA717" s="294">
        <f>IF(NFI_Expiration=1,IF($A717&lt;VLOOKUP(J$5,NFI,5,0),1,0)*Table_NFI[[#This Row],[Sanitary Kit]],Table_NFI[Sanitary Kit])</f>
        <v>0</v>
      </c>
      <c r="AB717" s="294">
        <f>IF(NFI_Expiration=1,IF($A717&lt;VLOOKUP(K$5,NFI,5,0),1,0)*Table_NFI[[#This Row],[Mosquito net]],Table_NFI[Mosquito net])</f>
        <v>0</v>
      </c>
      <c r="AC717" s="294">
        <f>IF(NFI_Expiration=1,IF($A717&lt;VLOOKUP(L$5,NFI,5,0),1,0)*Table_NFI[[#This Row],[Tarpaulin]],Table_NFI[[#This Row],[Tarpaulin]])</f>
        <v>0</v>
      </c>
      <c r="AD717" s="294">
        <f>IF(NFI_Expiration=1,IF($A717&lt;VLOOKUP(M$5,NFI,5,0),1,0)*Table_NFI[[#This Row],[Blanket]],Table_NFI[[#This Row],[Blanket]])</f>
        <v>0</v>
      </c>
      <c r="AE717" s="294">
        <f>IF(NFI_Expiration=1,IF($A717&lt;VLOOKUP(N$5,NFI,5,0),1,0)*Table_NFI[[#This Row],[Kitchen Set]],Table_NFI[Kitchen Set])</f>
        <v>0</v>
      </c>
      <c r="AF717" s="294">
        <f>IF(NFI_Expiration=1,IF($A717&lt;VLOOKUP(O$5,NFI,5,0),1,0)*Table_NFI[[#This Row],[Clothes Kit]],Table_NFI[Clothes Kit])</f>
        <v>0</v>
      </c>
      <c r="AG717" s="294">
        <f>IF(NFI_Expiration=1,IF($A717&lt;VLOOKUP(P$5,NFI,5,0),1,0)*Table_NFI[[#This Row],[Plastic Bucket]],Table_NFI[Plastic Bucket])</f>
        <v>0</v>
      </c>
      <c r="AH717" s="294">
        <f>IF(NFI_Expiration=1,IF($A717&lt;VLOOKUP(Q$5,NFI,5,0),1,0)*Table_NFI[[#This Row],[Plastic Mat]],Table_NFI[Plastic Mat])*IF(Table_NFI[[#This Row],[Distribution Date]]&gt;"2014-04-01",1,2.5)</f>
        <v>0</v>
      </c>
      <c r="AI717" s="294">
        <f>IF(NFI_Expiration=1,IF($A717&lt;VLOOKUP(R$5,NFI,5,0),1,0)*Table_NFI[[#This Row],[Winter Clothes Adult]],Table_NFI[Winter Clothes Adult])</f>
        <v>0</v>
      </c>
      <c r="AJ717" s="294">
        <f>IF(NFI_Expiration=1,IF($A717&lt;VLOOKUP(S$5,NFI,5,0),1,0)*Table_NFI[[#This Row],[Winter Clothes Children]],Table_NFI[Winter Clothes Children])</f>
        <v>0</v>
      </c>
      <c r="AK717" s="294">
        <f>IF(NFI_Expiration=1,IF($A717&lt;VLOOKUP(T$5,NFI,5,0),1,0)*Table_NFI[[#This Row],[Winter Items Other]],Table_NFI[Winter Items Other])</f>
        <v>0</v>
      </c>
      <c r="AL717" s="294">
        <f>IF(NFI_Expiration=1,IF($A717&lt;VLOOKUP(M$5,NFI,5,0),1,0)*Table_NFI[[#This Row],[Winter Blanket]],Table_NFI[[#This Row],[Winter Blanket]])</f>
        <v>0</v>
      </c>
      <c r="AM717" s="294">
        <f>IF(Table_NFI[[#This Row],[Winter Clothes Adult]]+Table_NFI[[#This Row],[Winter Clothes Children]]+Table_NFI[[#This Row],[Winter Items Other]]+Table_NFI[[#This Row],[Winter Blanket]]&gt;0,1,0)</f>
        <v>0</v>
      </c>
      <c r="AN717" s="331">
        <f>IF(NFI_Expiration=1,IF($A717&lt;VLOOKUP(V$5,NFI,5,0),1,0)*Table_NFI[[#This Row],[Jerry Can]],Table_NFI[Jerry Can])</f>
        <v>0</v>
      </c>
      <c r="AO717" s="331">
        <f>IF(NFI_Expiration=1,IF($A717&lt;VLOOKUP(V$5,NFI,5,0),1,0)*Table_NFI[[#This Row],[Shelter Tool kit]],Table_NFI[Shelter Tool kit])</f>
        <v>0</v>
      </c>
      <c r="AP717" s="331">
        <f>IF(NFI_Expiration=1,IF($A717&lt;VLOOKUP(V$5,NFI,5,0),1,0)*Table_NFI[[#This Row],[Tent]],Table_NFI[Tent])</f>
        <v>0</v>
      </c>
      <c r="AQ717" s="467" t="str">
        <f>IFERROR(VLOOKUP(Table_NFI[[#This Row],[Camp Name]],CL,2,0),"")</f>
        <v>MMR001CMP184</v>
      </c>
      <c r="AR717" s="835">
        <f ca="1">IF(Table_NFI[[#This Row],[Pcode]]="","",IF(OFFSET(CampList[Opening Date],MATCH(Table_NFI[[#This Row],[Pcode]],CampList[CP_Pcode],0)-1,0,1,1)&gt;=NFI_Monitor_Date,1,0))</f>
        <v>0</v>
      </c>
      <c r="AS717" s="467" t="str">
        <f>IFERROR(VLOOKUP(Table_NFI[[#This Row],[Camp Name]],CL,3,0),"")</f>
        <v>Open</v>
      </c>
      <c r="AT717" s="294" t="str">
        <f ca="1">IF(Table_NFI[[#This Row],[Pcode]]="","",OFFSET(CampList[Priority],MATCH(Table_NFI[[#This Row],[Pcode]],CampList[CP_Pcode],0)-1,0,1,1))</f>
        <v>P4</v>
      </c>
      <c r="AU717" s="293">
        <f>IFERROR(Table_NFI[[#This Row],[Kitchen Set]]/VLOOKUP(Table_NFI[[#This Row],[Camp Name]],CL,4,0),"")</f>
        <v>2.9557843731072078E-3</v>
      </c>
      <c r="AV717" s="461" t="s">
        <v>1092</v>
      </c>
      <c r="AW717" s="463"/>
    </row>
    <row r="718" spans="1:49" x14ac:dyDescent="0.25">
      <c r="A718" s="297">
        <f t="shared" si="11"/>
        <v>46.56666666666667</v>
      </c>
      <c r="B718" s="460">
        <v>41339</v>
      </c>
      <c r="C718" s="461" t="s">
        <v>452</v>
      </c>
      <c r="D718" s="461" t="s">
        <v>452</v>
      </c>
      <c r="E718" s="461" t="s">
        <v>380</v>
      </c>
      <c r="F718" s="461" t="s">
        <v>310</v>
      </c>
      <c r="G718" s="290" t="s">
        <v>324</v>
      </c>
      <c r="H718" s="291"/>
      <c r="I718" s="291"/>
      <c r="J718" s="291">
        <v>34</v>
      </c>
      <c r="K718" s="291">
        <v>73</v>
      </c>
      <c r="L718" s="292">
        <v>38</v>
      </c>
      <c r="M718" s="292">
        <v>73</v>
      </c>
      <c r="N718" s="292">
        <v>38</v>
      </c>
      <c r="O718" s="292">
        <v>33</v>
      </c>
      <c r="P718" s="294">
        <v>33</v>
      </c>
      <c r="Q718" s="294">
        <v>33</v>
      </c>
      <c r="R718" s="294"/>
      <c r="S718" s="294"/>
      <c r="T718" s="294"/>
      <c r="U718" s="294"/>
      <c r="V718" s="431"/>
      <c r="W718" s="331"/>
      <c r="X718" s="331"/>
      <c r="Y718" s="294">
        <f>IF(NFI_Expiration=1,IF($A718&lt;VLOOKUP(H$5,NFI,5,0),1,0)*Table_NFI[[#This Row],[Hygiene Kit]],Table_NFI[Hygiene Kit])</f>
        <v>0</v>
      </c>
      <c r="Z718" s="294">
        <f>IF(NFI_Expiration=1,IF($A718&lt;VLOOKUP(I$5,NFI,5,0),1,0)*Table_NFI[[#This Row],[NFI Core Kit]],Table_NFI[NFI Core Kit])</f>
        <v>0</v>
      </c>
      <c r="AA718" s="294">
        <f>IF(NFI_Expiration=1,IF($A718&lt;VLOOKUP(J$5,NFI,5,0),1,0)*Table_NFI[[#This Row],[Sanitary Kit]],Table_NFI[Sanitary Kit])</f>
        <v>0</v>
      </c>
      <c r="AB718" s="294">
        <f>IF(NFI_Expiration=1,IF($A718&lt;VLOOKUP(K$5,NFI,5,0),1,0)*Table_NFI[[#This Row],[Mosquito net]],Table_NFI[Mosquito net])</f>
        <v>0</v>
      </c>
      <c r="AC718" s="294">
        <f>IF(NFI_Expiration=1,IF($A718&lt;VLOOKUP(L$5,NFI,5,0),1,0)*Table_NFI[[#This Row],[Tarpaulin]],Table_NFI[[#This Row],[Tarpaulin]])</f>
        <v>0</v>
      </c>
      <c r="AD718" s="294">
        <f>IF(NFI_Expiration=1,IF($A718&lt;VLOOKUP(M$5,NFI,5,0),1,0)*Table_NFI[[#This Row],[Blanket]],Table_NFI[[#This Row],[Blanket]])</f>
        <v>0</v>
      </c>
      <c r="AE718" s="294">
        <f>IF(NFI_Expiration=1,IF($A718&lt;VLOOKUP(N$5,NFI,5,0),1,0)*Table_NFI[[#This Row],[Kitchen Set]],Table_NFI[Kitchen Set])</f>
        <v>0</v>
      </c>
      <c r="AF718" s="294">
        <f>IF(NFI_Expiration=1,IF($A718&lt;VLOOKUP(O$5,NFI,5,0),1,0)*Table_NFI[[#This Row],[Clothes Kit]],Table_NFI[Clothes Kit])</f>
        <v>0</v>
      </c>
      <c r="AG718" s="294">
        <f>IF(NFI_Expiration=1,IF($A718&lt;VLOOKUP(P$5,NFI,5,0),1,0)*Table_NFI[[#This Row],[Plastic Bucket]],Table_NFI[Plastic Bucket])</f>
        <v>0</v>
      </c>
      <c r="AH718" s="294">
        <f>IF(NFI_Expiration=1,IF($A718&lt;VLOOKUP(Q$5,NFI,5,0),1,0)*Table_NFI[[#This Row],[Plastic Mat]],Table_NFI[Plastic Mat])*IF(Table_NFI[[#This Row],[Distribution Date]]&gt;"2014-04-01",1,2.5)</f>
        <v>0</v>
      </c>
      <c r="AI718" s="294">
        <f>IF(NFI_Expiration=1,IF($A718&lt;VLOOKUP(R$5,NFI,5,0),1,0)*Table_NFI[[#This Row],[Winter Clothes Adult]],Table_NFI[Winter Clothes Adult])</f>
        <v>0</v>
      </c>
      <c r="AJ718" s="294">
        <f>IF(NFI_Expiration=1,IF($A718&lt;VLOOKUP(S$5,NFI,5,0),1,0)*Table_NFI[[#This Row],[Winter Clothes Children]],Table_NFI[Winter Clothes Children])</f>
        <v>0</v>
      </c>
      <c r="AK718" s="294">
        <f>IF(NFI_Expiration=1,IF($A718&lt;VLOOKUP(T$5,NFI,5,0),1,0)*Table_NFI[[#This Row],[Winter Items Other]],Table_NFI[Winter Items Other])</f>
        <v>0</v>
      </c>
      <c r="AL718" s="294">
        <f>IF(NFI_Expiration=1,IF($A718&lt;VLOOKUP(M$5,NFI,5,0),1,0)*Table_NFI[[#This Row],[Winter Blanket]],Table_NFI[[#This Row],[Winter Blanket]])</f>
        <v>0</v>
      </c>
      <c r="AM718" s="294">
        <f>IF(Table_NFI[[#This Row],[Winter Clothes Adult]]+Table_NFI[[#This Row],[Winter Clothes Children]]+Table_NFI[[#This Row],[Winter Items Other]]+Table_NFI[[#This Row],[Winter Blanket]]&gt;0,1,0)</f>
        <v>0</v>
      </c>
      <c r="AN718" s="331">
        <f>IF(NFI_Expiration=1,IF($A718&lt;VLOOKUP(V$5,NFI,5,0),1,0)*Table_NFI[[#This Row],[Jerry Can]],Table_NFI[Jerry Can])</f>
        <v>0</v>
      </c>
      <c r="AO718" s="331">
        <f>IF(NFI_Expiration=1,IF($A718&lt;VLOOKUP(V$5,NFI,5,0),1,0)*Table_NFI[[#This Row],[Shelter Tool kit]],Table_NFI[Shelter Tool kit])</f>
        <v>0</v>
      </c>
      <c r="AP718" s="331">
        <f>IF(NFI_Expiration=1,IF($A718&lt;VLOOKUP(V$5,NFI,5,0),1,0)*Table_NFI[[#This Row],[Tent]],Table_NFI[Tent])</f>
        <v>0</v>
      </c>
      <c r="AQ718" s="467" t="str">
        <f>IFERROR(VLOOKUP(Table_NFI[[#This Row],[Camp Name]],CL,2,0),"")</f>
        <v>MMR001CMP040</v>
      </c>
      <c r="AR718" s="835">
        <f ca="1">IF(Table_NFI[[#This Row],[Pcode]]="","",IF(OFFSET(CampList[Opening Date],MATCH(Table_NFI[[#This Row],[Pcode]],CampList[CP_Pcode],0)-1,0,1,1)&gt;=NFI_Monitor_Date,1,0))</f>
        <v>0</v>
      </c>
      <c r="AS718" s="467" t="str">
        <f>IFERROR(VLOOKUP(Table_NFI[[#This Row],[Camp Name]],CL,3,0),"")</f>
        <v>Open</v>
      </c>
      <c r="AT718" s="294" t="str">
        <f ca="1">IF(Table_NFI[[#This Row],[Pcode]]="","",OFFSET(CampList[Priority],MATCH(Table_NFI[[#This Row],[Pcode]],CampList[CP_Pcode],0)-1,0,1,1))</f>
        <v>P4</v>
      </c>
      <c r="AU718" s="293">
        <f>IFERROR(Table_NFI[[#This Row],[Kitchen Set]]/VLOOKUP(Table_NFI[[#This Row],[Camp Name]],CL,4,0),"")</f>
        <v>9.2545237573366456E-4</v>
      </c>
      <c r="AV718" s="461" t="s">
        <v>1092</v>
      </c>
      <c r="AW718" s="463"/>
    </row>
    <row r="719" spans="1:49" x14ac:dyDescent="0.25">
      <c r="A719" s="297">
        <f t="shared" si="11"/>
        <v>46.56666666666667</v>
      </c>
      <c r="B719" s="460">
        <v>41339</v>
      </c>
      <c r="C719" s="461" t="s">
        <v>452</v>
      </c>
      <c r="D719" s="462" t="s">
        <v>452</v>
      </c>
      <c r="E719" s="461" t="s">
        <v>380</v>
      </c>
      <c r="F719" s="290" t="s">
        <v>310</v>
      </c>
      <c r="G719" s="290" t="s">
        <v>318</v>
      </c>
      <c r="H719" s="291"/>
      <c r="I719" s="291"/>
      <c r="J719" s="291">
        <v>6</v>
      </c>
      <c r="K719" s="291">
        <v>11</v>
      </c>
      <c r="L719" s="292">
        <v>5</v>
      </c>
      <c r="M719" s="292">
        <v>11</v>
      </c>
      <c r="N719" s="292">
        <v>5</v>
      </c>
      <c r="O719" s="292">
        <v>5</v>
      </c>
      <c r="P719" s="294">
        <v>5</v>
      </c>
      <c r="Q719" s="294">
        <v>5</v>
      </c>
      <c r="R719" s="294"/>
      <c r="S719" s="294"/>
      <c r="T719" s="294"/>
      <c r="U719" s="294"/>
      <c r="V719" s="431"/>
      <c r="W719" s="331"/>
      <c r="X719" s="331"/>
      <c r="Y719" s="294">
        <f>IF(NFI_Expiration=1,IF($A719&lt;VLOOKUP(H$5,NFI,5,0),1,0)*Table_NFI[[#This Row],[Hygiene Kit]],Table_NFI[Hygiene Kit])</f>
        <v>0</v>
      </c>
      <c r="Z719" s="294">
        <f>IF(NFI_Expiration=1,IF($A719&lt;VLOOKUP(I$5,NFI,5,0),1,0)*Table_NFI[[#This Row],[NFI Core Kit]],Table_NFI[NFI Core Kit])</f>
        <v>0</v>
      </c>
      <c r="AA719" s="294">
        <f>IF(NFI_Expiration=1,IF($A719&lt;VLOOKUP(J$5,NFI,5,0),1,0)*Table_NFI[[#This Row],[Sanitary Kit]],Table_NFI[Sanitary Kit])</f>
        <v>0</v>
      </c>
      <c r="AB719" s="294">
        <f>IF(NFI_Expiration=1,IF($A719&lt;VLOOKUP(K$5,NFI,5,0),1,0)*Table_NFI[[#This Row],[Mosquito net]],Table_NFI[Mosquito net])</f>
        <v>0</v>
      </c>
      <c r="AC719" s="294">
        <f>IF(NFI_Expiration=1,IF($A719&lt;VLOOKUP(L$5,NFI,5,0),1,0)*Table_NFI[[#This Row],[Tarpaulin]],Table_NFI[[#This Row],[Tarpaulin]])</f>
        <v>0</v>
      </c>
      <c r="AD719" s="294">
        <f>IF(NFI_Expiration=1,IF($A719&lt;VLOOKUP(M$5,NFI,5,0),1,0)*Table_NFI[[#This Row],[Blanket]],Table_NFI[[#This Row],[Blanket]])</f>
        <v>0</v>
      </c>
      <c r="AE719" s="294">
        <f>IF(NFI_Expiration=1,IF($A719&lt;VLOOKUP(N$5,NFI,5,0),1,0)*Table_NFI[[#This Row],[Kitchen Set]],Table_NFI[Kitchen Set])</f>
        <v>0</v>
      </c>
      <c r="AF719" s="294">
        <f>IF(NFI_Expiration=1,IF($A719&lt;VLOOKUP(O$5,NFI,5,0),1,0)*Table_NFI[[#This Row],[Clothes Kit]],Table_NFI[Clothes Kit])</f>
        <v>0</v>
      </c>
      <c r="AG719" s="294">
        <f>IF(NFI_Expiration=1,IF($A719&lt;VLOOKUP(P$5,NFI,5,0),1,0)*Table_NFI[[#This Row],[Plastic Bucket]],Table_NFI[Plastic Bucket])</f>
        <v>0</v>
      </c>
      <c r="AH719" s="294">
        <f>IF(NFI_Expiration=1,IF($A719&lt;VLOOKUP(Q$5,NFI,5,0),1,0)*Table_NFI[[#This Row],[Plastic Mat]],Table_NFI[Plastic Mat])*IF(Table_NFI[[#This Row],[Distribution Date]]&gt;"2014-04-01",1,2.5)</f>
        <v>0</v>
      </c>
      <c r="AI719" s="294">
        <f>IF(NFI_Expiration=1,IF($A719&lt;VLOOKUP(R$5,NFI,5,0),1,0)*Table_NFI[[#This Row],[Winter Clothes Adult]],Table_NFI[Winter Clothes Adult])</f>
        <v>0</v>
      </c>
      <c r="AJ719" s="294">
        <f>IF(NFI_Expiration=1,IF($A719&lt;VLOOKUP(S$5,NFI,5,0),1,0)*Table_NFI[[#This Row],[Winter Clothes Children]],Table_NFI[Winter Clothes Children])</f>
        <v>0</v>
      </c>
      <c r="AK719" s="294">
        <f>IF(NFI_Expiration=1,IF($A719&lt;VLOOKUP(T$5,NFI,5,0),1,0)*Table_NFI[[#This Row],[Winter Items Other]],Table_NFI[Winter Items Other])</f>
        <v>0</v>
      </c>
      <c r="AL719" s="294">
        <f>IF(NFI_Expiration=1,IF($A719&lt;VLOOKUP(M$5,NFI,5,0),1,0)*Table_NFI[[#This Row],[Winter Blanket]],Table_NFI[[#This Row],[Winter Blanket]])</f>
        <v>0</v>
      </c>
      <c r="AM719" s="294">
        <f>IF(Table_NFI[[#This Row],[Winter Clothes Adult]]+Table_NFI[[#This Row],[Winter Clothes Children]]+Table_NFI[[#This Row],[Winter Items Other]]+Table_NFI[[#This Row],[Winter Blanket]]&gt;0,1,0)</f>
        <v>0</v>
      </c>
      <c r="AN719" s="331">
        <f>IF(NFI_Expiration=1,IF($A719&lt;VLOOKUP(V$5,NFI,5,0),1,0)*Table_NFI[[#This Row],[Jerry Can]],Table_NFI[Jerry Can])</f>
        <v>0</v>
      </c>
      <c r="AO719" s="331">
        <f>IF(NFI_Expiration=1,IF($A719&lt;VLOOKUP(V$5,NFI,5,0),1,0)*Table_NFI[[#This Row],[Shelter Tool kit]],Table_NFI[Shelter Tool kit])</f>
        <v>0</v>
      </c>
      <c r="AP719" s="331">
        <f>IF(NFI_Expiration=1,IF($A719&lt;VLOOKUP(V$5,NFI,5,0),1,0)*Table_NFI[[#This Row],[Tent]],Table_NFI[Tent])</f>
        <v>0</v>
      </c>
      <c r="AQ719" s="467" t="str">
        <f>IFERROR(VLOOKUP(Table_NFI[[#This Row],[Camp Name]],CL,2,0),"")</f>
        <v>MMR001CMP032</v>
      </c>
      <c r="AR719" s="835">
        <f ca="1">IF(Table_NFI[[#This Row],[Pcode]]="","",IF(OFFSET(CampList[Opening Date],MATCH(Table_NFI[[#This Row],[Pcode]],CampList[CP_Pcode],0)-1,0,1,1)&gt;=NFI_Monitor_Date,1,0))</f>
        <v>0</v>
      </c>
      <c r="AS719" s="467" t="str">
        <f>IFERROR(VLOOKUP(Table_NFI[[#This Row],[Camp Name]],CL,3,0),"")</f>
        <v>Open</v>
      </c>
      <c r="AT719" s="294" t="str">
        <f ca="1">IF(Table_NFI[[#This Row],[Pcode]]="","",OFFSET(CampList[Priority],MATCH(Table_NFI[[#This Row],[Pcode]],CampList[CP_Pcode],0)-1,0,1,1))</f>
        <v>P4</v>
      </c>
      <c r="AU719" s="293">
        <f>IFERROR(Table_NFI[[#This Row],[Kitchen Set]]/VLOOKUP(Table_NFI[[#This Row],[Camp Name]],CL,4,0),"")</f>
        <v>1.2277470841006753E-4</v>
      </c>
      <c r="AV719" s="461" t="s">
        <v>1092</v>
      </c>
      <c r="AW719" s="463"/>
    </row>
    <row r="720" spans="1:49" x14ac:dyDescent="0.25">
      <c r="A720" s="297">
        <f t="shared" si="11"/>
        <v>46.666666666666664</v>
      </c>
      <c r="B720" s="460">
        <v>41336</v>
      </c>
      <c r="C720" s="461" t="s">
        <v>905</v>
      </c>
      <c r="D720" s="462" t="s">
        <v>905</v>
      </c>
      <c r="E720" s="461" t="s">
        <v>380</v>
      </c>
      <c r="F720" s="290" t="s">
        <v>185</v>
      </c>
      <c r="G720" s="290" t="s">
        <v>225</v>
      </c>
      <c r="H720" s="291">
        <v>33</v>
      </c>
      <c r="I720" s="291"/>
      <c r="J720" s="291"/>
      <c r="K720" s="291"/>
      <c r="L720" s="292"/>
      <c r="M720" s="292"/>
      <c r="N720" s="292"/>
      <c r="O720" s="292"/>
      <c r="P720" s="294">
        <v>0</v>
      </c>
      <c r="Q720" s="294">
        <v>0</v>
      </c>
      <c r="R720" s="294"/>
      <c r="S720" s="294"/>
      <c r="T720" s="294"/>
      <c r="U720" s="294"/>
      <c r="V720" s="431"/>
      <c r="W720" s="331"/>
      <c r="X720" s="331"/>
      <c r="Y720" s="294">
        <f>IF(NFI_Expiration=1,IF($A720&lt;VLOOKUP(H$5,NFI,5,0),1,0)*Table_NFI[[#This Row],[Hygiene Kit]],Table_NFI[Hygiene Kit])</f>
        <v>0</v>
      </c>
      <c r="Z720" s="294">
        <f>IF(NFI_Expiration=1,IF($A720&lt;VLOOKUP(I$5,NFI,5,0),1,0)*Table_NFI[[#This Row],[NFI Core Kit]],Table_NFI[NFI Core Kit])</f>
        <v>0</v>
      </c>
      <c r="AA720" s="294">
        <f>IF(NFI_Expiration=1,IF($A720&lt;VLOOKUP(J$5,NFI,5,0),1,0)*Table_NFI[[#This Row],[Sanitary Kit]],Table_NFI[Sanitary Kit])</f>
        <v>0</v>
      </c>
      <c r="AB720" s="294">
        <f>IF(NFI_Expiration=1,IF($A720&lt;VLOOKUP(K$5,NFI,5,0),1,0)*Table_NFI[[#This Row],[Mosquito net]],Table_NFI[Mosquito net])</f>
        <v>0</v>
      </c>
      <c r="AC720" s="294">
        <f>IF(NFI_Expiration=1,IF($A720&lt;VLOOKUP(L$5,NFI,5,0),1,0)*Table_NFI[[#This Row],[Tarpaulin]],Table_NFI[[#This Row],[Tarpaulin]])</f>
        <v>0</v>
      </c>
      <c r="AD720" s="294">
        <f>IF(NFI_Expiration=1,IF($A720&lt;VLOOKUP(M$5,NFI,5,0),1,0)*Table_NFI[[#This Row],[Blanket]],Table_NFI[[#This Row],[Blanket]])</f>
        <v>0</v>
      </c>
      <c r="AE720" s="294">
        <f>IF(NFI_Expiration=1,IF($A720&lt;VLOOKUP(N$5,NFI,5,0),1,0)*Table_NFI[[#This Row],[Kitchen Set]],Table_NFI[Kitchen Set])</f>
        <v>0</v>
      </c>
      <c r="AF720" s="294">
        <f>IF(NFI_Expiration=1,IF($A720&lt;VLOOKUP(O$5,NFI,5,0),1,0)*Table_NFI[[#This Row],[Clothes Kit]],Table_NFI[Clothes Kit])</f>
        <v>0</v>
      </c>
      <c r="AG720" s="294">
        <f>IF(NFI_Expiration=1,IF($A720&lt;VLOOKUP(P$5,NFI,5,0),1,0)*Table_NFI[[#This Row],[Plastic Bucket]],Table_NFI[Plastic Bucket])</f>
        <v>0</v>
      </c>
      <c r="AH720" s="294">
        <f>IF(NFI_Expiration=1,IF($A720&lt;VLOOKUP(Q$5,NFI,5,0),1,0)*Table_NFI[[#This Row],[Plastic Mat]],Table_NFI[Plastic Mat])*IF(Table_NFI[[#This Row],[Distribution Date]]&gt;"2014-04-01",1,2.5)</f>
        <v>0</v>
      </c>
      <c r="AI720" s="294">
        <f>IF(NFI_Expiration=1,IF($A720&lt;VLOOKUP(R$5,NFI,5,0),1,0)*Table_NFI[[#This Row],[Winter Clothes Adult]],Table_NFI[Winter Clothes Adult])</f>
        <v>0</v>
      </c>
      <c r="AJ720" s="294">
        <f>IF(NFI_Expiration=1,IF($A720&lt;VLOOKUP(S$5,NFI,5,0),1,0)*Table_NFI[[#This Row],[Winter Clothes Children]],Table_NFI[Winter Clothes Children])</f>
        <v>0</v>
      </c>
      <c r="AK720" s="294">
        <f>IF(NFI_Expiration=1,IF($A720&lt;VLOOKUP(T$5,NFI,5,0),1,0)*Table_NFI[[#This Row],[Winter Items Other]],Table_NFI[Winter Items Other])</f>
        <v>0</v>
      </c>
      <c r="AL720" s="294">
        <f>IF(NFI_Expiration=1,IF($A720&lt;VLOOKUP(M$5,NFI,5,0),1,0)*Table_NFI[[#This Row],[Winter Blanket]],Table_NFI[[#This Row],[Winter Blanket]])</f>
        <v>0</v>
      </c>
      <c r="AM720" s="294">
        <f>IF(Table_NFI[[#This Row],[Winter Clothes Adult]]+Table_NFI[[#This Row],[Winter Clothes Children]]+Table_NFI[[#This Row],[Winter Items Other]]+Table_NFI[[#This Row],[Winter Blanket]]&gt;0,1,0)</f>
        <v>0</v>
      </c>
      <c r="AN720" s="331">
        <f>IF(NFI_Expiration=1,IF($A720&lt;VLOOKUP(V$5,NFI,5,0),1,0)*Table_NFI[[#This Row],[Jerry Can]],Table_NFI[Jerry Can])</f>
        <v>0</v>
      </c>
      <c r="AO720" s="331">
        <f>IF(NFI_Expiration=1,IF($A720&lt;VLOOKUP(V$5,NFI,5,0),1,0)*Table_NFI[[#This Row],[Shelter Tool kit]],Table_NFI[Shelter Tool kit])</f>
        <v>0</v>
      </c>
      <c r="AP720" s="331">
        <f>IF(NFI_Expiration=1,IF($A720&lt;VLOOKUP(V$5,NFI,5,0),1,0)*Table_NFI[[#This Row],[Tent]],Table_NFI[Tent])</f>
        <v>0</v>
      </c>
      <c r="AQ720" s="467" t="str">
        <f>IFERROR(VLOOKUP(Table_NFI[[#This Row],[Camp Name]],CL,2,0),"")</f>
        <v>MMR001CMP073</v>
      </c>
      <c r="AR720" s="835">
        <f ca="1">IF(Table_NFI[[#This Row],[Pcode]]="","",IF(OFFSET(CampList[Opening Date],MATCH(Table_NFI[[#This Row],[Pcode]],CampList[CP_Pcode],0)-1,0,1,1)&gt;=NFI_Monitor_Date,1,0))</f>
        <v>0</v>
      </c>
      <c r="AS720" s="467" t="str">
        <f>IFERROR(VLOOKUP(Table_NFI[[#This Row],[Camp Name]],CL,3,0),"")</f>
        <v>Open</v>
      </c>
      <c r="AT720" s="294" t="str">
        <f ca="1">IF(Table_NFI[[#This Row],[Pcode]]="","",OFFSET(CampList[Priority],MATCH(Table_NFI[[#This Row],[Pcode]],CampList[CP_Pcode],0)-1,0,1,1))</f>
        <v>P3</v>
      </c>
      <c r="AU720" s="293">
        <f>IFERROR(Table_NFI[[#This Row],[Kitchen Set]]/VLOOKUP(Table_NFI[[#This Row],[Camp Name]],CL,4,0),"")</f>
        <v>0</v>
      </c>
      <c r="AV720" s="461" t="s">
        <v>1092</v>
      </c>
      <c r="AW720" s="463"/>
    </row>
    <row r="721" spans="1:49" x14ac:dyDescent="0.25">
      <c r="A721" s="297">
        <f t="shared" si="11"/>
        <v>46.7</v>
      </c>
      <c r="B721" s="460">
        <v>41335</v>
      </c>
      <c r="C721" s="461" t="s">
        <v>905</v>
      </c>
      <c r="D721" s="462" t="s">
        <v>905</v>
      </c>
      <c r="E721" s="461" t="s">
        <v>380</v>
      </c>
      <c r="F721" s="290" t="s">
        <v>185</v>
      </c>
      <c r="G721" s="290" t="s">
        <v>186</v>
      </c>
      <c r="H721" s="291">
        <v>3</v>
      </c>
      <c r="I721" s="291"/>
      <c r="J721" s="291"/>
      <c r="K721" s="291"/>
      <c r="L721" s="292"/>
      <c r="M721" s="292"/>
      <c r="N721" s="292"/>
      <c r="O721" s="292"/>
      <c r="P721" s="294">
        <v>0</v>
      </c>
      <c r="Q721" s="294">
        <v>0</v>
      </c>
      <c r="R721" s="294"/>
      <c r="S721" s="294"/>
      <c r="T721" s="294"/>
      <c r="U721" s="294"/>
      <c r="V721" s="431"/>
      <c r="W721" s="331"/>
      <c r="X721" s="331"/>
      <c r="Y721" s="294">
        <f>IF(NFI_Expiration=1,IF($A721&lt;VLOOKUP(H$5,NFI,5,0),1,0)*Table_NFI[[#This Row],[Hygiene Kit]],Table_NFI[Hygiene Kit])</f>
        <v>0</v>
      </c>
      <c r="Z721" s="294">
        <f>IF(NFI_Expiration=1,IF($A721&lt;VLOOKUP(I$5,NFI,5,0),1,0)*Table_NFI[[#This Row],[NFI Core Kit]],Table_NFI[NFI Core Kit])</f>
        <v>0</v>
      </c>
      <c r="AA721" s="294">
        <f>IF(NFI_Expiration=1,IF($A721&lt;VLOOKUP(J$5,NFI,5,0),1,0)*Table_NFI[[#This Row],[Sanitary Kit]],Table_NFI[Sanitary Kit])</f>
        <v>0</v>
      </c>
      <c r="AB721" s="294">
        <f>IF(NFI_Expiration=1,IF($A721&lt;VLOOKUP(K$5,NFI,5,0),1,0)*Table_NFI[[#This Row],[Mosquito net]],Table_NFI[Mosquito net])</f>
        <v>0</v>
      </c>
      <c r="AC721" s="294">
        <f>IF(NFI_Expiration=1,IF($A721&lt;VLOOKUP(L$5,NFI,5,0),1,0)*Table_NFI[[#This Row],[Tarpaulin]],Table_NFI[[#This Row],[Tarpaulin]])</f>
        <v>0</v>
      </c>
      <c r="AD721" s="294">
        <f>IF(NFI_Expiration=1,IF($A721&lt;VLOOKUP(M$5,NFI,5,0),1,0)*Table_NFI[[#This Row],[Blanket]],Table_NFI[[#This Row],[Blanket]])</f>
        <v>0</v>
      </c>
      <c r="AE721" s="294">
        <f>IF(NFI_Expiration=1,IF($A721&lt;VLOOKUP(N$5,NFI,5,0),1,0)*Table_NFI[[#This Row],[Kitchen Set]],Table_NFI[Kitchen Set])</f>
        <v>0</v>
      </c>
      <c r="AF721" s="294">
        <f>IF(NFI_Expiration=1,IF($A721&lt;VLOOKUP(O$5,NFI,5,0),1,0)*Table_NFI[[#This Row],[Clothes Kit]],Table_NFI[Clothes Kit])</f>
        <v>0</v>
      </c>
      <c r="AG721" s="294">
        <f>IF(NFI_Expiration=1,IF($A721&lt;VLOOKUP(P$5,NFI,5,0),1,0)*Table_NFI[[#This Row],[Plastic Bucket]],Table_NFI[Plastic Bucket])</f>
        <v>0</v>
      </c>
      <c r="AH721" s="294">
        <f>IF(NFI_Expiration=1,IF($A721&lt;VLOOKUP(Q$5,NFI,5,0),1,0)*Table_NFI[[#This Row],[Plastic Mat]],Table_NFI[Plastic Mat])*IF(Table_NFI[[#This Row],[Distribution Date]]&gt;"2014-04-01",1,2.5)</f>
        <v>0</v>
      </c>
      <c r="AI721" s="294">
        <f>IF(NFI_Expiration=1,IF($A721&lt;VLOOKUP(R$5,NFI,5,0),1,0)*Table_NFI[[#This Row],[Winter Clothes Adult]],Table_NFI[Winter Clothes Adult])</f>
        <v>0</v>
      </c>
      <c r="AJ721" s="294">
        <f>IF(NFI_Expiration=1,IF($A721&lt;VLOOKUP(S$5,NFI,5,0),1,0)*Table_NFI[[#This Row],[Winter Clothes Children]],Table_NFI[Winter Clothes Children])</f>
        <v>0</v>
      </c>
      <c r="AK721" s="294">
        <f>IF(NFI_Expiration=1,IF($A721&lt;VLOOKUP(T$5,NFI,5,0),1,0)*Table_NFI[[#This Row],[Winter Items Other]],Table_NFI[Winter Items Other])</f>
        <v>0</v>
      </c>
      <c r="AL721" s="294">
        <f>IF(NFI_Expiration=1,IF($A721&lt;VLOOKUP(M$5,NFI,5,0),1,0)*Table_NFI[[#This Row],[Winter Blanket]],Table_NFI[[#This Row],[Winter Blanket]])</f>
        <v>0</v>
      </c>
      <c r="AM721" s="294">
        <f>IF(Table_NFI[[#This Row],[Winter Clothes Adult]]+Table_NFI[[#This Row],[Winter Clothes Children]]+Table_NFI[[#This Row],[Winter Items Other]]+Table_NFI[[#This Row],[Winter Blanket]]&gt;0,1,0)</f>
        <v>0</v>
      </c>
      <c r="AN721" s="331">
        <f>IF(NFI_Expiration=1,IF($A721&lt;VLOOKUP(V$5,NFI,5,0),1,0)*Table_NFI[[#This Row],[Jerry Can]],Table_NFI[Jerry Can])</f>
        <v>0</v>
      </c>
      <c r="AO721" s="331">
        <f>IF(NFI_Expiration=1,IF($A721&lt;VLOOKUP(V$5,NFI,5,0),1,0)*Table_NFI[[#This Row],[Shelter Tool kit]],Table_NFI[Shelter Tool kit])</f>
        <v>0</v>
      </c>
      <c r="AP721" s="331">
        <f>IF(NFI_Expiration=1,IF($A721&lt;VLOOKUP(V$5,NFI,5,0),1,0)*Table_NFI[[#This Row],[Tent]],Table_NFI[Tent])</f>
        <v>0</v>
      </c>
      <c r="AQ721" s="467" t="str">
        <f>IFERROR(VLOOKUP(Table_NFI[[#This Row],[Camp Name]],CL,2,0),"")</f>
        <v>MMR001CMP071</v>
      </c>
      <c r="AR721" s="835">
        <f ca="1">IF(Table_NFI[[#This Row],[Pcode]]="","",IF(OFFSET(CampList[Opening Date],MATCH(Table_NFI[[#This Row],[Pcode]],CampList[CP_Pcode],0)-1,0,1,1)&gt;=NFI_Monitor_Date,1,0))</f>
        <v>0</v>
      </c>
      <c r="AS721" s="467" t="str">
        <f>IFERROR(VLOOKUP(Table_NFI[[#This Row],[Camp Name]],CL,3,0),"")</f>
        <v>Open</v>
      </c>
      <c r="AT721" s="294" t="str">
        <f ca="1">IF(Table_NFI[[#This Row],[Pcode]]="","",OFFSET(CampList[Priority],MATCH(Table_NFI[[#This Row],[Pcode]],CampList[CP_Pcode],0)-1,0,1,1))</f>
        <v>P3</v>
      </c>
      <c r="AU721" s="293">
        <f>IFERROR(Table_NFI[[#This Row],[Kitchen Set]]/VLOOKUP(Table_NFI[[#This Row],[Camp Name]],CL,4,0),"")</f>
        <v>0</v>
      </c>
      <c r="AV721" s="461" t="s">
        <v>1092</v>
      </c>
      <c r="AW721" s="463"/>
    </row>
    <row r="722" spans="1:49" x14ac:dyDescent="0.25">
      <c r="A722" s="297">
        <f t="shared" si="11"/>
        <v>46.7</v>
      </c>
      <c r="B722" s="460">
        <v>41335</v>
      </c>
      <c r="C722" s="461" t="s">
        <v>905</v>
      </c>
      <c r="D722" s="462" t="s">
        <v>905</v>
      </c>
      <c r="E722" s="461" t="s">
        <v>380</v>
      </c>
      <c r="F722" s="290" t="s">
        <v>185</v>
      </c>
      <c r="G722" s="290" t="s">
        <v>190</v>
      </c>
      <c r="H722" s="291">
        <v>368</v>
      </c>
      <c r="I722" s="291"/>
      <c r="J722" s="291"/>
      <c r="K722" s="291"/>
      <c r="L722" s="292"/>
      <c r="M722" s="292"/>
      <c r="N722" s="292"/>
      <c r="O722" s="292"/>
      <c r="P722" s="294">
        <v>0</v>
      </c>
      <c r="Q722" s="294">
        <v>0</v>
      </c>
      <c r="R722" s="294"/>
      <c r="S722" s="294"/>
      <c r="T722" s="294"/>
      <c r="U722" s="294"/>
      <c r="V722" s="431"/>
      <c r="W722" s="331"/>
      <c r="X722" s="331"/>
      <c r="Y722" s="294">
        <f>IF(NFI_Expiration=1,IF($A722&lt;VLOOKUP(H$5,NFI,5,0),1,0)*Table_NFI[[#This Row],[Hygiene Kit]],Table_NFI[Hygiene Kit])</f>
        <v>0</v>
      </c>
      <c r="Z722" s="294">
        <f>IF(NFI_Expiration=1,IF($A722&lt;VLOOKUP(I$5,NFI,5,0),1,0)*Table_NFI[[#This Row],[NFI Core Kit]],Table_NFI[NFI Core Kit])</f>
        <v>0</v>
      </c>
      <c r="AA722" s="294">
        <f>IF(NFI_Expiration=1,IF($A722&lt;VLOOKUP(J$5,NFI,5,0),1,0)*Table_NFI[[#This Row],[Sanitary Kit]],Table_NFI[Sanitary Kit])</f>
        <v>0</v>
      </c>
      <c r="AB722" s="294">
        <f>IF(NFI_Expiration=1,IF($A722&lt;VLOOKUP(K$5,NFI,5,0),1,0)*Table_NFI[[#This Row],[Mosquito net]],Table_NFI[Mosquito net])</f>
        <v>0</v>
      </c>
      <c r="AC722" s="294">
        <f>IF(NFI_Expiration=1,IF($A722&lt;VLOOKUP(L$5,NFI,5,0),1,0)*Table_NFI[[#This Row],[Tarpaulin]],Table_NFI[[#This Row],[Tarpaulin]])</f>
        <v>0</v>
      </c>
      <c r="AD722" s="294">
        <f>IF(NFI_Expiration=1,IF($A722&lt;VLOOKUP(M$5,NFI,5,0),1,0)*Table_NFI[[#This Row],[Blanket]],Table_NFI[[#This Row],[Blanket]])</f>
        <v>0</v>
      </c>
      <c r="AE722" s="294">
        <f>IF(NFI_Expiration=1,IF($A722&lt;VLOOKUP(N$5,NFI,5,0),1,0)*Table_NFI[[#This Row],[Kitchen Set]],Table_NFI[Kitchen Set])</f>
        <v>0</v>
      </c>
      <c r="AF722" s="294">
        <f>IF(NFI_Expiration=1,IF($A722&lt;VLOOKUP(O$5,NFI,5,0),1,0)*Table_NFI[[#This Row],[Clothes Kit]],Table_NFI[Clothes Kit])</f>
        <v>0</v>
      </c>
      <c r="AG722" s="294">
        <f>IF(NFI_Expiration=1,IF($A722&lt;VLOOKUP(P$5,NFI,5,0),1,0)*Table_NFI[[#This Row],[Plastic Bucket]],Table_NFI[Plastic Bucket])</f>
        <v>0</v>
      </c>
      <c r="AH722" s="294">
        <f>IF(NFI_Expiration=1,IF($A722&lt;VLOOKUP(Q$5,NFI,5,0),1,0)*Table_NFI[[#This Row],[Plastic Mat]],Table_NFI[Plastic Mat])*IF(Table_NFI[[#This Row],[Distribution Date]]&gt;"2014-04-01",1,2.5)</f>
        <v>0</v>
      </c>
      <c r="AI722" s="294">
        <f>IF(NFI_Expiration=1,IF($A722&lt;VLOOKUP(R$5,NFI,5,0),1,0)*Table_NFI[[#This Row],[Winter Clothes Adult]],Table_NFI[Winter Clothes Adult])</f>
        <v>0</v>
      </c>
      <c r="AJ722" s="294">
        <f>IF(NFI_Expiration=1,IF($A722&lt;VLOOKUP(S$5,NFI,5,0),1,0)*Table_NFI[[#This Row],[Winter Clothes Children]],Table_NFI[Winter Clothes Children])</f>
        <v>0</v>
      </c>
      <c r="AK722" s="294">
        <f>IF(NFI_Expiration=1,IF($A722&lt;VLOOKUP(T$5,NFI,5,0),1,0)*Table_NFI[[#This Row],[Winter Items Other]],Table_NFI[Winter Items Other])</f>
        <v>0</v>
      </c>
      <c r="AL722" s="294">
        <f>IF(NFI_Expiration=1,IF($A722&lt;VLOOKUP(M$5,NFI,5,0),1,0)*Table_NFI[[#This Row],[Winter Blanket]],Table_NFI[[#This Row],[Winter Blanket]])</f>
        <v>0</v>
      </c>
      <c r="AM722" s="294">
        <f>IF(Table_NFI[[#This Row],[Winter Clothes Adult]]+Table_NFI[[#This Row],[Winter Clothes Children]]+Table_NFI[[#This Row],[Winter Items Other]]+Table_NFI[[#This Row],[Winter Blanket]]&gt;0,1,0)</f>
        <v>0</v>
      </c>
      <c r="AN722" s="331">
        <f>IF(NFI_Expiration=1,IF($A722&lt;VLOOKUP(V$5,NFI,5,0),1,0)*Table_NFI[[#This Row],[Jerry Can]],Table_NFI[Jerry Can])</f>
        <v>0</v>
      </c>
      <c r="AO722" s="331">
        <f>IF(NFI_Expiration=1,IF($A722&lt;VLOOKUP(V$5,NFI,5,0),1,0)*Table_NFI[[#This Row],[Shelter Tool kit]],Table_NFI[Shelter Tool kit])</f>
        <v>0</v>
      </c>
      <c r="AP722" s="331">
        <f>IF(NFI_Expiration=1,IF($A722&lt;VLOOKUP(V$5,NFI,5,0),1,0)*Table_NFI[[#This Row],[Tent]],Table_NFI[Tent])</f>
        <v>0</v>
      </c>
      <c r="AQ722" s="467" t="str">
        <f>IFERROR(VLOOKUP(Table_NFI[[#This Row],[Camp Name]],CL,2,0),"")</f>
        <v>MMR001CMP070</v>
      </c>
      <c r="AR722" s="835">
        <f ca="1">IF(Table_NFI[[#This Row],[Pcode]]="","",IF(OFFSET(CampList[Opening Date],MATCH(Table_NFI[[#This Row],[Pcode]],CampList[CP_Pcode],0)-1,0,1,1)&gt;=NFI_Monitor_Date,1,0))</f>
        <v>0</v>
      </c>
      <c r="AS722" s="467" t="str">
        <f>IFERROR(VLOOKUP(Table_NFI[[#This Row],[Camp Name]],CL,3,0),"")</f>
        <v>Open</v>
      </c>
      <c r="AT722" s="294" t="str">
        <f ca="1">IF(Table_NFI[[#This Row],[Pcode]]="","",OFFSET(CampList[Priority],MATCH(Table_NFI[[#This Row],[Pcode]],CampList[CP_Pcode],0)-1,0,1,1))</f>
        <v>P3</v>
      </c>
      <c r="AU722" s="293">
        <f>IFERROR(Table_NFI[[#This Row],[Kitchen Set]]/VLOOKUP(Table_NFI[[#This Row],[Camp Name]],CL,4,0),"")</f>
        <v>0</v>
      </c>
      <c r="AV722" s="461" t="s">
        <v>1092</v>
      </c>
      <c r="AW722" s="463"/>
    </row>
    <row r="723" spans="1:49" x14ac:dyDescent="0.25">
      <c r="A723" s="297">
        <f t="shared" si="11"/>
        <v>46.7</v>
      </c>
      <c r="B723" s="460">
        <v>41335</v>
      </c>
      <c r="C723" s="461" t="s">
        <v>905</v>
      </c>
      <c r="D723" s="461" t="s">
        <v>905</v>
      </c>
      <c r="E723" s="461" t="s">
        <v>380</v>
      </c>
      <c r="F723" s="290" t="s">
        <v>151</v>
      </c>
      <c r="G723" s="290" t="s">
        <v>154</v>
      </c>
      <c r="H723" s="291">
        <v>1542</v>
      </c>
      <c r="I723" s="291"/>
      <c r="J723" s="291"/>
      <c r="K723" s="291"/>
      <c r="L723" s="292"/>
      <c r="M723" s="292"/>
      <c r="N723" s="292"/>
      <c r="O723" s="292"/>
      <c r="P723" s="294">
        <v>0</v>
      </c>
      <c r="Q723" s="294">
        <v>0</v>
      </c>
      <c r="R723" s="294"/>
      <c r="S723" s="294"/>
      <c r="T723" s="294"/>
      <c r="U723" s="294"/>
      <c r="V723" s="431"/>
      <c r="W723" s="331"/>
      <c r="X723" s="331"/>
      <c r="Y723" s="294">
        <f>IF(NFI_Expiration=1,IF($A723&lt;VLOOKUP(H$5,NFI,5,0),1,0)*Table_NFI[[#This Row],[Hygiene Kit]],Table_NFI[Hygiene Kit])</f>
        <v>0</v>
      </c>
      <c r="Z723" s="294">
        <f>IF(NFI_Expiration=1,IF($A723&lt;VLOOKUP(I$5,NFI,5,0),1,0)*Table_NFI[[#This Row],[NFI Core Kit]],Table_NFI[NFI Core Kit])</f>
        <v>0</v>
      </c>
      <c r="AA723" s="294">
        <f>IF(NFI_Expiration=1,IF($A723&lt;VLOOKUP(J$5,NFI,5,0),1,0)*Table_NFI[[#This Row],[Sanitary Kit]],Table_NFI[Sanitary Kit])</f>
        <v>0</v>
      </c>
      <c r="AB723" s="294">
        <f>IF(NFI_Expiration=1,IF($A723&lt;VLOOKUP(K$5,NFI,5,0),1,0)*Table_NFI[[#This Row],[Mosquito net]],Table_NFI[Mosquito net])</f>
        <v>0</v>
      </c>
      <c r="AC723" s="294">
        <f>IF(NFI_Expiration=1,IF($A723&lt;VLOOKUP(L$5,NFI,5,0),1,0)*Table_NFI[[#This Row],[Tarpaulin]],Table_NFI[[#This Row],[Tarpaulin]])</f>
        <v>0</v>
      </c>
      <c r="AD723" s="294">
        <f>IF(NFI_Expiration=1,IF($A723&lt;VLOOKUP(M$5,NFI,5,0),1,0)*Table_NFI[[#This Row],[Blanket]],Table_NFI[[#This Row],[Blanket]])</f>
        <v>0</v>
      </c>
      <c r="AE723" s="294">
        <f>IF(NFI_Expiration=1,IF($A723&lt;VLOOKUP(N$5,NFI,5,0),1,0)*Table_NFI[[#This Row],[Kitchen Set]],Table_NFI[Kitchen Set])</f>
        <v>0</v>
      </c>
      <c r="AF723" s="294">
        <f>IF(NFI_Expiration=1,IF($A723&lt;VLOOKUP(O$5,NFI,5,0),1,0)*Table_NFI[[#This Row],[Clothes Kit]],Table_NFI[Clothes Kit])</f>
        <v>0</v>
      </c>
      <c r="AG723" s="294">
        <f>IF(NFI_Expiration=1,IF($A723&lt;VLOOKUP(P$5,NFI,5,0),1,0)*Table_NFI[[#This Row],[Plastic Bucket]],Table_NFI[Plastic Bucket])</f>
        <v>0</v>
      </c>
      <c r="AH723" s="294">
        <f>IF(NFI_Expiration=1,IF($A723&lt;VLOOKUP(Q$5,NFI,5,0),1,0)*Table_NFI[[#This Row],[Plastic Mat]],Table_NFI[Plastic Mat])*IF(Table_NFI[[#This Row],[Distribution Date]]&gt;"2014-04-01",1,2.5)</f>
        <v>0</v>
      </c>
      <c r="AI723" s="294">
        <f>IF(NFI_Expiration=1,IF($A723&lt;VLOOKUP(R$5,NFI,5,0),1,0)*Table_NFI[[#This Row],[Winter Clothes Adult]],Table_NFI[Winter Clothes Adult])</f>
        <v>0</v>
      </c>
      <c r="AJ723" s="294">
        <f>IF(NFI_Expiration=1,IF($A723&lt;VLOOKUP(S$5,NFI,5,0),1,0)*Table_NFI[[#This Row],[Winter Clothes Children]],Table_NFI[Winter Clothes Children])</f>
        <v>0</v>
      </c>
      <c r="AK723" s="294">
        <f>IF(NFI_Expiration=1,IF($A723&lt;VLOOKUP(T$5,NFI,5,0),1,0)*Table_NFI[[#This Row],[Winter Items Other]],Table_NFI[Winter Items Other])</f>
        <v>0</v>
      </c>
      <c r="AL723" s="294">
        <f>IF(NFI_Expiration=1,IF($A723&lt;VLOOKUP(M$5,NFI,5,0),1,0)*Table_NFI[[#This Row],[Winter Blanket]],Table_NFI[[#This Row],[Winter Blanket]])</f>
        <v>0</v>
      </c>
      <c r="AM723" s="294">
        <f>IF(Table_NFI[[#This Row],[Winter Clothes Adult]]+Table_NFI[[#This Row],[Winter Clothes Children]]+Table_NFI[[#This Row],[Winter Items Other]]+Table_NFI[[#This Row],[Winter Blanket]]&gt;0,1,0)</f>
        <v>0</v>
      </c>
      <c r="AN723" s="331">
        <f>IF(NFI_Expiration=1,IF($A723&lt;VLOOKUP(V$5,NFI,5,0),1,0)*Table_NFI[[#This Row],[Jerry Can]],Table_NFI[Jerry Can])</f>
        <v>0</v>
      </c>
      <c r="AO723" s="331">
        <f>IF(NFI_Expiration=1,IF($A723&lt;VLOOKUP(V$5,NFI,5,0),1,0)*Table_NFI[[#This Row],[Shelter Tool kit]],Table_NFI[Shelter Tool kit])</f>
        <v>0</v>
      </c>
      <c r="AP723" s="331">
        <f>IF(NFI_Expiration=1,IF($A723&lt;VLOOKUP(V$5,NFI,5,0),1,0)*Table_NFI[[#This Row],[Tent]],Table_NFI[Tent])</f>
        <v>0</v>
      </c>
      <c r="AQ723" s="467" t="str">
        <f>IFERROR(VLOOKUP(Table_NFI[[#This Row],[Camp Name]],CL,2,0),"")</f>
        <v>MMR001CMP132</v>
      </c>
      <c r="AR723" s="835">
        <f ca="1">IF(Table_NFI[[#This Row],[Pcode]]="","",IF(OFFSET(CampList[Opening Date],MATCH(Table_NFI[[#This Row],[Pcode]],CampList[CP_Pcode],0)-1,0,1,1)&gt;=NFI_Monitor_Date,1,0))</f>
        <v>0</v>
      </c>
      <c r="AS723" s="467" t="str">
        <f>IFERROR(VLOOKUP(Table_NFI[[#This Row],[Camp Name]],CL,3,0),"")</f>
        <v>Open</v>
      </c>
      <c r="AT723" s="294" t="str">
        <f ca="1">IF(Table_NFI[[#This Row],[Pcode]]="","",OFFSET(CampList[Priority],MATCH(Table_NFI[[#This Row],[Pcode]],CampList[CP_Pcode],0)-1,0,1,1))</f>
        <v>P4</v>
      </c>
      <c r="AU723" s="293">
        <f>IFERROR(Table_NFI[[#This Row],[Kitchen Set]]/VLOOKUP(Table_NFI[[#This Row],[Camp Name]],CL,4,0),"")</f>
        <v>0</v>
      </c>
      <c r="AV723" s="461" t="s">
        <v>1092</v>
      </c>
      <c r="AW723" s="463"/>
    </row>
    <row r="724" spans="1:49" x14ac:dyDescent="0.25">
      <c r="A724" s="297">
        <f t="shared" si="11"/>
        <v>46.8</v>
      </c>
      <c r="B724" s="460">
        <v>41332</v>
      </c>
      <c r="C724" s="461" t="s">
        <v>452</v>
      </c>
      <c r="D724" s="462" t="s">
        <v>452</v>
      </c>
      <c r="E724" s="461" t="s">
        <v>380</v>
      </c>
      <c r="F724" s="290" t="s">
        <v>310</v>
      </c>
      <c r="G724" s="290" t="s">
        <v>328</v>
      </c>
      <c r="H724" s="291"/>
      <c r="I724" s="291"/>
      <c r="J724" s="291">
        <v>23</v>
      </c>
      <c r="K724" s="291">
        <v>40</v>
      </c>
      <c r="L724" s="292">
        <v>18</v>
      </c>
      <c r="M724" s="292">
        <v>40</v>
      </c>
      <c r="N724" s="292">
        <v>18</v>
      </c>
      <c r="O724" s="292">
        <v>18</v>
      </c>
      <c r="P724" s="294">
        <v>18</v>
      </c>
      <c r="Q724" s="294">
        <v>18</v>
      </c>
      <c r="R724" s="294"/>
      <c r="S724" s="294"/>
      <c r="T724" s="294"/>
      <c r="U724" s="294"/>
      <c r="V724" s="431"/>
      <c r="W724" s="294"/>
      <c r="X724" s="294"/>
      <c r="Y724" s="294">
        <f>IF(NFI_Expiration=1,IF($A724&lt;VLOOKUP(H$5,NFI,5,0),1,0)*Table_NFI[[#This Row],[Hygiene Kit]],Table_NFI[Hygiene Kit])</f>
        <v>0</v>
      </c>
      <c r="Z724" s="294">
        <f>IF(NFI_Expiration=1,IF($A724&lt;VLOOKUP(I$5,NFI,5,0),1,0)*Table_NFI[[#This Row],[NFI Core Kit]],Table_NFI[NFI Core Kit])</f>
        <v>0</v>
      </c>
      <c r="AA724" s="294">
        <f>IF(NFI_Expiration=1,IF($A724&lt;VLOOKUP(J$5,NFI,5,0),1,0)*Table_NFI[[#This Row],[Sanitary Kit]],Table_NFI[Sanitary Kit])</f>
        <v>0</v>
      </c>
      <c r="AB724" s="294">
        <f>IF(NFI_Expiration=1,IF($A724&lt;VLOOKUP(K$5,NFI,5,0),1,0)*Table_NFI[[#This Row],[Mosquito net]],Table_NFI[Mosquito net])</f>
        <v>0</v>
      </c>
      <c r="AC724" s="294">
        <f>IF(NFI_Expiration=1,IF($A724&lt;VLOOKUP(L$5,NFI,5,0),1,0)*Table_NFI[[#This Row],[Tarpaulin]],Table_NFI[[#This Row],[Tarpaulin]])</f>
        <v>0</v>
      </c>
      <c r="AD724" s="294">
        <f>IF(NFI_Expiration=1,IF($A724&lt;VLOOKUP(M$5,NFI,5,0),1,0)*Table_NFI[[#This Row],[Blanket]],Table_NFI[[#This Row],[Blanket]])</f>
        <v>0</v>
      </c>
      <c r="AE724" s="294">
        <f>IF(NFI_Expiration=1,IF($A724&lt;VLOOKUP(N$5,NFI,5,0),1,0)*Table_NFI[[#This Row],[Kitchen Set]],Table_NFI[Kitchen Set])</f>
        <v>0</v>
      </c>
      <c r="AF724" s="294">
        <f>IF(NFI_Expiration=1,IF($A724&lt;VLOOKUP(O$5,NFI,5,0),1,0)*Table_NFI[[#This Row],[Clothes Kit]],Table_NFI[Clothes Kit])</f>
        <v>0</v>
      </c>
      <c r="AG724" s="294">
        <f>IF(NFI_Expiration=1,IF($A724&lt;VLOOKUP(P$5,NFI,5,0),1,0)*Table_NFI[[#This Row],[Plastic Bucket]],Table_NFI[Plastic Bucket])</f>
        <v>0</v>
      </c>
      <c r="AH724" s="294">
        <f>IF(NFI_Expiration=1,IF($A724&lt;VLOOKUP(Q$5,NFI,5,0),1,0)*Table_NFI[[#This Row],[Plastic Mat]],Table_NFI[Plastic Mat])*IF(Table_NFI[[#This Row],[Distribution Date]]&gt;"2014-04-01",1,2.5)</f>
        <v>0</v>
      </c>
      <c r="AI724" s="294">
        <f>IF(NFI_Expiration=1,IF($A724&lt;VLOOKUP(R$5,NFI,5,0),1,0)*Table_NFI[[#This Row],[Winter Clothes Adult]],Table_NFI[Winter Clothes Adult])</f>
        <v>0</v>
      </c>
      <c r="AJ724" s="294">
        <f>IF(NFI_Expiration=1,IF($A724&lt;VLOOKUP(S$5,NFI,5,0),1,0)*Table_NFI[[#This Row],[Winter Clothes Children]],Table_NFI[Winter Clothes Children])</f>
        <v>0</v>
      </c>
      <c r="AK724" s="294">
        <f>IF(NFI_Expiration=1,IF($A724&lt;VLOOKUP(T$5,NFI,5,0),1,0)*Table_NFI[[#This Row],[Winter Items Other]],Table_NFI[Winter Items Other])</f>
        <v>0</v>
      </c>
      <c r="AL724" s="294">
        <f>IF(NFI_Expiration=1,IF($A724&lt;VLOOKUP(M$5,NFI,5,0),1,0)*Table_NFI[[#This Row],[Winter Blanket]],Table_NFI[[#This Row],[Winter Blanket]])</f>
        <v>0</v>
      </c>
      <c r="AM724" s="294">
        <f>IF(Table_NFI[[#This Row],[Winter Clothes Adult]]+Table_NFI[[#This Row],[Winter Clothes Children]]+Table_NFI[[#This Row],[Winter Items Other]]+Table_NFI[[#This Row],[Winter Blanket]]&gt;0,1,0)</f>
        <v>0</v>
      </c>
      <c r="AN724" s="331">
        <f>IF(NFI_Expiration=1,IF($A724&lt;VLOOKUP(V$5,NFI,5,0),1,0)*Table_NFI[[#This Row],[Jerry Can]],Table_NFI[Jerry Can])</f>
        <v>0</v>
      </c>
      <c r="AO724" s="331">
        <f>IF(NFI_Expiration=1,IF($A724&lt;VLOOKUP(V$5,NFI,5,0),1,0)*Table_NFI[[#This Row],[Shelter Tool kit]],Table_NFI[Shelter Tool kit])</f>
        <v>0</v>
      </c>
      <c r="AP724" s="331">
        <f>IF(NFI_Expiration=1,IF($A724&lt;VLOOKUP(V$5,NFI,5,0),1,0)*Table_NFI[[#This Row],[Tent]],Table_NFI[Tent])</f>
        <v>0</v>
      </c>
      <c r="AQ724" s="467" t="str">
        <f>IFERROR(VLOOKUP(Table_NFI[[#This Row],[Camp Name]],CL,2,0),"")</f>
        <v>MMR001CMP031</v>
      </c>
      <c r="AR724" s="835">
        <f ca="1">IF(Table_NFI[[#This Row],[Pcode]]="","",IF(OFFSET(CampList[Opening Date],MATCH(Table_NFI[[#This Row],[Pcode]],CampList[CP_Pcode],0)-1,0,1,1)&gt;=NFI_Monitor_Date,1,0))</f>
        <v>0</v>
      </c>
      <c r="AS724" s="467" t="str">
        <f>IFERROR(VLOOKUP(Table_NFI[[#This Row],[Camp Name]],CL,3,0),"")</f>
        <v>Open</v>
      </c>
      <c r="AT724" s="294" t="str">
        <f ca="1">IF(Table_NFI[[#This Row],[Pcode]]="","",OFFSET(CampList[Priority],MATCH(Table_NFI[[#This Row],[Pcode]],CampList[CP_Pcode],0)-1,0,1,1))</f>
        <v>P4</v>
      </c>
      <c r="AU724" s="293">
        <f>IFERROR(Table_NFI[[#This Row],[Kitchen Set]]/VLOOKUP(Table_NFI[[#This Row],[Camp Name]],CL,4,0),"")</f>
        <v>4.3419529139328446E-4</v>
      </c>
      <c r="AV724" s="461" t="s">
        <v>1092</v>
      </c>
      <c r="AW724" s="463"/>
    </row>
    <row r="725" spans="1:49" ht="14.45" customHeight="1" x14ac:dyDescent="0.25">
      <c r="A725" s="297">
        <f t="shared" si="11"/>
        <v>46.8</v>
      </c>
      <c r="B725" s="460">
        <v>41332</v>
      </c>
      <c r="C725" s="461" t="s">
        <v>905</v>
      </c>
      <c r="D725" s="462" t="s">
        <v>905</v>
      </c>
      <c r="E725" s="461" t="s">
        <v>380</v>
      </c>
      <c r="F725" s="290" t="s">
        <v>151</v>
      </c>
      <c r="G725" s="290" t="s">
        <v>160</v>
      </c>
      <c r="H725" s="291">
        <v>595</v>
      </c>
      <c r="I725" s="291"/>
      <c r="J725" s="291"/>
      <c r="K725" s="291"/>
      <c r="L725" s="292"/>
      <c r="M725" s="292"/>
      <c r="N725" s="292"/>
      <c r="O725" s="292"/>
      <c r="P725" s="294">
        <v>0</v>
      </c>
      <c r="Q725" s="294">
        <v>0</v>
      </c>
      <c r="R725" s="294"/>
      <c r="S725" s="294"/>
      <c r="T725" s="294"/>
      <c r="U725" s="294"/>
      <c r="V725" s="431"/>
      <c r="W725" s="294"/>
      <c r="X725" s="294"/>
      <c r="Y725" s="294">
        <f>IF(NFI_Expiration=1,IF($A725&lt;VLOOKUP(H$5,NFI,5,0),1,0)*Table_NFI[[#This Row],[Hygiene Kit]],Table_NFI[Hygiene Kit])</f>
        <v>0</v>
      </c>
      <c r="Z725" s="294">
        <f>IF(NFI_Expiration=1,IF($A725&lt;VLOOKUP(I$5,NFI,5,0),1,0)*Table_NFI[[#This Row],[NFI Core Kit]],Table_NFI[NFI Core Kit])</f>
        <v>0</v>
      </c>
      <c r="AA725" s="294">
        <f>IF(NFI_Expiration=1,IF($A725&lt;VLOOKUP(J$5,NFI,5,0),1,0)*Table_NFI[[#This Row],[Sanitary Kit]],Table_NFI[Sanitary Kit])</f>
        <v>0</v>
      </c>
      <c r="AB725" s="294">
        <f>IF(NFI_Expiration=1,IF($A725&lt;VLOOKUP(K$5,NFI,5,0),1,0)*Table_NFI[[#This Row],[Mosquito net]],Table_NFI[Mosquito net])</f>
        <v>0</v>
      </c>
      <c r="AC725" s="294">
        <f>IF(NFI_Expiration=1,IF($A725&lt;VLOOKUP(L$5,NFI,5,0),1,0)*Table_NFI[[#This Row],[Tarpaulin]],Table_NFI[[#This Row],[Tarpaulin]])</f>
        <v>0</v>
      </c>
      <c r="AD725" s="294">
        <f>IF(NFI_Expiration=1,IF($A725&lt;VLOOKUP(M$5,NFI,5,0),1,0)*Table_NFI[[#This Row],[Blanket]],Table_NFI[[#This Row],[Blanket]])</f>
        <v>0</v>
      </c>
      <c r="AE725" s="294">
        <f>IF(NFI_Expiration=1,IF($A725&lt;VLOOKUP(N$5,NFI,5,0),1,0)*Table_NFI[[#This Row],[Kitchen Set]],Table_NFI[Kitchen Set])</f>
        <v>0</v>
      </c>
      <c r="AF725" s="294">
        <f>IF(NFI_Expiration=1,IF($A725&lt;VLOOKUP(O$5,NFI,5,0),1,0)*Table_NFI[[#This Row],[Clothes Kit]],Table_NFI[Clothes Kit])</f>
        <v>0</v>
      </c>
      <c r="AG725" s="294">
        <f>IF(NFI_Expiration=1,IF($A725&lt;VLOOKUP(P$5,NFI,5,0),1,0)*Table_NFI[[#This Row],[Plastic Bucket]],Table_NFI[Plastic Bucket])</f>
        <v>0</v>
      </c>
      <c r="AH725" s="294">
        <f>IF(NFI_Expiration=1,IF($A725&lt;VLOOKUP(Q$5,NFI,5,0),1,0)*Table_NFI[[#This Row],[Plastic Mat]],Table_NFI[Plastic Mat])*IF(Table_NFI[[#This Row],[Distribution Date]]&gt;"2014-04-01",1,2.5)</f>
        <v>0</v>
      </c>
      <c r="AI725" s="294">
        <f>IF(NFI_Expiration=1,IF($A725&lt;VLOOKUP(R$5,NFI,5,0),1,0)*Table_NFI[[#This Row],[Winter Clothes Adult]],Table_NFI[Winter Clothes Adult])</f>
        <v>0</v>
      </c>
      <c r="AJ725" s="294">
        <f>IF(NFI_Expiration=1,IF($A725&lt;VLOOKUP(S$5,NFI,5,0),1,0)*Table_NFI[[#This Row],[Winter Clothes Children]],Table_NFI[Winter Clothes Children])</f>
        <v>0</v>
      </c>
      <c r="AK725" s="294">
        <f>IF(NFI_Expiration=1,IF($A725&lt;VLOOKUP(T$5,NFI,5,0),1,0)*Table_NFI[[#This Row],[Winter Items Other]],Table_NFI[Winter Items Other])</f>
        <v>0</v>
      </c>
      <c r="AL725" s="294">
        <f>IF(NFI_Expiration=1,IF($A725&lt;VLOOKUP(M$5,NFI,5,0),1,0)*Table_NFI[[#This Row],[Winter Blanket]],Table_NFI[[#This Row],[Winter Blanket]])</f>
        <v>0</v>
      </c>
      <c r="AM725" s="294">
        <f>IF(Table_NFI[[#This Row],[Winter Clothes Adult]]+Table_NFI[[#This Row],[Winter Clothes Children]]+Table_NFI[[#This Row],[Winter Items Other]]+Table_NFI[[#This Row],[Winter Blanket]]&gt;0,1,0)</f>
        <v>0</v>
      </c>
      <c r="AN725" s="331">
        <f>IF(NFI_Expiration=1,IF($A725&lt;VLOOKUP(V$5,NFI,5,0),1,0)*Table_NFI[[#This Row],[Jerry Can]],Table_NFI[Jerry Can])</f>
        <v>0</v>
      </c>
      <c r="AO725" s="331">
        <f>IF(NFI_Expiration=1,IF($A725&lt;VLOOKUP(V$5,NFI,5,0),1,0)*Table_NFI[[#This Row],[Shelter Tool kit]],Table_NFI[Shelter Tool kit])</f>
        <v>0</v>
      </c>
      <c r="AP725" s="331">
        <f>IF(NFI_Expiration=1,IF($A725&lt;VLOOKUP(V$5,NFI,5,0),1,0)*Table_NFI[[#This Row],[Tent]],Table_NFI[Tent])</f>
        <v>0</v>
      </c>
      <c r="AQ725" s="467" t="str">
        <f>IFERROR(VLOOKUP(Table_NFI[[#This Row],[Camp Name]],CL,2,0),"")</f>
        <v>MMR001CMP133</v>
      </c>
      <c r="AR725" s="835">
        <f ca="1">IF(Table_NFI[[#This Row],[Pcode]]="","",IF(OFFSET(CampList[Opening Date],MATCH(Table_NFI[[#This Row],[Pcode]],CampList[CP_Pcode],0)-1,0,1,1)&gt;=NFI_Monitor_Date,1,0))</f>
        <v>0</v>
      </c>
      <c r="AS725" s="467" t="str">
        <f>IFERROR(VLOOKUP(Table_NFI[[#This Row],[Camp Name]],CL,3,0),"")</f>
        <v>Open</v>
      </c>
      <c r="AT725" s="294" t="str">
        <f ca="1">IF(Table_NFI[[#This Row],[Pcode]]="","",OFFSET(CampList[Priority],MATCH(Table_NFI[[#This Row],[Pcode]],CampList[CP_Pcode],0)-1,0,1,1))</f>
        <v>P4</v>
      </c>
      <c r="AU725" s="293">
        <f>IFERROR(Table_NFI[[#This Row],[Kitchen Set]]/VLOOKUP(Table_NFI[[#This Row],[Camp Name]],CL,4,0),"")</f>
        <v>0</v>
      </c>
      <c r="AV725" s="461" t="s">
        <v>1092</v>
      </c>
      <c r="AW725" s="463"/>
    </row>
    <row r="726" spans="1:49" ht="14.45" customHeight="1" x14ac:dyDescent="0.25">
      <c r="A726" s="297">
        <f t="shared" si="11"/>
        <v>46.833333333333336</v>
      </c>
      <c r="B726" s="460">
        <v>41331</v>
      </c>
      <c r="C726" s="461" t="s">
        <v>900</v>
      </c>
      <c r="D726" s="462" t="s">
        <v>900</v>
      </c>
      <c r="E726" s="461" t="s">
        <v>380</v>
      </c>
      <c r="F726" s="461" t="s">
        <v>310</v>
      </c>
      <c r="G726" s="290" t="s">
        <v>313</v>
      </c>
      <c r="H726" s="291"/>
      <c r="I726" s="291"/>
      <c r="J726" s="291">
        <v>136</v>
      </c>
      <c r="K726" s="291"/>
      <c r="L726" s="292">
        <v>66</v>
      </c>
      <c r="M726" s="292"/>
      <c r="N726" s="292">
        <v>70</v>
      </c>
      <c r="O726" s="292"/>
      <c r="P726" s="294">
        <v>0</v>
      </c>
      <c r="Q726" s="294">
        <v>0</v>
      </c>
      <c r="R726" s="294"/>
      <c r="S726" s="294"/>
      <c r="T726" s="294"/>
      <c r="U726" s="294"/>
      <c r="V726" s="431"/>
      <c r="W726" s="294"/>
      <c r="X726" s="294"/>
      <c r="Y726" s="294">
        <f>IF(NFI_Expiration=1,IF($A726&lt;VLOOKUP(H$5,NFI,5,0),1,0)*Table_NFI[[#This Row],[Hygiene Kit]],Table_NFI[Hygiene Kit])</f>
        <v>0</v>
      </c>
      <c r="Z726" s="294">
        <f>IF(NFI_Expiration=1,IF($A726&lt;VLOOKUP(I$5,NFI,5,0),1,0)*Table_NFI[[#This Row],[NFI Core Kit]],Table_NFI[NFI Core Kit])</f>
        <v>0</v>
      </c>
      <c r="AA726" s="294">
        <f>IF(NFI_Expiration=1,IF($A726&lt;VLOOKUP(J$5,NFI,5,0),1,0)*Table_NFI[[#This Row],[Sanitary Kit]],Table_NFI[Sanitary Kit])</f>
        <v>0</v>
      </c>
      <c r="AB726" s="294">
        <f>IF(NFI_Expiration=1,IF($A726&lt;VLOOKUP(K$5,NFI,5,0),1,0)*Table_NFI[[#This Row],[Mosquito net]],Table_NFI[Mosquito net])</f>
        <v>0</v>
      </c>
      <c r="AC726" s="294">
        <f>IF(NFI_Expiration=1,IF($A726&lt;VLOOKUP(L$5,NFI,5,0),1,0)*Table_NFI[[#This Row],[Tarpaulin]],Table_NFI[[#This Row],[Tarpaulin]])</f>
        <v>0</v>
      </c>
      <c r="AD726" s="294">
        <f>IF(NFI_Expiration=1,IF($A726&lt;VLOOKUP(M$5,NFI,5,0),1,0)*Table_NFI[[#This Row],[Blanket]],Table_NFI[[#This Row],[Blanket]])</f>
        <v>0</v>
      </c>
      <c r="AE726" s="294">
        <f>IF(NFI_Expiration=1,IF($A726&lt;VLOOKUP(N$5,NFI,5,0),1,0)*Table_NFI[[#This Row],[Kitchen Set]],Table_NFI[Kitchen Set])</f>
        <v>0</v>
      </c>
      <c r="AF726" s="294">
        <f>IF(NFI_Expiration=1,IF($A726&lt;VLOOKUP(O$5,NFI,5,0),1,0)*Table_NFI[[#This Row],[Clothes Kit]],Table_NFI[Clothes Kit])</f>
        <v>0</v>
      </c>
      <c r="AG726" s="294">
        <f>IF(NFI_Expiration=1,IF($A726&lt;VLOOKUP(P$5,NFI,5,0),1,0)*Table_NFI[[#This Row],[Plastic Bucket]],Table_NFI[Plastic Bucket])</f>
        <v>0</v>
      </c>
      <c r="AH726" s="294">
        <f>IF(NFI_Expiration=1,IF($A726&lt;VLOOKUP(Q$5,NFI,5,0),1,0)*Table_NFI[[#This Row],[Plastic Mat]],Table_NFI[Plastic Mat])*IF(Table_NFI[[#This Row],[Distribution Date]]&gt;"2014-04-01",1,2.5)</f>
        <v>0</v>
      </c>
      <c r="AI726" s="294">
        <f>IF(NFI_Expiration=1,IF($A726&lt;VLOOKUP(R$5,NFI,5,0),1,0)*Table_NFI[[#This Row],[Winter Clothes Adult]],Table_NFI[Winter Clothes Adult])</f>
        <v>0</v>
      </c>
      <c r="AJ726" s="294">
        <f>IF(NFI_Expiration=1,IF($A726&lt;VLOOKUP(S$5,NFI,5,0),1,0)*Table_NFI[[#This Row],[Winter Clothes Children]],Table_NFI[Winter Clothes Children])</f>
        <v>0</v>
      </c>
      <c r="AK726" s="294">
        <f>IF(NFI_Expiration=1,IF($A726&lt;VLOOKUP(T$5,NFI,5,0),1,0)*Table_NFI[[#This Row],[Winter Items Other]],Table_NFI[Winter Items Other])</f>
        <v>0</v>
      </c>
      <c r="AL726" s="294">
        <f>IF(NFI_Expiration=1,IF($A726&lt;VLOOKUP(M$5,NFI,5,0),1,0)*Table_NFI[[#This Row],[Winter Blanket]],Table_NFI[[#This Row],[Winter Blanket]])</f>
        <v>0</v>
      </c>
      <c r="AM726" s="294">
        <f>IF(Table_NFI[[#This Row],[Winter Clothes Adult]]+Table_NFI[[#This Row],[Winter Clothes Children]]+Table_NFI[[#This Row],[Winter Items Other]]+Table_NFI[[#This Row],[Winter Blanket]]&gt;0,1,0)</f>
        <v>0</v>
      </c>
      <c r="AN726" s="331">
        <f>IF(NFI_Expiration=1,IF($A726&lt;VLOOKUP(V$5,NFI,5,0),1,0)*Table_NFI[[#This Row],[Jerry Can]],Table_NFI[Jerry Can])</f>
        <v>0</v>
      </c>
      <c r="AO726" s="331">
        <f>IF(NFI_Expiration=1,IF($A726&lt;VLOOKUP(V$5,NFI,5,0),1,0)*Table_NFI[[#This Row],[Shelter Tool kit]],Table_NFI[Shelter Tool kit])</f>
        <v>0</v>
      </c>
      <c r="AP726" s="331">
        <f>IF(NFI_Expiration=1,IF($A726&lt;VLOOKUP(V$5,NFI,5,0),1,0)*Table_NFI[[#This Row],[Tent]],Table_NFI[Tent])</f>
        <v>0</v>
      </c>
      <c r="AQ726" s="467" t="str">
        <f>IFERROR(VLOOKUP(Table_NFI[[#This Row],[Camp Name]],CL,2,0),"")</f>
        <v>MMR001CMP028</v>
      </c>
      <c r="AR726" s="835">
        <f ca="1">IF(Table_NFI[[#This Row],[Pcode]]="","",IF(OFFSET(CampList[Opening Date],MATCH(Table_NFI[[#This Row],[Pcode]],CampList[CP_Pcode],0)-1,0,1,1)&gt;=NFI_Monitor_Date,1,0))</f>
        <v>0</v>
      </c>
      <c r="AS726" s="467" t="str">
        <f>IFERROR(VLOOKUP(Table_NFI[[#This Row],[Camp Name]],CL,3,0),"")</f>
        <v>Open</v>
      </c>
      <c r="AT726" s="294" t="str">
        <f ca="1">IF(Table_NFI[[#This Row],[Pcode]]="","",OFFSET(CampList[Priority],MATCH(Table_NFI[[#This Row],[Pcode]],CampList[CP_Pcode],0)-1,0,1,1))</f>
        <v>P4</v>
      </c>
      <c r="AU726" s="293">
        <f>IFERROR(Table_NFI[[#This Row],[Kitchen Set]]/VLOOKUP(Table_NFI[[#This Row],[Camp Name]],CL,4,0),"")</f>
        <v>1.7201130359995086E-3</v>
      </c>
      <c r="AV726" s="461" t="s">
        <v>1092</v>
      </c>
      <c r="AW726" s="463"/>
    </row>
    <row r="727" spans="1:49" ht="14.45" customHeight="1" x14ac:dyDescent="0.25">
      <c r="A727" s="297">
        <f t="shared" si="11"/>
        <v>46.833333333333336</v>
      </c>
      <c r="B727" s="460">
        <v>41331</v>
      </c>
      <c r="C727" s="461" t="s">
        <v>900</v>
      </c>
      <c r="D727" s="461" t="s">
        <v>900</v>
      </c>
      <c r="E727" s="461" t="s">
        <v>380</v>
      </c>
      <c r="F727" s="461" t="s">
        <v>237</v>
      </c>
      <c r="G727" s="290" t="s">
        <v>255</v>
      </c>
      <c r="H727" s="291"/>
      <c r="I727" s="291"/>
      <c r="J727" s="291">
        <v>99</v>
      </c>
      <c r="K727" s="291"/>
      <c r="L727" s="292">
        <v>99</v>
      </c>
      <c r="M727" s="292"/>
      <c r="N727" s="292"/>
      <c r="O727" s="292"/>
      <c r="P727" s="294">
        <v>0</v>
      </c>
      <c r="Q727" s="294">
        <v>0</v>
      </c>
      <c r="R727" s="294"/>
      <c r="S727" s="294"/>
      <c r="T727" s="294"/>
      <c r="U727" s="294"/>
      <c r="V727" s="431"/>
      <c r="W727" s="294"/>
      <c r="X727" s="294"/>
      <c r="Y727" s="294">
        <f>IF(NFI_Expiration=1,IF($A727&lt;VLOOKUP(H$5,NFI,5,0),1,0)*Table_NFI[[#This Row],[Hygiene Kit]],Table_NFI[Hygiene Kit])</f>
        <v>0</v>
      </c>
      <c r="Z727" s="294">
        <f>IF(NFI_Expiration=1,IF($A727&lt;VLOOKUP(I$5,NFI,5,0),1,0)*Table_NFI[[#This Row],[NFI Core Kit]],Table_NFI[NFI Core Kit])</f>
        <v>0</v>
      </c>
      <c r="AA727" s="294">
        <f>IF(NFI_Expiration=1,IF($A727&lt;VLOOKUP(J$5,NFI,5,0),1,0)*Table_NFI[[#This Row],[Sanitary Kit]],Table_NFI[Sanitary Kit])</f>
        <v>0</v>
      </c>
      <c r="AB727" s="294">
        <f>IF(NFI_Expiration=1,IF($A727&lt;VLOOKUP(K$5,NFI,5,0),1,0)*Table_NFI[[#This Row],[Mosquito net]],Table_NFI[Mosquito net])</f>
        <v>0</v>
      </c>
      <c r="AC727" s="294">
        <f>IF(NFI_Expiration=1,IF($A727&lt;VLOOKUP(L$5,NFI,5,0),1,0)*Table_NFI[[#This Row],[Tarpaulin]],Table_NFI[[#This Row],[Tarpaulin]])</f>
        <v>0</v>
      </c>
      <c r="AD727" s="294">
        <f>IF(NFI_Expiration=1,IF($A727&lt;VLOOKUP(M$5,NFI,5,0),1,0)*Table_NFI[[#This Row],[Blanket]],Table_NFI[[#This Row],[Blanket]])</f>
        <v>0</v>
      </c>
      <c r="AE727" s="294">
        <f>IF(NFI_Expiration=1,IF($A727&lt;VLOOKUP(N$5,NFI,5,0),1,0)*Table_NFI[[#This Row],[Kitchen Set]],Table_NFI[Kitchen Set])</f>
        <v>0</v>
      </c>
      <c r="AF727" s="294">
        <f>IF(NFI_Expiration=1,IF($A727&lt;VLOOKUP(O$5,NFI,5,0),1,0)*Table_NFI[[#This Row],[Clothes Kit]],Table_NFI[Clothes Kit])</f>
        <v>0</v>
      </c>
      <c r="AG727" s="294">
        <f>IF(NFI_Expiration=1,IF($A727&lt;VLOOKUP(P$5,NFI,5,0),1,0)*Table_NFI[[#This Row],[Plastic Bucket]],Table_NFI[Plastic Bucket])</f>
        <v>0</v>
      </c>
      <c r="AH727" s="294">
        <f>IF(NFI_Expiration=1,IF($A727&lt;VLOOKUP(Q$5,NFI,5,0),1,0)*Table_NFI[[#This Row],[Plastic Mat]],Table_NFI[Plastic Mat])*IF(Table_NFI[[#This Row],[Distribution Date]]&gt;"2014-04-01",1,2.5)</f>
        <v>0</v>
      </c>
      <c r="AI727" s="294">
        <f>IF(NFI_Expiration=1,IF($A727&lt;VLOOKUP(R$5,NFI,5,0),1,0)*Table_NFI[[#This Row],[Winter Clothes Adult]],Table_NFI[Winter Clothes Adult])</f>
        <v>0</v>
      </c>
      <c r="AJ727" s="294">
        <f>IF(NFI_Expiration=1,IF($A727&lt;VLOOKUP(S$5,NFI,5,0),1,0)*Table_NFI[[#This Row],[Winter Clothes Children]],Table_NFI[Winter Clothes Children])</f>
        <v>0</v>
      </c>
      <c r="AK727" s="294">
        <f>IF(NFI_Expiration=1,IF($A727&lt;VLOOKUP(T$5,NFI,5,0),1,0)*Table_NFI[[#This Row],[Winter Items Other]],Table_NFI[Winter Items Other])</f>
        <v>0</v>
      </c>
      <c r="AL727" s="294">
        <f>IF(NFI_Expiration=1,IF($A727&lt;VLOOKUP(M$5,NFI,5,0),1,0)*Table_NFI[[#This Row],[Winter Blanket]],Table_NFI[[#This Row],[Winter Blanket]])</f>
        <v>0</v>
      </c>
      <c r="AM727" s="294">
        <f>IF(Table_NFI[[#This Row],[Winter Clothes Adult]]+Table_NFI[[#This Row],[Winter Clothes Children]]+Table_NFI[[#This Row],[Winter Items Other]]+Table_NFI[[#This Row],[Winter Blanket]]&gt;0,1,0)</f>
        <v>0</v>
      </c>
      <c r="AN727" s="331">
        <f>IF(NFI_Expiration=1,IF($A727&lt;VLOOKUP(V$5,NFI,5,0),1,0)*Table_NFI[[#This Row],[Jerry Can]],Table_NFI[Jerry Can])</f>
        <v>0</v>
      </c>
      <c r="AO727" s="331">
        <f>IF(NFI_Expiration=1,IF($A727&lt;VLOOKUP(V$5,NFI,5,0),1,0)*Table_NFI[[#This Row],[Shelter Tool kit]],Table_NFI[Shelter Tool kit])</f>
        <v>0</v>
      </c>
      <c r="AP727" s="331">
        <f>IF(NFI_Expiration=1,IF($A727&lt;VLOOKUP(V$5,NFI,5,0),1,0)*Table_NFI[[#This Row],[Tent]],Table_NFI[Tent])</f>
        <v>0</v>
      </c>
      <c r="AQ727" s="467" t="str">
        <f>IFERROR(VLOOKUP(Table_NFI[[#This Row],[Camp Name]],CL,2,0),"")</f>
        <v>MMR001CMP019</v>
      </c>
      <c r="AR727" s="835">
        <f ca="1">IF(Table_NFI[[#This Row],[Pcode]]="","",IF(OFFSET(CampList[Opening Date],MATCH(Table_NFI[[#This Row],[Pcode]],CampList[CP_Pcode],0)-1,0,1,1)&gt;=NFI_Monitor_Date,1,0))</f>
        <v>0</v>
      </c>
      <c r="AS727" s="467" t="str">
        <f>IFERROR(VLOOKUP(Table_NFI[[#This Row],[Camp Name]],CL,3,0),"")</f>
        <v>Open</v>
      </c>
      <c r="AT727" s="294" t="str">
        <f ca="1">IF(Table_NFI[[#This Row],[Pcode]]="","",OFFSET(CampList[Priority],MATCH(Table_NFI[[#This Row],[Pcode]],CampList[CP_Pcode],0)-1,0,1,1))</f>
        <v>P4</v>
      </c>
      <c r="AU727" s="293">
        <f>IFERROR(Table_NFI[[#This Row],[Kitchen Set]]/VLOOKUP(Table_NFI[[#This Row],[Camp Name]],CL,4,0),"")</f>
        <v>0</v>
      </c>
      <c r="AV727" s="461" t="s">
        <v>1092</v>
      </c>
      <c r="AW727" s="463"/>
    </row>
    <row r="728" spans="1:49" ht="14.45" customHeight="1" x14ac:dyDescent="0.25">
      <c r="A728" s="297">
        <f t="shared" si="11"/>
        <v>46.866666666666667</v>
      </c>
      <c r="B728" s="460">
        <v>41330</v>
      </c>
      <c r="C728" s="461" t="s">
        <v>452</v>
      </c>
      <c r="D728" s="462" t="s">
        <v>904</v>
      </c>
      <c r="E728" s="461" t="s">
        <v>380</v>
      </c>
      <c r="F728" s="290" t="s">
        <v>27</v>
      </c>
      <c r="G728" s="290" t="s">
        <v>28</v>
      </c>
      <c r="H728" s="291"/>
      <c r="I728" s="291"/>
      <c r="J728" s="291">
        <v>11</v>
      </c>
      <c r="K728" s="291">
        <v>17</v>
      </c>
      <c r="L728" s="292">
        <v>7</v>
      </c>
      <c r="M728" s="292">
        <v>17</v>
      </c>
      <c r="N728" s="292">
        <v>7</v>
      </c>
      <c r="O728" s="292">
        <v>7</v>
      </c>
      <c r="P728" s="294">
        <v>7</v>
      </c>
      <c r="Q728" s="294">
        <v>7</v>
      </c>
      <c r="R728" s="294"/>
      <c r="S728" s="294"/>
      <c r="T728" s="294"/>
      <c r="U728" s="294"/>
      <c r="V728" s="431"/>
      <c r="W728" s="294"/>
      <c r="X728" s="294"/>
      <c r="Y728" s="294">
        <f>IF(NFI_Expiration=1,IF($A728&lt;VLOOKUP(H$5,NFI,5,0),1,0)*Table_NFI[[#This Row],[Hygiene Kit]],Table_NFI[Hygiene Kit])</f>
        <v>0</v>
      </c>
      <c r="Z728" s="294">
        <f>IF(NFI_Expiration=1,IF($A728&lt;VLOOKUP(I$5,NFI,5,0),1,0)*Table_NFI[[#This Row],[NFI Core Kit]],Table_NFI[NFI Core Kit])</f>
        <v>0</v>
      </c>
      <c r="AA728" s="294">
        <f>IF(NFI_Expiration=1,IF($A728&lt;VLOOKUP(J$5,NFI,5,0),1,0)*Table_NFI[[#This Row],[Sanitary Kit]],Table_NFI[Sanitary Kit])</f>
        <v>0</v>
      </c>
      <c r="AB728" s="294">
        <f>IF(NFI_Expiration=1,IF($A728&lt;VLOOKUP(K$5,NFI,5,0),1,0)*Table_NFI[[#This Row],[Mosquito net]],Table_NFI[Mosquito net])</f>
        <v>0</v>
      </c>
      <c r="AC728" s="294">
        <f>IF(NFI_Expiration=1,IF($A728&lt;VLOOKUP(L$5,NFI,5,0),1,0)*Table_NFI[[#This Row],[Tarpaulin]],Table_NFI[[#This Row],[Tarpaulin]])</f>
        <v>0</v>
      </c>
      <c r="AD728" s="294">
        <f>IF(NFI_Expiration=1,IF($A728&lt;VLOOKUP(M$5,NFI,5,0),1,0)*Table_NFI[[#This Row],[Blanket]],Table_NFI[[#This Row],[Blanket]])</f>
        <v>0</v>
      </c>
      <c r="AE728" s="294">
        <f>IF(NFI_Expiration=1,IF($A728&lt;VLOOKUP(N$5,NFI,5,0),1,0)*Table_NFI[[#This Row],[Kitchen Set]],Table_NFI[Kitchen Set])</f>
        <v>0</v>
      </c>
      <c r="AF728" s="294">
        <f>IF(NFI_Expiration=1,IF($A728&lt;VLOOKUP(O$5,NFI,5,0),1,0)*Table_NFI[[#This Row],[Clothes Kit]],Table_NFI[Clothes Kit])</f>
        <v>0</v>
      </c>
      <c r="AG728" s="294">
        <f>IF(NFI_Expiration=1,IF($A728&lt;VLOOKUP(P$5,NFI,5,0),1,0)*Table_NFI[[#This Row],[Plastic Bucket]],Table_NFI[Plastic Bucket])</f>
        <v>0</v>
      </c>
      <c r="AH728" s="294">
        <f>IF(NFI_Expiration=1,IF($A728&lt;VLOOKUP(Q$5,NFI,5,0),1,0)*Table_NFI[[#This Row],[Plastic Mat]],Table_NFI[Plastic Mat])*IF(Table_NFI[[#This Row],[Distribution Date]]&gt;"2014-04-01",1,2.5)</f>
        <v>0</v>
      </c>
      <c r="AI728" s="294">
        <f>IF(NFI_Expiration=1,IF($A728&lt;VLOOKUP(R$5,NFI,5,0),1,0)*Table_NFI[[#This Row],[Winter Clothes Adult]],Table_NFI[Winter Clothes Adult])</f>
        <v>0</v>
      </c>
      <c r="AJ728" s="294">
        <f>IF(NFI_Expiration=1,IF($A728&lt;VLOOKUP(S$5,NFI,5,0),1,0)*Table_NFI[[#This Row],[Winter Clothes Children]],Table_NFI[Winter Clothes Children])</f>
        <v>0</v>
      </c>
      <c r="AK728" s="294">
        <f>IF(NFI_Expiration=1,IF($A728&lt;VLOOKUP(T$5,NFI,5,0),1,0)*Table_NFI[[#This Row],[Winter Items Other]],Table_NFI[Winter Items Other])</f>
        <v>0</v>
      </c>
      <c r="AL728" s="294">
        <f>IF(NFI_Expiration=1,IF($A728&lt;VLOOKUP(M$5,NFI,5,0),1,0)*Table_NFI[[#This Row],[Winter Blanket]],Table_NFI[[#This Row],[Winter Blanket]])</f>
        <v>0</v>
      </c>
      <c r="AM728" s="294">
        <f>IF(Table_NFI[[#This Row],[Winter Clothes Adult]]+Table_NFI[[#This Row],[Winter Clothes Children]]+Table_NFI[[#This Row],[Winter Items Other]]+Table_NFI[[#This Row],[Winter Blanket]]&gt;0,1,0)</f>
        <v>0</v>
      </c>
      <c r="AN728" s="331">
        <f>IF(NFI_Expiration=1,IF($A728&lt;VLOOKUP(V$5,NFI,5,0),1,0)*Table_NFI[[#This Row],[Jerry Can]],Table_NFI[Jerry Can])</f>
        <v>0</v>
      </c>
      <c r="AO728" s="331">
        <f>IF(NFI_Expiration=1,IF($A728&lt;VLOOKUP(V$5,NFI,5,0),1,0)*Table_NFI[[#This Row],[Shelter Tool kit]],Table_NFI[Shelter Tool kit])</f>
        <v>0</v>
      </c>
      <c r="AP728" s="331">
        <f>IF(NFI_Expiration=1,IF($A728&lt;VLOOKUP(V$5,NFI,5,0),1,0)*Table_NFI[[#This Row],[Tent]],Table_NFI[Tent])</f>
        <v>0</v>
      </c>
      <c r="AQ728" s="467" t="str">
        <f>IFERROR(VLOOKUP(Table_NFI[[#This Row],[Camp Name]],CL,2,0),"")</f>
        <v>MMR001CMP042</v>
      </c>
      <c r="AR728" s="835">
        <f ca="1">IF(Table_NFI[[#This Row],[Pcode]]="","",IF(OFFSET(CampList[Opening Date],MATCH(Table_NFI[[#This Row],[Pcode]],CampList[CP_Pcode],0)-1,0,1,1)&gt;=NFI_Monitor_Date,1,0))</f>
        <v>0</v>
      </c>
      <c r="AS728" s="467" t="str">
        <f>IFERROR(VLOOKUP(Table_NFI[[#This Row],[Camp Name]],CL,3,0),"")</f>
        <v>Open</v>
      </c>
      <c r="AT728" s="294" t="str">
        <f ca="1">IF(Table_NFI[[#This Row],[Pcode]]="","",OFFSET(CampList[Priority],MATCH(Table_NFI[[#This Row],[Pcode]],CampList[CP_Pcode],0)-1,0,1,1))</f>
        <v>P1</v>
      </c>
      <c r="AU728" s="293">
        <f>IFERROR(Table_NFI[[#This Row],[Kitchen Set]]/VLOOKUP(Table_NFI[[#This Row],[Camp Name]],CL,4,0),"")</f>
        <v>1.6972165648336727E-4</v>
      </c>
      <c r="AV728" s="461" t="s">
        <v>1092</v>
      </c>
      <c r="AW728" s="463"/>
    </row>
    <row r="729" spans="1:49" ht="14.45" customHeight="1" x14ac:dyDescent="0.25">
      <c r="A729" s="297">
        <f t="shared" si="11"/>
        <v>46.866666666666667</v>
      </c>
      <c r="B729" s="460">
        <v>41330</v>
      </c>
      <c r="C729" s="461" t="s">
        <v>900</v>
      </c>
      <c r="D729" s="462" t="s">
        <v>900</v>
      </c>
      <c r="E729" s="461" t="s">
        <v>380</v>
      </c>
      <c r="F729" s="461" t="s">
        <v>310</v>
      </c>
      <c r="G729" s="290" t="s">
        <v>313</v>
      </c>
      <c r="H729" s="291"/>
      <c r="I729" s="291"/>
      <c r="J729" s="291"/>
      <c r="K729" s="291"/>
      <c r="L729" s="292">
        <v>1</v>
      </c>
      <c r="M729" s="292"/>
      <c r="N729" s="292"/>
      <c r="O729" s="292"/>
      <c r="P729" s="294">
        <v>0</v>
      </c>
      <c r="Q729" s="294">
        <v>0</v>
      </c>
      <c r="R729" s="294"/>
      <c r="S729" s="294"/>
      <c r="T729" s="294"/>
      <c r="U729" s="294"/>
      <c r="V729" s="431"/>
      <c r="W729" s="294"/>
      <c r="X729" s="294"/>
      <c r="Y729" s="294">
        <f>IF(NFI_Expiration=1,IF($A729&lt;VLOOKUP(H$5,NFI,5,0),1,0)*Table_NFI[[#This Row],[Hygiene Kit]],Table_NFI[Hygiene Kit])</f>
        <v>0</v>
      </c>
      <c r="Z729" s="294">
        <f>IF(NFI_Expiration=1,IF($A729&lt;VLOOKUP(I$5,NFI,5,0),1,0)*Table_NFI[[#This Row],[NFI Core Kit]],Table_NFI[NFI Core Kit])</f>
        <v>0</v>
      </c>
      <c r="AA729" s="294">
        <f>IF(NFI_Expiration=1,IF($A729&lt;VLOOKUP(J$5,NFI,5,0),1,0)*Table_NFI[[#This Row],[Sanitary Kit]],Table_NFI[Sanitary Kit])</f>
        <v>0</v>
      </c>
      <c r="AB729" s="294">
        <f>IF(NFI_Expiration=1,IF($A729&lt;VLOOKUP(K$5,NFI,5,0),1,0)*Table_NFI[[#This Row],[Mosquito net]],Table_NFI[Mosquito net])</f>
        <v>0</v>
      </c>
      <c r="AC729" s="294">
        <f>IF(NFI_Expiration=1,IF($A729&lt;VLOOKUP(L$5,NFI,5,0),1,0)*Table_NFI[[#This Row],[Tarpaulin]],Table_NFI[[#This Row],[Tarpaulin]])</f>
        <v>0</v>
      </c>
      <c r="AD729" s="294">
        <f>IF(NFI_Expiration=1,IF($A729&lt;VLOOKUP(M$5,NFI,5,0),1,0)*Table_NFI[[#This Row],[Blanket]],Table_NFI[[#This Row],[Blanket]])</f>
        <v>0</v>
      </c>
      <c r="AE729" s="294">
        <f>IF(NFI_Expiration=1,IF($A729&lt;VLOOKUP(N$5,NFI,5,0),1,0)*Table_NFI[[#This Row],[Kitchen Set]],Table_NFI[Kitchen Set])</f>
        <v>0</v>
      </c>
      <c r="AF729" s="294">
        <f>IF(NFI_Expiration=1,IF($A729&lt;VLOOKUP(O$5,NFI,5,0),1,0)*Table_NFI[[#This Row],[Clothes Kit]],Table_NFI[Clothes Kit])</f>
        <v>0</v>
      </c>
      <c r="AG729" s="294">
        <f>IF(NFI_Expiration=1,IF($A729&lt;VLOOKUP(P$5,NFI,5,0),1,0)*Table_NFI[[#This Row],[Plastic Bucket]],Table_NFI[Plastic Bucket])</f>
        <v>0</v>
      </c>
      <c r="AH729" s="294">
        <f>IF(NFI_Expiration=1,IF($A729&lt;VLOOKUP(Q$5,NFI,5,0),1,0)*Table_NFI[[#This Row],[Plastic Mat]],Table_NFI[Plastic Mat])*IF(Table_NFI[[#This Row],[Distribution Date]]&gt;"2014-04-01",1,2.5)</f>
        <v>0</v>
      </c>
      <c r="AI729" s="294">
        <f>IF(NFI_Expiration=1,IF($A729&lt;VLOOKUP(R$5,NFI,5,0),1,0)*Table_NFI[[#This Row],[Winter Clothes Adult]],Table_NFI[Winter Clothes Adult])</f>
        <v>0</v>
      </c>
      <c r="AJ729" s="294">
        <f>IF(NFI_Expiration=1,IF($A729&lt;VLOOKUP(S$5,NFI,5,0),1,0)*Table_NFI[[#This Row],[Winter Clothes Children]],Table_NFI[Winter Clothes Children])</f>
        <v>0</v>
      </c>
      <c r="AK729" s="294">
        <f>IF(NFI_Expiration=1,IF($A729&lt;VLOOKUP(T$5,NFI,5,0),1,0)*Table_NFI[[#This Row],[Winter Items Other]],Table_NFI[Winter Items Other])</f>
        <v>0</v>
      </c>
      <c r="AL729" s="294">
        <f>IF(NFI_Expiration=1,IF($A729&lt;VLOOKUP(M$5,NFI,5,0),1,0)*Table_NFI[[#This Row],[Winter Blanket]],Table_NFI[[#This Row],[Winter Blanket]])</f>
        <v>0</v>
      </c>
      <c r="AM729" s="294">
        <f>IF(Table_NFI[[#This Row],[Winter Clothes Adult]]+Table_NFI[[#This Row],[Winter Clothes Children]]+Table_NFI[[#This Row],[Winter Items Other]]+Table_NFI[[#This Row],[Winter Blanket]]&gt;0,1,0)</f>
        <v>0</v>
      </c>
      <c r="AN729" s="331">
        <f>IF(NFI_Expiration=1,IF($A729&lt;VLOOKUP(V$5,NFI,5,0),1,0)*Table_NFI[[#This Row],[Jerry Can]],Table_NFI[Jerry Can])</f>
        <v>0</v>
      </c>
      <c r="AO729" s="331">
        <f>IF(NFI_Expiration=1,IF($A729&lt;VLOOKUP(V$5,NFI,5,0),1,0)*Table_NFI[[#This Row],[Shelter Tool kit]],Table_NFI[Shelter Tool kit])</f>
        <v>0</v>
      </c>
      <c r="AP729" s="331">
        <f>IF(NFI_Expiration=1,IF($A729&lt;VLOOKUP(V$5,NFI,5,0),1,0)*Table_NFI[[#This Row],[Tent]],Table_NFI[Tent])</f>
        <v>0</v>
      </c>
      <c r="AQ729" s="467" t="str">
        <f>IFERROR(VLOOKUP(Table_NFI[[#This Row],[Camp Name]],CL,2,0),"")</f>
        <v>MMR001CMP028</v>
      </c>
      <c r="AR729" s="835">
        <f ca="1">IF(Table_NFI[[#This Row],[Pcode]]="","",IF(OFFSET(CampList[Opening Date],MATCH(Table_NFI[[#This Row],[Pcode]],CampList[CP_Pcode],0)-1,0,1,1)&gt;=NFI_Monitor_Date,1,0))</f>
        <v>0</v>
      </c>
      <c r="AS729" s="467" t="str">
        <f>IFERROR(VLOOKUP(Table_NFI[[#This Row],[Camp Name]],CL,3,0),"")</f>
        <v>Open</v>
      </c>
      <c r="AT729" s="294" t="str">
        <f ca="1">IF(Table_NFI[[#This Row],[Pcode]]="","",OFFSET(CampList[Priority],MATCH(Table_NFI[[#This Row],[Pcode]],CampList[CP_Pcode],0)-1,0,1,1))</f>
        <v>P4</v>
      </c>
      <c r="AU729" s="293">
        <f>IFERROR(Table_NFI[[#This Row],[Kitchen Set]]/VLOOKUP(Table_NFI[[#This Row],[Camp Name]],CL,4,0),"")</f>
        <v>0</v>
      </c>
      <c r="AV729" s="461" t="s">
        <v>1092</v>
      </c>
      <c r="AW729" s="463"/>
    </row>
    <row r="730" spans="1:49" ht="14.45" customHeight="1" x14ac:dyDescent="0.25">
      <c r="A730" s="297">
        <f t="shared" si="11"/>
        <v>46.866666666666667</v>
      </c>
      <c r="B730" s="460">
        <v>41330</v>
      </c>
      <c r="C730" s="461" t="s">
        <v>452</v>
      </c>
      <c r="D730" s="462" t="s">
        <v>904</v>
      </c>
      <c r="E730" s="461" t="s">
        <v>380</v>
      </c>
      <c r="F730" s="290" t="s">
        <v>27</v>
      </c>
      <c r="G730" s="290" t="s">
        <v>364</v>
      </c>
      <c r="H730" s="291"/>
      <c r="I730" s="291"/>
      <c r="J730" s="291">
        <v>11</v>
      </c>
      <c r="K730" s="291">
        <v>17</v>
      </c>
      <c r="L730" s="292">
        <v>7</v>
      </c>
      <c r="M730" s="292">
        <v>17</v>
      </c>
      <c r="N730" s="292">
        <v>7</v>
      </c>
      <c r="O730" s="292">
        <v>7</v>
      </c>
      <c r="P730" s="294">
        <v>7</v>
      </c>
      <c r="Q730" s="294">
        <v>7</v>
      </c>
      <c r="R730" s="294"/>
      <c r="S730" s="294"/>
      <c r="T730" s="294"/>
      <c r="U730" s="294"/>
      <c r="V730" s="431"/>
      <c r="W730" s="294"/>
      <c r="X730" s="294"/>
      <c r="Y730" s="294">
        <f>IF(NFI_Expiration=1,IF($A730&lt;VLOOKUP(H$5,NFI,5,0),1,0)*Table_NFI[[#This Row],[Hygiene Kit]],Table_NFI[Hygiene Kit])</f>
        <v>0</v>
      </c>
      <c r="Z730" s="294">
        <f>IF(NFI_Expiration=1,IF($A730&lt;VLOOKUP(I$5,NFI,5,0),1,0)*Table_NFI[[#This Row],[NFI Core Kit]],Table_NFI[NFI Core Kit])</f>
        <v>0</v>
      </c>
      <c r="AA730" s="294">
        <f>IF(NFI_Expiration=1,IF($A730&lt;VLOOKUP(J$5,NFI,5,0),1,0)*Table_NFI[[#This Row],[Sanitary Kit]],Table_NFI[Sanitary Kit])</f>
        <v>0</v>
      </c>
      <c r="AB730" s="294">
        <f>IF(NFI_Expiration=1,IF($A730&lt;VLOOKUP(K$5,NFI,5,0),1,0)*Table_NFI[[#This Row],[Mosquito net]],Table_NFI[Mosquito net])</f>
        <v>0</v>
      </c>
      <c r="AC730" s="294">
        <f>IF(NFI_Expiration=1,IF($A730&lt;VLOOKUP(L$5,NFI,5,0),1,0)*Table_NFI[[#This Row],[Tarpaulin]],Table_NFI[[#This Row],[Tarpaulin]])</f>
        <v>0</v>
      </c>
      <c r="AD730" s="294">
        <f>IF(NFI_Expiration=1,IF($A730&lt;VLOOKUP(M$5,NFI,5,0),1,0)*Table_NFI[[#This Row],[Blanket]],Table_NFI[[#This Row],[Blanket]])</f>
        <v>0</v>
      </c>
      <c r="AE730" s="294">
        <f>IF(NFI_Expiration=1,IF($A730&lt;VLOOKUP(N$5,NFI,5,0),1,0)*Table_NFI[[#This Row],[Kitchen Set]],Table_NFI[Kitchen Set])</f>
        <v>0</v>
      </c>
      <c r="AF730" s="294">
        <f>IF(NFI_Expiration=1,IF($A730&lt;VLOOKUP(O$5,NFI,5,0),1,0)*Table_NFI[[#This Row],[Clothes Kit]],Table_NFI[Clothes Kit])</f>
        <v>0</v>
      </c>
      <c r="AG730" s="294">
        <f>IF(NFI_Expiration=1,IF($A730&lt;VLOOKUP(P$5,NFI,5,0),1,0)*Table_NFI[[#This Row],[Plastic Bucket]],Table_NFI[Plastic Bucket])</f>
        <v>0</v>
      </c>
      <c r="AH730" s="294">
        <f>IF(NFI_Expiration=1,IF($A730&lt;VLOOKUP(Q$5,NFI,5,0),1,0)*Table_NFI[[#This Row],[Plastic Mat]],Table_NFI[Plastic Mat])*IF(Table_NFI[[#This Row],[Distribution Date]]&gt;"2014-04-01",1,2.5)</f>
        <v>0</v>
      </c>
      <c r="AI730" s="294">
        <f>IF(NFI_Expiration=1,IF($A730&lt;VLOOKUP(R$5,NFI,5,0),1,0)*Table_NFI[[#This Row],[Winter Clothes Adult]],Table_NFI[Winter Clothes Adult])</f>
        <v>0</v>
      </c>
      <c r="AJ730" s="294">
        <f>IF(NFI_Expiration=1,IF($A730&lt;VLOOKUP(S$5,NFI,5,0),1,0)*Table_NFI[[#This Row],[Winter Clothes Children]],Table_NFI[Winter Clothes Children])</f>
        <v>0</v>
      </c>
      <c r="AK730" s="294">
        <f>IF(NFI_Expiration=1,IF($A730&lt;VLOOKUP(T$5,NFI,5,0),1,0)*Table_NFI[[#This Row],[Winter Items Other]],Table_NFI[Winter Items Other])</f>
        <v>0</v>
      </c>
      <c r="AL730" s="294">
        <f>IF(NFI_Expiration=1,IF($A730&lt;VLOOKUP(M$5,NFI,5,0),1,0)*Table_NFI[[#This Row],[Winter Blanket]],Table_NFI[[#This Row],[Winter Blanket]])</f>
        <v>0</v>
      </c>
      <c r="AM730" s="294">
        <f>IF(Table_NFI[[#This Row],[Winter Clothes Adult]]+Table_NFI[[#This Row],[Winter Clothes Children]]+Table_NFI[[#This Row],[Winter Items Other]]+Table_NFI[[#This Row],[Winter Blanket]]&gt;0,1,0)</f>
        <v>0</v>
      </c>
      <c r="AN730" s="331">
        <f>IF(NFI_Expiration=1,IF($A730&lt;VLOOKUP(V$5,NFI,5,0),1,0)*Table_NFI[[#This Row],[Jerry Can]],Table_NFI[Jerry Can])</f>
        <v>0</v>
      </c>
      <c r="AO730" s="331">
        <f>IF(NFI_Expiration=1,IF($A730&lt;VLOOKUP(V$5,NFI,5,0),1,0)*Table_NFI[[#This Row],[Shelter Tool kit]],Table_NFI[Shelter Tool kit])</f>
        <v>0</v>
      </c>
      <c r="AP730" s="331">
        <f>IF(NFI_Expiration=1,IF($A730&lt;VLOOKUP(V$5,NFI,5,0),1,0)*Table_NFI[[#This Row],[Tent]],Table_NFI[Tent])</f>
        <v>0</v>
      </c>
      <c r="AQ730" s="467" t="str">
        <f>IFERROR(VLOOKUP(Table_NFI[[#This Row],[Camp Name]],CL,2,0),"")</f>
        <v>MMR001CMP043</v>
      </c>
      <c r="AR730" s="835">
        <f ca="1">IF(Table_NFI[[#This Row],[Pcode]]="","",IF(OFFSET(CampList[Opening Date],MATCH(Table_NFI[[#This Row],[Pcode]],CampList[CP_Pcode],0)-1,0,1,1)&gt;=NFI_Monitor_Date,1,0))</f>
        <v>0</v>
      </c>
      <c r="AS730" s="467" t="str">
        <f>IFERROR(VLOOKUP(Table_NFI[[#This Row],[Camp Name]],CL,3,0),"")</f>
        <v>Open</v>
      </c>
      <c r="AT730" s="294" t="str">
        <f ca="1">IF(Table_NFI[[#This Row],[Pcode]]="","",OFFSET(CampList[Priority],MATCH(Table_NFI[[#This Row],[Pcode]],CampList[CP_Pcode],0)-1,0,1,1))</f>
        <v>P1</v>
      </c>
      <c r="AU730" s="293">
        <f>IFERROR(Table_NFI[[#This Row],[Kitchen Set]]/VLOOKUP(Table_NFI[[#This Row],[Camp Name]],CL,4,0),"")</f>
        <v>1.7060687301974166E-4</v>
      </c>
      <c r="AV730" s="461" t="s">
        <v>1092</v>
      </c>
      <c r="AW730" s="463"/>
    </row>
    <row r="731" spans="1:49" ht="14.45" customHeight="1" x14ac:dyDescent="0.25">
      <c r="A731" s="297">
        <f t="shared" si="11"/>
        <v>46.866666666666667</v>
      </c>
      <c r="B731" s="460">
        <v>41330</v>
      </c>
      <c r="C731" s="461" t="s">
        <v>452</v>
      </c>
      <c r="D731" s="462" t="s">
        <v>904</v>
      </c>
      <c r="E731" s="461" t="s">
        <v>380</v>
      </c>
      <c r="F731" s="290" t="s">
        <v>27</v>
      </c>
      <c r="G731" s="290" t="s">
        <v>34</v>
      </c>
      <c r="H731" s="291"/>
      <c r="I731" s="291"/>
      <c r="J731" s="291">
        <v>11</v>
      </c>
      <c r="K731" s="291">
        <v>17</v>
      </c>
      <c r="L731" s="292">
        <v>7</v>
      </c>
      <c r="M731" s="292">
        <v>17</v>
      </c>
      <c r="N731" s="292">
        <v>7</v>
      </c>
      <c r="O731" s="292">
        <v>7</v>
      </c>
      <c r="P731" s="294">
        <v>7</v>
      </c>
      <c r="Q731" s="294">
        <v>7</v>
      </c>
      <c r="R731" s="294"/>
      <c r="S731" s="294"/>
      <c r="T731" s="294"/>
      <c r="U731" s="294"/>
      <c r="V731" s="431"/>
      <c r="W731" s="294"/>
      <c r="X731" s="294"/>
      <c r="Y731" s="294">
        <f>IF(NFI_Expiration=1,IF($A731&lt;VLOOKUP(H$5,NFI,5,0),1,0)*Table_NFI[[#This Row],[Hygiene Kit]],Table_NFI[Hygiene Kit])</f>
        <v>0</v>
      </c>
      <c r="Z731" s="294">
        <f>IF(NFI_Expiration=1,IF($A731&lt;VLOOKUP(I$5,NFI,5,0),1,0)*Table_NFI[[#This Row],[NFI Core Kit]],Table_NFI[NFI Core Kit])</f>
        <v>0</v>
      </c>
      <c r="AA731" s="294">
        <f>IF(NFI_Expiration=1,IF($A731&lt;VLOOKUP(J$5,NFI,5,0),1,0)*Table_NFI[[#This Row],[Sanitary Kit]],Table_NFI[Sanitary Kit])</f>
        <v>0</v>
      </c>
      <c r="AB731" s="294">
        <f>IF(NFI_Expiration=1,IF($A731&lt;VLOOKUP(K$5,NFI,5,0),1,0)*Table_NFI[[#This Row],[Mosquito net]],Table_NFI[Mosquito net])</f>
        <v>0</v>
      </c>
      <c r="AC731" s="294">
        <f>IF(NFI_Expiration=1,IF($A731&lt;VLOOKUP(L$5,NFI,5,0),1,0)*Table_NFI[[#This Row],[Tarpaulin]],Table_NFI[[#This Row],[Tarpaulin]])</f>
        <v>0</v>
      </c>
      <c r="AD731" s="294">
        <f>IF(NFI_Expiration=1,IF($A731&lt;VLOOKUP(M$5,NFI,5,0),1,0)*Table_NFI[[#This Row],[Blanket]],Table_NFI[[#This Row],[Blanket]])</f>
        <v>0</v>
      </c>
      <c r="AE731" s="294">
        <f>IF(NFI_Expiration=1,IF($A731&lt;VLOOKUP(N$5,NFI,5,0),1,0)*Table_NFI[[#This Row],[Kitchen Set]],Table_NFI[Kitchen Set])</f>
        <v>0</v>
      </c>
      <c r="AF731" s="294">
        <f>IF(NFI_Expiration=1,IF($A731&lt;VLOOKUP(O$5,NFI,5,0),1,0)*Table_NFI[[#This Row],[Clothes Kit]],Table_NFI[Clothes Kit])</f>
        <v>0</v>
      </c>
      <c r="AG731" s="294">
        <f>IF(NFI_Expiration=1,IF($A731&lt;VLOOKUP(P$5,NFI,5,0),1,0)*Table_NFI[[#This Row],[Plastic Bucket]],Table_NFI[Plastic Bucket])</f>
        <v>0</v>
      </c>
      <c r="AH731" s="294">
        <f>IF(NFI_Expiration=1,IF($A731&lt;VLOOKUP(Q$5,NFI,5,0),1,0)*Table_NFI[[#This Row],[Plastic Mat]],Table_NFI[Plastic Mat])*IF(Table_NFI[[#This Row],[Distribution Date]]&gt;"2014-04-01",1,2.5)</f>
        <v>0</v>
      </c>
      <c r="AI731" s="294">
        <f>IF(NFI_Expiration=1,IF($A731&lt;VLOOKUP(R$5,NFI,5,0),1,0)*Table_NFI[[#This Row],[Winter Clothes Adult]],Table_NFI[Winter Clothes Adult])</f>
        <v>0</v>
      </c>
      <c r="AJ731" s="294">
        <f>IF(NFI_Expiration=1,IF($A731&lt;VLOOKUP(S$5,NFI,5,0),1,0)*Table_NFI[[#This Row],[Winter Clothes Children]],Table_NFI[Winter Clothes Children])</f>
        <v>0</v>
      </c>
      <c r="AK731" s="294">
        <f>IF(NFI_Expiration=1,IF($A731&lt;VLOOKUP(T$5,NFI,5,0),1,0)*Table_NFI[[#This Row],[Winter Items Other]],Table_NFI[Winter Items Other])</f>
        <v>0</v>
      </c>
      <c r="AL731" s="294">
        <f>IF(NFI_Expiration=1,IF($A731&lt;VLOOKUP(M$5,NFI,5,0),1,0)*Table_NFI[[#This Row],[Winter Blanket]],Table_NFI[[#This Row],[Winter Blanket]])</f>
        <v>0</v>
      </c>
      <c r="AM731" s="294">
        <f>IF(Table_NFI[[#This Row],[Winter Clothes Adult]]+Table_NFI[[#This Row],[Winter Clothes Children]]+Table_NFI[[#This Row],[Winter Items Other]]+Table_NFI[[#This Row],[Winter Blanket]]&gt;0,1,0)</f>
        <v>0</v>
      </c>
      <c r="AN731" s="331">
        <f>IF(NFI_Expiration=1,IF($A731&lt;VLOOKUP(V$5,NFI,5,0),1,0)*Table_NFI[[#This Row],[Jerry Can]],Table_NFI[Jerry Can])</f>
        <v>0</v>
      </c>
      <c r="AO731" s="331">
        <f>IF(NFI_Expiration=1,IF($A731&lt;VLOOKUP(V$5,NFI,5,0),1,0)*Table_NFI[[#This Row],[Shelter Tool kit]],Table_NFI[Shelter Tool kit])</f>
        <v>0</v>
      </c>
      <c r="AP731" s="331">
        <f>IF(NFI_Expiration=1,IF($A731&lt;VLOOKUP(V$5,NFI,5,0),1,0)*Table_NFI[[#This Row],[Tent]],Table_NFI[Tent])</f>
        <v>0</v>
      </c>
      <c r="AQ731" s="467" t="str">
        <f>IFERROR(VLOOKUP(Table_NFI[[#This Row],[Camp Name]],CL,2,0),"")</f>
        <v>MMR001CMP045</v>
      </c>
      <c r="AR731" s="835">
        <f ca="1">IF(Table_NFI[[#This Row],[Pcode]]="","",IF(OFFSET(CampList[Opening Date],MATCH(Table_NFI[[#This Row],[Pcode]],CampList[CP_Pcode],0)-1,0,1,1)&gt;=NFI_Monitor_Date,1,0))</f>
        <v>0</v>
      </c>
      <c r="AS731" s="467" t="str">
        <f>IFERROR(VLOOKUP(Table_NFI[[#This Row],[Camp Name]],CL,3,0),"")</f>
        <v>Open</v>
      </c>
      <c r="AT731" s="294" t="str">
        <f ca="1">IF(Table_NFI[[#This Row],[Pcode]]="","",OFFSET(CampList[Priority],MATCH(Table_NFI[[#This Row],[Pcode]],CampList[CP_Pcode],0)-1,0,1,1))</f>
        <v>P1</v>
      </c>
      <c r="AU731" s="293" t="str">
        <f>IFERROR(Table_NFI[[#This Row],[Kitchen Set]]/VLOOKUP(Table_NFI[[#This Row],[Camp Name]],CL,4,0),"")</f>
        <v/>
      </c>
      <c r="AV731" s="461" t="s">
        <v>1092</v>
      </c>
      <c r="AW731" s="463"/>
    </row>
    <row r="732" spans="1:49" ht="14.45" customHeight="1" x14ac:dyDescent="0.25">
      <c r="A732" s="297">
        <f t="shared" si="11"/>
        <v>46.866666666666667</v>
      </c>
      <c r="B732" s="460">
        <v>41330</v>
      </c>
      <c r="C732" s="461" t="s">
        <v>452</v>
      </c>
      <c r="D732" s="461" t="s">
        <v>904</v>
      </c>
      <c r="E732" s="461" t="s">
        <v>380</v>
      </c>
      <c r="F732" s="290" t="s">
        <v>27</v>
      </c>
      <c r="G732" s="290" t="s">
        <v>365</v>
      </c>
      <c r="H732" s="291"/>
      <c r="I732" s="291"/>
      <c r="J732" s="291">
        <v>12</v>
      </c>
      <c r="K732" s="291">
        <v>17</v>
      </c>
      <c r="L732" s="292">
        <v>7</v>
      </c>
      <c r="M732" s="292">
        <v>17</v>
      </c>
      <c r="N732" s="292">
        <v>7</v>
      </c>
      <c r="O732" s="292">
        <v>7</v>
      </c>
      <c r="P732" s="294">
        <v>7</v>
      </c>
      <c r="Q732" s="294">
        <v>7</v>
      </c>
      <c r="R732" s="294"/>
      <c r="S732" s="294"/>
      <c r="T732" s="294"/>
      <c r="U732" s="294"/>
      <c r="V732" s="431"/>
      <c r="W732" s="294"/>
      <c r="X732" s="294"/>
      <c r="Y732" s="294">
        <f>IF(NFI_Expiration=1,IF($A732&lt;VLOOKUP(H$5,NFI,5,0),1,0)*Table_NFI[[#This Row],[Hygiene Kit]],Table_NFI[Hygiene Kit])</f>
        <v>0</v>
      </c>
      <c r="Z732" s="294">
        <f>IF(NFI_Expiration=1,IF($A732&lt;VLOOKUP(I$5,NFI,5,0),1,0)*Table_NFI[[#This Row],[NFI Core Kit]],Table_NFI[NFI Core Kit])</f>
        <v>0</v>
      </c>
      <c r="AA732" s="294">
        <f>IF(NFI_Expiration=1,IF($A732&lt;VLOOKUP(J$5,NFI,5,0),1,0)*Table_NFI[[#This Row],[Sanitary Kit]],Table_NFI[Sanitary Kit])</f>
        <v>0</v>
      </c>
      <c r="AB732" s="294">
        <f>IF(NFI_Expiration=1,IF($A732&lt;VLOOKUP(K$5,NFI,5,0),1,0)*Table_NFI[[#This Row],[Mosquito net]],Table_NFI[Mosquito net])</f>
        <v>0</v>
      </c>
      <c r="AC732" s="294">
        <f>IF(NFI_Expiration=1,IF($A732&lt;VLOOKUP(L$5,NFI,5,0),1,0)*Table_NFI[[#This Row],[Tarpaulin]],Table_NFI[[#This Row],[Tarpaulin]])</f>
        <v>0</v>
      </c>
      <c r="AD732" s="294">
        <f>IF(NFI_Expiration=1,IF($A732&lt;VLOOKUP(M$5,NFI,5,0),1,0)*Table_NFI[[#This Row],[Blanket]],Table_NFI[[#This Row],[Blanket]])</f>
        <v>0</v>
      </c>
      <c r="AE732" s="294">
        <f>IF(NFI_Expiration=1,IF($A732&lt;VLOOKUP(N$5,NFI,5,0),1,0)*Table_NFI[[#This Row],[Kitchen Set]],Table_NFI[Kitchen Set])</f>
        <v>0</v>
      </c>
      <c r="AF732" s="294">
        <f>IF(NFI_Expiration=1,IF($A732&lt;VLOOKUP(O$5,NFI,5,0),1,0)*Table_NFI[[#This Row],[Clothes Kit]],Table_NFI[Clothes Kit])</f>
        <v>0</v>
      </c>
      <c r="AG732" s="294">
        <f>IF(NFI_Expiration=1,IF($A732&lt;VLOOKUP(P$5,NFI,5,0),1,0)*Table_NFI[[#This Row],[Plastic Bucket]],Table_NFI[Plastic Bucket])</f>
        <v>0</v>
      </c>
      <c r="AH732" s="294">
        <f>IF(NFI_Expiration=1,IF($A732&lt;VLOOKUP(Q$5,NFI,5,0),1,0)*Table_NFI[[#This Row],[Plastic Mat]],Table_NFI[Plastic Mat])*IF(Table_NFI[[#This Row],[Distribution Date]]&gt;"2014-04-01",1,2.5)</f>
        <v>0</v>
      </c>
      <c r="AI732" s="294">
        <f>IF(NFI_Expiration=1,IF($A732&lt;VLOOKUP(R$5,NFI,5,0),1,0)*Table_NFI[[#This Row],[Winter Clothes Adult]],Table_NFI[Winter Clothes Adult])</f>
        <v>0</v>
      </c>
      <c r="AJ732" s="294">
        <f>IF(NFI_Expiration=1,IF($A732&lt;VLOOKUP(S$5,NFI,5,0),1,0)*Table_NFI[[#This Row],[Winter Clothes Children]],Table_NFI[Winter Clothes Children])</f>
        <v>0</v>
      </c>
      <c r="AK732" s="294">
        <f>IF(NFI_Expiration=1,IF($A732&lt;VLOOKUP(T$5,NFI,5,0),1,0)*Table_NFI[[#This Row],[Winter Items Other]],Table_NFI[Winter Items Other])</f>
        <v>0</v>
      </c>
      <c r="AL732" s="294">
        <f>IF(NFI_Expiration=1,IF($A732&lt;VLOOKUP(M$5,NFI,5,0),1,0)*Table_NFI[[#This Row],[Winter Blanket]],Table_NFI[[#This Row],[Winter Blanket]])</f>
        <v>0</v>
      </c>
      <c r="AM732" s="294">
        <f>IF(Table_NFI[[#This Row],[Winter Clothes Adult]]+Table_NFI[[#This Row],[Winter Clothes Children]]+Table_NFI[[#This Row],[Winter Items Other]]+Table_NFI[[#This Row],[Winter Blanket]]&gt;0,1,0)</f>
        <v>0</v>
      </c>
      <c r="AN732" s="331">
        <f>IF(NFI_Expiration=1,IF($A732&lt;VLOOKUP(V$5,NFI,5,0),1,0)*Table_NFI[[#This Row],[Jerry Can]],Table_NFI[Jerry Can])</f>
        <v>0</v>
      </c>
      <c r="AO732" s="331">
        <f>IF(NFI_Expiration=1,IF($A732&lt;VLOOKUP(V$5,NFI,5,0),1,0)*Table_NFI[[#This Row],[Shelter Tool kit]],Table_NFI[Shelter Tool kit])</f>
        <v>0</v>
      </c>
      <c r="AP732" s="331">
        <f>IF(NFI_Expiration=1,IF($A732&lt;VLOOKUP(V$5,NFI,5,0),1,0)*Table_NFI[[#This Row],[Tent]],Table_NFI[Tent])</f>
        <v>0</v>
      </c>
      <c r="AQ732" s="467" t="str">
        <f>IFERROR(VLOOKUP(Table_NFI[[#This Row],[Camp Name]],CL,2,0),"")</f>
        <v>MMR001CMP195</v>
      </c>
      <c r="AR732" s="835">
        <f ca="1">IF(Table_NFI[[#This Row],[Pcode]]="","",IF(OFFSET(CampList[Opening Date],MATCH(Table_NFI[[#This Row],[Pcode]],CampList[CP_Pcode],0)-1,0,1,1)&gt;=NFI_Monitor_Date,1,0))</f>
        <v>0</v>
      </c>
      <c r="AS732" s="467" t="str">
        <f>IFERROR(VLOOKUP(Table_NFI[[#This Row],[Camp Name]],CL,3,0),"")</f>
        <v>Open</v>
      </c>
      <c r="AT732" s="294" t="str">
        <f ca="1">IF(Table_NFI[[#This Row],[Pcode]]="","",OFFSET(CampList[Priority],MATCH(Table_NFI[[#This Row],[Pcode]],CampList[CP_Pcode],0)-1,0,1,1))</f>
        <v>P1</v>
      </c>
      <c r="AU732" s="293">
        <f>IFERROR(Table_NFI[[#This Row],[Kitchen Set]]/VLOOKUP(Table_NFI[[#This Row],[Camp Name]],CL,4,0),"")</f>
        <v>1.7098192476795311E-4</v>
      </c>
      <c r="AV732" s="461" t="s">
        <v>1092</v>
      </c>
      <c r="AW732" s="463"/>
    </row>
    <row r="733" spans="1:49" ht="14.45" customHeight="1" x14ac:dyDescent="0.25">
      <c r="A733" s="297">
        <f t="shared" si="11"/>
        <v>46.866666666666667</v>
      </c>
      <c r="B733" s="460">
        <v>41330</v>
      </c>
      <c r="C733" s="461" t="s">
        <v>900</v>
      </c>
      <c r="D733" s="462" t="s">
        <v>900</v>
      </c>
      <c r="E733" s="461" t="s">
        <v>380</v>
      </c>
      <c r="F733" s="290" t="s">
        <v>310</v>
      </c>
      <c r="G733" s="290" t="s">
        <v>324</v>
      </c>
      <c r="H733" s="291"/>
      <c r="I733" s="291"/>
      <c r="J733" s="291">
        <v>235</v>
      </c>
      <c r="K733" s="291"/>
      <c r="L733" s="292">
        <v>174</v>
      </c>
      <c r="M733" s="292"/>
      <c r="N733" s="292">
        <v>61</v>
      </c>
      <c r="O733" s="292"/>
      <c r="P733" s="294">
        <v>0</v>
      </c>
      <c r="Q733" s="294">
        <v>0</v>
      </c>
      <c r="R733" s="294"/>
      <c r="S733" s="294"/>
      <c r="T733" s="294"/>
      <c r="U733" s="294"/>
      <c r="V733" s="431"/>
      <c r="W733" s="294"/>
      <c r="X733" s="294"/>
      <c r="Y733" s="294">
        <f>IF(NFI_Expiration=1,IF($A733&lt;VLOOKUP(H$5,NFI,5,0),1,0)*Table_NFI[[#This Row],[Hygiene Kit]],Table_NFI[Hygiene Kit])</f>
        <v>0</v>
      </c>
      <c r="Z733" s="294">
        <f>IF(NFI_Expiration=1,IF($A733&lt;VLOOKUP(I$5,NFI,5,0),1,0)*Table_NFI[[#This Row],[NFI Core Kit]],Table_NFI[NFI Core Kit])</f>
        <v>0</v>
      </c>
      <c r="AA733" s="294">
        <f>IF(NFI_Expiration=1,IF($A733&lt;VLOOKUP(J$5,NFI,5,0),1,0)*Table_NFI[[#This Row],[Sanitary Kit]],Table_NFI[Sanitary Kit])</f>
        <v>0</v>
      </c>
      <c r="AB733" s="294">
        <f>IF(NFI_Expiration=1,IF($A733&lt;VLOOKUP(K$5,NFI,5,0),1,0)*Table_NFI[[#This Row],[Mosquito net]],Table_NFI[Mosquito net])</f>
        <v>0</v>
      </c>
      <c r="AC733" s="294">
        <f>IF(NFI_Expiration=1,IF($A733&lt;VLOOKUP(L$5,NFI,5,0),1,0)*Table_NFI[[#This Row],[Tarpaulin]],Table_NFI[[#This Row],[Tarpaulin]])</f>
        <v>0</v>
      </c>
      <c r="AD733" s="294">
        <f>IF(NFI_Expiration=1,IF($A733&lt;VLOOKUP(M$5,NFI,5,0),1,0)*Table_NFI[[#This Row],[Blanket]],Table_NFI[[#This Row],[Blanket]])</f>
        <v>0</v>
      </c>
      <c r="AE733" s="294">
        <f>IF(NFI_Expiration=1,IF($A733&lt;VLOOKUP(N$5,NFI,5,0),1,0)*Table_NFI[[#This Row],[Kitchen Set]],Table_NFI[Kitchen Set])</f>
        <v>0</v>
      </c>
      <c r="AF733" s="294">
        <f>IF(NFI_Expiration=1,IF($A733&lt;VLOOKUP(O$5,NFI,5,0),1,0)*Table_NFI[[#This Row],[Clothes Kit]],Table_NFI[Clothes Kit])</f>
        <v>0</v>
      </c>
      <c r="AG733" s="294">
        <f>IF(NFI_Expiration=1,IF($A733&lt;VLOOKUP(P$5,NFI,5,0),1,0)*Table_NFI[[#This Row],[Plastic Bucket]],Table_NFI[Plastic Bucket])</f>
        <v>0</v>
      </c>
      <c r="AH733" s="294">
        <f>IF(NFI_Expiration=1,IF($A733&lt;VLOOKUP(Q$5,NFI,5,0),1,0)*Table_NFI[[#This Row],[Plastic Mat]],Table_NFI[Plastic Mat])*IF(Table_NFI[[#This Row],[Distribution Date]]&gt;"2014-04-01",1,2.5)</f>
        <v>0</v>
      </c>
      <c r="AI733" s="294">
        <f>IF(NFI_Expiration=1,IF($A733&lt;VLOOKUP(R$5,NFI,5,0),1,0)*Table_NFI[[#This Row],[Winter Clothes Adult]],Table_NFI[Winter Clothes Adult])</f>
        <v>0</v>
      </c>
      <c r="AJ733" s="294">
        <f>IF(NFI_Expiration=1,IF($A733&lt;VLOOKUP(S$5,NFI,5,0),1,0)*Table_NFI[[#This Row],[Winter Clothes Children]],Table_NFI[Winter Clothes Children])</f>
        <v>0</v>
      </c>
      <c r="AK733" s="294">
        <f>IF(NFI_Expiration=1,IF($A733&lt;VLOOKUP(T$5,NFI,5,0),1,0)*Table_NFI[[#This Row],[Winter Items Other]],Table_NFI[Winter Items Other])</f>
        <v>0</v>
      </c>
      <c r="AL733" s="294">
        <f>IF(NFI_Expiration=1,IF($A733&lt;VLOOKUP(M$5,NFI,5,0),1,0)*Table_NFI[[#This Row],[Winter Blanket]],Table_NFI[[#This Row],[Winter Blanket]])</f>
        <v>0</v>
      </c>
      <c r="AM733" s="294">
        <f>IF(Table_NFI[[#This Row],[Winter Clothes Adult]]+Table_NFI[[#This Row],[Winter Clothes Children]]+Table_NFI[[#This Row],[Winter Items Other]]+Table_NFI[[#This Row],[Winter Blanket]]&gt;0,1,0)</f>
        <v>0</v>
      </c>
      <c r="AN733" s="331">
        <f>IF(NFI_Expiration=1,IF($A733&lt;VLOOKUP(V$5,NFI,5,0),1,0)*Table_NFI[[#This Row],[Jerry Can]],Table_NFI[Jerry Can])</f>
        <v>0</v>
      </c>
      <c r="AO733" s="331">
        <f>IF(NFI_Expiration=1,IF($A733&lt;VLOOKUP(V$5,NFI,5,0),1,0)*Table_NFI[[#This Row],[Shelter Tool kit]],Table_NFI[Shelter Tool kit])</f>
        <v>0</v>
      </c>
      <c r="AP733" s="331">
        <f>IF(NFI_Expiration=1,IF($A733&lt;VLOOKUP(V$5,NFI,5,0),1,0)*Table_NFI[[#This Row],[Tent]],Table_NFI[Tent])</f>
        <v>0</v>
      </c>
      <c r="AQ733" s="467" t="str">
        <f>IFERROR(VLOOKUP(Table_NFI[[#This Row],[Camp Name]],CL,2,0),"")</f>
        <v>MMR001CMP040</v>
      </c>
      <c r="AR733" s="835">
        <f ca="1">IF(Table_NFI[[#This Row],[Pcode]]="","",IF(OFFSET(CampList[Opening Date],MATCH(Table_NFI[[#This Row],[Pcode]],CampList[CP_Pcode],0)-1,0,1,1)&gt;=NFI_Monitor_Date,1,0))</f>
        <v>0</v>
      </c>
      <c r="AS733" s="467" t="str">
        <f>IFERROR(VLOOKUP(Table_NFI[[#This Row],[Camp Name]],CL,3,0),"")</f>
        <v>Open</v>
      </c>
      <c r="AT733" s="294" t="str">
        <f ca="1">IF(Table_NFI[[#This Row],[Pcode]]="","",OFFSET(CampList[Priority],MATCH(Table_NFI[[#This Row],[Pcode]],CampList[CP_Pcode],0)-1,0,1,1))</f>
        <v>P4</v>
      </c>
      <c r="AU733" s="293">
        <f>IFERROR(Table_NFI[[#This Row],[Kitchen Set]]/VLOOKUP(Table_NFI[[#This Row],[Camp Name]],CL,4,0),"")</f>
        <v>1.4855946031514088E-3</v>
      </c>
      <c r="AV733" s="461" t="s">
        <v>1092</v>
      </c>
      <c r="AW733" s="463"/>
    </row>
    <row r="734" spans="1:49" ht="14.45" customHeight="1" x14ac:dyDescent="0.25">
      <c r="A734" s="297">
        <f t="shared" si="11"/>
        <v>46.866666666666667</v>
      </c>
      <c r="B734" s="460">
        <v>41330</v>
      </c>
      <c r="C734" s="461" t="s">
        <v>452</v>
      </c>
      <c r="D734" s="462" t="s">
        <v>904</v>
      </c>
      <c r="E734" s="461" t="s">
        <v>380</v>
      </c>
      <c r="F734" s="290" t="s">
        <v>27</v>
      </c>
      <c r="G734" s="290" t="s">
        <v>32</v>
      </c>
      <c r="H734" s="291"/>
      <c r="I734" s="291"/>
      <c r="J734" s="291">
        <v>11</v>
      </c>
      <c r="K734" s="291">
        <v>17</v>
      </c>
      <c r="L734" s="292">
        <v>7</v>
      </c>
      <c r="M734" s="292">
        <v>17</v>
      </c>
      <c r="N734" s="292">
        <v>7</v>
      </c>
      <c r="O734" s="292">
        <v>7</v>
      </c>
      <c r="P734" s="294">
        <v>7</v>
      </c>
      <c r="Q734" s="294">
        <v>7</v>
      </c>
      <c r="R734" s="294"/>
      <c r="S734" s="294"/>
      <c r="T734" s="294"/>
      <c r="U734" s="294"/>
      <c r="V734" s="431"/>
      <c r="W734" s="294"/>
      <c r="X734" s="294"/>
      <c r="Y734" s="294">
        <f>IF(NFI_Expiration=1,IF($A734&lt;VLOOKUP(H$5,NFI,5,0),1,0)*Table_NFI[[#This Row],[Hygiene Kit]],Table_NFI[Hygiene Kit])</f>
        <v>0</v>
      </c>
      <c r="Z734" s="294">
        <f>IF(NFI_Expiration=1,IF($A734&lt;VLOOKUP(I$5,NFI,5,0),1,0)*Table_NFI[[#This Row],[NFI Core Kit]],Table_NFI[NFI Core Kit])</f>
        <v>0</v>
      </c>
      <c r="AA734" s="294">
        <f>IF(NFI_Expiration=1,IF($A734&lt;VLOOKUP(J$5,NFI,5,0),1,0)*Table_NFI[[#This Row],[Sanitary Kit]],Table_NFI[Sanitary Kit])</f>
        <v>0</v>
      </c>
      <c r="AB734" s="294">
        <f>IF(NFI_Expiration=1,IF($A734&lt;VLOOKUP(K$5,NFI,5,0),1,0)*Table_NFI[[#This Row],[Mosquito net]],Table_NFI[Mosquito net])</f>
        <v>0</v>
      </c>
      <c r="AC734" s="294">
        <f>IF(NFI_Expiration=1,IF($A734&lt;VLOOKUP(L$5,NFI,5,0),1,0)*Table_NFI[[#This Row],[Tarpaulin]],Table_NFI[[#This Row],[Tarpaulin]])</f>
        <v>0</v>
      </c>
      <c r="AD734" s="294">
        <f>IF(NFI_Expiration=1,IF($A734&lt;VLOOKUP(M$5,NFI,5,0),1,0)*Table_NFI[[#This Row],[Blanket]],Table_NFI[[#This Row],[Blanket]])</f>
        <v>0</v>
      </c>
      <c r="AE734" s="294">
        <f>IF(NFI_Expiration=1,IF($A734&lt;VLOOKUP(N$5,NFI,5,0),1,0)*Table_NFI[[#This Row],[Kitchen Set]],Table_NFI[Kitchen Set])</f>
        <v>0</v>
      </c>
      <c r="AF734" s="294">
        <f>IF(NFI_Expiration=1,IF($A734&lt;VLOOKUP(O$5,NFI,5,0),1,0)*Table_NFI[[#This Row],[Clothes Kit]],Table_NFI[Clothes Kit])</f>
        <v>0</v>
      </c>
      <c r="AG734" s="294">
        <f>IF(NFI_Expiration=1,IF($A734&lt;VLOOKUP(P$5,NFI,5,0),1,0)*Table_NFI[[#This Row],[Plastic Bucket]],Table_NFI[Plastic Bucket])</f>
        <v>0</v>
      </c>
      <c r="AH734" s="294">
        <f>IF(NFI_Expiration=1,IF($A734&lt;VLOOKUP(Q$5,NFI,5,0),1,0)*Table_NFI[[#This Row],[Plastic Mat]],Table_NFI[Plastic Mat])*IF(Table_NFI[[#This Row],[Distribution Date]]&gt;"2014-04-01",1,2.5)</f>
        <v>0</v>
      </c>
      <c r="AI734" s="294">
        <f>IF(NFI_Expiration=1,IF($A734&lt;VLOOKUP(R$5,NFI,5,0),1,0)*Table_NFI[[#This Row],[Winter Clothes Adult]],Table_NFI[Winter Clothes Adult])</f>
        <v>0</v>
      </c>
      <c r="AJ734" s="294">
        <f>IF(NFI_Expiration=1,IF($A734&lt;VLOOKUP(S$5,NFI,5,0),1,0)*Table_NFI[[#This Row],[Winter Clothes Children]],Table_NFI[Winter Clothes Children])</f>
        <v>0</v>
      </c>
      <c r="AK734" s="294">
        <f>IF(NFI_Expiration=1,IF($A734&lt;VLOOKUP(T$5,NFI,5,0),1,0)*Table_NFI[[#This Row],[Winter Items Other]],Table_NFI[Winter Items Other])</f>
        <v>0</v>
      </c>
      <c r="AL734" s="294">
        <f>IF(NFI_Expiration=1,IF($A734&lt;VLOOKUP(M$5,NFI,5,0),1,0)*Table_NFI[[#This Row],[Winter Blanket]],Table_NFI[[#This Row],[Winter Blanket]])</f>
        <v>0</v>
      </c>
      <c r="AM734" s="294">
        <f>IF(Table_NFI[[#This Row],[Winter Clothes Adult]]+Table_NFI[[#This Row],[Winter Clothes Children]]+Table_NFI[[#This Row],[Winter Items Other]]+Table_NFI[[#This Row],[Winter Blanket]]&gt;0,1,0)</f>
        <v>0</v>
      </c>
      <c r="AN734" s="331">
        <f>IF(NFI_Expiration=1,IF($A734&lt;VLOOKUP(V$5,NFI,5,0),1,0)*Table_NFI[[#This Row],[Jerry Can]],Table_NFI[Jerry Can])</f>
        <v>0</v>
      </c>
      <c r="AO734" s="331">
        <f>IF(NFI_Expiration=1,IF($A734&lt;VLOOKUP(V$5,NFI,5,0),1,0)*Table_NFI[[#This Row],[Shelter Tool kit]],Table_NFI[Shelter Tool kit])</f>
        <v>0</v>
      </c>
      <c r="AP734" s="331">
        <f>IF(NFI_Expiration=1,IF($A734&lt;VLOOKUP(V$5,NFI,5,0),1,0)*Table_NFI[[#This Row],[Tent]],Table_NFI[Tent])</f>
        <v>0</v>
      </c>
      <c r="AQ734" s="467" t="str">
        <f>IFERROR(VLOOKUP(Table_NFI[[#This Row],[Camp Name]],CL,2,0),"")</f>
        <v>MMR001CMP046</v>
      </c>
      <c r="AR734" s="835">
        <f ca="1">IF(Table_NFI[[#This Row],[Pcode]]="","",IF(OFFSET(CampList[Opening Date],MATCH(Table_NFI[[#This Row],[Pcode]],CampList[CP_Pcode],0)-1,0,1,1)&gt;=NFI_Monitor_Date,1,0))</f>
        <v>0</v>
      </c>
      <c r="AS734" s="467" t="str">
        <f>IFERROR(VLOOKUP(Table_NFI[[#This Row],[Camp Name]],CL,3,0),"")</f>
        <v>Closed</v>
      </c>
      <c r="AT734" s="294" t="str">
        <f ca="1">IF(Table_NFI[[#This Row],[Pcode]]="","",OFFSET(CampList[Priority],MATCH(Table_NFI[[#This Row],[Pcode]],CampList[CP_Pcode],0)-1,0,1,1))</f>
        <v>P1</v>
      </c>
      <c r="AU734" s="293" t="str">
        <f>IFERROR(Table_NFI[[#This Row],[Kitchen Set]]/VLOOKUP(Table_NFI[[#This Row],[Camp Name]],CL,4,0),"")</f>
        <v/>
      </c>
      <c r="AV734" s="461" t="s">
        <v>1092</v>
      </c>
      <c r="AW734" s="463"/>
    </row>
    <row r="735" spans="1:49" ht="14.45" customHeight="1" x14ac:dyDescent="0.25">
      <c r="A735" s="297">
        <f t="shared" si="11"/>
        <v>46.866666666666667</v>
      </c>
      <c r="B735" s="460">
        <v>41330</v>
      </c>
      <c r="C735" s="461" t="s">
        <v>452</v>
      </c>
      <c r="D735" s="462" t="s">
        <v>904</v>
      </c>
      <c r="E735" s="461" t="s">
        <v>380</v>
      </c>
      <c r="F735" s="290" t="s">
        <v>27</v>
      </c>
      <c r="G735" s="290" t="s">
        <v>37</v>
      </c>
      <c r="H735" s="291"/>
      <c r="I735" s="291"/>
      <c r="J735" s="291">
        <v>12</v>
      </c>
      <c r="K735" s="291">
        <v>18</v>
      </c>
      <c r="L735" s="292">
        <v>8</v>
      </c>
      <c r="M735" s="292">
        <v>18</v>
      </c>
      <c r="N735" s="292">
        <v>8</v>
      </c>
      <c r="O735" s="292">
        <v>8</v>
      </c>
      <c r="P735" s="294">
        <v>8</v>
      </c>
      <c r="Q735" s="294">
        <v>8</v>
      </c>
      <c r="R735" s="294"/>
      <c r="S735" s="294"/>
      <c r="T735" s="294"/>
      <c r="U735" s="294"/>
      <c r="V735" s="431"/>
      <c r="W735" s="294"/>
      <c r="X735" s="294"/>
      <c r="Y735" s="294">
        <f>IF(NFI_Expiration=1,IF($A735&lt;VLOOKUP(H$5,NFI,5,0),1,0)*Table_NFI[[#This Row],[Hygiene Kit]],Table_NFI[Hygiene Kit])</f>
        <v>0</v>
      </c>
      <c r="Z735" s="294">
        <f>IF(NFI_Expiration=1,IF($A735&lt;VLOOKUP(I$5,NFI,5,0),1,0)*Table_NFI[[#This Row],[NFI Core Kit]],Table_NFI[NFI Core Kit])</f>
        <v>0</v>
      </c>
      <c r="AA735" s="294">
        <f>IF(NFI_Expiration=1,IF($A735&lt;VLOOKUP(J$5,NFI,5,0),1,0)*Table_NFI[[#This Row],[Sanitary Kit]],Table_NFI[Sanitary Kit])</f>
        <v>0</v>
      </c>
      <c r="AB735" s="294">
        <f>IF(NFI_Expiration=1,IF($A735&lt;VLOOKUP(K$5,NFI,5,0),1,0)*Table_NFI[[#This Row],[Mosquito net]],Table_NFI[Mosquito net])</f>
        <v>0</v>
      </c>
      <c r="AC735" s="294">
        <f>IF(NFI_Expiration=1,IF($A735&lt;VLOOKUP(L$5,NFI,5,0),1,0)*Table_NFI[[#This Row],[Tarpaulin]],Table_NFI[[#This Row],[Tarpaulin]])</f>
        <v>0</v>
      </c>
      <c r="AD735" s="294">
        <f>IF(NFI_Expiration=1,IF($A735&lt;VLOOKUP(M$5,NFI,5,0),1,0)*Table_NFI[[#This Row],[Blanket]],Table_NFI[[#This Row],[Blanket]])</f>
        <v>0</v>
      </c>
      <c r="AE735" s="294">
        <f>IF(NFI_Expiration=1,IF($A735&lt;VLOOKUP(N$5,NFI,5,0),1,0)*Table_NFI[[#This Row],[Kitchen Set]],Table_NFI[Kitchen Set])</f>
        <v>0</v>
      </c>
      <c r="AF735" s="294">
        <f>IF(NFI_Expiration=1,IF($A735&lt;VLOOKUP(O$5,NFI,5,0),1,0)*Table_NFI[[#This Row],[Clothes Kit]],Table_NFI[Clothes Kit])</f>
        <v>0</v>
      </c>
      <c r="AG735" s="294">
        <f>IF(NFI_Expiration=1,IF($A735&lt;VLOOKUP(P$5,NFI,5,0),1,0)*Table_NFI[[#This Row],[Plastic Bucket]],Table_NFI[Plastic Bucket])</f>
        <v>0</v>
      </c>
      <c r="AH735" s="294">
        <f>IF(NFI_Expiration=1,IF($A735&lt;VLOOKUP(Q$5,NFI,5,0),1,0)*Table_NFI[[#This Row],[Plastic Mat]],Table_NFI[Plastic Mat])*IF(Table_NFI[[#This Row],[Distribution Date]]&gt;"2014-04-01",1,2.5)</f>
        <v>0</v>
      </c>
      <c r="AI735" s="294">
        <f>IF(NFI_Expiration=1,IF($A735&lt;VLOOKUP(R$5,NFI,5,0),1,0)*Table_NFI[[#This Row],[Winter Clothes Adult]],Table_NFI[Winter Clothes Adult])</f>
        <v>0</v>
      </c>
      <c r="AJ735" s="294">
        <f>IF(NFI_Expiration=1,IF($A735&lt;VLOOKUP(S$5,NFI,5,0),1,0)*Table_NFI[[#This Row],[Winter Clothes Children]],Table_NFI[Winter Clothes Children])</f>
        <v>0</v>
      </c>
      <c r="AK735" s="294">
        <f>IF(NFI_Expiration=1,IF($A735&lt;VLOOKUP(T$5,NFI,5,0),1,0)*Table_NFI[[#This Row],[Winter Items Other]],Table_NFI[Winter Items Other])</f>
        <v>0</v>
      </c>
      <c r="AL735" s="294">
        <f>IF(NFI_Expiration=1,IF($A735&lt;VLOOKUP(M$5,NFI,5,0),1,0)*Table_NFI[[#This Row],[Winter Blanket]],Table_NFI[[#This Row],[Winter Blanket]])</f>
        <v>0</v>
      </c>
      <c r="AM735" s="294">
        <f>IF(Table_NFI[[#This Row],[Winter Clothes Adult]]+Table_NFI[[#This Row],[Winter Clothes Children]]+Table_NFI[[#This Row],[Winter Items Other]]+Table_NFI[[#This Row],[Winter Blanket]]&gt;0,1,0)</f>
        <v>0</v>
      </c>
      <c r="AN735" s="331">
        <f>IF(NFI_Expiration=1,IF($A735&lt;VLOOKUP(V$5,NFI,5,0),1,0)*Table_NFI[[#This Row],[Jerry Can]],Table_NFI[Jerry Can])</f>
        <v>0</v>
      </c>
      <c r="AO735" s="331">
        <f>IF(NFI_Expiration=1,IF($A735&lt;VLOOKUP(V$5,NFI,5,0),1,0)*Table_NFI[[#This Row],[Shelter Tool kit]],Table_NFI[Shelter Tool kit])</f>
        <v>0</v>
      </c>
      <c r="AP735" s="331">
        <f>IF(NFI_Expiration=1,IF($A735&lt;VLOOKUP(V$5,NFI,5,0),1,0)*Table_NFI[[#This Row],[Tent]],Table_NFI[Tent])</f>
        <v>0</v>
      </c>
      <c r="AQ735" s="467" t="str">
        <f>IFERROR(VLOOKUP(Table_NFI[[#This Row],[Camp Name]],CL,2,0),"")</f>
        <v>MMR001CMP044</v>
      </c>
      <c r="AR735" s="835">
        <f ca="1">IF(Table_NFI[[#This Row],[Pcode]]="","",IF(OFFSET(CampList[Opening Date],MATCH(Table_NFI[[#This Row],[Pcode]],CampList[CP_Pcode],0)-1,0,1,1)&gt;=NFI_Monitor_Date,1,0))</f>
        <v>0</v>
      </c>
      <c r="AS735" s="467" t="str">
        <f>IFERROR(VLOOKUP(Table_NFI[[#This Row],[Camp Name]],CL,3,0),"")</f>
        <v>Closed</v>
      </c>
      <c r="AT735" s="294" t="str">
        <f ca="1">IF(Table_NFI[[#This Row],[Pcode]]="","",OFFSET(CampList[Priority],MATCH(Table_NFI[[#This Row],[Pcode]],CampList[CP_Pcode],0)-1,0,1,1))</f>
        <v/>
      </c>
      <c r="AU735" s="293" t="str">
        <f>IFERROR(Table_NFI[[#This Row],[Kitchen Set]]/VLOOKUP(Table_NFI[[#This Row],[Camp Name]],CL,4,0),"")</f>
        <v/>
      </c>
      <c r="AV735" s="461" t="s">
        <v>1092</v>
      </c>
      <c r="AW735" s="463"/>
    </row>
    <row r="736" spans="1:49" ht="14.45" customHeight="1" x14ac:dyDescent="0.25">
      <c r="A736" s="297">
        <f t="shared" si="11"/>
        <v>47.033333333333331</v>
      </c>
      <c r="B736" s="460">
        <v>41325</v>
      </c>
      <c r="C736" s="461" t="s">
        <v>452</v>
      </c>
      <c r="D736" s="462" t="s">
        <v>452</v>
      </c>
      <c r="E736" s="461" t="s">
        <v>380</v>
      </c>
      <c r="F736" s="290" t="s">
        <v>527</v>
      </c>
      <c r="G736" s="290" t="s">
        <v>43</v>
      </c>
      <c r="H736" s="291"/>
      <c r="I736" s="291"/>
      <c r="J736" s="291"/>
      <c r="K736" s="291">
        <v>59</v>
      </c>
      <c r="L736" s="292">
        <v>28</v>
      </c>
      <c r="M736" s="292">
        <v>0</v>
      </c>
      <c r="N736" s="292">
        <v>28</v>
      </c>
      <c r="O736" s="292">
        <v>28</v>
      </c>
      <c r="P736" s="294">
        <v>28</v>
      </c>
      <c r="Q736" s="294">
        <v>28</v>
      </c>
      <c r="R736" s="294"/>
      <c r="S736" s="294"/>
      <c r="T736" s="294"/>
      <c r="U736" s="294"/>
      <c r="V736" s="431"/>
      <c r="W736" s="294"/>
      <c r="X736" s="294"/>
      <c r="Y736" s="294">
        <f>IF(NFI_Expiration=1,IF($A736&lt;VLOOKUP(H$5,NFI,5,0),1,0)*Table_NFI[[#This Row],[Hygiene Kit]],Table_NFI[Hygiene Kit])</f>
        <v>0</v>
      </c>
      <c r="Z736" s="294">
        <f>IF(NFI_Expiration=1,IF($A736&lt;VLOOKUP(I$5,NFI,5,0),1,0)*Table_NFI[[#This Row],[NFI Core Kit]],Table_NFI[NFI Core Kit])</f>
        <v>0</v>
      </c>
      <c r="AA736" s="294">
        <f>IF(NFI_Expiration=1,IF($A736&lt;VLOOKUP(J$5,NFI,5,0),1,0)*Table_NFI[[#This Row],[Sanitary Kit]],Table_NFI[Sanitary Kit])</f>
        <v>0</v>
      </c>
      <c r="AB736" s="294">
        <f>IF(NFI_Expiration=1,IF($A736&lt;VLOOKUP(K$5,NFI,5,0),1,0)*Table_NFI[[#This Row],[Mosquito net]],Table_NFI[Mosquito net])</f>
        <v>0</v>
      </c>
      <c r="AC736" s="294">
        <f>IF(NFI_Expiration=1,IF($A736&lt;VLOOKUP(L$5,NFI,5,0),1,0)*Table_NFI[[#This Row],[Tarpaulin]],Table_NFI[[#This Row],[Tarpaulin]])</f>
        <v>0</v>
      </c>
      <c r="AD736" s="294">
        <f>IF(NFI_Expiration=1,IF($A736&lt;VLOOKUP(M$5,NFI,5,0),1,0)*Table_NFI[[#This Row],[Blanket]],Table_NFI[[#This Row],[Blanket]])</f>
        <v>0</v>
      </c>
      <c r="AE736" s="294">
        <f>IF(NFI_Expiration=1,IF($A736&lt;VLOOKUP(N$5,NFI,5,0),1,0)*Table_NFI[[#This Row],[Kitchen Set]],Table_NFI[Kitchen Set])</f>
        <v>0</v>
      </c>
      <c r="AF736" s="294">
        <f>IF(NFI_Expiration=1,IF($A736&lt;VLOOKUP(O$5,NFI,5,0),1,0)*Table_NFI[[#This Row],[Clothes Kit]],Table_NFI[Clothes Kit])</f>
        <v>0</v>
      </c>
      <c r="AG736" s="294">
        <f>IF(NFI_Expiration=1,IF($A736&lt;VLOOKUP(P$5,NFI,5,0),1,0)*Table_NFI[[#This Row],[Plastic Bucket]],Table_NFI[Plastic Bucket])</f>
        <v>0</v>
      </c>
      <c r="AH736" s="294">
        <f>IF(NFI_Expiration=1,IF($A736&lt;VLOOKUP(Q$5,NFI,5,0),1,0)*Table_NFI[[#This Row],[Plastic Mat]],Table_NFI[Plastic Mat])*IF(Table_NFI[[#This Row],[Distribution Date]]&gt;"2014-04-01",1,2.5)</f>
        <v>0</v>
      </c>
      <c r="AI736" s="294">
        <f>IF(NFI_Expiration=1,IF($A736&lt;VLOOKUP(R$5,NFI,5,0),1,0)*Table_NFI[[#This Row],[Winter Clothes Adult]],Table_NFI[Winter Clothes Adult])</f>
        <v>0</v>
      </c>
      <c r="AJ736" s="294">
        <f>IF(NFI_Expiration=1,IF($A736&lt;VLOOKUP(S$5,NFI,5,0),1,0)*Table_NFI[[#This Row],[Winter Clothes Children]],Table_NFI[Winter Clothes Children])</f>
        <v>0</v>
      </c>
      <c r="AK736" s="294">
        <f>IF(NFI_Expiration=1,IF($A736&lt;VLOOKUP(T$5,NFI,5,0),1,0)*Table_NFI[[#This Row],[Winter Items Other]],Table_NFI[Winter Items Other])</f>
        <v>0</v>
      </c>
      <c r="AL736" s="294">
        <f>IF(NFI_Expiration=1,IF($A736&lt;VLOOKUP(M$5,NFI,5,0),1,0)*Table_NFI[[#This Row],[Winter Blanket]],Table_NFI[[#This Row],[Winter Blanket]])</f>
        <v>0</v>
      </c>
      <c r="AM736" s="294">
        <f>IF(Table_NFI[[#This Row],[Winter Clothes Adult]]+Table_NFI[[#This Row],[Winter Clothes Children]]+Table_NFI[[#This Row],[Winter Items Other]]+Table_NFI[[#This Row],[Winter Blanket]]&gt;0,1,0)</f>
        <v>0</v>
      </c>
      <c r="AN736" s="331">
        <f>IF(NFI_Expiration=1,IF($A736&lt;VLOOKUP(V$5,NFI,5,0),1,0)*Table_NFI[[#This Row],[Jerry Can]],Table_NFI[Jerry Can])</f>
        <v>0</v>
      </c>
      <c r="AO736" s="331">
        <f>IF(NFI_Expiration=1,IF($A736&lt;VLOOKUP(V$5,NFI,5,0),1,0)*Table_NFI[[#This Row],[Shelter Tool kit]],Table_NFI[Shelter Tool kit])</f>
        <v>0</v>
      </c>
      <c r="AP736" s="331">
        <f>IF(NFI_Expiration=1,IF($A736&lt;VLOOKUP(V$5,NFI,5,0),1,0)*Table_NFI[[#This Row],[Tent]],Table_NFI[Tent])</f>
        <v>0</v>
      </c>
      <c r="AQ736" s="467" t="str">
        <f>IFERROR(VLOOKUP(Table_NFI[[#This Row],[Camp Name]],CL,2,0),"")</f>
        <v>MMR001CMP190</v>
      </c>
      <c r="AR736" s="835">
        <f ca="1">IF(Table_NFI[[#This Row],[Pcode]]="","",IF(OFFSET(CampList[Opening Date],MATCH(Table_NFI[[#This Row],[Pcode]],CampList[CP_Pcode],0)-1,0,1,1)&gt;=NFI_Monitor_Date,1,0))</f>
        <v>0</v>
      </c>
      <c r="AS736" s="467" t="str">
        <f>IFERROR(VLOOKUP(Table_NFI[[#This Row],[Camp Name]],CL,3,0),"")</f>
        <v>Open</v>
      </c>
      <c r="AT736" s="294" t="str">
        <f ca="1">IF(Table_NFI[[#This Row],[Pcode]]="","",OFFSET(CampList[Priority],MATCH(Table_NFI[[#This Row],[Pcode]],CampList[CP_Pcode],0)-1,0,1,1))</f>
        <v>P4</v>
      </c>
      <c r="AU736" s="293">
        <f>IFERROR(Table_NFI[[#This Row],[Kitchen Set]]/VLOOKUP(Table_NFI[[#This Row],[Camp Name]],CL,4,0),"")</f>
        <v>6.783767413688674E-4</v>
      </c>
      <c r="AV736" s="461" t="s">
        <v>1092</v>
      </c>
      <c r="AW736" s="463"/>
    </row>
    <row r="737" spans="1:49" ht="14.45" customHeight="1" x14ac:dyDescent="0.25">
      <c r="A737" s="297">
        <f t="shared" si="11"/>
        <v>47.033333333333331</v>
      </c>
      <c r="B737" s="460">
        <v>41325</v>
      </c>
      <c r="C737" s="461" t="s">
        <v>452</v>
      </c>
      <c r="D737" s="461" t="s">
        <v>452</v>
      </c>
      <c r="E737" s="461" t="s">
        <v>380</v>
      </c>
      <c r="F737" s="290" t="s">
        <v>527</v>
      </c>
      <c r="G737" s="290" t="s">
        <v>92</v>
      </c>
      <c r="H737" s="291"/>
      <c r="I737" s="291"/>
      <c r="J737" s="291">
        <v>12</v>
      </c>
      <c r="K737" s="291">
        <v>20</v>
      </c>
      <c r="L737" s="292">
        <v>8</v>
      </c>
      <c r="M737" s="292">
        <v>20</v>
      </c>
      <c r="N737" s="292">
        <v>8</v>
      </c>
      <c r="O737" s="292">
        <v>8</v>
      </c>
      <c r="P737" s="294">
        <v>8</v>
      </c>
      <c r="Q737" s="294">
        <v>8</v>
      </c>
      <c r="R737" s="294"/>
      <c r="S737" s="294"/>
      <c r="T737" s="294"/>
      <c r="U737" s="294"/>
      <c r="V737" s="431"/>
      <c r="W737" s="294"/>
      <c r="X737" s="294"/>
      <c r="Y737" s="294">
        <f>IF(NFI_Expiration=1,IF($A737&lt;VLOOKUP(H$5,NFI,5,0),1,0)*Table_NFI[[#This Row],[Hygiene Kit]],Table_NFI[Hygiene Kit])</f>
        <v>0</v>
      </c>
      <c r="Z737" s="294">
        <f>IF(NFI_Expiration=1,IF($A737&lt;VLOOKUP(I$5,NFI,5,0),1,0)*Table_NFI[[#This Row],[NFI Core Kit]],Table_NFI[NFI Core Kit])</f>
        <v>0</v>
      </c>
      <c r="AA737" s="294">
        <f>IF(NFI_Expiration=1,IF($A737&lt;VLOOKUP(J$5,NFI,5,0),1,0)*Table_NFI[[#This Row],[Sanitary Kit]],Table_NFI[Sanitary Kit])</f>
        <v>0</v>
      </c>
      <c r="AB737" s="294">
        <f>IF(NFI_Expiration=1,IF($A737&lt;VLOOKUP(K$5,NFI,5,0),1,0)*Table_NFI[[#This Row],[Mosquito net]],Table_NFI[Mosquito net])</f>
        <v>0</v>
      </c>
      <c r="AC737" s="294">
        <f>IF(NFI_Expiration=1,IF($A737&lt;VLOOKUP(L$5,NFI,5,0),1,0)*Table_NFI[[#This Row],[Tarpaulin]],Table_NFI[[#This Row],[Tarpaulin]])</f>
        <v>0</v>
      </c>
      <c r="AD737" s="294">
        <f>IF(NFI_Expiration=1,IF($A737&lt;VLOOKUP(M$5,NFI,5,0),1,0)*Table_NFI[[#This Row],[Blanket]],Table_NFI[[#This Row],[Blanket]])</f>
        <v>0</v>
      </c>
      <c r="AE737" s="294">
        <f>IF(NFI_Expiration=1,IF($A737&lt;VLOOKUP(N$5,NFI,5,0),1,0)*Table_NFI[[#This Row],[Kitchen Set]],Table_NFI[Kitchen Set])</f>
        <v>0</v>
      </c>
      <c r="AF737" s="294">
        <f>IF(NFI_Expiration=1,IF($A737&lt;VLOOKUP(O$5,NFI,5,0),1,0)*Table_NFI[[#This Row],[Clothes Kit]],Table_NFI[Clothes Kit])</f>
        <v>0</v>
      </c>
      <c r="AG737" s="294">
        <f>IF(NFI_Expiration=1,IF($A737&lt;VLOOKUP(P$5,NFI,5,0),1,0)*Table_NFI[[#This Row],[Plastic Bucket]],Table_NFI[Plastic Bucket])</f>
        <v>0</v>
      </c>
      <c r="AH737" s="294">
        <f>IF(NFI_Expiration=1,IF($A737&lt;VLOOKUP(Q$5,NFI,5,0),1,0)*Table_NFI[[#This Row],[Plastic Mat]],Table_NFI[Plastic Mat])*IF(Table_NFI[[#This Row],[Distribution Date]]&gt;"2014-04-01",1,2.5)</f>
        <v>0</v>
      </c>
      <c r="AI737" s="294">
        <f>IF(NFI_Expiration=1,IF($A737&lt;VLOOKUP(R$5,NFI,5,0),1,0)*Table_NFI[[#This Row],[Winter Clothes Adult]],Table_NFI[Winter Clothes Adult])</f>
        <v>0</v>
      </c>
      <c r="AJ737" s="294">
        <f>IF(NFI_Expiration=1,IF($A737&lt;VLOOKUP(S$5,NFI,5,0),1,0)*Table_NFI[[#This Row],[Winter Clothes Children]],Table_NFI[Winter Clothes Children])</f>
        <v>0</v>
      </c>
      <c r="AK737" s="294">
        <f>IF(NFI_Expiration=1,IF($A737&lt;VLOOKUP(T$5,NFI,5,0),1,0)*Table_NFI[[#This Row],[Winter Items Other]],Table_NFI[Winter Items Other])</f>
        <v>0</v>
      </c>
      <c r="AL737" s="294">
        <f>IF(NFI_Expiration=1,IF($A737&lt;VLOOKUP(M$5,NFI,5,0),1,0)*Table_NFI[[#This Row],[Winter Blanket]],Table_NFI[[#This Row],[Winter Blanket]])</f>
        <v>0</v>
      </c>
      <c r="AM737" s="294">
        <f>IF(Table_NFI[[#This Row],[Winter Clothes Adult]]+Table_NFI[[#This Row],[Winter Clothes Children]]+Table_NFI[[#This Row],[Winter Items Other]]+Table_NFI[[#This Row],[Winter Blanket]]&gt;0,1,0)</f>
        <v>0</v>
      </c>
      <c r="AN737" s="331">
        <f>IF(NFI_Expiration=1,IF($A737&lt;VLOOKUP(V$5,NFI,5,0),1,0)*Table_NFI[[#This Row],[Jerry Can]],Table_NFI[Jerry Can])</f>
        <v>0</v>
      </c>
      <c r="AO737" s="331">
        <f>IF(NFI_Expiration=1,IF($A737&lt;VLOOKUP(V$5,NFI,5,0),1,0)*Table_NFI[[#This Row],[Shelter Tool kit]],Table_NFI[Shelter Tool kit])</f>
        <v>0</v>
      </c>
      <c r="AP737" s="331">
        <f>IF(NFI_Expiration=1,IF($A737&lt;VLOOKUP(V$5,NFI,5,0),1,0)*Table_NFI[[#This Row],[Tent]],Table_NFI[Tent])</f>
        <v>0</v>
      </c>
      <c r="AQ737" s="467" t="str">
        <f>IFERROR(VLOOKUP(Table_NFI[[#This Row],[Camp Name]],CL,2,0),"")</f>
        <v>MMR001CMP167</v>
      </c>
      <c r="AR737" s="835">
        <f ca="1">IF(Table_NFI[[#This Row],[Pcode]]="","",IF(OFFSET(CampList[Opening Date],MATCH(Table_NFI[[#This Row],[Pcode]],CampList[CP_Pcode],0)-1,0,1,1)&gt;=NFI_Monitor_Date,1,0))</f>
        <v>0</v>
      </c>
      <c r="AS737" s="467" t="str">
        <f>IFERROR(VLOOKUP(Table_NFI[[#This Row],[Camp Name]],CL,3,0),"")</f>
        <v>Open</v>
      </c>
      <c r="AT737" s="294" t="str">
        <f ca="1">IF(Table_NFI[[#This Row],[Pcode]]="","",OFFSET(CampList[Priority],MATCH(Table_NFI[[#This Row],[Pcode]],CampList[CP_Pcode],0)-1,0,1,1))</f>
        <v>P4</v>
      </c>
      <c r="AU737" s="293">
        <f>IFERROR(Table_NFI[[#This Row],[Kitchen Set]]/VLOOKUP(Table_NFI[[#This Row],[Camp Name]],CL,4,0),"")</f>
        <v>1.9382192610539067E-4</v>
      </c>
      <c r="AV737" s="461" t="s">
        <v>1092</v>
      </c>
      <c r="AW737" s="463"/>
    </row>
    <row r="738" spans="1:49" ht="14.45" customHeight="1" x14ac:dyDescent="0.25">
      <c r="A738" s="297">
        <f t="shared" si="11"/>
        <v>47.033333333333331</v>
      </c>
      <c r="B738" s="460">
        <v>41325</v>
      </c>
      <c r="C738" s="461" t="s">
        <v>452</v>
      </c>
      <c r="D738" s="462" t="s">
        <v>452</v>
      </c>
      <c r="E738" s="461" t="s">
        <v>380</v>
      </c>
      <c r="F738" s="290" t="s">
        <v>527</v>
      </c>
      <c r="G738" s="290" t="s">
        <v>108</v>
      </c>
      <c r="H738" s="291"/>
      <c r="I738" s="296"/>
      <c r="J738" s="289">
        <v>35</v>
      </c>
      <c r="K738" s="289">
        <v>0</v>
      </c>
      <c r="L738" s="289">
        <v>0</v>
      </c>
      <c r="M738" s="289">
        <v>0</v>
      </c>
      <c r="N738" s="289">
        <v>0</v>
      </c>
      <c r="O738" s="289">
        <v>0</v>
      </c>
      <c r="P738" s="294"/>
      <c r="Q738" s="294"/>
      <c r="R738" s="294"/>
      <c r="S738" s="294"/>
      <c r="T738" s="294"/>
      <c r="U738" s="294"/>
      <c r="V738" s="431"/>
      <c r="W738" s="294"/>
      <c r="X738" s="294"/>
      <c r="Y738" s="294">
        <f>IF(NFI_Expiration=1,IF($A738&lt;VLOOKUP(H$5,NFI,5,0),1,0)*Table_NFI[[#This Row],[Hygiene Kit]],Table_NFI[Hygiene Kit])</f>
        <v>0</v>
      </c>
      <c r="Z738" s="294">
        <f>IF(NFI_Expiration=1,IF($A738&lt;VLOOKUP(I$5,NFI,5,0),1,0)*Table_NFI[[#This Row],[NFI Core Kit]],Table_NFI[NFI Core Kit])</f>
        <v>0</v>
      </c>
      <c r="AA738" s="294">
        <f>IF(NFI_Expiration=1,IF($A738&lt;VLOOKUP(J$5,NFI,5,0),1,0)*Table_NFI[[#This Row],[Sanitary Kit]],Table_NFI[Sanitary Kit])</f>
        <v>0</v>
      </c>
      <c r="AB738" s="294">
        <f>IF(NFI_Expiration=1,IF($A738&lt;VLOOKUP(K$5,NFI,5,0),1,0)*Table_NFI[[#This Row],[Mosquito net]],Table_NFI[Mosquito net])</f>
        <v>0</v>
      </c>
      <c r="AC738" s="294">
        <f>IF(NFI_Expiration=1,IF($A738&lt;VLOOKUP(L$5,NFI,5,0),1,0)*Table_NFI[[#This Row],[Tarpaulin]],Table_NFI[[#This Row],[Tarpaulin]])</f>
        <v>0</v>
      </c>
      <c r="AD738" s="294">
        <f>IF(NFI_Expiration=1,IF($A738&lt;VLOOKUP(M$5,NFI,5,0),1,0)*Table_NFI[[#This Row],[Blanket]],Table_NFI[[#This Row],[Blanket]])</f>
        <v>0</v>
      </c>
      <c r="AE738" s="294">
        <f>IF(NFI_Expiration=1,IF($A738&lt;VLOOKUP(N$5,NFI,5,0),1,0)*Table_NFI[[#This Row],[Kitchen Set]],Table_NFI[Kitchen Set])</f>
        <v>0</v>
      </c>
      <c r="AF738" s="294">
        <f>IF(NFI_Expiration=1,IF($A738&lt;VLOOKUP(O$5,NFI,5,0),1,0)*Table_NFI[[#This Row],[Clothes Kit]],Table_NFI[Clothes Kit])</f>
        <v>0</v>
      </c>
      <c r="AG738" s="294">
        <f>IF(NFI_Expiration=1,IF($A738&lt;VLOOKUP(P$5,NFI,5,0),1,0)*Table_NFI[[#This Row],[Plastic Bucket]],Table_NFI[Plastic Bucket])</f>
        <v>0</v>
      </c>
      <c r="AH738" s="294">
        <f>IF(NFI_Expiration=1,IF($A738&lt;VLOOKUP(Q$5,NFI,5,0),1,0)*Table_NFI[[#This Row],[Plastic Mat]],Table_NFI[Plastic Mat])*IF(Table_NFI[[#This Row],[Distribution Date]]&gt;"2014-04-01",1,2.5)</f>
        <v>0</v>
      </c>
      <c r="AI738" s="294">
        <f>IF(NFI_Expiration=1,IF($A738&lt;VLOOKUP(R$5,NFI,5,0),1,0)*Table_NFI[[#This Row],[Winter Clothes Adult]],Table_NFI[Winter Clothes Adult])</f>
        <v>0</v>
      </c>
      <c r="AJ738" s="294">
        <f>IF(NFI_Expiration=1,IF($A738&lt;VLOOKUP(S$5,NFI,5,0),1,0)*Table_NFI[[#This Row],[Winter Clothes Children]],Table_NFI[Winter Clothes Children])</f>
        <v>0</v>
      </c>
      <c r="AK738" s="294">
        <f>IF(NFI_Expiration=1,IF($A738&lt;VLOOKUP(T$5,NFI,5,0),1,0)*Table_NFI[[#This Row],[Winter Items Other]],Table_NFI[Winter Items Other])</f>
        <v>0</v>
      </c>
      <c r="AL738" s="294">
        <f>IF(NFI_Expiration=1,IF($A738&lt;VLOOKUP(M$5,NFI,5,0),1,0)*Table_NFI[[#This Row],[Winter Blanket]],Table_NFI[[#This Row],[Winter Blanket]])</f>
        <v>0</v>
      </c>
      <c r="AM738" s="294">
        <f>IF(Table_NFI[[#This Row],[Winter Clothes Adult]]+Table_NFI[[#This Row],[Winter Clothes Children]]+Table_NFI[[#This Row],[Winter Items Other]]+Table_NFI[[#This Row],[Winter Blanket]]&gt;0,1,0)</f>
        <v>0</v>
      </c>
      <c r="AN738" s="331">
        <f>IF(NFI_Expiration=1,IF($A738&lt;VLOOKUP(V$5,NFI,5,0),1,0)*Table_NFI[[#This Row],[Jerry Can]],Table_NFI[Jerry Can])</f>
        <v>0</v>
      </c>
      <c r="AO738" s="331">
        <f>IF(NFI_Expiration=1,IF($A738&lt;VLOOKUP(V$5,NFI,5,0),1,0)*Table_NFI[[#This Row],[Shelter Tool kit]],Table_NFI[Shelter Tool kit])</f>
        <v>0</v>
      </c>
      <c r="AP738" s="331">
        <f>IF(NFI_Expiration=1,IF($A738&lt;VLOOKUP(V$5,NFI,5,0),1,0)*Table_NFI[[#This Row],[Tent]],Table_NFI[Tent])</f>
        <v>0</v>
      </c>
      <c r="AQ738" s="467" t="str">
        <f>IFERROR(VLOOKUP(Table_NFI[[#This Row],[Camp Name]],CL,2,0),"")</f>
        <v>MMR001CMP103</v>
      </c>
      <c r="AR738" s="835">
        <f ca="1">IF(Table_NFI[[#This Row],[Pcode]]="","",IF(OFFSET(CampList[Opening Date],MATCH(Table_NFI[[#This Row],[Pcode]],CampList[CP_Pcode],0)-1,0,1,1)&gt;=NFI_Monitor_Date,1,0))</f>
        <v>0</v>
      </c>
      <c r="AS738" s="467" t="str">
        <f>IFERROR(VLOOKUP(Table_NFI[[#This Row],[Camp Name]],CL,3,0),"")</f>
        <v>Open</v>
      </c>
      <c r="AT738" s="294" t="str">
        <f ca="1">IF(Table_NFI[[#This Row],[Pcode]]="","",OFFSET(CampList[Priority],MATCH(Table_NFI[[#This Row],[Pcode]],CampList[CP_Pcode],0)-1,0,1,1))</f>
        <v>P4</v>
      </c>
      <c r="AU738" s="293">
        <f>IFERROR(Table_NFI[[#This Row],[Kitchen Set]]/VLOOKUP(Table_NFI[[#This Row],[Camp Name]],CL,4,0),"")</f>
        <v>0</v>
      </c>
      <c r="AV738" s="461" t="s">
        <v>1092</v>
      </c>
      <c r="AW738" s="463"/>
    </row>
    <row r="739" spans="1:49" ht="14.45" customHeight="1" x14ac:dyDescent="0.25">
      <c r="A739" s="297">
        <f t="shared" si="11"/>
        <v>47.033333333333331</v>
      </c>
      <c r="B739" s="460">
        <v>41325</v>
      </c>
      <c r="C739" s="461" t="s">
        <v>452</v>
      </c>
      <c r="D739" s="462" t="s">
        <v>452</v>
      </c>
      <c r="E739" s="461" t="s">
        <v>380</v>
      </c>
      <c r="F739" s="290" t="s">
        <v>527</v>
      </c>
      <c r="G739" s="290" t="s">
        <v>108</v>
      </c>
      <c r="H739" s="291"/>
      <c r="I739" s="296"/>
      <c r="J739" s="289">
        <v>32</v>
      </c>
      <c r="K739" s="289">
        <v>64</v>
      </c>
      <c r="L739" s="289">
        <v>33</v>
      </c>
      <c r="M739" s="289">
        <v>64</v>
      </c>
      <c r="N739" s="289">
        <v>33</v>
      </c>
      <c r="O739" s="289">
        <v>33</v>
      </c>
      <c r="P739" s="294">
        <v>33</v>
      </c>
      <c r="Q739" s="294">
        <v>33</v>
      </c>
      <c r="R739" s="294"/>
      <c r="S739" s="294"/>
      <c r="T739" s="294"/>
      <c r="U739" s="294"/>
      <c r="V739" s="431"/>
      <c r="W739" s="294"/>
      <c r="X739" s="294"/>
      <c r="Y739" s="294">
        <f>IF(NFI_Expiration=1,IF($A739&lt;VLOOKUP(H$5,NFI,5,0),1,0)*Table_NFI[[#This Row],[Hygiene Kit]],Table_NFI[Hygiene Kit])</f>
        <v>0</v>
      </c>
      <c r="Z739" s="294">
        <f>IF(NFI_Expiration=1,IF($A739&lt;VLOOKUP(I$5,NFI,5,0),1,0)*Table_NFI[[#This Row],[NFI Core Kit]],Table_NFI[NFI Core Kit])</f>
        <v>0</v>
      </c>
      <c r="AA739" s="294">
        <f>IF(NFI_Expiration=1,IF($A739&lt;VLOOKUP(J$5,NFI,5,0),1,0)*Table_NFI[[#This Row],[Sanitary Kit]],Table_NFI[Sanitary Kit])</f>
        <v>0</v>
      </c>
      <c r="AB739" s="294">
        <f>IF(NFI_Expiration=1,IF($A739&lt;VLOOKUP(K$5,NFI,5,0),1,0)*Table_NFI[[#This Row],[Mosquito net]],Table_NFI[Mosquito net])</f>
        <v>0</v>
      </c>
      <c r="AC739" s="294">
        <f>IF(NFI_Expiration=1,IF($A739&lt;VLOOKUP(L$5,NFI,5,0),1,0)*Table_NFI[[#This Row],[Tarpaulin]],Table_NFI[[#This Row],[Tarpaulin]])</f>
        <v>0</v>
      </c>
      <c r="AD739" s="294">
        <f>IF(NFI_Expiration=1,IF($A739&lt;VLOOKUP(M$5,NFI,5,0),1,0)*Table_NFI[[#This Row],[Blanket]],Table_NFI[[#This Row],[Blanket]])</f>
        <v>0</v>
      </c>
      <c r="AE739" s="294">
        <f>IF(NFI_Expiration=1,IF($A739&lt;VLOOKUP(N$5,NFI,5,0),1,0)*Table_NFI[[#This Row],[Kitchen Set]],Table_NFI[Kitchen Set])</f>
        <v>0</v>
      </c>
      <c r="AF739" s="294">
        <f>IF(NFI_Expiration=1,IF($A739&lt;VLOOKUP(O$5,NFI,5,0),1,0)*Table_NFI[[#This Row],[Clothes Kit]],Table_NFI[Clothes Kit])</f>
        <v>0</v>
      </c>
      <c r="AG739" s="294">
        <f>IF(NFI_Expiration=1,IF($A739&lt;VLOOKUP(P$5,NFI,5,0),1,0)*Table_NFI[[#This Row],[Plastic Bucket]],Table_NFI[Plastic Bucket])</f>
        <v>0</v>
      </c>
      <c r="AH739" s="294">
        <f>IF(NFI_Expiration=1,IF($A739&lt;VLOOKUP(Q$5,NFI,5,0),1,0)*Table_NFI[[#This Row],[Plastic Mat]],Table_NFI[Plastic Mat])*IF(Table_NFI[[#This Row],[Distribution Date]]&gt;"2014-04-01",1,2.5)</f>
        <v>0</v>
      </c>
      <c r="AI739" s="294">
        <f>IF(NFI_Expiration=1,IF($A739&lt;VLOOKUP(R$5,NFI,5,0),1,0)*Table_NFI[[#This Row],[Winter Clothes Adult]],Table_NFI[Winter Clothes Adult])</f>
        <v>0</v>
      </c>
      <c r="AJ739" s="294">
        <f>IF(NFI_Expiration=1,IF($A739&lt;VLOOKUP(S$5,NFI,5,0),1,0)*Table_NFI[[#This Row],[Winter Clothes Children]],Table_NFI[Winter Clothes Children])</f>
        <v>0</v>
      </c>
      <c r="AK739" s="294">
        <f>IF(NFI_Expiration=1,IF($A739&lt;VLOOKUP(T$5,NFI,5,0),1,0)*Table_NFI[[#This Row],[Winter Items Other]],Table_NFI[Winter Items Other])</f>
        <v>0</v>
      </c>
      <c r="AL739" s="294">
        <f>IF(NFI_Expiration=1,IF($A739&lt;VLOOKUP(M$5,NFI,5,0),1,0)*Table_NFI[[#This Row],[Winter Blanket]],Table_NFI[[#This Row],[Winter Blanket]])</f>
        <v>0</v>
      </c>
      <c r="AM739" s="294">
        <f>IF(Table_NFI[[#This Row],[Winter Clothes Adult]]+Table_NFI[[#This Row],[Winter Clothes Children]]+Table_NFI[[#This Row],[Winter Items Other]]+Table_NFI[[#This Row],[Winter Blanket]]&gt;0,1,0)</f>
        <v>0</v>
      </c>
      <c r="AN739" s="331">
        <f>IF(NFI_Expiration=1,IF($A739&lt;VLOOKUP(V$5,NFI,5,0),1,0)*Table_NFI[[#This Row],[Jerry Can]],Table_NFI[Jerry Can])</f>
        <v>0</v>
      </c>
      <c r="AO739" s="331">
        <f>IF(NFI_Expiration=1,IF($A739&lt;VLOOKUP(V$5,NFI,5,0),1,0)*Table_NFI[[#This Row],[Shelter Tool kit]],Table_NFI[Shelter Tool kit])</f>
        <v>0</v>
      </c>
      <c r="AP739" s="331">
        <f>IF(NFI_Expiration=1,IF($A739&lt;VLOOKUP(V$5,NFI,5,0),1,0)*Table_NFI[[#This Row],[Tent]],Table_NFI[Tent])</f>
        <v>0</v>
      </c>
      <c r="AQ739" s="467" t="str">
        <f>IFERROR(VLOOKUP(Table_NFI[[#This Row],[Camp Name]],CL,2,0),"")</f>
        <v>MMR001CMP103</v>
      </c>
      <c r="AR739" s="835">
        <f ca="1">IF(Table_NFI[[#This Row],[Pcode]]="","",IF(OFFSET(CampList[Opening Date],MATCH(Table_NFI[[#This Row],[Pcode]],CampList[CP_Pcode],0)-1,0,1,1)&gt;=NFI_Monitor_Date,1,0))</f>
        <v>0</v>
      </c>
      <c r="AS739" s="467" t="str">
        <f>IFERROR(VLOOKUP(Table_NFI[[#This Row],[Camp Name]],CL,3,0),"")</f>
        <v>Open</v>
      </c>
      <c r="AT739" s="294" t="str">
        <f ca="1">IF(Table_NFI[[#This Row],[Pcode]]="","",OFFSET(CampList[Priority],MATCH(Table_NFI[[#This Row],[Pcode]],CampList[CP_Pcode],0)-1,0,1,1))</f>
        <v>P4</v>
      </c>
      <c r="AU739" s="293">
        <f>IFERROR(Table_NFI[[#This Row],[Kitchen Set]]/VLOOKUP(Table_NFI[[#This Row],[Camp Name]],CL,4,0),"")</f>
        <v>7.954298937016415E-4</v>
      </c>
      <c r="AV739" s="461" t="s">
        <v>1092</v>
      </c>
      <c r="AW739" s="463"/>
    </row>
    <row r="740" spans="1:49" ht="16.149999999999999" customHeight="1" x14ac:dyDescent="0.25">
      <c r="A740" s="297">
        <f t="shared" si="11"/>
        <v>47.033333333333331</v>
      </c>
      <c r="B740" s="460">
        <v>41325</v>
      </c>
      <c r="C740" s="461" t="s">
        <v>452</v>
      </c>
      <c r="D740" s="461" t="s">
        <v>452</v>
      </c>
      <c r="E740" s="461" t="s">
        <v>380</v>
      </c>
      <c r="F740" s="461" t="s">
        <v>527</v>
      </c>
      <c r="G740" s="290" t="s">
        <v>50</v>
      </c>
      <c r="H740" s="291"/>
      <c r="I740" s="291"/>
      <c r="J740" s="291">
        <v>18</v>
      </c>
      <c r="K740" s="291">
        <v>0</v>
      </c>
      <c r="L740" s="292">
        <v>0</v>
      </c>
      <c r="M740" s="292">
        <v>0</v>
      </c>
      <c r="N740" s="292">
        <v>0</v>
      </c>
      <c r="O740" s="292">
        <v>0</v>
      </c>
      <c r="P740" s="294"/>
      <c r="Q740" s="294"/>
      <c r="R740" s="294"/>
      <c r="S740" s="294"/>
      <c r="T740" s="294"/>
      <c r="U740" s="294"/>
      <c r="V740" s="431"/>
      <c r="W740" s="294"/>
      <c r="X740" s="294"/>
      <c r="Y740" s="294">
        <f>IF(NFI_Expiration=1,IF($A740&lt;VLOOKUP(H$5,NFI,5,0),1,0)*Table_NFI[[#This Row],[Hygiene Kit]],Table_NFI[Hygiene Kit])</f>
        <v>0</v>
      </c>
      <c r="Z740" s="294">
        <f>IF(NFI_Expiration=1,IF($A740&lt;VLOOKUP(I$5,NFI,5,0),1,0)*Table_NFI[[#This Row],[NFI Core Kit]],Table_NFI[NFI Core Kit])</f>
        <v>0</v>
      </c>
      <c r="AA740" s="294">
        <f>IF(NFI_Expiration=1,IF($A740&lt;VLOOKUP(J$5,NFI,5,0),1,0)*Table_NFI[[#This Row],[Sanitary Kit]],Table_NFI[Sanitary Kit])</f>
        <v>0</v>
      </c>
      <c r="AB740" s="294">
        <f>IF(NFI_Expiration=1,IF($A740&lt;VLOOKUP(K$5,NFI,5,0),1,0)*Table_NFI[[#This Row],[Mosquito net]],Table_NFI[Mosquito net])</f>
        <v>0</v>
      </c>
      <c r="AC740" s="294">
        <f>IF(NFI_Expiration=1,IF($A740&lt;VLOOKUP(L$5,NFI,5,0),1,0)*Table_NFI[[#This Row],[Tarpaulin]],Table_NFI[[#This Row],[Tarpaulin]])</f>
        <v>0</v>
      </c>
      <c r="AD740" s="294">
        <f>IF(NFI_Expiration=1,IF($A740&lt;VLOOKUP(M$5,NFI,5,0),1,0)*Table_NFI[[#This Row],[Blanket]],Table_NFI[[#This Row],[Blanket]])</f>
        <v>0</v>
      </c>
      <c r="AE740" s="294">
        <f>IF(NFI_Expiration=1,IF($A740&lt;VLOOKUP(N$5,NFI,5,0),1,0)*Table_NFI[[#This Row],[Kitchen Set]],Table_NFI[Kitchen Set])</f>
        <v>0</v>
      </c>
      <c r="AF740" s="294">
        <f>IF(NFI_Expiration=1,IF($A740&lt;VLOOKUP(O$5,NFI,5,0),1,0)*Table_NFI[[#This Row],[Clothes Kit]],Table_NFI[Clothes Kit])</f>
        <v>0</v>
      </c>
      <c r="AG740" s="294">
        <f>IF(NFI_Expiration=1,IF($A740&lt;VLOOKUP(P$5,NFI,5,0),1,0)*Table_NFI[[#This Row],[Plastic Bucket]],Table_NFI[Plastic Bucket])</f>
        <v>0</v>
      </c>
      <c r="AH740" s="294">
        <f>IF(NFI_Expiration=1,IF($A740&lt;VLOOKUP(Q$5,NFI,5,0),1,0)*Table_NFI[[#This Row],[Plastic Mat]],Table_NFI[Plastic Mat])*IF(Table_NFI[[#This Row],[Distribution Date]]&gt;"2014-04-01",1,2.5)</f>
        <v>0</v>
      </c>
      <c r="AI740" s="294">
        <f>IF(NFI_Expiration=1,IF($A740&lt;VLOOKUP(R$5,NFI,5,0),1,0)*Table_NFI[[#This Row],[Winter Clothes Adult]],Table_NFI[Winter Clothes Adult])</f>
        <v>0</v>
      </c>
      <c r="AJ740" s="294">
        <f>IF(NFI_Expiration=1,IF($A740&lt;VLOOKUP(S$5,NFI,5,0),1,0)*Table_NFI[[#This Row],[Winter Clothes Children]],Table_NFI[Winter Clothes Children])</f>
        <v>0</v>
      </c>
      <c r="AK740" s="294">
        <f>IF(NFI_Expiration=1,IF($A740&lt;VLOOKUP(T$5,NFI,5,0),1,0)*Table_NFI[[#This Row],[Winter Items Other]],Table_NFI[Winter Items Other])</f>
        <v>0</v>
      </c>
      <c r="AL740" s="294">
        <f>IF(NFI_Expiration=1,IF($A740&lt;VLOOKUP(M$5,NFI,5,0),1,0)*Table_NFI[[#This Row],[Winter Blanket]],Table_NFI[[#This Row],[Winter Blanket]])</f>
        <v>0</v>
      </c>
      <c r="AM740" s="294">
        <f>IF(Table_NFI[[#This Row],[Winter Clothes Adult]]+Table_NFI[[#This Row],[Winter Clothes Children]]+Table_NFI[[#This Row],[Winter Items Other]]+Table_NFI[[#This Row],[Winter Blanket]]&gt;0,1,0)</f>
        <v>0</v>
      </c>
      <c r="AN740" s="331">
        <f>IF(NFI_Expiration=1,IF($A740&lt;VLOOKUP(V$5,NFI,5,0),1,0)*Table_NFI[[#This Row],[Jerry Can]],Table_NFI[Jerry Can])</f>
        <v>0</v>
      </c>
      <c r="AO740" s="331">
        <f>IF(NFI_Expiration=1,IF($A740&lt;VLOOKUP(V$5,NFI,5,0),1,0)*Table_NFI[[#This Row],[Shelter Tool kit]],Table_NFI[Shelter Tool kit])</f>
        <v>0</v>
      </c>
      <c r="AP740" s="331">
        <f>IF(NFI_Expiration=1,IF($A740&lt;VLOOKUP(V$5,NFI,5,0),1,0)*Table_NFI[[#This Row],[Tent]],Table_NFI[Tent])</f>
        <v>0</v>
      </c>
      <c r="AQ740" s="467" t="str">
        <f>IFERROR(VLOOKUP(Table_NFI[[#This Row],[Camp Name]],CL,2,0),"")</f>
        <v>MMR001CMP092</v>
      </c>
      <c r="AR740" s="835">
        <f ca="1">IF(Table_NFI[[#This Row],[Pcode]]="","",IF(OFFSET(CampList[Opening Date],MATCH(Table_NFI[[#This Row],[Pcode]],CampList[CP_Pcode],0)-1,0,1,1)&gt;=NFI_Monitor_Date,1,0))</f>
        <v>0</v>
      </c>
      <c r="AS740" s="467" t="str">
        <f>IFERROR(VLOOKUP(Table_NFI[[#This Row],[Camp Name]],CL,3,0),"")</f>
        <v>Closed</v>
      </c>
      <c r="AT740" s="294" t="str">
        <f ca="1">IF(Table_NFI[[#This Row],[Pcode]]="","",OFFSET(CampList[Priority],MATCH(Table_NFI[[#This Row],[Pcode]],CampList[CP_Pcode],0)-1,0,1,1))</f>
        <v/>
      </c>
      <c r="AU740" s="293" t="str">
        <f>IFERROR(Table_NFI[[#This Row],[Kitchen Set]]/VLOOKUP(Table_NFI[[#This Row],[Camp Name]],CL,4,0),"")</f>
        <v/>
      </c>
      <c r="AV740" s="461" t="s">
        <v>1092</v>
      </c>
      <c r="AW740" s="463"/>
    </row>
    <row r="741" spans="1:49" ht="13.9" customHeight="1" x14ac:dyDescent="0.25">
      <c r="A741" s="297">
        <f t="shared" si="11"/>
        <v>47.033333333333331</v>
      </c>
      <c r="B741" s="460">
        <v>41325</v>
      </c>
      <c r="C741" s="461" t="s">
        <v>452</v>
      </c>
      <c r="D741" s="461" t="s">
        <v>452</v>
      </c>
      <c r="E741" s="461" t="s">
        <v>380</v>
      </c>
      <c r="F741" s="290" t="s">
        <v>527</v>
      </c>
      <c r="G741" s="290" t="s">
        <v>70</v>
      </c>
      <c r="H741" s="291"/>
      <c r="I741" s="291"/>
      <c r="J741" s="291">
        <v>13</v>
      </c>
      <c r="K741" s="291">
        <v>28</v>
      </c>
      <c r="L741" s="292">
        <v>15</v>
      </c>
      <c r="M741" s="292">
        <v>28</v>
      </c>
      <c r="N741" s="292">
        <v>15</v>
      </c>
      <c r="O741" s="292">
        <v>15</v>
      </c>
      <c r="P741" s="294">
        <v>15</v>
      </c>
      <c r="Q741" s="294">
        <v>15</v>
      </c>
      <c r="R741" s="294"/>
      <c r="S741" s="294"/>
      <c r="T741" s="294"/>
      <c r="U741" s="294"/>
      <c r="V741" s="431"/>
      <c r="W741" s="294"/>
      <c r="X741" s="294"/>
      <c r="Y741" s="294">
        <f>IF(NFI_Expiration=1,IF($A741&lt;VLOOKUP(H$5,NFI,5,0),1,0)*Table_NFI[[#This Row],[Hygiene Kit]],Table_NFI[Hygiene Kit])</f>
        <v>0</v>
      </c>
      <c r="Z741" s="294">
        <f>IF(NFI_Expiration=1,IF($A741&lt;VLOOKUP(I$5,NFI,5,0),1,0)*Table_NFI[[#This Row],[NFI Core Kit]],Table_NFI[NFI Core Kit])</f>
        <v>0</v>
      </c>
      <c r="AA741" s="294">
        <f>IF(NFI_Expiration=1,IF($A741&lt;VLOOKUP(J$5,NFI,5,0),1,0)*Table_NFI[[#This Row],[Sanitary Kit]],Table_NFI[Sanitary Kit])</f>
        <v>0</v>
      </c>
      <c r="AB741" s="294">
        <f>IF(NFI_Expiration=1,IF($A741&lt;VLOOKUP(K$5,NFI,5,0),1,0)*Table_NFI[[#This Row],[Mosquito net]],Table_NFI[Mosquito net])</f>
        <v>0</v>
      </c>
      <c r="AC741" s="294">
        <f>IF(NFI_Expiration=1,IF($A741&lt;VLOOKUP(L$5,NFI,5,0),1,0)*Table_NFI[[#This Row],[Tarpaulin]],Table_NFI[[#This Row],[Tarpaulin]])</f>
        <v>0</v>
      </c>
      <c r="AD741" s="294">
        <f>IF(NFI_Expiration=1,IF($A741&lt;VLOOKUP(M$5,NFI,5,0),1,0)*Table_NFI[[#This Row],[Blanket]],Table_NFI[[#This Row],[Blanket]])</f>
        <v>0</v>
      </c>
      <c r="AE741" s="294">
        <f>IF(NFI_Expiration=1,IF($A741&lt;VLOOKUP(N$5,NFI,5,0),1,0)*Table_NFI[[#This Row],[Kitchen Set]],Table_NFI[Kitchen Set])</f>
        <v>0</v>
      </c>
      <c r="AF741" s="294">
        <f>IF(NFI_Expiration=1,IF($A741&lt;VLOOKUP(O$5,NFI,5,0),1,0)*Table_NFI[[#This Row],[Clothes Kit]],Table_NFI[Clothes Kit])</f>
        <v>0</v>
      </c>
      <c r="AG741" s="294">
        <f>IF(NFI_Expiration=1,IF($A741&lt;VLOOKUP(P$5,NFI,5,0),1,0)*Table_NFI[[#This Row],[Plastic Bucket]],Table_NFI[Plastic Bucket])</f>
        <v>0</v>
      </c>
      <c r="AH741" s="294">
        <f>IF(NFI_Expiration=1,IF($A741&lt;VLOOKUP(Q$5,NFI,5,0),1,0)*Table_NFI[[#This Row],[Plastic Mat]],Table_NFI[Plastic Mat])*IF(Table_NFI[[#This Row],[Distribution Date]]&gt;"2014-04-01",1,2.5)</f>
        <v>0</v>
      </c>
      <c r="AI741" s="294">
        <f>IF(NFI_Expiration=1,IF($A741&lt;VLOOKUP(R$5,NFI,5,0),1,0)*Table_NFI[[#This Row],[Winter Clothes Adult]],Table_NFI[Winter Clothes Adult])</f>
        <v>0</v>
      </c>
      <c r="AJ741" s="294">
        <f>IF(NFI_Expiration=1,IF($A741&lt;VLOOKUP(S$5,NFI,5,0),1,0)*Table_NFI[[#This Row],[Winter Clothes Children]],Table_NFI[Winter Clothes Children])</f>
        <v>0</v>
      </c>
      <c r="AK741" s="294">
        <f>IF(NFI_Expiration=1,IF($A741&lt;VLOOKUP(T$5,NFI,5,0),1,0)*Table_NFI[[#This Row],[Winter Items Other]],Table_NFI[Winter Items Other])</f>
        <v>0</v>
      </c>
      <c r="AL741" s="294">
        <f>IF(NFI_Expiration=1,IF($A741&lt;VLOOKUP(M$5,NFI,5,0),1,0)*Table_NFI[[#This Row],[Winter Blanket]],Table_NFI[[#This Row],[Winter Blanket]])</f>
        <v>0</v>
      </c>
      <c r="AM741" s="294">
        <f>IF(Table_NFI[[#This Row],[Winter Clothes Adult]]+Table_NFI[[#This Row],[Winter Clothes Children]]+Table_NFI[[#This Row],[Winter Items Other]]+Table_NFI[[#This Row],[Winter Blanket]]&gt;0,1,0)</f>
        <v>0</v>
      </c>
      <c r="AN741" s="331">
        <f>IF(NFI_Expiration=1,IF($A741&lt;VLOOKUP(V$5,NFI,5,0),1,0)*Table_NFI[[#This Row],[Jerry Can]],Table_NFI[Jerry Can])</f>
        <v>0</v>
      </c>
      <c r="AO741" s="331">
        <f>IF(NFI_Expiration=1,IF($A741&lt;VLOOKUP(V$5,NFI,5,0),1,0)*Table_NFI[[#This Row],[Shelter Tool kit]],Table_NFI[Shelter Tool kit])</f>
        <v>0</v>
      </c>
      <c r="AP741" s="331">
        <f>IF(NFI_Expiration=1,IF($A741&lt;VLOOKUP(V$5,NFI,5,0),1,0)*Table_NFI[[#This Row],[Tent]],Table_NFI[Tent])</f>
        <v>0</v>
      </c>
      <c r="AQ741" s="467" t="str">
        <f>IFERROR(VLOOKUP(Table_NFI[[#This Row],[Camp Name]],CL,2,0),"")</f>
        <v>MMR001CMP086</v>
      </c>
      <c r="AR741" s="835">
        <f ca="1">IF(Table_NFI[[#This Row],[Pcode]]="","",IF(OFFSET(CampList[Opening Date],MATCH(Table_NFI[[#This Row],[Pcode]],CampList[CP_Pcode],0)-1,0,1,1)&gt;=NFI_Monitor_Date,1,0))</f>
        <v>0</v>
      </c>
      <c r="AS741" s="467" t="str">
        <f>IFERROR(VLOOKUP(Table_NFI[[#This Row],[Camp Name]],CL,3,0),"")</f>
        <v>Closed</v>
      </c>
      <c r="AT741" s="294" t="str">
        <f ca="1">IF(Table_NFI[[#This Row],[Pcode]]="","",OFFSET(CampList[Priority],MATCH(Table_NFI[[#This Row],[Pcode]],CampList[CP_Pcode],0)-1,0,1,1))</f>
        <v/>
      </c>
      <c r="AU741" s="293" t="str">
        <f>IFERROR(Table_NFI[[#This Row],[Kitchen Set]]/VLOOKUP(Table_NFI[[#This Row],[Camp Name]],CL,4,0),"")</f>
        <v/>
      </c>
      <c r="AV741" s="461" t="s">
        <v>1092</v>
      </c>
      <c r="AW741" s="463"/>
    </row>
    <row r="742" spans="1:49" ht="14.45" customHeight="1" x14ac:dyDescent="0.25">
      <c r="A742" s="297">
        <f t="shared" si="11"/>
        <v>47.033333333333331</v>
      </c>
      <c r="B742" s="460">
        <v>41325</v>
      </c>
      <c r="C742" s="461" t="s">
        <v>452</v>
      </c>
      <c r="D742" s="462" t="s">
        <v>452</v>
      </c>
      <c r="E742" s="461" t="s">
        <v>380</v>
      </c>
      <c r="F742" s="290" t="s">
        <v>527</v>
      </c>
      <c r="G742" s="290" t="s">
        <v>54</v>
      </c>
      <c r="H742" s="291"/>
      <c r="I742" s="291"/>
      <c r="J742" s="291">
        <v>74</v>
      </c>
      <c r="K742" s="291">
        <v>0</v>
      </c>
      <c r="L742" s="292">
        <v>0</v>
      </c>
      <c r="M742" s="292">
        <v>0</v>
      </c>
      <c r="N742" s="292">
        <v>0</v>
      </c>
      <c r="O742" s="292">
        <v>0</v>
      </c>
      <c r="P742" s="294"/>
      <c r="Q742" s="294"/>
      <c r="R742" s="294"/>
      <c r="S742" s="294"/>
      <c r="T742" s="294"/>
      <c r="U742" s="294"/>
      <c r="V742" s="431"/>
      <c r="W742" s="294"/>
      <c r="X742" s="294"/>
      <c r="Y742" s="294">
        <f>IF(NFI_Expiration=1,IF($A742&lt;VLOOKUP(H$5,NFI,5,0),1,0)*Table_NFI[[#This Row],[Hygiene Kit]],Table_NFI[Hygiene Kit])</f>
        <v>0</v>
      </c>
      <c r="Z742" s="294">
        <f>IF(NFI_Expiration=1,IF($A742&lt;VLOOKUP(I$5,NFI,5,0),1,0)*Table_NFI[[#This Row],[NFI Core Kit]],Table_NFI[NFI Core Kit])</f>
        <v>0</v>
      </c>
      <c r="AA742" s="294">
        <f>IF(NFI_Expiration=1,IF($A742&lt;VLOOKUP(J$5,NFI,5,0),1,0)*Table_NFI[[#This Row],[Sanitary Kit]],Table_NFI[Sanitary Kit])</f>
        <v>0</v>
      </c>
      <c r="AB742" s="294">
        <f>IF(NFI_Expiration=1,IF($A742&lt;VLOOKUP(K$5,NFI,5,0),1,0)*Table_NFI[[#This Row],[Mosquito net]],Table_NFI[Mosquito net])</f>
        <v>0</v>
      </c>
      <c r="AC742" s="294">
        <f>IF(NFI_Expiration=1,IF($A742&lt;VLOOKUP(L$5,NFI,5,0),1,0)*Table_NFI[[#This Row],[Tarpaulin]],Table_NFI[[#This Row],[Tarpaulin]])</f>
        <v>0</v>
      </c>
      <c r="AD742" s="294">
        <f>IF(NFI_Expiration=1,IF($A742&lt;VLOOKUP(M$5,NFI,5,0),1,0)*Table_NFI[[#This Row],[Blanket]],Table_NFI[[#This Row],[Blanket]])</f>
        <v>0</v>
      </c>
      <c r="AE742" s="294">
        <f>IF(NFI_Expiration=1,IF($A742&lt;VLOOKUP(N$5,NFI,5,0),1,0)*Table_NFI[[#This Row],[Kitchen Set]],Table_NFI[Kitchen Set])</f>
        <v>0</v>
      </c>
      <c r="AF742" s="294">
        <f>IF(NFI_Expiration=1,IF($A742&lt;VLOOKUP(O$5,NFI,5,0),1,0)*Table_NFI[[#This Row],[Clothes Kit]],Table_NFI[Clothes Kit])</f>
        <v>0</v>
      </c>
      <c r="AG742" s="294">
        <f>IF(NFI_Expiration=1,IF($A742&lt;VLOOKUP(P$5,NFI,5,0),1,0)*Table_NFI[[#This Row],[Plastic Bucket]],Table_NFI[Plastic Bucket])</f>
        <v>0</v>
      </c>
      <c r="AH742" s="294">
        <f>IF(NFI_Expiration=1,IF($A742&lt;VLOOKUP(Q$5,NFI,5,0),1,0)*Table_NFI[[#This Row],[Plastic Mat]],Table_NFI[Plastic Mat])*IF(Table_NFI[[#This Row],[Distribution Date]]&gt;"2014-04-01",1,2.5)</f>
        <v>0</v>
      </c>
      <c r="AI742" s="294">
        <f>IF(NFI_Expiration=1,IF($A742&lt;VLOOKUP(R$5,NFI,5,0),1,0)*Table_NFI[[#This Row],[Winter Clothes Adult]],Table_NFI[Winter Clothes Adult])</f>
        <v>0</v>
      </c>
      <c r="AJ742" s="294">
        <f>IF(NFI_Expiration=1,IF($A742&lt;VLOOKUP(S$5,NFI,5,0),1,0)*Table_NFI[[#This Row],[Winter Clothes Children]],Table_NFI[Winter Clothes Children])</f>
        <v>0</v>
      </c>
      <c r="AK742" s="294">
        <f>IF(NFI_Expiration=1,IF($A742&lt;VLOOKUP(T$5,NFI,5,0),1,0)*Table_NFI[[#This Row],[Winter Items Other]],Table_NFI[Winter Items Other])</f>
        <v>0</v>
      </c>
      <c r="AL742" s="294">
        <f>IF(NFI_Expiration=1,IF($A742&lt;VLOOKUP(M$5,NFI,5,0),1,0)*Table_NFI[[#This Row],[Winter Blanket]],Table_NFI[[#This Row],[Winter Blanket]])</f>
        <v>0</v>
      </c>
      <c r="AM742" s="294">
        <f>IF(Table_NFI[[#This Row],[Winter Clothes Adult]]+Table_NFI[[#This Row],[Winter Clothes Children]]+Table_NFI[[#This Row],[Winter Items Other]]+Table_NFI[[#This Row],[Winter Blanket]]&gt;0,1,0)</f>
        <v>0</v>
      </c>
      <c r="AN742" s="331">
        <f>IF(NFI_Expiration=1,IF($A742&lt;VLOOKUP(V$5,NFI,5,0),1,0)*Table_NFI[[#This Row],[Jerry Can]],Table_NFI[Jerry Can])</f>
        <v>0</v>
      </c>
      <c r="AO742" s="331">
        <f>IF(NFI_Expiration=1,IF($A742&lt;VLOOKUP(V$5,NFI,5,0),1,0)*Table_NFI[[#This Row],[Shelter Tool kit]],Table_NFI[Shelter Tool kit])</f>
        <v>0</v>
      </c>
      <c r="AP742" s="331">
        <f>IF(NFI_Expiration=1,IF($A742&lt;VLOOKUP(V$5,NFI,5,0),1,0)*Table_NFI[[#This Row],[Tent]],Table_NFI[Tent])</f>
        <v>0</v>
      </c>
      <c r="AQ742" s="467" t="str">
        <f>IFERROR(VLOOKUP(Table_NFI[[#This Row],[Camp Name]],CL,2,0),"")</f>
        <v>MMR001CMP094</v>
      </c>
      <c r="AR742" s="835">
        <f ca="1">IF(Table_NFI[[#This Row],[Pcode]]="","",IF(OFFSET(CampList[Opening Date],MATCH(Table_NFI[[#This Row],[Pcode]],CampList[CP_Pcode],0)-1,0,1,1)&gt;=NFI_Monitor_Date,1,0))</f>
        <v>0</v>
      </c>
      <c r="AS742" s="467" t="str">
        <f>IFERROR(VLOOKUP(Table_NFI[[#This Row],[Camp Name]],CL,3,0),"")</f>
        <v>Closed</v>
      </c>
      <c r="AT742" s="294" t="str">
        <f ca="1">IF(Table_NFI[[#This Row],[Pcode]]="","",OFFSET(CampList[Priority],MATCH(Table_NFI[[#This Row],[Pcode]],CampList[CP_Pcode],0)-1,0,1,1))</f>
        <v/>
      </c>
      <c r="AU742" s="293" t="str">
        <f>IFERROR(Table_NFI[[#This Row],[Kitchen Set]]/VLOOKUP(Table_NFI[[#This Row],[Camp Name]],CL,4,0),"")</f>
        <v/>
      </c>
      <c r="AV742" s="461" t="s">
        <v>1092</v>
      </c>
      <c r="AW742" s="463"/>
    </row>
    <row r="743" spans="1:49" x14ac:dyDescent="0.25">
      <c r="A743" s="297">
        <f t="shared" si="11"/>
        <v>47.033333333333331</v>
      </c>
      <c r="B743" s="460">
        <v>41325</v>
      </c>
      <c r="C743" s="461" t="s">
        <v>452</v>
      </c>
      <c r="D743" s="462" t="s">
        <v>452</v>
      </c>
      <c r="E743" s="461" t="s">
        <v>380</v>
      </c>
      <c r="F743" s="290" t="s">
        <v>527</v>
      </c>
      <c r="G743" s="290" t="s">
        <v>66</v>
      </c>
      <c r="H743" s="291"/>
      <c r="I743" s="291"/>
      <c r="J743" s="291">
        <v>16</v>
      </c>
      <c r="K743" s="291">
        <v>26</v>
      </c>
      <c r="L743" s="292">
        <v>13</v>
      </c>
      <c r="M743" s="292">
        <v>26</v>
      </c>
      <c r="N743" s="292">
        <v>13</v>
      </c>
      <c r="O743" s="292">
        <v>13</v>
      </c>
      <c r="P743" s="294">
        <v>13</v>
      </c>
      <c r="Q743" s="294">
        <v>13</v>
      </c>
      <c r="R743" s="294"/>
      <c r="S743" s="294"/>
      <c r="T743" s="294"/>
      <c r="U743" s="294"/>
      <c r="V743" s="431"/>
      <c r="W743" s="294"/>
      <c r="X743" s="294"/>
      <c r="Y743" s="294">
        <f>IF(NFI_Expiration=1,IF($A743&lt;VLOOKUP(H$5,NFI,5,0),1,0)*Table_NFI[[#This Row],[Hygiene Kit]],Table_NFI[Hygiene Kit])</f>
        <v>0</v>
      </c>
      <c r="Z743" s="294">
        <f>IF(NFI_Expiration=1,IF($A743&lt;VLOOKUP(I$5,NFI,5,0),1,0)*Table_NFI[[#This Row],[NFI Core Kit]],Table_NFI[NFI Core Kit])</f>
        <v>0</v>
      </c>
      <c r="AA743" s="294">
        <f>IF(NFI_Expiration=1,IF($A743&lt;VLOOKUP(J$5,NFI,5,0),1,0)*Table_NFI[[#This Row],[Sanitary Kit]],Table_NFI[Sanitary Kit])</f>
        <v>0</v>
      </c>
      <c r="AB743" s="294">
        <f>IF(NFI_Expiration=1,IF($A743&lt;VLOOKUP(K$5,NFI,5,0),1,0)*Table_NFI[[#This Row],[Mosquito net]],Table_NFI[Mosquito net])</f>
        <v>0</v>
      </c>
      <c r="AC743" s="294">
        <f>IF(NFI_Expiration=1,IF($A743&lt;VLOOKUP(L$5,NFI,5,0),1,0)*Table_NFI[[#This Row],[Tarpaulin]],Table_NFI[[#This Row],[Tarpaulin]])</f>
        <v>0</v>
      </c>
      <c r="AD743" s="294">
        <f>IF(NFI_Expiration=1,IF($A743&lt;VLOOKUP(M$5,NFI,5,0),1,0)*Table_NFI[[#This Row],[Blanket]],Table_NFI[[#This Row],[Blanket]])</f>
        <v>0</v>
      </c>
      <c r="AE743" s="294">
        <f>IF(NFI_Expiration=1,IF($A743&lt;VLOOKUP(N$5,NFI,5,0),1,0)*Table_NFI[[#This Row],[Kitchen Set]],Table_NFI[Kitchen Set])</f>
        <v>0</v>
      </c>
      <c r="AF743" s="294">
        <f>IF(NFI_Expiration=1,IF($A743&lt;VLOOKUP(O$5,NFI,5,0),1,0)*Table_NFI[[#This Row],[Clothes Kit]],Table_NFI[Clothes Kit])</f>
        <v>0</v>
      </c>
      <c r="AG743" s="294">
        <f>IF(NFI_Expiration=1,IF($A743&lt;VLOOKUP(P$5,NFI,5,0),1,0)*Table_NFI[[#This Row],[Plastic Bucket]],Table_NFI[Plastic Bucket])</f>
        <v>0</v>
      </c>
      <c r="AH743" s="294">
        <f>IF(NFI_Expiration=1,IF($A743&lt;VLOOKUP(Q$5,NFI,5,0),1,0)*Table_NFI[[#This Row],[Plastic Mat]],Table_NFI[Plastic Mat])*IF(Table_NFI[[#This Row],[Distribution Date]]&gt;"2014-04-01",1,2.5)</f>
        <v>0</v>
      </c>
      <c r="AI743" s="294">
        <f>IF(NFI_Expiration=1,IF($A743&lt;VLOOKUP(R$5,NFI,5,0),1,0)*Table_NFI[[#This Row],[Winter Clothes Adult]],Table_NFI[Winter Clothes Adult])</f>
        <v>0</v>
      </c>
      <c r="AJ743" s="294">
        <f>IF(NFI_Expiration=1,IF($A743&lt;VLOOKUP(S$5,NFI,5,0),1,0)*Table_NFI[[#This Row],[Winter Clothes Children]],Table_NFI[Winter Clothes Children])</f>
        <v>0</v>
      </c>
      <c r="AK743" s="294">
        <f>IF(NFI_Expiration=1,IF($A743&lt;VLOOKUP(T$5,NFI,5,0),1,0)*Table_NFI[[#This Row],[Winter Items Other]],Table_NFI[Winter Items Other])</f>
        <v>0</v>
      </c>
      <c r="AL743" s="294">
        <f>IF(NFI_Expiration=1,IF($A743&lt;VLOOKUP(M$5,NFI,5,0),1,0)*Table_NFI[[#This Row],[Winter Blanket]],Table_NFI[[#This Row],[Winter Blanket]])</f>
        <v>0</v>
      </c>
      <c r="AM743" s="294">
        <f>IF(Table_NFI[[#This Row],[Winter Clothes Adult]]+Table_NFI[[#This Row],[Winter Clothes Children]]+Table_NFI[[#This Row],[Winter Items Other]]+Table_NFI[[#This Row],[Winter Blanket]]&gt;0,1,0)</f>
        <v>0</v>
      </c>
      <c r="AN743" s="331">
        <f>IF(NFI_Expiration=1,IF($A743&lt;VLOOKUP(V$5,NFI,5,0),1,0)*Table_NFI[[#This Row],[Jerry Can]],Table_NFI[Jerry Can])</f>
        <v>0</v>
      </c>
      <c r="AO743" s="331">
        <f>IF(NFI_Expiration=1,IF($A743&lt;VLOOKUP(V$5,NFI,5,0),1,0)*Table_NFI[[#This Row],[Shelter Tool kit]],Table_NFI[Shelter Tool kit])</f>
        <v>0</v>
      </c>
      <c r="AP743" s="331">
        <f>IF(NFI_Expiration=1,IF($A743&lt;VLOOKUP(V$5,NFI,5,0),1,0)*Table_NFI[[#This Row],[Tent]],Table_NFI[Tent])</f>
        <v>0</v>
      </c>
      <c r="AQ743" s="467" t="str">
        <f>IFERROR(VLOOKUP(Table_NFI[[#This Row],[Camp Name]],CL,2,0),"")</f>
        <v>MMR001CMP093</v>
      </c>
      <c r="AR743" s="835">
        <f ca="1">IF(Table_NFI[[#This Row],[Pcode]]="","",IF(OFFSET(CampList[Opening Date],MATCH(Table_NFI[[#This Row],[Pcode]],CampList[CP_Pcode],0)-1,0,1,1)&gt;=NFI_Monitor_Date,1,0))</f>
        <v>0</v>
      </c>
      <c r="AS743" s="467" t="str">
        <f>IFERROR(VLOOKUP(Table_NFI[[#This Row],[Camp Name]],CL,3,0),"")</f>
        <v>Closed</v>
      </c>
      <c r="AT743" s="294" t="str">
        <f ca="1">IF(Table_NFI[[#This Row],[Pcode]]="","",OFFSET(CampList[Priority],MATCH(Table_NFI[[#This Row],[Pcode]],CampList[CP_Pcode],0)-1,0,1,1))</f>
        <v/>
      </c>
      <c r="AU743" s="293" t="str">
        <f>IFERROR(Table_NFI[[#This Row],[Kitchen Set]]/VLOOKUP(Table_NFI[[#This Row],[Camp Name]],CL,4,0),"")</f>
        <v/>
      </c>
      <c r="AV743" s="461" t="s">
        <v>1092</v>
      </c>
      <c r="AW743" s="463"/>
    </row>
    <row r="744" spans="1:49" ht="14.45" customHeight="1" x14ac:dyDescent="0.25">
      <c r="A744" s="297">
        <f t="shared" si="11"/>
        <v>47.033333333333331</v>
      </c>
      <c r="B744" s="460">
        <v>41325</v>
      </c>
      <c r="C744" s="461" t="s">
        <v>452</v>
      </c>
      <c r="D744" s="461" t="s">
        <v>452</v>
      </c>
      <c r="E744" s="461" t="s">
        <v>380</v>
      </c>
      <c r="F744" s="461" t="s">
        <v>527</v>
      </c>
      <c r="G744" s="290" t="s">
        <v>84</v>
      </c>
      <c r="H744" s="291"/>
      <c r="I744" s="291"/>
      <c r="J744" s="291">
        <v>85</v>
      </c>
      <c r="K744" s="291">
        <v>138</v>
      </c>
      <c r="L744" s="292">
        <v>65</v>
      </c>
      <c r="M744" s="292">
        <v>138</v>
      </c>
      <c r="N744" s="292">
        <v>65</v>
      </c>
      <c r="O744" s="292">
        <v>65</v>
      </c>
      <c r="P744" s="294">
        <v>65</v>
      </c>
      <c r="Q744" s="294">
        <v>65</v>
      </c>
      <c r="R744" s="294"/>
      <c r="S744" s="294"/>
      <c r="T744" s="294"/>
      <c r="U744" s="294"/>
      <c r="V744" s="431"/>
      <c r="W744" s="294"/>
      <c r="X744" s="294"/>
      <c r="Y744" s="294">
        <f>IF(NFI_Expiration=1,IF($A744&lt;VLOOKUP(H$5,NFI,5,0),1,0)*Table_NFI[[#This Row],[Hygiene Kit]],Table_NFI[Hygiene Kit])</f>
        <v>0</v>
      </c>
      <c r="Z744" s="294">
        <f>IF(NFI_Expiration=1,IF($A744&lt;VLOOKUP(I$5,NFI,5,0),1,0)*Table_NFI[[#This Row],[NFI Core Kit]],Table_NFI[NFI Core Kit])</f>
        <v>0</v>
      </c>
      <c r="AA744" s="294">
        <f>IF(NFI_Expiration=1,IF($A744&lt;VLOOKUP(J$5,NFI,5,0),1,0)*Table_NFI[[#This Row],[Sanitary Kit]],Table_NFI[Sanitary Kit])</f>
        <v>0</v>
      </c>
      <c r="AB744" s="294">
        <f>IF(NFI_Expiration=1,IF($A744&lt;VLOOKUP(K$5,NFI,5,0),1,0)*Table_NFI[[#This Row],[Mosquito net]],Table_NFI[Mosquito net])</f>
        <v>0</v>
      </c>
      <c r="AC744" s="294">
        <f>IF(NFI_Expiration=1,IF($A744&lt;VLOOKUP(L$5,NFI,5,0),1,0)*Table_NFI[[#This Row],[Tarpaulin]],Table_NFI[[#This Row],[Tarpaulin]])</f>
        <v>0</v>
      </c>
      <c r="AD744" s="294">
        <f>IF(NFI_Expiration=1,IF($A744&lt;VLOOKUP(M$5,NFI,5,0),1,0)*Table_NFI[[#This Row],[Blanket]],Table_NFI[[#This Row],[Blanket]])</f>
        <v>0</v>
      </c>
      <c r="AE744" s="294">
        <f>IF(NFI_Expiration=1,IF($A744&lt;VLOOKUP(N$5,NFI,5,0),1,0)*Table_NFI[[#This Row],[Kitchen Set]],Table_NFI[Kitchen Set])</f>
        <v>0</v>
      </c>
      <c r="AF744" s="294">
        <f>IF(NFI_Expiration=1,IF($A744&lt;VLOOKUP(O$5,NFI,5,0),1,0)*Table_NFI[[#This Row],[Clothes Kit]],Table_NFI[Clothes Kit])</f>
        <v>0</v>
      </c>
      <c r="AG744" s="294">
        <f>IF(NFI_Expiration=1,IF($A744&lt;VLOOKUP(P$5,NFI,5,0),1,0)*Table_NFI[[#This Row],[Plastic Bucket]],Table_NFI[Plastic Bucket])</f>
        <v>0</v>
      </c>
      <c r="AH744" s="294">
        <f>IF(NFI_Expiration=1,IF($A744&lt;VLOOKUP(Q$5,NFI,5,0),1,0)*Table_NFI[[#This Row],[Plastic Mat]],Table_NFI[Plastic Mat])*IF(Table_NFI[[#This Row],[Distribution Date]]&gt;"2014-04-01",1,2.5)</f>
        <v>0</v>
      </c>
      <c r="AI744" s="294">
        <f>IF(NFI_Expiration=1,IF($A744&lt;VLOOKUP(R$5,NFI,5,0),1,0)*Table_NFI[[#This Row],[Winter Clothes Adult]],Table_NFI[Winter Clothes Adult])</f>
        <v>0</v>
      </c>
      <c r="AJ744" s="294">
        <f>IF(NFI_Expiration=1,IF($A744&lt;VLOOKUP(S$5,NFI,5,0),1,0)*Table_NFI[[#This Row],[Winter Clothes Children]],Table_NFI[Winter Clothes Children])</f>
        <v>0</v>
      </c>
      <c r="AK744" s="294">
        <f>IF(NFI_Expiration=1,IF($A744&lt;VLOOKUP(T$5,NFI,5,0),1,0)*Table_NFI[[#This Row],[Winter Items Other]],Table_NFI[Winter Items Other])</f>
        <v>0</v>
      </c>
      <c r="AL744" s="294">
        <f>IF(NFI_Expiration=1,IF($A744&lt;VLOOKUP(M$5,NFI,5,0),1,0)*Table_NFI[[#This Row],[Winter Blanket]],Table_NFI[[#This Row],[Winter Blanket]])</f>
        <v>0</v>
      </c>
      <c r="AM744" s="294">
        <f>IF(Table_NFI[[#This Row],[Winter Clothes Adult]]+Table_NFI[[#This Row],[Winter Clothes Children]]+Table_NFI[[#This Row],[Winter Items Other]]+Table_NFI[[#This Row],[Winter Blanket]]&gt;0,1,0)</f>
        <v>0</v>
      </c>
      <c r="AN744" s="331">
        <f>IF(NFI_Expiration=1,IF($A744&lt;VLOOKUP(V$5,NFI,5,0),1,0)*Table_NFI[[#This Row],[Jerry Can]],Table_NFI[Jerry Can])</f>
        <v>0</v>
      </c>
      <c r="AO744" s="331">
        <f>IF(NFI_Expiration=1,IF($A744&lt;VLOOKUP(V$5,NFI,5,0),1,0)*Table_NFI[[#This Row],[Shelter Tool kit]],Table_NFI[Shelter Tool kit])</f>
        <v>0</v>
      </c>
      <c r="AP744" s="331">
        <f>IF(NFI_Expiration=1,IF($A744&lt;VLOOKUP(V$5,NFI,5,0),1,0)*Table_NFI[[#This Row],[Tent]],Table_NFI[Tent])</f>
        <v>0</v>
      </c>
      <c r="AQ744" s="467" t="str">
        <f>IFERROR(VLOOKUP(Table_NFI[[#This Row],[Camp Name]],CL,2,0),"")</f>
        <v>MMR001CMP085</v>
      </c>
      <c r="AR744" s="835">
        <f ca="1">IF(Table_NFI[[#This Row],[Pcode]]="","",IF(OFFSET(CampList[Opening Date],MATCH(Table_NFI[[#This Row],[Pcode]],CampList[CP_Pcode],0)-1,0,1,1)&gt;=NFI_Monitor_Date,1,0))</f>
        <v>0</v>
      </c>
      <c r="AS744" s="467" t="str">
        <f>IFERROR(VLOOKUP(Table_NFI[[#This Row],[Camp Name]],CL,3,0),"")</f>
        <v>Closed</v>
      </c>
      <c r="AT744" s="294" t="str">
        <f ca="1">IF(Table_NFI[[#This Row],[Pcode]]="","",OFFSET(CampList[Priority],MATCH(Table_NFI[[#This Row],[Pcode]],CampList[CP_Pcode],0)-1,0,1,1))</f>
        <v/>
      </c>
      <c r="AU744" s="293" t="str">
        <f>IFERROR(Table_NFI[[#This Row],[Kitchen Set]]/VLOOKUP(Table_NFI[[#This Row],[Camp Name]],CL,4,0),"")</f>
        <v/>
      </c>
      <c r="AV744" s="461" t="s">
        <v>1092</v>
      </c>
      <c r="AW744" s="463"/>
    </row>
    <row r="745" spans="1:49" ht="14.45" customHeight="1" x14ac:dyDescent="0.25">
      <c r="A745" s="297">
        <f t="shared" si="11"/>
        <v>47.033333333333331</v>
      </c>
      <c r="B745" s="460">
        <v>41325</v>
      </c>
      <c r="C745" s="461" t="s">
        <v>452</v>
      </c>
      <c r="D745" s="462" t="s">
        <v>452</v>
      </c>
      <c r="E745" s="461" t="s">
        <v>380</v>
      </c>
      <c r="F745" s="290" t="s">
        <v>527</v>
      </c>
      <c r="G745" s="290" t="s">
        <v>110</v>
      </c>
      <c r="H745" s="291"/>
      <c r="I745" s="291"/>
      <c r="J745" s="291">
        <v>175</v>
      </c>
      <c r="K745" s="291">
        <v>0</v>
      </c>
      <c r="L745" s="292">
        <v>0</v>
      </c>
      <c r="M745" s="292">
        <v>0</v>
      </c>
      <c r="N745" s="292">
        <v>0</v>
      </c>
      <c r="O745" s="292">
        <v>0</v>
      </c>
      <c r="P745" s="294"/>
      <c r="Q745" s="294"/>
      <c r="R745" s="294"/>
      <c r="S745" s="294"/>
      <c r="T745" s="294"/>
      <c r="U745" s="294"/>
      <c r="V745" s="431"/>
      <c r="W745" s="294"/>
      <c r="X745" s="294"/>
      <c r="Y745" s="294">
        <f>IF(NFI_Expiration=1,IF($A745&lt;VLOOKUP(H$5,NFI,5,0),1,0)*Table_NFI[[#This Row],[Hygiene Kit]],Table_NFI[Hygiene Kit])</f>
        <v>0</v>
      </c>
      <c r="Z745" s="294">
        <f>IF(NFI_Expiration=1,IF($A745&lt;VLOOKUP(I$5,NFI,5,0),1,0)*Table_NFI[[#This Row],[NFI Core Kit]],Table_NFI[NFI Core Kit])</f>
        <v>0</v>
      </c>
      <c r="AA745" s="294">
        <f>IF(NFI_Expiration=1,IF($A745&lt;VLOOKUP(J$5,NFI,5,0),1,0)*Table_NFI[[#This Row],[Sanitary Kit]],Table_NFI[Sanitary Kit])</f>
        <v>0</v>
      </c>
      <c r="AB745" s="294">
        <f>IF(NFI_Expiration=1,IF($A745&lt;VLOOKUP(K$5,NFI,5,0),1,0)*Table_NFI[[#This Row],[Mosquito net]],Table_NFI[Mosquito net])</f>
        <v>0</v>
      </c>
      <c r="AC745" s="294">
        <f>IF(NFI_Expiration=1,IF($A745&lt;VLOOKUP(L$5,NFI,5,0),1,0)*Table_NFI[[#This Row],[Tarpaulin]],Table_NFI[[#This Row],[Tarpaulin]])</f>
        <v>0</v>
      </c>
      <c r="AD745" s="294">
        <f>IF(NFI_Expiration=1,IF($A745&lt;VLOOKUP(M$5,NFI,5,0),1,0)*Table_NFI[[#This Row],[Blanket]],Table_NFI[[#This Row],[Blanket]])</f>
        <v>0</v>
      </c>
      <c r="AE745" s="294">
        <f>IF(NFI_Expiration=1,IF($A745&lt;VLOOKUP(N$5,NFI,5,0),1,0)*Table_NFI[[#This Row],[Kitchen Set]],Table_NFI[Kitchen Set])</f>
        <v>0</v>
      </c>
      <c r="AF745" s="294">
        <f>IF(NFI_Expiration=1,IF($A745&lt;VLOOKUP(O$5,NFI,5,0),1,0)*Table_NFI[[#This Row],[Clothes Kit]],Table_NFI[Clothes Kit])</f>
        <v>0</v>
      </c>
      <c r="AG745" s="294">
        <f>IF(NFI_Expiration=1,IF($A745&lt;VLOOKUP(P$5,NFI,5,0),1,0)*Table_NFI[[#This Row],[Plastic Bucket]],Table_NFI[Plastic Bucket])</f>
        <v>0</v>
      </c>
      <c r="AH745" s="294">
        <f>IF(NFI_Expiration=1,IF($A745&lt;VLOOKUP(Q$5,NFI,5,0),1,0)*Table_NFI[[#This Row],[Plastic Mat]],Table_NFI[Plastic Mat])*IF(Table_NFI[[#This Row],[Distribution Date]]&gt;"2014-04-01",1,2.5)</f>
        <v>0</v>
      </c>
      <c r="AI745" s="294">
        <f>IF(NFI_Expiration=1,IF($A745&lt;VLOOKUP(R$5,NFI,5,0),1,0)*Table_NFI[[#This Row],[Winter Clothes Adult]],Table_NFI[Winter Clothes Adult])</f>
        <v>0</v>
      </c>
      <c r="AJ745" s="294">
        <f>IF(NFI_Expiration=1,IF($A745&lt;VLOOKUP(S$5,NFI,5,0),1,0)*Table_NFI[[#This Row],[Winter Clothes Children]],Table_NFI[Winter Clothes Children])</f>
        <v>0</v>
      </c>
      <c r="AK745" s="294">
        <f>IF(NFI_Expiration=1,IF($A745&lt;VLOOKUP(T$5,NFI,5,0),1,0)*Table_NFI[[#This Row],[Winter Items Other]],Table_NFI[Winter Items Other])</f>
        <v>0</v>
      </c>
      <c r="AL745" s="294">
        <f>IF(NFI_Expiration=1,IF($A745&lt;VLOOKUP(M$5,NFI,5,0),1,0)*Table_NFI[[#This Row],[Winter Blanket]],Table_NFI[[#This Row],[Winter Blanket]])</f>
        <v>0</v>
      </c>
      <c r="AM745" s="294">
        <f>IF(Table_NFI[[#This Row],[Winter Clothes Adult]]+Table_NFI[[#This Row],[Winter Clothes Children]]+Table_NFI[[#This Row],[Winter Items Other]]+Table_NFI[[#This Row],[Winter Blanket]]&gt;0,1,0)</f>
        <v>0</v>
      </c>
      <c r="AN745" s="331">
        <f>IF(NFI_Expiration=1,IF($A745&lt;VLOOKUP(V$5,NFI,5,0),1,0)*Table_NFI[[#This Row],[Jerry Can]],Table_NFI[Jerry Can])</f>
        <v>0</v>
      </c>
      <c r="AO745" s="331">
        <f>IF(NFI_Expiration=1,IF($A745&lt;VLOOKUP(V$5,NFI,5,0),1,0)*Table_NFI[[#This Row],[Shelter Tool kit]],Table_NFI[Shelter Tool kit])</f>
        <v>0</v>
      </c>
      <c r="AP745" s="331">
        <f>IF(NFI_Expiration=1,IF($A745&lt;VLOOKUP(V$5,NFI,5,0),1,0)*Table_NFI[[#This Row],[Tent]],Table_NFI[Tent])</f>
        <v>0</v>
      </c>
      <c r="AQ745" s="467" t="str">
        <f>IFERROR(VLOOKUP(Table_NFI[[#This Row],[Camp Name]],CL,2,0),"")</f>
        <v>MMR001CMP082</v>
      </c>
      <c r="AR745" s="835">
        <f ca="1">IF(Table_NFI[[#This Row],[Pcode]]="","",IF(OFFSET(CampList[Opening Date],MATCH(Table_NFI[[#This Row],[Pcode]],CampList[CP_Pcode],0)-1,0,1,1)&gt;=NFI_Monitor_Date,1,0))</f>
        <v>0</v>
      </c>
      <c r="AS745" s="467" t="str">
        <f>IFERROR(VLOOKUP(Table_NFI[[#This Row],[Camp Name]],CL,3,0),"")</f>
        <v>Closed</v>
      </c>
      <c r="AT745" s="294" t="str">
        <f ca="1">IF(Table_NFI[[#This Row],[Pcode]]="","",OFFSET(CampList[Priority],MATCH(Table_NFI[[#This Row],[Pcode]],CampList[CP_Pcode],0)-1,0,1,1))</f>
        <v/>
      </c>
      <c r="AU745" s="293">
        <f>IFERROR(Table_NFI[[#This Row],[Kitchen Set]]/VLOOKUP(Table_NFI[[#This Row],[Camp Name]],CL,4,0),"")</f>
        <v>0</v>
      </c>
      <c r="AV745" s="461" t="s">
        <v>1092</v>
      </c>
      <c r="AW745" s="463"/>
    </row>
    <row r="746" spans="1:49" ht="14.45" customHeight="1" x14ac:dyDescent="0.25">
      <c r="A746" s="297">
        <f t="shared" si="11"/>
        <v>47.033333333333331</v>
      </c>
      <c r="B746" s="460">
        <v>41325</v>
      </c>
      <c r="C746" s="461" t="s">
        <v>452</v>
      </c>
      <c r="D746" s="461" t="s">
        <v>452</v>
      </c>
      <c r="E746" s="461" t="s">
        <v>380</v>
      </c>
      <c r="F746" s="461" t="s">
        <v>527</v>
      </c>
      <c r="G746" s="290" t="s">
        <v>112</v>
      </c>
      <c r="H746" s="291"/>
      <c r="I746" s="291"/>
      <c r="J746" s="291">
        <v>38</v>
      </c>
      <c r="K746" s="291">
        <v>89</v>
      </c>
      <c r="L746" s="292">
        <v>44</v>
      </c>
      <c r="M746" s="292">
        <v>89</v>
      </c>
      <c r="N746" s="292">
        <v>44</v>
      </c>
      <c r="O746" s="292">
        <v>44</v>
      </c>
      <c r="P746" s="294">
        <v>44</v>
      </c>
      <c r="Q746" s="294">
        <v>44</v>
      </c>
      <c r="R746" s="294"/>
      <c r="S746" s="294"/>
      <c r="T746" s="294"/>
      <c r="U746" s="294"/>
      <c r="V746" s="431"/>
      <c r="W746" s="294"/>
      <c r="X746" s="294"/>
      <c r="Y746" s="294">
        <f>IF(NFI_Expiration=1,IF($A746&lt;VLOOKUP(H$5,NFI,5,0),1,0)*Table_NFI[[#This Row],[Hygiene Kit]],Table_NFI[Hygiene Kit])</f>
        <v>0</v>
      </c>
      <c r="Z746" s="294">
        <f>IF(NFI_Expiration=1,IF($A746&lt;VLOOKUP(I$5,NFI,5,0),1,0)*Table_NFI[[#This Row],[NFI Core Kit]],Table_NFI[NFI Core Kit])</f>
        <v>0</v>
      </c>
      <c r="AA746" s="294">
        <f>IF(NFI_Expiration=1,IF($A746&lt;VLOOKUP(J$5,NFI,5,0),1,0)*Table_NFI[[#This Row],[Sanitary Kit]],Table_NFI[Sanitary Kit])</f>
        <v>0</v>
      </c>
      <c r="AB746" s="294">
        <f>IF(NFI_Expiration=1,IF($A746&lt;VLOOKUP(K$5,NFI,5,0),1,0)*Table_NFI[[#This Row],[Mosquito net]],Table_NFI[Mosquito net])</f>
        <v>0</v>
      </c>
      <c r="AC746" s="294">
        <f>IF(NFI_Expiration=1,IF($A746&lt;VLOOKUP(L$5,NFI,5,0),1,0)*Table_NFI[[#This Row],[Tarpaulin]],Table_NFI[[#This Row],[Tarpaulin]])</f>
        <v>0</v>
      </c>
      <c r="AD746" s="294">
        <f>IF(NFI_Expiration=1,IF($A746&lt;VLOOKUP(M$5,NFI,5,0),1,0)*Table_NFI[[#This Row],[Blanket]],Table_NFI[[#This Row],[Blanket]])</f>
        <v>0</v>
      </c>
      <c r="AE746" s="294">
        <f>IF(NFI_Expiration=1,IF($A746&lt;VLOOKUP(N$5,NFI,5,0),1,0)*Table_NFI[[#This Row],[Kitchen Set]],Table_NFI[Kitchen Set])</f>
        <v>0</v>
      </c>
      <c r="AF746" s="294">
        <f>IF(NFI_Expiration=1,IF($A746&lt;VLOOKUP(O$5,NFI,5,0),1,0)*Table_NFI[[#This Row],[Clothes Kit]],Table_NFI[Clothes Kit])</f>
        <v>0</v>
      </c>
      <c r="AG746" s="294">
        <f>IF(NFI_Expiration=1,IF($A746&lt;VLOOKUP(P$5,NFI,5,0),1,0)*Table_NFI[[#This Row],[Plastic Bucket]],Table_NFI[Plastic Bucket])</f>
        <v>0</v>
      </c>
      <c r="AH746" s="294">
        <f>IF(NFI_Expiration=1,IF($A746&lt;VLOOKUP(Q$5,NFI,5,0),1,0)*Table_NFI[[#This Row],[Plastic Mat]],Table_NFI[Plastic Mat])*IF(Table_NFI[[#This Row],[Distribution Date]]&gt;"2014-04-01",1,2.5)</f>
        <v>0</v>
      </c>
      <c r="AI746" s="294">
        <f>IF(NFI_Expiration=1,IF($A746&lt;VLOOKUP(R$5,NFI,5,0),1,0)*Table_NFI[[#This Row],[Winter Clothes Adult]],Table_NFI[Winter Clothes Adult])</f>
        <v>0</v>
      </c>
      <c r="AJ746" s="294">
        <f>IF(NFI_Expiration=1,IF($A746&lt;VLOOKUP(S$5,NFI,5,0),1,0)*Table_NFI[[#This Row],[Winter Clothes Children]],Table_NFI[Winter Clothes Children])</f>
        <v>0</v>
      </c>
      <c r="AK746" s="294">
        <f>IF(NFI_Expiration=1,IF($A746&lt;VLOOKUP(T$5,NFI,5,0),1,0)*Table_NFI[[#This Row],[Winter Items Other]],Table_NFI[Winter Items Other])</f>
        <v>0</v>
      </c>
      <c r="AL746" s="294">
        <f>IF(NFI_Expiration=1,IF($A746&lt;VLOOKUP(M$5,NFI,5,0),1,0)*Table_NFI[[#This Row],[Winter Blanket]],Table_NFI[[#This Row],[Winter Blanket]])</f>
        <v>0</v>
      </c>
      <c r="AM746" s="294">
        <f>IF(Table_NFI[[#This Row],[Winter Clothes Adult]]+Table_NFI[[#This Row],[Winter Clothes Children]]+Table_NFI[[#This Row],[Winter Items Other]]+Table_NFI[[#This Row],[Winter Blanket]]&gt;0,1,0)</f>
        <v>0</v>
      </c>
      <c r="AN746" s="331">
        <f>IF(NFI_Expiration=1,IF($A746&lt;VLOOKUP(V$5,NFI,5,0),1,0)*Table_NFI[[#This Row],[Jerry Can]],Table_NFI[Jerry Can])</f>
        <v>0</v>
      </c>
      <c r="AO746" s="331">
        <f>IF(NFI_Expiration=1,IF($A746&lt;VLOOKUP(V$5,NFI,5,0),1,0)*Table_NFI[[#This Row],[Shelter Tool kit]],Table_NFI[Shelter Tool kit])</f>
        <v>0</v>
      </c>
      <c r="AP746" s="331">
        <f>IF(NFI_Expiration=1,IF($A746&lt;VLOOKUP(V$5,NFI,5,0),1,0)*Table_NFI[[#This Row],[Tent]],Table_NFI[Tent])</f>
        <v>0</v>
      </c>
      <c r="AQ746" s="467" t="str">
        <f>IFERROR(VLOOKUP(Table_NFI[[#This Row],[Camp Name]],CL,2,0),"")</f>
        <v>MMR001CMP083</v>
      </c>
      <c r="AR746" s="835">
        <f ca="1">IF(Table_NFI[[#This Row],[Pcode]]="","",IF(OFFSET(CampList[Opening Date],MATCH(Table_NFI[[#This Row],[Pcode]],CampList[CP_Pcode],0)-1,0,1,1)&gt;=NFI_Monitor_Date,1,0))</f>
        <v>0</v>
      </c>
      <c r="AS746" s="467" t="str">
        <f>IFERROR(VLOOKUP(Table_NFI[[#This Row],[Camp Name]],CL,3,0),"")</f>
        <v>Closed</v>
      </c>
      <c r="AT746" s="294" t="str">
        <f ca="1">IF(Table_NFI[[#This Row],[Pcode]]="","",OFFSET(CampList[Priority],MATCH(Table_NFI[[#This Row],[Pcode]],CampList[CP_Pcode],0)-1,0,1,1))</f>
        <v/>
      </c>
      <c r="AU746" s="293" t="str">
        <f>IFERROR(Table_NFI[[#This Row],[Kitchen Set]]/VLOOKUP(Table_NFI[[#This Row],[Camp Name]],CL,4,0),"")</f>
        <v/>
      </c>
      <c r="AV746" s="461" t="s">
        <v>1092</v>
      </c>
      <c r="AW746" s="463"/>
    </row>
    <row r="747" spans="1:49" ht="14.45" customHeight="1" x14ac:dyDescent="0.25">
      <c r="A747" s="297">
        <f t="shared" si="11"/>
        <v>47.033333333333331</v>
      </c>
      <c r="B747" s="460">
        <v>41325</v>
      </c>
      <c r="C747" s="461" t="s">
        <v>452</v>
      </c>
      <c r="D747" s="462" t="s">
        <v>452</v>
      </c>
      <c r="E747" s="461" t="s">
        <v>380</v>
      </c>
      <c r="F747" s="290" t="s">
        <v>527</v>
      </c>
      <c r="G747" s="290" t="s">
        <v>514</v>
      </c>
      <c r="H747" s="291"/>
      <c r="I747" s="291"/>
      <c r="J747" s="291"/>
      <c r="K747" s="291">
        <v>11</v>
      </c>
      <c r="L747" s="292">
        <v>6</v>
      </c>
      <c r="M747" s="292">
        <v>0</v>
      </c>
      <c r="N747" s="292">
        <v>6</v>
      </c>
      <c r="O747" s="292">
        <v>6</v>
      </c>
      <c r="P747" s="294">
        <v>6</v>
      </c>
      <c r="Q747" s="294">
        <v>6</v>
      </c>
      <c r="R747" s="294"/>
      <c r="S747" s="294"/>
      <c r="T747" s="294"/>
      <c r="U747" s="294"/>
      <c r="V747" s="431"/>
      <c r="W747" s="294"/>
      <c r="X747" s="294"/>
      <c r="Y747" s="294">
        <f>IF(NFI_Expiration=1,IF($A747&lt;VLOOKUP(H$5,NFI,5,0),1,0)*Table_NFI[[#This Row],[Hygiene Kit]],Table_NFI[Hygiene Kit])</f>
        <v>0</v>
      </c>
      <c r="Z747" s="294">
        <f>IF(NFI_Expiration=1,IF($A747&lt;VLOOKUP(I$5,NFI,5,0),1,0)*Table_NFI[[#This Row],[NFI Core Kit]],Table_NFI[NFI Core Kit])</f>
        <v>0</v>
      </c>
      <c r="AA747" s="294">
        <f>IF(NFI_Expiration=1,IF($A747&lt;VLOOKUP(J$5,NFI,5,0),1,0)*Table_NFI[[#This Row],[Sanitary Kit]],Table_NFI[Sanitary Kit])</f>
        <v>0</v>
      </c>
      <c r="AB747" s="294">
        <f>IF(NFI_Expiration=1,IF($A747&lt;VLOOKUP(K$5,NFI,5,0),1,0)*Table_NFI[[#This Row],[Mosquito net]],Table_NFI[Mosquito net])</f>
        <v>0</v>
      </c>
      <c r="AC747" s="294">
        <f>IF(NFI_Expiration=1,IF($A747&lt;VLOOKUP(L$5,NFI,5,0),1,0)*Table_NFI[[#This Row],[Tarpaulin]],Table_NFI[[#This Row],[Tarpaulin]])</f>
        <v>0</v>
      </c>
      <c r="AD747" s="294">
        <f>IF(NFI_Expiration=1,IF($A747&lt;VLOOKUP(M$5,NFI,5,0),1,0)*Table_NFI[[#This Row],[Blanket]],Table_NFI[[#This Row],[Blanket]])</f>
        <v>0</v>
      </c>
      <c r="AE747" s="294">
        <f>IF(NFI_Expiration=1,IF($A747&lt;VLOOKUP(N$5,NFI,5,0),1,0)*Table_NFI[[#This Row],[Kitchen Set]],Table_NFI[Kitchen Set])</f>
        <v>0</v>
      </c>
      <c r="AF747" s="294">
        <f>IF(NFI_Expiration=1,IF($A747&lt;VLOOKUP(O$5,NFI,5,0),1,0)*Table_NFI[[#This Row],[Clothes Kit]],Table_NFI[Clothes Kit])</f>
        <v>0</v>
      </c>
      <c r="AG747" s="294">
        <f>IF(NFI_Expiration=1,IF($A747&lt;VLOOKUP(P$5,NFI,5,0),1,0)*Table_NFI[[#This Row],[Plastic Bucket]],Table_NFI[Plastic Bucket])</f>
        <v>0</v>
      </c>
      <c r="AH747" s="294">
        <f>IF(NFI_Expiration=1,IF($A747&lt;VLOOKUP(Q$5,NFI,5,0),1,0)*Table_NFI[[#This Row],[Plastic Mat]],Table_NFI[Plastic Mat])*IF(Table_NFI[[#This Row],[Distribution Date]]&gt;"2014-04-01",1,2.5)</f>
        <v>0</v>
      </c>
      <c r="AI747" s="294">
        <f>IF(NFI_Expiration=1,IF($A747&lt;VLOOKUP(R$5,NFI,5,0),1,0)*Table_NFI[[#This Row],[Winter Clothes Adult]],Table_NFI[Winter Clothes Adult])</f>
        <v>0</v>
      </c>
      <c r="AJ747" s="294">
        <f>IF(NFI_Expiration=1,IF($A747&lt;VLOOKUP(S$5,NFI,5,0),1,0)*Table_NFI[[#This Row],[Winter Clothes Children]],Table_NFI[Winter Clothes Children])</f>
        <v>0</v>
      </c>
      <c r="AK747" s="294">
        <f>IF(NFI_Expiration=1,IF($A747&lt;VLOOKUP(T$5,NFI,5,0),1,0)*Table_NFI[[#This Row],[Winter Items Other]],Table_NFI[Winter Items Other])</f>
        <v>0</v>
      </c>
      <c r="AL747" s="294">
        <f>IF(NFI_Expiration=1,IF($A747&lt;VLOOKUP(M$5,NFI,5,0),1,0)*Table_NFI[[#This Row],[Winter Blanket]],Table_NFI[[#This Row],[Winter Blanket]])</f>
        <v>0</v>
      </c>
      <c r="AM747" s="294">
        <f>IF(Table_NFI[[#This Row],[Winter Clothes Adult]]+Table_NFI[[#This Row],[Winter Clothes Children]]+Table_NFI[[#This Row],[Winter Items Other]]+Table_NFI[[#This Row],[Winter Blanket]]&gt;0,1,0)</f>
        <v>0</v>
      </c>
      <c r="AN747" s="331">
        <f>IF(NFI_Expiration=1,IF($A747&lt;VLOOKUP(V$5,NFI,5,0),1,0)*Table_NFI[[#This Row],[Jerry Can]],Table_NFI[Jerry Can])</f>
        <v>0</v>
      </c>
      <c r="AO747" s="331">
        <f>IF(NFI_Expiration=1,IF($A747&lt;VLOOKUP(V$5,NFI,5,0),1,0)*Table_NFI[[#This Row],[Shelter Tool kit]],Table_NFI[Shelter Tool kit])</f>
        <v>0</v>
      </c>
      <c r="AP747" s="331">
        <f>IF(NFI_Expiration=1,IF($A747&lt;VLOOKUP(V$5,NFI,5,0),1,0)*Table_NFI[[#This Row],[Tent]],Table_NFI[Tent])</f>
        <v>0</v>
      </c>
      <c r="AQ747" s="467" t="str">
        <f>IFERROR(VLOOKUP(Table_NFI[[#This Row],[Camp Name]],CL,2,0),"")</f>
        <v>MMR001CMP201</v>
      </c>
      <c r="AR747" s="835">
        <f ca="1">IF(Table_NFI[[#This Row],[Pcode]]="","",IF(OFFSET(CampList[Opening Date],MATCH(Table_NFI[[#This Row],[Pcode]],CampList[CP_Pcode],0)-1,0,1,1)&gt;=NFI_Monitor_Date,1,0))</f>
        <v>0</v>
      </c>
      <c r="AS747" s="467" t="str">
        <f>IFERROR(VLOOKUP(Table_NFI[[#This Row],[Camp Name]],CL,3,0),"")</f>
        <v>Closed</v>
      </c>
      <c r="AT747" s="294" t="str">
        <f ca="1">IF(Table_NFI[[#This Row],[Pcode]]="","",OFFSET(CampList[Priority],MATCH(Table_NFI[[#This Row],[Pcode]],CampList[CP_Pcode],0)-1,0,1,1))</f>
        <v/>
      </c>
      <c r="AU747" s="293" t="str">
        <f>IFERROR(Table_NFI[[#This Row],[Kitchen Set]]/VLOOKUP(Table_NFI[[#This Row],[Camp Name]],CL,4,0),"")</f>
        <v/>
      </c>
      <c r="AV747" s="461" t="s">
        <v>1092</v>
      </c>
      <c r="AW747" s="463"/>
    </row>
    <row r="748" spans="1:49" ht="14.45" customHeight="1" x14ac:dyDescent="0.25">
      <c r="A748" s="297">
        <f t="shared" si="11"/>
        <v>47.033333333333331</v>
      </c>
      <c r="B748" s="460">
        <v>41325</v>
      </c>
      <c r="C748" s="461" t="s">
        <v>452</v>
      </c>
      <c r="D748" s="461" t="s">
        <v>452</v>
      </c>
      <c r="E748" s="461" t="s">
        <v>380</v>
      </c>
      <c r="F748" s="461" t="s">
        <v>527</v>
      </c>
      <c r="G748" s="290" t="s">
        <v>140</v>
      </c>
      <c r="H748" s="291"/>
      <c r="I748" s="291"/>
      <c r="J748" s="291">
        <v>46</v>
      </c>
      <c r="K748" s="291">
        <v>0</v>
      </c>
      <c r="L748" s="292">
        <v>0</v>
      </c>
      <c r="M748" s="292">
        <v>0</v>
      </c>
      <c r="N748" s="292">
        <v>0</v>
      </c>
      <c r="O748" s="292">
        <v>0</v>
      </c>
      <c r="P748" s="294"/>
      <c r="Q748" s="294"/>
      <c r="R748" s="294"/>
      <c r="S748" s="294"/>
      <c r="T748" s="294"/>
      <c r="U748" s="294"/>
      <c r="V748" s="431"/>
      <c r="W748" s="294"/>
      <c r="X748" s="294"/>
      <c r="Y748" s="294">
        <f>IF(NFI_Expiration=1,IF($A748&lt;VLOOKUP(H$5,NFI,5,0),1,0)*Table_NFI[[#This Row],[Hygiene Kit]],Table_NFI[Hygiene Kit])</f>
        <v>0</v>
      </c>
      <c r="Z748" s="294">
        <f>IF(NFI_Expiration=1,IF($A748&lt;VLOOKUP(I$5,NFI,5,0),1,0)*Table_NFI[[#This Row],[NFI Core Kit]],Table_NFI[NFI Core Kit])</f>
        <v>0</v>
      </c>
      <c r="AA748" s="294">
        <f>IF(NFI_Expiration=1,IF($A748&lt;VLOOKUP(J$5,NFI,5,0),1,0)*Table_NFI[[#This Row],[Sanitary Kit]],Table_NFI[Sanitary Kit])</f>
        <v>0</v>
      </c>
      <c r="AB748" s="294">
        <f>IF(NFI_Expiration=1,IF($A748&lt;VLOOKUP(K$5,NFI,5,0),1,0)*Table_NFI[[#This Row],[Mosquito net]],Table_NFI[Mosquito net])</f>
        <v>0</v>
      </c>
      <c r="AC748" s="294">
        <f>IF(NFI_Expiration=1,IF($A748&lt;VLOOKUP(L$5,NFI,5,0),1,0)*Table_NFI[[#This Row],[Tarpaulin]],Table_NFI[[#This Row],[Tarpaulin]])</f>
        <v>0</v>
      </c>
      <c r="AD748" s="294">
        <f>IF(NFI_Expiration=1,IF($A748&lt;VLOOKUP(M$5,NFI,5,0),1,0)*Table_NFI[[#This Row],[Blanket]],Table_NFI[[#This Row],[Blanket]])</f>
        <v>0</v>
      </c>
      <c r="AE748" s="294">
        <f>IF(NFI_Expiration=1,IF($A748&lt;VLOOKUP(N$5,NFI,5,0),1,0)*Table_NFI[[#This Row],[Kitchen Set]],Table_NFI[Kitchen Set])</f>
        <v>0</v>
      </c>
      <c r="AF748" s="294">
        <f>IF(NFI_Expiration=1,IF($A748&lt;VLOOKUP(O$5,NFI,5,0),1,0)*Table_NFI[[#This Row],[Clothes Kit]],Table_NFI[Clothes Kit])</f>
        <v>0</v>
      </c>
      <c r="AG748" s="294">
        <f>IF(NFI_Expiration=1,IF($A748&lt;VLOOKUP(P$5,NFI,5,0),1,0)*Table_NFI[[#This Row],[Plastic Bucket]],Table_NFI[Plastic Bucket])</f>
        <v>0</v>
      </c>
      <c r="AH748" s="294">
        <f>IF(NFI_Expiration=1,IF($A748&lt;VLOOKUP(Q$5,NFI,5,0),1,0)*Table_NFI[[#This Row],[Plastic Mat]],Table_NFI[Plastic Mat])*IF(Table_NFI[[#This Row],[Distribution Date]]&gt;"2014-04-01",1,2.5)</f>
        <v>0</v>
      </c>
      <c r="AI748" s="294">
        <f>IF(NFI_Expiration=1,IF($A748&lt;VLOOKUP(R$5,NFI,5,0),1,0)*Table_NFI[[#This Row],[Winter Clothes Adult]],Table_NFI[Winter Clothes Adult])</f>
        <v>0</v>
      </c>
      <c r="AJ748" s="294">
        <f>IF(NFI_Expiration=1,IF($A748&lt;VLOOKUP(S$5,NFI,5,0),1,0)*Table_NFI[[#This Row],[Winter Clothes Children]],Table_NFI[Winter Clothes Children])</f>
        <v>0</v>
      </c>
      <c r="AK748" s="294">
        <f>IF(NFI_Expiration=1,IF($A748&lt;VLOOKUP(T$5,NFI,5,0),1,0)*Table_NFI[[#This Row],[Winter Items Other]],Table_NFI[Winter Items Other])</f>
        <v>0</v>
      </c>
      <c r="AL748" s="294">
        <f>IF(NFI_Expiration=1,IF($A748&lt;VLOOKUP(M$5,NFI,5,0),1,0)*Table_NFI[[#This Row],[Winter Blanket]],Table_NFI[[#This Row],[Winter Blanket]])</f>
        <v>0</v>
      </c>
      <c r="AM748" s="294">
        <f>IF(Table_NFI[[#This Row],[Winter Clothes Adult]]+Table_NFI[[#This Row],[Winter Clothes Children]]+Table_NFI[[#This Row],[Winter Items Other]]+Table_NFI[[#This Row],[Winter Blanket]]&gt;0,1,0)</f>
        <v>0</v>
      </c>
      <c r="AN748" s="331">
        <f>IF(NFI_Expiration=1,IF($A748&lt;VLOOKUP(V$5,NFI,5,0),1,0)*Table_NFI[[#This Row],[Jerry Can]],Table_NFI[Jerry Can])</f>
        <v>0</v>
      </c>
      <c r="AO748" s="331">
        <f>IF(NFI_Expiration=1,IF($A748&lt;VLOOKUP(V$5,NFI,5,0),1,0)*Table_NFI[[#This Row],[Shelter Tool kit]],Table_NFI[Shelter Tool kit])</f>
        <v>0</v>
      </c>
      <c r="AP748" s="331">
        <f>IF(NFI_Expiration=1,IF($A748&lt;VLOOKUP(V$5,NFI,5,0),1,0)*Table_NFI[[#This Row],[Tent]],Table_NFI[Tent])</f>
        <v>0</v>
      </c>
      <c r="AQ748" s="467" t="str">
        <f>IFERROR(VLOOKUP(Table_NFI[[#This Row],[Camp Name]],CL,2,0),"")</f>
        <v>MMR001CMP105</v>
      </c>
      <c r="AR748" s="835">
        <f ca="1">IF(Table_NFI[[#This Row],[Pcode]]="","",IF(OFFSET(CampList[Opening Date],MATCH(Table_NFI[[#This Row],[Pcode]],CampList[CP_Pcode],0)-1,0,1,1)&gt;=NFI_Monitor_Date,1,0))</f>
        <v>0</v>
      </c>
      <c r="AS748" s="467" t="str">
        <f>IFERROR(VLOOKUP(Table_NFI[[#This Row],[Camp Name]],CL,3,0),"")</f>
        <v>Open</v>
      </c>
      <c r="AT748" s="294" t="str">
        <f ca="1">IF(Table_NFI[[#This Row],[Pcode]]="","",OFFSET(CampList[Priority],MATCH(Table_NFI[[#This Row],[Pcode]],CampList[CP_Pcode],0)-1,0,1,1))</f>
        <v>P4</v>
      </c>
      <c r="AU748" s="293">
        <f>IFERROR(Table_NFI[[#This Row],[Kitchen Set]]/VLOOKUP(Table_NFI[[#This Row],[Camp Name]],CL,4,0),"")</f>
        <v>0</v>
      </c>
      <c r="AV748" s="461" t="s">
        <v>1092</v>
      </c>
      <c r="AW748" s="463"/>
    </row>
    <row r="749" spans="1:49" ht="14.45" customHeight="1" x14ac:dyDescent="0.25">
      <c r="A749" s="297">
        <f t="shared" si="11"/>
        <v>47.06666666666667</v>
      </c>
      <c r="B749" s="460">
        <v>41324</v>
      </c>
      <c r="C749" s="461" t="s">
        <v>452</v>
      </c>
      <c r="D749" s="462" t="s">
        <v>452</v>
      </c>
      <c r="E749" s="461" t="s">
        <v>380</v>
      </c>
      <c r="F749" s="290" t="s">
        <v>527</v>
      </c>
      <c r="G749" s="290" t="s">
        <v>62</v>
      </c>
      <c r="H749" s="291"/>
      <c r="I749" s="291"/>
      <c r="J749" s="291">
        <v>18</v>
      </c>
      <c r="K749" s="291">
        <v>30</v>
      </c>
      <c r="L749" s="292">
        <v>17</v>
      </c>
      <c r="M749" s="292">
        <v>64</v>
      </c>
      <c r="N749" s="292">
        <v>17</v>
      </c>
      <c r="O749" s="292">
        <v>17</v>
      </c>
      <c r="P749" s="294">
        <v>17</v>
      </c>
      <c r="Q749" s="294">
        <v>17</v>
      </c>
      <c r="R749" s="294"/>
      <c r="S749" s="294"/>
      <c r="T749" s="294"/>
      <c r="U749" s="294"/>
      <c r="V749" s="431"/>
      <c r="W749" s="294"/>
      <c r="X749" s="294"/>
      <c r="Y749" s="294">
        <f>IF(NFI_Expiration=1,IF($A749&lt;VLOOKUP(H$5,NFI,5,0),1,0)*Table_NFI[[#This Row],[Hygiene Kit]],Table_NFI[Hygiene Kit])</f>
        <v>0</v>
      </c>
      <c r="Z749" s="294">
        <f>IF(NFI_Expiration=1,IF($A749&lt;VLOOKUP(I$5,NFI,5,0),1,0)*Table_NFI[[#This Row],[NFI Core Kit]],Table_NFI[NFI Core Kit])</f>
        <v>0</v>
      </c>
      <c r="AA749" s="294">
        <f>IF(NFI_Expiration=1,IF($A749&lt;VLOOKUP(J$5,NFI,5,0),1,0)*Table_NFI[[#This Row],[Sanitary Kit]],Table_NFI[Sanitary Kit])</f>
        <v>0</v>
      </c>
      <c r="AB749" s="294">
        <f>IF(NFI_Expiration=1,IF($A749&lt;VLOOKUP(K$5,NFI,5,0),1,0)*Table_NFI[[#This Row],[Mosquito net]],Table_NFI[Mosquito net])</f>
        <v>0</v>
      </c>
      <c r="AC749" s="294">
        <f>IF(NFI_Expiration=1,IF($A749&lt;VLOOKUP(L$5,NFI,5,0),1,0)*Table_NFI[[#This Row],[Tarpaulin]],Table_NFI[[#This Row],[Tarpaulin]])</f>
        <v>0</v>
      </c>
      <c r="AD749" s="294">
        <f>IF(NFI_Expiration=1,IF($A749&lt;VLOOKUP(M$5,NFI,5,0),1,0)*Table_NFI[[#This Row],[Blanket]],Table_NFI[[#This Row],[Blanket]])</f>
        <v>0</v>
      </c>
      <c r="AE749" s="294">
        <f>IF(NFI_Expiration=1,IF($A749&lt;VLOOKUP(N$5,NFI,5,0),1,0)*Table_NFI[[#This Row],[Kitchen Set]],Table_NFI[Kitchen Set])</f>
        <v>0</v>
      </c>
      <c r="AF749" s="294">
        <f>IF(NFI_Expiration=1,IF($A749&lt;VLOOKUP(O$5,NFI,5,0),1,0)*Table_NFI[[#This Row],[Clothes Kit]],Table_NFI[Clothes Kit])</f>
        <v>0</v>
      </c>
      <c r="AG749" s="294">
        <f>IF(NFI_Expiration=1,IF($A749&lt;VLOOKUP(P$5,NFI,5,0),1,0)*Table_NFI[[#This Row],[Plastic Bucket]],Table_NFI[Plastic Bucket])</f>
        <v>0</v>
      </c>
      <c r="AH749" s="294">
        <f>IF(NFI_Expiration=1,IF($A749&lt;VLOOKUP(Q$5,NFI,5,0),1,0)*Table_NFI[[#This Row],[Plastic Mat]],Table_NFI[Plastic Mat])*IF(Table_NFI[[#This Row],[Distribution Date]]&gt;"2014-04-01",1,2.5)</f>
        <v>0</v>
      </c>
      <c r="AI749" s="294">
        <f>IF(NFI_Expiration=1,IF($A749&lt;VLOOKUP(R$5,NFI,5,0),1,0)*Table_NFI[[#This Row],[Winter Clothes Adult]],Table_NFI[Winter Clothes Adult])</f>
        <v>0</v>
      </c>
      <c r="AJ749" s="294">
        <f>IF(NFI_Expiration=1,IF($A749&lt;VLOOKUP(S$5,NFI,5,0),1,0)*Table_NFI[[#This Row],[Winter Clothes Children]],Table_NFI[Winter Clothes Children])</f>
        <v>0</v>
      </c>
      <c r="AK749" s="294">
        <f>IF(NFI_Expiration=1,IF($A749&lt;VLOOKUP(T$5,NFI,5,0),1,0)*Table_NFI[[#This Row],[Winter Items Other]],Table_NFI[Winter Items Other])</f>
        <v>0</v>
      </c>
      <c r="AL749" s="294">
        <f>IF(NFI_Expiration=1,IF($A749&lt;VLOOKUP(M$5,NFI,5,0),1,0)*Table_NFI[[#This Row],[Winter Blanket]],Table_NFI[[#This Row],[Winter Blanket]])</f>
        <v>0</v>
      </c>
      <c r="AM749" s="294">
        <f>IF(Table_NFI[[#This Row],[Winter Clothes Adult]]+Table_NFI[[#This Row],[Winter Clothes Children]]+Table_NFI[[#This Row],[Winter Items Other]]+Table_NFI[[#This Row],[Winter Blanket]]&gt;0,1,0)</f>
        <v>0</v>
      </c>
      <c r="AN749" s="331">
        <f>IF(NFI_Expiration=1,IF($A749&lt;VLOOKUP(V$5,NFI,5,0),1,0)*Table_NFI[[#This Row],[Jerry Can]],Table_NFI[Jerry Can])</f>
        <v>0</v>
      </c>
      <c r="AO749" s="331">
        <f>IF(NFI_Expiration=1,IF($A749&lt;VLOOKUP(V$5,NFI,5,0),1,0)*Table_NFI[[#This Row],[Shelter Tool kit]],Table_NFI[Shelter Tool kit])</f>
        <v>0</v>
      </c>
      <c r="AP749" s="331">
        <f>IF(NFI_Expiration=1,IF($A749&lt;VLOOKUP(V$5,NFI,5,0),1,0)*Table_NFI[[#This Row],[Tent]],Table_NFI[Tent])</f>
        <v>0</v>
      </c>
      <c r="AQ749" s="467" t="str">
        <f>IFERROR(VLOOKUP(Table_NFI[[#This Row],[Camp Name]],CL,2,0),"")</f>
        <v>MMR001CMP179</v>
      </c>
      <c r="AR749" s="835">
        <f ca="1">IF(Table_NFI[[#This Row],[Pcode]]="","",IF(OFFSET(CampList[Opening Date],MATCH(Table_NFI[[#This Row],[Pcode]],CampList[CP_Pcode],0)-1,0,1,1)&gt;=NFI_Monitor_Date,1,0))</f>
        <v>0</v>
      </c>
      <c r="AS749" s="467" t="str">
        <f>IFERROR(VLOOKUP(Table_NFI[[#This Row],[Camp Name]],CL,3,0),"")</f>
        <v>Open</v>
      </c>
      <c r="AT749" s="294" t="str">
        <f ca="1">IF(Table_NFI[[#This Row],[Pcode]]="","",OFFSET(CampList[Priority],MATCH(Table_NFI[[#This Row],[Pcode]],CampList[CP_Pcode],0)-1,0,1,1))</f>
        <v>P4</v>
      </c>
      <c r="AU749" s="293">
        <f>IFERROR(Table_NFI[[#This Row],[Kitchen Set]]/VLOOKUP(Table_NFI[[#This Row],[Camp Name]],CL,4,0),"")</f>
        <v>4.1187159297395516E-4</v>
      </c>
      <c r="AV749" s="461" t="s">
        <v>1092</v>
      </c>
      <c r="AW749" s="463"/>
    </row>
    <row r="750" spans="1:49" ht="14.45" customHeight="1" x14ac:dyDescent="0.25">
      <c r="A750" s="297">
        <f t="shared" si="11"/>
        <v>47.06666666666667</v>
      </c>
      <c r="B750" s="460">
        <v>41324</v>
      </c>
      <c r="C750" s="461" t="s">
        <v>452</v>
      </c>
      <c r="D750" s="462" t="s">
        <v>452</v>
      </c>
      <c r="E750" s="461" t="s">
        <v>380</v>
      </c>
      <c r="F750" s="290" t="s">
        <v>527</v>
      </c>
      <c r="G750" s="290" t="s">
        <v>76</v>
      </c>
      <c r="H750" s="291"/>
      <c r="I750" s="291"/>
      <c r="J750" s="291">
        <v>74</v>
      </c>
      <c r="K750" s="291">
        <v>105</v>
      </c>
      <c r="L750" s="292">
        <v>59</v>
      </c>
      <c r="M750" s="292">
        <v>105</v>
      </c>
      <c r="N750" s="292">
        <v>59</v>
      </c>
      <c r="O750" s="292">
        <v>59</v>
      </c>
      <c r="P750" s="294">
        <v>59</v>
      </c>
      <c r="Q750" s="294">
        <v>59</v>
      </c>
      <c r="R750" s="294"/>
      <c r="S750" s="294"/>
      <c r="T750" s="294"/>
      <c r="U750" s="294"/>
      <c r="V750" s="431"/>
      <c r="W750" s="294"/>
      <c r="X750" s="294"/>
      <c r="Y750" s="294">
        <f>IF(NFI_Expiration=1,IF($A750&lt;VLOOKUP(H$5,NFI,5,0),1,0)*Table_NFI[[#This Row],[Hygiene Kit]],Table_NFI[Hygiene Kit])</f>
        <v>0</v>
      </c>
      <c r="Z750" s="294">
        <f>IF(NFI_Expiration=1,IF($A750&lt;VLOOKUP(I$5,NFI,5,0),1,0)*Table_NFI[[#This Row],[NFI Core Kit]],Table_NFI[NFI Core Kit])</f>
        <v>0</v>
      </c>
      <c r="AA750" s="294">
        <f>IF(NFI_Expiration=1,IF($A750&lt;VLOOKUP(J$5,NFI,5,0),1,0)*Table_NFI[[#This Row],[Sanitary Kit]],Table_NFI[Sanitary Kit])</f>
        <v>0</v>
      </c>
      <c r="AB750" s="294">
        <f>IF(NFI_Expiration=1,IF($A750&lt;VLOOKUP(K$5,NFI,5,0),1,0)*Table_NFI[[#This Row],[Mosquito net]],Table_NFI[Mosquito net])</f>
        <v>0</v>
      </c>
      <c r="AC750" s="294">
        <f>IF(NFI_Expiration=1,IF($A750&lt;VLOOKUP(L$5,NFI,5,0),1,0)*Table_NFI[[#This Row],[Tarpaulin]],Table_NFI[[#This Row],[Tarpaulin]])</f>
        <v>0</v>
      </c>
      <c r="AD750" s="294">
        <f>IF(NFI_Expiration=1,IF($A750&lt;VLOOKUP(M$5,NFI,5,0),1,0)*Table_NFI[[#This Row],[Blanket]],Table_NFI[[#This Row],[Blanket]])</f>
        <v>0</v>
      </c>
      <c r="AE750" s="294">
        <f>IF(NFI_Expiration=1,IF($A750&lt;VLOOKUP(N$5,NFI,5,0),1,0)*Table_NFI[[#This Row],[Kitchen Set]],Table_NFI[Kitchen Set])</f>
        <v>0</v>
      </c>
      <c r="AF750" s="294">
        <f>IF(NFI_Expiration=1,IF($A750&lt;VLOOKUP(O$5,NFI,5,0),1,0)*Table_NFI[[#This Row],[Clothes Kit]],Table_NFI[Clothes Kit])</f>
        <v>0</v>
      </c>
      <c r="AG750" s="294">
        <f>IF(NFI_Expiration=1,IF($A750&lt;VLOOKUP(P$5,NFI,5,0),1,0)*Table_NFI[[#This Row],[Plastic Bucket]],Table_NFI[Plastic Bucket])</f>
        <v>0</v>
      </c>
      <c r="AH750" s="294">
        <f>IF(NFI_Expiration=1,IF($A750&lt;VLOOKUP(Q$5,NFI,5,0),1,0)*Table_NFI[[#This Row],[Plastic Mat]],Table_NFI[Plastic Mat])*IF(Table_NFI[[#This Row],[Distribution Date]]&gt;"2014-04-01",1,2.5)</f>
        <v>0</v>
      </c>
      <c r="AI750" s="294">
        <f>IF(NFI_Expiration=1,IF($A750&lt;VLOOKUP(R$5,NFI,5,0),1,0)*Table_NFI[[#This Row],[Winter Clothes Adult]],Table_NFI[Winter Clothes Adult])</f>
        <v>0</v>
      </c>
      <c r="AJ750" s="294">
        <f>IF(NFI_Expiration=1,IF($A750&lt;VLOOKUP(S$5,NFI,5,0),1,0)*Table_NFI[[#This Row],[Winter Clothes Children]],Table_NFI[Winter Clothes Children])</f>
        <v>0</v>
      </c>
      <c r="AK750" s="294">
        <f>IF(NFI_Expiration=1,IF($A750&lt;VLOOKUP(T$5,NFI,5,0),1,0)*Table_NFI[[#This Row],[Winter Items Other]],Table_NFI[Winter Items Other])</f>
        <v>0</v>
      </c>
      <c r="AL750" s="294">
        <f>IF(NFI_Expiration=1,IF($A750&lt;VLOOKUP(M$5,NFI,5,0),1,0)*Table_NFI[[#This Row],[Winter Blanket]],Table_NFI[[#This Row],[Winter Blanket]])</f>
        <v>0</v>
      </c>
      <c r="AM750" s="294">
        <f>IF(Table_NFI[[#This Row],[Winter Clothes Adult]]+Table_NFI[[#This Row],[Winter Clothes Children]]+Table_NFI[[#This Row],[Winter Items Other]]+Table_NFI[[#This Row],[Winter Blanket]]&gt;0,1,0)</f>
        <v>0</v>
      </c>
      <c r="AN750" s="331">
        <f>IF(NFI_Expiration=1,IF($A750&lt;VLOOKUP(V$5,NFI,5,0),1,0)*Table_NFI[[#This Row],[Jerry Can]],Table_NFI[Jerry Can])</f>
        <v>0</v>
      </c>
      <c r="AO750" s="331">
        <f>IF(NFI_Expiration=1,IF($A750&lt;VLOOKUP(V$5,NFI,5,0),1,0)*Table_NFI[[#This Row],[Shelter Tool kit]],Table_NFI[Shelter Tool kit])</f>
        <v>0</v>
      </c>
      <c r="AP750" s="331">
        <f>IF(NFI_Expiration=1,IF($A750&lt;VLOOKUP(V$5,NFI,5,0),1,0)*Table_NFI[[#This Row],[Tent]],Table_NFI[Tent])</f>
        <v>0</v>
      </c>
      <c r="AQ750" s="467" t="str">
        <f>IFERROR(VLOOKUP(Table_NFI[[#This Row],[Camp Name]],CL,2,0),"")</f>
        <v>MMR001CMP174</v>
      </c>
      <c r="AR750" s="835">
        <f ca="1">IF(Table_NFI[[#This Row],[Pcode]]="","",IF(OFFSET(CampList[Opening Date],MATCH(Table_NFI[[#This Row],[Pcode]],CampList[CP_Pcode],0)-1,0,1,1)&gt;=NFI_Monitor_Date,1,0))</f>
        <v>0</v>
      </c>
      <c r="AS750" s="467" t="str">
        <f>IFERROR(VLOOKUP(Table_NFI[[#This Row],[Camp Name]],CL,3,0),"")</f>
        <v>Open</v>
      </c>
      <c r="AT750" s="294" t="str">
        <f ca="1">IF(Table_NFI[[#This Row],[Pcode]]="","",OFFSET(CampList[Priority],MATCH(Table_NFI[[#This Row],[Pcode]],CampList[CP_Pcode],0)-1,0,1,1))</f>
        <v>P4</v>
      </c>
      <c r="AU750" s="293">
        <f>IFERROR(Table_NFI[[#This Row],[Kitchen Set]]/VLOOKUP(Table_NFI[[#This Row],[Camp Name]],CL,4,0),"")</f>
        <v>1.4294367050272563E-3</v>
      </c>
      <c r="AV750" s="461" t="s">
        <v>1092</v>
      </c>
      <c r="AW750" s="463"/>
    </row>
    <row r="751" spans="1:49" ht="14.45" customHeight="1" x14ac:dyDescent="0.25">
      <c r="A751" s="297">
        <f t="shared" si="11"/>
        <v>47.06666666666667</v>
      </c>
      <c r="B751" s="460">
        <v>41324</v>
      </c>
      <c r="C751" s="461" t="s">
        <v>452</v>
      </c>
      <c r="D751" s="462" t="s">
        <v>452</v>
      </c>
      <c r="E751" s="461" t="s">
        <v>380</v>
      </c>
      <c r="F751" s="290" t="s">
        <v>527</v>
      </c>
      <c r="G751" s="290" t="s">
        <v>611</v>
      </c>
      <c r="H751" s="291"/>
      <c r="I751" s="291"/>
      <c r="J751" s="291">
        <v>19</v>
      </c>
      <c r="K751" s="291">
        <v>30</v>
      </c>
      <c r="L751" s="292">
        <v>18</v>
      </c>
      <c r="M751" s="292">
        <v>68</v>
      </c>
      <c r="N751" s="292">
        <v>18</v>
      </c>
      <c r="O751" s="292">
        <v>18</v>
      </c>
      <c r="P751" s="294">
        <v>18</v>
      </c>
      <c r="Q751" s="294">
        <v>18</v>
      </c>
      <c r="R751" s="294"/>
      <c r="S751" s="294"/>
      <c r="T751" s="294"/>
      <c r="U751" s="294"/>
      <c r="V751" s="431"/>
      <c r="W751" s="294"/>
      <c r="X751" s="294"/>
      <c r="Y751" s="294">
        <f>IF(NFI_Expiration=1,IF($A751&lt;VLOOKUP(H$5,NFI,5,0),1,0)*Table_NFI[[#This Row],[Hygiene Kit]],Table_NFI[Hygiene Kit])</f>
        <v>0</v>
      </c>
      <c r="Z751" s="294">
        <f>IF(NFI_Expiration=1,IF($A751&lt;VLOOKUP(I$5,NFI,5,0),1,0)*Table_NFI[[#This Row],[NFI Core Kit]],Table_NFI[NFI Core Kit])</f>
        <v>0</v>
      </c>
      <c r="AA751" s="294">
        <f>IF(NFI_Expiration=1,IF($A751&lt;VLOOKUP(J$5,NFI,5,0),1,0)*Table_NFI[[#This Row],[Sanitary Kit]],Table_NFI[Sanitary Kit])</f>
        <v>0</v>
      </c>
      <c r="AB751" s="294">
        <f>IF(NFI_Expiration=1,IF($A751&lt;VLOOKUP(K$5,NFI,5,0),1,0)*Table_NFI[[#This Row],[Mosquito net]],Table_NFI[Mosquito net])</f>
        <v>0</v>
      </c>
      <c r="AC751" s="294">
        <f>IF(NFI_Expiration=1,IF($A751&lt;VLOOKUP(L$5,NFI,5,0),1,0)*Table_NFI[[#This Row],[Tarpaulin]],Table_NFI[[#This Row],[Tarpaulin]])</f>
        <v>0</v>
      </c>
      <c r="AD751" s="294">
        <f>IF(NFI_Expiration=1,IF($A751&lt;VLOOKUP(M$5,NFI,5,0),1,0)*Table_NFI[[#This Row],[Blanket]],Table_NFI[[#This Row],[Blanket]])</f>
        <v>0</v>
      </c>
      <c r="AE751" s="294">
        <f>IF(NFI_Expiration=1,IF($A751&lt;VLOOKUP(N$5,NFI,5,0),1,0)*Table_NFI[[#This Row],[Kitchen Set]],Table_NFI[Kitchen Set])</f>
        <v>0</v>
      </c>
      <c r="AF751" s="294">
        <f>IF(NFI_Expiration=1,IF($A751&lt;VLOOKUP(O$5,NFI,5,0),1,0)*Table_NFI[[#This Row],[Clothes Kit]],Table_NFI[Clothes Kit])</f>
        <v>0</v>
      </c>
      <c r="AG751" s="294">
        <f>IF(NFI_Expiration=1,IF($A751&lt;VLOOKUP(P$5,NFI,5,0),1,0)*Table_NFI[[#This Row],[Plastic Bucket]],Table_NFI[Plastic Bucket])</f>
        <v>0</v>
      </c>
      <c r="AH751" s="294">
        <f>IF(NFI_Expiration=1,IF($A751&lt;VLOOKUP(Q$5,NFI,5,0),1,0)*Table_NFI[[#This Row],[Plastic Mat]],Table_NFI[Plastic Mat])*IF(Table_NFI[[#This Row],[Distribution Date]]&gt;"2014-04-01",1,2.5)</f>
        <v>0</v>
      </c>
      <c r="AI751" s="294">
        <f>IF(NFI_Expiration=1,IF($A751&lt;VLOOKUP(R$5,NFI,5,0),1,0)*Table_NFI[[#This Row],[Winter Clothes Adult]],Table_NFI[Winter Clothes Adult])</f>
        <v>0</v>
      </c>
      <c r="AJ751" s="294">
        <f>IF(NFI_Expiration=1,IF($A751&lt;VLOOKUP(S$5,NFI,5,0),1,0)*Table_NFI[[#This Row],[Winter Clothes Children]],Table_NFI[Winter Clothes Children])</f>
        <v>0</v>
      </c>
      <c r="AK751" s="294">
        <f>IF(NFI_Expiration=1,IF($A751&lt;VLOOKUP(T$5,NFI,5,0),1,0)*Table_NFI[[#This Row],[Winter Items Other]],Table_NFI[Winter Items Other])</f>
        <v>0</v>
      </c>
      <c r="AL751" s="294">
        <f>IF(NFI_Expiration=1,IF($A751&lt;VLOOKUP(M$5,NFI,5,0),1,0)*Table_NFI[[#This Row],[Winter Blanket]],Table_NFI[[#This Row],[Winter Blanket]])</f>
        <v>0</v>
      </c>
      <c r="AM751" s="294">
        <f>IF(Table_NFI[[#This Row],[Winter Clothes Adult]]+Table_NFI[[#This Row],[Winter Clothes Children]]+Table_NFI[[#This Row],[Winter Items Other]]+Table_NFI[[#This Row],[Winter Blanket]]&gt;0,1,0)</f>
        <v>0</v>
      </c>
      <c r="AN751" s="331">
        <f>IF(NFI_Expiration=1,IF($A751&lt;VLOOKUP(V$5,NFI,5,0),1,0)*Table_NFI[[#This Row],[Jerry Can]],Table_NFI[Jerry Can])</f>
        <v>0</v>
      </c>
      <c r="AO751" s="331">
        <f>IF(NFI_Expiration=1,IF($A751&lt;VLOOKUP(V$5,NFI,5,0),1,0)*Table_NFI[[#This Row],[Shelter Tool kit]],Table_NFI[Shelter Tool kit])</f>
        <v>0</v>
      </c>
      <c r="AP751" s="331">
        <f>IF(NFI_Expiration=1,IF($A751&lt;VLOOKUP(V$5,NFI,5,0),1,0)*Table_NFI[[#This Row],[Tent]],Table_NFI[Tent])</f>
        <v>0</v>
      </c>
      <c r="AQ751" s="467" t="str">
        <f>IFERROR(VLOOKUP(Table_NFI[[#This Row],[Camp Name]],CL,2,0),"")</f>
        <v>MMR001CMP192</v>
      </c>
      <c r="AR751" s="835">
        <f ca="1">IF(Table_NFI[[#This Row],[Pcode]]="","",IF(OFFSET(CampList[Opening Date],MATCH(Table_NFI[[#This Row],[Pcode]],CampList[CP_Pcode],0)-1,0,1,1)&gt;=NFI_Monitor_Date,1,0))</f>
        <v>0</v>
      </c>
      <c r="AS751" s="467" t="str">
        <f>IFERROR(VLOOKUP(Table_NFI[[#This Row],[Camp Name]],CL,3,0),"")</f>
        <v>Open</v>
      </c>
      <c r="AT751" s="294" t="str">
        <f ca="1">IF(Table_NFI[[#This Row],[Pcode]]="","",OFFSET(CampList[Priority],MATCH(Table_NFI[[#This Row],[Pcode]],CampList[CP_Pcode],0)-1,0,1,1))</f>
        <v>P4</v>
      </c>
      <c r="AU751" s="293">
        <f>IFERROR(Table_NFI[[#This Row],[Kitchen Set]]/VLOOKUP(Table_NFI[[#This Row],[Camp Name]],CL,4,0),"")</f>
        <v>4.3609933373712904E-4</v>
      </c>
      <c r="AV751" s="461" t="s">
        <v>1092</v>
      </c>
      <c r="AW751" s="463"/>
    </row>
    <row r="752" spans="1:49" ht="14.45" customHeight="1" x14ac:dyDescent="0.25">
      <c r="A752" s="297">
        <f t="shared" si="11"/>
        <v>47.06666666666667</v>
      </c>
      <c r="B752" s="460">
        <v>41324</v>
      </c>
      <c r="C752" s="461" t="s">
        <v>452</v>
      </c>
      <c r="D752" s="461" t="s">
        <v>452</v>
      </c>
      <c r="E752" s="461" t="s">
        <v>380</v>
      </c>
      <c r="F752" s="461" t="s">
        <v>527</v>
      </c>
      <c r="G752" s="290" t="s">
        <v>128</v>
      </c>
      <c r="H752" s="291"/>
      <c r="I752" s="291"/>
      <c r="J752" s="291">
        <v>3</v>
      </c>
      <c r="K752" s="291">
        <v>7</v>
      </c>
      <c r="L752" s="292">
        <v>4</v>
      </c>
      <c r="M752" s="292">
        <v>7</v>
      </c>
      <c r="N752" s="292">
        <v>4</v>
      </c>
      <c r="O752" s="292">
        <v>4</v>
      </c>
      <c r="P752" s="294">
        <v>4</v>
      </c>
      <c r="Q752" s="294">
        <v>4</v>
      </c>
      <c r="R752" s="294"/>
      <c r="S752" s="294"/>
      <c r="T752" s="294"/>
      <c r="U752" s="294"/>
      <c r="V752" s="431"/>
      <c r="W752" s="294"/>
      <c r="X752" s="294"/>
      <c r="Y752" s="294">
        <f>IF(NFI_Expiration=1,IF($A752&lt;VLOOKUP(H$5,NFI,5,0),1,0)*Table_NFI[[#This Row],[Hygiene Kit]],Table_NFI[Hygiene Kit])</f>
        <v>0</v>
      </c>
      <c r="Z752" s="294">
        <f>IF(NFI_Expiration=1,IF($A752&lt;VLOOKUP(I$5,NFI,5,0),1,0)*Table_NFI[[#This Row],[NFI Core Kit]],Table_NFI[NFI Core Kit])</f>
        <v>0</v>
      </c>
      <c r="AA752" s="294">
        <f>IF(NFI_Expiration=1,IF($A752&lt;VLOOKUP(J$5,NFI,5,0),1,0)*Table_NFI[[#This Row],[Sanitary Kit]],Table_NFI[Sanitary Kit])</f>
        <v>0</v>
      </c>
      <c r="AB752" s="294">
        <f>IF(NFI_Expiration=1,IF($A752&lt;VLOOKUP(K$5,NFI,5,0),1,0)*Table_NFI[[#This Row],[Mosquito net]],Table_NFI[Mosquito net])</f>
        <v>0</v>
      </c>
      <c r="AC752" s="294">
        <f>IF(NFI_Expiration=1,IF($A752&lt;VLOOKUP(L$5,NFI,5,0),1,0)*Table_NFI[[#This Row],[Tarpaulin]],Table_NFI[[#This Row],[Tarpaulin]])</f>
        <v>0</v>
      </c>
      <c r="AD752" s="294">
        <f>IF(NFI_Expiration=1,IF($A752&lt;VLOOKUP(M$5,NFI,5,0),1,0)*Table_NFI[[#This Row],[Blanket]],Table_NFI[[#This Row],[Blanket]])</f>
        <v>0</v>
      </c>
      <c r="AE752" s="294">
        <f>IF(NFI_Expiration=1,IF($A752&lt;VLOOKUP(N$5,NFI,5,0),1,0)*Table_NFI[[#This Row],[Kitchen Set]],Table_NFI[Kitchen Set])</f>
        <v>0</v>
      </c>
      <c r="AF752" s="294">
        <f>IF(NFI_Expiration=1,IF($A752&lt;VLOOKUP(O$5,NFI,5,0),1,0)*Table_NFI[[#This Row],[Clothes Kit]],Table_NFI[Clothes Kit])</f>
        <v>0</v>
      </c>
      <c r="AG752" s="294">
        <f>IF(NFI_Expiration=1,IF($A752&lt;VLOOKUP(P$5,NFI,5,0),1,0)*Table_NFI[[#This Row],[Plastic Bucket]],Table_NFI[Plastic Bucket])</f>
        <v>0</v>
      </c>
      <c r="AH752" s="294">
        <f>IF(NFI_Expiration=1,IF($A752&lt;VLOOKUP(Q$5,NFI,5,0),1,0)*Table_NFI[[#This Row],[Plastic Mat]],Table_NFI[Plastic Mat])*IF(Table_NFI[[#This Row],[Distribution Date]]&gt;"2014-04-01",1,2.5)</f>
        <v>0</v>
      </c>
      <c r="AI752" s="294">
        <f>IF(NFI_Expiration=1,IF($A752&lt;VLOOKUP(R$5,NFI,5,0),1,0)*Table_NFI[[#This Row],[Winter Clothes Adult]],Table_NFI[Winter Clothes Adult])</f>
        <v>0</v>
      </c>
      <c r="AJ752" s="294">
        <f>IF(NFI_Expiration=1,IF($A752&lt;VLOOKUP(S$5,NFI,5,0),1,0)*Table_NFI[[#This Row],[Winter Clothes Children]],Table_NFI[Winter Clothes Children])</f>
        <v>0</v>
      </c>
      <c r="AK752" s="294">
        <f>IF(NFI_Expiration=1,IF($A752&lt;VLOOKUP(T$5,NFI,5,0),1,0)*Table_NFI[[#This Row],[Winter Items Other]],Table_NFI[Winter Items Other])</f>
        <v>0</v>
      </c>
      <c r="AL752" s="294">
        <f>IF(NFI_Expiration=1,IF($A752&lt;VLOOKUP(M$5,NFI,5,0),1,0)*Table_NFI[[#This Row],[Winter Blanket]],Table_NFI[[#This Row],[Winter Blanket]])</f>
        <v>0</v>
      </c>
      <c r="AM752" s="294">
        <f>IF(Table_NFI[[#This Row],[Winter Clothes Adult]]+Table_NFI[[#This Row],[Winter Clothes Children]]+Table_NFI[[#This Row],[Winter Items Other]]+Table_NFI[[#This Row],[Winter Blanket]]&gt;0,1,0)</f>
        <v>0</v>
      </c>
      <c r="AN752" s="331">
        <f>IF(NFI_Expiration=1,IF($A752&lt;VLOOKUP(V$5,NFI,5,0),1,0)*Table_NFI[[#This Row],[Jerry Can]],Table_NFI[Jerry Can])</f>
        <v>0</v>
      </c>
      <c r="AO752" s="331">
        <f>IF(NFI_Expiration=1,IF($A752&lt;VLOOKUP(V$5,NFI,5,0),1,0)*Table_NFI[[#This Row],[Shelter Tool kit]],Table_NFI[Shelter Tool kit])</f>
        <v>0</v>
      </c>
      <c r="AP752" s="331">
        <f>IF(NFI_Expiration=1,IF($A752&lt;VLOOKUP(V$5,NFI,5,0),1,0)*Table_NFI[[#This Row],[Tent]],Table_NFI[Tent])</f>
        <v>0</v>
      </c>
      <c r="AQ752" s="467" t="str">
        <f>IFERROR(VLOOKUP(Table_NFI[[#This Row],[Camp Name]],CL,2,0),"")</f>
        <v>MMR001CMP171</v>
      </c>
      <c r="AR752" s="835">
        <f ca="1">IF(Table_NFI[[#This Row],[Pcode]]="","",IF(OFFSET(CampList[Opening Date],MATCH(Table_NFI[[#This Row],[Pcode]],CampList[CP_Pcode],0)-1,0,1,1)&gt;=NFI_Monitor_Date,1,0))</f>
        <v>0</v>
      </c>
      <c r="AS752" s="467" t="str">
        <f>IFERROR(VLOOKUP(Table_NFI[[#This Row],[Camp Name]],CL,3,0),"")</f>
        <v>Closed</v>
      </c>
      <c r="AT752" s="294" t="str">
        <f ca="1">IF(Table_NFI[[#This Row],[Pcode]]="","",OFFSET(CampList[Priority],MATCH(Table_NFI[[#This Row],[Pcode]],CampList[CP_Pcode],0)-1,0,1,1))</f>
        <v/>
      </c>
      <c r="AU752" s="293" t="str">
        <f>IFERROR(Table_NFI[[#This Row],[Kitchen Set]]/VLOOKUP(Table_NFI[[#This Row],[Camp Name]],CL,4,0),"")</f>
        <v/>
      </c>
      <c r="AV752" s="461" t="s">
        <v>1092</v>
      </c>
      <c r="AW752" s="463"/>
    </row>
    <row r="753" spans="1:49" x14ac:dyDescent="0.25">
      <c r="A753" s="297">
        <f t="shared" si="11"/>
        <v>47.06666666666667</v>
      </c>
      <c r="B753" s="460">
        <v>41324</v>
      </c>
      <c r="C753" s="461" t="s">
        <v>452</v>
      </c>
      <c r="D753" s="461" t="s">
        <v>452</v>
      </c>
      <c r="E753" s="461" t="s">
        <v>380</v>
      </c>
      <c r="F753" s="290" t="s">
        <v>527</v>
      </c>
      <c r="G753" s="290" t="s">
        <v>39</v>
      </c>
      <c r="H753" s="291"/>
      <c r="I753" s="291"/>
      <c r="J753" s="291">
        <v>1</v>
      </c>
      <c r="K753" s="291">
        <v>6</v>
      </c>
      <c r="L753" s="292">
        <v>3</v>
      </c>
      <c r="M753" s="292">
        <v>15</v>
      </c>
      <c r="N753" s="292">
        <v>4</v>
      </c>
      <c r="O753" s="292">
        <v>4</v>
      </c>
      <c r="P753" s="294">
        <v>4</v>
      </c>
      <c r="Q753" s="294">
        <v>4</v>
      </c>
      <c r="R753" s="294"/>
      <c r="S753" s="294"/>
      <c r="T753" s="294"/>
      <c r="U753" s="294"/>
      <c r="V753" s="431"/>
      <c r="W753" s="294"/>
      <c r="X753" s="294"/>
      <c r="Y753" s="294">
        <f>IF(NFI_Expiration=1,IF($A753&lt;VLOOKUP(H$5,NFI,5,0),1,0)*Table_NFI[[#This Row],[Hygiene Kit]],Table_NFI[Hygiene Kit])</f>
        <v>0</v>
      </c>
      <c r="Z753" s="294">
        <f>IF(NFI_Expiration=1,IF($A753&lt;VLOOKUP(I$5,NFI,5,0),1,0)*Table_NFI[[#This Row],[NFI Core Kit]],Table_NFI[NFI Core Kit])</f>
        <v>0</v>
      </c>
      <c r="AA753" s="294">
        <f>IF(NFI_Expiration=1,IF($A753&lt;VLOOKUP(J$5,NFI,5,0),1,0)*Table_NFI[[#This Row],[Sanitary Kit]],Table_NFI[Sanitary Kit])</f>
        <v>0</v>
      </c>
      <c r="AB753" s="294">
        <f>IF(NFI_Expiration=1,IF($A753&lt;VLOOKUP(K$5,NFI,5,0),1,0)*Table_NFI[[#This Row],[Mosquito net]],Table_NFI[Mosquito net])</f>
        <v>0</v>
      </c>
      <c r="AC753" s="294">
        <f>IF(NFI_Expiration=1,IF($A753&lt;VLOOKUP(L$5,NFI,5,0),1,0)*Table_NFI[[#This Row],[Tarpaulin]],Table_NFI[[#This Row],[Tarpaulin]])</f>
        <v>0</v>
      </c>
      <c r="AD753" s="294">
        <f>IF(NFI_Expiration=1,IF($A753&lt;VLOOKUP(M$5,NFI,5,0),1,0)*Table_NFI[[#This Row],[Blanket]],Table_NFI[[#This Row],[Blanket]])</f>
        <v>0</v>
      </c>
      <c r="AE753" s="294">
        <f>IF(NFI_Expiration=1,IF($A753&lt;VLOOKUP(N$5,NFI,5,0),1,0)*Table_NFI[[#This Row],[Kitchen Set]],Table_NFI[Kitchen Set])</f>
        <v>0</v>
      </c>
      <c r="AF753" s="294">
        <f>IF(NFI_Expiration=1,IF($A753&lt;VLOOKUP(O$5,NFI,5,0),1,0)*Table_NFI[[#This Row],[Clothes Kit]],Table_NFI[Clothes Kit])</f>
        <v>0</v>
      </c>
      <c r="AG753" s="294">
        <f>IF(NFI_Expiration=1,IF($A753&lt;VLOOKUP(P$5,NFI,5,0),1,0)*Table_NFI[[#This Row],[Plastic Bucket]],Table_NFI[Plastic Bucket])</f>
        <v>0</v>
      </c>
      <c r="AH753" s="294">
        <f>IF(NFI_Expiration=1,IF($A753&lt;VLOOKUP(Q$5,NFI,5,0),1,0)*Table_NFI[[#This Row],[Plastic Mat]],Table_NFI[Plastic Mat])*IF(Table_NFI[[#This Row],[Distribution Date]]&gt;"2014-04-01",1,2.5)</f>
        <v>0</v>
      </c>
      <c r="AI753" s="294">
        <f>IF(NFI_Expiration=1,IF($A753&lt;VLOOKUP(R$5,NFI,5,0),1,0)*Table_NFI[[#This Row],[Winter Clothes Adult]],Table_NFI[Winter Clothes Adult])</f>
        <v>0</v>
      </c>
      <c r="AJ753" s="294">
        <f>IF(NFI_Expiration=1,IF($A753&lt;VLOOKUP(S$5,NFI,5,0),1,0)*Table_NFI[[#This Row],[Winter Clothes Children]],Table_NFI[Winter Clothes Children])</f>
        <v>0</v>
      </c>
      <c r="AK753" s="294">
        <f>IF(NFI_Expiration=1,IF($A753&lt;VLOOKUP(T$5,NFI,5,0),1,0)*Table_NFI[[#This Row],[Winter Items Other]],Table_NFI[Winter Items Other])</f>
        <v>0</v>
      </c>
      <c r="AL753" s="294">
        <f>IF(NFI_Expiration=1,IF($A753&lt;VLOOKUP(M$5,NFI,5,0),1,0)*Table_NFI[[#This Row],[Winter Blanket]],Table_NFI[[#This Row],[Winter Blanket]])</f>
        <v>0</v>
      </c>
      <c r="AM753" s="294">
        <f>IF(Table_NFI[[#This Row],[Winter Clothes Adult]]+Table_NFI[[#This Row],[Winter Clothes Children]]+Table_NFI[[#This Row],[Winter Items Other]]+Table_NFI[[#This Row],[Winter Blanket]]&gt;0,1,0)</f>
        <v>0</v>
      </c>
      <c r="AN753" s="331">
        <f>IF(NFI_Expiration=1,IF($A753&lt;VLOOKUP(V$5,NFI,5,0),1,0)*Table_NFI[[#This Row],[Jerry Can]],Table_NFI[Jerry Can])</f>
        <v>0</v>
      </c>
      <c r="AO753" s="331">
        <f>IF(NFI_Expiration=1,IF($A753&lt;VLOOKUP(V$5,NFI,5,0),1,0)*Table_NFI[[#This Row],[Shelter Tool kit]],Table_NFI[Shelter Tool kit])</f>
        <v>0</v>
      </c>
      <c r="AP753" s="331">
        <f>IF(NFI_Expiration=1,IF($A753&lt;VLOOKUP(V$5,NFI,5,0),1,0)*Table_NFI[[#This Row],[Tent]],Table_NFI[Tent])</f>
        <v>0</v>
      </c>
      <c r="AQ753" s="467" t="str">
        <f>IFERROR(VLOOKUP(Table_NFI[[#This Row],[Camp Name]],CL,2,0),"")</f>
        <v>MMR001CMP173</v>
      </c>
      <c r="AR753" s="835">
        <f ca="1">IF(Table_NFI[[#This Row],[Pcode]]="","",IF(OFFSET(CampList[Opening Date],MATCH(Table_NFI[[#This Row],[Pcode]],CampList[CP_Pcode],0)-1,0,1,1)&gt;=NFI_Monitor_Date,1,0))</f>
        <v>0</v>
      </c>
      <c r="AS753" s="467" t="str">
        <f>IFERROR(VLOOKUP(Table_NFI[[#This Row],[Camp Name]],CL,3,0),"")</f>
        <v>Closed</v>
      </c>
      <c r="AT753" s="294" t="str">
        <f ca="1">IF(Table_NFI[[#This Row],[Pcode]]="","",OFFSET(CampList[Priority],MATCH(Table_NFI[[#This Row],[Pcode]],CampList[CP_Pcode],0)-1,0,1,1))</f>
        <v/>
      </c>
      <c r="AU753" s="293" t="str">
        <f>IFERROR(Table_NFI[[#This Row],[Kitchen Set]]/VLOOKUP(Table_NFI[[#This Row],[Camp Name]],CL,4,0),"")</f>
        <v/>
      </c>
      <c r="AV753" s="461" t="s">
        <v>1092</v>
      </c>
      <c r="AW753" s="463"/>
    </row>
    <row r="754" spans="1:49" x14ac:dyDescent="0.25">
      <c r="A754" s="297">
        <f t="shared" si="11"/>
        <v>47.06666666666667</v>
      </c>
      <c r="B754" s="460">
        <v>41324</v>
      </c>
      <c r="C754" s="461" t="s">
        <v>452</v>
      </c>
      <c r="D754" s="461" t="s">
        <v>452</v>
      </c>
      <c r="E754" s="461" t="s">
        <v>380</v>
      </c>
      <c r="F754" s="290" t="s">
        <v>527</v>
      </c>
      <c r="G754" s="290" t="s">
        <v>39</v>
      </c>
      <c r="H754" s="291"/>
      <c r="I754" s="291"/>
      <c r="J754" s="291">
        <v>92</v>
      </c>
      <c r="K754" s="291">
        <v>130</v>
      </c>
      <c r="L754" s="292">
        <v>67</v>
      </c>
      <c r="M754" s="292">
        <v>130</v>
      </c>
      <c r="N754" s="292">
        <v>67</v>
      </c>
      <c r="O754" s="292">
        <v>67</v>
      </c>
      <c r="P754" s="294">
        <v>67</v>
      </c>
      <c r="Q754" s="294">
        <v>67</v>
      </c>
      <c r="R754" s="294"/>
      <c r="S754" s="294"/>
      <c r="T754" s="294"/>
      <c r="U754" s="294"/>
      <c r="V754" s="431"/>
      <c r="W754" s="294"/>
      <c r="X754" s="294"/>
      <c r="Y754" s="294">
        <f>IF(NFI_Expiration=1,IF($A754&lt;VLOOKUP(H$5,NFI,5,0),1,0)*Table_NFI[[#This Row],[Hygiene Kit]],Table_NFI[Hygiene Kit])</f>
        <v>0</v>
      </c>
      <c r="Z754" s="294">
        <f>IF(NFI_Expiration=1,IF($A754&lt;VLOOKUP(I$5,NFI,5,0),1,0)*Table_NFI[[#This Row],[NFI Core Kit]],Table_NFI[NFI Core Kit])</f>
        <v>0</v>
      </c>
      <c r="AA754" s="294">
        <f>IF(NFI_Expiration=1,IF($A754&lt;VLOOKUP(J$5,NFI,5,0),1,0)*Table_NFI[[#This Row],[Sanitary Kit]],Table_NFI[Sanitary Kit])</f>
        <v>0</v>
      </c>
      <c r="AB754" s="294">
        <f>IF(NFI_Expiration=1,IF($A754&lt;VLOOKUP(K$5,NFI,5,0),1,0)*Table_NFI[[#This Row],[Mosquito net]],Table_NFI[Mosquito net])</f>
        <v>0</v>
      </c>
      <c r="AC754" s="294">
        <f>IF(NFI_Expiration=1,IF($A754&lt;VLOOKUP(L$5,NFI,5,0),1,0)*Table_NFI[[#This Row],[Tarpaulin]],Table_NFI[[#This Row],[Tarpaulin]])</f>
        <v>0</v>
      </c>
      <c r="AD754" s="294">
        <f>IF(NFI_Expiration=1,IF($A754&lt;VLOOKUP(M$5,NFI,5,0),1,0)*Table_NFI[[#This Row],[Blanket]],Table_NFI[[#This Row],[Blanket]])</f>
        <v>0</v>
      </c>
      <c r="AE754" s="294">
        <f>IF(NFI_Expiration=1,IF($A754&lt;VLOOKUP(N$5,NFI,5,0),1,0)*Table_NFI[[#This Row],[Kitchen Set]],Table_NFI[Kitchen Set])</f>
        <v>0</v>
      </c>
      <c r="AF754" s="294">
        <f>IF(NFI_Expiration=1,IF($A754&lt;VLOOKUP(O$5,NFI,5,0),1,0)*Table_NFI[[#This Row],[Clothes Kit]],Table_NFI[Clothes Kit])</f>
        <v>0</v>
      </c>
      <c r="AG754" s="294">
        <f>IF(NFI_Expiration=1,IF($A754&lt;VLOOKUP(P$5,NFI,5,0),1,0)*Table_NFI[[#This Row],[Plastic Bucket]],Table_NFI[Plastic Bucket])</f>
        <v>0</v>
      </c>
      <c r="AH754" s="294">
        <f>IF(NFI_Expiration=1,IF($A754&lt;VLOOKUP(Q$5,NFI,5,0),1,0)*Table_NFI[[#This Row],[Plastic Mat]],Table_NFI[Plastic Mat])*IF(Table_NFI[[#This Row],[Distribution Date]]&gt;"2014-04-01",1,2.5)</f>
        <v>0</v>
      </c>
      <c r="AI754" s="294">
        <f>IF(NFI_Expiration=1,IF($A754&lt;VLOOKUP(R$5,NFI,5,0),1,0)*Table_NFI[[#This Row],[Winter Clothes Adult]],Table_NFI[Winter Clothes Adult])</f>
        <v>0</v>
      </c>
      <c r="AJ754" s="294">
        <f>IF(NFI_Expiration=1,IF($A754&lt;VLOOKUP(S$5,NFI,5,0),1,0)*Table_NFI[[#This Row],[Winter Clothes Children]],Table_NFI[Winter Clothes Children])</f>
        <v>0</v>
      </c>
      <c r="AK754" s="294">
        <f>IF(NFI_Expiration=1,IF($A754&lt;VLOOKUP(T$5,NFI,5,0),1,0)*Table_NFI[[#This Row],[Winter Items Other]],Table_NFI[Winter Items Other])</f>
        <v>0</v>
      </c>
      <c r="AL754" s="294">
        <f>IF(NFI_Expiration=1,IF($A754&lt;VLOOKUP(M$5,NFI,5,0),1,0)*Table_NFI[[#This Row],[Winter Blanket]],Table_NFI[[#This Row],[Winter Blanket]])</f>
        <v>0</v>
      </c>
      <c r="AM754" s="294">
        <f>IF(Table_NFI[[#This Row],[Winter Clothes Adult]]+Table_NFI[[#This Row],[Winter Clothes Children]]+Table_NFI[[#This Row],[Winter Items Other]]+Table_NFI[[#This Row],[Winter Blanket]]&gt;0,1,0)</f>
        <v>0</v>
      </c>
      <c r="AN754" s="331">
        <f>IF(NFI_Expiration=1,IF($A754&lt;VLOOKUP(V$5,NFI,5,0),1,0)*Table_NFI[[#This Row],[Jerry Can]],Table_NFI[Jerry Can])</f>
        <v>0</v>
      </c>
      <c r="AO754" s="331">
        <f>IF(NFI_Expiration=1,IF($A754&lt;VLOOKUP(V$5,NFI,5,0),1,0)*Table_NFI[[#This Row],[Shelter Tool kit]],Table_NFI[Shelter Tool kit])</f>
        <v>0</v>
      </c>
      <c r="AP754" s="331">
        <f>IF(NFI_Expiration=1,IF($A754&lt;VLOOKUP(V$5,NFI,5,0),1,0)*Table_NFI[[#This Row],[Tent]],Table_NFI[Tent])</f>
        <v>0</v>
      </c>
      <c r="AQ754" s="467" t="str">
        <f>IFERROR(VLOOKUP(Table_NFI[[#This Row],[Camp Name]],CL,2,0),"")</f>
        <v>MMR001CMP173</v>
      </c>
      <c r="AR754" s="835">
        <f ca="1">IF(Table_NFI[[#This Row],[Pcode]]="","",IF(OFFSET(CampList[Opening Date],MATCH(Table_NFI[[#This Row],[Pcode]],CampList[CP_Pcode],0)-1,0,1,1)&gt;=NFI_Monitor_Date,1,0))</f>
        <v>0</v>
      </c>
      <c r="AS754" s="467" t="str">
        <f>IFERROR(VLOOKUP(Table_NFI[[#This Row],[Camp Name]],CL,3,0),"")</f>
        <v>Closed</v>
      </c>
      <c r="AT754" s="294" t="str">
        <f ca="1">IF(Table_NFI[[#This Row],[Pcode]]="","",OFFSET(CampList[Priority],MATCH(Table_NFI[[#This Row],[Pcode]],CampList[CP_Pcode],0)-1,0,1,1))</f>
        <v/>
      </c>
      <c r="AU754" s="293" t="str">
        <f>IFERROR(Table_NFI[[#This Row],[Kitchen Set]]/VLOOKUP(Table_NFI[[#This Row],[Camp Name]],CL,4,0),"")</f>
        <v/>
      </c>
      <c r="AV754" s="461" t="s">
        <v>1092</v>
      </c>
      <c r="AW754" s="463"/>
    </row>
    <row r="755" spans="1:49" ht="14.45" customHeight="1" x14ac:dyDescent="0.25">
      <c r="A755" s="297">
        <f t="shared" si="11"/>
        <v>47.06666666666667</v>
      </c>
      <c r="B755" s="460">
        <v>41324</v>
      </c>
      <c r="C755" s="461" t="s">
        <v>452</v>
      </c>
      <c r="D755" s="462" t="s">
        <v>452</v>
      </c>
      <c r="E755" s="461" t="s">
        <v>380</v>
      </c>
      <c r="F755" s="290" t="s">
        <v>527</v>
      </c>
      <c r="G755" s="290" t="s">
        <v>48</v>
      </c>
      <c r="H755" s="291"/>
      <c r="I755" s="291"/>
      <c r="J755" s="291">
        <v>8</v>
      </c>
      <c r="K755" s="291">
        <v>16</v>
      </c>
      <c r="L755" s="292">
        <v>8</v>
      </c>
      <c r="M755" s="292">
        <v>16</v>
      </c>
      <c r="N755" s="292">
        <v>8</v>
      </c>
      <c r="O755" s="292">
        <v>8</v>
      </c>
      <c r="P755" s="294">
        <v>8</v>
      </c>
      <c r="Q755" s="294">
        <v>8</v>
      </c>
      <c r="R755" s="294"/>
      <c r="S755" s="294"/>
      <c r="T755" s="294"/>
      <c r="U755" s="294"/>
      <c r="V755" s="431"/>
      <c r="W755" s="294"/>
      <c r="X755" s="294"/>
      <c r="Y755" s="294">
        <f>IF(NFI_Expiration=1,IF($A755&lt;VLOOKUP(H$5,NFI,5,0),1,0)*Table_NFI[[#This Row],[Hygiene Kit]],Table_NFI[Hygiene Kit])</f>
        <v>0</v>
      </c>
      <c r="Z755" s="294">
        <f>IF(NFI_Expiration=1,IF($A755&lt;VLOOKUP(I$5,NFI,5,0),1,0)*Table_NFI[[#This Row],[NFI Core Kit]],Table_NFI[NFI Core Kit])</f>
        <v>0</v>
      </c>
      <c r="AA755" s="294">
        <f>IF(NFI_Expiration=1,IF($A755&lt;VLOOKUP(J$5,NFI,5,0),1,0)*Table_NFI[[#This Row],[Sanitary Kit]],Table_NFI[Sanitary Kit])</f>
        <v>0</v>
      </c>
      <c r="AB755" s="294">
        <f>IF(NFI_Expiration=1,IF($A755&lt;VLOOKUP(K$5,NFI,5,0),1,0)*Table_NFI[[#This Row],[Mosquito net]],Table_NFI[Mosquito net])</f>
        <v>0</v>
      </c>
      <c r="AC755" s="294">
        <f>IF(NFI_Expiration=1,IF($A755&lt;VLOOKUP(L$5,NFI,5,0),1,0)*Table_NFI[[#This Row],[Tarpaulin]],Table_NFI[[#This Row],[Tarpaulin]])</f>
        <v>0</v>
      </c>
      <c r="AD755" s="294">
        <f>IF(NFI_Expiration=1,IF($A755&lt;VLOOKUP(M$5,NFI,5,0),1,0)*Table_NFI[[#This Row],[Blanket]],Table_NFI[[#This Row],[Blanket]])</f>
        <v>0</v>
      </c>
      <c r="AE755" s="294">
        <f>IF(NFI_Expiration=1,IF($A755&lt;VLOOKUP(N$5,NFI,5,0),1,0)*Table_NFI[[#This Row],[Kitchen Set]],Table_NFI[Kitchen Set])</f>
        <v>0</v>
      </c>
      <c r="AF755" s="294">
        <f>IF(NFI_Expiration=1,IF($A755&lt;VLOOKUP(O$5,NFI,5,0),1,0)*Table_NFI[[#This Row],[Clothes Kit]],Table_NFI[Clothes Kit])</f>
        <v>0</v>
      </c>
      <c r="AG755" s="294">
        <f>IF(NFI_Expiration=1,IF($A755&lt;VLOOKUP(P$5,NFI,5,0),1,0)*Table_NFI[[#This Row],[Plastic Bucket]],Table_NFI[Plastic Bucket])</f>
        <v>0</v>
      </c>
      <c r="AH755" s="294">
        <f>IF(NFI_Expiration=1,IF($A755&lt;VLOOKUP(Q$5,NFI,5,0),1,0)*Table_NFI[[#This Row],[Plastic Mat]],Table_NFI[Plastic Mat])*IF(Table_NFI[[#This Row],[Distribution Date]]&gt;"2014-04-01",1,2.5)</f>
        <v>0</v>
      </c>
      <c r="AI755" s="294">
        <f>IF(NFI_Expiration=1,IF($A755&lt;VLOOKUP(R$5,NFI,5,0),1,0)*Table_NFI[[#This Row],[Winter Clothes Adult]],Table_NFI[Winter Clothes Adult])</f>
        <v>0</v>
      </c>
      <c r="AJ755" s="294">
        <f>IF(NFI_Expiration=1,IF($A755&lt;VLOOKUP(S$5,NFI,5,0),1,0)*Table_NFI[[#This Row],[Winter Clothes Children]],Table_NFI[Winter Clothes Children])</f>
        <v>0</v>
      </c>
      <c r="AK755" s="294">
        <f>IF(NFI_Expiration=1,IF($A755&lt;VLOOKUP(T$5,NFI,5,0),1,0)*Table_NFI[[#This Row],[Winter Items Other]],Table_NFI[Winter Items Other])</f>
        <v>0</v>
      </c>
      <c r="AL755" s="294">
        <f>IF(NFI_Expiration=1,IF($A755&lt;VLOOKUP(M$5,NFI,5,0),1,0)*Table_NFI[[#This Row],[Winter Blanket]],Table_NFI[[#This Row],[Winter Blanket]])</f>
        <v>0</v>
      </c>
      <c r="AM755" s="294">
        <f>IF(Table_NFI[[#This Row],[Winter Clothes Adult]]+Table_NFI[[#This Row],[Winter Clothes Children]]+Table_NFI[[#This Row],[Winter Items Other]]+Table_NFI[[#This Row],[Winter Blanket]]&gt;0,1,0)</f>
        <v>0</v>
      </c>
      <c r="AN755" s="331">
        <f>IF(NFI_Expiration=1,IF($A755&lt;VLOOKUP(V$5,NFI,5,0),1,0)*Table_NFI[[#This Row],[Jerry Can]],Table_NFI[Jerry Can])</f>
        <v>0</v>
      </c>
      <c r="AO755" s="331">
        <f>IF(NFI_Expiration=1,IF($A755&lt;VLOOKUP(V$5,NFI,5,0),1,0)*Table_NFI[[#This Row],[Shelter Tool kit]],Table_NFI[Shelter Tool kit])</f>
        <v>0</v>
      </c>
      <c r="AP755" s="331">
        <f>IF(NFI_Expiration=1,IF($A755&lt;VLOOKUP(V$5,NFI,5,0),1,0)*Table_NFI[[#This Row],[Tent]],Table_NFI[Tent])</f>
        <v>0</v>
      </c>
      <c r="AQ755" s="467" t="str">
        <f>IFERROR(VLOOKUP(Table_NFI[[#This Row],[Camp Name]],CL,2,0),"")</f>
        <v>MMR001CMP170</v>
      </c>
      <c r="AR755" s="835">
        <f ca="1">IF(Table_NFI[[#This Row],[Pcode]]="","",IF(OFFSET(CampList[Opening Date],MATCH(Table_NFI[[#This Row],[Pcode]],CampList[CP_Pcode],0)-1,0,1,1)&gt;=NFI_Monitor_Date,1,0))</f>
        <v>0</v>
      </c>
      <c r="AS755" s="467" t="str">
        <f>IFERROR(VLOOKUP(Table_NFI[[#This Row],[Camp Name]],CL,3,0),"")</f>
        <v>Closed</v>
      </c>
      <c r="AT755" s="294" t="str">
        <f ca="1">IF(Table_NFI[[#This Row],[Pcode]]="","",OFFSET(CampList[Priority],MATCH(Table_NFI[[#This Row],[Pcode]],CampList[CP_Pcode],0)-1,0,1,1))</f>
        <v/>
      </c>
      <c r="AU755" s="293" t="str">
        <f>IFERROR(Table_NFI[[#This Row],[Kitchen Set]]/VLOOKUP(Table_NFI[[#This Row],[Camp Name]],CL,4,0),"")</f>
        <v/>
      </c>
      <c r="AV755" s="461" t="s">
        <v>1092</v>
      </c>
      <c r="AW755" s="463"/>
    </row>
    <row r="756" spans="1:49" ht="14.45" customHeight="1" x14ac:dyDescent="0.25">
      <c r="A756" s="297">
        <f t="shared" si="11"/>
        <v>47.06666666666667</v>
      </c>
      <c r="B756" s="460">
        <v>41324</v>
      </c>
      <c r="C756" s="461" t="s">
        <v>452</v>
      </c>
      <c r="D756" s="462" t="s">
        <v>452</v>
      </c>
      <c r="E756" s="461" t="s">
        <v>380</v>
      </c>
      <c r="F756" s="290" t="s">
        <v>527</v>
      </c>
      <c r="G756" s="290" t="s">
        <v>98</v>
      </c>
      <c r="H756" s="291"/>
      <c r="I756" s="291"/>
      <c r="J756" s="291">
        <v>9</v>
      </c>
      <c r="K756" s="291">
        <v>21</v>
      </c>
      <c r="L756" s="292">
        <v>9</v>
      </c>
      <c r="M756" s="292">
        <v>21</v>
      </c>
      <c r="N756" s="292">
        <v>9</v>
      </c>
      <c r="O756" s="292">
        <v>9</v>
      </c>
      <c r="P756" s="294">
        <v>9</v>
      </c>
      <c r="Q756" s="294">
        <v>9</v>
      </c>
      <c r="R756" s="294"/>
      <c r="S756" s="294"/>
      <c r="T756" s="294"/>
      <c r="U756" s="294"/>
      <c r="V756" s="431"/>
      <c r="W756" s="294"/>
      <c r="X756" s="294"/>
      <c r="Y756" s="294">
        <f>IF(NFI_Expiration=1,IF($A756&lt;VLOOKUP(H$5,NFI,5,0),1,0)*Table_NFI[[#This Row],[Hygiene Kit]],Table_NFI[Hygiene Kit])</f>
        <v>0</v>
      </c>
      <c r="Z756" s="294">
        <f>IF(NFI_Expiration=1,IF($A756&lt;VLOOKUP(I$5,NFI,5,0),1,0)*Table_NFI[[#This Row],[NFI Core Kit]],Table_NFI[NFI Core Kit])</f>
        <v>0</v>
      </c>
      <c r="AA756" s="294">
        <f>IF(NFI_Expiration=1,IF($A756&lt;VLOOKUP(J$5,NFI,5,0),1,0)*Table_NFI[[#This Row],[Sanitary Kit]],Table_NFI[Sanitary Kit])</f>
        <v>0</v>
      </c>
      <c r="AB756" s="294">
        <f>IF(NFI_Expiration=1,IF($A756&lt;VLOOKUP(K$5,NFI,5,0),1,0)*Table_NFI[[#This Row],[Mosquito net]],Table_NFI[Mosquito net])</f>
        <v>0</v>
      </c>
      <c r="AC756" s="294">
        <f>IF(NFI_Expiration=1,IF($A756&lt;VLOOKUP(L$5,NFI,5,0),1,0)*Table_NFI[[#This Row],[Tarpaulin]],Table_NFI[[#This Row],[Tarpaulin]])</f>
        <v>0</v>
      </c>
      <c r="AD756" s="294">
        <f>IF(NFI_Expiration=1,IF($A756&lt;VLOOKUP(M$5,NFI,5,0),1,0)*Table_NFI[[#This Row],[Blanket]],Table_NFI[[#This Row],[Blanket]])</f>
        <v>0</v>
      </c>
      <c r="AE756" s="294">
        <f>IF(NFI_Expiration=1,IF($A756&lt;VLOOKUP(N$5,NFI,5,0),1,0)*Table_NFI[[#This Row],[Kitchen Set]],Table_NFI[Kitchen Set])</f>
        <v>0</v>
      </c>
      <c r="AF756" s="294">
        <f>IF(NFI_Expiration=1,IF($A756&lt;VLOOKUP(O$5,NFI,5,0),1,0)*Table_NFI[[#This Row],[Clothes Kit]],Table_NFI[Clothes Kit])</f>
        <v>0</v>
      </c>
      <c r="AG756" s="294">
        <f>IF(NFI_Expiration=1,IF($A756&lt;VLOOKUP(P$5,NFI,5,0),1,0)*Table_NFI[[#This Row],[Plastic Bucket]],Table_NFI[Plastic Bucket])</f>
        <v>0</v>
      </c>
      <c r="AH756" s="294">
        <f>IF(NFI_Expiration=1,IF($A756&lt;VLOOKUP(Q$5,NFI,5,0),1,0)*Table_NFI[[#This Row],[Plastic Mat]],Table_NFI[Plastic Mat])*IF(Table_NFI[[#This Row],[Distribution Date]]&gt;"2014-04-01",1,2.5)</f>
        <v>0</v>
      </c>
      <c r="AI756" s="294">
        <f>IF(NFI_Expiration=1,IF($A756&lt;VLOOKUP(R$5,NFI,5,0),1,0)*Table_NFI[[#This Row],[Winter Clothes Adult]],Table_NFI[Winter Clothes Adult])</f>
        <v>0</v>
      </c>
      <c r="AJ756" s="294">
        <f>IF(NFI_Expiration=1,IF($A756&lt;VLOOKUP(S$5,NFI,5,0),1,0)*Table_NFI[[#This Row],[Winter Clothes Children]],Table_NFI[Winter Clothes Children])</f>
        <v>0</v>
      </c>
      <c r="AK756" s="294">
        <f>IF(NFI_Expiration=1,IF($A756&lt;VLOOKUP(T$5,NFI,5,0),1,0)*Table_NFI[[#This Row],[Winter Items Other]],Table_NFI[Winter Items Other])</f>
        <v>0</v>
      </c>
      <c r="AL756" s="294">
        <f>IF(NFI_Expiration=1,IF($A756&lt;VLOOKUP(M$5,NFI,5,0),1,0)*Table_NFI[[#This Row],[Winter Blanket]],Table_NFI[[#This Row],[Winter Blanket]])</f>
        <v>0</v>
      </c>
      <c r="AM756" s="294">
        <f>IF(Table_NFI[[#This Row],[Winter Clothes Adult]]+Table_NFI[[#This Row],[Winter Clothes Children]]+Table_NFI[[#This Row],[Winter Items Other]]+Table_NFI[[#This Row],[Winter Blanket]]&gt;0,1,0)</f>
        <v>0</v>
      </c>
      <c r="AN756" s="331">
        <f>IF(NFI_Expiration=1,IF($A756&lt;VLOOKUP(V$5,NFI,5,0),1,0)*Table_NFI[[#This Row],[Jerry Can]],Table_NFI[Jerry Can])</f>
        <v>0</v>
      </c>
      <c r="AO756" s="331">
        <f>IF(NFI_Expiration=1,IF($A756&lt;VLOOKUP(V$5,NFI,5,0),1,0)*Table_NFI[[#This Row],[Shelter Tool kit]],Table_NFI[Shelter Tool kit])</f>
        <v>0</v>
      </c>
      <c r="AP756" s="331">
        <f>IF(NFI_Expiration=1,IF($A756&lt;VLOOKUP(V$5,NFI,5,0),1,0)*Table_NFI[[#This Row],[Tent]],Table_NFI[Tent])</f>
        <v>0</v>
      </c>
      <c r="AQ756" s="467" t="str">
        <f>IFERROR(VLOOKUP(Table_NFI[[#This Row],[Camp Name]],CL,2,0),"")</f>
        <v>MMR001CMP178</v>
      </c>
      <c r="AR756" s="835">
        <f ca="1">IF(Table_NFI[[#This Row],[Pcode]]="","",IF(OFFSET(CampList[Opening Date],MATCH(Table_NFI[[#This Row],[Pcode]],CampList[CP_Pcode],0)-1,0,1,1)&gt;=NFI_Monitor_Date,1,0))</f>
        <v>0</v>
      </c>
      <c r="AS756" s="467" t="str">
        <f>IFERROR(VLOOKUP(Table_NFI[[#This Row],[Camp Name]],CL,3,0),"")</f>
        <v>Closed</v>
      </c>
      <c r="AT756" s="294" t="str">
        <f ca="1">IF(Table_NFI[[#This Row],[Pcode]]="","",OFFSET(CampList[Priority],MATCH(Table_NFI[[#This Row],[Pcode]],CampList[CP_Pcode],0)-1,0,1,1))</f>
        <v/>
      </c>
      <c r="AU756" s="293" t="str">
        <f>IFERROR(Table_NFI[[#This Row],[Kitchen Set]]/VLOOKUP(Table_NFI[[#This Row],[Camp Name]],CL,4,0),"")</f>
        <v/>
      </c>
      <c r="AV756" s="461" t="s">
        <v>1092</v>
      </c>
      <c r="AW756" s="463"/>
    </row>
    <row r="757" spans="1:49" ht="14.45" customHeight="1" x14ac:dyDescent="0.25">
      <c r="A757" s="297">
        <f t="shared" si="11"/>
        <v>47.06666666666667</v>
      </c>
      <c r="B757" s="460">
        <v>41324</v>
      </c>
      <c r="C757" s="461" t="s">
        <v>452</v>
      </c>
      <c r="D757" s="462" t="s">
        <v>452</v>
      </c>
      <c r="E757" s="461" t="s">
        <v>380</v>
      </c>
      <c r="F757" s="290" t="s">
        <v>527</v>
      </c>
      <c r="G757" s="290" t="s">
        <v>74</v>
      </c>
      <c r="H757" s="291"/>
      <c r="I757" s="291"/>
      <c r="J757" s="291">
        <v>2</v>
      </c>
      <c r="K757" s="291">
        <v>3</v>
      </c>
      <c r="L757" s="292">
        <v>2</v>
      </c>
      <c r="M757" s="292">
        <v>7</v>
      </c>
      <c r="N757" s="292">
        <v>2</v>
      </c>
      <c r="O757" s="292">
        <v>2</v>
      </c>
      <c r="P757" s="294">
        <v>2</v>
      </c>
      <c r="Q757" s="294">
        <v>2</v>
      </c>
      <c r="R757" s="294"/>
      <c r="S757" s="294"/>
      <c r="T757" s="294"/>
      <c r="U757" s="294"/>
      <c r="V757" s="431"/>
      <c r="W757" s="294"/>
      <c r="X757" s="294"/>
      <c r="Y757" s="294">
        <f>IF(NFI_Expiration=1,IF($A757&lt;VLOOKUP(H$5,NFI,5,0),1,0)*Table_NFI[[#This Row],[Hygiene Kit]],Table_NFI[Hygiene Kit])</f>
        <v>0</v>
      </c>
      <c r="Z757" s="294">
        <f>IF(NFI_Expiration=1,IF($A757&lt;VLOOKUP(I$5,NFI,5,0),1,0)*Table_NFI[[#This Row],[NFI Core Kit]],Table_NFI[NFI Core Kit])</f>
        <v>0</v>
      </c>
      <c r="AA757" s="294">
        <f>IF(NFI_Expiration=1,IF($A757&lt;VLOOKUP(J$5,NFI,5,0),1,0)*Table_NFI[[#This Row],[Sanitary Kit]],Table_NFI[Sanitary Kit])</f>
        <v>0</v>
      </c>
      <c r="AB757" s="294">
        <f>IF(NFI_Expiration=1,IF($A757&lt;VLOOKUP(K$5,NFI,5,0),1,0)*Table_NFI[[#This Row],[Mosquito net]],Table_NFI[Mosquito net])</f>
        <v>0</v>
      </c>
      <c r="AC757" s="294">
        <f>IF(NFI_Expiration=1,IF($A757&lt;VLOOKUP(L$5,NFI,5,0),1,0)*Table_NFI[[#This Row],[Tarpaulin]],Table_NFI[[#This Row],[Tarpaulin]])</f>
        <v>0</v>
      </c>
      <c r="AD757" s="294">
        <f>IF(NFI_Expiration=1,IF($A757&lt;VLOOKUP(M$5,NFI,5,0),1,0)*Table_NFI[[#This Row],[Blanket]],Table_NFI[[#This Row],[Blanket]])</f>
        <v>0</v>
      </c>
      <c r="AE757" s="294">
        <f>IF(NFI_Expiration=1,IF($A757&lt;VLOOKUP(N$5,NFI,5,0),1,0)*Table_NFI[[#This Row],[Kitchen Set]],Table_NFI[Kitchen Set])</f>
        <v>0</v>
      </c>
      <c r="AF757" s="294">
        <f>IF(NFI_Expiration=1,IF($A757&lt;VLOOKUP(O$5,NFI,5,0),1,0)*Table_NFI[[#This Row],[Clothes Kit]],Table_NFI[Clothes Kit])</f>
        <v>0</v>
      </c>
      <c r="AG757" s="294">
        <f>IF(NFI_Expiration=1,IF($A757&lt;VLOOKUP(P$5,NFI,5,0),1,0)*Table_NFI[[#This Row],[Plastic Bucket]],Table_NFI[Plastic Bucket])</f>
        <v>0</v>
      </c>
      <c r="AH757" s="294">
        <f>IF(NFI_Expiration=1,IF($A757&lt;VLOOKUP(Q$5,NFI,5,0),1,0)*Table_NFI[[#This Row],[Plastic Mat]],Table_NFI[Plastic Mat])*IF(Table_NFI[[#This Row],[Distribution Date]]&gt;"2014-04-01",1,2.5)</f>
        <v>0</v>
      </c>
      <c r="AI757" s="294">
        <f>IF(NFI_Expiration=1,IF($A757&lt;VLOOKUP(R$5,NFI,5,0),1,0)*Table_NFI[[#This Row],[Winter Clothes Adult]],Table_NFI[Winter Clothes Adult])</f>
        <v>0</v>
      </c>
      <c r="AJ757" s="294">
        <f>IF(NFI_Expiration=1,IF($A757&lt;VLOOKUP(S$5,NFI,5,0),1,0)*Table_NFI[[#This Row],[Winter Clothes Children]],Table_NFI[Winter Clothes Children])</f>
        <v>0</v>
      </c>
      <c r="AK757" s="294">
        <f>IF(NFI_Expiration=1,IF($A757&lt;VLOOKUP(T$5,NFI,5,0),1,0)*Table_NFI[[#This Row],[Winter Items Other]],Table_NFI[Winter Items Other])</f>
        <v>0</v>
      </c>
      <c r="AL757" s="294">
        <f>IF(NFI_Expiration=1,IF($A757&lt;VLOOKUP(M$5,NFI,5,0),1,0)*Table_NFI[[#This Row],[Winter Blanket]],Table_NFI[[#This Row],[Winter Blanket]])</f>
        <v>0</v>
      </c>
      <c r="AM757" s="294">
        <f>IF(Table_NFI[[#This Row],[Winter Clothes Adult]]+Table_NFI[[#This Row],[Winter Clothes Children]]+Table_NFI[[#This Row],[Winter Items Other]]+Table_NFI[[#This Row],[Winter Blanket]]&gt;0,1,0)</f>
        <v>0</v>
      </c>
      <c r="AN757" s="331">
        <f>IF(NFI_Expiration=1,IF($A757&lt;VLOOKUP(V$5,NFI,5,0),1,0)*Table_NFI[[#This Row],[Jerry Can]],Table_NFI[Jerry Can])</f>
        <v>0</v>
      </c>
      <c r="AO757" s="331">
        <f>IF(NFI_Expiration=1,IF($A757&lt;VLOOKUP(V$5,NFI,5,0),1,0)*Table_NFI[[#This Row],[Shelter Tool kit]],Table_NFI[Shelter Tool kit])</f>
        <v>0</v>
      </c>
      <c r="AP757" s="331">
        <f>IF(NFI_Expiration=1,IF($A757&lt;VLOOKUP(V$5,NFI,5,0),1,0)*Table_NFI[[#This Row],[Tent]],Table_NFI[Tent])</f>
        <v>0</v>
      </c>
      <c r="AQ757" s="467" t="str">
        <f>IFERROR(VLOOKUP(Table_NFI[[#This Row],[Camp Name]],CL,2,0),"")</f>
        <v>MMR001CMP175</v>
      </c>
      <c r="AR757" s="835">
        <f ca="1">IF(Table_NFI[[#This Row],[Pcode]]="","",IF(OFFSET(CampList[Opening Date],MATCH(Table_NFI[[#This Row],[Pcode]],CampList[CP_Pcode],0)-1,0,1,1)&gt;=NFI_Monitor_Date,1,0))</f>
        <v>0</v>
      </c>
      <c r="AS757" s="467" t="str">
        <f>IFERROR(VLOOKUP(Table_NFI[[#This Row],[Camp Name]],CL,3,0),"")</f>
        <v>Closed</v>
      </c>
      <c r="AT757" s="294" t="str">
        <f ca="1">IF(Table_NFI[[#This Row],[Pcode]]="","",OFFSET(CampList[Priority],MATCH(Table_NFI[[#This Row],[Pcode]],CampList[CP_Pcode],0)-1,0,1,1))</f>
        <v/>
      </c>
      <c r="AU757" s="293" t="str">
        <f>IFERROR(Table_NFI[[#This Row],[Kitchen Set]]/VLOOKUP(Table_NFI[[#This Row],[Camp Name]],CL,4,0),"")</f>
        <v/>
      </c>
      <c r="AV757" s="461" t="s">
        <v>1092</v>
      </c>
      <c r="AW757" s="463"/>
    </row>
    <row r="758" spans="1:49" ht="14.45" customHeight="1" x14ac:dyDescent="0.25">
      <c r="A758" s="297">
        <f t="shared" si="11"/>
        <v>47.1</v>
      </c>
      <c r="B758" s="460">
        <v>41323</v>
      </c>
      <c r="C758" s="461" t="s">
        <v>452</v>
      </c>
      <c r="D758" s="462" t="s">
        <v>452</v>
      </c>
      <c r="E758" s="461" t="s">
        <v>380</v>
      </c>
      <c r="F758" s="290" t="s">
        <v>527</v>
      </c>
      <c r="G758" s="290" t="s">
        <v>88</v>
      </c>
      <c r="H758" s="291"/>
      <c r="I758" s="291"/>
      <c r="J758" s="291">
        <v>30</v>
      </c>
      <c r="K758" s="291">
        <v>0</v>
      </c>
      <c r="L758" s="292">
        <v>0</v>
      </c>
      <c r="M758" s="292">
        <v>0</v>
      </c>
      <c r="N758" s="292">
        <v>0</v>
      </c>
      <c r="O758" s="292">
        <v>0</v>
      </c>
      <c r="P758" s="294"/>
      <c r="Q758" s="294"/>
      <c r="R758" s="294"/>
      <c r="S758" s="294"/>
      <c r="T758" s="294"/>
      <c r="U758" s="294"/>
      <c r="V758" s="431"/>
      <c r="W758" s="294"/>
      <c r="X758" s="294"/>
      <c r="Y758" s="294">
        <f>IF(NFI_Expiration=1,IF($A758&lt;VLOOKUP(H$5,NFI,5,0),1,0)*Table_NFI[[#This Row],[Hygiene Kit]],Table_NFI[Hygiene Kit])</f>
        <v>0</v>
      </c>
      <c r="Z758" s="294">
        <f>IF(NFI_Expiration=1,IF($A758&lt;VLOOKUP(I$5,NFI,5,0),1,0)*Table_NFI[[#This Row],[NFI Core Kit]],Table_NFI[NFI Core Kit])</f>
        <v>0</v>
      </c>
      <c r="AA758" s="294">
        <f>IF(NFI_Expiration=1,IF($A758&lt;VLOOKUP(J$5,NFI,5,0),1,0)*Table_NFI[[#This Row],[Sanitary Kit]],Table_NFI[Sanitary Kit])</f>
        <v>0</v>
      </c>
      <c r="AB758" s="294">
        <f>IF(NFI_Expiration=1,IF($A758&lt;VLOOKUP(K$5,NFI,5,0),1,0)*Table_NFI[[#This Row],[Mosquito net]],Table_NFI[Mosquito net])</f>
        <v>0</v>
      </c>
      <c r="AC758" s="294">
        <f>IF(NFI_Expiration=1,IF($A758&lt;VLOOKUP(L$5,NFI,5,0),1,0)*Table_NFI[[#This Row],[Tarpaulin]],Table_NFI[[#This Row],[Tarpaulin]])</f>
        <v>0</v>
      </c>
      <c r="AD758" s="294">
        <f>IF(NFI_Expiration=1,IF($A758&lt;VLOOKUP(M$5,NFI,5,0),1,0)*Table_NFI[[#This Row],[Blanket]],Table_NFI[[#This Row],[Blanket]])</f>
        <v>0</v>
      </c>
      <c r="AE758" s="294">
        <f>IF(NFI_Expiration=1,IF($A758&lt;VLOOKUP(N$5,NFI,5,0),1,0)*Table_NFI[[#This Row],[Kitchen Set]],Table_NFI[Kitchen Set])</f>
        <v>0</v>
      </c>
      <c r="AF758" s="294">
        <f>IF(NFI_Expiration=1,IF($A758&lt;VLOOKUP(O$5,NFI,5,0),1,0)*Table_NFI[[#This Row],[Clothes Kit]],Table_NFI[Clothes Kit])</f>
        <v>0</v>
      </c>
      <c r="AG758" s="294">
        <f>IF(NFI_Expiration=1,IF($A758&lt;VLOOKUP(P$5,NFI,5,0),1,0)*Table_NFI[[#This Row],[Plastic Bucket]],Table_NFI[Plastic Bucket])</f>
        <v>0</v>
      </c>
      <c r="AH758" s="294">
        <f>IF(NFI_Expiration=1,IF($A758&lt;VLOOKUP(Q$5,NFI,5,0),1,0)*Table_NFI[[#This Row],[Plastic Mat]],Table_NFI[Plastic Mat])*IF(Table_NFI[[#This Row],[Distribution Date]]&gt;"2014-04-01",1,2.5)</f>
        <v>0</v>
      </c>
      <c r="AI758" s="294">
        <f>IF(NFI_Expiration=1,IF($A758&lt;VLOOKUP(R$5,NFI,5,0),1,0)*Table_NFI[[#This Row],[Winter Clothes Adult]],Table_NFI[Winter Clothes Adult])</f>
        <v>0</v>
      </c>
      <c r="AJ758" s="294">
        <f>IF(NFI_Expiration=1,IF($A758&lt;VLOOKUP(S$5,NFI,5,0),1,0)*Table_NFI[[#This Row],[Winter Clothes Children]],Table_NFI[Winter Clothes Children])</f>
        <v>0</v>
      </c>
      <c r="AK758" s="294">
        <f>IF(NFI_Expiration=1,IF($A758&lt;VLOOKUP(T$5,NFI,5,0),1,0)*Table_NFI[[#This Row],[Winter Items Other]],Table_NFI[Winter Items Other])</f>
        <v>0</v>
      </c>
      <c r="AL758" s="294">
        <f>IF(NFI_Expiration=1,IF($A758&lt;VLOOKUP(M$5,NFI,5,0),1,0)*Table_NFI[[#This Row],[Winter Blanket]],Table_NFI[[#This Row],[Winter Blanket]])</f>
        <v>0</v>
      </c>
      <c r="AM758" s="294">
        <f>IF(Table_NFI[[#This Row],[Winter Clothes Adult]]+Table_NFI[[#This Row],[Winter Clothes Children]]+Table_NFI[[#This Row],[Winter Items Other]]+Table_NFI[[#This Row],[Winter Blanket]]&gt;0,1,0)</f>
        <v>0</v>
      </c>
      <c r="AN758" s="331">
        <f>IF(NFI_Expiration=1,IF($A758&lt;VLOOKUP(V$5,NFI,5,0),1,0)*Table_NFI[[#This Row],[Jerry Can]],Table_NFI[Jerry Can])</f>
        <v>0</v>
      </c>
      <c r="AO758" s="331">
        <f>IF(NFI_Expiration=1,IF($A758&lt;VLOOKUP(V$5,NFI,5,0),1,0)*Table_NFI[[#This Row],[Shelter Tool kit]],Table_NFI[Shelter Tool kit])</f>
        <v>0</v>
      </c>
      <c r="AP758" s="331">
        <f>IF(NFI_Expiration=1,IF($A758&lt;VLOOKUP(V$5,NFI,5,0),1,0)*Table_NFI[[#This Row],[Tent]],Table_NFI[Tent])</f>
        <v>0</v>
      </c>
      <c r="AQ758" s="467" t="str">
        <f>IFERROR(VLOOKUP(Table_NFI[[#This Row],[Camp Name]],CL,2,0),"")</f>
        <v>MMR001CMP148</v>
      </c>
      <c r="AR758" s="835">
        <f ca="1">IF(Table_NFI[[#This Row],[Pcode]]="","",IF(OFFSET(CampList[Opening Date],MATCH(Table_NFI[[#This Row],[Pcode]],CampList[CP_Pcode],0)-1,0,1,1)&gt;=NFI_Monitor_Date,1,0))</f>
        <v>0</v>
      </c>
      <c r="AS758" s="467" t="str">
        <f>IFERROR(VLOOKUP(Table_NFI[[#This Row],[Camp Name]],CL,3,0),"")</f>
        <v>Open</v>
      </c>
      <c r="AT758" s="294" t="str">
        <f ca="1">IF(Table_NFI[[#This Row],[Pcode]]="","",OFFSET(CampList[Priority],MATCH(Table_NFI[[#This Row],[Pcode]],CampList[CP_Pcode],0)-1,0,1,1))</f>
        <v>P4</v>
      </c>
      <c r="AU758" s="293">
        <f>IFERROR(Table_NFI[[#This Row],[Kitchen Set]]/VLOOKUP(Table_NFI[[#This Row],[Camp Name]],CL,4,0),"")</f>
        <v>0</v>
      </c>
      <c r="AV758" s="461" t="s">
        <v>1092</v>
      </c>
      <c r="AW758" s="463"/>
    </row>
    <row r="759" spans="1:49" ht="14.45" customHeight="1" x14ac:dyDescent="0.25">
      <c r="A759" s="297">
        <f t="shared" si="11"/>
        <v>47.1</v>
      </c>
      <c r="B759" s="460">
        <v>41323</v>
      </c>
      <c r="C759" s="461" t="s">
        <v>452</v>
      </c>
      <c r="D759" s="462" t="s">
        <v>460</v>
      </c>
      <c r="E759" s="461" t="s">
        <v>553</v>
      </c>
      <c r="F759" s="290" t="s">
        <v>146</v>
      </c>
      <c r="G759" s="290" t="s">
        <v>369</v>
      </c>
      <c r="H759" s="291"/>
      <c r="I759" s="291"/>
      <c r="J759" s="291">
        <v>120</v>
      </c>
      <c r="K759" s="291">
        <v>120</v>
      </c>
      <c r="L759" s="292">
        <v>60</v>
      </c>
      <c r="M759" s="292">
        <v>120</v>
      </c>
      <c r="N759" s="292">
        <v>60</v>
      </c>
      <c r="O759" s="292">
        <v>60</v>
      </c>
      <c r="P759" s="294">
        <v>60</v>
      </c>
      <c r="Q759" s="294">
        <v>60</v>
      </c>
      <c r="R759" s="294"/>
      <c r="S759" s="294"/>
      <c r="T759" s="294"/>
      <c r="U759" s="294"/>
      <c r="V759" s="431"/>
      <c r="W759" s="294"/>
      <c r="X759" s="294"/>
      <c r="Y759" s="294">
        <f>IF(NFI_Expiration=1,IF($A759&lt;VLOOKUP(H$5,NFI,5,0),1,0)*Table_NFI[[#This Row],[Hygiene Kit]],Table_NFI[Hygiene Kit])</f>
        <v>0</v>
      </c>
      <c r="Z759" s="294">
        <f>IF(NFI_Expiration=1,IF($A759&lt;VLOOKUP(I$5,NFI,5,0),1,0)*Table_NFI[[#This Row],[NFI Core Kit]],Table_NFI[NFI Core Kit])</f>
        <v>0</v>
      </c>
      <c r="AA759" s="294">
        <f>IF(NFI_Expiration=1,IF($A759&lt;VLOOKUP(J$5,NFI,5,0),1,0)*Table_NFI[[#This Row],[Sanitary Kit]],Table_NFI[Sanitary Kit])</f>
        <v>0</v>
      </c>
      <c r="AB759" s="294">
        <f>IF(NFI_Expiration=1,IF($A759&lt;VLOOKUP(K$5,NFI,5,0),1,0)*Table_NFI[[#This Row],[Mosquito net]],Table_NFI[Mosquito net])</f>
        <v>0</v>
      </c>
      <c r="AC759" s="294">
        <f>IF(NFI_Expiration=1,IF($A759&lt;VLOOKUP(L$5,NFI,5,0),1,0)*Table_NFI[[#This Row],[Tarpaulin]],Table_NFI[[#This Row],[Tarpaulin]])</f>
        <v>0</v>
      </c>
      <c r="AD759" s="294">
        <f>IF(NFI_Expiration=1,IF($A759&lt;VLOOKUP(M$5,NFI,5,0),1,0)*Table_NFI[[#This Row],[Blanket]],Table_NFI[[#This Row],[Blanket]])</f>
        <v>0</v>
      </c>
      <c r="AE759" s="294">
        <f>IF(NFI_Expiration=1,IF($A759&lt;VLOOKUP(N$5,NFI,5,0),1,0)*Table_NFI[[#This Row],[Kitchen Set]],Table_NFI[Kitchen Set])</f>
        <v>0</v>
      </c>
      <c r="AF759" s="294">
        <f>IF(NFI_Expiration=1,IF($A759&lt;VLOOKUP(O$5,NFI,5,0),1,0)*Table_NFI[[#This Row],[Clothes Kit]],Table_NFI[Clothes Kit])</f>
        <v>0</v>
      </c>
      <c r="AG759" s="294">
        <f>IF(NFI_Expiration=1,IF($A759&lt;VLOOKUP(P$5,NFI,5,0),1,0)*Table_NFI[[#This Row],[Plastic Bucket]],Table_NFI[Plastic Bucket])</f>
        <v>0</v>
      </c>
      <c r="AH759" s="294">
        <f>IF(NFI_Expiration=1,IF($A759&lt;VLOOKUP(Q$5,NFI,5,0),1,0)*Table_NFI[[#This Row],[Plastic Mat]],Table_NFI[Plastic Mat])*IF(Table_NFI[[#This Row],[Distribution Date]]&gt;"2014-04-01",1,2.5)</f>
        <v>0</v>
      </c>
      <c r="AI759" s="294">
        <f>IF(NFI_Expiration=1,IF($A759&lt;VLOOKUP(R$5,NFI,5,0),1,0)*Table_NFI[[#This Row],[Winter Clothes Adult]],Table_NFI[Winter Clothes Adult])</f>
        <v>0</v>
      </c>
      <c r="AJ759" s="294">
        <f>IF(NFI_Expiration=1,IF($A759&lt;VLOOKUP(S$5,NFI,5,0),1,0)*Table_NFI[[#This Row],[Winter Clothes Children]],Table_NFI[Winter Clothes Children])</f>
        <v>0</v>
      </c>
      <c r="AK759" s="294">
        <f>IF(NFI_Expiration=1,IF($A759&lt;VLOOKUP(T$5,NFI,5,0),1,0)*Table_NFI[[#This Row],[Winter Items Other]],Table_NFI[Winter Items Other])</f>
        <v>0</v>
      </c>
      <c r="AL759" s="294">
        <f>IF(NFI_Expiration=1,IF($A759&lt;VLOOKUP(M$5,NFI,5,0),1,0)*Table_NFI[[#This Row],[Winter Blanket]],Table_NFI[[#This Row],[Winter Blanket]])</f>
        <v>0</v>
      </c>
      <c r="AM759" s="294">
        <f>IF(Table_NFI[[#This Row],[Winter Clothes Adult]]+Table_NFI[[#This Row],[Winter Clothes Children]]+Table_NFI[[#This Row],[Winter Items Other]]+Table_NFI[[#This Row],[Winter Blanket]]&gt;0,1,0)</f>
        <v>0</v>
      </c>
      <c r="AN759" s="331">
        <f>IF(NFI_Expiration=1,IF($A759&lt;VLOOKUP(V$5,NFI,5,0),1,0)*Table_NFI[[#This Row],[Jerry Can]],Table_NFI[Jerry Can])</f>
        <v>0</v>
      </c>
      <c r="AO759" s="331">
        <f>IF(NFI_Expiration=1,IF($A759&lt;VLOOKUP(V$5,NFI,5,0),1,0)*Table_NFI[[#This Row],[Shelter Tool kit]],Table_NFI[Shelter Tool kit])</f>
        <v>0</v>
      </c>
      <c r="AP759" s="331">
        <f>IF(NFI_Expiration=1,IF($A759&lt;VLOOKUP(V$5,NFI,5,0),1,0)*Table_NFI[[#This Row],[Tent]],Table_NFI[Tent])</f>
        <v>0</v>
      </c>
      <c r="AQ759" s="467" t="str">
        <f>IFERROR(VLOOKUP(Table_NFI[[#This Row],[Camp Name]],CL,2,0),"")</f>
        <v>MMR015CMP016</v>
      </c>
      <c r="AR759" s="835">
        <f ca="1">IF(Table_NFI[[#This Row],[Pcode]]="","",IF(OFFSET(CampList[Opening Date],MATCH(Table_NFI[[#This Row],[Pcode]],CampList[CP_Pcode],0)-1,0,1,1)&gt;=NFI_Monitor_Date,1,0))</f>
        <v>0</v>
      </c>
      <c r="AS759" s="467" t="str">
        <f>IFERROR(VLOOKUP(Table_NFI[[#This Row],[Camp Name]],CL,3,0),"")</f>
        <v>Open</v>
      </c>
      <c r="AT759" s="294" t="str">
        <f ca="1">IF(Table_NFI[[#This Row],[Pcode]]="","",OFFSET(CampList[Priority],MATCH(Table_NFI[[#This Row],[Pcode]],CampList[CP_Pcode],0)-1,0,1,1))</f>
        <v>P3</v>
      </c>
      <c r="AU759" s="293">
        <f>IFERROR(Table_NFI[[#This Row],[Kitchen Set]]/VLOOKUP(Table_NFI[[#This Row],[Camp Name]],CL,4,0),"")</f>
        <v>1.4547570555717194E-3</v>
      </c>
      <c r="AV759" s="461" t="s">
        <v>1092</v>
      </c>
      <c r="AW759" s="463"/>
    </row>
    <row r="760" spans="1:49" ht="14.45" customHeight="1" x14ac:dyDescent="0.25">
      <c r="A760" s="297">
        <f t="shared" si="11"/>
        <v>47.1</v>
      </c>
      <c r="B760" s="460">
        <v>41323</v>
      </c>
      <c r="C760" s="461" t="s">
        <v>452</v>
      </c>
      <c r="D760" s="461" t="s">
        <v>460</v>
      </c>
      <c r="E760" s="461" t="s">
        <v>380</v>
      </c>
      <c r="F760" s="290" t="s">
        <v>151</v>
      </c>
      <c r="G760" s="290" t="s">
        <v>160</v>
      </c>
      <c r="H760" s="291"/>
      <c r="I760" s="291"/>
      <c r="J760" s="291">
        <v>221</v>
      </c>
      <c r="K760" s="291">
        <v>221</v>
      </c>
      <c r="L760" s="292">
        <v>110</v>
      </c>
      <c r="M760" s="292">
        <v>221</v>
      </c>
      <c r="N760" s="292">
        <v>110</v>
      </c>
      <c r="O760" s="292">
        <v>110</v>
      </c>
      <c r="P760" s="294">
        <v>110</v>
      </c>
      <c r="Q760" s="294">
        <v>110</v>
      </c>
      <c r="R760" s="294"/>
      <c r="S760" s="294"/>
      <c r="T760" s="294"/>
      <c r="U760" s="294"/>
      <c r="V760" s="431"/>
      <c r="W760" s="294"/>
      <c r="X760" s="294"/>
      <c r="Y760" s="294">
        <f>IF(NFI_Expiration=1,IF($A760&lt;VLOOKUP(H$5,NFI,5,0),1,0)*Table_NFI[[#This Row],[Hygiene Kit]],Table_NFI[Hygiene Kit])</f>
        <v>0</v>
      </c>
      <c r="Z760" s="294">
        <f>IF(NFI_Expiration=1,IF($A760&lt;VLOOKUP(I$5,NFI,5,0),1,0)*Table_NFI[[#This Row],[NFI Core Kit]],Table_NFI[NFI Core Kit])</f>
        <v>0</v>
      </c>
      <c r="AA760" s="294">
        <f>IF(NFI_Expiration=1,IF($A760&lt;VLOOKUP(J$5,NFI,5,0),1,0)*Table_NFI[[#This Row],[Sanitary Kit]],Table_NFI[Sanitary Kit])</f>
        <v>0</v>
      </c>
      <c r="AB760" s="294">
        <f>IF(NFI_Expiration=1,IF($A760&lt;VLOOKUP(K$5,NFI,5,0),1,0)*Table_NFI[[#This Row],[Mosquito net]],Table_NFI[Mosquito net])</f>
        <v>0</v>
      </c>
      <c r="AC760" s="294">
        <f>IF(NFI_Expiration=1,IF($A760&lt;VLOOKUP(L$5,NFI,5,0),1,0)*Table_NFI[[#This Row],[Tarpaulin]],Table_NFI[[#This Row],[Tarpaulin]])</f>
        <v>0</v>
      </c>
      <c r="AD760" s="294">
        <f>IF(NFI_Expiration=1,IF($A760&lt;VLOOKUP(M$5,NFI,5,0),1,0)*Table_NFI[[#This Row],[Blanket]],Table_NFI[[#This Row],[Blanket]])</f>
        <v>0</v>
      </c>
      <c r="AE760" s="294">
        <f>IF(NFI_Expiration=1,IF($A760&lt;VLOOKUP(N$5,NFI,5,0),1,0)*Table_NFI[[#This Row],[Kitchen Set]],Table_NFI[Kitchen Set])</f>
        <v>0</v>
      </c>
      <c r="AF760" s="294">
        <f>IF(NFI_Expiration=1,IF($A760&lt;VLOOKUP(O$5,NFI,5,0),1,0)*Table_NFI[[#This Row],[Clothes Kit]],Table_NFI[Clothes Kit])</f>
        <v>0</v>
      </c>
      <c r="AG760" s="294">
        <f>IF(NFI_Expiration=1,IF($A760&lt;VLOOKUP(P$5,NFI,5,0),1,0)*Table_NFI[[#This Row],[Plastic Bucket]],Table_NFI[Plastic Bucket])</f>
        <v>0</v>
      </c>
      <c r="AH760" s="294">
        <f>IF(NFI_Expiration=1,IF($A760&lt;VLOOKUP(Q$5,NFI,5,0),1,0)*Table_NFI[[#This Row],[Plastic Mat]],Table_NFI[Plastic Mat])*IF(Table_NFI[[#This Row],[Distribution Date]]&gt;"2014-04-01",1,2.5)</f>
        <v>0</v>
      </c>
      <c r="AI760" s="294">
        <f>IF(NFI_Expiration=1,IF($A760&lt;VLOOKUP(R$5,NFI,5,0),1,0)*Table_NFI[[#This Row],[Winter Clothes Adult]],Table_NFI[Winter Clothes Adult])</f>
        <v>0</v>
      </c>
      <c r="AJ760" s="294">
        <f>IF(NFI_Expiration=1,IF($A760&lt;VLOOKUP(S$5,NFI,5,0),1,0)*Table_NFI[[#This Row],[Winter Clothes Children]],Table_NFI[Winter Clothes Children])</f>
        <v>0</v>
      </c>
      <c r="AK760" s="294">
        <f>IF(NFI_Expiration=1,IF($A760&lt;VLOOKUP(T$5,NFI,5,0),1,0)*Table_NFI[[#This Row],[Winter Items Other]],Table_NFI[Winter Items Other])</f>
        <v>0</v>
      </c>
      <c r="AL760" s="294">
        <f>IF(NFI_Expiration=1,IF($A760&lt;VLOOKUP(M$5,NFI,5,0),1,0)*Table_NFI[[#This Row],[Winter Blanket]],Table_NFI[[#This Row],[Winter Blanket]])</f>
        <v>0</v>
      </c>
      <c r="AM760" s="294">
        <f>IF(Table_NFI[[#This Row],[Winter Clothes Adult]]+Table_NFI[[#This Row],[Winter Clothes Children]]+Table_NFI[[#This Row],[Winter Items Other]]+Table_NFI[[#This Row],[Winter Blanket]]&gt;0,1,0)</f>
        <v>0</v>
      </c>
      <c r="AN760" s="331">
        <f>IF(NFI_Expiration=1,IF($A760&lt;VLOOKUP(V$5,NFI,5,0),1,0)*Table_NFI[[#This Row],[Jerry Can]],Table_NFI[Jerry Can])</f>
        <v>0</v>
      </c>
      <c r="AO760" s="331">
        <f>IF(NFI_Expiration=1,IF($A760&lt;VLOOKUP(V$5,NFI,5,0),1,0)*Table_NFI[[#This Row],[Shelter Tool kit]],Table_NFI[Shelter Tool kit])</f>
        <v>0</v>
      </c>
      <c r="AP760" s="331">
        <f>IF(NFI_Expiration=1,IF($A760&lt;VLOOKUP(V$5,NFI,5,0),1,0)*Table_NFI[[#This Row],[Tent]],Table_NFI[Tent])</f>
        <v>0</v>
      </c>
      <c r="AQ760" s="467" t="str">
        <f>IFERROR(VLOOKUP(Table_NFI[[#This Row],[Camp Name]],CL,2,0),"")</f>
        <v>MMR001CMP133</v>
      </c>
      <c r="AR760" s="835">
        <f ca="1">IF(Table_NFI[[#This Row],[Pcode]]="","",IF(OFFSET(CampList[Opening Date],MATCH(Table_NFI[[#This Row],[Pcode]],CampList[CP_Pcode],0)-1,0,1,1)&gt;=NFI_Monitor_Date,1,0))</f>
        <v>0</v>
      </c>
      <c r="AS760" s="467" t="str">
        <f>IFERROR(VLOOKUP(Table_NFI[[#This Row],[Camp Name]],CL,3,0),"")</f>
        <v>Open</v>
      </c>
      <c r="AT760" s="294" t="str">
        <f ca="1">IF(Table_NFI[[#This Row],[Pcode]]="","",OFFSET(CampList[Priority],MATCH(Table_NFI[[#This Row],[Pcode]],CampList[CP_Pcode],0)-1,0,1,1))</f>
        <v>P4</v>
      </c>
      <c r="AU760" s="293">
        <f>IFERROR(Table_NFI[[#This Row],[Kitchen Set]]/VLOOKUP(Table_NFI[[#This Row],[Camp Name]],CL,4,0),"")</f>
        <v>2.6868588177821201E-3</v>
      </c>
      <c r="AV760" s="461" t="s">
        <v>1092</v>
      </c>
      <c r="AW760" s="463"/>
    </row>
    <row r="761" spans="1:49" s="464" customFormat="1" ht="14.45" customHeight="1" x14ac:dyDescent="0.25">
      <c r="A761" s="297">
        <f t="shared" si="11"/>
        <v>47.1</v>
      </c>
      <c r="B761" s="460">
        <v>41323</v>
      </c>
      <c r="C761" s="461" t="s">
        <v>452</v>
      </c>
      <c r="D761" s="462" t="s">
        <v>460</v>
      </c>
      <c r="E761" s="461" t="s">
        <v>553</v>
      </c>
      <c r="F761" s="290" t="s">
        <v>166</v>
      </c>
      <c r="G761" s="290" t="s">
        <v>167</v>
      </c>
      <c r="H761" s="291"/>
      <c r="I761" s="291"/>
      <c r="J761" s="291">
        <v>57</v>
      </c>
      <c r="K761" s="291">
        <v>57</v>
      </c>
      <c r="L761" s="292">
        <v>29</v>
      </c>
      <c r="M761" s="292">
        <v>57</v>
      </c>
      <c r="N761" s="292">
        <v>29</v>
      </c>
      <c r="O761" s="292">
        <v>29</v>
      </c>
      <c r="P761" s="294">
        <v>29</v>
      </c>
      <c r="Q761" s="294">
        <v>29</v>
      </c>
      <c r="R761" s="294"/>
      <c r="S761" s="294"/>
      <c r="T761" s="294"/>
      <c r="U761" s="294"/>
      <c r="V761" s="431"/>
      <c r="W761" s="294"/>
      <c r="X761" s="294"/>
      <c r="Y761" s="294">
        <f>IF(NFI_Expiration=1,IF($A761&lt;VLOOKUP(H$5,NFI,5,0),1,0)*Table_NFI[[#This Row],[Hygiene Kit]],Table_NFI[Hygiene Kit])</f>
        <v>0</v>
      </c>
      <c r="Z761" s="294">
        <f>IF(NFI_Expiration=1,IF($A761&lt;VLOOKUP(I$5,NFI,5,0),1,0)*Table_NFI[[#This Row],[NFI Core Kit]],Table_NFI[NFI Core Kit])</f>
        <v>0</v>
      </c>
      <c r="AA761" s="294">
        <f>IF(NFI_Expiration=1,IF($A761&lt;VLOOKUP(J$5,NFI,5,0),1,0)*Table_NFI[[#This Row],[Sanitary Kit]],Table_NFI[Sanitary Kit])</f>
        <v>0</v>
      </c>
      <c r="AB761" s="294">
        <f>IF(NFI_Expiration=1,IF($A761&lt;VLOOKUP(K$5,NFI,5,0),1,0)*Table_NFI[[#This Row],[Mosquito net]],Table_NFI[Mosquito net])</f>
        <v>0</v>
      </c>
      <c r="AC761" s="294">
        <f>IF(NFI_Expiration=1,IF($A761&lt;VLOOKUP(L$5,NFI,5,0),1,0)*Table_NFI[[#This Row],[Tarpaulin]],Table_NFI[[#This Row],[Tarpaulin]])</f>
        <v>0</v>
      </c>
      <c r="AD761" s="294">
        <f>IF(NFI_Expiration=1,IF($A761&lt;VLOOKUP(M$5,NFI,5,0),1,0)*Table_NFI[[#This Row],[Blanket]],Table_NFI[[#This Row],[Blanket]])</f>
        <v>0</v>
      </c>
      <c r="AE761" s="294">
        <f>IF(NFI_Expiration=1,IF($A761&lt;VLOOKUP(N$5,NFI,5,0),1,0)*Table_NFI[[#This Row],[Kitchen Set]],Table_NFI[Kitchen Set])</f>
        <v>0</v>
      </c>
      <c r="AF761" s="294">
        <f>IF(NFI_Expiration=1,IF($A761&lt;VLOOKUP(O$5,NFI,5,0),1,0)*Table_NFI[[#This Row],[Clothes Kit]],Table_NFI[Clothes Kit])</f>
        <v>0</v>
      </c>
      <c r="AG761" s="294">
        <f>IF(NFI_Expiration=1,IF($A761&lt;VLOOKUP(P$5,NFI,5,0),1,0)*Table_NFI[[#This Row],[Plastic Bucket]],Table_NFI[Plastic Bucket])</f>
        <v>0</v>
      </c>
      <c r="AH761" s="294">
        <f>IF(NFI_Expiration=1,IF($A761&lt;VLOOKUP(Q$5,NFI,5,0),1,0)*Table_NFI[[#This Row],[Plastic Mat]],Table_NFI[Plastic Mat])*IF(Table_NFI[[#This Row],[Distribution Date]]&gt;"2014-04-01",1,2.5)</f>
        <v>0</v>
      </c>
      <c r="AI761" s="294">
        <f>IF(NFI_Expiration=1,IF($A761&lt;VLOOKUP(R$5,NFI,5,0),1,0)*Table_NFI[[#This Row],[Winter Clothes Adult]],Table_NFI[Winter Clothes Adult])</f>
        <v>0</v>
      </c>
      <c r="AJ761" s="294">
        <f>IF(NFI_Expiration=1,IF($A761&lt;VLOOKUP(S$5,NFI,5,0),1,0)*Table_NFI[[#This Row],[Winter Clothes Children]],Table_NFI[Winter Clothes Children])</f>
        <v>0</v>
      </c>
      <c r="AK761" s="294">
        <f>IF(NFI_Expiration=1,IF($A761&lt;VLOOKUP(T$5,NFI,5,0),1,0)*Table_NFI[[#This Row],[Winter Items Other]],Table_NFI[Winter Items Other])</f>
        <v>0</v>
      </c>
      <c r="AL761" s="294">
        <f>IF(NFI_Expiration=1,IF($A761&lt;VLOOKUP(M$5,NFI,5,0),1,0)*Table_NFI[[#This Row],[Winter Blanket]],Table_NFI[[#This Row],[Winter Blanket]])</f>
        <v>0</v>
      </c>
      <c r="AM761" s="294">
        <f>IF(Table_NFI[[#This Row],[Winter Clothes Adult]]+Table_NFI[[#This Row],[Winter Clothes Children]]+Table_NFI[[#This Row],[Winter Items Other]]+Table_NFI[[#This Row],[Winter Blanket]]&gt;0,1,0)</f>
        <v>0</v>
      </c>
      <c r="AN761" s="331">
        <f>IF(NFI_Expiration=1,IF($A761&lt;VLOOKUP(V$5,NFI,5,0),1,0)*Table_NFI[[#This Row],[Jerry Can]],Table_NFI[Jerry Can])</f>
        <v>0</v>
      </c>
      <c r="AO761" s="331">
        <f>IF(NFI_Expiration=1,IF($A761&lt;VLOOKUP(V$5,NFI,5,0),1,0)*Table_NFI[[#This Row],[Shelter Tool kit]],Table_NFI[Shelter Tool kit])</f>
        <v>0</v>
      </c>
      <c r="AP761" s="331">
        <f>IF(NFI_Expiration=1,IF($A761&lt;VLOOKUP(V$5,NFI,5,0),1,0)*Table_NFI[[#This Row],[Tent]],Table_NFI[Tent])</f>
        <v>0</v>
      </c>
      <c r="AQ761" s="467" t="str">
        <f>IFERROR(VLOOKUP(Table_NFI[[#This Row],[Camp Name]],CL,2,0),"")</f>
        <v>MMR015CMP009</v>
      </c>
      <c r="AR761" s="835">
        <f ca="1">IF(Table_NFI[[#This Row],[Pcode]]="","",IF(OFFSET(CampList[Opening Date],MATCH(Table_NFI[[#This Row],[Pcode]],CampList[CP_Pcode],0)-1,0,1,1)&gt;=NFI_Monitor_Date,1,0))</f>
        <v>0</v>
      </c>
      <c r="AS761" s="467" t="str">
        <f>IFERROR(VLOOKUP(Table_NFI[[#This Row],[Camp Name]],CL,3,0),"")</f>
        <v>Open</v>
      </c>
      <c r="AT761" s="294" t="str">
        <f ca="1">IF(Table_NFI[[#This Row],[Pcode]]="","",OFFSET(CampList[Priority],MATCH(Table_NFI[[#This Row],[Pcode]],CampList[CP_Pcode],0)-1,0,1,1))</f>
        <v>P2</v>
      </c>
      <c r="AU761" s="293">
        <f>IFERROR(Table_NFI[[#This Row],[Kitchen Set]]/VLOOKUP(Table_NFI[[#This Row],[Camp Name]],CL,4,0),"")</f>
        <v>7.0731707317073169E-4</v>
      </c>
      <c r="AV761" s="461" t="s">
        <v>1092</v>
      </c>
      <c r="AW761" s="463"/>
    </row>
    <row r="762" spans="1:49" s="464" customFormat="1" ht="14.45" customHeight="1" x14ac:dyDescent="0.25">
      <c r="A762" s="297">
        <f t="shared" si="11"/>
        <v>47.1</v>
      </c>
      <c r="B762" s="460">
        <v>41323</v>
      </c>
      <c r="C762" s="461" t="s">
        <v>452</v>
      </c>
      <c r="D762" s="462" t="s">
        <v>460</v>
      </c>
      <c r="E762" s="461" t="s">
        <v>553</v>
      </c>
      <c r="F762" s="290" t="s">
        <v>146</v>
      </c>
      <c r="G762" s="290" t="s">
        <v>371</v>
      </c>
      <c r="H762" s="291"/>
      <c r="I762" s="291"/>
      <c r="J762" s="291">
        <v>93</v>
      </c>
      <c r="K762" s="291">
        <v>93</v>
      </c>
      <c r="L762" s="292">
        <v>46</v>
      </c>
      <c r="M762" s="292">
        <v>93</v>
      </c>
      <c r="N762" s="292">
        <v>46</v>
      </c>
      <c r="O762" s="292">
        <v>46</v>
      </c>
      <c r="P762" s="294">
        <v>46</v>
      </c>
      <c r="Q762" s="294">
        <v>46</v>
      </c>
      <c r="R762" s="294"/>
      <c r="S762" s="294"/>
      <c r="T762" s="294"/>
      <c r="U762" s="294"/>
      <c r="V762" s="431"/>
      <c r="W762" s="294"/>
      <c r="X762" s="294"/>
      <c r="Y762" s="294">
        <f>IF(NFI_Expiration=1,IF($A762&lt;VLOOKUP(H$5,NFI,5,0),1,0)*Table_NFI[[#This Row],[Hygiene Kit]],Table_NFI[Hygiene Kit])</f>
        <v>0</v>
      </c>
      <c r="Z762" s="294">
        <f>IF(NFI_Expiration=1,IF($A762&lt;VLOOKUP(I$5,NFI,5,0),1,0)*Table_NFI[[#This Row],[NFI Core Kit]],Table_NFI[NFI Core Kit])</f>
        <v>0</v>
      </c>
      <c r="AA762" s="294">
        <f>IF(NFI_Expiration=1,IF($A762&lt;VLOOKUP(J$5,NFI,5,0),1,0)*Table_NFI[[#This Row],[Sanitary Kit]],Table_NFI[Sanitary Kit])</f>
        <v>0</v>
      </c>
      <c r="AB762" s="294">
        <f>IF(NFI_Expiration=1,IF($A762&lt;VLOOKUP(K$5,NFI,5,0),1,0)*Table_NFI[[#This Row],[Mosquito net]],Table_NFI[Mosquito net])</f>
        <v>0</v>
      </c>
      <c r="AC762" s="294">
        <f>IF(NFI_Expiration=1,IF($A762&lt;VLOOKUP(L$5,NFI,5,0),1,0)*Table_NFI[[#This Row],[Tarpaulin]],Table_NFI[[#This Row],[Tarpaulin]])</f>
        <v>0</v>
      </c>
      <c r="AD762" s="294">
        <f>IF(NFI_Expiration=1,IF($A762&lt;VLOOKUP(M$5,NFI,5,0),1,0)*Table_NFI[[#This Row],[Blanket]],Table_NFI[[#This Row],[Blanket]])</f>
        <v>0</v>
      </c>
      <c r="AE762" s="294">
        <f>IF(NFI_Expiration=1,IF($A762&lt;VLOOKUP(N$5,NFI,5,0),1,0)*Table_NFI[[#This Row],[Kitchen Set]],Table_NFI[Kitchen Set])</f>
        <v>0</v>
      </c>
      <c r="AF762" s="294">
        <f>IF(NFI_Expiration=1,IF($A762&lt;VLOOKUP(O$5,NFI,5,0),1,0)*Table_NFI[[#This Row],[Clothes Kit]],Table_NFI[Clothes Kit])</f>
        <v>0</v>
      </c>
      <c r="AG762" s="294">
        <f>IF(NFI_Expiration=1,IF($A762&lt;VLOOKUP(P$5,NFI,5,0),1,0)*Table_NFI[[#This Row],[Plastic Bucket]],Table_NFI[Plastic Bucket])</f>
        <v>0</v>
      </c>
      <c r="AH762" s="294">
        <f>IF(NFI_Expiration=1,IF($A762&lt;VLOOKUP(Q$5,NFI,5,0),1,0)*Table_NFI[[#This Row],[Plastic Mat]],Table_NFI[Plastic Mat])*IF(Table_NFI[[#This Row],[Distribution Date]]&gt;"2014-04-01",1,2.5)</f>
        <v>0</v>
      </c>
      <c r="AI762" s="294">
        <f>IF(NFI_Expiration=1,IF($A762&lt;VLOOKUP(R$5,NFI,5,0),1,0)*Table_NFI[[#This Row],[Winter Clothes Adult]],Table_NFI[Winter Clothes Adult])</f>
        <v>0</v>
      </c>
      <c r="AJ762" s="294">
        <f>IF(NFI_Expiration=1,IF($A762&lt;VLOOKUP(S$5,NFI,5,0),1,0)*Table_NFI[[#This Row],[Winter Clothes Children]],Table_NFI[Winter Clothes Children])</f>
        <v>0</v>
      </c>
      <c r="AK762" s="294">
        <f>IF(NFI_Expiration=1,IF($A762&lt;VLOOKUP(T$5,NFI,5,0),1,0)*Table_NFI[[#This Row],[Winter Items Other]],Table_NFI[Winter Items Other])</f>
        <v>0</v>
      </c>
      <c r="AL762" s="294">
        <f>IF(NFI_Expiration=1,IF($A762&lt;VLOOKUP(M$5,NFI,5,0),1,0)*Table_NFI[[#This Row],[Winter Blanket]],Table_NFI[[#This Row],[Winter Blanket]])</f>
        <v>0</v>
      </c>
      <c r="AM762" s="294">
        <f>IF(Table_NFI[[#This Row],[Winter Clothes Adult]]+Table_NFI[[#This Row],[Winter Clothes Children]]+Table_NFI[[#This Row],[Winter Items Other]]+Table_NFI[[#This Row],[Winter Blanket]]&gt;0,1,0)</f>
        <v>0</v>
      </c>
      <c r="AN762" s="331">
        <f>IF(NFI_Expiration=1,IF($A762&lt;VLOOKUP(V$5,NFI,5,0),1,0)*Table_NFI[[#This Row],[Jerry Can]],Table_NFI[Jerry Can])</f>
        <v>0</v>
      </c>
      <c r="AO762" s="331">
        <f>IF(NFI_Expiration=1,IF($A762&lt;VLOOKUP(V$5,NFI,5,0),1,0)*Table_NFI[[#This Row],[Shelter Tool kit]],Table_NFI[Shelter Tool kit])</f>
        <v>0</v>
      </c>
      <c r="AP762" s="331">
        <f>IF(NFI_Expiration=1,IF($A762&lt;VLOOKUP(V$5,NFI,5,0),1,0)*Table_NFI[[#This Row],[Tent]],Table_NFI[Tent])</f>
        <v>0</v>
      </c>
      <c r="AQ762" s="467" t="str">
        <f>IFERROR(VLOOKUP(Table_NFI[[#This Row],[Camp Name]],CL,2,0),"")</f>
        <v>MMR015CMP006</v>
      </c>
      <c r="AR762" s="835">
        <f ca="1">IF(Table_NFI[[#This Row],[Pcode]]="","",IF(OFFSET(CampList[Opening Date],MATCH(Table_NFI[[#This Row],[Pcode]],CampList[CP_Pcode],0)-1,0,1,1)&gt;=NFI_Monitor_Date,1,0))</f>
        <v>0</v>
      </c>
      <c r="AS762" s="467" t="str">
        <f>IFERROR(VLOOKUP(Table_NFI[[#This Row],[Camp Name]],CL,3,0),"")</f>
        <v>Open</v>
      </c>
      <c r="AT762" s="294" t="str">
        <f ca="1">IF(Table_NFI[[#This Row],[Pcode]]="","",OFFSET(CampList[Priority],MATCH(Table_NFI[[#This Row],[Pcode]],CampList[CP_Pcode],0)-1,0,1,1))</f>
        <v>P1</v>
      </c>
      <c r="AU762" s="293">
        <f>IFERROR(Table_NFI[[#This Row],[Kitchen Set]]/VLOOKUP(Table_NFI[[#This Row],[Camp Name]],CL,4,0),"")</f>
        <v>1.1278103317233432E-3</v>
      </c>
      <c r="AV762" s="461" t="s">
        <v>1092</v>
      </c>
      <c r="AW762" s="463"/>
    </row>
    <row r="763" spans="1:49" s="464" customFormat="1" ht="14.45" customHeight="1" x14ac:dyDescent="0.25">
      <c r="A763" s="297">
        <f t="shared" si="11"/>
        <v>47.1</v>
      </c>
      <c r="B763" s="460">
        <v>41323</v>
      </c>
      <c r="C763" s="461" t="s">
        <v>452</v>
      </c>
      <c r="D763" s="462" t="s">
        <v>460</v>
      </c>
      <c r="E763" s="461" t="s">
        <v>553</v>
      </c>
      <c r="F763" s="290" t="s">
        <v>289</v>
      </c>
      <c r="G763" s="290" t="s">
        <v>292</v>
      </c>
      <c r="H763" s="291"/>
      <c r="I763" s="291"/>
      <c r="J763" s="291">
        <v>118</v>
      </c>
      <c r="K763" s="291">
        <v>118</v>
      </c>
      <c r="L763" s="292">
        <v>59</v>
      </c>
      <c r="M763" s="292">
        <v>118</v>
      </c>
      <c r="N763" s="292">
        <v>59</v>
      </c>
      <c r="O763" s="292">
        <v>59</v>
      </c>
      <c r="P763" s="294">
        <v>59</v>
      </c>
      <c r="Q763" s="294">
        <v>59</v>
      </c>
      <c r="R763" s="294"/>
      <c r="S763" s="294"/>
      <c r="T763" s="294"/>
      <c r="U763" s="294"/>
      <c r="V763" s="431"/>
      <c r="W763" s="294"/>
      <c r="X763" s="294"/>
      <c r="Y763" s="294">
        <f>IF(NFI_Expiration=1,IF($A763&lt;VLOOKUP(H$5,NFI,5,0),1,0)*Table_NFI[[#This Row],[Hygiene Kit]],Table_NFI[Hygiene Kit])</f>
        <v>0</v>
      </c>
      <c r="Z763" s="294">
        <f>IF(NFI_Expiration=1,IF($A763&lt;VLOOKUP(I$5,NFI,5,0),1,0)*Table_NFI[[#This Row],[NFI Core Kit]],Table_NFI[NFI Core Kit])</f>
        <v>0</v>
      </c>
      <c r="AA763" s="294">
        <f>IF(NFI_Expiration=1,IF($A763&lt;VLOOKUP(J$5,NFI,5,0),1,0)*Table_NFI[[#This Row],[Sanitary Kit]],Table_NFI[Sanitary Kit])</f>
        <v>0</v>
      </c>
      <c r="AB763" s="294">
        <f>IF(NFI_Expiration=1,IF($A763&lt;VLOOKUP(K$5,NFI,5,0),1,0)*Table_NFI[[#This Row],[Mosquito net]],Table_NFI[Mosquito net])</f>
        <v>0</v>
      </c>
      <c r="AC763" s="294">
        <f>IF(NFI_Expiration=1,IF($A763&lt;VLOOKUP(L$5,NFI,5,0),1,0)*Table_NFI[[#This Row],[Tarpaulin]],Table_NFI[[#This Row],[Tarpaulin]])</f>
        <v>0</v>
      </c>
      <c r="AD763" s="294">
        <f>IF(NFI_Expiration=1,IF($A763&lt;VLOOKUP(M$5,NFI,5,0),1,0)*Table_NFI[[#This Row],[Blanket]],Table_NFI[[#This Row],[Blanket]])</f>
        <v>0</v>
      </c>
      <c r="AE763" s="294">
        <f>IF(NFI_Expiration=1,IF($A763&lt;VLOOKUP(N$5,NFI,5,0),1,0)*Table_NFI[[#This Row],[Kitchen Set]],Table_NFI[Kitchen Set])</f>
        <v>0</v>
      </c>
      <c r="AF763" s="294">
        <f>IF(NFI_Expiration=1,IF($A763&lt;VLOOKUP(O$5,NFI,5,0),1,0)*Table_NFI[[#This Row],[Clothes Kit]],Table_NFI[Clothes Kit])</f>
        <v>0</v>
      </c>
      <c r="AG763" s="294">
        <f>IF(NFI_Expiration=1,IF($A763&lt;VLOOKUP(P$5,NFI,5,0),1,0)*Table_NFI[[#This Row],[Plastic Bucket]],Table_NFI[Plastic Bucket])</f>
        <v>0</v>
      </c>
      <c r="AH763" s="294">
        <f>IF(NFI_Expiration=1,IF($A763&lt;VLOOKUP(Q$5,NFI,5,0),1,0)*Table_NFI[[#This Row],[Plastic Mat]],Table_NFI[Plastic Mat])*IF(Table_NFI[[#This Row],[Distribution Date]]&gt;"2014-04-01",1,2.5)</f>
        <v>0</v>
      </c>
      <c r="AI763" s="294">
        <f>IF(NFI_Expiration=1,IF($A763&lt;VLOOKUP(R$5,NFI,5,0),1,0)*Table_NFI[[#This Row],[Winter Clothes Adult]],Table_NFI[Winter Clothes Adult])</f>
        <v>0</v>
      </c>
      <c r="AJ763" s="294">
        <f>IF(NFI_Expiration=1,IF($A763&lt;VLOOKUP(S$5,NFI,5,0),1,0)*Table_NFI[[#This Row],[Winter Clothes Children]],Table_NFI[Winter Clothes Children])</f>
        <v>0</v>
      </c>
      <c r="AK763" s="294">
        <f>IF(NFI_Expiration=1,IF($A763&lt;VLOOKUP(T$5,NFI,5,0),1,0)*Table_NFI[[#This Row],[Winter Items Other]],Table_NFI[Winter Items Other])</f>
        <v>0</v>
      </c>
      <c r="AL763" s="294">
        <f>IF(NFI_Expiration=1,IF($A763&lt;VLOOKUP(M$5,NFI,5,0),1,0)*Table_NFI[[#This Row],[Winter Blanket]],Table_NFI[[#This Row],[Winter Blanket]])</f>
        <v>0</v>
      </c>
      <c r="AM763" s="294">
        <f>IF(Table_NFI[[#This Row],[Winter Clothes Adult]]+Table_NFI[[#This Row],[Winter Clothes Children]]+Table_NFI[[#This Row],[Winter Items Other]]+Table_NFI[[#This Row],[Winter Blanket]]&gt;0,1,0)</f>
        <v>0</v>
      </c>
      <c r="AN763" s="331">
        <f>IF(NFI_Expiration=1,IF($A763&lt;VLOOKUP(V$5,NFI,5,0),1,0)*Table_NFI[[#This Row],[Jerry Can]],Table_NFI[Jerry Can])</f>
        <v>0</v>
      </c>
      <c r="AO763" s="331">
        <f>IF(NFI_Expiration=1,IF($A763&lt;VLOOKUP(V$5,NFI,5,0),1,0)*Table_NFI[[#This Row],[Shelter Tool kit]],Table_NFI[Shelter Tool kit])</f>
        <v>0</v>
      </c>
      <c r="AP763" s="331">
        <f>IF(NFI_Expiration=1,IF($A763&lt;VLOOKUP(V$5,NFI,5,0),1,0)*Table_NFI[[#This Row],[Tent]],Table_NFI[Tent])</f>
        <v>0</v>
      </c>
      <c r="AQ763" s="467" t="str">
        <f>IFERROR(VLOOKUP(Table_NFI[[#This Row],[Camp Name]],CL,2,0),"")</f>
        <v>MMR015CMP004</v>
      </c>
      <c r="AR763" s="835">
        <f ca="1">IF(Table_NFI[[#This Row],[Pcode]]="","",IF(OFFSET(CampList[Opening Date],MATCH(Table_NFI[[#This Row],[Pcode]],CampList[CP_Pcode],0)-1,0,1,1)&gt;=NFI_Monitor_Date,1,0))</f>
        <v>0</v>
      </c>
      <c r="AS763" s="467" t="str">
        <f>IFERROR(VLOOKUP(Table_NFI[[#This Row],[Camp Name]],CL,3,0),"")</f>
        <v>Open</v>
      </c>
      <c r="AT763" s="294" t="str">
        <f ca="1">IF(Table_NFI[[#This Row],[Pcode]]="","",OFFSET(CampList[Priority],MATCH(Table_NFI[[#This Row],[Pcode]],CampList[CP_Pcode],0)-1,0,1,1))</f>
        <v>P3</v>
      </c>
      <c r="AU763" s="293">
        <f>IFERROR(Table_NFI[[#This Row],[Kitchen Set]]/VLOOKUP(Table_NFI[[#This Row],[Camp Name]],CL,4,0),"")</f>
        <v>1.4179624600447018E-3</v>
      </c>
      <c r="AV763" s="461" t="s">
        <v>1092</v>
      </c>
      <c r="AW763" s="463"/>
    </row>
    <row r="764" spans="1:49" s="464" customFormat="1" x14ac:dyDescent="0.25">
      <c r="A764" s="297">
        <f t="shared" si="11"/>
        <v>47.1</v>
      </c>
      <c r="B764" s="460">
        <v>41323</v>
      </c>
      <c r="C764" s="461" t="s">
        <v>452</v>
      </c>
      <c r="D764" s="462" t="s">
        <v>460</v>
      </c>
      <c r="E764" s="461" t="s">
        <v>553</v>
      </c>
      <c r="F764" s="290" t="s">
        <v>289</v>
      </c>
      <c r="G764" s="290" t="s">
        <v>290</v>
      </c>
      <c r="H764" s="291"/>
      <c r="I764" s="291"/>
      <c r="J764" s="291">
        <v>139</v>
      </c>
      <c r="K764" s="291">
        <v>139</v>
      </c>
      <c r="L764" s="292">
        <v>70</v>
      </c>
      <c r="M764" s="292">
        <v>139</v>
      </c>
      <c r="N764" s="292">
        <v>70</v>
      </c>
      <c r="O764" s="292">
        <v>70</v>
      </c>
      <c r="P764" s="294">
        <v>70</v>
      </c>
      <c r="Q764" s="294">
        <v>70</v>
      </c>
      <c r="R764" s="294"/>
      <c r="S764" s="294"/>
      <c r="T764" s="294"/>
      <c r="U764" s="294"/>
      <c r="V764" s="613"/>
      <c r="W764" s="331"/>
      <c r="X764" s="331"/>
      <c r="Y764" s="294">
        <f>IF(NFI_Expiration=1,IF($A764&lt;VLOOKUP(H$5,NFI,5,0),1,0)*Table_NFI[[#This Row],[Hygiene Kit]],Table_NFI[Hygiene Kit])</f>
        <v>0</v>
      </c>
      <c r="Z764" s="294">
        <f>IF(NFI_Expiration=1,IF($A764&lt;VLOOKUP(I$5,NFI,5,0),1,0)*Table_NFI[[#This Row],[NFI Core Kit]],Table_NFI[NFI Core Kit])</f>
        <v>0</v>
      </c>
      <c r="AA764" s="294">
        <f>IF(NFI_Expiration=1,IF($A764&lt;VLOOKUP(J$5,NFI,5,0),1,0)*Table_NFI[[#This Row],[Sanitary Kit]],Table_NFI[Sanitary Kit])</f>
        <v>0</v>
      </c>
      <c r="AB764" s="294">
        <f>IF(NFI_Expiration=1,IF($A764&lt;VLOOKUP(K$5,NFI,5,0),1,0)*Table_NFI[[#This Row],[Mosquito net]],Table_NFI[Mosquito net])</f>
        <v>0</v>
      </c>
      <c r="AC764" s="294">
        <f>IF(NFI_Expiration=1,IF($A764&lt;VLOOKUP(L$5,NFI,5,0),1,0)*Table_NFI[[#This Row],[Tarpaulin]],Table_NFI[[#This Row],[Tarpaulin]])</f>
        <v>0</v>
      </c>
      <c r="AD764" s="294">
        <f>IF(NFI_Expiration=1,IF($A764&lt;VLOOKUP(M$5,NFI,5,0),1,0)*Table_NFI[[#This Row],[Blanket]],Table_NFI[[#This Row],[Blanket]])</f>
        <v>0</v>
      </c>
      <c r="AE764" s="294">
        <f>IF(NFI_Expiration=1,IF($A764&lt;VLOOKUP(N$5,NFI,5,0),1,0)*Table_NFI[[#This Row],[Kitchen Set]],Table_NFI[Kitchen Set])</f>
        <v>0</v>
      </c>
      <c r="AF764" s="294">
        <f>IF(NFI_Expiration=1,IF($A764&lt;VLOOKUP(O$5,NFI,5,0),1,0)*Table_NFI[[#This Row],[Clothes Kit]],Table_NFI[Clothes Kit])</f>
        <v>0</v>
      </c>
      <c r="AG764" s="294">
        <f>IF(NFI_Expiration=1,IF($A764&lt;VLOOKUP(P$5,NFI,5,0),1,0)*Table_NFI[[#This Row],[Plastic Bucket]],Table_NFI[Plastic Bucket])</f>
        <v>0</v>
      </c>
      <c r="AH764" s="294">
        <f>IF(NFI_Expiration=1,IF($A764&lt;VLOOKUP(Q$5,NFI,5,0),1,0)*Table_NFI[[#This Row],[Plastic Mat]],Table_NFI[Plastic Mat])*IF(Table_NFI[[#This Row],[Distribution Date]]&gt;"2014-04-01",1,2.5)</f>
        <v>0</v>
      </c>
      <c r="AI764" s="294">
        <f>IF(NFI_Expiration=1,IF($A764&lt;VLOOKUP(R$5,NFI,5,0),1,0)*Table_NFI[[#This Row],[Winter Clothes Adult]],Table_NFI[Winter Clothes Adult])</f>
        <v>0</v>
      </c>
      <c r="AJ764" s="294">
        <f>IF(NFI_Expiration=1,IF($A764&lt;VLOOKUP(S$5,NFI,5,0),1,0)*Table_NFI[[#This Row],[Winter Clothes Children]],Table_NFI[Winter Clothes Children])</f>
        <v>0</v>
      </c>
      <c r="AK764" s="294">
        <f>IF(NFI_Expiration=1,IF($A764&lt;VLOOKUP(T$5,NFI,5,0),1,0)*Table_NFI[[#This Row],[Winter Items Other]],Table_NFI[Winter Items Other])</f>
        <v>0</v>
      </c>
      <c r="AL764" s="294">
        <f>IF(NFI_Expiration=1,IF($A764&lt;VLOOKUP(M$5,NFI,5,0),1,0)*Table_NFI[[#This Row],[Winter Blanket]],Table_NFI[[#This Row],[Winter Blanket]])</f>
        <v>0</v>
      </c>
      <c r="AM764" s="294">
        <f>IF(Table_NFI[[#This Row],[Winter Clothes Adult]]+Table_NFI[[#This Row],[Winter Clothes Children]]+Table_NFI[[#This Row],[Winter Items Other]]+Table_NFI[[#This Row],[Winter Blanket]]&gt;0,1,0)</f>
        <v>0</v>
      </c>
      <c r="AN764" s="331">
        <f>IF(NFI_Expiration=1,IF($A764&lt;VLOOKUP(V$5,NFI,5,0),1,0)*Table_NFI[[#This Row],[Jerry Can]],Table_NFI[Jerry Can])</f>
        <v>0</v>
      </c>
      <c r="AO764" s="331">
        <f>IF(NFI_Expiration=1,IF($A764&lt;VLOOKUP(V$5,NFI,5,0),1,0)*Table_NFI[[#This Row],[Shelter Tool kit]],Table_NFI[Shelter Tool kit])</f>
        <v>0</v>
      </c>
      <c r="AP764" s="331">
        <f>IF(NFI_Expiration=1,IF($A764&lt;VLOOKUP(V$5,NFI,5,0),1,0)*Table_NFI[[#This Row],[Tent]],Table_NFI[Tent])</f>
        <v>0</v>
      </c>
      <c r="AQ764" s="467" t="str">
        <f>IFERROR(VLOOKUP(Table_NFI[[#This Row],[Camp Name]],CL,2,0),"")</f>
        <v>MMR015CMP001</v>
      </c>
      <c r="AR764" s="835">
        <f ca="1">IF(Table_NFI[[#This Row],[Pcode]]="","",IF(OFFSET(CampList[Opening Date],MATCH(Table_NFI[[#This Row],[Pcode]],CampList[CP_Pcode],0)-1,0,1,1)&gt;=NFI_Monitor_Date,1,0))</f>
        <v>0</v>
      </c>
      <c r="AS764" s="467" t="str">
        <f>IFERROR(VLOOKUP(Table_NFI[[#This Row],[Camp Name]],CL,3,0),"")</f>
        <v>Open</v>
      </c>
      <c r="AT764" s="294" t="str">
        <f ca="1">IF(Table_NFI[[#This Row],[Pcode]]="","",OFFSET(CampList[Priority],MATCH(Table_NFI[[#This Row],[Pcode]],CampList[CP_Pcode],0)-1,0,1,1))</f>
        <v>P3</v>
      </c>
      <c r="AU764" s="293">
        <f>IFERROR(Table_NFI[[#This Row],[Kitchen Set]]/VLOOKUP(Table_NFI[[#This Row],[Camp Name]],CL,4,0),"")</f>
        <v>1.7124125446450413E-3</v>
      </c>
      <c r="AV764" s="461" t="s">
        <v>1092</v>
      </c>
      <c r="AW764" s="463"/>
    </row>
    <row r="765" spans="1:49" s="464" customFormat="1" x14ac:dyDescent="0.25">
      <c r="A765" s="297">
        <f t="shared" si="11"/>
        <v>47.1</v>
      </c>
      <c r="B765" s="460">
        <v>41323</v>
      </c>
      <c r="C765" s="461" t="s">
        <v>452</v>
      </c>
      <c r="D765" s="462" t="s">
        <v>460</v>
      </c>
      <c r="E765" s="461" t="s">
        <v>553</v>
      </c>
      <c r="F765" s="290" t="s">
        <v>146</v>
      </c>
      <c r="G765" s="290" t="s">
        <v>149</v>
      </c>
      <c r="H765" s="291"/>
      <c r="I765" s="291"/>
      <c r="J765" s="291">
        <v>86</v>
      </c>
      <c r="K765" s="291">
        <v>86</v>
      </c>
      <c r="L765" s="292">
        <v>43</v>
      </c>
      <c r="M765" s="292">
        <v>86</v>
      </c>
      <c r="N765" s="292">
        <v>43</v>
      </c>
      <c r="O765" s="292">
        <v>43</v>
      </c>
      <c r="P765" s="294">
        <v>43</v>
      </c>
      <c r="Q765" s="294">
        <v>43</v>
      </c>
      <c r="R765" s="294"/>
      <c r="S765" s="294"/>
      <c r="T765" s="294"/>
      <c r="U765" s="294"/>
      <c r="V765" s="613"/>
      <c r="W765" s="331"/>
      <c r="X765" s="331"/>
      <c r="Y765" s="294">
        <f>IF(NFI_Expiration=1,IF($A765&lt;VLOOKUP(H$5,NFI,5,0),1,0)*Table_NFI[[#This Row],[Hygiene Kit]],Table_NFI[Hygiene Kit])</f>
        <v>0</v>
      </c>
      <c r="Z765" s="294">
        <f>IF(NFI_Expiration=1,IF($A765&lt;VLOOKUP(I$5,NFI,5,0),1,0)*Table_NFI[[#This Row],[NFI Core Kit]],Table_NFI[NFI Core Kit])</f>
        <v>0</v>
      </c>
      <c r="AA765" s="294">
        <f>IF(NFI_Expiration=1,IF($A765&lt;VLOOKUP(J$5,NFI,5,0),1,0)*Table_NFI[[#This Row],[Sanitary Kit]],Table_NFI[Sanitary Kit])</f>
        <v>0</v>
      </c>
      <c r="AB765" s="294">
        <f>IF(NFI_Expiration=1,IF($A765&lt;VLOOKUP(K$5,NFI,5,0),1,0)*Table_NFI[[#This Row],[Mosquito net]],Table_NFI[Mosquito net])</f>
        <v>0</v>
      </c>
      <c r="AC765" s="294">
        <f>IF(NFI_Expiration=1,IF($A765&lt;VLOOKUP(L$5,NFI,5,0),1,0)*Table_NFI[[#This Row],[Tarpaulin]],Table_NFI[[#This Row],[Tarpaulin]])</f>
        <v>0</v>
      </c>
      <c r="AD765" s="294">
        <f>IF(NFI_Expiration=1,IF($A765&lt;VLOOKUP(M$5,NFI,5,0),1,0)*Table_NFI[[#This Row],[Blanket]],Table_NFI[[#This Row],[Blanket]])</f>
        <v>0</v>
      </c>
      <c r="AE765" s="294">
        <f>IF(NFI_Expiration=1,IF($A765&lt;VLOOKUP(N$5,NFI,5,0),1,0)*Table_NFI[[#This Row],[Kitchen Set]],Table_NFI[Kitchen Set])</f>
        <v>0</v>
      </c>
      <c r="AF765" s="294">
        <f>IF(NFI_Expiration=1,IF($A765&lt;VLOOKUP(O$5,NFI,5,0),1,0)*Table_NFI[[#This Row],[Clothes Kit]],Table_NFI[Clothes Kit])</f>
        <v>0</v>
      </c>
      <c r="AG765" s="294">
        <f>IF(NFI_Expiration=1,IF($A765&lt;VLOOKUP(P$5,NFI,5,0),1,0)*Table_NFI[[#This Row],[Plastic Bucket]],Table_NFI[Plastic Bucket])</f>
        <v>0</v>
      </c>
      <c r="AH765" s="294">
        <f>IF(NFI_Expiration=1,IF($A765&lt;VLOOKUP(Q$5,NFI,5,0),1,0)*Table_NFI[[#This Row],[Plastic Mat]],Table_NFI[Plastic Mat])*IF(Table_NFI[[#This Row],[Distribution Date]]&gt;"2014-04-01",1,2.5)</f>
        <v>0</v>
      </c>
      <c r="AI765" s="294">
        <f>IF(NFI_Expiration=1,IF($A765&lt;VLOOKUP(R$5,NFI,5,0),1,0)*Table_NFI[[#This Row],[Winter Clothes Adult]],Table_NFI[Winter Clothes Adult])</f>
        <v>0</v>
      </c>
      <c r="AJ765" s="294">
        <f>IF(NFI_Expiration=1,IF($A765&lt;VLOOKUP(S$5,NFI,5,0),1,0)*Table_NFI[[#This Row],[Winter Clothes Children]],Table_NFI[Winter Clothes Children])</f>
        <v>0</v>
      </c>
      <c r="AK765" s="294">
        <f>IF(NFI_Expiration=1,IF($A765&lt;VLOOKUP(T$5,NFI,5,0),1,0)*Table_NFI[[#This Row],[Winter Items Other]],Table_NFI[Winter Items Other])</f>
        <v>0</v>
      </c>
      <c r="AL765" s="294">
        <f>IF(NFI_Expiration=1,IF($A765&lt;VLOOKUP(M$5,NFI,5,0),1,0)*Table_NFI[[#This Row],[Winter Blanket]],Table_NFI[[#This Row],[Winter Blanket]])</f>
        <v>0</v>
      </c>
      <c r="AM765" s="294">
        <f>IF(Table_NFI[[#This Row],[Winter Clothes Adult]]+Table_NFI[[#This Row],[Winter Clothes Children]]+Table_NFI[[#This Row],[Winter Items Other]]+Table_NFI[[#This Row],[Winter Blanket]]&gt;0,1,0)</f>
        <v>0</v>
      </c>
      <c r="AN765" s="331">
        <f>IF(NFI_Expiration=1,IF($A765&lt;VLOOKUP(V$5,NFI,5,0),1,0)*Table_NFI[[#This Row],[Jerry Can]],Table_NFI[Jerry Can])</f>
        <v>0</v>
      </c>
      <c r="AO765" s="331">
        <f>IF(NFI_Expiration=1,IF($A765&lt;VLOOKUP(V$5,NFI,5,0),1,0)*Table_NFI[[#This Row],[Shelter Tool kit]],Table_NFI[Shelter Tool kit])</f>
        <v>0</v>
      </c>
      <c r="AP765" s="331">
        <f>IF(NFI_Expiration=1,IF($A765&lt;VLOOKUP(V$5,NFI,5,0),1,0)*Table_NFI[[#This Row],[Tent]],Table_NFI[Tent])</f>
        <v>0</v>
      </c>
      <c r="AQ765" s="467" t="str">
        <f>IFERROR(VLOOKUP(Table_NFI[[#This Row],[Camp Name]],CL,2,0),"")</f>
        <v>MMR015CMP007</v>
      </c>
      <c r="AR765" s="835">
        <f ca="1">IF(Table_NFI[[#This Row],[Pcode]]="","",IF(OFFSET(CampList[Opening Date],MATCH(Table_NFI[[#This Row],[Pcode]],CampList[CP_Pcode],0)-1,0,1,1)&gt;=NFI_Monitor_Date,1,0))</f>
        <v>0</v>
      </c>
      <c r="AS765" s="467" t="str">
        <f>IFERROR(VLOOKUP(Table_NFI[[#This Row],[Camp Name]],CL,3,0),"")</f>
        <v>Open</v>
      </c>
      <c r="AT765" s="294" t="str">
        <f ca="1">IF(Table_NFI[[#This Row],[Pcode]]="","",OFFSET(CampList[Priority],MATCH(Table_NFI[[#This Row],[Pcode]],CampList[CP_Pcode],0)-1,0,1,1))</f>
        <v>P3</v>
      </c>
      <c r="AU765" s="293">
        <f>IFERROR(Table_NFI[[#This Row],[Kitchen Set]]/VLOOKUP(Table_NFI[[#This Row],[Camp Name]],CL,4,0),"")</f>
        <v>1.0519105631390969E-3</v>
      </c>
      <c r="AV765" s="461" t="s">
        <v>1092</v>
      </c>
      <c r="AW765" s="463"/>
    </row>
    <row r="766" spans="1:49" s="464" customFormat="1" ht="15" customHeight="1" x14ac:dyDescent="0.25">
      <c r="A766" s="297">
        <f t="shared" si="11"/>
        <v>47.1</v>
      </c>
      <c r="B766" s="460">
        <v>41323</v>
      </c>
      <c r="C766" s="461" t="s">
        <v>452</v>
      </c>
      <c r="D766" s="462" t="s">
        <v>460</v>
      </c>
      <c r="E766" s="461" t="s">
        <v>553</v>
      </c>
      <c r="F766" s="290" t="s">
        <v>298</v>
      </c>
      <c r="G766" s="290" t="s">
        <v>593</v>
      </c>
      <c r="H766" s="291"/>
      <c r="I766" s="291"/>
      <c r="J766" s="291">
        <v>90</v>
      </c>
      <c r="K766" s="291">
        <v>90</v>
      </c>
      <c r="L766" s="292">
        <v>45</v>
      </c>
      <c r="M766" s="292">
        <v>90</v>
      </c>
      <c r="N766" s="292">
        <v>45</v>
      </c>
      <c r="O766" s="292">
        <v>45</v>
      </c>
      <c r="P766" s="294">
        <v>45</v>
      </c>
      <c r="Q766" s="294">
        <v>45</v>
      </c>
      <c r="R766" s="294"/>
      <c r="S766" s="294"/>
      <c r="T766" s="294"/>
      <c r="U766" s="294"/>
      <c r="V766" s="613"/>
      <c r="W766" s="331"/>
      <c r="X766" s="331"/>
      <c r="Y766" s="294">
        <f>IF(NFI_Expiration=1,IF($A766&lt;VLOOKUP(H$5,NFI,5,0),1,0)*Table_NFI[[#This Row],[Hygiene Kit]],Table_NFI[Hygiene Kit])</f>
        <v>0</v>
      </c>
      <c r="Z766" s="294">
        <f>IF(NFI_Expiration=1,IF($A766&lt;VLOOKUP(I$5,NFI,5,0),1,0)*Table_NFI[[#This Row],[NFI Core Kit]],Table_NFI[NFI Core Kit])</f>
        <v>0</v>
      </c>
      <c r="AA766" s="294">
        <f>IF(NFI_Expiration=1,IF($A766&lt;VLOOKUP(J$5,NFI,5,0),1,0)*Table_NFI[[#This Row],[Sanitary Kit]],Table_NFI[Sanitary Kit])</f>
        <v>0</v>
      </c>
      <c r="AB766" s="294">
        <f>IF(NFI_Expiration=1,IF($A766&lt;VLOOKUP(K$5,NFI,5,0),1,0)*Table_NFI[[#This Row],[Mosquito net]],Table_NFI[Mosquito net])</f>
        <v>0</v>
      </c>
      <c r="AC766" s="294">
        <f>IF(NFI_Expiration=1,IF($A766&lt;VLOOKUP(L$5,NFI,5,0),1,0)*Table_NFI[[#This Row],[Tarpaulin]],Table_NFI[[#This Row],[Tarpaulin]])</f>
        <v>0</v>
      </c>
      <c r="AD766" s="294">
        <f>IF(NFI_Expiration=1,IF($A766&lt;VLOOKUP(M$5,NFI,5,0),1,0)*Table_NFI[[#This Row],[Blanket]],Table_NFI[[#This Row],[Blanket]])</f>
        <v>0</v>
      </c>
      <c r="AE766" s="294">
        <f>IF(NFI_Expiration=1,IF($A766&lt;VLOOKUP(N$5,NFI,5,0),1,0)*Table_NFI[[#This Row],[Kitchen Set]],Table_NFI[Kitchen Set])</f>
        <v>0</v>
      </c>
      <c r="AF766" s="294">
        <f>IF(NFI_Expiration=1,IF($A766&lt;VLOOKUP(O$5,NFI,5,0),1,0)*Table_NFI[[#This Row],[Clothes Kit]],Table_NFI[Clothes Kit])</f>
        <v>0</v>
      </c>
      <c r="AG766" s="294">
        <f>IF(NFI_Expiration=1,IF($A766&lt;VLOOKUP(P$5,NFI,5,0),1,0)*Table_NFI[[#This Row],[Plastic Bucket]],Table_NFI[Plastic Bucket])</f>
        <v>0</v>
      </c>
      <c r="AH766" s="294">
        <f>IF(NFI_Expiration=1,IF($A766&lt;VLOOKUP(Q$5,NFI,5,0),1,0)*Table_NFI[[#This Row],[Plastic Mat]],Table_NFI[Plastic Mat])*IF(Table_NFI[[#This Row],[Distribution Date]]&gt;"2014-04-01",1,2.5)</f>
        <v>0</v>
      </c>
      <c r="AI766" s="294">
        <f>IF(NFI_Expiration=1,IF($A766&lt;VLOOKUP(R$5,NFI,5,0),1,0)*Table_NFI[[#This Row],[Winter Clothes Adult]],Table_NFI[Winter Clothes Adult])</f>
        <v>0</v>
      </c>
      <c r="AJ766" s="294">
        <f>IF(NFI_Expiration=1,IF($A766&lt;VLOOKUP(S$5,NFI,5,0),1,0)*Table_NFI[[#This Row],[Winter Clothes Children]],Table_NFI[Winter Clothes Children])</f>
        <v>0</v>
      </c>
      <c r="AK766" s="294">
        <f>IF(NFI_Expiration=1,IF($A766&lt;VLOOKUP(T$5,NFI,5,0),1,0)*Table_NFI[[#This Row],[Winter Items Other]],Table_NFI[Winter Items Other])</f>
        <v>0</v>
      </c>
      <c r="AL766" s="294">
        <f>IF(NFI_Expiration=1,IF($A766&lt;VLOOKUP(M$5,NFI,5,0),1,0)*Table_NFI[[#This Row],[Winter Blanket]],Table_NFI[[#This Row],[Winter Blanket]])</f>
        <v>0</v>
      </c>
      <c r="AM766" s="294">
        <f>IF(Table_NFI[[#This Row],[Winter Clothes Adult]]+Table_NFI[[#This Row],[Winter Clothes Children]]+Table_NFI[[#This Row],[Winter Items Other]]+Table_NFI[[#This Row],[Winter Blanket]]&gt;0,1,0)</f>
        <v>0</v>
      </c>
      <c r="AN766" s="331">
        <f>IF(NFI_Expiration=1,IF($A766&lt;VLOOKUP(V$5,NFI,5,0),1,0)*Table_NFI[[#This Row],[Jerry Can]],Table_NFI[Jerry Can])</f>
        <v>0</v>
      </c>
      <c r="AO766" s="331">
        <f>IF(NFI_Expiration=1,IF($A766&lt;VLOOKUP(V$5,NFI,5,0),1,0)*Table_NFI[[#This Row],[Shelter Tool kit]],Table_NFI[Shelter Tool kit])</f>
        <v>0</v>
      </c>
      <c r="AP766" s="331">
        <f>IF(NFI_Expiration=1,IF($A766&lt;VLOOKUP(V$5,NFI,5,0),1,0)*Table_NFI[[#This Row],[Tent]],Table_NFI[Tent])</f>
        <v>0</v>
      </c>
      <c r="AQ766" s="467" t="str">
        <f>IFERROR(VLOOKUP(Table_NFI[[#This Row],[Camp Name]],CL,2,0),"")</f>
        <v>MMR015CMP210</v>
      </c>
      <c r="AR766" s="835">
        <f ca="1">IF(Table_NFI[[#This Row],[Pcode]]="","",IF(OFFSET(CampList[Opening Date],MATCH(Table_NFI[[#This Row],[Pcode]],CampList[CP_Pcode],0)-1,0,1,1)&gt;=NFI_Monitor_Date,1,0))</f>
        <v>0</v>
      </c>
      <c r="AS766" s="467" t="str">
        <f>IFERROR(VLOOKUP(Table_NFI[[#This Row],[Camp Name]],CL,3,0),"")</f>
        <v>Open</v>
      </c>
      <c r="AT766" s="294" t="str">
        <f ca="1">IF(Table_NFI[[#This Row],[Pcode]]="","",OFFSET(CampList[Priority],MATCH(Table_NFI[[#This Row],[Pcode]],CampList[CP_Pcode],0)-1,0,1,1))</f>
        <v>P3</v>
      </c>
      <c r="AU766" s="293" t="str">
        <f>IFERROR(Table_NFI[[#This Row],[Kitchen Set]]/VLOOKUP(Table_NFI[[#This Row],[Camp Name]],CL,4,0),"")</f>
        <v/>
      </c>
      <c r="AV766" s="461" t="s">
        <v>1092</v>
      </c>
      <c r="AW766" s="463"/>
    </row>
    <row r="767" spans="1:49" s="464" customFormat="1" ht="15" customHeight="1" x14ac:dyDescent="0.25">
      <c r="A767" s="297">
        <f t="shared" si="11"/>
        <v>47.1</v>
      </c>
      <c r="B767" s="460">
        <v>41323</v>
      </c>
      <c r="C767" s="461" t="s">
        <v>452</v>
      </c>
      <c r="D767" s="462" t="s">
        <v>460</v>
      </c>
      <c r="E767" s="461" t="s">
        <v>553</v>
      </c>
      <c r="F767" s="290" t="s">
        <v>230</v>
      </c>
      <c r="G767" s="290" t="s">
        <v>233</v>
      </c>
      <c r="H767" s="291"/>
      <c r="I767" s="291"/>
      <c r="J767" s="291">
        <v>60</v>
      </c>
      <c r="K767" s="291">
        <v>60</v>
      </c>
      <c r="L767" s="292">
        <v>30</v>
      </c>
      <c r="M767" s="292">
        <v>60</v>
      </c>
      <c r="N767" s="292">
        <v>30</v>
      </c>
      <c r="O767" s="292">
        <v>30</v>
      </c>
      <c r="P767" s="294">
        <v>30</v>
      </c>
      <c r="Q767" s="294">
        <v>30</v>
      </c>
      <c r="R767" s="294"/>
      <c r="S767" s="294"/>
      <c r="T767" s="294"/>
      <c r="U767" s="294"/>
      <c r="V767" s="613"/>
      <c r="W767" s="331"/>
      <c r="X767" s="331"/>
      <c r="Y767" s="294">
        <f>IF(NFI_Expiration=1,IF($A767&lt;VLOOKUP(H$5,NFI,5,0),1,0)*Table_NFI[[#This Row],[Hygiene Kit]],Table_NFI[Hygiene Kit])</f>
        <v>0</v>
      </c>
      <c r="Z767" s="294">
        <f>IF(NFI_Expiration=1,IF($A767&lt;VLOOKUP(I$5,NFI,5,0),1,0)*Table_NFI[[#This Row],[NFI Core Kit]],Table_NFI[NFI Core Kit])</f>
        <v>0</v>
      </c>
      <c r="AA767" s="294">
        <f>IF(NFI_Expiration=1,IF($A767&lt;VLOOKUP(J$5,NFI,5,0),1,0)*Table_NFI[[#This Row],[Sanitary Kit]],Table_NFI[Sanitary Kit])</f>
        <v>0</v>
      </c>
      <c r="AB767" s="294">
        <f>IF(NFI_Expiration=1,IF($A767&lt;VLOOKUP(K$5,NFI,5,0),1,0)*Table_NFI[[#This Row],[Mosquito net]],Table_NFI[Mosquito net])</f>
        <v>0</v>
      </c>
      <c r="AC767" s="294">
        <f>IF(NFI_Expiration=1,IF($A767&lt;VLOOKUP(L$5,NFI,5,0),1,0)*Table_NFI[[#This Row],[Tarpaulin]],Table_NFI[[#This Row],[Tarpaulin]])</f>
        <v>0</v>
      </c>
      <c r="AD767" s="294">
        <f>IF(NFI_Expiration=1,IF($A767&lt;VLOOKUP(M$5,NFI,5,0),1,0)*Table_NFI[[#This Row],[Blanket]],Table_NFI[[#This Row],[Blanket]])</f>
        <v>0</v>
      </c>
      <c r="AE767" s="294">
        <f>IF(NFI_Expiration=1,IF($A767&lt;VLOOKUP(N$5,NFI,5,0),1,0)*Table_NFI[[#This Row],[Kitchen Set]],Table_NFI[Kitchen Set])</f>
        <v>0</v>
      </c>
      <c r="AF767" s="294">
        <f>IF(NFI_Expiration=1,IF($A767&lt;VLOOKUP(O$5,NFI,5,0),1,0)*Table_NFI[[#This Row],[Clothes Kit]],Table_NFI[Clothes Kit])</f>
        <v>0</v>
      </c>
      <c r="AG767" s="294">
        <f>IF(NFI_Expiration=1,IF($A767&lt;VLOOKUP(P$5,NFI,5,0),1,0)*Table_NFI[[#This Row],[Plastic Bucket]],Table_NFI[Plastic Bucket])</f>
        <v>0</v>
      </c>
      <c r="AH767" s="294">
        <f>IF(NFI_Expiration=1,IF($A767&lt;VLOOKUP(Q$5,NFI,5,0),1,0)*Table_NFI[[#This Row],[Plastic Mat]],Table_NFI[Plastic Mat])*IF(Table_NFI[[#This Row],[Distribution Date]]&gt;"2014-04-01",1,2.5)</f>
        <v>0</v>
      </c>
      <c r="AI767" s="294">
        <f>IF(NFI_Expiration=1,IF($A767&lt;VLOOKUP(R$5,NFI,5,0),1,0)*Table_NFI[[#This Row],[Winter Clothes Adult]],Table_NFI[Winter Clothes Adult])</f>
        <v>0</v>
      </c>
      <c r="AJ767" s="294">
        <f>IF(NFI_Expiration=1,IF($A767&lt;VLOOKUP(S$5,NFI,5,0),1,0)*Table_NFI[[#This Row],[Winter Clothes Children]],Table_NFI[Winter Clothes Children])</f>
        <v>0</v>
      </c>
      <c r="AK767" s="294">
        <f>IF(NFI_Expiration=1,IF($A767&lt;VLOOKUP(T$5,NFI,5,0),1,0)*Table_NFI[[#This Row],[Winter Items Other]],Table_NFI[Winter Items Other])</f>
        <v>0</v>
      </c>
      <c r="AL767" s="294">
        <f>IF(NFI_Expiration=1,IF($A767&lt;VLOOKUP(M$5,NFI,5,0),1,0)*Table_NFI[[#This Row],[Winter Blanket]],Table_NFI[[#This Row],[Winter Blanket]])</f>
        <v>0</v>
      </c>
      <c r="AM767" s="294">
        <f>IF(Table_NFI[[#This Row],[Winter Clothes Adult]]+Table_NFI[[#This Row],[Winter Clothes Children]]+Table_NFI[[#This Row],[Winter Items Other]]+Table_NFI[[#This Row],[Winter Blanket]]&gt;0,1,0)</f>
        <v>0</v>
      </c>
      <c r="AN767" s="331">
        <f>IF(NFI_Expiration=1,IF($A767&lt;VLOOKUP(V$5,NFI,5,0),1,0)*Table_NFI[[#This Row],[Jerry Can]],Table_NFI[Jerry Can])</f>
        <v>0</v>
      </c>
      <c r="AO767" s="331">
        <f>IF(NFI_Expiration=1,IF($A767&lt;VLOOKUP(V$5,NFI,5,0),1,0)*Table_NFI[[#This Row],[Shelter Tool kit]],Table_NFI[Shelter Tool kit])</f>
        <v>0</v>
      </c>
      <c r="AP767" s="331">
        <f>IF(NFI_Expiration=1,IF($A767&lt;VLOOKUP(V$5,NFI,5,0),1,0)*Table_NFI[[#This Row],[Tent]],Table_NFI[Tent])</f>
        <v>0</v>
      </c>
      <c r="AQ767" s="467" t="str">
        <f>IFERROR(VLOOKUP(Table_NFI[[#This Row],[Camp Name]],CL,2,0),"")</f>
        <v>MMR015CMP012</v>
      </c>
      <c r="AR767" s="835">
        <f ca="1">IF(Table_NFI[[#This Row],[Pcode]]="","",IF(OFFSET(CampList[Opening Date],MATCH(Table_NFI[[#This Row],[Pcode]],CampList[CP_Pcode],0)-1,0,1,1)&gt;=NFI_Monitor_Date,1,0))</f>
        <v>0</v>
      </c>
      <c r="AS767" s="467" t="str">
        <f>IFERROR(VLOOKUP(Table_NFI[[#This Row],[Camp Name]],CL,3,0),"")</f>
        <v>Closed</v>
      </c>
      <c r="AT767" s="294" t="str">
        <f ca="1">IF(Table_NFI[[#This Row],[Pcode]]="","",OFFSET(CampList[Priority],MATCH(Table_NFI[[#This Row],[Pcode]],CampList[CP_Pcode],0)-1,0,1,1))</f>
        <v>P1</v>
      </c>
      <c r="AU767" s="293">
        <f>IFERROR(Table_NFI[[#This Row],[Kitchen Set]]/VLOOKUP(Table_NFI[[#This Row],[Camp Name]],CL,4,0),"")</f>
        <v>7.3008688033876035E-4</v>
      </c>
      <c r="AV767" s="461" t="s">
        <v>1092</v>
      </c>
      <c r="AW767" s="463"/>
    </row>
    <row r="768" spans="1:49" s="464" customFormat="1" x14ac:dyDescent="0.25">
      <c r="A768" s="297">
        <f t="shared" si="11"/>
        <v>47.1</v>
      </c>
      <c r="B768" s="460">
        <v>41323</v>
      </c>
      <c r="C768" s="461" t="s">
        <v>452</v>
      </c>
      <c r="D768" s="462" t="s">
        <v>460</v>
      </c>
      <c r="E768" s="461" t="s">
        <v>553</v>
      </c>
      <c r="F768" s="290" t="s">
        <v>289</v>
      </c>
      <c r="G768" s="290" t="s">
        <v>361</v>
      </c>
      <c r="H768" s="291"/>
      <c r="I768" s="291"/>
      <c r="J768" s="291">
        <v>16</v>
      </c>
      <c r="K768" s="291">
        <v>16</v>
      </c>
      <c r="L768" s="292">
        <v>8</v>
      </c>
      <c r="M768" s="292">
        <v>16</v>
      </c>
      <c r="N768" s="292">
        <v>8</v>
      </c>
      <c r="O768" s="292">
        <v>8</v>
      </c>
      <c r="P768" s="294">
        <v>8</v>
      </c>
      <c r="Q768" s="294">
        <v>8</v>
      </c>
      <c r="R768" s="294"/>
      <c r="S768" s="294"/>
      <c r="T768" s="294"/>
      <c r="U768" s="294"/>
      <c r="V768" s="431"/>
      <c r="W768" s="331"/>
      <c r="X768" s="331"/>
      <c r="Y768" s="294">
        <f>IF(NFI_Expiration=1,IF($A768&lt;VLOOKUP(H$5,NFI,5,0),1,0)*Table_NFI[[#This Row],[Hygiene Kit]],Table_NFI[Hygiene Kit])</f>
        <v>0</v>
      </c>
      <c r="Z768" s="294">
        <f>IF(NFI_Expiration=1,IF($A768&lt;VLOOKUP(I$5,NFI,5,0),1,0)*Table_NFI[[#This Row],[NFI Core Kit]],Table_NFI[NFI Core Kit])</f>
        <v>0</v>
      </c>
      <c r="AA768" s="294">
        <f>IF(NFI_Expiration=1,IF($A768&lt;VLOOKUP(J$5,NFI,5,0),1,0)*Table_NFI[[#This Row],[Sanitary Kit]],Table_NFI[Sanitary Kit])</f>
        <v>0</v>
      </c>
      <c r="AB768" s="294">
        <f>IF(NFI_Expiration=1,IF($A768&lt;VLOOKUP(K$5,NFI,5,0),1,0)*Table_NFI[[#This Row],[Mosquito net]],Table_NFI[Mosquito net])</f>
        <v>0</v>
      </c>
      <c r="AC768" s="294">
        <f>IF(NFI_Expiration=1,IF($A768&lt;VLOOKUP(L$5,NFI,5,0),1,0)*Table_NFI[[#This Row],[Tarpaulin]],Table_NFI[[#This Row],[Tarpaulin]])</f>
        <v>0</v>
      </c>
      <c r="AD768" s="294">
        <f>IF(NFI_Expiration=1,IF($A768&lt;VLOOKUP(M$5,NFI,5,0),1,0)*Table_NFI[[#This Row],[Blanket]],Table_NFI[[#This Row],[Blanket]])</f>
        <v>0</v>
      </c>
      <c r="AE768" s="294">
        <f>IF(NFI_Expiration=1,IF($A768&lt;VLOOKUP(N$5,NFI,5,0),1,0)*Table_NFI[[#This Row],[Kitchen Set]],Table_NFI[Kitchen Set])</f>
        <v>0</v>
      </c>
      <c r="AF768" s="294">
        <f>IF(NFI_Expiration=1,IF($A768&lt;VLOOKUP(O$5,NFI,5,0),1,0)*Table_NFI[[#This Row],[Clothes Kit]],Table_NFI[Clothes Kit])</f>
        <v>0</v>
      </c>
      <c r="AG768" s="294">
        <f>IF(NFI_Expiration=1,IF($A768&lt;VLOOKUP(P$5,NFI,5,0),1,0)*Table_NFI[[#This Row],[Plastic Bucket]],Table_NFI[Plastic Bucket])</f>
        <v>0</v>
      </c>
      <c r="AH768" s="294">
        <f>IF(NFI_Expiration=1,IF($A768&lt;VLOOKUP(Q$5,NFI,5,0),1,0)*Table_NFI[[#This Row],[Plastic Mat]],Table_NFI[Plastic Mat])*IF(Table_NFI[[#This Row],[Distribution Date]]&gt;"2014-04-01",1,2.5)</f>
        <v>0</v>
      </c>
      <c r="AI768" s="294">
        <f>IF(NFI_Expiration=1,IF($A768&lt;VLOOKUP(R$5,NFI,5,0),1,0)*Table_NFI[[#This Row],[Winter Clothes Adult]],Table_NFI[Winter Clothes Adult])</f>
        <v>0</v>
      </c>
      <c r="AJ768" s="294">
        <f>IF(NFI_Expiration=1,IF($A768&lt;VLOOKUP(S$5,NFI,5,0),1,0)*Table_NFI[[#This Row],[Winter Clothes Children]],Table_NFI[Winter Clothes Children])</f>
        <v>0</v>
      </c>
      <c r="AK768" s="294">
        <f>IF(NFI_Expiration=1,IF($A768&lt;VLOOKUP(T$5,NFI,5,0),1,0)*Table_NFI[[#This Row],[Winter Items Other]],Table_NFI[Winter Items Other])</f>
        <v>0</v>
      </c>
      <c r="AL768" s="294">
        <f>IF(NFI_Expiration=1,IF($A768&lt;VLOOKUP(M$5,NFI,5,0),1,0)*Table_NFI[[#This Row],[Winter Blanket]],Table_NFI[[#This Row],[Winter Blanket]])</f>
        <v>0</v>
      </c>
      <c r="AM768" s="294">
        <f>IF(Table_NFI[[#This Row],[Winter Clothes Adult]]+Table_NFI[[#This Row],[Winter Clothes Children]]+Table_NFI[[#This Row],[Winter Items Other]]+Table_NFI[[#This Row],[Winter Blanket]]&gt;0,1,0)</f>
        <v>0</v>
      </c>
      <c r="AN768" s="331">
        <f>IF(NFI_Expiration=1,IF($A768&lt;VLOOKUP(V$5,NFI,5,0),1,0)*Table_NFI[[#This Row],[Jerry Can]],Table_NFI[Jerry Can])</f>
        <v>0</v>
      </c>
      <c r="AO768" s="331">
        <f>IF(NFI_Expiration=1,IF($A768&lt;VLOOKUP(V$5,NFI,5,0),1,0)*Table_NFI[[#This Row],[Shelter Tool kit]],Table_NFI[Shelter Tool kit])</f>
        <v>0</v>
      </c>
      <c r="AP768" s="331">
        <f>IF(NFI_Expiration=1,IF($A768&lt;VLOOKUP(V$5,NFI,5,0),1,0)*Table_NFI[[#This Row],[Tent]],Table_NFI[Tent])</f>
        <v>0</v>
      </c>
      <c r="AQ768" s="467" t="str">
        <f>IFERROR(VLOOKUP(Table_NFI[[#This Row],[Camp Name]],CL,2,0),"")</f>
        <v>MMR015CMP139</v>
      </c>
      <c r="AR768" s="835">
        <f ca="1">IF(Table_NFI[[#This Row],[Pcode]]="","",IF(OFFSET(CampList[Opening Date],MATCH(Table_NFI[[#This Row],[Pcode]],CampList[CP_Pcode],0)-1,0,1,1)&gt;=NFI_Monitor_Date,1,0))</f>
        <v>0</v>
      </c>
      <c r="AS768" s="467" t="str">
        <f>IFERROR(VLOOKUP(Table_NFI[[#This Row],[Camp Name]],CL,3,0),"")</f>
        <v>Closed</v>
      </c>
      <c r="AT768" s="294" t="str">
        <f ca="1">IF(Table_NFI[[#This Row],[Pcode]]="","",OFFSET(CampList[Priority],MATCH(Table_NFI[[#This Row],[Pcode]],CampList[CP_Pcode],0)-1,0,1,1))</f>
        <v>P2</v>
      </c>
      <c r="AU768" s="293">
        <f>IFERROR(Table_NFI[[#This Row],[Kitchen Set]]/VLOOKUP(Table_NFI[[#This Row],[Camp Name]],CL,4,0),"")</f>
        <v>1.961409272562336E-4</v>
      </c>
      <c r="AV768" s="461" t="s">
        <v>1092</v>
      </c>
      <c r="AW768" s="463"/>
    </row>
    <row r="769" spans="1:49" s="464" customFormat="1" x14ac:dyDescent="0.25">
      <c r="A769" s="297">
        <f t="shared" si="11"/>
        <v>47.366666666666667</v>
      </c>
      <c r="B769" s="460">
        <v>41315</v>
      </c>
      <c r="C769" s="461" t="s">
        <v>900</v>
      </c>
      <c r="D769" s="461" t="s">
        <v>900</v>
      </c>
      <c r="E769" s="461" t="s">
        <v>380</v>
      </c>
      <c r="F769" s="290" t="s">
        <v>180</v>
      </c>
      <c r="G769" s="290" t="s">
        <v>183</v>
      </c>
      <c r="H769" s="291"/>
      <c r="I769" s="291"/>
      <c r="J769" s="291"/>
      <c r="K769" s="291"/>
      <c r="L769" s="292">
        <v>36</v>
      </c>
      <c r="M769" s="292"/>
      <c r="N769" s="292">
        <v>22</v>
      </c>
      <c r="O769" s="292"/>
      <c r="P769" s="294">
        <v>0</v>
      </c>
      <c r="Q769" s="294">
        <v>0</v>
      </c>
      <c r="R769" s="294"/>
      <c r="S769" s="294"/>
      <c r="T769" s="294"/>
      <c r="U769" s="294"/>
      <c r="V769" s="431"/>
      <c r="W769" s="331"/>
      <c r="X769" s="331"/>
      <c r="Y769" s="294">
        <f>IF(NFI_Expiration=1,IF($A769&lt;VLOOKUP(H$5,NFI,5,0),1,0)*Table_NFI[[#This Row],[Hygiene Kit]],Table_NFI[Hygiene Kit])</f>
        <v>0</v>
      </c>
      <c r="Z769" s="294">
        <f>IF(NFI_Expiration=1,IF($A769&lt;VLOOKUP(I$5,NFI,5,0),1,0)*Table_NFI[[#This Row],[NFI Core Kit]],Table_NFI[NFI Core Kit])</f>
        <v>0</v>
      </c>
      <c r="AA769" s="294">
        <f>IF(NFI_Expiration=1,IF($A769&lt;VLOOKUP(J$5,NFI,5,0),1,0)*Table_NFI[[#This Row],[Sanitary Kit]],Table_NFI[Sanitary Kit])</f>
        <v>0</v>
      </c>
      <c r="AB769" s="294">
        <f>IF(NFI_Expiration=1,IF($A769&lt;VLOOKUP(K$5,NFI,5,0),1,0)*Table_NFI[[#This Row],[Mosquito net]],Table_NFI[Mosquito net])</f>
        <v>0</v>
      </c>
      <c r="AC769" s="294">
        <f>IF(NFI_Expiration=1,IF($A769&lt;VLOOKUP(L$5,NFI,5,0),1,0)*Table_NFI[[#This Row],[Tarpaulin]],Table_NFI[[#This Row],[Tarpaulin]])</f>
        <v>0</v>
      </c>
      <c r="AD769" s="294">
        <f>IF(NFI_Expiration=1,IF($A769&lt;VLOOKUP(M$5,NFI,5,0),1,0)*Table_NFI[[#This Row],[Blanket]],Table_NFI[[#This Row],[Blanket]])</f>
        <v>0</v>
      </c>
      <c r="AE769" s="294">
        <f>IF(NFI_Expiration=1,IF($A769&lt;VLOOKUP(N$5,NFI,5,0),1,0)*Table_NFI[[#This Row],[Kitchen Set]],Table_NFI[Kitchen Set])</f>
        <v>0</v>
      </c>
      <c r="AF769" s="294">
        <f>IF(NFI_Expiration=1,IF($A769&lt;VLOOKUP(O$5,NFI,5,0),1,0)*Table_NFI[[#This Row],[Clothes Kit]],Table_NFI[Clothes Kit])</f>
        <v>0</v>
      </c>
      <c r="AG769" s="294">
        <f>IF(NFI_Expiration=1,IF($A769&lt;VLOOKUP(P$5,NFI,5,0),1,0)*Table_NFI[[#This Row],[Plastic Bucket]],Table_NFI[Plastic Bucket])</f>
        <v>0</v>
      </c>
      <c r="AH769" s="294">
        <f>IF(NFI_Expiration=1,IF($A769&lt;VLOOKUP(Q$5,NFI,5,0),1,0)*Table_NFI[[#This Row],[Plastic Mat]],Table_NFI[Plastic Mat])*IF(Table_NFI[[#This Row],[Distribution Date]]&gt;"2014-04-01",1,2.5)</f>
        <v>0</v>
      </c>
      <c r="AI769" s="294">
        <f>IF(NFI_Expiration=1,IF($A769&lt;VLOOKUP(R$5,NFI,5,0),1,0)*Table_NFI[[#This Row],[Winter Clothes Adult]],Table_NFI[Winter Clothes Adult])</f>
        <v>0</v>
      </c>
      <c r="AJ769" s="294">
        <f>IF(NFI_Expiration=1,IF($A769&lt;VLOOKUP(S$5,NFI,5,0),1,0)*Table_NFI[[#This Row],[Winter Clothes Children]],Table_NFI[Winter Clothes Children])</f>
        <v>0</v>
      </c>
      <c r="AK769" s="294">
        <f>IF(NFI_Expiration=1,IF($A769&lt;VLOOKUP(T$5,NFI,5,0),1,0)*Table_NFI[[#This Row],[Winter Items Other]],Table_NFI[Winter Items Other])</f>
        <v>0</v>
      </c>
      <c r="AL769" s="294">
        <f>IF(NFI_Expiration=1,IF($A769&lt;VLOOKUP(M$5,NFI,5,0),1,0)*Table_NFI[[#This Row],[Winter Blanket]],Table_NFI[[#This Row],[Winter Blanket]])</f>
        <v>0</v>
      </c>
      <c r="AM769" s="294">
        <f>IF(Table_NFI[[#This Row],[Winter Clothes Adult]]+Table_NFI[[#This Row],[Winter Clothes Children]]+Table_NFI[[#This Row],[Winter Items Other]]+Table_NFI[[#This Row],[Winter Blanket]]&gt;0,1,0)</f>
        <v>0</v>
      </c>
      <c r="AN769" s="331">
        <f>IF(NFI_Expiration=1,IF($A769&lt;VLOOKUP(V$5,NFI,5,0),1,0)*Table_NFI[[#This Row],[Jerry Can]],Table_NFI[Jerry Can])</f>
        <v>0</v>
      </c>
      <c r="AO769" s="331">
        <f>IF(NFI_Expiration=1,IF($A769&lt;VLOOKUP(V$5,NFI,5,0),1,0)*Table_NFI[[#This Row],[Shelter Tool kit]],Table_NFI[Shelter Tool kit])</f>
        <v>0</v>
      </c>
      <c r="AP769" s="331">
        <f>IF(NFI_Expiration=1,IF($A769&lt;VLOOKUP(V$5,NFI,5,0),1,0)*Table_NFI[[#This Row],[Tent]],Table_NFI[Tent])</f>
        <v>0</v>
      </c>
      <c r="AQ769" s="467" t="str">
        <f>IFERROR(VLOOKUP(Table_NFI[[#This Row],[Camp Name]],CL,2,0),"")</f>
        <v>MMR001CMP081</v>
      </c>
      <c r="AR769" s="835">
        <f ca="1">IF(Table_NFI[[#This Row],[Pcode]]="","",IF(OFFSET(CampList[Opening Date],MATCH(Table_NFI[[#This Row],[Pcode]],CampList[CP_Pcode],0)-1,0,1,1)&gt;=NFI_Monitor_Date,1,0))</f>
        <v>0</v>
      </c>
      <c r="AS769" s="467" t="str">
        <f>IFERROR(VLOOKUP(Table_NFI[[#This Row],[Camp Name]],CL,3,0),"")</f>
        <v>Closed</v>
      </c>
      <c r="AT769" s="294" t="str">
        <f ca="1">IF(Table_NFI[[#This Row],[Pcode]]="","",OFFSET(CampList[Priority],MATCH(Table_NFI[[#This Row],[Pcode]],CampList[CP_Pcode],0)-1,0,1,1))</f>
        <v>P4</v>
      </c>
      <c r="AU769" s="293">
        <f>IFERROR(Table_NFI[[#This Row],[Kitchen Set]]/VLOOKUP(Table_NFI[[#This Row],[Camp Name]],CL,4,0),"")</f>
        <v>5.3699138372916109E-4</v>
      </c>
      <c r="AV769" s="461" t="s">
        <v>1092</v>
      </c>
      <c r="AW769" s="463"/>
    </row>
    <row r="770" spans="1:49" s="464" customFormat="1" ht="15" customHeight="1" x14ac:dyDescent="0.25">
      <c r="A770" s="297">
        <f t="shared" si="11"/>
        <v>47.366666666666667</v>
      </c>
      <c r="B770" s="460">
        <v>41315</v>
      </c>
      <c r="C770" s="461" t="s">
        <v>900</v>
      </c>
      <c r="D770" s="462" t="s">
        <v>900</v>
      </c>
      <c r="E770" s="461" t="s">
        <v>380</v>
      </c>
      <c r="F770" s="290" t="s">
        <v>180</v>
      </c>
      <c r="G770" s="290" t="s">
        <v>181</v>
      </c>
      <c r="H770" s="291"/>
      <c r="I770" s="291"/>
      <c r="J770" s="291"/>
      <c r="K770" s="291"/>
      <c r="L770" s="292">
        <v>20</v>
      </c>
      <c r="M770" s="292"/>
      <c r="N770" s="292">
        <v>12</v>
      </c>
      <c r="O770" s="292"/>
      <c r="P770" s="294">
        <v>0</v>
      </c>
      <c r="Q770" s="294">
        <v>0</v>
      </c>
      <c r="R770" s="294"/>
      <c r="S770" s="294"/>
      <c r="T770" s="294"/>
      <c r="U770" s="294"/>
      <c r="V770" s="431"/>
      <c r="W770" s="331"/>
      <c r="X770" s="331"/>
      <c r="Y770" s="294">
        <f>IF(NFI_Expiration=1,IF($A770&lt;VLOOKUP(H$5,NFI,5,0),1,0)*Table_NFI[[#This Row],[Hygiene Kit]],Table_NFI[Hygiene Kit])</f>
        <v>0</v>
      </c>
      <c r="Z770" s="294">
        <f>IF(NFI_Expiration=1,IF($A770&lt;VLOOKUP(I$5,NFI,5,0),1,0)*Table_NFI[[#This Row],[NFI Core Kit]],Table_NFI[NFI Core Kit])</f>
        <v>0</v>
      </c>
      <c r="AA770" s="294">
        <f>IF(NFI_Expiration=1,IF($A770&lt;VLOOKUP(J$5,NFI,5,0),1,0)*Table_NFI[[#This Row],[Sanitary Kit]],Table_NFI[Sanitary Kit])</f>
        <v>0</v>
      </c>
      <c r="AB770" s="294">
        <f>IF(NFI_Expiration=1,IF($A770&lt;VLOOKUP(K$5,NFI,5,0),1,0)*Table_NFI[[#This Row],[Mosquito net]],Table_NFI[Mosquito net])</f>
        <v>0</v>
      </c>
      <c r="AC770" s="294">
        <f>IF(NFI_Expiration=1,IF($A770&lt;VLOOKUP(L$5,NFI,5,0),1,0)*Table_NFI[[#This Row],[Tarpaulin]],Table_NFI[[#This Row],[Tarpaulin]])</f>
        <v>0</v>
      </c>
      <c r="AD770" s="294">
        <f>IF(NFI_Expiration=1,IF($A770&lt;VLOOKUP(M$5,NFI,5,0),1,0)*Table_NFI[[#This Row],[Blanket]],Table_NFI[[#This Row],[Blanket]])</f>
        <v>0</v>
      </c>
      <c r="AE770" s="294">
        <f>IF(NFI_Expiration=1,IF($A770&lt;VLOOKUP(N$5,NFI,5,0),1,0)*Table_NFI[[#This Row],[Kitchen Set]],Table_NFI[Kitchen Set])</f>
        <v>0</v>
      </c>
      <c r="AF770" s="294">
        <f>IF(NFI_Expiration=1,IF($A770&lt;VLOOKUP(O$5,NFI,5,0),1,0)*Table_NFI[[#This Row],[Clothes Kit]],Table_NFI[Clothes Kit])</f>
        <v>0</v>
      </c>
      <c r="AG770" s="294">
        <f>IF(NFI_Expiration=1,IF($A770&lt;VLOOKUP(P$5,NFI,5,0),1,0)*Table_NFI[[#This Row],[Plastic Bucket]],Table_NFI[Plastic Bucket])</f>
        <v>0</v>
      </c>
      <c r="AH770" s="294">
        <f>IF(NFI_Expiration=1,IF($A770&lt;VLOOKUP(Q$5,NFI,5,0),1,0)*Table_NFI[[#This Row],[Plastic Mat]],Table_NFI[Plastic Mat])*IF(Table_NFI[[#This Row],[Distribution Date]]&gt;"2014-04-01",1,2.5)</f>
        <v>0</v>
      </c>
      <c r="AI770" s="294">
        <f>IF(NFI_Expiration=1,IF($A770&lt;VLOOKUP(R$5,NFI,5,0),1,0)*Table_NFI[[#This Row],[Winter Clothes Adult]],Table_NFI[Winter Clothes Adult])</f>
        <v>0</v>
      </c>
      <c r="AJ770" s="294">
        <f>IF(NFI_Expiration=1,IF($A770&lt;VLOOKUP(S$5,NFI,5,0),1,0)*Table_NFI[[#This Row],[Winter Clothes Children]],Table_NFI[Winter Clothes Children])</f>
        <v>0</v>
      </c>
      <c r="AK770" s="294">
        <f>IF(NFI_Expiration=1,IF($A770&lt;VLOOKUP(T$5,NFI,5,0),1,0)*Table_NFI[[#This Row],[Winter Items Other]],Table_NFI[Winter Items Other])</f>
        <v>0</v>
      </c>
      <c r="AL770" s="294">
        <f>IF(NFI_Expiration=1,IF($A770&lt;VLOOKUP(M$5,NFI,5,0),1,0)*Table_NFI[[#This Row],[Winter Blanket]],Table_NFI[[#This Row],[Winter Blanket]])</f>
        <v>0</v>
      </c>
      <c r="AM770" s="294">
        <f>IF(Table_NFI[[#This Row],[Winter Clothes Adult]]+Table_NFI[[#This Row],[Winter Clothes Children]]+Table_NFI[[#This Row],[Winter Items Other]]+Table_NFI[[#This Row],[Winter Blanket]]&gt;0,1,0)</f>
        <v>0</v>
      </c>
      <c r="AN770" s="331">
        <f>IF(NFI_Expiration=1,IF($A770&lt;VLOOKUP(V$5,NFI,5,0),1,0)*Table_NFI[[#This Row],[Jerry Can]],Table_NFI[Jerry Can])</f>
        <v>0</v>
      </c>
      <c r="AO770" s="331">
        <f>IF(NFI_Expiration=1,IF($A770&lt;VLOOKUP(V$5,NFI,5,0),1,0)*Table_NFI[[#This Row],[Shelter Tool kit]],Table_NFI[Shelter Tool kit])</f>
        <v>0</v>
      </c>
      <c r="AP770" s="331">
        <f>IF(NFI_Expiration=1,IF($A770&lt;VLOOKUP(V$5,NFI,5,0),1,0)*Table_NFI[[#This Row],[Tent]],Table_NFI[Tent])</f>
        <v>0</v>
      </c>
      <c r="AQ770" s="467" t="str">
        <f>IFERROR(VLOOKUP(Table_NFI[[#This Row],[Camp Name]],CL,2,0),"")</f>
        <v>MMR001CMP080</v>
      </c>
      <c r="AR770" s="835">
        <f ca="1">IF(Table_NFI[[#This Row],[Pcode]]="","",IF(OFFSET(CampList[Opening Date],MATCH(Table_NFI[[#This Row],[Pcode]],CampList[CP_Pcode],0)-1,0,1,1)&gt;=NFI_Monitor_Date,1,0))</f>
        <v>0</v>
      </c>
      <c r="AS770" s="467" t="str">
        <f>IFERROR(VLOOKUP(Table_NFI[[#This Row],[Camp Name]],CL,3,0),"")</f>
        <v>Open</v>
      </c>
      <c r="AT770" s="294" t="str">
        <f ca="1">IF(Table_NFI[[#This Row],[Pcode]]="","",OFFSET(CampList[Priority],MATCH(Table_NFI[[#This Row],[Pcode]],CampList[CP_Pcode],0)-1,0,1,1))</f>
        <v>P4</v>
      </c>
      <c r="AU770" s="293">
        <f>IFERROR(Table_NFI[[#This Row],[Kitchen Set]]/VLOOKUP(Table_NFI[[#This Row],[Camp Name]],CL,4,0),"")</f>
        <v>2.9224811865273618E-4</v>
      </c>
      <c r="AV770" s="461" t="s">
        <v>1092</v>
      </c>
      <c r="AW770" s="463"/>
    </row>
    <row r="771" spans="1:49" s="464" customFormat="1" ht="15" customHeight="1" x14ac:dyDescent="0.25">
      <c r="A771" s="297">
        <f t="shared" si="11"/>
        <v>47.4</v>
      </c>
      <c r="B771" s="460">
        <v>41314</v>
      </c>
      <c r="C771" s="461" t="s">
        <v>900</v>
      </c>
      <c r="D771" s="461" t="s">
        <v>900</v>
      </c>
      <c r="E771" s="461" t="s">
        <v>380</v>
      </c>
      <c r="F771" s="461" t="s">
        <v>237</v>
      </c>
      <c r="G771" s="290" t="s">
        <v>253</v>
      </c>
      <c r="H771" s="291"/>
      <c r="I771" s="291"/>
      <c r="J771" s="291"/>
      <c r="K771" s="291"/>
      <c r="L771" s="292">
        <v>177</v>
      </c>
      <c r="M771" s="292">
        <v>10</v>
      </c>
      <c r="N771" s="292">
        <v>10</v>
      </c>
      <c r="O771" s="292"/>
      <c r="P771" s="294">
        <v>0</v>
      </c>
      <c r="Q771" s="294">
        <v>0</v>
      </c>
      <c r="R771" s="294"/>
      <c r="S771" s="294"/>
      <c r="T771" s="294"/>
      <c r="U771" s="294"/>
      <c r="V771" s="431"/>
      <c r="W771" s="331"/>
      <c r="X771" s="331"/>
      <c r="Y771" s="294">
        <f>IF(NFI_Expiration=1,IF($A771&lt;VLOOKUP(H$5,NFI,5,0),1,0)*Table_NFI[[#This Row],[Hygiene Kit]],Table_NFI[Hygiene Kit])</f>
        <v>0</v>
      </c>
      <c r="Z771" s="294">
        <f>IF(NFI_Expiration=1,IF($A771&lt;VLOOKUP(I$5,NFI,5,0),1,0)*Table_NFI[[#This Row],[NFI Core Kit]],Table_NFI[NFI Core Kit])</f>
        <v>0</v>
      </c>
      <c r="AA771" s="294">
        <f>IF(NFI_Expiration=1,IF($A771&lt;VLOOKUP(J$5,NFI,5,0),1,0)*Table_NFI[[#This Row],[Sanitary Kit]],Table_NFI[Sanitary Kit])</f>
        <v>0</v>
      </c>
      <c r="AB771" s="294">
        <f>IF(NFI_Expiration=1,IF($A771&lt;VLOOKUP(K$5,NFI,5,0),1,0)*Table_NFI[[#This Row],[Mosquito net]],Table_NFI[Mosquito net])</f>
        <v>0</v>
      </c>
      <c r="AC771" s="294">
        <f>IF(NFI_Expiration=1,IF($A771&lt;VLOOKUP(L$5,NFI,5,0),1,0)*Table_NFI[[#This Row],[Tarpaulin]],Table_NFI[[#This Row],[Tarpaulin]])</f>
        <v>0</v>
      </c>
      <c r="AD771" s="294">
        <f>IF(NFI_Expiration=1,IF($A771&lt;VLOOKUP(M$5,NFI,5,0),1,0)*Table_NFI[[#This Row],[Blanket]],Table_NFI[[#This Row],[Blanket]])</f>
        <v>0</v>
      </c>
      <c r="AE771" s="294">
        <f>IF(NFI_Expiration=1,IF($A771&lt;VLOOKUP(N$5,NFI,5,0),1,0)*Table_NFI[[#This Row],[Kitchen Set]],Table_NFI[Kitchen Set])</f>
        <v>0</v>
      </c>
      <c r="AF771" s="294">
        <f>IF(NFI_Expiration=1,IF($A771&lt;VLOOKUP(O$5,NFI,5,0),1,0)*Table_NFI[[#This Row],[Clothes Kit]],Table_NFI[Clothes Kit])</f>
        <v>0</v>
      </c>
      <c r="AG771" s="294">
        <f>IF(NFI_Expiration=1,IF($A771&lt;VLOOKUP(P$5,NFI,5,0),1,0)*Table_NFI[[#This Row],[Plastic Bucket]],Table_NFI[Plastic Bucket])</f>
        <v>0</v>
      </c>
      <c r="AH771" s="294">
        <f>IF(NFI_Expiration=1,IF($A771&lt;VLOOKUP(Q$5,NFI,5,0),1,0)*Table_NFI[[#This Row],[Plastic Mat]],Table_NFI[Plastic Mat])*IF(Table_NFI[[#This Row],[Distribution Date]]&gt;"2014-04-01",1,2.5)</f>
        <v>0</v>
      </c>
      <c r="AI771" s="294">
        <f>IF(NFI_Expiration=1,IF($A771&lt;VLOOKUP(R$5,NFI,5,0),1,0)*Table_NFI[[#This Row],[Winter Clothes Adult]],Table_NFI[Winter Clothes Adult])</f>
        <v>0</v>
      </c>
      <c r="AJ771" s="294">
        <f>IF(NFI_Expiration=1,IF($A771&lt;VLOOKUP(S$5,NFI,5,0),1,0)*Table_NFI[[#This Row],[Winter Clothes Children]],Table_NFI[Winter Clothes Children])</f>
        <v>0</v>
      </c>
      <c r="AK771" s="294">
        <f>IF(NFI_Expiration=1,IF($A771&lt;VLOOKUP(T$5,NFI,5,0),1,0)*Table_NFI[[#This Row],[Winter Items Other]],Table_NFI[Winter Items Other])</f>
        <v>0</v>
      </c>
      <c r="AL771" s="294">
        <f>IF(NFI_Expiration=1,IF($A771&lt;VLOOKUP(M$5,NFI,5,0),1,0)*Table_NFI[[#This Row],[Winter Blanket]],Table_NFI[[#This Row],[Winter Blanket]])</f>
        <v>0</v>
      </c>
      <c r="AM771" s="294">
        <f>IF(Table_NFI[[#This Row],[Winter Clothes Adult]]+Table_NFI[[#This Row],[Winter Clothes Children]]+Table_NFI[[#This Row],[Winter Items Other]]+Table_NFI[[#This Row],[Winter Blanket]]&gt;0,1,0)</f>
        <v>0</v>
      </c>
      <c r="AN771" s="331">
        <f>IF(NFI_Expiration=1,IF($A771&lt;VLOOKUP(V$5,NFI,5,0),1,0)*Table_NFI[[#This Row],[Jerry Can]],Table_NFI[Jerry Can])</f>
        <v>0</v>
      </c>
      <c r="AO771" s="331">
        <f>IF(NFI_Expiration=1,IF($A771&lt;VLOOKUP(V$5,NFI,5,0),1,0)*Table_NFI[[#This Row],[Shelter Tool kit]],Table_NFI[Shelter Tool kit])</f>
        <v>0</v>
      </c>
      <c r="AP771" s="331">
        <f>IF(NFI_Expiration=1,IF($A771&lt;VLOOKUP(V$5,NFI,5,0),1,0)*Table_NFI[[#This Row],[Tent]],Table_NFI[Tent])</f>
        <v>0</v>
      </c>
      <c r="AQ771" s="467" t="str">
        <f>IFERROR(VLOOKUP(Table_NFI[[#This Row],[Camp Name]],CL,2,0),"")</f>
        <v>MMR001CMP018</v>
      </c>
      <c r="AR771" s="835">
        <f ca="1">IF(Table_NFI[[#This Row],[Pcode]]="","",IF(OFFSET(CampList[Opening Date],MATCH(Table_NFI[[#This Row],[Pcode]],CampList[CP_Pcode],0)-1,0,1,1)&gt;=NFI_Monitor_Date,1,0))</f>
        <v>0</v>
      </c>
      <c r="AS771" s="467" t="str">
        <f>IFERROR(VLOOKUP(Table_NFI[[#This Row],[Camp Name]],CL,3,0),"")</f>
        <v>Open</v>
      </c>
      <c r="AT771" s="294" t="str">
        <f ca="1">IF(Table_NFI[[#This Row],[Pcode]]="","",OFFSET(CampList[Priority],MATCH(Table_NFI[[#This Row],[Pcode]],CampList[CP_Pcode],0)-1,0,1,1))</f>
        <v>P4</v>
      </c>
      <c r="AU771" s="293">
        <f>IFERROR(Table_NFI[[#This Row],[Kitchen Set]]/VLOOKUP(Table_NFI[[#This Row],[Camp Name]],CL,4,0),"")</f>
        <v>2.4554941682013506E-4</v>
      </c>
      <c r="AV771" s="461" t="s">
        <v>1092</v>
      </c>
      <c r="AW771" s="463"/>
    </row>
    <row r="772" spans="1:49" s="464" customFormat="1" x14ac:dyDescent="0.25">
      <c r="A772" s="297">
        <f t="shared" si="11"/>
        <v>47.4</v>
      </c>
      <c r="B772" s="460">
        <v>41314</v>
      </c>
      <c r="C772" s="461" t="s">
        <v>900</v>
      </c>
      <c r="D772" s="462" t="s">
        <v>900</v>
      </c>
      <c r="E772" s="461" t="s">
        <v>380</v>
      </c>
      <c r="F772" s="290" t="s">
        <v>237</v>
      </c>
      <c r="G772" s="290" t="s">
        <v>277</v>
      </c>
      <c r="H772" s="291"/>
      <c r="I772" s="291"/>
      <c r="J772" s="291"/>
      <c r="K772" s="291"/>
      <c r="L772" s="292">
        <v>109</v>
      </c>
      <c r="M772" s="292">
        <v>10</v>
      </c>
      <c r="N772" s="292">
        <v>10</v>
      </c>
      <c r="O772" s="292"/>
      <c r="P772" s="294">
        <v>0</v>
      </c>
      <c r="Q772" s="294">
        <v>0</v>
      </c>
      <c r="R772" s="294"/>
      <c r="S772" s="294"/>
      <c r="T772" s="294"/>
      <c r="U772" s="294"/>
      <c r="V772" s="613"/>
      <c r="W772" s="331"/>
      <c r="X772" s="331"/>
      <c r="Y772" s="294">
        <f>IF(NFI_Expiration=1,IF($A772&lt;VLOOKUP(H$5,NFI,5,0),1,0)*Table_NFI[[#This Row],[Hygiene Kit]],Table_NFI[Hygiene Kit])</f>
        <v>0</v>
      </c>
      <c r="Z772" s="294">
        <f>IF(NFI_Expiration=1,IF($A772&lt;VLOOKUP(I$5,NFI,5,0),1,0)*Table_NFI[[#This Row],[NFI Core Kit]],Table_NFI[NFI Core Kit])</f>
        <v>0</v>
      </c>
      <c r="AA772" s="294">
        <f>IF(NFI_Expiration=1,IF($A772&lt;VLOOKUP(J$5,NFI,5,0),1,0)*Table_NFI[[#This Row],[Sanitary Kit]],Table_NFI[Sanitary Kit])</f>
        <v>0</v>
      </c>
      <c r="AB772" s="294">
        <f>IF(NFI_Expiration=1,IF($A772&lt;VLOOKUP(K$5,NFI,5,0),1,0)*Table_NFI[[#This Row],[Mosquito net]],Table_NFI[Mosquito net])</f>
        <v>0</v>
      </c>
      <c r="AC772" s="294">
        <f>IF(NFI_Expiration=1,IF($A772&lt;VLOOKUP(L$5,NFI,5,0),1,0)*Table_NFI[[#This Row],[Tarpaulin]],Table_NFI[[#This Row],[Tarpaulin]])</f>
        <v>0</v>
      </c>
      <c r="AD772" s="294">
        <f>IF(NFI_Expiration=1,IF($A772&lt;VLOOKUP(M$5,NFI,5,0),1,0)*Table_NFI[[#This Row],[Blanket]],Table_NFI[[#This Row],[Blanket]])</f>
        <v>0</v>
      </c>
      <c r="AE772" s="294">
        <f>IF(NFI_Expiration=1,IF($A772&lt;VLOOKUP(N$5,NFI,5,0),1,0)*Table_NFI[[#This Row],[Kitchen Set]],Table_NFI[Kitchen Set])</f>
        <v>0</v>
      </c>
      <c r="AF772" s="294">
        <f>IF(NFI_Expiration=1,IF($A772&lt;VLOOKUP(O$5,NFI,5,0),1,0)*Table_NFI[[#This Row],[Clothes Kit]],Table_NFI[Clothes Kit])</f>
        <v>0</v>
      </c>
      <c r="AG772" s="294">
        <f>IF(NFI_Expiration=1,IF($A772&lt;VLOOKUP(P$5,NFI,5,0),1,0)*Table_NFI[[#This Row],[Plastic Bucket]],Table_NFI[Plastic Bucket])</f>
        <v>0</v>
      </c>
      <c r="AH772" s="294">
        <f>IF(NFI_Expiration=1,IF($A772&lt;VLOOKUP(Q$5,NFI,5,0),1,0)*Table_NFI[[#This Row],[Plastic Mat]],Table_NFI[Plastic Mat])*IF(Table_NFI[[#This Row],[Distribution Date]]&gt;"2014-04-01",1,2.5)</f>
        <v>0</v>
      </c>
      <c r="AI772" s="294">
        <f>IF(NFI_Expiration=1,IF($A772&lt;VLOOKUP(R$5,NFI,5,0),1,0)*Table_NFI[[#This Row],[Winter Clothes Adult]],Table_NFI[Winter Clothes Adult])</f>
        <v>0</v>
      </c>
      <c r="AJ772" s="294">
        <f>IF(NFI_Expiration=1,IF($A772&lt;VLOOKUP(S$5,NFI,5,0),1,0)*Table_NFI[[#This Row],[Winter Clothes Children]],Table_NFI[Winter Clothes Children])</f>
        <v>0</v>
      </c>
      <c r="AK772" s="294">
        <f>IF(NFI_Expiration=1,IF($A772&lt;VLOOKUP(T$5,NFI,5,0),1,0)*Table_NFI[[#This Row],[Winter Items Other]],Table_NFI[Winter Items Other])</f>
        <v>0</v>
      </c>
      <c r="AL772" s="294">
        <f>IF(NFI_Expiration=1,IF($A772&lt;VLOOKUP(M$5,NFI,5,0),1,0)*Table_NFI[[#This Row],[Winter Blanket]],Table_NFI[[#This Row],[Winter Blanket]])</f>
        <v>0</v>
      </c>
      <c r="AM772" s="294">
        <f>IF(Table_NFI[[#This Row],[Winter Clothes Adult]]+Table_NFI[[#This Row],[Winter Clothes Children]]+Table_NFI[[#This Row],[Winter Items Other]]+Table_NFI[[#This Row],[Winter Blanket]]&gt;0,1,0)</f>
        <v>0</v>
      </c>
      <c r="AN772" s="331">
        <f>IF(NFI_Expiration=1,IF($A772&lt;VLOOKUP(V$5,NFI,5,0),1,0)*Table_NFI[[#This Row],[Jerry Can]],Table_NFI[Jerry Can])</f>
        <v>0</v>
      </c>
      <c r="AO772" s="331">
        <f>IF(NFI_Expiration=1,IF($A772&lt;VLOOKUP(V$5,NFI,5,0),1,0)*Table_NFI[[#This Row],[Shelter Tool kit]],Table_NFI[Shelter Tool kit])</f>
        <v>0</v>
      </c>
      <c r="AP772" s="331">
        <f>IF(NFI_Expiration=1,IF($A772&lt;VLOOKUP(V$5,NFI,5,0),1,0)*Table_NFI[[#This Row],[Tent]],Table_NFI[Tent])</f>
        <v>0</v>
      </c>
      <c r="AQ772" s="467" t="str">
        <f>IFERROR(VLOOKUP(Table_NFI[[#This Row],[Camp Name]],CL,2,0),"")</f>
        <v>MMR001CMP006</v>
      </c>
      <c r="AR772" s="835">
        <f ca="1">IF(Table_NFI[[#This Row],[Pcode]]="","",IF(OFFSET(CampList[Opening Date],MATCH(Table_NFI[[#This Row],[Pcode]],CampList[CP_Pcode],0)-1,0,1,1)&gt;=NFI_Monitor_Date,1,0))</f>
        <v>0</v>
      </c>
      <c r="AS772" s="467" t="str">
        <f>IFERROR(VLOOKUP(Table_NFI[[#This Row],[Camp Name]],CL,3,0),"")</f>
        <v>Open</v>
      </c>
      <c r="AT772" s="294" t="str">
        <f ca="1">IF(Table_NFI[[#This Row],[Pcode]]="","",OFFSET(CampList[Priority],MATCH(Table_NFI[[#This Row],[Pcode]],CampList[CP_Pcode],0)-1,0,1,1))</f>
        <v>P4</v>
      </c>
      <c r="AU772" s="293">
        <f>IFERROR(Table_NFI[[#This Row],[Kitchen Set]]/VLOOKUP(Table_NFI[[#This Row],[Camp Name]],CL,4,0),"")</f>
        <v>2.4536264599077438E-4</v>
      </c>
      <c r="AV772" s="461" t="s">
        <v>1092</v>
      </c>
      <c r="AW772" s="463"/>
    </row>
    <row r="773" spans="1:49" s="464" customFormat="1" ht="15" customHeight="1" x14ac:dyDescent="0.25">
      <c r="A773" s="297">
        <f t="shared" si="11"/>
        <v>47.5</v>
      </c>
      <c r="B773" s="460">
        <v>41311</v>
      </c>
      <c r="C773" s="461" t="s">
        <v>452</v>
      </c>
      <c r="D773" s="462" t="s">
        <v>452</v>
      </c>
      <c r="E773" s="461" t="s">
        <v>380</v>
      </c>
      <c r="F773" s="290" t="s">
        <v>310</v>
      </c>
      <c r="G773" s="290" t="s">
        <v>318</v>
      </c>
      <c r="H773" s="291"/>
      <c r="I773" s="291"/>
      <c r="J773" s="291">
        <v>17</v>
      </c>
      <c r="K773" s="291">
        <v>20</v>
      </c>
      <c r="L773" s="292">
        <v>15</v>
      </c>
      <c r="M773" s="292">
        <v>20</v>
      </c>
      <c r="N773" s="292">
        <v>14</v>
      </c>
      <c r="O773" s="292">
        <v>11</v>
      </c>
      <c r="P773" s="294">
        <v>11</v>
      </c>
      <c r="Q773" s="294">
        <v>11</v>
      </c>
      <c r="R773" s="294"/>
      <c r="S773" s="294"/>
      <c r="T773" s="294"/>
      <c r="U773" s="294"/>
      <c r="V773" s="431"/>
      <c r="W773" s="331"/>
      <c r="X773" s="331"/>
      <c r="Y773" s="294">
        <f>IF(NFI_Expiration=1,IF($A773&lt;VLOOKUP(H$5,NFI,5,0),1,0)*Table_NFI[[#This Row],[Hygiene Kit]],Table_NFI[Hygiene Kit])</f>
        <v>0</v>
      </c>
      <c r="Z773" s="294">
        <f>IF(NFI_Expiration=1,IF($A773&lt;VLOOKUP(I$5,NFI,5,0),1,0)*Table_NFI[[#This Row],[NFI Core Kit]],Table_NFI[NFI Core Kit])</f>
        <v>0</v>
      </c>
      <c r="AA773" s="294">
        <f>IF(NFI_Expiration=1,IF($A773&lt;VLOOKUP(J$5,NFI,5,0),1,0)*Table_NFI[[#This Row],[Sanitary Kit]],Table_NFI[Sanitary Kit])</f>
        <v>0</v>
      </c>
      <c r="AB773" s="294">
        <f>IF(NFI_Expiration=1,IF($A773&lt;VLOOKUP(K$5,NFI,5,0),1,0)*Table_NFI[[#This Row],[Mosquito net]],Table_NFI[Mosquito net])</f>
        <v>0</v>
      </c>
      <c r="AC773" s="294">
        <f>IF(NFI_Expiration=1,IF($A773&lt;VLOOKUP(L$5,NFI,5,0),1,0)*Table_NFI[[#This Row],[Tarpaulin]],Table_NFI[[#This Row],[Tarpaulin]])</f>
        <v>0</v>
      </c>
      <c r="AD773" s="294">
        <f>IF(NFI_Expiration=1,IF($A773&lt;VLOOKUP(M$5,NFI,5,0),1,0)*Table_NFI[[#This Row],[Blanket]],Table_NFI[[#This Row],[Blanket]])</f>
        <v>0</v>
      </c>
      <c r="AE773" s="294">
        <f>IF(NFI_Expiration=1,IF($A773&lt;VLOOKUP(N$5,NFI,5,0),1,0)*Table_NFI[[#This Row],[Kitchen Set]],Table_NFI[Kitchen Set])</f>
        <v>0</v>
      </c>
      <c r="AF773" s="294">
        <f>IF(NFI_Expiration=1,IF($A773&lt;VLOOKUP(O$5,NFI,5,0),1,0)*Table_NFI[[#This Row],[Clothes Kit]],Table_NFI[Clothes Kit])</f>
        <v>0</v>
      </c>
      <c r="AG773" s="294">
        <f>IF(NFI_Expiration=1,IF($A773&lt;VLOOKUP(P$5,NFI,5,0),1,0)*Table_NFI[[#This Row],[Plastic Bucket]],Table_NFI[Plastic Bucket])</f>
        <v>0</v>
      </c>
      <c r="AH773" s="294">
        <f>IF(NFI_Expiration=1,IF($A773&lt;VLOOKUP(Q$5,NFI,5,0),1,0)*Table_NFI[[#This Row],[Plastic Mat]],Table_NFI[Plastic Mat])*IF(Table_NFI[[#This Row],[Distribution Date]]&gt;"2014-04-01",1,2.5)</f>
        <v>0</v>
      </c>
      <c r="AI773" s="294">
        <f>IF(NFI_Expiration=1,IF($A773&lt;VLOOKUP(R$5,NFI,5,0),1,0)*Table_NFI[[#This Row],[Winter Clothes Adult]],Table_NFI[Winter Clothes Adult])</f>
        <v>0</v>
      </c>
      <c r="AJ773" s="294">
        <f>IF(NFI_Expiration=1,IF($A773&lt;VLOOKUP(S$5,NFI,5,0),1,0)*Table_NFI[[#This Row],[Winter Clothes Children]],Table_NFI[Winter Clothes Children])</f>
        <v>0</v>
      </c>
      <c r="AK773" s="294">
        <f>IF(NFI_Expiration=1,IF($A773&lt;VLOOKUP(T$5,NFI,5,0),1,0)*Table_NFI[[#This Row],[Winter Items Other]],Table_NFI[Winter Items Other])</f>
        <v>0</v>
      </c>
      <c r="AL773" s="294">
        <f>IF(NFI_Expiration=1,IF($A773&lt;VLOOKUP(M$5,NFI,5,0),1,0)*Table_NFI[[#This Row],[Winter Blanket]],Table_NFI[[#This Row],[Winter Blanket]])</f>
        <v>0</v>
      </c>
      <c r="AM773" s="294">
        <f>IF(Table_NFI[[#This Row],[Winter Clothes Adult]]+Table_NFI[[#This Row],[Winter Clothes Children]]+Table_NFI[[#This Row],[Winter Items Other]]+Table_NFI[[#This Row],[Winter Blanket]]&gt;0,1,0)</f>
        <v>0</v>
      </c>
      <c r="AN773" s="331">
        <f>IF(NFI_Expiration=1,IF($A773&lt;VLOOKUP(V$5,NFI,5,0),1,0)*Table_NFI[[#This Row],[Jerry Can]],Table_NFI[Jerry Can])</f>
        <v>0</v>
      </c>
      <c r="AO773" s="331">
        <f>IF(NFI_Expiration=1,IF($A773&lt;VLOOKUP(V$5,NFI,5,0),1,0)*Table_NFI[[#This Row],[Shelter Tool kit]],Table_NFI[Shelter Tool kit])</f>
        <v>0</v>
      </c>
      <c r="AP773" s="331">
        <f>IF(NFI_Expiration=1,IF($A773&lt;VLOOKUP(V$5,NFI,5,0),1,0)*Table_NFI[[#This Row],[Tent]],Table_NFI[Tent])</f>
        <v>0</v>
      </c>
      <c r="AQ773" s="467" t="str">
        <f>IFERROR(VLOOKUP(Table_NFI[[#This Row],[Camp Name]],CL,2,0),"")</f>
        <v>MMR001CMP032</v>
      </c>
      <c r="AR773" s="835">
        <f ca="1">IF(Table_NFI[[#This Row],[Pcode]]="","",IF(OFFSET(CampList[Opening Date],MATCH(Table_NFI[[#This Row],[Pcode]],CampList[CP_Pcode],0)-1,0,1,1)&gt;=NFI_Monitor_Date,1,0))</f>
        <v>0</v>
      </c>
      <c r="AS773" s="467" t="str">
        <f>IFERROR(VLOOKUP(Table_NFI[[#This Row],[Camp Name]],CL,3,0),"")</f>
        <v>Open</v>
      </c>
      <c r="AT773" s="294" t="str">
        <f ca="1">IF(Table_NFI[[#This Row],[Pcode]]="","",OFFSET(CampList[Priority],MATCH(Table_NFI[[#This Row],[Pcode]],CampList[CP_Pcode],0)-1,0,1,1))</f>
        <v>P4</v>
      </c>
      <c r="AU773" s="293">
        <f>IFERROR(Table_NFI[[#This Row],[Kitchen Set]]/VLOOKUP(Table_NFI[[#This Row],[Camp Name]],CL,4,0),"")</f>
        <v>3.4376918354818908E-4</v>
      </c>
      <c r="AV773" s="461" t="s">
        <v>1092</v>
      </c>
      <c r="AW773" s="463"/>
    </row>
    <row r="774" spans="1:49" s="464" customFormat="1" x14ac:dyDescent="0.25">
      <c r="A774" s="297">
        <f t="shared" ref="A774:A837" si="12">IF(ISBLANK(B774),"",(Report_Date-B774)/30)</f>
        <v>47.533333333333331</v>
      </c>
      <c r="B774" s="460">
        <v>41310</v>
      </c>
      <c r="C774" s="461" t="s">
        <v>900</v>
      </c>
      <c r="D774" s="461" t="s">
        <v>900</v>
      </c>
      <c r="E774" s="461" t="s">
        <v>380</v>
      </c>
      <c r="F774" s="461" t="s">
        <v>237</v>
      </c>
      <c r="G774" s="290" t="s">
        <v>253</v>
      </c>
      <c r="H774" s="291">
        <v>22</v>
      </c>
      <c r="I774" s="291"/>
      <c r="J774" s="291"/>
      <c r="K774" s="291"/>
      <c r="L774" s="292"/>
      <c r="M774" s="292"/>
      <c r="N774" s="292"/>
      <c r="O774" s="292"/>
      <c r="P774" s="294">
        <v>0</v>
      </c>
      <c r="Q774" s="294">
        <v>0</v>
      </c>
      <c r="R774" s="294"/>
      <c r="S774" s="294"/>
      <c r="T774" s="294"/>
      <c r="U774" s="294"/>
      <c r="V774" s="431"/>
      <c r="W774" s="331"/>
      <c r="X774" s="331"/>
      <c r="Y774" s="294">
        <f>IF(NFI_Expiration=1,IF($A774&lt;VLOOKUP(H$5,NFI,5,0),1,0)*Table_NFI[[#This Row],[Hygiene Kit]],Table_NFI[Hygiene Kit])</f>
        <v>0</v>
      </c>
      <c r="Z774" s="294">
        <f>IF(NFI_Expiration=1,IF($A774&lt;VLOOKUP(I$5,NFI,5,0),1,0)*Table_NFI[[#This Row],[NFI Core Kit]],Table_NFI[NFI Core Kit])</f>
        <v>0</v>
      </c>
      <c r="AA774" s="294">
        <f>IF(NFI_Expiration=1,IF($A774&lt;VLOOKUP(J$5,NFI,5,0),1,0)*Table_NFI[[#This Row],[Sanitary Kit]],Table_NFI[Sanitary Kit])</f>
        <v>0</v>
      </c>
      <c r="AB774" s="294">
        <f>IF(NFI_Expiration=1,IF($A774&lt;VLOOKUP(K$5,NFI,5,0),1,0)*Table_NFI[[#This Row],[Mosquito net]],Table_NFI[Mosquito net])</f>
        <v>0</v>
      </c>
      <c r="AC774" s="294">
        <f>IF(NFI_Expiration=1,IF($A774&lt;VLOOKUP(L$5,NFI,5,0),1,0)*Table_NFI[[#This Row],[Tarpaulin]],Table_NFI[[#This Row],[Tarpaulin]])</f>
        <v>0</v>
      </c>
      <c r="AD774" s="294">
        <f>IF(NFI_Expiration=1,IF($A774&lt;VLOOKUP(M$5,NFI,5,0),1,0)*Table_NFI[[#This Row],[Blanket]],Table_NFI[[#This Row],[Blanket]])</f>
        <v>0</v>
      </c>
      <c r="AE774" s="294">
        <f>IF(NFI_Expiration=1,IF($A774&lt;VLOOKUP(N$5,NFI,5,0),1,0)*Table_NFI[[#This Row],[Kitchen Set]],Table_NFI[Kitchen Set])</f>
        <v>0</v>
      </c>
      <c r="AF774" s="294">
        <f>IF(NFI_Expiration=1,IF($A774&lt;VLOOKUP(O$5,NFI,5,0),1,0)*Table_NFI[[#This Row],[Clothes Kit]],Table_NFI[Clothes Kit])</f>
        <v>0</v>
      </c>
      <c r="AG774" s="294">
        <f>IF(NFI_Expiration=1,IF($A774&lt;VLOOKUP(P$5,NFI,5,0),1,0)*Table_NFI[[#This Row],[Plastic Bucket]],Table_NFI[Plastic Bucket])</f>
        <v>0</v>
      </c>
      <c r="AH774" s="294">
        <f>IF(NFI_Expiration=1,IF($A774&lt;VLOOKUP(Q$5,NFI,5,0),1,0)*Table_NFI[[#This Row],[Plastic Mat]],Table_NFI[Plastic Mat])*IF(Table_NFI[[#This Row],[Distribution Date]]&gt;"2014-04-01",1,2.5)</f>
        <v>0</v>
      </c>
      <c r="AI774" s="294">
        <f>IF(NFI_Expiration=1,IF($A774&lt;VLOOKUP(R$5,NFI,5,0),1,0)*Table_NFI[[#This Row],[Winter Clothes Adult]],Table_NFI[Winter Clothes Adult])</f>
        <v>0</v>
      </c>
      <c r="AJ774" s="294">
        <f>IF(NFI_Expiration=1,IF($A774&lt;VLOOKUP(S$5,NFI,5,0),1,0)*Table_NFI[[#This Row],[Winter Clothes Children]],Table_NFI[Winter Clothes Children])</f>
        <v>0</v>
      </c>
      <c r="AK774" s="294">
        <f>IF(NFI_Expiration=1,IF($A774&lt;VLOOKUP(T$5,NFI,5,0),1,0)*Table_NFI[[#This Row],[Winter Items Other]],Table_NFI[Winter Items Other])</f>
        <v>0</v>
      </c>
      <c r="AL774" s="294">
        <f>IF(NFI_Expiration=1,IF($A774&lt;VLOOKUP(M$5,NFI,5,0),1,0)*Table_NFI[[#This Row],[Winter Blanket]],Table_NFI[[#This Row],[Winter Blanket]])</f>
        <v>0</v>
      </c>
      <c r="AM774" s="294">
        <f>IF(Table_NFI[[#This Row],[Winter Clothes Adult]]+Table_NFI[[#This Row],[Winter Clothes Children]]+Table_NFI[[#This Row],[Winter Items Other]]+Table_NFI[[#This Row],[Winter Blanket]]&gt;0,1,0)</f>
        <v>0</v>
      </c>
      <c r="AN774" s="331">
        <f>IF(NFI_Expiration=1,IF($A774&lt;VLOOKUP(V$5,NFI,5,0),1,0)*Table_NFI[[#This Row],[Jerry Can]],Table_NFI[Jerry Can])</f>
        <v>0</v>
      </c>
      <c r="AO774" s="331">
        <f>IF(NFI_Expiration=1,IF($A774&lt;VLOOKUP(V$5,NFI,5,0),1,0)*Table_NFI[[#This Row],[Shelter Tool kit]],Table_NFI[Shelter Tool kit])</f>
        <v>0</v>
      </c>
      <c r="AP774" s="331">
        <f>IF(NFI_Expiration=1,IF($A774&lt;VLOOKUP(V$5,NFI,5,0),1,0)*Table_NFI[[#This Row],[Tent]],Table_NFI[Tent])</f>
        <v>0</v>
      </c>
      <c r="AQ774" s="467" t="str">
        <f>IFERROR(VLOOKUP(Table_NFI[[#This Row],[Camp Name]],CL,2,0),"")</f>
        <v>MMR001CMP018</v>
      </c>
      <c r="AR774" s="835">
        <f ca="1">IF(Table_NFI[[#This Row],[Pcode]]="","",IF(OFFSET(CampList[Opening Date],MATCH(Table_NFI[[#This Row],[Pcode]],CampList[CP_Pcode],0)-1,0,1,1)&gt;=NFI_Monitor_Date,1,0))</f>
        <v>0</v>
      </c>
      <c r="AS774" s="467" t="str">
        <f>IFERROR(VLOOKUP(Table_NFI[[#This Row],[Camp Name]],CL,3,0),"")</f>
        <v>Open</v>
      </c>
      <c r="AT774" s="294" t="str">
        <f ca="1">IF(Table_NFI[[#This Row],[Pcode]]="","",OFFSET(CampList[Priority],MATCH(Table_NFI[[#This Row],[Pcode]],CampList[CP_Pcode],0)-1,0,1,1))</f>
        <v>P4</v>
      </c>
      <c r="AU774" s="293">
        <f>IFERROR(Table_NFI[[#This Row],[Kitchen Set]]/VLOOKUP(Table_NFI[[#This Row],[Camp Name]],CL,4,0),"")</f>
        <v>0</v>
      </c>
      <c r="AV774" s="461" t="s">
        <v>1092</v>
      </c>
      <c r="AW774" s="463"/>
    </row>
    <row r="775" spans="1:49" s="464" customFormat="1" x14ac:dyDescent="0.25">
      <c r="A775" s="297">
        <f t="shared" si="12"/>
        <v>47.533333333333331</v>
      </c>
      <c r="B775" s="460">
        <v>41310</v>
      </c>
      <c r="C775" s="461" t="s">
        <v>452</v>
      </c>
      <c r="D775" s="461" t="s">
        <v>452</v>
      </c>
      <c r="E775" s="461" t="s">
        <v>380</v>
      </c>
      <c r="F775" s="290" t="s">
        <v>310</v>
      </c>
      <c r="G775" s="290" t="s">
        <v>328</v>
      </c>
      <c r="H775" s="291"/>
      <c r="I775" s="291"/>
      <c r="J775" s="291">
        <v>37</v>
      </c>
      <c r="K775" s="291">
        <v>70</v>
      </c>
      <c r="L775" s="292">
        <v>34</v>
      </c>
      <c r="M775" s="292">
        <v>70</v>
      </c>
      <c r="N775" s="292">
        <v>34</v>
      </c>
      <c r="O775" s="292">
        <v>34</v>
      </c>
      <c r="P775" s="294">
        <v>34</v>
      </c>
      <c r="Q775" s="294">
        <v>34</v>
      </c>
      <c r="R775" s="294"/>
      <c r="S775" s="294"/>
      <c r="T775" s="294"/>
      <c r="U775" s="294"/>
      <c r="V775" s="431"/>
      <c r="W775" s="331"/>
      <c r="X775" s="331"/>
      <c r="Y775" s="294">
        <f>IF(NFI_Expiration=1,IF($A775&lt;VLOOKUP(H$5,NFI,5,0),1,0)*Table_NFI[[#This Row],[Hygiene Kit]],Table_NFI[Hygiene Kit])</f>
        <v>0</v>
      </c>
      <c r="Z775" s="294">
        <f>IF(NFI_Expiration=1,IF($A775&lt;VLOOKUP(I$5,NFI,5,0),1,0)*Table_NFI[[#This Row],[NFI Core Kit]],Table_NFI[NFI Core Kit])</f>
        <v>0</v>
      </c>
      <c r="AA775" s="294">
        <f>IF(NFI_Expiration=1,IF($A775&lt;VLOOKUP(J$5,NFI,5,0),1,0)*Table_NFI[[#This Row],[Sanitary Kit]],Table_NFI[Sanitary Kit])</f>
        <v>0</v>
      </c>
      <c r="AB775" s="294">
        <f>IF(NFI_Expiration=1,IF($A775&lt;VLOOKUP(K$5,NFI,5,0),1,0)*Table_NFI[[#This Row],[Mosquito net]],Table_NFI[Mosquito net])</f>
        <v>0</v>
      </c>
      <c r="AC775" s="294">
        <f>IF(NFI_Expiration=1,IF($A775&lt;VLOOKUP(L$5,NFI,5,0),1,0)*Table_NFI[[#This Row],[Tarpaulin]],Table_NFI[[#This Row],[Tarpaulin]])</f>
        <v>0</v>
      </c>
      <c r="AD775" s="294">
        <f>IF(NFI_Expiration=1,IF($A775&lt;VLOOKUP(M$5,NFI,5,0),1,0)*Table_NFI[[#This Row],[Blanket]],Table_NFI[[#This Row],[Blanket]])</f>
        <v>0</v>
      </c>
      <c r="AE775" s="294">
        <f>IF(NFI_Expiration=1,IF($A775&lt;VLOOKUP(N$5,NFI,5,0),1,0)*Table_NFI[[#This Row],[Kitchen Set]],Table_NFI[Kitchen Set])</f>
        <v>0</v>
      </c>
      <c r="AF775" s="294">
        <f>IF(NFI_Expiration=1,IF($A775&lt;VLOOKUP(O$5,NFI,5,0),1,0)*Table_NFI[[#This Row],[Clothes Kit]],Table_NFI[Clothes Kit])</f>
        <v>0</v>
      </c>
      <c r="AG775" s="294">
        <f>IF(NFI_Expiration=1,IF($A775&lt;VLOOKUP(P$5,NFI,5,0),1,0)*Table_NFI[[#This Row],[Plastic Bucket]],Table_NFI[Plastic Bucket])</f>
        <v>0</v>
      </c>
      <c r="AH775" s="294">
        <f>IF(NFI_Expiration=1,IF($A775&lt;VLOOKUP(Q$5,NFI,5,0),1,0)*Table_NFI[[#This Row],[Plastic Mat]],Table_NFI[Plastic Mat])*IF(Table_NFI[[#This Row],[Distribution Date]]&gt;"2014-04-01",1,2.5)</f>
        <v>0</v>
      </c>
      <c r="AI775" s="294">
        <f>IF(NFI_Expiration=1,IF($A775&lt;VLOOKUP(R$5,NFI,5,0),1,0)*Table_NFI[[#This Row],[Winter Clothes Adult]],Table_NFI[Winter Clothes Adult])</f>
        <v>0</v>
      </c>
      <c r="AJ775" s="294">
        <f>IF(NFI_Expiration=1,IF($A775&lt;VLOOKUP(S$5,NFI,5,0),1,0)*Table_NFI[[#This Row],[Winter Clothes Children]],Table_NFI[Winter Clothes Children])</f>
        <v>0</v>
      </c>
      <c r="AK775" s="294">
        <f>IF(NFI_Expiration=1,IF($A775&lt;VLOOKUP(T$5,NFI,5,0),1,0)*Table_NFI[[#This Row],[Winter Items Other]],Table_NFI[Winter Items Other])</f>
        <v>0</v>
      </c>
      <c r="AL775" s="294">
        <f>IF(NFI_Expiration=1,IF($A775&lt;VLOOKUP(M$5,NFI,5,0),1,0)*Table_NFI[[#This Row],[Winter Blanket]],Table_NFI[[#This Row],[Winter Blanket]])</f>
        <v>0</v>
      </c>
      <c r="AM775" s="294">
        <f>IF(Table_NFI[[#This Row],[Winter Clothes Adult]]+Table_NFI[[#This Row],[Winter Clothes Children]]+Table_NFI[[#This Row],[Winter Items Other]]+Table_NFI[[#This Row],[Winter Blanket]]&gt;0,1,0)</f>
        <v>0</v>
      </c>
      <c r="AN775" s="331">
        <f>IF(NFI_Expiration=1,IF($A775&lt;VLOOKUP(V$5,NFI,5,0),1,0)*Table_NFI[[#This Row],[Jerry Can]],Table_NFI[Jerry Can])</f>
        <v>0</v>
      </c>
      <c r="AO775" s="331">
        <f>IF(NFI_Expiration=1,IF($A775&lt;VLOOKUP(V$5,NFI,5,0),1,0)*Table_NFI[[#This Row],[Shelter Tool kit]],Table_NFI[Shelter Tool kit])</f>
        <v>0</v>
      </c>
      <c r="AP775" s="331">
        <f>IF(NFI_Expiration=1,IF($A775&lt;VLOOKUP(V$5,NFI,5,0),1,0)*Table_NFI[[#This Row],[Tent]],Table_NFI[Tent])</f>
        <v>0</v>
      </c>
      <c r="AQ775" s="467" t="str">
        <f>IFERROR(VLOOKUP(Table_NFI[[#This Row],[Camp Name]],CL,2,0),"")</f>
        <v>MMR001CMP031</v>
      </c>
      <c r="AR775" s="835">
        <f ca="1">IF(Table_NFI[[#This Row],[Pcode]]="","",IF(OFFSET(CampList[Opening Date],MATCH(Table_NFI[[#This Row],[Pcode]],CampList[CP_Pcode],0)-1,0,1,1)&gt;=NFI_Monitor_Date,1,0))</f>
        <v>0</v>
      </c>
      <c r="AS775" s="467" t="str">
        <f>IFERROR(VLOOKUP(Table_NFI[[#This Row],[Camp Name]],CL,3,0),"")</f>
        <v>Open</v>
      </c>
      <c r="AT775" s="294" t="str">
        <f ca="1">IF(Table_NFI[[#This Row],[Pcode]]="","",OFFSET(CampList[Priority],MATCH(Table_NFI[[#This Row],[Pcode]],CampList[CP_Pcode],0)-1,0,1,1))</f>
        <v>P4</v>
      </c>
      <c r="AU775" s="293">
        <f>IFERROR(Table_NFI[[#This Row],[Kitchen Set]]/VLOOKUP(Table_NFI[[#This Row],[Camp Name]],CL,4,0),"")</f>
        <v>8.2014666152064838E-4</v>
      </c>
      <c r="AV775" s="461" t="s">
        <v>1092</v>
      </c>
      <c r="AW775" s="463"/>
    </row>
    <row r="776" spans="1:49" s="464" customFormat="1" x14ac:dyDescent="0.25">
      <c r="A776" s="297">
        <f t="shared" si="12"/>
        <v>47.533333333333331</v>
      </c>
      <c r="B776" s="460">
        <v>41310</v>
      </c>
      <c r="C776" s="461" t="s">
        <v>900</v>
      </c>
      <c r="D776" s="461" t="s">
        <v>900</v>
      </c>
      <c r="E776" s="461" t="s">
        <v>380</v>
      </c>
      <c r="F776" s="461" t="s">
        <v>310</v>
      </c>
      <c r="G776" s="290" t="s">
        <v>330</v>
      </c>
      <c r="H776" s="291">
        <v>46</v>
      </c>
      <c r="I776" s="291"/>
      <c r="J776" s="291"/>
      <c r="K776" s="291"/>
      <c r="L776" s="292"/>
      <c r="M776" s="292"/>
      <c r="N776" s="292"/>
      <c r="O776" s="292"/>
      <c r="P776" s="294">
        <v>0</v>
      </c>
      <c r="Q776" s="294">
        <v>0</v>
      </c>
      <c r="R776" s="294"/>
      <c r="S776" s="294"/>
      <c r="T776" s="294"/>
      <c r="U776" s="294"/>
      <c r="V776" s="431"/>
      <c r="W776" s="294"/>
      <c r="X776" s="294"/>
      <c r="Y776" s="294">
        <f>IF(NFI_Expiration=1,IF($A776&lt;VLOOKUP(H$5,NFI,5,0),1,0)*Table_NFI[[#This Row],[Hygiene Kit]],Table_NFI[Hygiene Kit])</f>
        <v>0</v>
      </c>
      <c r="Z776" s="294">
        <f>IF(NFI_Expiration=1,IF($A776&lt;VLOOKUP(I$5,NFI,5,0),1,0)*Table_NFI[[#This Row],[NFI Core Kit]],Table_NFI[NFI Core Kit])</f>
        <v>0</v>
      </c>
      <c r="AA776" s="294">
        <f>IF(NFI_Expiration=1,IF($A776&lt;VLOOKUP(J$5,NFI,5,0),1,0)*Table_NFI[[#This Row],[Sanitary Kit]],Table_NFI[Sanitary Kit])</f>
        <v>0</v>
      </c>
      <c r="AB776" s="294">
        <f>IF(NFI_Expiration=1,IF($A776&lt;VLOOKUP(K$5,NFI,5,0),1,0)*Table_NFI[[#This Row],[Mosquito net]],Table_NFI[Mosquito net])</f>
        <v>0</v>
      </c>
      <c r="AC776" s="294">
        <f>IF(NFI_Expiration=1,IF($A776&lt;VLOOKUP(L$5,NFI,5,0),1,0)*Table_NFI[[#This Row],[Tarpaulin]],Table_NFI[[#This Row],[Tarpaulin]])</f>
        <v>0</v>
      </c>
      <c r="AD776" s="294">
        <f>IF(NFI_Expiration=1,IF($A776&lt;VLOOKUP(M$5,NFI,5,0),1,0)*Table_NFI[[#This Row],[Blanket]],Table_NFI[[#This Row],[Blanket]])</f>
        <v>0</v>
      </c>
      <c r="AE776" s="294">
        <f>IF(NFI_Expiration=1,IF($A776&lt;VLOOKUP(N$5,NFI,5,0),1,0)*Table_NFI[[#This Row],[Kitchen Set]],Table_NFI[Kitchen Set])</f>
        <v>0</v>
      </c>
      <c r="AF776" s="294">
        <f>IF(NFI_Expiration=1,IF($A776&lt;VLOOKUP(O$5,NFI,5,0),1,0)*Table_NFI[[#This Row],[Clothes Kit]],Table_NFI[Clothes Kit])</f>
        <v>0</v>
      </c>
      <c r="AG776" s="294">
        <f>IF(NFI_Expiration=1,IF($A776&lt;VLOOKUP(P$5,NFI,5,0),1,0)*Table_NFI[[#This Row],[Plastic Bucket]],Table_NFI[Plastic Bucket])</f>
        <v>0</v>
      </c>
      <c r="AH776" s="294">
        <f>IF(NFI_Expiration=1,IF($A776&lt;VLOOKUP(Q$5,NFI,5,0),1,0)*Table_NFI[[#This Row],[Plastic Mat]],Table_NFI[Plastic Mat])*IF(Table_NFI[[#This Row],[Distribution Date]]&gt;"2014-04-01",1,2.5)</f>
        <v>0</v>
      </c>
      <c r="AI776" s="294">
        <f>IF(NFI_Expiration=1,IF($A776&lt;VLOOKUP(R$5,NFI,5,0),1,0)*Table_NFI[[#This Row],[Winter Clothes Adult]],Table_NFI[Winter Clothes Adult])</f>
        <v>0</v>
      </c>
      <c r="AJ776" s="294">
        <f>IF(NFI_Expiration=1,IF($A776&lt;VLOOKUP(S$5,NFI,5,0),1,0)*Table_NFI[[#This Row],[Winter Clothes Children]],Table_NFI[Winter Clothes Children])</f>
        <v>0</v>
      </c>
      <c r="AK776" s="294">
        <f>IF(NFI_Expiration=1,IF($A776&lt;VLOOKUP(T$5,NFI,5,0),1,0)*Table_NFI[[#This Row],[Winter Items Other]],Table_NFI[Winter Items Other])</f>
        <v>0</v>
      </c>
      <c r="AL776" s="294">
        <f>IF(NFI_Expiration=1,IF($A776&lt;VLOOKUP(M$5,NFI,5,0),1,0)*Table_NFI[[#This Row],[Winter Blanket]],Table_NFI[[#This Row],[Winter Blanket]])</f>
        <v>0</v>
      </c>
      <c r="AM776" s="294">
        <f>IF(Table_NFI[[#This Row],[Winter Clothes Adult]]+Table_NFI[[#This Row],[Winter Clothes Children]]+Table_NFI[[#This Row],[Winter Items Other]]+Table_NFI[[#This Row],[Winter Blanket]]&gt;0,1,0)</f>
        <v>0</v>
      </c>
      <c r="AN776" s="331">
        <f>IF(NFI_Expiration=1,IF($A776&lt;VLOOKUP(V$5,NFI,5,0),1,0)*Table_NFI[[#This Row],[Jerry Can]],Table_NFI[Jerry Can])</f>
        <v>0</v>
      </c>
      <c r="AO776" s="331">
        <f>IF(NFI_Expiration=1,IF($A776&lt;VLOOKUP(V$5,NFI,5,0),1,0)*Table_NFI[[#This Row],[Shelter Tool kit]],Table_NFI[Shelter Tool kit])</f>
        <v>0</v>
      </c>
      <c r="AP776" s="331">
        <f>IF(NFI_Expiration=1,IF($A776&lt;VLOOKUP(V$5,NFI,5,0),1,0)*Table_NFI[[#This Row],[Tent]],Table_NFI[Tent])</f>
        <v>0</v>
      </c>
      <c r="AQ776" s="467" t="str">
        <f>IFERROR(VLOOKUP(Table_NFI[[#This Row],[Camp Name]],CL,2,0),"")</f>
        <v>MMR001CMP029</v>
      </c>
      <c r="AR776" s="835">
        <f ca="1">IF(Table_NFI[[#This Row],[Pcode]]="","",IF(OFFSET(CampList[Opening Date],MATCH(Table_NFI[[#This Row],[Pcode]],CampList[CP_Pcode],0)-1,0,1,1)&gt;=NFI_Monitor_Date,1,0))</f>
        <v>0</v>
      </c>
      <c r="AS776" s="467" t="str">
        <f>IFERROR(VLOOKUP(Table_NFI[[#This Row],[Camp Name]],CL,3,0),"")</f>
        <v>Open</v>
      </c>
      <c r="AT776" s="294" t="str">
        <f ca="1">IF(Table_NFI[[#This Row],[Pcode]]="","",OFFSET(CampList[Priority],MATCH(Table_NFI[[#This Row],[Pcode]],CampList[CP_Pcode],0)-1,0,1,1))</f>
        <v>P4</v>
      </c>
      <c r="AU776" s="293">
        <f>IFERROR(Table_NFI[[#This Row],[Kitchen Set]]/VLOOKUP(Table_NFI[[#This Row],[Camp Name]],CL,4,0),"")</f>
        <v>0</v>
      </c>
      <c r="AV776" s="461" t="s">
        <v>1092</v>
      </c>
      <c r="AW776" s="463"/>
    </row>
    <row r="777" spans="1:49" s="464" customFormat="1" ht="14.45" customHeight="1" x14ac:dyDescent="0.25">
      <c r="A777" s="297">
        <f t="shared" si="12"/>
        <v>47.533333333333331</v>
      </c>
      <c r="B777" s="460">
        <v>41310</v>
      </c>
      <c r="C777" s="461" t="s">
        <v>452</v>
      </c>
      <c r="D777" s="462" t="s">
        <v>452</v>
      </c>
      <c r="E777" s="461" t="s">
        <v>380</v>
      </c>
      <c r="F777" s="290" t="s">
        <v>237</v>
      </c>
      <c r="G777" s="290" t="s">
        <v>265</v>
      </c>
      <c r="H777" s="291"/>
      <c r="I777" s="291"/>
      <c r="J777" s="291">
        <v>10</v>
      </c>
      <c r="K777" s="291">
        <v>16</v>
      </c>
      <c r="L777" s="292">
        <v>7</v>
      </c>
      <c r="M777" s="292">
        <v>16</v>
      </c>
      <c r="N777" s="292">
        <v>7</v>
      </c>
      <c r="O777" s="292">
        <v>7</v>
      </c>
      <c r="P777" s="294">
        <v>7</v>
      </c>
      <c r="Q777" s="294">
        <v>7</v>
      </c>
      <c r="R777" s="294"/>
      <c r="S777" s="294"/>
      <c r="T777" s="294"/>
      <c r="U777" s="294"/>
      <c r="V777" s="431"/>
      <c r="W777" s="294"/>
      <c r="X777" s="294"/>
      <c r="Y777" s="294">
        <f>IF(NFI_Expiration=1,IF($A777&lt;VLOOKUP(H$5,NFI,5,0),1,0)*Table_NFI[[#This Row],[Hygiene Kit]],Table_NFI[Hygiene Kit])</f>
        <v>0</v>
      </c>
      <c r="Z777" s="294">
        <f>IF(NFI_Expiration=1,IF($A777&lt;VLOOKUP(I$5,NFI,5,0),1,0)*Table_NFI[[#This Row],[NFI Core Kit]],Table_NFI[NFI Core Kit])</f>
        <v>0</v>
      </c>
      <c r="AA777" s="294">
        <f>IF(NFI_Expiration=1,IF($A777&lt;VLOOKUP(J$5,NFI,5,0),1,0)*Table_NFI[[#This Row],[Sanitary Kit]],Table_NFI[Sanitary Kit])</f>
        <v>0</v>
      </c>
      <c r="AB777" s="294">
        <f>IF(NFI_Expiration=1,IF($A777&lt;VLOOKUP(K$5,NFI,5,0),1,0)*Table_NFI[[#This Row],[Mosquito net]],Table_NFI[Mosquito net])</f>
        <v>0</v>
      </c>
      <c r="AC777" s="294">
        <f>IF(NFI_Expiration=1,IF($A777&lt;VLOOKUP(L$5,NFI,5,0),1,0)*Table_NFI[[#This Row],[Tarpaulin]],Table_NFI[[#This Row],[Tarpaulin]])</f>
        <v>0</v>
      </c>
      <c r="AD777" s="294">
        <f>IF(NFI_Expiration=1,IF($A777&lt;VLOOKUP(M$5,NFI,5,0),1,0)*Table_NFI[[#This Row],[Blanket]],Table_NFI[[#This Row],[Blanket]])</f>
        <v>0</v>
      </c>
      <c r="AE777" s="294">
        <f>IF(NFI_Expiration=1,IF($A777&lt;VLOOKUP(N$5,NFI,5,0),1,0)*Table_NFI[[#This Row],[Kitchen Set]],Table_NFI[Kitchen Set])</f>
        <v>0</v>
      </c>
      <c r="AF777" s="294">
        <f>IF(NFI_Expiration=1,IF($A777&lt;VLOOKUP(O$5,NFI,5,0),1,0)*Table_NFI[[#This Row],[Clothes Kit]],Table_NFI[Clothes Kit])</f>
        <v>0</v>
      </c>
      <c r="AG777" s="294">
        <f>IF(NFI_Expiration=1,IF($A777&lt;VLOOKUP(P$5,NFI,5,0),1,0)*Table_NFI[[#This Row],[Plastic Bucket]],Table_NFI[Plastic Bucket])</f>
        <v>0</v>
      </c>
      <c r="AH777" s="294">
        <f>IF(NFI_Expiration=1,IF($A777&lt;VLOOKUP(Q$5,NFI,5,0),1,0)*Table_NFI[[#This Row],[Plastic Mat]],Table_NFI[Plastic Mat])*IF(Table_NFI[[#This Row],[Distribution Date]]&gt;"2014-04-01",1,2.5)</f>
        <v>0</v>
      </c>
      <c r="AI777" s="294">
        <f>IF(NFI_Expiration=1,IF($A777&lt;VLOOKUP(R$5,NFI,5,0),1,0)*Table_NFI[[#This Row],[Winter Clothes Adult]],Table_NFI[Winter Clothes Adult])</f>
        <v>0</v>
      </c>
      <c r="AJ777" s="294">
        <f>IF(NFI_Expiration=1,IF($A777&lt;VLOOKUP(S$5,NFI,5,0),1,0)*Table_NFI[[#This Row],[Winter Clothes Children]],Table_NFI[Winter Clothes Children])</f>
        <v>0</v>
      </c>
      <c r="AK777" s="294">
        <f>IF(NFI_Expiration=1,IF($A777&lt;VLOOKUP(T$5,NFI,5,0),1,0)*Table_NFI[[#This Row],[Winter Items Other]],Table_NFI[Winter Items Other])</f>
        <v>0</v>
      </c>
      <c r="AL777" s="294">
        <f>IF(NFI_Expiration=1,IF($A777&lt;VLOOKUP(M$5,NFI,5,0),1,0)*Table_NFI[[#This Row],[Winter Blanket]],Table_NFI[[#This Row],[Winter Blanket]])</f>
        <v>0</v>
      </c>
      <c r="AM777" s="294">
        <f>IF(Table_NFI[[#This Row],[Winter Clothes Adult]]+Table_NFI[[#This Row],[Winter Clothes Children]]+Table_NFI[[#This Row],[Winter Items Other]]+Table_NFI[[#This Row],[Winter Blanket]]&gt;0,1,0)</f>
        <v>0</v>
      </c>
      <c r="AN777" s="331">
        <f>IF(NFI_Expiration=1,IF($A777&lt;VLOOKUP(V$5,NFI,5,0),1,0)*Table_NFI[[#This Row],[Jerry Can]],Table_NFI[Jerry Can])</f>
        <v>0</v>
      </c>
      <c r="AO777" s="331">
        <f>IF(NFI_Expiration=1,IF($A777&lt;VLOOKUP(V$5,NFI,5,0),1,0)*Table_NFI[[#This Row],[Shelter Tool kit]],Table_NFI[Shelter Tool kit])</f>
        <v>0</v>
      </c>
      <c r="AP777" s="331">
        <f>IF(NFI_Expiration=1,IF($A777&lt;VLOOKUP(V$5,NFI,5,0),1,0)*Table_NFI[[#This Row],[Tent]],Table_NFI[Tent])</f>
        <v>0</v>
      </c>
      <c r="AQ777" s="467" t="str">
        <f>IFERROR(VLOOKUP(Table_NFI[[#This Row],[Camp Name]],CL,2,0),"")</f>
        <v>MMR001CMP021</v>
      </c>
      <c r="AR777" s="835">
        <f ca="1">IF(Table_NFI[[#This Row],[Pcode]]="","",IF(OFFSET(CampList[Opening Date],MATCH(Table_NFI[[#This Row],[Pcode]],CampList[CP_Pcode],0)-1,0,1,1)&gt;=NFI_Monitor_Date,1,0))</f>
        <v>0</v>
      </c>
      <c r="AS777" s="467" t="str">
        <f>IFERROR(VLOOKUP(Table_NFI[[#This Row],[Camp Name]],CL,3,0),"")</f>
        <v>Open</v>
      </c>
      <c r="AT777" s="294" t="str">
        <f ca="1">IF(Table_NFI[[#This Row],[Pcode]]="","",OFFSET(CampList[Priority],MATCH(Table_NFI[[#This Row],[Pcode]],CampList[CP_Pcode],0)-1,0,1,1))</f>
        <v>P4</v>
      </c>
      <c r="AU777" s="293">
        <f>IFERROR(Table_NFI[[#This Row],[Kitchen Set]]/VLOOKUP(Table_NFI[[#This Row],[Camp Name]],CL,4,0),"")</f>
        <v>1.7149717029669011E-4</v>
      </c>
      <c r="AV777" s="461" t="s">
        <v>1092</v>
      </c>
      <c r="AW777" s="463"/>
    </row>
    <row r="778" spans="1:49" s="464" customFormat="1" ht="14.45" customHeight="1" x14ac:dyDescent="0.25">
      <c r="A778" s="297">
        <f t="shared" si="12"/>
        <v>47.533333333333331</v>
      </c>
      <c r="B778" s="460">
        <v>41310</v>
      </c>
      <c r="C778" s="461" t="s">
        <v>900</v>
      </c>
      <c r="D778" s="461" t="s">
        <v>900</v>
      </c>
      <c r="E778" s="461" t="s">
        <v>380</v>
      </c>
      <c r="F778" s="290" t="s">
        <v>310</v>
      </c>
      <c r="G778" s="290" t="s">
        <v>351</v>
      </c>
      <c r="H778" s="291">
        <v>20</v>
      </c>
      <c r="I778" s="291"/>
      <c r="J778" s="291"/>
      <c r="K778" s="291"/>
      <c r="L778" s="292"/>
      <c r="M778" s="292"/>
      <c r="N778" s="292"/>
      <c r="O778" s="292"/>
      <c r="P778" s="294">
        <v>0</v>
      </c>
      <c r="Q778" s="294">
        <v>0</v>
      </c>
      <c r="R778" s="294"/>
      <c r="S778" s="294"/>
      <c r="T778" s="294"/>
      <c r="U778" s="294"/>
      <c r="V778" s="431"/>
      <c r="W778" s="294"/>
      <c r="X778" s="294"/>
      <c r="Y778" s="294">
        <f>IF(NFI_Expiration=1,IF($A778&lt;VLOOKUP(H$5,NFI,5,0),1,0)*Table_NFI[[#This Row],[Hygiene Kit]],Table_NFI[Hygiene Kit])</f>
        <v>0</v>
      </c>
      <c r="Z778" s="294">
        <f>IF(NFI_Expiration=1,IF($A778&lt;VLOOKUP(I$5,NFI,5,0),1,0)*Table_NFI[[#This Row],[NFI Core Kit]],Table_NFI[NFI Core Kit])</f>
        <v>0</v>
      </c>
      <c r="AA778" s="294">
        <f>IF(NFI_Expiration=1,IF($A778&lt;VLOOKUP(J$5,NFI,5,0),1,0)*Table_NFI[[#This Row],[Sanitary Kit]],Table_NFI[Sanitary Kit])</f>
        <v>0</v>
      </c>
      <c r="AB778" s="294">
        <f>IF(NFI_Expiration=1,IF($A778&lt;VLOOKUP(K$5,NFI,5,0),1,0)*Table_NFI[[#This Row],[Mosquito net]],Table_NFI[Mosquito net])</f>
        <v>0</v>
      </c>
      <c r="AC778" s="294">
        <f>IF(NFI_Expiration=1,IF($A778&lt;VLOOKUP(L$5,NFI,5,0),1,0)*Table_NFI[[#This Row],[Tarpaulin]],Table_NFI[[#This Row],[Tarpaulin]])</f>
        <v>0</v>
      </c>
      <c r="AD778" s="294">
        <f>IF(NFI_Expiration=1,IF($A778&lt;VLOOKUP(M$5,NFI,5,0),1,0)*Table_NFI[[#This Row],[Blanket]],Table_NFI[[#This Row],[Blanket]])</f>
        <v>0</v>
      </c>
      <c r="AE778" s="294">
        <f>IF(NFI_Expiration=1,IF($A778&lt;VLOOKUP(N$5,NFI,5,0),1,0)*Table_NFI[[#This Row],[Kitchen Set]],Table_NFI[Kitchen Set])</f>
        <v>0</v>
      </c>
      <c r="AF778" s="294">
        <f>IF(NFI_Expiration=1,IF($A778&lt;VLOOKUP(O$5,NFI,5,0),1,0)*Table_NFI[[#This Row],[Clothes Kit]],Table_NFI[Clothes Kit])</f>
        <v>0</v>
      </c>
      <c r="AG778" s="294">
        <f>IF(NFI_Expiration=1,IF($A778&lt;VLOOKUP(P$5,NFI,5,0),1,0)*Table_NFI[[#This Row],[Plastic Bucket]],Table_NFI[Plastic Bucket])</f>
        <v>0</v>
      </c>
      <c r="AH778" s="294">
        <f>IF(NFI_Expiration=1,IF($A778&lt;VLOOKUP(Q$5,NFI,5,0),1,0)*Table_NFI[[#This Row],[Plastic Mat]],Table_NFI[Plastic Mat])*IF(Table_NFI[[#This Row],[Distribution Date]]&gt;"2014-04-01",1,2.5)</f>
        <v>0</v>
      </c>
      <c r="AI778" s="294">
        <f>IF(NFI_Expiration=1,IF($A778&lt;VLOOKUP(R$5,NFI,5,0),1,0)*Table_NFI[[#This Row],[Winter Clothes Adult]],Table_NFI[Winter Clothes Adult])</f>
        <v>0</v>
      </c>
      <c r="AJ778" s="294">
        <f>IF(NFI_Expiration=1,IF($A778&lt;VLOOKUP(S$5,NFI,5,0),1,0)*Table_NFI[[#This Row],[Winter Clothes Children]],Table_NFI[Winter Clothes Children])</f>
        <v>0</v>
      </c>
      <c r="AK778" s="294">
        <f>IF(NFI_Expiration=1,IF($A778&lt;VLOOKUP(T$5,NFI,5,0),1,0)*Table_NFI[[#This Row],[Winter Items Other]],Table_NFI[Winter Items Other])</f>
        <v>0</v>
      </c>
      <c r="AL778" s="294">
        <f>IF(NFI_Expiration=1,IF($A778&lt;VLOOKUP(M$5,NFI,5,0),1,0)*Table_NFI[[#This Row],[Winter Blanket]],Table_NFI[[#This Row],[Winter Blanket]])</f>
        <v>0</v>
      </c>
      <c r="AM778" s="294">
        <f>IF(Table_NFI[[#This Row],[Winter Clothes Adult]]+Table_NFI[[#This Row],[Winter Clothes Children]]+Table_NFI[[#This Row],[Winter Items Other]]+Table_NFI[[#This Row],[Winter Blanket]]&gt;0,1,0)</f>
        <v>0</v>
      </c>
      <c r="AN778" s="331">
        <f>IF(NFI_Expiration=1,IF($A778&lt;VLOOKUP(V$5,NFI,5,0),1,0)*Table_NFI[[#This Row],[Jerry Can]],Table_NFI[Jerry Can])</f>
        <v>0</v>
      </c>
      <c r="AO778" s="331">
        <f>IF(NFI_Expiration=1,IF($A778&lt;VLOOKUP(V$5,NFI,5,0),1,0)*Table_NFI[[#This Row],[Shelter Tool kit]],Table_NFI[Shelter Tool kit])</f>
        <v>0</v>
      </c>
      <c r="AP778" s="331">
        <f>IF(NFI_Expiration=1,IF($A778&lt;VLOOKUP(V$5,NFI,5,0),1,0)*Table_NFI[[#This Row],[Tent]],Table_NFI[Tent])</f>
        <v>0</v>
      </c>
      <c r="AQ778" s="467" t="str">
        <f>IFERROR(VLOOKUP(Table_NFI[[#This Row],[Camp Name]],CL,2,0),"")</f>
        <v>MMR001CMP026</v>
      </c>
      <c r="AR778" s="835">
        <f ca="1">IF(Table_NFI[[#This Row],[Pcode]]="","",IF(OFFSET(CampList[Opening Date],MATCH(Table_NFI[[#This Row],[Pcode]],CampList[CP_Pcode],0)-1,0,1,1)&gt;=NFI_Monitor_Date,1,0))</f>
        <v>0</v>
      </c>
      <c r="AS778" s="467" t="str">
        <f>IFERROR(VLOOKUP(Table_NFI[[#This Row],[Camp Name]],CL,3,0),"")</f>
        <v>Open</v>
      </c>
      <c r="AT778" s="294" t="str">
        <f ca="1">IF(Table_NFI[[#This Row],[Pcode]]="","",OFFSET(CampList[Priority],MATCH(Table_NFI[[#This Row],[Pcode]],CampList[CP_Pcode],0)-1,0,1,1))</f>
        <v>P4</v>
      </c>
      <c r="AU778" s="293">
        <f>IFERROR(Table_NFI[[#This Row],[Kitchen Set]]/VLOOKUP(Table_NFI[[#This Row],[Camp Name]],CL,4,0),"")</f>
        <v>0</v>
      </c>
      <c r="AV778" s="461" t="s">
        <v>1092</v>
      </c>
      <c r="AW778" s="463"/>
    </row>
    <row r="779" spans="1:49" s="464" customFormat="1" x14ac:dyDescent="0.25">
      <c r="A779" s="297">
        <f t="shared" si="12"/>
        <v>47.533333333333331</v>
      </c>
      <c r="B779" s="460">
        <v>41310</v>
      </c>
      <c r="C779" s="461" t="s">
        <v>900</v>
      </c>
      <c r="D779" s="461" t="s">
        <v>900</v>
      </c>
      <c r="E779" s="461" t="s">
        <v>380</v>
      </c>
      <c r="F779" s="290" t="s">
        <v>237</v>
      </c>
      <c r="G779" s="290" t="s">
        <v>277</v>
      </c>
      <c r="H779" s="291">
        <v>36</v>
      </c>
      <c r="I779" s="291"/>
      <c r="J779" s="291"/>
      <c r="K779" s="291"/>
      <c r="L779" s="292"/>
      <c r="M779" s="292"/>
      <c r="N779" s="292"/>
      <c r="O779" s="292"/>
      <c r="P779" s="294">
        <v>0</v>
      </c>
      <c r="Q779" s="294">
        <v>0</v>
      </c>
      <c r="R779" s="294"/>
      <c r="S779" s="294"/>
      <c r="T779" s="294"/>
      <c r="U779" s="294"/>
      <c r="V779" s="431"/>
      <c r="W779" s="294"/>
      <c r="X779" s="294"/>
      <c r="Y779" s="294">
        <f>IF(NFI_Expiration=1,IF($A779&lt;VLOOKUP(H$5,NFI,5,0),1,0)*Table_NFI[[#This Row],[Hygiene Kit]],Table_NFI[Hygiene Kit])</f>
        <v>0</v>
      </c>
      <c r="Z779" s="294">
        <f>IF(NFI_Expiration=1,IF($A779&lt;VLOOKUP(I$5,NFI,5,0),1,0)*Table_NFI[[#This Row],[NFI Core Kit]],Table_NFI[NFI Core Kit])</f>
        <v>0</v>
      </c>
      <c r="AA779" s="294">
        <f>IF(NFI_Expiration=1,IF($A779&lt;VLOOKUP(J$5,NFI,5,0),1,0)*Table_NFI[[#This Row],[Sanitary Kit]],Table_NFI[Sanitary Kit])</f>
        <v>0</v>
      </c>
      <c r="AB779" s="294">
        <f>IF(NFI_Expiration=1,IF($A779&lt;VLOOKUP(K$5,NFI,5,0),1,0)*Table_NFI[[#This Row],[Mosquito net]],Table_NFI[Mosquito net])</f>
        <v>0</v>
      </c>
      <c r="AC779" s="294">
        <f>IF(NFI_Expiration=1,IF($A779&lt;VLOOKUP(L$5,NFI,5,0),1,0)*Table_NFI[[#This Row],[Tarpaulin]],Table_NFI[[#This Row],[Tarpaulin]])</f>
        <v>0</v>
      </c>
      <c r="AD779" s="294">
        <f>IF(NFI_Expiration=1,IF($A779&lt;VLOOKUP(M$5,NFI,5,0),1,0)*Table_NFI[[#This Row],[Blanket]],Table_NFI[[#This Row],[Blanket]])</f>
        <v>0</v>
      </c>
      <c r="AE779" s="294">
        <f>IF(NFI_Expiration=1,IF($A779&lt;VLOOKUP(N$5,NFI,5,0),1,0)*Table_NFI[[#This Row],[Kitchen Set]],Table_NFI[Kitchen Set])</f>
        <v>0</v>
      </c>
      <c r="AF779" s="294">
        <f>IF(NFI_Expiration=1,IF($A779&lt;VLOOKUP(O$5,NFI,5,0),1,0)*Table_NFI[[#This Row],[Clothes Kit]],Table_NFI[Clothes Kit])</f>
        <v>0</v>
      </c>
      <c r="AG779" s="294">
        <f>IF(NFI_Expiration=1,IF($A779&lt;VLOOKUP(P$5,NFI,5,0),1,0)*Table_NFI[[#This Row],[Plastic Bucket]],Table_NFI[Plastic Bucket])</f>
        <v>0</v>
      </c>
      <c r="AH779" s="294">
        <f>IF(NFI_Expiration=1,IF($A779&lt;VLOOKUP(Q$5,NFI,5,0),1,0)*Table_NFI[[#This Row],[Plastic Mat]],Table_NFI[Plastic Mat])*IF(Table_NFI[[#This Row],[Distribution Date]]&gt;"2014-04-01",1,2.5)</f>
        <v>0</v>
      </c>
      <c r="AI779" s="294">
        <f>IF(NFI_Expiration=1,IF($A779&lt;VLOOKUP(R$5,NFI,5,0),1,0)*Table_NFI[[#This Row],[Winter Clothes Adult]],Table_NFI[Winter Clothes Adult])</f>
        <v>0</v>
      </c>
      <c r="AJ779" s="294">
        <f>IF(NFI_Expiration=1,IF($A779&lt;VLOOKUP(S$5,NFI,5,0),1,0)*Table_NFI[[#This Row],[Winter Clothes Children]],Table_NFI[Winter Clothes Children])</f>
        <v>0</v>
      </c>
      <c r="AK779" s="294">
        <f>IF(NFI_Expiration=1,IF($A779&lt;VLOOKUP(T$5,NFI,5,0),1,0)*Table_NFI[[#This Row],[Winter Items Other]],Table_NFI[Winter Items Other])</f>
        <v>0</v>
      </c>
      <c r="AL779" s="294">
        <f>IF(NFI_Expiration=1,IF($A779&lt;VLOOKUP(M$5,NFI,5,0),1,0)*Table_NFI[[#This Row],[Winter Blanket]],Table_NFI[[#This Row],[Winter Blanket]])</f>
        <v>0</v>
      </c>
      <c r="AM779" s="294">
        <f>IF(Table_NFI[[#This Row],[Winter Clothes Adult]]+Table_NFI[[#This Row],[Winter Clothes Children]]+Table_NFI[[#This Row],[Winter Items Other]]+Table_NFI[[#This Row],[Winter Blanket]]&gt;0,1,0)</f>
        <v>0</v>
      </c>
      <c r="AN779" s="331">
        <f>IF(NFI_Expiration=1,IF($A779&lt;VLOOKUP(V$5,NFI,5,0),1,0)*Table_NFI[[#This Row],[Jerry Can]],Table_NFI[Jerry Can])</f>
        <v>0</v>
      </c>
      <c r="AO779" s="331">
        <f>IF(NFI_Expiration=1,IF($A779&lt;VLOOKUP(V$5,NFI,5,0),1,0)*Table_NFI[[#This Row],[Shelter Tool kit]],Table_NFI[Shelter Tool kit])</f>
        <v>0</v>
      </c>
      <c r="AP779" s="331">
        <f>IF(NFI_Expiration=1,IF($A779&lt;VLOOKUP(V$5,NFI,5,0),1,0)*Table_NFI[[#This Row],[Tent]],Table_NFI[Tent])</f>
        <v>0</v>
      </c>
      <c r="AQ779" s="467" t="str">
        <f>IFERROR(VLOOKUP(Table_NFI[[#This Row],[Camp Name]],CL,2,0),"")</f>
        <v>MMR001CMP006</v>
      </c>
      <c r="AR779" s="835">
        <f ca="1">IF(Table_NFI[[#This Row],[Pcode]]="","",IF(OFFSET(CampList[Opening Date],MATCH(Table_NFI[[#This Row],[Pcode]],CampList[CP_Pcode],0)-1,0,1,1)&gt;=NFI_Monitor_Date,1,0))</f>
        <v>0</v>
      </c>
      <c r="AS779" s="467" t="str">
        <f>IFERROR(VLOOKUP(Table_NFI[[#This Row],[Camp Name]],CL,3,0),"")</f>
        <v>Open</v>
      </c>
      <c r="AT779" s="294" t="str">
        <f ca="1">IF(Table_NFI[[#This Row],[Pcode]]="","",OFFSET(CampList[Priority],MATCH(Table_NFI[[#This Row],[Pcode]],CampList[CP_Pcode],0)-1,0,1,1))</f>
        <v>P4</v>
      </c>
      <c r="AU779" s="293">
        <f>IFERROR(Table_NFI[[#This Row],[Kitchen Set]]/VLOOKUP(Table_NFI[[#This Row],[Camp Name]],CL,4,0),"")</f>
        <v>0</v>
      </c>
      <c r="AV779" s="461" t="s">
        <v>1092</v>
      </c>
      <c r="AW779" s="463"/>
    </row>
    <row r="780" spans="1:49" s="464" customFormat="1" ht="14.45" customHeight="1" x14ac:dyDescent="0.25">
      <c r="A780" s="297">
        <f t="shared" si="12"/>
        <v>47.56666666666667</v>
      </c>
      <c r="B780" s="460">
        <v>41309</v>
      </c>
      <c r="C780" s="461" t="s">
        <v>900</v>
      </c>
      <c r="D780" s="461" t="s">
        <v>900</v>
      </c>
      <c r="E780" s="461" t="s">
        <v>380</v>
      </c>
      <c r="F780" s="461" t="s">
        <v>527</v>
      </c>
      <c r="G780" s="290" t="s">
        <v>62</v>
      </c>
      <c r="H780" s="291"/>
      <c r="I780" s="291"/>
      <c r="J780" s="291"/>
      <c r="K780" s="291"/>
      <c r="L780" s="292"/>
      <c r="M780" s="292"/>
      <c r="N780" s="292">
        <v>162</v>
      </c>
      <c r="O780" s="292"/>
      <c r="P780" s="294">
        <v>0</v>
      </c>
      <c r="Q780" s="294">
        <v>0</v>
      </c>
      <c r="R780" s="294"/>
      <c r="S780" s="294"/>
      <c r="T780" s="294"/>
      <c r="U780" s="294"/>
      <c r="V780" s="431"/>
      <c r="W780" s="294"/>
      <c r="X780" s="294"/>
      <c r="Y780" s="294">
        <f>IF(NFI_Expiration=1,IF($A780&lt;VLOOKUP(H$5,NFI,5,0),1,0)*Table_NFI[[#This Row],[Hygiene Kit]],Table_NFI[Hygiene Kit])</f>
        <v>0</v>
      </c>
      <c r="Z780" s="294">
        <f>IF(NFI_Expiration=1,IF($A780&lt;VLOOKUP(I$5,NFI,5,0),1,0)*Table_NFI[[#This Row],[NFI Core Kit]],Table_NFI[NFI Core Kit])</f>
        <v>0</v>
      </c>
      <c r="AA780" s="294">
        <f>IF(NFI_Expiration=1,IF($A780&lt;VLOOKUP(J$5,NFI,5,0),1,0)*Table_NFI[[#This Row],[Sanitary Kit]],Table_NFI[Sanitary Kit])</f>
        <v>0</v>
      </c>
      <c r="AB780" s="294">
        <f>IF(NFI_Expiration=1,IF($A780&lt;VLOOKUP(K$5,NFI,5,0),1,0)*Table_NFI[[#This Row],[Mosquito net]],Table_NFI[Mosquito net])</f>
        <v>0</v>
      </c>
      <c r="AC780" s="294">
        <f>IF(NFI_Expiration=1,IF($A780&lt;VLOOKUP(L$5,NFI,5,0),1,0)*Table_NFI[[#This Row],[Tarpaulin]],Table_NFI[[#This Row],[Tarpaulin]])</f>
        <v>0</v>
      </c>
      <c r="AD780" s="294">
        <f>IF(NFI_Expiration=1,IF($A780&lt;VLOOKUP(M$5,NFI,5,0),1,0)*Table_NFI[[#This Row],[Blanket]],Table_NFI[[#This Row],[Blanket]])</f>
        <v>0</v>
      </c>
      <c r="AE780" s="294">
        <f>IF(NFI_Expiration=1,IF($A780&lt;VLOOKUP(N$5,NFI,5,0),1,0)*Table_NFI[[#This Row],[Kitchen Set]],Table_NFI[Kitchen Set])</f>
        <v>0</v>
      </c>
      <c r="AF780" s="294">
        <f>IF(NFI_Expiration=1,IF($A780&lt;VLOOKUP(O$5,NFI,5,0),1,0)*Table_NFI[[#This Row],[Clothes Kit]],Table_NFI[Clothes Kit])</f>
        <v>0</v>
      </c>
      <c r="AG780" s="294">
        <f>IF(NFI_Expiration=1,IF($A780&lt;VLOOKUP(P$5,NFI,5,0),1,0)*Table_NFI[[#This Row],[Plastic Bucket]],Table_NFI[Plastic Bucket])</f>
        <v>0</v>
      </c>
      <c r="AH780" s="294">
        <f>IF(NFI_Expiration=1,IF($A780&lt;VLOOKUP(Q$5,NFI,5,0),1,0)*Table_NFI[[#This Row],[Plastic Mat]],Table_NFI[Plastic Mat])*IF(Table_NFI[[#This Row],[Distribution Date]]&gt;"2014-04-01",1,2.5)</f>
        <v>0</v>
      </c>
      <c r="AI780" s="294">
        <f>IF(NFI_Expiration=1,IF($A780&lt;VLOOKUP(R$5,NFI,5,0),1,0)*Table_NFI[[#This Row],[Winter Clothes Adult]],Table_NFI[Winter Clothes Adult])</f>
        <v>0</v>
      </c>
      <c r="AJ780" s="294">
        <f>IF(NFI_Expiration=1,IF($A780&lt;VLOOKUP(S$5,NFI,5,0),1,0)*Table_NFI[[#This Row],[Winter Clothes Children]],Table_NFI[Winter Clothes Children])</f>
        <v>0</v>
      </c>
      <c r="AK780" s="294">
        <f>IF(NFI_Expiration=1,IF($A780&lt;VLOOKUP(T$5,NFI,5,0),1,0)*Table_NFI[[#This Row],[Winter Items Other]],Table_NFI[Winter Items Other])</f>
        <v>0</v>
      </c>
      <c r="AL780" s="294">
        <f>IF(NFI_Expiration=1,IF($A780&lt;VLOOKUP(M$5,NFI,5,0),1,0)*Table_NFI[[#This Row],[Winter Blanket]],Table_NFI[[#This Row],[Winter Blanket]])</f>
        <v>0</v>
      </c>
      <c r="AM780" s="294">
        <f>IF(Table_NFI[[#This Row],[Winter Clothes Adult]]+Table_NFI[[#This Row],[Winter Clothes Children]]+Table_NFI[[#This Row],[Winter Items Other]]+Table_NFI[[#This Row],[Winter Blanket]]&gt;0,1,0)</f>
        <v>0</v>
      </c>
      <c r="AN780" s="331">
        <f>IF(NFI_Expiration=1,IF($A780&lt;VLOOKUP(V$5,NFI,5,0),1,0)*Table_NFI[[#This Row],[Jerry Can]],Table_NFI[Jerry Can])</f>
        <v>0</v>
      </c>
      <c r="AO780" s="331">
        <f>IF(NFI_Expiration=1,IF($A780&lt;VLOOKUP(V$5,NFI,5,0),1,0)*Table_NFI[[#This Row],[Shelter Tool kit]],Table_NFI[Shelter Tool kit])</f>
        <v>0</v>
      </c>
      <c r="AP780" s="331">
        <f>IF(NFI_Expiration=1,IF($A780&lt;VLOOKUP(V$5,NFI,5,0),1,0)*Table_NFI[[#This Row],[Tent]],Table_NFI[Tent])</f>
        <v>0</v>
      </c>
      <c r="AQ780" s="467" t="str">
        <f>IFERROR(VLOOKUP(Table_NFI[[#This Row],[Camp Name]],CL,2,0),"")</f>
        <v>MMR001CMP179</v>
      </c>
      <c r="AR780" s="835">
        <f ca="1">IF(Table_NFI[[#This Row],[Pcode]]="","",IF(OFFSET(CampList[Opening Date],MATCH(Table_NFI[[#This Row],[Pcode]],CampList[CP_Pcode],0)-1,0,1,1)&gt;=NFI_Monitor_Date,1,0))</f>
        <v>0</v>
      </c>
      <c r="AS780" s="467" t="str">
        <f>IFERROR(VLOOKUP(Table_NFI[[#This Row],[Camp Name]],CL,3,0),"")</f>
        <v>Open</v>
      </c>
      <c r="AT780" s="294" t="str">
        <f ca="1">IF(Table_NFI[[#This Row],[Pcode]]="","",OFFSET(CampList[Priority],MATCH(Table_NFI[[#This Row],[Pcode]],CampList[CP_Pcode],0)-1,0,1,1))</f>
        <v>P4</v>
      </c>
      <c r="AU780" s="293">
        <f>IFERROR(Table_NFI[[#This Row],[Kitchen Set]]/VLOOKUP(Table_NFI[[#This Row],[Camp Name]],CL,4,0),"")</f>
        <v>3.9248940036341615E-3</v>
      </c>
      <c r="AV780" s="461" t="s">
        <v>1092</v>
      </c>
      <c r="AW780" s="463"/>
    </row>
    <row r="781" spans="1:49" s="464" customFormat="1" ht="14.45" customHeight="1" x14ac:dyDescent="0.25">
      <c r="A781" s="297">
        <f t="shared" si="12"/>
        <v>47.56666666666667</v>
      </c>
      <c r="B781" s="460">
        <v>41309</v>
      </c>
      <c r="C781" s="461" t="s">
        <v>900</v>
      </c>
      <c r="D781" s="462" t="s">
        <v>900</v>
      </c>
      <c r="E781" s="461" t="s">
        <v>380</v>
      </c>
      <c r="F781" s="290" t="s">
        <v>527</v>
      </c>
      <c r="G781" s="290" t="s">
        <v>120</v>
      </c>
      <c r="H781" s="291"/>
      <c r="I781" s="291"/>
      <c r="J781" s="291"/>
      <c r="K781" s="291"/>
      <c r="L781" s="292"/>
      <c r="M781" s="292"/>
      <c r="N781" s="292">
        <v>117</v>
      </c>
      <c r="O781" s="292"/>
      <c r="P781" s="294">
        <v>0</v>
      </c>
      <c r="Q781" s="294">
        <v>0</v>
      </c>
      <c r="R781" s="294"/>
      <c r="S781" s="294"/>
      <c r="T781" s="294"/>
      <c r="U781" s="294"/>
      <c r="V781" s="431"/>
      <c r="W781" s="294"/>
      <c r="X781" s="294"/>
      <c r="Y781" s="294">
        <f>IF(NFI_Expiration=1,IF($A781&lt;VLOOKUP(H$5,NFI,5,0),1,0)*Table_NFI[[#This Row],[Hygiene Kit]],Table_NFI[Hygiene Kit])</f>
        <v>0</v>
      </c>
      <c r="Z781" s="294">
        <f>IF(NFI_Expiration=1,IF($A781&lt;VLOOKUP(I$5,NFI,5,0),1,0)*Table_NFI[[#This Row],[NFI Core Kit]],Table_NFI[NFI Core Kit])</f>
        <v>0</v>
      </c>
      <c r="AA781" s="294">
        <f>IF(NFI_Expiration=1,IF($A781&lt;VLOOKUP(J$5,NFI,5,0),1,0)*Table_NFI[[#This Row],[Sanitary Kit]],Table_NFI[Sanitary Kit])</f>
        <v>0</v>
      </c>
      <c r="AB781" s="294">
        <f>IF(NFI_Expiration=1,IF($A781&lt;VLOOKUP(K$5,NFI,5,0),1,0)*Table_NFI[[#This Row],[Mosquito net]],Table_NFI[Mosquito net])</f>
        <v>0</v>
      </c>
      <c r="AC781" s="294">
        <f>IF(NFI_Expiration=1,IF($A781&lt;VLOOKUP(L$5,NFI,5,0),1,0)*Table_NFI[[#This Row],[Tarpaulin]],Table_NFI[[#This Row],[Tarpaulin]])</f>
        <v>0</v>
      </c>
      <c r="AD781" s="294">
        <f>IF(NFI_Expiration=1,IF($A781&lt;VLOOKUP(M$5,NFI,5,0),1,0)*Table_NFI[[#This Row],[Blanket]],Table_NFI[[#This Row],[Blanket]])</f>
        <v>0</v>
      </c>
      <c r="AE781" s="294">
        <f>IF(NFI_Expiration=1,IF($A781&lt;VLOOKUP(N$5,NFI,5,0),1,0)*Table_NFI[[#This Row],[Kitchen Set]],Table_NFI[Kitchen Set])</f>
        <v>0</v>
      </c>
      <c r="AF781" s="294">
        <f>IF(NFI_Expiration=1,IF($A781&lt;VLOOKUP(O$5,NFI,5,0),1,0)*Table_NFI[[#This Row],[Clothes Kit]],Table_NFI[Clothes Kit])</f>
        <v>0</v>
      </c>
      <c r="AG781" s="294">
        <f>IF(NFI_Expiration=1,IF($A781&lt;VLOOKUP(P$5,NFI,5,0),1,0)*Table_NFI[[#This Row],[Plastic Bucket]],Table_NFI[Plastic Bucket])</f>
        <v>0</v>
      </c>
      <c r="AH781" s="294">
        <f>IF(NFI_Expiration=1,IF($A781&lt;VLOOKUP(Q$5,NFI,5,0),1,0)*Table_NFI[[#This Row],[Plastic Mat]],Table_NFI[Plastic Mat])*IF(Table_NFI[[#This Row],[Distribution Date]]&gt;"2014-04-01",1,2.5)</f>
        <v>0</v>
      </c>
      <c r="AI781" s="294">
        <f>IF(NFI_Expiration=1,IF($A781&lt;VLOOKUP(R$5,NFI,5,0),1,0)*Table_NFI[[#This Row],[Winter Clothes Adult]],Table_NFI[Winter Clothes Adult])</f>
        <v>0</v>
      </c>
      <c r="AJ781" s="294">
        <f>IF(NFI_Expiration=1,IF($A781&lt;VLOOKUP(S$5,NFI,5,0),1,0)*Table_NFI[[#This Row],[Winter Clothes Children]],Table_NFI[Winter Clothes Children])</f>
        <v>0</v>
      </c>
      <c r="AK781" s="294">
        <f>IF(NFI_Expiration=1,IF($A781&lt;VLOOKUP(T$5,NFI,5,0),1,0)*Table_NFI[[#This Row],[Winter Items Other]],Table_NFI[Winter Items Other])</f>
        <v>0</v>
      </c>
      <c r="AL781" s="294">
        <f>IF(NFI_Expiration=1,IF($A781&lt;VLOOKUP(M$5,NFI,5,0),1,0)*Table_NFI[[#This Row],[Winter Blanket]],Table_NFI[[#This Row],[Winter Blanket]])</f>
        <v>0</v>
      </c>
      <c r="AM781" s="294">
        <f>IF(Table_NFI[[#This Row],[Winter Clothes Adult]]+Table_NFI[[#This Row],[Winter Clothes Children]]+Table_NFI[[#This Row],[Winter Items Other]]+Table_NFI[[#This Row],[Winter Blanket]]&gt;0,1,0)</f>
        <v>0</v>
      </c>
      <c r="AN781" s="331">
        <f>IF(NFI_Expiration=1,IF($A781&lt;VLOOKUP(V$5,NFI,5,0),1,0)*Table_NFI[[#This Row],[Jerry Can]],Table_NFI[Jerry Can])</f>
        <v>0</v>
      </c>
      <c r="AO781" s="331">
        <f>IF(NFI_Expiration=1,IF($A781&lt;VLOOKUP(V$5,NFI,5,0),1,0)*Table_NFI[[#This Row],[Shelter Tool kit]],Table_NFI[Shelter Tool kit])</f>
        <v>0</v>
      </c>
      <c r="AP781" s="331">
        <f>IF(NFI_Expiration=1,IF($A781&lt;VLOOKUP(V$5,NFI,5,0),1,0)*Table_NFI[[#This Row],[Tent]],Table_NFI[Tent])</f>
        <v>0</v>
      </c>
      <c r="AQ781" s="467" t="str">
        <f>IFERROR(VLOOKUP(Table_NFI[[#This Row],[Camp Name]],CL,2,0),"")</f>
        <v>MMR001CMP168</v>
      </c>
      <c r="AR781" s="835">
        <f ca="1">IF(Table_NFI[[#This Row],[Pcode]]="","",IF(OFFSET(CampList[Opening Date],MATCH(Table_NFI[[#This Row],[Pcode]],CampList[CP_Pcode],0)-1,0,1,1)&gt;=NFI_Monitor_Date,1,0))</f>
        <v>0</v>
      </c>
      <c r="AS781" s="467" t="str">
        <f>IFERROR(VLOOKUP(Table_NFI[[#This Row],[Camp Name]],CL,3,0),"")</f>
        <v>Open</v>
      </c>
      <c r="AT781" s="294" t="str">
        <f ca="1">IF(Table_NFI[[#This Row],[Pcode]]="","",OFFSET(CampList[Priority],MATCH(Table_NFI[[#This Row],[Pcode]],CampList[CP_Pcode],0)-1,0,1,1))</f>
        <v>P4</v>
      </c>
      <c r="AU781" s="293">
        <f>IFERROR(Table_NFI[[#This Row],[Kitchen Set]]/VLOOKUP(Table_NFI[[#This Row],[Camp Name]],CL,4,0),"")</f>
        <v>2.8346456692913387E-3</v>
      </c>
      <c r="AV781" s="461" t="s">
        <v>1092</v>
      </c>
      <c r="AW781" s="463"/>
    </row>
    <row r="782" spans="1:49" s="464" customFormat="1" ht="14.45" customHeight="1" x14ac:dyDescent="0.25">
      <c r="A782" s="297">
        <f t="shared" si="12"/>
        <v>47.56666666666667</v>
      </c>
      <c r="B782" s="460">
        <v>41309</v>
      </c>
      <c r="C782" s="461" t="s">
        <v>900</v>
      </c>
      <c r="D782" s="462" t="s">
        <v>900</v>
      </c>
      <c r="E782" s="461" t="s">
        <v>380</v>
      </c>
      <c r="F782" s="290" t="s">
        <v>527</v>
      </c>
      <c r="G782" s="290" t="s">
        <v>52</v>
      </c>
      <c r="H782" s="291"/>
      <c r="I782" s="291"/>
      <c r="J782" s="291"/>
      <c r="K782" s="291"/>
      <c r="L782" s="292"/>
      <c r="M782" s="292"/>
      <c r="N782" s="292">
        <v>106</v>
      </c>
      <c r="O782" s="292"/>
      <c r="P782" s="294">
        <v>0</v>
      </c>
      <c r="Q782" s="294">
        <v>0</v>
      </c>
      <c r="R782" s="294"/>
      <c r="S782" s="294"/>
      <c r="T782" s="294"/>
      <c r="U782" s="294"/>
      <c r="V782" s="431"/>
      <c r="W782" s="294"/>
      <c r="X782" s="294"/>
      <c r="Y782" s="294">
        <f>IF(NFI_Expiration=1,IF($A782&lt;VLOOKUP(H$5,NFI,5,0),1,0)*Table_NFI[[#This Row],[Hygiene Kit]],Table_NFI[Hygiene Kit])</f>
        <v>0</v>
      </c>
      <c r="Z782" s="294">
        <f>IF(NFI_Expiration=1,IF($A782&lt;VLOOKUP(I$5,NFI,5,0),1,0)*Table_NFI[[#This Row],[NFI Core Kit]],Table_NFI[NFI Core Kit])</f>
        <v>0</v>
      </c>
      <c r="AA782" s="294">
        <f>IF(NFI_Expiration=1,IF($A782&lt;VLOOKUP(J$5,NFI,5,0),1,0)*Table_NFI[[#This Row],[Sanitary Kit]],Table_NFI[Sanitary Kit])</f>
        <v>0</v>
      </c>
      <c r="AB782" s="294">
        <f>IF(NFI_Expiration=1,IF($A782&lt;VLOOKUP(K$5,NFI,5,0),1,0)*Table_NFI[[#This Row],[Mosquito net]],Table_NFI[Mosquito net])</f>
        <v>0</v>
      </c>
      <c r="AC782" s="294">
        <f>IF(NFI_Expiration=1,IF($A782&lt;VLOOKUP(L$5,NFI,5,0),1,0)*Table_NFI[[#This Row],[Tarpaulin]],Table_NFI[[#This Row],[Tarpaulin]])</f>
        <v>0</v>
      </c>
      <c r="AD782" s="294">
        <f>IF(NFI_Expiration=1,IF($A782&lt;VLOOKUP(M$5,NFI,5,0),1,0)*Table_NFI[[#This Row],[Blanket]],Table_NFI[[#This Row],[Blanket]])</f>
        <v>0</v>
      </c>
      <c r="AE782" s="294">
        <f>IF(NFI_Expiration=1,IF($A782&lt;VLOOKUP(N$5,NFI,5,0),1,0)*Table_NFI[[#This Row],[Kitchen Set]],Table_NFI[Kitchen Set])</f>
        <v>0</v>
      </c>
      <c r="AF782" s="294">
        <f>IF(NFI_Expiration=1,IF($A782&lt;VLOOKUP(O$5,NFI,5,0),1,0)*Table_NFI[[#This Row],[Clothes Kit]],Table_NFI[Clothes Kit])</f>
        <v>0</v>
      </c>
      <c r="AG782" s="294">
        <f>IF(NFI_Expiration=1,IF($A782&lt;VLOOKUP(P$5,NFI,5,0),1,0)*Table_NFI[[#This Row],[Plastic Bucket]],Table_NFI[Plastic Bucket])</f>
        <v>0</v>
      </c>
      <c r="AH782" s="294">
        <f>IF(NFI_Expiration=1,IF($A782&lt;VLOOKUP(Q$5,NFI,5,0),1,0)*Table_NFI[[#This Row],[Plastic Mat]],Table_NFI[Plastic Mat])*IF(Table_NFI[[#This Row],[Distribution Date]]&gt;"2014-04-01",1,2.5)</f>
        <v>0</v>
      </c>
      <c r="AI782" s="294">
        <f>IF(NFI_Expiration=1,IF($A782&lt;VLOOKUP(R$5,NFI,5,0),1,0)*Table_NFI[[#This Row],[Winter Clothes Adult]],Table_NFI[Winter Clothes Adult])</f>
        <v>0</v>
      </c>
      <c r="AJ782" s="294">
        <f>IF(NFI_Expiration=1,IF($A782&lt;VLOOKUP(S$5,NFI,5,0),1,0)*Table_NFI[[#This Row],[Winter Clothes Children]],Table_NFI[Winter Clothes Children])</f>
        <v>0</v>
      </c>
      <c r="AK782" s="294">
        <f>IF(NFI_Expiration=1,IF($A782&lt;VLOOKUP(T$5,NFI,5,0),1,0)*Table_NFI[[#This Row],[Winter Items Other]],Table_NFI[Winter Items Other])</f>
        <v>0</v>
      </c>
      <c r="AL782" s="294">
        <f>IF(NFI_Expiration=1,IF($A782&lt;VLOOKUP(M$5,NFI,5,0),1,0)*Table_NFI[[#This Row],[Winter Blanket]],Table_NFI[[#This Row],[Winter Blanket]])</f>
        <v>0</v>
      </c>
      <c r="AM782" s="294">
        <f>IF(Table_NFI[[#This Row],[Winter Clothes Adult]]+Table_NFI[[#This Row],[Winter Clothes Children]]+Table_NFI[[#This Row],[Winter Items Other]]+Table_NFI[[#This Row],[Winter Blanket]]&gt;0,1,0)</f>
        <v>0</v>
      </c>
      <c r="AN782" s="331">
        <f>IF(NFI_Expiration=1,IF($A782&lt;VLOOKUP(V$5,NFI,5,0),1,0)*Table_NFI[[#This Row],[Jerry Can]],Table_NFI[Jerry Can])</f>
        <v>0</v>
      </c>
      <c r="AO782" s="331">
        <f>IF(NFI_Expiration=1,IF($A782&lt;VLOOKUP(V$5,NFI,5,0),1,0)*Table_NFI[[#This Row],[Shelter Tool kit]],Table_NFI[Shelter Tool kit])</f>
        <v>0</v>
      </c>
      <c r="AP782" s="331">
        <f>IF(NFI_Expiration=1,IF($A782&lt;VLOOKUP(V$5,NFI,5,0),1,0)*Table_NFI[[#This Row],[Tent]],Table_NFI[Tent])</f>
        <v>0</v>
      </c>
      <c r="AQ782" s="467" t="str">
        <f>IFERROR(VLOOKUP(Table_NFI[[#This Row],[Camp Name]],CL,2,0),"")</f>
        <v>MMR001CMP169</v>
      </c>
      <c r="AR782" s="835">
        <f ca="1">IF(Table_NFI[[#This Row],[Pcode]]="","",IF(OFFSET(CampList[Opening Date],MATCH(Table_NFI[[#This Row],[Pcode]],CampList[CP_Pcode],0)-1,0,1,1)&gt;=NFI_Monitor_Date,1,0))</f>
        <v>0</v>
      </c>
      <c r="AS782" s="467" t="str">
        <f>IFERROR(VLOOKUP(Table_NFI[[#This Row],[Camp Name]],CL,3,0),"")</f>
        <v>Open</v>
      </c>
      <c r="AT782" s="294" t="str">
        <f ca="1">IF(Table_NFI[[#This Row],[Pcode]]="","",OFFSET(CampList[Priority],MATCH(Table_NFI[[#This Row],[Pcode]],CampList[CP_Pcode],0)-1,0,1,1))</f>
        <v>P4</v>
      </c>
      <c r="AU782" s="293">
        <f>IFERROR(Table_NFI[[#This Row],[Kitchen Set]]/VLOOKUP(Table_NFI[[#This Row],[Camp Name]],CL,4,0),"")</f>
        <v>2.5681405208964263E-3</v>
      </c>
      <c r="AV782" s="461" t="s">
        <v>1092</v>
      </c>
      <c r="AW782" s="463"/>
    </row>
    <row r="783" spans="1:49" s="464" customFormat="1" ht="14.45" customHeight="1" x14ac:dyDescent="0.25">
      <c r="A783" s="297">
        <f t="shared" si="12"/>
        <v>47.56666666666667</v>
      </c>
      <c r="B783" s="460">
        <v>41309</v>
      </c>
      <c r="C783" s="461" t="s">
        <v>900</v>
      </c>
      <c r="D783" s="461" t="s">
        <v>900</v>
      </c>
      <c r="E783" s="461" t="s">
        <v>380</v>
      </c>
      <c r="F783" s="461" t="s">
        <v>527</v>
      </c>
      <c r="G783" s="290" t="s">
        <v>76</v>
      </c>
      <c r="H783" s="291"/>
      <c r="I783" s="291"/>
      <c r="J783" s="291"/>
      <c r="K783" s="291"/>
      <c r="L783" s="292"/>
      <c r="M783" s="292"/>
      <c r="N783" s="292">
        <v>58</v>
      </c>
      <c r="O783" s="292"/>
      <c r="P783" s="294">
        <v>0</v>
      </c>
      <c r="Q783" s="294">
        <v>0</v>
      </c>
      <c r="R783" s="294"/>
      <c r="S783" s="294"/>
      <c r="T783" s="294"/>
      <c r="U783" s="294"/>
      <c r="V783" s="431"/>
      <c r="W783" s="294"/>
      <c r="X783" s="294"/>
      <c r="Y783" s="294">
        <f>IF(NFI_Expiration=1,IF($A783&lt;VLOOKUP(H$5,NFI,5,0),1,0)*Table_NFI[[#This Row],[Hygiene Kit]],Table_NFI[Hygiene Kit])</f>
        <v>0</v>
      </c>
      <c r="Z783" s="294">
        <f>IF(NFI_Expiration=1,IF($A783&lt;VLOOKUP(I$5,NFI,5,0),1,0)*Table_NFI[[#This Row],[NFI Core Kit]],Table_NFI[NFI Core Kit])</f>
        <v>0</v>
      </c>
      <c r="AA783" s="294">
        <f>IF(NFI_Expiration=1,IF($A783&lt;VLOOKUP(J$5,NFI,5,0),1,0)*Table_NFI[[#This Row],[Sanitary Kit]],Table_NFI[Sanitary Kit])</f>
        <v>0</v>
      </c>
      <c r="AB783" s="294">
        <f>IF(NFI_Expiration=1,IF($A783&lt;VLOOKUP(K$5,NFI,5,0),1,0)*Table_NFI[[#This Row],[Mosquito net]],Table_NFI[Mosquito net])</f>
        <v>0</v>
      </c>
      <c r="AC783" s="294">
        <f>IF(NFI_Expiration=1,IF($A783&lt;VLOOKUP(L$5,NFI,5,0),1,0)*Table_NFI[[#This Row],[Tarpaulin]],Table_NFI[[#This Row],[Tarpaulin]])</f>
        <v>0</v>
      </c>
      <c r="AD783" s="294">
        <f>IF(NFI_Expiration=1,IF($A783&lt;VLOOKUP(M$5,NFI,5,0),1,0)*Table_NFI[[#This Row],[Blanket]],Table_NFI[[#This Row],[Blanket]])</f>
        <v>0</v>
      </c>
      <c r="AE783" s="294">
        <f>IF(NFI_Expiration=1,IF($A783&lt;VLOOKUP(N$5,NFI,5,0),1,0)*Table_NFI[[#This Row],[Kitchen Set]],Table_NFI[Kitchen Set])</f>
        <v>0</v>
      </c>
      <c r="AF783" s="294">
        <f>IF(NFI_Expiration=1,IF($A783&lt;VLOOKUP(O$5,NFI,5,0),1,0)*Table_NFI[[#This Row],[Clothes Kit]],Table_NFI[Clothes Kit])</f>
        <v>0</v>
      </c>
      <c r="AG783" s="294">
        <f>IF(NFI_Expiration=1,IF($A783&lt;VLOOKUP(P$5,NFI,5,0),1,0)*Table_NFI[[#This Row],[Plastic Bucket]],Table_NFI[Plastic Bucket])</f>
        <v>0</v>
      </c>
      <c r="AH783" s="294">
        <f>IF(NFI_Expiration=1,IF($A783&lt;VLOOKUP(Q$5,NFI,5,0),1,0)*Table_NFI[[#This Row],[Plastic Mat]],Table_NFI[Plastic Mat])*IF(Table_NFI[[#This Row],[Distribution Date]]&gt;"2014-04-01",1,2.5)</f>
        <v>0</v>
      </c>
      <c r="AI783" s="294">
        <f>IF(NFI_Expiration=1,IF($A783&lt;VLOOKUP(R$5,NFI,5,0),1,0)*Table_NFI[[#This Row],[Winter Clothes Adult]],Table_NFI[Winter Clothes Adult])</f>
        <v>0</v>
      </c>
      <c r="AJ783" s="294">
        <f>IF(NFI_Expiration=1,IF($A783&lt;VLOOKUP(S$5,NFI,5,0),1,0)*Table_NFI[[#This Row],[Winter Clothes Children]],Table_NFI[Winter Clothes Children])</f>
        <v>0</v>
      </c>
      <c r="AK783" s="294">
        <f>IF(NFI_Expiration=1,IF($A783&lt;VLOOKUP(T$5,NFI,5,0),1,0)*Table_NFI[[#This Row],[Winter Items Other]],Table_NFI[Winter Items Other])</f>
        <v>0</v>
      </c>
      <c r="AL783" s="294">
        <f>IF(NFI_Expiration=1,IF($A783&lt;VLOOKUP(M$5,NFI,5,0),1,0)*Table_NFI[[#This Row],[Winter Blanket]],Table_NFI[[#This Row],[Winter Blanket]])</f>
        <v>0</v>
      </c>
      <c r="AM783" s="294">
        <f>IF(Table_NFI[[#This Row],[Winter Clothes Adult]]+Table_NFI[[#This Row],[Winter Clothes Children]]+Table_NFI[[#This Row],[Winter Items Other]]+Table_NFI[[#This Row],[Winter Blanket]]&gt;0,1,0)</f>
        <v>0</v>
      </c>
      <c r="AN783" s="331">
        <f>IF(NFI_Expiration=1,IF($A783&lt;VLOOKUP(V$5,NFI,5,0),1,0)*Table_NFI[[#This Row],[Jerry Can]],Table_NFI[Jerry Can])</f>
        <v>0</v>
      </c>
      <c r="AO783" s="331">
        <f>IF(NFI_Expiration=1,IF($A783&lt;VLOOKUP(V$5,NFI,5,0),1,0)*Table_NFI[[#This Row],[Shelter Tool kit]],Table_NFI[Shelter Tool kit])</f>
        <v>0</v>
      </c>
      <c r="AP783" s="331">
        <f>IF(NFI_Expiration=1,IF($A783&lt;VLOOKUP(V$5,NFI,5,0),1,0)*Table_NFI[[#This Row],[Tent]],Table_NFI[Tent])</f>
        <v>0</v>
      </c>
      <c r="AQ783" s="467" t="str">
        <f>IFERROR(VLOOKUP(Table_NFI[[#This Row],[Camp Name]],CL,2,0),"")</f>
        <v>MMR001CMP174</v>
      </c>
      <c r="AR783" s="835">
        <f ca="1">IF(Table_NFI[[#This Row],[Pcode]]="","",IF(OFFSET(CampList[Opening Date],MATCH(Table_NFI[[#This Row],[Pcode]],CampList[CP_Pcode],0)-1,0,1,1)&gt;=NFI_Monitor_Date,1,0))</f>
        <v>0</v>
      </c>
      <c r="AS783" s="467" t="str">
        <f>IFERROR(VLOOKUP(Table_NFI[[#This Row],[Camp Name]],CL,3,0),"")</f>
        <v>Open</v>
      </c>
      <c r="AT783" s="294" t="str">
        <f ca="1">IF(Table_NFI[[#This Row],[Pcode]]="","",OFFSET(CampList[Priority],MATCH(Table_NFI[[#This Row],[Pcode]],CampList[CP_Pcode],0)-1,0,1,1))</f>
        <v>P4</v>
      </c>
      <c r="AU783" s="293">
        <f>IFERROR(Table_NFI[[#This Row],[Kitchen Set]]/VLOOKUP(Table_NFI[[#This Row],[Camp Name]],CL,4,0),"")</f>
        <v>1.4052089642640824E-3</v>
      </c>
      <c r="AV783" s="461" t="s">
        <v>1092</v>
      </c>
      <c r="AW783" s="463"/>
    </row>
    <row r="784" spans="1:49" ht="14.45" customHeight="1" x14ac:dyDescent="0.25">
      <c r="A784" s="297">
        <f t="shared" si="12"/>
        <v>47.56666666666667</v>
      </c>
      <c r="B784" s="460">
        <v>41309</v>
      </c>
      <c r="C784" s="461" t="s">
        <v>452</v>
      </c>
      <c r="D784" s="462" t="s">
        <v>452</v>
      </c>
      <c r="E784" s="461" t="s">
        <v>380</v>
      </c>
      <c r="F784" s="290" t="s">
        <v>237</v>
      </c>
      <c r="G784" s="290" t="s">
        <v>273</v>
      </c>
      <c r="H784" s="291"/>
      <c r="I784" s="291"/>
      <c r="J784" s="291">
        <v>5</v>
      </c>
      <c r="K784" s="291">
        <v>8</v>
      </c>
      <c r="L784" s="292">
        <v>5</v>
      </c>
      <c r="M784" s="292">
        <v>8</v>
      </c>
      <c r="N784" s="292">
        <v>5</v>
      </c>
      <c r="O784" s="292">
        <v>5</v>
      </c>
      <c r="P784" s="294">
        <v>5</v>
      </c>
      <c r="Q784" s="294">
        <v>5</v>
      </c>
      <c r="R784" s="294"/>
      <c r="S784" s="294"/>
      <c r="T784" s="294"/>
      <c r="U784" s="294"/>
      <c r="V784" s="431"/>
      <c r="W784" s="294"/>
      <c r="X784" s="294"/>
      <c r="Y784" s="294">
        <f>IF(NFI_Expiration=1,IF($A784&lt;VLOOKUP(H$5,NFI,5,0),1,0)*Table_NFI[[#This Row],[Hygiene Kit]],Table_NFI[Hygiene Kit])</f>
        <v>0</v>
      </c>
      <c r="Z784" s="294">
        <f>IF(NFI_Expiration=1,IF($A784&lt;VLOOKUP(I$5,NFI,5,0),1,0)*Table_NFI[[#This Row],[NFI Core Kit]],Table_NFI[NFI Core Kit])</f>
        <v>0</v>
      </c>
      <c r="AA784" s="294">
        <f>IF(NFI_Expiration=1,IF($A784&lt;VLOOKUP(J$5,NFI,5,0),1,0)*Table_NFI[[#This Row],[Sanitary Kit]],Table_NFI[Sanitary Kit])</f>
        <v>0</v>
      </c>
      <c r="AB784" s="294">
        <f>IF(NFI_Expiration=1,IF($A784&lt;VLOOKUP(K$5,NFI,5,0),1,0)*Table_NFI[[#This Row],[Mosquito net]],Table_NFI[Mosquito net])</f>
        <v>0</v>
      </c>
      <c r="AC784" s="294">
        <f>IF(NFI_Expiration=1,IF($A784&lt;VLOOKUP(L$5,NFI,5,0),1,0)*Table_NFI[[#This Row],[Tarpaulin]],Table_NFI[[#This Row],[Tarpaulin]])</f>
        <v>0</v>
      </c>
      <c r="AD784" s="294">
        <f>IF(NFI_Expiration=1,IF($A784&lt;VLOOKUP(M$5,NFI,5,0),1,0)*Table_NFI[[#This Row],[Blanket]],Table_NFI[[#This Row],[Blanket]])</f>
        <v>0</v>
      </c>
      <c r="AE784" s="294">
        <f>IF(NFI_Expiration=1,IF($A784&lt;VLOOKUP(N$5,NFI,5,0),1,0)*Table_NFI[[#This Row],[Kitchen Set]],Table_NFI[Kitchen Set])</f>
        <v>0</v>
      </c>
      <c r="AF784" s="294">
        <f>IF(NFI_Expiration=1,IF($A784&lt;VLOOKUP(O$5,NFI,5,0),1,0)*Table_NFI[[#This Row],[Clothes Kit]],Table_NFI[Clothes Kit])</f>
        <v>0</v>
      </c>
      <c r="AG784" s="294">
        <f>IF(NFI_Expiration=1,IF($A784&lt;VLOOKUP(P$5,NFI,5,0),1,0)*Table_NFI[[#This Row],[Plastic Bucket]],Table_NFI[Plastic Bucket])</f>
        <v>0</v>
      </c>
      <c r="AH784" s="294">
        <f>IF(NFI_Expiration=1,IF($A784&lt;VLOOKUP(Q$5,NFI,5,0),1,0)*Table_NFI[[#This Row],[Plastic Mat]],Table_NFI[Plastic Mat])*IF(Table_NFI[[#This Row],[Distribution Date]]&gt;"2014-04-01",1,2.5)</f>
        <v>0</v>
      </c>
      <c r="AI784" s="294">
        <f>IF(NFI_Expiration=1,IF($A784&lt;VLOOKUP(R$5,NFI,5,0),1,0)*Table_NFI[[#This Row],[Winter Clothes Adult]],Table_NFI[Winter Clothes Adult])</f>
        <v>0</v>
      </c>
      <c r="AJ784" s="294">
        <f>IF(NFI_Expiration=1,IF($A784&lt;VLOOKUP(S$5,NFI,5,0),1,0)*Table_NFI[[#This Row],[Winter Clothes Children]],Table_NFI[Winter Clothes Children])</f>
        <v>0</v>
      </c>
      <c r="AK784" s="294">
        <f>IF(NFI_Expiration=1,IF($A784&lt;VLOOKUP(T$5,NFI,5,0),1,0)*Table_NFI[[#This Row],[Winter Items Other]],Table_NFI[Winter Items Other])</f>
        <v>0</v>
      </c>
      <c r="AL784" s="294">
        <f>IF(NFI_Expiration=1,IF($A784&lt;VLOOKUP(M$5,NFI,5,0),1,0)*Table_NFI[[#This Row],[Winter Blanket]],Table_NFI[[#This Row],[Winter Blanket]])</f>
        <v>0</v>
      </c>
      <c r="AM784" s="294">
        <f>IF(Table_NFI[[#This Row],[Winter Clothes Adult]]+Table_NFI[[#This Row],[Winter Clothes Children]]+Table_NFI[[#This Row],[Winter Items Other]]+Table_NFI[[#This Row],[Winter Blanket]]&gt;0,1,0)</f>
        <v>0</v>
      </c>
      <c r="AN784" s="331">
        <f>IF(NFI_Expiration=1,IF($A784&lt;VLOOKUP(V$5,NFI,5,0),1,0)*Table_NFI[[#This Row],[Jerry Can]],Table_NFI[Jerry Can])</f>
        <v>0</v>
      </c>
      <c r="AO784" s="331">
        <f>IF(NFI_Expiration=1,IF($A784&lt;VLOOKUP(V$5,NFI,5,0),1,0)*Table_NFI[[#This Row],[Shelter Tool kit]],Table_NFI[Shelter Tool kit])</f>
        <v>0</v>
      </c>
      <c r="AP784" s="331">
        <f>IF(NFI_Expiration=1,IF($A784&lt;VLOOKUP(V$5,NFI,5,0),1,0)*Table_NFI[[#This Row],[Tent]],Table_NFI[Tent])</f>
        <v>0</v>
      </c>
      <c r="AQ784" s="467" t="str">
        <f>IFERROR(VLOOKUP(Table_NFI[[#This Row],[Camp Name]],CL,2,0),"")</f>
        <v>MMR001CMP162</v>
      </c>
      <c r="AR784" s="835">
        <f ca="1">IF(Table_NFI[[#This Row],[Pcode]]="","",IF(OFFSET(CampList[Opening Date],MATCH(Table_NFI[[#This Row],[Pcode]],CampList[CP_Pcode],0)-1,0,1,1)&gt;=NFI_Monitor_Date,1,0))</f>
        <v>0</v>
      </c>
      <c r="AS784" s="467" t="str">
        <f>IFERROR(VLOOKUP(Table_NFI[[#This Row],[Camp Name]],CL,3,0),"")</f>
        <v>Open</v>
      </c>
      <c r="AT784" s="294" t="str">
        <f ca="1">IF(Table_NFI[[#This Row],[Pcode]]="","",OFFSET(CampList[Priority],MATCH(Table_NFI[[#This Row],[Pcode]],CampList[CP_Pcode],0)-1,0,1,1))</f>
        <v>P4</v>
      </c>
      <c r="AU784" s="293">
        <f>IFERROR(Table_NFI[[#This Row],[Kitchen Set]]/VLOOKUP(Table_NFI[[#This Row],[Camp Name]],CL,4,0),"")</f>
        <v>1.2122975463097663E-4</v>
      </c>
      <c r="AV784" s="461" t="s">
        <v>1092</v>
      </c>
      <c r="AW784" s="463"/>
    </row>
    <row r="785" spans="1:49" ht="14.45" customHeight="1" x14ac:dyDescent="0.25">
      <c r="A785" s="297">
        <f t="shared" si="12"/>
        <v>47.7</v>
      </c>
      <c r="B785" s="460">
        <v>41305</v>
      </c>
      <c r="C785" s="461" t="s">
        <v>569</v>
      </c>
      <c r="D785" s="462" t="s">
        <v>569</v>
      </c>
      <c r="E785" s="461" t="s">
        <v>380</v>
      </c>
      <c r="F785" s="461" t="s">
        <v>310</v>
      </c>
      <c r="G785" s="290" t="s">
        <v>313</v>
      </c>
      <c r="H785" s="291"/>
      <c r="I785" s="291"/>
      <c r="J785" s="291"/>
      <c r="K785" s="291"/>
      <c r="L785" s="292"/>
      <c r="M785" s="292">
        <v>256</v>
      </c>
      <c r="N785" s="292"/>
      <c r="O785" s="292"/>
      <c r="P785" s="294">
        <v>0</v>
      </c>
      <c r="Q785" s="294">
        <v>0</v>
      </c>
      <c r="R785" s="294"/>
      <c r="S785" s="294"/>
      <c r="T785" s="294"/>
      <c r="U785" s="294"/>
      <c r="V785" s="431"/>
      <c r="W785" s="294"/>
      <c r="X785" s="294"/>
      <c r="Y785" s="294">
        <f>IF(NFI_Expiration=1,IF($A785&lt;VLOOKUP(H$5,NFI,5,0),1,0)*Table_NFI[[#This Row],[Hygiene Kit]],Table_NFI[Hygiene Kit])</f>
        <v>0</v>
      </c>
      <c r="Z785" s="294">
        <f>IF(NFI_Expiration=1,IF($A785&lt;VLOOKUP(I$5,NFI,5,0),1,0)*Table_NFI[[#This Row],[NFI Core Kit]],Table_NFI[NFI Core Kit])</f>
        <v>0</v>
      </c>
      <c r="AA785" s="294">
        <f>IF(NFI_Expiration=1,IF($A785&lt;VLOOKUP(J$5,NFI,5,0),1,0)*Table_NFI[[#This Row],[Sanitary Kit]],Table_NFI[Sanitary Kit])</f>
        <v>0</v>
      </c>
      <c r="AB785" s="294">
        <f>IF(NFI_Expiration=1,IF($A785&lt;VLOOKUP(K$5,NFI,5,0),1,0)*Table_NFI[[#This Row],[Mosquito net]],Table_NFI[Mosquito net])</f>
        <v>0</v>
      </c>
      <c r="AC785" s="294">
        <f>IF(NFI_Expiration=1,IF($A785&lt;VLOOKUP(L$5,NFI,5,0),1,0)*Table_NFI[[#This Row],[Tarpaulin]],Table_NFI[[#This Row],[Tarpaulin]])</f>
        <v>0</v>
      </c>
      <c r="AD785" s="294">
        <f>IF(NFI_Expiration=1,IF($A785&lt;VLOOKUP(M$5,NFI,5,0),1,0)*Table_NFI[[#This Row],[Blanket]],Table_NFI[[#This Row],[Blanket]])</f>
        <v>0</v>
      </c>
      <c r="AE785" s="294">
        <f>IF(NFI_Expiration=1,IF($A785&lt;VLOOKUP(N$5,NFI,5,0),1,0)*Table_NFI[[#This Row],[Kitchen Set]],Table_NFI[Kitchen Set])</f>
        <v>0</v>
      </c>
      <c r="AF785" s="294">
        <f>IF(NFI_Expiration=1,IF($A785&lt;VLOOKUP(O$5,NFI,5,0),1,0)*Table_NFI[[#This Row],[Clothes Kit]],Table_NFI[Clothes Kit])</f>
        <v>0</v>
      </c>
      <c r="AG785" s="294">
        <f>IF(NFI_Expiration=1,IF($A785&lt;VLOOKUP(P$5,NFI,5,0),1,0)*Table_NFI[[#This Row],[Plastic Bucket]],Table_NFI[Plastic Bucket])</f>
        <v>0</v>
      </c>
      <c r="AH785" s="294">
        <f>IF(NFI_Expiration=1,IF($A785&lt;VLOOKUP(Q$5,NFI,5,0),1,0)*Table_NFI[[#This Row],[Plastic Mat]],Table_NFI[Plastic Mat])*IF(Table_NFI[[#This Row],[Distribution Date]]&gt;"2014-04-01",1,2.5)</f>
        <v>0</v>
      </c>
      <c r="AI785" s="294">
        <f>IF(NFI_Expiration=1,IF($A785&lt;VLOOKUP(R$5,NFI,5,0),1,0)*Table_NFI[[#This Row],[Winter Clothes Adult]],Table_NFI[Winter Clothes Adult])</f>
        <v>0</v>
      </c>
      <c r="AJ785" s="294">
        <f>IF(NFI_Expiration=1,IF($A785&lt;VLOOKUP(S$5,NFI,5,0),1,0)*Table_NFI[[#This Row],[Winter Clothes Children]],Table_NFI[Winter Clothes Children])</f>
        <v>0</v>
      </c>
      <c r="AK785" s="294">
        <f>IF(NFI_Expiration=1,IF($A785&lt;VLOOKUP(T$5,NFI,5,0),1,0)*Table_NFI[[#This Row],[Winter Items Other]],Table_NFI[Winter Items Other])</f>
        <v>0</v>
      </c>
      <c r="AL785" s="294">
        <f>IF(NFI_Expiration=1,IF($A785&lt;VLOOKUP(M$5,NFI,5,0),1,0)*Table_NFI[[#This Row],[Winter Blanket]],Table_NFI[[#This Row],[Winter Blanket]])</f>
        <v>0</v>
      </c>
      <c r="AM785" s="294">
        <f>IF(Table_NFI[[#This Row],[Winter Clothes Adult]]+Table_NFI[[#This Row],[Winter Clothes Children]]+Table_NFI[[#This Row],[Winter Items Other]]+Table_NFI[[#This Row],[Winter Blanket]]&gt;0,1,0)</f>
        <v>0</v>
      </c>
      <c r="AN785" s="331">
        <f>IF(NFI_Expiration=1,IF($A785&lt;VLOOKUP(V$5,NFI,5,0),1,0)*Table_NFI[[#This Row],[Jerry Can]],Table_NFI[Jerry Can])</f>
        <v>0</v>
      </c>
      <c r="AO785" s="331">
        <f>IF(NFI_Expiration=1,IF($A785&lt;VLOOKUP(V$5,NFI,5,0),1,0)*Table_NFI[[#This Row],[Shelter Tool kit]],Table_NFI[Shelter Tool kit])</f>
        <v>0</v>
      </c>
      <c r="AP785" s="331">
        <f>IF(NFI_Expiration=1,IF($A785&lt;VLOOKUP(V$5,NFI,5,0),1,0)*Table_NFI[[#This Row],[Tent]],Table_NFI[Tent])</f>
        <v>0</v>
      </c>
      <c r="AQ785" s="467" t="str">
        <f>IFERROR(VLOOKUP(Table_NFI[[#This Row],[Camp Name]],CL,2,0),"")</f>
        <v>MMR001CMP028</v>
      </c>
      <c r="AR785" s="835">
        <f ca="1">IF(Table_NFI[[#This Row],[Pcode]]="","",IF(OFFSET(CampList[Opening Date],MATCH(Table_NFI[[#This Row],[Pcode]],CampList[CP_Pcode],0)-1,0,1,1)&gt;=NFI_Monitor_Date,1,0))</f>
        <v>0</v>
      </c>
      <c r="AS785" s="467" t="str">
        <f>IFERROR(VLOOKUP(Table_NFI[[#This Row],[Camp Name]],CL,3,0),"")</f>
        <v>Open</v>
      </c>
      <c r="AT785" s="294" t="str">
        <f ca="1">IF(Table_NFI[[#This Row],[Pcode]]="","",OFFSET(CampList[Priority],MATCH(Table_NFI[[#This Row],[Pcode]],CampList[CP_Pcode],0)-1,0,1,1))</f>
        <v>P4</v>
      </c>
      <c r="AU785" s="293">
        <f>IFERROR(Table_NFI[[#This Row],[Kitchen Set]]/VLOOKUP(Table_NFI[[#This Row],[Camp Name]],CL,4,0),"")</f>
        <v>0</v>
      </c>
      <c r="AV785" s="461" t="s">
        <v>1092</v>
      </c>
      <c r="AW785" s="463"/>
    </row>
    <row r="786" spans="1:49" x14ac:dyDescent="0.25">
      <c r="A786" s="297">
        <f t="shared" si="12"/>
        <v>47.7</v>
      </c>
      <c r="B786" s="460">
        <v>41305</v>
      </c>
      <c r="C786" s="461" t="s">
        <v>569</v>
      </c>
      <c r="D786" s="462" t="s">
        <v>569</v>
      </c>
      <c r="E786" s="461" t="s">
        <v>380</v>
      </c>
      <c r="F786" s="290" t="s">
        <v>310</v>
      </c>
      <c r="G786" s="290" t="s">
        <v>320</v>
      </c>
      <c r="H786" s="291"/>
      <c r="I786" s="291"/>
      <c r="J786" s="291"/>
      <c r="K786" s="291"/>
      <c r="L786" s="292"/>
      <c r="M786" s="292">
        <v>42</v>
      </c>
      <c r="N786" s="292"/>
      <c r="O786" s="292"/>
      <c r="P786" s="294">
        <v>0</v>
      </c>
      <c r="Q786" s="294">
        <v>0</v>
      </c>
      <c r="R786" s="294"/>
      <c r="S786" s="294"/>
      <c r="T786" s="294"/>
      <c r="U786" s="294"/>
      <c r="V786" s="431"/>
      <c r="W786" s="294"/>
      <c r="X786" s="294"/>
      <c r="Y786" s="294">
        <f>IF(NFI_Expiration=1,IF($A786&lt;VLOOKUP(H$5,NFI,5,0),1,0)*Table_NFI[[#This Row],[Hygiene Kit]],Table_NFI[Hygiene Kit])</f>
        <v>0</v>
      </c>
      <c r="Z786" s="294">
        <f>IF(NFI_Expiration=1,IF($A786&lt;VLOOKUP(I$5,NFI,5,0),1,0)*Table_NFI[[#This Row],[NFI Core Kit]],Table_NFI[NFI Core Kit])</f>
        <v>0</v>
      </c>
      <c r="AA786" s="294">
        <f>IF(NFI_Expiration=1,IF($A786&lt;VLOOKUP(J$5,NFI,5,0),1,0)*Table_NFI[[#This Row],[Sanitary Kit]],Table_NFI[Sanitary Kit])</f>
        <v>0</v>
      </c>
      <c r="AB786" s="294">
        <f>IF(NFI_Expiration=1,IF($A786&lt;VLOOKUP(K$5,NFI,5,0),1,0)*Table_NFI[[#This Row],[Mosquito net]],Table_NFI[Mosquito net])</f>
        <v>0</v>
      </c>
      <c r="AC786" s="294">
        <f>IF(NFI_Expiration=1,IF($A786&lt;VLOOKUP(L$5,NFI,5,0),1,0)*Table_NFI[[#This Row],[Tarpaulin]],Table_NFI[[#This Row],[Tarpaulin]])</f>
        <v>0</v>
      </c>
      <c r="AD786" s="294">
        <f>IF(NFI_Expiration=1,IF($A786&lt;VLOOKUP(M$5,NFI,5,0),1,0)*Table_NFI[[#This Row],[Blanket]],Table_NFI[[#This Row],[Blanket]])</f>
        <v>0</v>
      </c>
      <c r="AE786" s="294">
        <f>IF(NFI_Expiration=1,IF($A786&lt;VLOOKUP(N$5,NFI,5,0),1,0)*Table_NFI[[#This Row],[Kitchen Set]],Table_NFI[Kitchen Set])</f>
        <v>0</v>
      </c>
      <c r="AF786" s="294">
        <f>IF(NFI_Expiration=1,IF($A786&lt;VLOOKUP(O$5,NFI,5,0),1,0)*Table_NFI[[#This Row],[Clothes Kit]],Table_NFI[Clothes Kit])</f>
        <v>0</v>
      </c>
      <c r="AG786" s="294">
        <f>IF(NFI_Expiration=1,IF($A786&lt;VLOOKUP(P$5,NFI,5,0),1,0)*Table_NFI[[#This Row],[Plastic Bucket]],Table_NFI[Plastic Bucket])</f>
        <v>0</v>
      </c>
      <c r="AH786" s="294">
        <f>IF(NFI_Expiration=1,IF($A786&lt;VLOOKUP(Q$5,NFI,5,0),1,0)*Table_NFI[[#This Row],[Plastic Mat]],Table_NFI[Plastic Mat])*IF(Table_NFI[[#This Row],[Distribution Date]]&gt;"2014-04-01",1,2.5)</f>
        <v>0</v>
      </c>
      <c r="AI786" s="294">
        <f>IF(NFI_Expiration=1,IF($A786&lt;VLOOKUP(R$5,NFI,5,0),1,0)*Table_NFI[[#This Row],[Winter Clothes Adult]],Table_NFI[Winter Clothes Adult])</f>
        <v>0</v>
      </c>
      <c r="AJ786" s="294">
        <f>IF(NFI_Expiration=1,IF($A786&lt;VLOOKUP(S$5,NFI,5,0),1,0)*Table_NFI[[#This Row],[Winter Clothes Children]],Table_NFI[Winter Clothes Children])</f>
        <v>0</v>
      </c>
      <c r="AK786" s="294">
        <f>IF(NFI_Expiration=1,IF($A786&lt;VLOOKUP(T$5,NFI,5,0),1,0)*Table_NFI[[#This Row],[Winter Items Other]],Table_NFI[Winter Items Other])</f>
        <v>0</v>
      </c>
      <c r="AL786" s="294">
        <f>IF(NFI_Expiration=1,IF($A786&lt;VLOOKUP(M$5,NFI,5,0),1,0)*Table_NFI[[#This Row],[Winter Blanket]],Table_NFI[[#This Row],[Winter Blanket]])</f>
        <v>0</v>
      </c>
      <c r="AM786" s="294">
        <f>IF(Table_NFI[[#This Row],[Winter Clothes Adult]]+Table_NFI[[#This Row],[Winter Clothes Children]]+Table_NFI[[#This Row],[Winter Items Other]]+Table_NFI[[#This Row],[Winter Blanket]]&gt;0,1,0)</f>
        <v>0</v>
      </c>
      <c r="AN786" s="331">
        <f>IF(NFI_Expiration=1,IF($A786&lt;VLOOKUP(V$5,NFI,5,0),1,0)*Table_NFI[[#This Row],[Jerry Can]],Table_NFI[Jerry Can])</f>
        <v>0</v>
      </c>
      <c r="AO786" s="331">
        <f>IF(NFI_Expiration=1,IF($A786&lt;VLOOKUP(V$5,NFI,5,0),1,0)*Table_NFI[[#This Row],[Shelter Tool kit]],Table_NFI[Shelter Tool kit])</f>
        <v>0</v>
      </c>
      <c r="AP786" s="331">
        <f>IF(NFI_Expiration=1,IF($A786&lt;VLOOKUP(V$5,NFI,5,0),1,0)*Table_NFI[[#This Row],[Tent]],Table_NFI[Tent])</f>
        <v>0</v>
      </c>
      <c r="AQ786" s="467" t="str">
        <f>IFERROR(VLOOKUP(Table_NFI[[#This Row],[Camp Name]],CL,2,0),"")</f>
        <v>MMR001CMP027</v>
      </c>
      <c r="AR786" s="835">
        <f ca="1">IF(Table_NFI[[#This Row],[Pcode]]="","",IF(OFFSET(CampList[Opening Date],MATCH(Table_NFI[[#This Row],[Pcode]],CampList[CP_Pcode],0)-1,0,1,1)&gt;=NFI_Monitor_Date,1,0))</f>
        <v>0</v>
      </c>
      <c r="AS786" s="467" t="str">
        <f>IFERROR(VLOOKUP(Table_NFI[[#This Row],[Camp Name]],CL,3,0),"")</f>
        <v>Open</v>
      </c>
      <c r="AT786" s="294" t="str">
        <f ca="1">IF(Table_NFI[[#This Row],[Pcode]]="","",OFFSET(CampList[Priority],MATCH(Table_NFI[[#This Row],[Pcode]],CampList[CP_Pcode],0)-1,0,1,1))</f>
        <v>P4</v>
      </c>
      <c r="AU786" s="293">
        <f>IFERROR(Table_NFI[[#This Row],[Kitchen Set]]/VLOOKUP(Table_NFI[[#This Row],[Camp Name]],CL,4,0),"")</f>
        <v>0</v>
      </c>
      <c r="AV786" s="461" t="s">
        <v>1092</v>
      </c>
      <c r="AW786" s="463"/>
    </row>
    <row r="787" spans="1:49" x14ac:dyDescent="0.25">
      <c r="A787" s="297">
        <f t="shared" si="12"/>
        <v>47.7</v>
      </c>
      <c r="B787" s="460">
        <v>41305</v>
      </c>
      <c r="C787" s="461" t="s">
        <v>569</v>
      </c>
      <c r="D787" s="462" t="s">
        <v>569</v>
      </c>
      <c r="E787" s="461" t="s">
        <v>380</v>
      </c>
      <c r="F787" s="290" t="s">
        <v>310</v>
      </c>
      <c r="G787" s="290" t="s">
        <v>328</v>
      </c>
      <c r="H787" s="291"/>
      <c r="I787" s="291"/>
      <c r="J787" s="291"/>
      <c r="K787" s="291"/>
      <c r="L787" s="292"/>
      <c r="M787" s="292">
        <v>128</v>
      </c>
      <c r="N787" s="292"/>
      <c r="O787" s="292"/>
      <c r="P787" s="294">
        <v>0</v>
      </c>
      <c r="Q787" s="294">
        <v>0</v>
      </c>
      <c r="R787" s="294"/>
      <c r="S787" s="294"/>
      <c r="T787" s="294"/>
      <c r="U787" s="294"/>
      <c r="V787" s="431"/>
      <c r="W787" s="294"/>
      <c r="X787" s="294"/>
      <c r="Y787" s="294">
        <f>IF(NFI_Expiration=1,IF($A787&lt;VLOOKUP(H$5,NFI,5,0),1,0)*Table_NFI[[#This Row],[Hygiene Kit]],Table_NFI[Hygiene Kit])</f>
        <v>0</v>
      </c>
      <c r="Z787" s="294">
        <f>IF(NFI_Expiration=1,IF($A787&lt;VLOOKUP(I$5,NFI,5,0),1,0)*Table_NFI[[#This Row],[NFI Core Kit]],Table_NFI[NFI Core Kit])</f>
        <v>0</v>
      </c>
      <c r="AA787" s="294">
        <f>IF(NFI_Expiration=1,IF($A787&lt;VLOOKUP(J$5,NFI,5,0),1,0)*Table_NFI[[#This Row],[Sanitary Kit]],Table_NFI[Sanitary Kit])</f>
        <v>0</v>
      </c>
      <c r="AB787" s="294">
        <f>IF(NFI_Expiration=1,IF($A787&lt;VLOOKUP(K$5,NFI,5,0),1,0)*Table_NFI[[#This Row],[Mosquito net]],Table_NFI[Mosquito net])</f>
        <v>0</v>
      </c>
      <c r="AC787" s="294">
        <f>IF(NFI_Expiration=1,IF($A787&lt;VLOOKUP(L$5,NFI,5,0),1,0)*Table_NFI[[#This Row],[Tarpaulin]],Table_NFI[[#This Row],[Tarpaulin]])</f>
        <v>0</v>
      </c>
      <c r="AD787" s="294">
        <f>IF(NFI_Expiration=1,IF($A787&lt;VLOOKUP(M$5,NFI,5,0),1,0)*Table_NFI[[#This Row],[Blanket]],Table_NFI[[#This Row],[Blanket]])</f>
        <v>0</v>
      </c>
      <c r="AE787" s="294">
        <f>IF(NFI_Expiration=1,IF($A787&lt;VLOOKUP(N$5,NFI,5,0),1,0)*Table_NFI[[#This Row],[Kitchen Set]],Table_NFI[Kitchen Set])</f>
        <v>0</v>
      </c>
      <c r="AF787" s="294">
        <f>IF(NFI_Expiration=1,IF($A787&lt;VLOOKUP(O$5,NFI,5,0),1,0)*Table_NFI[[#This Row],[Clothes Kit]],Table_NFI[Clothes Kit])</f>
        <v>0</v>
      </c>
      <c r="AG787" s="294">
        <f>IF(NFI_Expiration=1,IF($A787&lt;VLOOKUP(P$5,NFI,5,0),1,0)*Table_NFI[[#This Row],[Plastic Bucket]],Table_NFI[Plastic Bucket])</f>
        <v>0</v>
      </c>
      <c r="AH787" s="294">
        <f>IF(NFI_Expiration=1,IF($A787&lt;VLOOKUP(Q$5,NFI,5,0),1,0)*Table_NFI[[#This Row],[Plastic Mat]],Table_NFI[Plastic Mat])*IF(Table_NFI[[#This Row],[Distribution Date]]&gt;"2014-04-01",1,2.5)</f>
        <v>0</v>
      </c>
      <c r="AI787" s="294">
        <f>IF(NFI_Expiration=1,IF($A787&lt;VLOOKUP(R$5,NFI,5,0),1,0)*Table_NFI[[#This Row],[Winter Clothes Adult]],Table_NFI[Winter Clothes Adult])</f>
        <v>0</v>
      </c>
      <c r="AJ787" s="294">
        <f>IF(NFI_Expiration=1,IF($A787&lt;VLOOKUP(S$5,NFI,5,0),1,0)*Table_NFI[[#This Row],[Winter Clothes Children]],Table_NFI[Winter Clothes Children])</f>
        <v>0</v>
      </c>
      <c r="AK787" s="294">
        <f>IF(NFI_Expiration=1,IF($A787&lt;VLOOKUP(T$5,NFI,5,0),1,0)*Table_NFI[[#This Row],[Winter Items Other]],Table_NFI[Winter Items Other])</f>
        <v>0</v>
      </c>
      <c r="AL787" s="294">
        <f>IF(NFI_Expiration=1,IF($A787&lt;VLOOKUP(M$5,NFI,5,0),1,0)*Table_NFI[[#This Row],[Winter Blanket]],Table_NFI[[#This Row],[Winter Blanket]])</f>
        <v>0</v>
      </c>
      <c r="AM787" s="294">
        <f>IF(Table_NFI[[#This Row],[Winter Clothes Adult]]+Table_NFI[[#This Row],[Winter Clothes Children]]+Table_NFI[[#This Row],[Winter Items Other]]+Table_NFI[[#This Row],[Winter Blanket]]&gt;0,1,0)</f>
        <v>0</v>
      </c>
      <c r="AN787" s="331">
        <f>IF(NFI_Expiration=1,IF($A787&lt;VLOOKUP(V$5,NFI,5,0),1,0)*Table_NFI[[#This Row],[Jerry Can]],Table_NFI[Jerry Can])</f>
        <v>0</v>
      </c>
      <c r="AO787" s="331">
        <f>IF(NFI_Expiration=1,IF($A787&lt;VLOOKUP(V$5,NFI,5,0),1,0)*Table_NFI[[#This Row],[Shelter Tool kit]],Table_NFI[Shelter Tool kit])</f>
        <v>0</v>
      </c>
      <c r="AP787" s="331">
        <f>IF(NFI_Expiration=1,IF($A787&lt;VLOOKUP(V$5,NFI,5,0),1,0)*Table_NFI[[#This Row],[Tent]],Table_NFI[Tent])</f>
        <v>0</v>
      </c>
      <c r="AQ787" s="467" t="str">
        <f>IFERROR(VLOOKUP(Table_NFI[[#This Row],[Camp Name]],CL,2,0),"")</f>
        <v>MMR001CMP031</v>
      </c>
      <c r="AR787" s="835">
        <f ca="1">IF(Table_NFI[[#This Row],[Pcode]]="","",IF(OFFSET(CampList[Opening Date],MATCH(Table_NFI[[#This Row],[Pcode]],CampList[CP_Pcode],0)-1,0,1,1)&gt;=NFI_Monitor_Date,1,0))</f>
        <v>0</v>
      </c>
      <c r="AS787" s="467" t="str">
        <f>IFERROR(VLOOKUP(Table_NFI[[#This Row],[Camp Name]],CL,3,0),"")</f>
        <v>Open</v>
      </c>
      <c r="AT787" s="294" t="str">
        <f ca="1">IF(Table_NFI[[#This Row],[Pcode]]="","",OFFSET(CampList[Priority],MATCH(Table_NFI[[#This Row],[Pcode]],CampList[CP_Pcode],0)-1,0,1,1))</f>
        <v>P4</v>
      </c>
      <c r="AU787" s="293">
        <f>IFERROR(Table_NFI[[#This Row],[Kitchen Set]]/VLOOKUP(Table_NFI[[#This Row],[Camp Name]],CL,4,0),"")</f>
        <v>0</v>
      </c>
      <c r="AV787" s="461" t="s">
        <v>1092</v>
      </c>
      <c r="AW787" s="463"/>
    </row>
    <row r="788" spans="1:49" ht="14.45" customHeight="1" x14ac:dyDescent="0.25">
      <c r="A788" s="297">
        <f t="shared" si="12"/>
        <v>47.7</v>
      </c>
      <c r="B788" s="460">
        <v>41305</v>
      </c>
      <c r="C788" s="461" t="s">
        <v>569</v>
      </c>
      <c r="D788" s="462" t="s">
        <v>569</v>
      </c>
      <c r="E788" s="461" t="s">
        <v>380</v>
      </c>
      <c r="F788" s="290" t="s">
        <v>310</v>
      </c>
      <c r="G788" s="290" t="s">
        <v>330</v>
      </c>
      <c r="H788" s="291"/>
      <c r="I788" s="291"/>
      <c r="J788" s="291"/>
      <c r="K788" s="291"/>
      <c r="L788" s="292"/>
      <c r="M788" s="292">
        <v>442</v>
      </c>
      <c r="N788" s="292"/>
      <c r="O788" s="292"/>
      <c r="P788" s="294">
        <v>0</v>
      </c>
      <c r="Q788" s="294">
        <v>0</v>
      </c>
      <c r="R788" s="294"/>
      <c r="S788" s="294"/>
      <c r="T788" s="294"/>
      <c r="U788" s="294"/>
      <c r="V788" s="431"/>
      <c r="W788" s="294"/>
      <c r="X788" s="294"/>
      <c r="Y788" s="294">
        <f>IF(NFI_Expiration=1,IF($A788&lt;VLOOKUP(H$5,NFI,5,0),1,0)*Table_NFI[[#This Row],[Hygiene Kit]],Table_NFI[Hygiene Kit])</f>
        <v>0</v>
      </c>
      <c r="Z788" s="294">
        <f>IF(NFI_Expiration=1,IF($A788&lt;VLOOKUP(I$5,NFI,5,0),1,0)*Table_NFI[[#This Row],[NFI Core Kit]],Table_NFI[NFI Core Kit])</f>
        <v>0</v>
      </c>
      <c r="AA788" s="294">
        <f>IF(NFI_Expiration=1,IF($A788&lt;VLOOKUP(J$5,NFI,5,0),1,0)*Table_NFI[[#This Row],[Sanitary Kit]],Table_NFI[Sanitary Kit])</f>
        <v>0</v>
      </c>
      <c r="AB788" s="294">
        <f>IF(NFI_Expiration=1,IF($A788&lt;VLOOKUP(K$5,NFI,5,0),1,0)*Table_NFI[[#This Row],[Mosquito net]],Table_NFI[Mosquito net])</f>
        <v>0</v>
      </c>
      <c r="AC788" s="294">
        <f>IF(NFI_Expiration=1,IF($A788&lt;VLOOKUP(L$5,NFI,5,0),1,0)*Table_NFI[[#This Row],[Tarpaulin]],Table_NFI[[#This Row],[Tarpaulin]])</f>
        <v>0</v>
      </c>
      <c r="AD788" s="294">
        <f>IF(NFI_Expiration=1,IF($A788&lt;VLOOKUP(M$5,NFI,5,0),1,0)*Table_NFI[[#This Row],[Blanket]],Table_NFI[[#This Row],[Blanket]])</f>
        <v>0</v>
      </c>
      <c r="AE788" s="294">
        <f>IF(NFI_Expiration=1,IF($A788&lt;VLOOKUP(N$5,NFI,5,0),1,0)*Table_NFI[[#This Row],[Kitchen Set]],Table_NFI[Kitchen Set])</f>
        <v>0</v>
      </c>
      <c r="AF788" s="294">
        <f>IF(NFI_Expiration=1,IF($A788&lt;VLOOKUP(O$5,NFI,5,0),1,0)*Table_NFI[[#This Row],[Clothes Kit]],Table_NFI[Clothes Kit])</f>
        <v>0</v>
      </c>
      <c r="AG788" s="294">
        <f>IF(NFI_Expiration=1,IF($A788&lt;VLOOKUP(P$5,NFI,5,0),1,0)*Table_NFI[[#This Row],[Plastic Bucket]],Table_NFI[Plastic Bucket])</f>
        <v>0</v>
      </c>
      <c r="AH788" s="294">
        <f>IF(NFI_Expiration=1,IF($A788&lt;VLOOKUP(Q$5,NFI,5,0),1,0)*Table_NFI[[#This Row],[Plastic Mat]],Table_NFI[Plastic Mat])*IF(Table_NFI[[#This Row],[Distribution Date]]&gt;"2014-04-01",1,2.5)</f>
        <v>0</v>
      </c>
      <c r="AI788" s="294">
        <f>IF(NFI_Expiration=1,IF($A788&lt;VLOOKUP(R$5,NFI,5,0),1,0)*Table_NFI[[#This Row],[Winter Clothes Adult]],Table_NFI[Winter Clothes Adult])</f>
        <v>0</v>
      </c>
      <c r="AJ788" s="294">
        <f>IF(NFI_Expiration=1,IF($A788&lt;VLOOKUP(S$5,NFI,5,0),1,0)*Table_NFI[[#This Row],[Winter Clothes Children]],Table_NFI[Winter Clothes Children])</f>
        <v>0</v>
      </c>
      <c r="AK788" s="294">
        <f>IF(NFI_Expiration=1,IF($A788&lt;VLOOKUP(T$5,NFI,5,0),1,0)*Table_NFI[[#This Row],[Winter Items Other]],Table_NFI[Winter Items Other])</f>
        <v>0</v>
      </c>
      <c r="AL788" s="294">
        <f>IF(NFI_Expiration=1,IF($A788&lt;VLOOKUP(M$5,NFI,5,0),1,0)*Table_NFI[[#This Row],[Winter Blanket]],Table_NFI[[#This Row],[Winter Blanket]])</f>
        <v>0</v>
      </c>
      <c r="AM788" s="294">
        <f>IF(Table_NFI[[#This Row],[Winter Clothes Adult]]+Table_NFI[[#This Row],[Winter Clothes Children]]+Table_NFI[[#This Row],[Winter Items Other]]+Table_NFI[[#This Row],[Winter Blanket]]&gt;0,1,0)</f>
        <v>0</v>
      </c>
      <c r="AN788" s="331">
        <f>IF(NFI_Expiration=1,IF($A788&lt;VLOOKUP(V$5,NFI,5,0),1,0)*Table_NFI[[#This Row],[Jerry Can]],Table_NFI[Jerry Can])</f>
        <v>0</v>
      </c>
      <c r="AO788" s="331">
        <f>IF(NFI_Expiration=1,IF($A788&lt;VLOOKUP(V$5,NFI,5,0),1,0)*Table_NFI[[#This Row],[Shelter Tool kit]],Table_NFI[Shelter Tool kit])</f>
        <v>0</v>
      </c>
      <c r="AP788" s="331">
        <f>IF(NFI_Expiration=1,IF($A788&lt;VLOOKUP(V$5,NFI,5,0),1,0)*Table_NFI[[#This Row],[Tent]],Table_NFI[Tent])</f>
        <v>0</v>
      </c>
      <c r="AQ788" s="467" t="str">
        <f>IFERROR(VLOOKUP(Table_NFI[[#This Row],[Camp Name]],CL,2,0),"")</f>
        <v>MMR001CMP029</v>
      </c>
      <c r="AR788" s="835">
        <f ca="1">IF(Table_NFI[[#This Row],[Pcode]]="","",IF(OFFSET(CampList[Opening Date],MATCH(Table_NFI[[#This Row],[Pcode]],CampList[CP_Pcode],0)-1,0,1,1)&gt;=NFI_Monitor_Date,1,0))</f>
        <v>0</v>
      </c>
      <c r="AS788" s="467" t="str">
        <f>IFERROR(VLOOKUP(Table_NFI[[#This Row],[Camp Name]],CL,3,0),"")</f>
        <v>Open</v>
      </c>
      <c r="AT788" s="294" t="str">
        <f ca="1">IF(Table_NFI[[#This Row],[Pcode]]="","",OFFSET(CampList[Priority],MATCH(Table_NFI[[#This Row],[Pcode]],CampList[CP_Pcode],0)-1,0,1,1))</f>
        <v>P4</v>
      </c>
      <c r="AU788" s="293">
        <f>IFERROR(Table_NFI[[#This Row],[Kitchen Set]]/VLOOKUP(Table_NFI[[#This Row],[Camp Name]],CL,4,0),"")</f>
        <v>0</v>
      </c>
      <c r="AV788" s="461" t="s">
        <v>1092</v>
      </c>
      <c r="AW788" s="463"/>
    </row>
    <row r="789" spans="1:49" ht="14.45" customHeight="1" x14ac:dyDescent="0.25">
      <c r="A789" s="297">
        <f t="shared" si="12"/>
        <v>47.7</v>
      </c>
      <c r="B789" s="460">
        <v>41305</v>
      </c>
      <c r="C789" s="461" t="s">
        <v>569</v>
      </c>
      <c r="D789" s="462" t="s">
        <v>569</v>
      </c>
      <c r="E789" s="461" t="s">
        <v>380</v>
      </c>
      <c r="F789" s="290" t="s">
        <v>310</v>
      </c>
      <c r="G789" s="290" t="s">
        <v>324</v>
      </c>
      <c r="H789" s="291"/>
      <c r="I789" s="291"/>
      <c r="J789" s="291"/>
      <c r="K789" s="291"/>
      <c r="L789" s="292"/>
      <c r="M789" s="292">
        <v>324</v>
      </c>
      <c r="N789" s="292"/>
      <c r="O789" s="292"/>
      <c r="P789" s="294">
        <v>0</v>
      </c>
      <c r="Q789" s="294">
        <v>0</v>
      </c>
      <c r="R789" s="294"/>
      <c r="S789" s="294"/>
      <c r="T789" s="294"/>
      <c r="U789" s="294"/>
      <c r="V789" s="431"/>
      <c r="W789" s="294"/>
      <c r="X789" s="294"/>
      <c r="Y789" s="294">
        <f>IF(NFI_Expiration=1,IF($A789&lt;VLOOKUP(H$5,NFI,5,0),1,0)*Table_NFI[[#This Row],[Hygiene Kit]],Table_NFI[Hygiene Kit])</f>
        <v>0</v>
      </c>
      <c r="Z789" s="294">
        <f>IF(NFI_Expiration=1,IF($A789&lt;VLOOKUP(I$5,NFI,5,0),1,0)*Table_NFI[[#This Row],[NFI Core Kit]],Table_NFI[NFI Core Kit])</f>
        <v>0</v>
      </c>
      <c r="AA789" s="294">
        <f>IF(NFI_Expiration=1,IF($A789&lt;VLOOKUP(J$5,NFI,5,0),1,0)*Table_NFI[[#This Row],[Sanitary Kit]],Table_NFI[Sanitary Kit])</f>
        <v>0</v>
      </c>
      <c r="AB789" s="294">
        <f>IF(NFI_Expiration=1,IF($A789&lt;VLOOKUP(K$5,NFI,5,0),1,0)*Table_NFI[[#This Row],[Mosquito net]],Table_NFI[Mosquito net])</f>
        <v>0</v>
      </c>
      <c r="AC789" s="294">
        <f>IF(NFI_Expiration=1,IF($A789&lt;VLOOKUP(L$5,NFI,5,0),1,0)*Table_NFI[[#This Row],[Tarpaulin]],Table_NFI[[#This Row],[Tarpaulin]])</f>
        <v>0</v>
      </c>
      <c r="AD789" s="294">
        <f>IF(NFI_Expiration=1,IF($A789&lt;VLOOKUP(M$5,NFI,5,0),1,0)*Table_NFI[[#This Row],[Blanket]],Table_NFI[[#This Row],[Blanket]])</f>
        <v>0</v>
      </c>
      <c r="AE789" s="294">
        <f>IF(NFI_Expiration=1,IF($A789&lt;VLOOKUP(N$5,NFI,5,0),1,0)*Table_NFI[[#This Row],[Kitchen Set]],Table_NFI[Kitchen Set])</f>
        <v>0</v>
      </c>
      <c r="AF789" s="294">
        <f>IF(NFI_Expiration=1,IF($A789&lt;VLOOKUP(O$5,NFI,5,0),1,0)*Table_NFI[[#This Row],[Clothes Kit]],Table_NFI[Clothes Kit])</f>
        <v>0</v>
      </c>
      <c r="AG789" s="294">
        <f>IF(NFI_Expiration=1,IF($A789&lt;VLOOKUP(P$5,NFI,5,0),1,0)*Table_NFI[[#This Row],[Plastic Bucket]],Table_NFI[Plastic Bucket])</f>
        <v>0</v>
      </c>
      <c r="AH789" s="294">
        <f>IF(NFI_Expiration=1,IF($A789&lt;VLOOKUP(Q$5,NFI,5,0),1,0)*Table_NFI[[#This Row],[Plastic Mat]],Table_NFI[Plastic Mat])*IF(Table_NFI[[#This Row],[Distribution Date]]&gt;"2014-04-01",1,2.5)</f>
        <v>0</v>
      </c>
      <c r="AI789" s="294">
        <f>IF(NFI_Expiration=1,IF($A789&lt;VLOOKUP(R$5,NFI,5,0),1,0)*Table_NFI[[#This Row],[Winter Clothes Adult]],Table_NFI[Winter Clothes Adult])</f>
        <v>0</v>
      </c>
      <c r="AJ789" s="294">
        <f>IF(NFI_Expiration=1,IF($A789&lt;VLOOKUP(S$5,NFI,5,0),1,0)*Table_NFI[[#This Row],[Winter Clothes Children]],Table_NFI[Winter Clothes Children])</f>
        <v>0</v>
      </c>
      <c r="AK789" s="294">
        <f>IF(NFI_Expiration=1,IF($A789&lt;VLOOKUP(T$5,NFI,5,0),1,0)*Table_NFI[[#This Row],[Winter Items Other]],Table_NFI[Winter Items Other])</f>
        <v>0</v>
      </c>
      <c r="AL789" s="294">
        <f>IF(NFI_Expiration=1,IF($A789&lt;VLOOKUP(M$5,NFI,5,0),1,0)*Table_NFI[[#This Row],[Winter Blanket]],Table_NFI[[#This Row],[Winter Blanket]])</f>
        <v>0</v>
      </c>
      <c r="AM789" s="294">
        <f>IF(Table_NFI[[#This Row],[Winter Clothes Adult]]+Table_NFI[[#This Row],[Winter Clothes Children]]+Table_NFI[[#This Row],[Winter Items Other]]+Table_NFI[[#This Row],[Winter Blanket]]&gt;0,1,0)</f>
        <v>0</v>
      </c>
      <c r="AN789" s="331">
        <f>IF(NFI_Expiration=1,IF($A789&lt;VLOOKUP(V$5,NFI,5,0),1,0)*Table_NFI[[#This Row],[Jerry Can]],Table_NFI[Jerry Can])</f>
        <v>0</v>
      </c>
      <c r="AO789" s="331">
        <f>IF(NFI_Expiration=1,IF($A789&lt;VLOOKUP(V$5,NFI,5,0),1,0)*Table_NFI[[#This Row],[Shelter Tool kit]],Table_NFI[Shelter Tool kit])</f>
        <v>0</v>
      </c>
      <c r="AP789" s="331">
        <f>IF(NFI_Expiration=1,IF($A789&lt;VLOOKUP(V$5,NFI,5,0),1,0)*Table_NFI[[#This Row],[Tent]],Table_NFI[Tent])</f>
        <v>0</v>
      </c>
      <c r="AQ789" s="467" t="str">
        <f>IFERROR(VLOOKUP(Table_NFI[[#This Row],[Camp Name]],CL,2,0),"")</f>
        <v>MMR001CMP040</v>
      </c>
      <c r="AR789" s="835">
        <f ca="1">IF(Table_NFI[[#This Row],[Pcode]]="","",IF(OFFSET(CampList[Opening Date],MATCH(Table_NFI[[#This Row],[Pcode]],CampList[CP_Pcode],0)-1,0,1,1)&gt;=NFI_Monitor_Date,1,0))</f>
        <v>0</v>
      </c>
      <c r="AS789" s="467" t="str">
        <f>IFERROR(VLOOKUP(Table_NFI[[#This Row],[Camp Name]],CL,3,0),"")</f>
        <v>Open</v>
      </c>
      <c r="AT789" s="294" t="str">
        <f ca="1">IF(Table_NFI[[#This Row],[Pcode]]="","",OFFSET(CampList[Priority],MATCH(Table_NFI[[#This Row],[Pcode]],CampList[CP_Pcode],0)-1,0,1,1))</f>
        <v>P4</v>
      </c>
      <c r="AU789" s="293">
        <f>IFERROR(Table_NFI[[#This Row],[Kitchen Set]]/VLOOKUP(Table_NFI[[#This Row],[Camp Name]],CL,4,0),"")</f>
        <v>0</v>
      </c>
      <c r="AV789" s="461" t="s">
        <v>1092</v>
      </c>
      <c r="AW789" s="463"/>
    </row>
    <row r="790" spans="1:49" ht="14.45" customHeight="1" x14ac:dyDescent="0.25">
      <c r="A790" s="297">
        <f t="shared" si="12"/>
        <v>47.7</v>
      </c>
      <c r="B790" s="460">
        <v>41305</v>
      </c>
      <c r="C790" s="461" t="s">
        <v>569</v>
      </c>
      <c r="D790" s="462" t="s">
        <v>569</v>
      </c>
      <c r="E790" s="461" t="s">
        <v>380</v>
      </c>
      <c r="F790" s="290" t="s">
        <v>310</v>
      </c>
      <c r="G790" s="290" t="s">
        <v>326</v>
      </c>
      <c r="H790" s="291"/>
      <c r="I790" s="291"/>
      <c r="J790" s="291"/>
      <c r="K790" s="291"/>
      <c r="L790" s="292"/>
      <c r="M790" s="292">
        <v>94</v>
      </c>
      <c r="N790" s="292"/>
      <c r="O790" s="292"/>
      <c r="P790" s="294">
        <v>0</v>
      </c>
      <c r="Q790" s="294">
        <v>0</v>
      </c>
      <c r="R790" s="294"/>
      <c r="S790" s="294"/>
      <c r="T790" s="294"/>
      <c r="U790" s="294"/>
      <c r="V790" s="431"/>
      <c r="W790" s="294"/>
      <c r="X790" s="294"/>
      <c r="Y790" s="294">
        <f>IF(NFI_Expiration=1,IF($A790&lt;VLOOKUP(H$5,NFI,5,0),1,0)*Table_NFI[[#This Row],[Hygiene Kit]],Table_NFI[Hygiene Kit])</f>
        <v>0</v>
      </c>
      <c r="Z790" s="294">
        <f>IF(NFI_Expiration=1,IF($A790&lt;VLOOKUP(I$5,NFI,5,0),1,0)*Table_NFI[[#This Row],[NFI Core Kit]],Table_NFI[NFI Core Kit])</f>
        <v>0</v>
      </c>
      <c r="AA790" s="294">
        <f>IF(NFI_Expiration=1,IF($A790&lt;VLOOKUP(J$5,NFI,5,0),1,0)*Table_NFI[[#This Row],[Sanitary Kit]],Table_NFI[Sanitary Kit])</f>
        <v>0</v>
      </c>
      <c r="AB790" s="294">
        <f>IF(NFI_Expiration=1,IF($A790&lt;VLOOKUP(K$5,NFI,5,0),1,0)*Table_NFI[[#This Row],[Mosquito net]],Table_NFI[Mosquito net])</f>
        <v>0</v>
      </c>
      <c r="AC790" s="294">
        <f>IF(NFI_Expiration=1,IF($A790&lt;VLOOKUP(L$5,NFI,5,0),1,0)*Table_NFI[[#This Row],[Tarpaulin]],Table_NFI[[#This Row],[Tarpaulin]])</f>
        <v>0</v>
      </c>
      <c r="AD790" s="294">
        <f>IF(NFI_Expiration=1,IF($A790&lt;VLOOKUP(M$5,NFI,5,0),1,0)*Table_NFI[[#This Row],[Blanket]],Table_NFI[[#This Row],[Blanket]])</f>
        <v>0</v>
      </c>
      <c r="AE790" s="294">
        <f>IF(NFI_Expiration=1,IF($A790&lt;VLOOKUP(N$5,NFI,5,0),1,0)*Table_NFI[[#This Row],[Kitchen Set]],Table_NFI[Kitchen Set])</f>
        <v>0</v>
      </c>
      <c r="AF790" s="294">
        <f>IF(NFI_Expiration=1,IF($A790&lt;VLOOKUP(O$5,NFI,5,0),1,0)*Table_NFI[[#This Row],[Clothes Kit]],Table_NFI[Clothes Kit])</f>
        <v>0</v>
      </c>
      <c r="AG790" s="294">
        <f>IF(NFI_Expiration=1,IF($A790&lt;VLOOKUP(P$5,NFI,5,0),1,0)*Table_NFI[[#This Row],[Plastic Bucket]],Table_NFI[Plastic Bucket])</f>
        <v>0</v>
      </c>
      <c r="AH790" s="294">
        <f>IF(NFI_Expiration=1,IF($A790&lt;VLOOKUP(Q$5,NFI,5,0),1,0)*Table_NFI[[#This Row],[Plastic Mat]],Table_NFI[Plastic Mat])*IF(Table_NFI[[#This Row],[Distribution Date]]&gt;"2014-04-01",1,2.5)</f>
        <v>0</v>
      </c>
      <c r="AI790" s="294">
        <f>IF(NFI_Expiration=1,IF($A790&lt;VLOOKUP(R$5,NFI,5,0),1,0)*Table_NFI[[#This Row],[Winter Clothes Adult]],Table_NFI[Winter Clothes Adult])</f>
        <v>0</v>
      </c>
      <c r="AJ790" s="294">
        <f>IF(NFI_Expiration=1,IF($A790&lt;VLOOKUP(S$5,NFI,5,0),1,0)*Table_NFI[[#This Row],[Winter Clothes Children]],Table_NFI[Winter Clothes Children])</f>
        <v>0</v>
      </c>
      <c r="AK790" s="294">
        <f>IF(NFI_Expiration=1,IF($A790&lt;VLOOKUP(T$5,NFI,5,0),1,0)*Table_NFI[[#This Row],[Winter Items Other]],Table_NFI[Winter Items Other])</f>
        <v>0</v>
      </c>
      <c r="AL790" s="294">
        <f>IF(NFI_Expiration=1,IF($A790&lt;VLOOKUP(M$5,NFI,5,0),1,0)*Table_NFI[[#This Row],[Winter Blanket]],Table_NFI[[#This Row],[Winter Blanket]])</f>
        <v>0</v>
      </c>
      <c r="AM790" s="294">
        <f>IF(Table_NFI[[#This Row],[Winter Clothes Adult]]+Table_NFI[[#This Row],[Winter Clothes Children]]+Table_NFI[[#This Row],[Winter Items Other]]+Table_NFI[[#This Row],[Winter Blanket]]&gt;0,1,0)</f>
        <v>0</v>
      </c>
      <c r="AN790" s="331">
        <f>IF(NFI_Expiration=1,IF($A790&lt;VLOOKUP(V$5,NFI,5,0),1,0)*Table_NFI[[#This Row],[Jerry Can]],Table_NFI[Jerry Can])</f>
        <v>0</v>
      </c>
      <c r="AO790" s="331">
        <f>IF(NFI_Expiration=1,IF($A790&lt;VLOOKUP(V$5,NFI,5,0),1,0)*Table_NFI[[#This Row],[Shelter Tool kit]],Table_NFI[Shelter Tool kit])</f>
        <v>0</v>
      </c>
      <c r="AP790" s="331">
        <f>IF(NFI_Expiration=1,IF($A790&lt;VLOOKUP(V$5,NFI,5,0),1,0)*Table_NFI[[#This Row],[Tent]],Table_NFI[Tent])</f>
        <v>0</v>
      </c>
      <c r="AQ790" s="467" t="str">
        <f>IFERROR(VLOOKUP(Table_NFI[[#This Row],[Camp Name]],CL,2,0),"")</f>
        <v>MMR001CMP039</v>
      </c>
      <c r="AR790" s="835">
        <f ca="1">IF(Table_NFI[[#This Row],[Pcode]]="","",IF(OFFSET(CampList[Opening Date],MATCH(Table_NFI[[#This Row],[Pcode]],CampList[CP_Pcode],0)-1,0,1,1)&gt;=NFI_Monitor_Date,1,0))</f>
        <v>0</v>
      </c>
      <c r="AS790" s="467" t="str">
        <f>IFERROR(VLOOKUP(Table_NFI[[#This Row],[Camp Name]],CL,3,0),"")</f>
        <v>Open</v>
      </c>
      <c r="AT790" s="294" t="str">
        <f ca="1">IF(Table_NFI[[#This Row],[Pcode]]="","",OFFSET(CampList[Priority],MATCH(Table_NFI[[#This Row],[Pcode]],CampList[CP_Pcode],0)-1,0,1,1))</f>
        <v>P4</v>
      </c>
      <c r="AU790" s="293">
        <f>IFERROR(Table_NFI[[#This Row],[Kitchen Set]]/VLOOKUP(Table_NFI[[#This Row],[Camp Name]],CL,4,0),"")</f>
        <v>0</v>
      </c>
      <c r="AV790" s="461" t="s">
        <v>1092</v>
      </c>
      <c r="AW790" s="463"/>
    </row>
    <row r="791" spans="1:49" ht="14.45" customHeight="1" x14ac:dyDescent="0.25">
      <c r="A791" s="297">
        <f t="shared" si="12"/>
        <v>47.7</v>
      </c>
      <c r="B791" s="460">
        <v>41305</v>
      </c>
      <c r="C791" s="461" t="s">
        <v>569</v>
      </c>
      <c r="D791" s="462" t="s">
        <v>569</v>
      </c>
      <c r="E791" s="461" t="s">
        <v>380</v>
      </c>
      <c r="F791" s="461" t="s">
        <v>527</v>
      </c>
      <c r="G791" s="290" t="s">
        <v>58</v>
      </c>
      <c r="H791" s="291"/>
      <c r="I791" s="291"/>
      <c r="J791" s="291"/>
      <c r="K791" s="291"/>
      <c r="L791" s="292"/>
      <c r="M791" s="292">
        <v>26</v>
      </c>
      <c r="N791" s="292"/>
      <c r="O791" s="292"/>
      <c r="P791" s="294">
        <v>0</v>
      </c>
      <c r="Q791" s="294">
        <v>0</v>
      </c>
      <c r="R791" s="294"/>
      <c r="S791" s="294"/>
      <c r="T791" s="294"/>
      <c r="U791" s="294"/>
      <c r="V791" s="431"/>
      <c r="W791" s="294"/>
      <c r="X791" s="294"/>
      <c r="Y791" s="294">
        <f>IF(NFI_Expiration=1,IF($A791&lt;VLOOKUP(H$5,NFI,5,0),1,0)*Table_NFI[[#This Row],[Hygiene Kit]],Table_NFI[Hygiene Kit])</f>
        <v>0</v>
      </c>
      <c r="Z791" s="294">
        <f>IF(NFI_Expiration=1,IF($A791&lt;VLOOKUP(I$5,NFI,5,0),1,0)*Table_NFI[[#This Row],[NFI Core Kit]],Table_NFI[NFI Core Kit])</f>
        <v>0</v>
      </c>
      <c r="AA791" s="294">
        <f>IF(NFI_Expiration=1,IF($A791&lt;VLOOKUP(J$5,NFI,5,0),1,0)*Table_NFI[[#This Row],[Sanitary Kit]],Table_NFI[Sanitary Kit])</f>
        <v>0</v>
      </c>
      <c r="AB791" s="294">
        <f>IF(NFI_Expiration=1,IF($A791&lt;VLOOKUP(K$5,NFI,5,0),1,0)*Table_NFI[[#This Row],[Mosquito net]],Table_NFI[Mosquito net])</f>
        <v>0</v>
      </c>
      <c r="AC791" s="294">
        <f>IF(NFI_Expiration=1,IF($A791&lt;VLOOKUP(L$5,NFI,5,0),1,0)*Table_NFI[[#This Row],[Tarpaulin]],Table_NFI[[#This Row],[Tarpaulin]])</f>
        <v>0</v>
      </c>
      <c r="AD791" s="294">
        <f>IF(NFI_Expiration=1,IF($A791&lt;VLOOKUP(M$5,NFI,5,0),1,0)*Table_NFI[[#This Row],[Blanket]],Table_NFI[[#This Row],[Blanket]])</f>
        <v>0</v>
      </c>
      <c r="AE791" s="294">
        <f>IF(NFI_Expiration=1,IF($A791&lt;VLOOKUP(N$5,NFI,5,0),1,0)*Table_NFI[[#This Row],[Kitchen Set]],Table_NFI[Kitchen Set])</f>
        <v>0</v>
      </c>
      <c r="AF791" s="294">
        <f>IF(NFI_Expiration=1,IF($A791&lt;VLOOKUP(O$5,NFI,5,0),1,0)*Table_NFI[[#This Row],[Clothes Kit]],Table_NFI[Clothes Kit])</f>
        <v>0</v>
      </c>
      <c r="AG791" s="294">
        <f>IF(NFI_Expiration=1,IF($A791&lt;VLOOKUP(P$5,NFI,5,0),1,0)*Table_NFI[[#This Row],[Plastic Bucket]],Table_NFI[Plastic Bucket])</f>
        <v>0</v>
      </c>
      <c r="AH791" s="294">
        <f>IF(NFI_Expiration=1,IF($A791&lt;VLOOKUP(Q$5,NFI,5,0),1,0)*Table_NFI[[#This Row],[Plastic Mat]],Table_NFI[Plastic Mat])*IF(Table_NFI[[#This Row],[Distribution Date]]&gt;"2014-04-01",1,2.5)</f>
        <v>0</v>
      </c>
      <c r="AI791" s="294">
        <f>IF(NFI_Expiration=1,IF($A791&lt;VLOOKUP(R$5,NFI,5,0),1,0)*Table_NFI[[#This Row],[Winter Clothes Adult]],Table_NFI[Winter Clothes Adult])</f>
        <v>0</v>
      </c>
      <c r="AJ791" s="294">
        <f>IF(NFI_Expiration=1,IF($A791&lt;VLOOKUP(S$5,NFI,5,0),1,0)*Table_NFI[[#This Row],[Winter Clothes Children]],Table_NFI[Winter Clothes Children])</f>
        <v>0</v>
      </c>
      <c r="AK791" s="294">
        <f>IF(NFI_Expiration=1,IF($A791&lt;VLOOKUP(T$5,NFI,5,0),1,0)*Table_NFI[[#This Row],[Winter Items Other]],Table_NFI[Winter Items Other])</f>
        <v>0</v>
      </c>
      <c r="AL791" s="294">
        <f>IF(NFI_Expiration=1,IF($A791&lt;VLOOKUP(M$5,NFI,5,0),1,0)*Table_NFI[[#This Row],[Winter Blanket]],Table_NFI[[#This Row],[Winter Blanket]])</f>
        <v>0</v>
      </c>
      <c r="AM791" s="294">
        <f>IF(Table_NFI[[#This Row],[Winter Clothes Adult]]+Table_NFI[[#This Row],[Winter Clothes Children]]+Table_NFI[[#This Row],[Winter Items Other]]+Table_NFI[[#This Row],[Winter Blanket]]&gt;0,1,0)</f>
        <v>0</v>
      </c>
      <c r="AN791" s="331">
        <f>IF(NFI_Expiration=1,IF($A791&lt;VLOOKUP(V$5,NFI,5,0),1,0)*Table_NFI[[#This Row],[Jerry Can]],Table_NFI[Jerry Can])</f>
        <v>0</v>
      </c>
      <c r="AO791" s="331">
        <f>IF(NFI_Expiration=1,IF($A791&lt;VLOOKUP(V$5,NFI,5,0),1,0)*Table_NFI[[#This Row],[Shelter Tool kit]],Table_NFI[Shelter Tool kit])</f>
        <v>0</v>
      </c>
      <c r="AP791" s="331">
        <f>IF(NFI_Expiration=1,IF($A791&lt;VLOOKUP(V$5,NFI,5,0),1,0)*Table_NFI[[#This Row],[Tent]],Table_NFI[Tent])</f>
        <v>0</v>
      </c>
      <c r="AQ791" s="467" t="str">
        <f>IFERROR(VLOOKUP(Table_NFI[[#This Row],[Camp Name]],CL,2,0),"")</f>
        <v>MMR001CMP188</v>
      </c>
      <c r="AR791" s="835">
        <f ca="1">IF(Table_NFI[[#This Row],[Pcode]]="","",IF(OFFSET(CampList[Opening Date],MATCH(Table_NFI[[#This Row],[Pcode]],CampList[CP_Pcode],0)-1,0,1,1)&gt;=NFI_Monitor_Date,1,0))</f>
        <v>0</v>
      </c>
      <c r="AS791" s="467" t="str">
        <f>IFERROR(VLOOKUP(Table_NFI[[#This Row],[Camp Name]],CL,3,0),"")</f>
        <v>Closed</v>
      </c>
      <c r="AT791" s="294" t="str">
        <f ca="1">IF(Table_NFI[[#This Row],[Pcode]]="","",OFFSET(CampList[Priority],MATCH(Table_NFI[[#This Row],[Pcode]],CampList[CP_Pcode],0)-1,0,1,1))</f>
        <v>P4</v>
      </c>
      <c r="AU791" s="293" t="str">
        <f>IFERROR(Table_NFI[[#This Row],[Kitchen Set]]/VLOOKUP(Table_NFI[[#This Row],[Camp Name]],CL,4,0),"")</f>
        <v/>
      </c>
      <c r="AV791" s="461" t="s">
        <v>1092</v>
      </c>
      <c r="AW791" s="463"/>
    </row>
    <row r="792" spans="1:49" ht="14.45" customHeight="1" x14ac:dyDescent="0.25">
      <c r="A792" s="297">
        <f t="shared" si="12"/>
        <v>47.7</v>
      </c>
      <c r="B792" s="460">
        <v>41305</v>
      </c>
      <c r="C792" s="461" t="s">
        <v>569</v>
      </c>
      <c r="D792" s="462" t="s">
        <v>569</v>
      </c>
      <c r="E792" s="461" t="s">
        <v>380</v>
      </c>
      <c r="F792" s="461" t="s">
        <v>310</v>
      </c>
      <c r="G792" s="290" t="s">
        <v>311</v>
      </c>
      <c r="H792" s="291"/>
      <c r="I792" s="291"/>
      <c r="J792" s="291"/>
      <c r="K792" s="291"/>
      <c r="L792" s="292"/>
      <c r="M792" s="292">
        <v>224</v>
      </c>
      <c r="N792" s="292"/>
      <c r="O792" s="292"/>
      <c r="P792" s="294">
        <v>0</v>
      </c>
      <c r="Q792" s="294">
        <v>0</v>
      </c>
      <c r="R792" s="294"/>
      <c r="S792" s="294"/>
      <c r="T792" s="294"/>
      <c r="U792" s="294"/>
      <c r="V792" s="431"/>
      <c r="W792" s="294"/>
      <c r="X792" s="294"/>
      <c r="Y792" s="294">
        <f>IF(NFI_Expiration=1,IF($A792&lt;VLOOKUP(H$5,NFI,5,0),1,0)*Table_NFI[[#This Row],[Hygiene Kit]],Table_NFI[Hygiene Kit])</f>
        <v>0</v>
      </c>
      <c r="Z792" s="294">
        <f>IF(NFI_Expiration=1,IF($A792&lt;VLOOKUP(I$5,NFI,5,0),1,0)*Table_NFI[[#This Row],[NFI Core Kit]],Table_NFI[NFI Core Kit])</f>
        <v>0</v>
      </c>
      <c r="AA792" s="294">
        <f>IF(NFI_Expiration=1,IF($A792&lt;VLOOKUP(J$5,NFI,5,0),1,0)*Table_NFI[[#This Row],[Sanitary Kit]],Table_NFI[Sanitary Kit])</f>
        <v>0</v>
      </c>
      <c r="AB792" s="294">
        <f>IF(NFI_Expiration=1,IF($A792&lt;VLOOKUP(K$5,NFI,5,0),1,0)*Table_NFI[[#This Row],[Mosquito net]],Table_NFI[Mosquito net])</f>
        <v>0</v>
      </c>
      <c r="AC792" s="294">
        <f>IF(NFI_Expiration=1,IF($A792&lt;VLOOKUP(L$5,NFI,5,0),1,0)*Table_NFI[[#This Row],[Tarpaulin]],Table_NFI[[#This Row],[Tarpaulin]])</f>
        <v>0</v>
      </c>
      <c r="AD792" s="294">
        <f>IF(NFI_Expiration=1,IF($A792&lt;VLOOKUP(M$5,NFI,5,0),1,0)*Table_NFI[[#This Row],[Blanket]],Table_NFI[[#This Row],[Blanket]])</f>
        <v>0</v>
      </c>
      <c r="AE792" s="294">
        <f>IF(NFI_Expiration=1,IF($A792&lt;VLOOKUP(N$5,NFI,5,0),1,0)*Table_NFI[[#This Row],[Kitchen Set]],Table_NFI[Kitchen Set])</f>
        <v>0</v>
      </c>
      <c r="AF792" s="294">
        <f>IF(NFI_Expiration=1,IF($A792&lt;VLOOKUP(O$5,NFI,5,0),1,0)*Table_NFI[[#This Row],[Clothes Kit]],Table_NFI[Clothes Kit])</f>
        <v>0</v>
      </c>
      <c r="AG792" s="294">
        <f>IF(NFI_Expiration=1,IF($A792&lt;VLOOKUP(P$5,NFI,5,0),1,0)*Table_NFI[[#This Row],[Plastic Bucket]],Table_NFI[Plastic Bucket])</f>
        <v>0</v>
      </c>
      <c r="AH792" s="294">
        <f>IF(NFI_Expiration=1,IF($A792&lt;VLOOKUP(Q$5,NFI,5,0),1,0)*Table_NFI[[#This Row],[Plastic Mat]],Table_NFI[Plastic Mat])*IF(Table_NFI[[#This Row],[Distribution Date]]&gt;"2014-04-01",1,2.5)</f>
        <v>0</v>
      </c>
      <c r="AI792" s="294">
        <f>IF(NFI_Expiration=1,IF($A792&lt;VLOOKUP(R$5,NFI,5,0),1,0)*Table_NFI[[#This Row],[Winter Clothes Adult]],Table_NFI[Winter Clothes Adult])</f>
        <v>0</v>
      </c>
      <c r="AJ792" s="294">
        <f>IF(NFI_Expiration=1,IF($A792&lt;VLOOKUP(S$5,NFI,5,0),1,0)*Table_NFI[[#This Row],[Winter Clothes Children]],Table_NFI[Winter Clothes Children])</f>
        <v>0</v>
      </c>
      <c r="AK792" s="294">
        <f>IF(NFI_Expiration=1,IF($A792&lt;VLOOKUP(T$5,NFI,5,0),1,0)*Table_NFI[[#This Row],[Winter Items Other]],Table_NFI[Winter Items Other])</f>
        <v>0</v>
      </c>
      <c r="AL792" s="294">
        <f>IF(NFI_Expiration=1,IF($A792&lt;VLOOKUP(M$5,NFI,5,0),1,0)*Table_NFI[[#This Row],[Winter Blanket]],Table_NFI[[#This Row],[Winter Blanket]])</f>
        <v>0</v>
      </c>
      <c r="AM792" s="294">
        <f>IF(Table_NFI[[#This Row],[Winter Clothes Adult]]+Table_NFI[[#This Row],[Winter Clothes Children]]+Table_NFI[[#This Row],[Winter Items Other]]+Table_NFI[[#This Row],[Winter Blanket]]&gt;0,1,0)</f>
        <v>0</v>
      </c>
      <c r="AN792" s="331">
        <f>IF(NFI_Expiration=1,IF($A792&lt;VLOOKUP(V$5,NFI,5,0),1,0)*Table_NFI[[#This Row],[Jerry Can]],Table_NFI[Jerry Can])</f>
        <v>0</v>
      </c>
      <c r="AO792" s="331">
        <f>IF(NFI_Expiration=1,IF($A792&lt;VLOOKUP(V$5,NFI,5,0),1,0)*Table_NFI[[#This Row],[Shelter Tool kit]],Table_NFI[Shelter Tool kit])</f>
        <v>0</v>
      </c>
      <c r="AP792" s="331">
        <f>IF(NFI_Expiration=1,IF($A792&lt;VLOOKUP(V$5,NFI,5,0),1,0)*Table_NFI[[#This Row],[Tent]],Table_NFI[Tent])</f>
        <v>0</v>
      </c>
      <c r="AQ792" s="467" t="str">
        <f>IFERROR(VLOOKUP(Table_NFI[[#This Row],[Camp Name]],CL,2,0),"")</f>
        <v>MMR001CMP036</v>
      </c>
      <c r="AR792" s="835">
        <f ca="1">IF(Table_NFI[[#This Row],[Pcode]]="","",IF(OFFSET(CampList[Opening Date],MATCH(Table_NFI[[#This Row],[Pcode]],CampList[CP_Pcode],0)-1,0,1,1)&gt;=NFI_Monitor_Date,1,0))</f>
        <v>0</v>
      </c>
      <c r="AS792" s="467" t="str">
        <f>IFERROR(VLOOKUP(Table_NFI[[#This Row],[Camp Name]],CL,3,0),"")</f>
        <v>Closed</v>
      </c>
      <c r="AT792" s="294" t="str">
        <f ca="1">IF(Table_NFI[[#This Row],[Pcode]]="","",OFFSET(CampList[Priority],MATCH(Table_NFI[[#This Row],[Pcode]],CampList[CP_Pcode],0)-1,0,1,1))</f>
        <v>P4</v>
      </c>
      <c r="AU792" s="293">
        <f>IFERROR(Table_NFI[[#This Row],[Kitchen Set]]/VLOOKUP(Table_NFI[[#This Row],[Camp Name]],CL,4,0),"")</f>
        <v>0</v>
      </c>
      <c r="AV792" s="461" t="s">
        <v>1092</v>
      </c>
      <c r="AW792" s="463"/>
    </row>
    <row r="793" spans="1:49" ht="14.45" customHeight="1" x14ac:dyDescent="0.25">
      <c r="A793" s="297">
        <f t="shared" si="12"/>
        <v>47.7</v>
      </c>
      <c r="B793" s="460">
        <v>41305</v>
      </c>
      <c r="C793" s="461" t="s">
        <v>569</v>
      </c>
      <c r="D793" s="462" t="s">
        <v>569</v>
      </c>
      <c r="E793" s="461" t="s">
        <v>380</v>
      </c>
      <c r="F793" s="290" t="s">
        <v>310</v>
      </c>
      <c r="G793" s="290" t="s">
        <v>318</v>
      </c>
      <c r="H793" s="291"/>
      <c r="I793" s="291"/>
      <c r="J793" s="291"/>
      <c r="K793" s="291"/>
      <c r="L793" s="292"/>
      <c r="M793" s="292">
        <v>184</v>
      </c>
      <c r="N793" s="292"/>
      <c r="O793" s="292"/>
      <c r="P793" s="294">
        <v>0</v>
      </c>
      <c r="Q793" s="294">
        <v>0</v>
      </c>
      <c r="R793" s="294"/>
      <c r="S793" s="294"/>
      <c r="T793" s="294"/>
      <c r="U793" s="294"/>
      <c r="V793" s="431"/>
      <c r="W793" s="294"/>
      <c r="X793" s="294"/>
      <c r="Y793" s="294">
        <f>IF(NFI_Expiration=1,IF($A793&lt;VLOOKUP(H$5,NFI,5,0),1,0)*Table_NFI[[#This Row],[Hygiene Kit]],Table_NFI[Hygiene Kit])</f>
        <v>0</v>
      </c>
      <c r="Z793" s="294">
        <f>IF(NFI_Expiration=1,IF($A793&lt;VLOOKUP(I$5,NFI,5,0),1,0)*Table_NFI[[#This Row],[NFI Core Kit]],Table_NFI[NFI Core Kit])</f>
        <v>0</v>
      </c>
      <c r="AA793" s="294">
        <f>IF(NFI_Expiration=1,IF($A793&lt;VLOOKUP(J$5,NFI,5,0),1,0)*Table_NFI[[#This Row],[Sanitary Kit]],Table_NFI[Sanitary Kit])</f>
        <v>0</v>
      </c>
      <c r="AB793" s="294">
        <f>IF(NFI_Expiration=1,IF($A793&lt;VLOOKUP(K$5,NFI,5,0),1,0)*Table_NFI[[#This Row],[Mosquito net]],Table_NFI[Mosquito net])</f>
        <v>0</v>
      </c>
      <c r="AC793" s="294">
        <f>IF(NFI_Expiration=1,IF($A793&lt;VLOOKUP(L$5,NFI,5,0),1,0)*Table_NFI[[#This Row],[Tarpaulin]],Table_NFI[[#This Row],[Tarpaulin]])</f>
        <v>0</v>
      </c>
      <c r="AD793" s="294">
        <f>IF(NFI_Expiration=1,IF($A793&lt;VLOOKUP(M$5,NFI,5,0),1,0)*Table_NFI[[#This Row],[Blanket]],Table_NFI[[#This Row],[Blanket]])</f>
        <v>0</v>
      </c>
      <c r="AE793" s="294">
        <f>IF(NFI_Expiration=1,IF($A793&lt;VLOOKUP(N$5,NFI,5,0),1,0)*Table_NFI[[#This Row],[Kitchen Set]],Table_NFI[Kitchen Set])</f>
        <v>0</v>
      </c>
      <c r="AF793" s="294">
        <f>IF(NFI_Expiration=1,IF($A793&lt;VLOOKUP(O$5,NFI,5,0),1,0)*Table_NFI[[#This Row],[Clothes Kit]],Table_NFI[Clothes Kit])</f>
        <v>0</v>
      </c>
      <c r="AG793" s="294">
        <f>IF(NFI_Expiration=1,IF($A793&lt;VLOOKUP(P$5,NFI,5,0),1,0)*Table_NFI[[#This Row],[Plastic Bucket]],Table_NFI[Plastic Bucket])</f>
        <v>0</v>
      </c>
      <c r="AH793" s="294">
        <f>IF(NFI_Expiration=1,IF($A793&lt;VLOOKUP(Q$5,NFI,5,0),1,0)*Table_NFI[[#This Row],[Plastic Mat]],Table_NFI[Plastic Mat])*IF(Table_NFI[[#This Row],[Distribution Date]]&gt;"2014-04-01",1,2.5)</f>
        <v>0</v>
      </c>
      <c r="AI793" s="294">
        <f>IF(NFI_Expiration=1,IF($A793&lt;VLOOKUP(R$5,NFI,5,0),1,0)*Table_NFI[[#This Row],[Winter Clothes Adult]],Table_NFI[Winter Clothes Adult])</f>
        <v>0</v>
      </c>
      <c r="AJ793" s="294">
        <f>IF(NFI_Expiration=1,IF($A793&lt;VLOOKUP(S$5,NFI,5,0),1,0)*Table_NFI[[#This Row],[Winter Clothes Children]],Table_NFI[Winter Clothes Children])</f>
        <v>0</v>
      </c>
      <c r="AK793" s="294">
        <f>IF(NFI_Expiration=1,IF($A793&lt;VLOOKUP(T$5,NFI,5,0),1,0)*Table_NFI[[#This Row],[Winter Items Other]],Table_NFI[Winter Items Other])</f>
        <v>0</v>
      </c>
      <c r="AL793" s="294">
        <f>IF(NFI_Expiration=1,IF($A793&lt;VLOOKUP(M$5,NFI,5,0),1,0)*Table_NFI[[#This Row],[Winter Blanket]],Table_NFI[[#This Row],[Winter Blanket]])</f>
        <v>0</v>
      </c>
      <c r="AM793" s="294">
        <f>IF(Table_NFI[[#This Row],[Winter Clothes Adult]]+Table_NFI[[#This Row],[Winter Clothes Children]]+Table_NFI[[#This Row],[Winter Items Other]]+Table_NFI[[#This Row],[Winter Blanket]]&gt;0,1,0)</f>
        <v>0</v>
      </c>
      <c r="AN793" s="331">
        <f>IF(NFI_Expiration=1,IF($A793&lt;VLOOKUP(V$5,NFI,5,0),1,0)*Table_NFI[[#This Row],[Jerry Can]],Table_NFI[Jerry Can])</f>
        <v>0</v>
      </c>
      <c r="AO793" s="331">
        <f>IF(NFI_Expiration=1,IF($A793&lt;VLOOKUP(V$5,NFI,5,0),1,0)*Table_NFI[[#This Row],[Shelter Tool kit]],Table_NFI[Shelter Tool kit])</f>
        <v>0</v>
      </c>
      <c r="AP793" s="331">
        <f>IF(NFI_Expiration=1,IF($A793&lt;VLOOKUP(V$5,NFI,5,0),1,0)*Table_NFI[[#This Row],[Tent]],Table_NFI[Tent])</f>
        <v>0</v>
      </c>
      <c r="AQ793" s="467" t="str">
        <f>IFERROR(VLOOKUP(Table_NFI[[#This Row],[Camp Name]],CL,2,0),"")</f>
        <v>MMR001CMP032</v>
      </c>
      <c r="AR793" s="835">
        <f ca="1">IF(Table_NFI[[#This Row],[Pcode]]="","",IF(OFFSET(CampList[Opening Date],MATCH(Table_NFI[[#This Row],[Pcode]],CampList[CP_Pcode],0)-1,0,1,1)&gt;=NFI_Monitor_Date,1,0))</f>
        <v>0</v>
      </c>
      <c r="AS793" s="467" t="str">
        <f>IFERROR(VLOOKUP(Table_NFI[[#This Row],[Camp Name]],CL,3,0),"")</f>
        <v>Open</v>
      </c>
      <c r="AT793" s="294" t="str">
        <f ca="1">IF(Table_NFI[[#This Row],[Pcode]]="","",OFFSET(CampList[Priority],MATCH(Table_NFI[[#This Row],[Pcode]],CampList[CP_Pcode],0)-1,0,1,1))</f>
        <v>P4</v>
      </c>
      <c r="AU793" s="293">
        <f>IFERROR(Table_NFI[[#This Row],[Kitchen Set]]/VLOOKUP(Table_NFI[[#This Row],[Camp Name]],CL,4,0),"")</f>
        <v>0</v>
      </c>
      <c r="AV793" s="461" t="s">
        <v>1092</v>
      </c>
      <c r="AW793" s="463"/>
    </row>
    <row r="794" spans="1:49" ht="14.45" customHeight="1" x14ac:dyDescent="0.25">
      <c r="A794" s="297">
        <f t="shared" si="12"/>
        <v>47.7</v>
      </c>
      <c r="B794" s="460">
        <v>41305</v>
      </c>
      <c r="C794" s="461" t="s">
        <v>569</v>
      </c>
      <c r="D794" s="462" t="s">
        <v>569</v>
      </c>
      <c r="E794" s="461" t="s">
        <v>380</v>
      </c>
      <c r="F794" s="290" t="s">
        <v>310</v>
      </c>
      <c r="G794" s="290" t="s">
        <v>342</v>
      </c>
      <c r="H794" s="291"/>
      <c r="I794" s="291"/>
      <c r="J794" s="291"/>
      <c r="K794" s="291"/>
      <c r="L794" s="292"/>
      <c r="M794" s="292">
        <v>242</v>
      </c>
      <c r="N794" s="292"/>
      <c r="O794" s="292"/>
      <c r="P794" s="294">
        <v>0</v>
      </c>
      <c r="Q794" s="294">
        <v>0</v>
      </c>
      <c r="R794" s="294"/>
      <c r="S794" s="294"/>
      <c r="T794" s="294"/>
      <c r="U794" s="294"/>
      <c r="V794" s="431"/>
      <c r="W794" s="294"/>
      <c r="X794" s="294"/>
      <c r="Y794" s="294">
        <f>IF(NFI_Expiration=1,IF($A794&lt;VLOOKUP(H$5,NFI,5,0),1,0)*Table_NFI[[#This Row],[Hygiene Kit]],Table_NFI[Hygiene Kit])</f>
        <v>0</v>
      </c>
      <c r="Z794" s="294">
        <f>IF(NFI_Expiration=1,IF($A794&lt;VLOOKUP(I$5,NFI,5,0),1,0)*Table_NFI[[#This Row],[NFI Core Kit]],Table_NFI[NFI Core Kit])</f>
        <v>0</v>
      </c>
      <c r="AA794" s="294">
        <f>IF(NFI_Expiration=1,IF($A794&lt;VLOOKUP(J$5,NFI,5,0),1,0)*Table_NFI[[#This Row],[Sanitary Kit]],Table_NFI[Sanitary Kit])</f>
        <v>0</v>
      </c>
      <c r="AB794" s="294">
        <f>IF(NFI_Expiration=1,IF($A794&lt;VLOOKUP(K$5,NFI,5,0),1,0)*Table_NFI[[#This Row],[Mosquito net]],Table_NFI[Mosquito net])</f>
        <v>0</v>
      </c>
      <c r="AC794" s="294">
        <f>IF(NFI_Expiration=1,IF($A794&lt;VLOOKUP(L$5,NFI,5,0),1,0)*Table_NFI[[#This Row],[Tarpaulin]],Table_NFI[[#This Row],[Tarpaulin]])</f>
        <v>0</v>
      </c>
      <c r="AD794" s="294">
        <f>IF(NFI_Expiration=1,IF($A794&lt;VLOOKUP(M$5,NFI,5,0),1,0)*Table_NFI[[#This Row],[Blanket]],Table_NFI[[#This Row],[Blanket]])</f>
        <v>0</v>
      </c>
      <c r="AE794" s="294">
        <f>IF(NFI_Expiration=1,IF($A794&lt;VLOOKUP(N$5,NFI,5,0),1,0)*Table_NFI[[#This Row],[Kitchen Set]],Table_NFI[Kitchen Set])</f>
        <v>0</v>
      </c>
      <c r="AF794" s="294">
        <f>IF(NFI_Expiration=1,IF($A794&lt;VLOOKUP(O$5,NFI,5,0),1,0)*Table_NFI[[#This Row],[Clothes Kit]],Table_NFI[Clothes Kit])</f>
        <v>0</v>
      </c>
      <c r="AG794" s="294">
        <f>IF(NFI_Expiration=1,IF($A794&lt;VLOOKUP(P$5,NFI,5,0),1,0)*Table_NFI[[#This Row],[Plastic Bucket]],Table_NFI[Plastic Bucket])</f>
        <v>0</v>
      </c>
      <c r="AH794" s="294">
        <f>IF(NFI_Expiration=1,IF($A794&lt;VLOOKUP(Q$5,NFI,5,0),1,0)*Table_NFI[[#This Row],[Plastic Mat]],Table_NFI[Plastic Mat])*IF(Table_NFI[[#This Row],[Distribution Date]]&gt;"2014-04-01",1,2.5)</f>
        <v>0</v>
      </c>
      <c r="AI794" s="294">
        <f>IF(NFI_Expiration=1,IF($A794&lt;VLOOKUP(R$5,NFI,5,0),1,0)*Table_NFI[[#This Row],[Winter Clothes Adult]],Table_NFI[Winter Clothes Adult])</f>
        <v>0</v>
      </c>
      <c r="AJ794" s="294">
        <f>IF(NFI_Expiration=1,IF($A794&lt;VLOOKUP(S$5,NFI,5,0),1,0)*Table_NFI[[#This Row],[Winter Clothes Children]],Table_NFI[Winter Clothes Children])</f>
        <v>0</v>
      </c>
      <c r="AK794" s="294">
        <f>IF(NFI_Expiration=1,IF($A794&lt;VLOOKUP(T$5,NFI,5,0),1,0)*Table_NFI[[#This Row],[Winter Items Other]],Table_NFI[Winter Items Other])</f>
        <v>0</v>
      </c>
      <c r="AL794" s="294">
        <f>IF(NFI_Expiration=1,IF($A794&lt;VLOOKUP(M$5,NFI,5,0),1,0)*Table_NFI[[#This Row],[Winter Blanket]],Table_NFI[[#This Row],[Winter Blanket]])</f>
        <v>0</v>
      </c>
      <c r="AM794" s="294">
        <f>IF(Table_NFI[[#This Row],[Winter Clothes Adult]]+Table_NFI[[#This Row],[Winter Clothes Children]]+Table_NFI[[#This Row],[Winter Items Other]]+Table_NFI[[#This Row],[Winter Blanket]]&gt;0,1,0)</f>
        <v>0</v>
      </c>
      <c r="AN794" s="331">
        <f>IF(NFI_Expiration=1,IF($A794&lt;VLOOKUP(V$5,NFI,5,0),1,0)*Table_NFI[[#This Row],[Jerry Can]],Table_NFI[Jerry Can])</f>
        <v>0</v>
      </c>
      <c r="AO794" s="331">
        <f>IF(NFI_Expiration=1,IF($A794&lt;VLOOKUP(V$5,NFI,5,0),1,0)*Table_NFI[[#This Row],[Shelter Tool kit]],Table_NFI[Shelter Tool kit])</f>
        <v>0</v>
      </c>
      <c r="AP794" s="331">
        <f>IF(NFI_Expiration=1,IF($A794&lt;VLOOKUP(V$5,NFI,5,0),1,0)*Table_NFI[[#This Row],[Tent]],Table_NFI[Tent])</f>
        <v>0</v>
      </c>
      <c r="AQ794" s="467" t="str">
        <f>IFERROR(VLOOKUP(Table_NFI[[#This Row],[Camp Name]],CL,2,0),"")</f>
        <v>MMR001CMP025</v>
      </c>
      <c r="AR794" s="835">
        <f ca="1">IF(Table_NFI[[#This Row],[Pcode]]="","",IF(OFFSET(CampList[Opening Date],MATCH(Table_NFI[[#This Row],[Pcode]],CampList[CP_Pcode],0)-1,0,1,1)&gt;=NFI_Monitor_Date,1,0))</f>
        <v>0</v>
      </c>
      <c r="AS794" s="467" t="str">
        <f>IFERROR(VLOOKUP(Table_NFI[[#This Row],[Camp Name]],CL,3,0),"")</f>
        <v>Open</v>
      </c>
      <c r="AT794" s="294" t="str">
        <f ca="1">IF(Table_NFI[[#This Row],[Pcode]]="","",OFFSET(CampList[Priority],MATCH(Table_NFI[[#This Row],[Pcode]],CampList[CP_Pcode],0)-1,0,1,1))</f>
        <v>P4</v>
      </c>
      <c r="AU794" s="293">
        <f>IFERROR(Table_NFI[[#This Row],[Kitchen Set]]/VLOOKUP(Table_NFI[[#This Row],[Camp Name]],CL,4,0),"")</f>
        <v>0</v>
      </c>
      <c r="AV794" s="461" t="s">
        <v>1092</v>
      </c>
      <c r="AW794" s="463"/>
    </row>
    <row r="795" spans="1:49" x14ac:dyDescent="0.25">
      <c r="A795" s="297">
        <f t="shared" si="12"/>
        <v>47.7</v>
      </c>
      <c r="B795" s="460">
        <v>41305</v>
      </c>
      <c r="C795" s="461" t="s">
        <v>569</v>
      </c>
      <c r="D795" s="462" t="s">
        <v>569</v>
      </c>
      <c r="E795" s="461" t="s">
        <v>380</v>
      </c>
      <c r="F795" s="290" t="s">
        <v>310</v>
      </c>
      <c r="G795" s="290" t="s">
        <v>338</v>
      </c>
      <c r="H795" s="291"/>
      <c r="I795" s="291"/>
      <c r="J795" s="291"/>
      <c r="K795" s="291"/>
      <c r="L795" s="292"/>
      <c r="M795" s="292">
        <v>54</v>
      </c>
      <c r="N795" s="292"/>
      <c r="O795" s="292"/>
      <c r="P795" s="294">
        <v>0</v>
      </c>
      <c r="Q795" s="294">
        <v>0</v>
      </c>
      <c r="R795" s="294"/>
      <c r="S795" s="294"/>
      <c r="T795" s="294"/>
      <c r="U795" s="294"/>
      <c r="V795" s="431"/>
      <c r="W795" s="294"/>
      <c r="X795" s="294"/>
      <c r="Y795" s="294">
        <f>IF(NFI_Expiration=1,IF($A795&lt;VLOOKUP(H$5,NFI,5,0),1,0)*Table_NFI[[#This Row],[Hygiene Kit]],Table_NFI[Hygiene Kit])</f>
        <v>0</v>
      </c>
      <c r="Z795" s="294">
        <f>IF(NFI_Expiration=1,IF($A795&lt;VLOOKUP(I$5,NFI,5,0),1,0)*Table_NFI[[#This Row],[NFI Core Kit]],Table_NFI[NFI Core Kit])</f>
        <v>0</v>
      </c>
      <c r="AA795" s="294">
        <f>IF(NFI_Expiration=1,IF($A795&lt;VLOOKUP(J$5,NFI,5,0),1,0)*Table_NFI[[#This Row],[Sanitary Kit]],Table_NFI[Sanitary Kit])</f>
        <v>0</v>
      </c>
      <c r="AB795" s="294">
        <f>IF(NFI_Expiration=1,IF($A795&lt;VLOOKUP(K$5,NFI,5,0),1,0)*Table_NFI[[#This Row],[Mosquito net]],Table_NFI[Mosquito net])</f>
        <v>0</v>
      </c>
      <c r="AC795" s="294">
        <f>IF(NFI_Expiration=1,IF($A795&lt;VLOOKUP(L$5,NFI,5,0),1,0)*Table_NFI[[#This Row],[Tarpaulin]],Table_NFI[[#This Row],[Tarpaulin]])</f>
        <v>0</v>
      </c>
      <c r="AD795" s="294">
        <f>IF(NFI_Expiration=1,IF($A795&lt;VLOOKUP(M$5,NFI,5,0),1,0)*Table_NFI[[#This Row],[Blanket]],Table_NFI[[#This Row],[Blanket]])</f>
        <v>0</v>
      </c>
      <c r="AE795" s="294">
        <f>IF(NFI_Expiration=1,IF($A795&lt;VLOOKUP(N$5,NFI,5,0),1,0)*Table_NFI[[#This Row],[Kitchen Set]],Table_NFI[Kitchen Set])</f>
        <v>0</v>
      </c>
      <c r="AF795" s="294">
        <f>IF(NFI_Expiration=1,IF($A795&lt;VLOOKUP(O$5,NFI,5,0),1,0)*Table_NFI[[#This Row],[Clothes Kit]],Table_NFI[Clothes Kit])</f>
        <v>0</v>
      </c>
      <c r="AG795" s="294">
        <f>IF(NFI_Expiration=1,IF($A795&lt;VLOOKUP(P$5,NFI,5,0),1,0)*Table_NFI[[#This Row],[Plastic Bucket]],Table_NFI[Plastic Bucket])</f>
        <v>0</v>
      </c>
      <c r="AH795" s="294">
        <f>IF(NFI_Expiration=1,IF($A795&lt;VLOOKUP(Q$5,NFI,5,0),1,0)*Table_NFI[[#This Row],[Plastic Mat]],Table_NFI[Plastic Mat])*IF(Table_NFI[[#This Row],[Distribution Date]]&gt;"2014-04-01",1,2.5)</f>
        <v>0</v>
      </c>
      <c r="AI795" s="294">
        <f>IF(NFI_Expiration=1,IF($A795&lt;VLOOKUP(R$5,NFI,5,0),1,0)*Table_NFI[[#This Row],[Winter Clothes Adult]],Table_NFI[Winter Clothes Adult])</f>
        <v>0</v>
      </c>
      <c r="AJ795" s="294">
        <f>IF(NFI_Expiration=1,IF($A795&lt;VLOOKUP(S$5,NFI,5,0),1,0)*Table_NFI[[#This Row],[Winter Clothes Children]],Table_NFI[Winter Clothes Children])</f>
        <v>0</v>
      </c>
      <c r="AK795" s="294">
        <f>IF(NFI_Expiration=1,IF($A795&lt;VLOOKUP(T$5,NFI,5,0),1,0)*Table_NFI[[#This Row],[Winter Items Other]],Table_NFI[Winter Items Other])</f>
        <v>0</v>
      </c>
      <c r="AL795" s="294">
        <f>IF(NFI_Expiration=1,IF($A795&lt;VLOOKUP(M$5,NFI,5,0),1,0)*Table_NFI[[#This Row],[Winter Blanket]],Table_NFI[[#This Row],[Winter Blanket]])</f>
        <v>0</v>
      </c>
      <c r="AM795" s="294">
        <f>IF(Table_NFI[[#This Row],[Winter Clothes Adult]]+Table_NFI[[#This Row],[Winter Clothes Children]]+Table_NFI[[#This Row],[Winter Items Other]]+Table_NFI[[#This Row],[Winter Blanket]]&gt;0,1,0)</f>
        <v>0</v>
      </c>
      <c r="AN795" s="331">
        <f>IF(NFI_Expiration=1,IF($A795&lt;VLOOKUP(V$5,NFI,5,0),1,0)*Table_NFI[[#This Row],[Jerry Can]],Table_NFI[Jerry Can])</f>
        <v>0</v>
      </c>
      <c r="AO795" s="331">
        <f>IF(NFI_Expiration=1,IF($A795&lt;VLOOKUP(V$5,NFI,5,0),1,0)*Table_NFI[[#This Row],[Shelter Tool kit]],Table_NFI[Shelter Tool kit])</f>
        <v>0</v>
      </c>
      <c r="AP795" s="331">
        <f>IF(NFI_Expiration=1,IF($A795&lt;VLOOKUP(V$5,NFI,5,0),1,0)*Table_NFI[[#This Row],[Tent]],Table_NFI[Tent])</f>
        <v>0</v>
      </c>
      <c r="AQ795" s="467" t="str">
        <f>IFERROR(VLOOKUP(Table_NFI[[#This Row],[Camp Name]],CL,2,0),"")</f>
        <v>MMR001CMP030</v>
      </c>
      <c r="AR795" s="835">
        <f ca="1">IF(Table_NFI[[#This Row],[Pcode]]="","",IF(OFFSET(CampList[Opening Date],MATCH(Table_NFI[[#This Row],[Pcode]],CampList[CP_Pcode],0)-1,0,1,1)&gt;=NFI_Monitor_Date,1,0))</f>
        <v>0</v>
      </c>
      <c r="AS795" s="467" t="str">
        <f>IFERROR(VLOOKUP(Table_NFI[[#This Row],[Camp Name]],CL,3,0),"")</f>
        <v>Open</v>
      </c>
      <c r="AT795" s="294" t="str">
        <f ca="1">IF(Table_NFI[[#This Row],[Pcode]]="","",OFFSET(CampList[Priority],MATCH(Table_NFI[[#This Row],[Pcode]],CampList[CP_Pcode],0)-1,0,1,1))</f>
        <v>P4</v>
      </c>
      <c r="AU795" s="293">
        <f>IFERROR(Table_NFI[[#This Row],[Kitchen Set]]/VLOOKUP(Table_NFI[[#This Row],[Camp Name]],CL,4,0),"")</f>
        <v>0</v>
      </c>
      <c r="AV795" s="461" t="s">
        <v>1092</v>
      </c>
      <c r="AW795" s="463"/>
    </row>
    <row r="796" spans="1:49" ht="14.45" customHeight="1" x14ac:dyDescent="0.25">
      <c r="A796" s="297">
        <f t="shared" si="12"/>
        <v>47.7</v>
      </c>
      <c r="B796" s="460">
        <v>41305</v>
      </c>
      <c r="C796" s="461" t="s">
        <v>569</v>
      </c>
      <c r="D796" s="462" t="s">
        <v>569</v>
      </c>
      <c r="E796" s="461" t="s">
        <v>380</v>
      </c>
      <c r="F796" s="290" t="s">
        <v>310</v>
      </c>
      <c r="G796" s="290" t="s">
        <v>351</v>
      </c>
      <c r="H796" s="291"/>
      <c r="I796" s="291"/>
      <c r="J796" s="291"/>
      <c r="K796" s="291"/>
      <c r="L796" s="292"/>
      <c r="M796" s="292">
        <v>188</v>
      </c>
      <c r="N796" s="292"/>
      <c r="O796" s="292"/>
      <c r="P796" s="294">
        <v>0</v>
      </c>
      <c r="Q796" s="294">
        <v>0</v>
      </c>
      <c r="R796" s="294"/>
      <c r="S796" s="294"/>
      <c r="T796" s="294"/>
      <c r="U796" s="294"/>
      <c r="V796" s="431"/>
      <c r="W796" s="294"/>
      <c r="X796" s="294"/>
      <c r="Y796" s="294">
        <f>IF(NFI_Expiration=1,IF($A796&lt;VLOOKUP(H$5,NFI,5,0),1,0)*Table_NFI[[#This Row],[Hygiene Kit]],Table_NFI[Hygiene Kit])</f>
        <v>0</v>
      </c>
      <c r="Z796" s="294">
        <f>IF(NFI_Expiration=1,IF($A796&lt;VLOOKUP(I$5,NFI,5,0),1,0)*Table_NFI[[#This Row],[NFI Core Kit]],Table_NFI[NFI Core Kit])</f>
        <v>0</v>
      </c>
      <c r="AA796" s="294">
        <f>IF(NFI_Expiration=1,IF($A796&lt;VLOOKUP(J$5,NFI,5,0),1,0)*Table_NFI[[#This Row],[Sanitary Kit]],Table_NFI[Sanitary Kit])</f>
        <v>0</v>
      </c>
      <c r="AB796" s="294">
        <f>IF(NFI_Expiration=1,IF($A796&lt;VLOOKUP(K$5,NFI,5,0),1,0)*Table_NFI[[#This Row],[Mosquito net]],Table_NFI[Mosquito net])</f>
        <v>0</v>
      </c>
      <c r="AC796" s="294">
        <f>IF(NFI_Expiration=1,IF($A796&lt;VLOOKUP(L$5,NFI,5,0),1,0)*Table_NFI[[#This Row],[Tarpaulin]],Table_NFI[[#This Row],[Tarpaulin]])</f>
        <v>0</v>
      </c>
      <c r="AD796" s="294">
        <f>IF(NFI_Expiration=1,IF($A796&lt;VLOOKUP(M$5,NFI,5,0),1,0)*Table_NFI[[#This Row],[Blanket]],Table_NFI[[#This Row],[Blanket]])</f>
        <v>0</v>
      </c>
      <c r="AE796" s="294">
        <f>IF(NFI_Expiration=1,IF($A796&lt;VLOOKUP(N$5,NFI,5,0),1,0)*Table_NFI[[#This Row],[Kitchen Set]],Table_NFI[Kitchen Set])</f>
        <v>0</v>
      </c>
      <c r="AF796" s="294">
        <f>IF(NFI_Expiration=1,IF($A796&lt;VLOOKUP(O$5,NFI,5,0),1,0)*Table_NFI[[#This Row],[Clothes Kit]],Table_NFI[Clothes Kit])</f>
        <v>0</v>
      </c>
      <c r="AG796" s="294">
        <f>IF(NFI_Expiration=1,IF($A796&lt;VLOOKUP(P$5,NFI,5,0),1,0)*Table_NFI[[#This Row],[Plastic Bucket]],Table_NFI[Plastic Bucket])</f>
        <v>0</v>
      </c>
      <c r="AH796" s="294">
        <f>IF(NFI_Expiration=1,IF($A796&lt;VLOOKUP(Q$5,NFI,5,0),1,0)*Table_NFI[[#This Row],[Plastic Mat]],Table_NFI[Plastic Mat])*IF(Table_NFI[[#This Row],[Distribution Date]]&gt;"2014-04-01",1,2.5)</f>
        <v>0</v>
      </c>
      <c r="AI796" s="294">
        <f>IF(NFI_Expiration=1,IF($A796&lt;VLOOKUP(R$5,NFI,5,0),1,0)*Table_NFI[[#This Row],[Winter Clothes Adult]],Table_NFI[Winter Clothes Adult])</f>
        <v>0</v>
      </c>
      <c r="AJ796" s="294">
        <f>IF(NFI_Expiration=1,IF($A796&lt;VLOOKUP(S$5,NFI,5,0),1,0)*Table_NFI[[#This Row],[Winter Clothes Children]],Table_NFI[Winter Clothes Children])</f>
        <v>0</v>
      </c>
      <c r="AK796" s="294">
        <f>IF(NFI_Expiration=1,IF($A796&lt;VLOOKUP(T$5,NFI,5,0),1,0)*Table_NFI[[#This Row],[Winter Items Other]],Table_NFI[Winter Items Other])</f>
        <v>0</v>
      </c>
      <c r="AL796" s="294">
        <f>IF(NFI_Expiration=1,IF($A796&lt;VLOOKUP(M$5,NFI,5,0),1,0)*Table_NFI[[#This Row],[Winter Blanket]],Table_NFI[[#This Row],[Winter Blanket]])</f>
        <v>0</v>
      </c>
      <c r="AM796" s="294">
        <f>IF(Table_NFI[[#This Row],[Winter Clothes Adult]]+Table_NFI[[#This Row],[Winter Clothes Children]]+Table_NFI[[#This Row],[Winter Items Other]]+Table_NFI[[#This Row],[Winter Blanket]]&gt;0,1,0)</f>
        <v>0</v>
      </c>
      <c r="AN796" s="331">
        <f>IF(NFI_Expiration=1,IF($A796&lt;VLOOKUP(V$5,NFI,5,0),1,0)*Table_NFI[[#This Row],[Jerry Can]],Table_NFI[Jerry Can])</f>
        <v>0</v>
      </c>
      <c r="AO796" s="331">
        <f>IF(NFI_Expiration=1,IF($A796&lt;VLOOKUP(V$5,NFI,5,0),1,0)*Table_NFI[[#This Row],[Shelter Tool kit]],Table_NFI[Shelter Tool kit])</f>
        <v>0</v>
      </c>
      <c r="AP796" s="331">
        <f>IF(NFI_Expiration=1,IF($A796&lt;VLOOKUP(V$5,NFI,5,0),1,0)*Table_NFI[[#This Row],[Tent]],Table_NFI[Tent])</f>
        <v>0</v>
      </c>
      <c r="AQ796" s="467" t="str">
        <f>IFERROR(VLOOKUP(Table_NFI[[#This Row],[Camp Name]],CL,2,0),"")</f>
        <v>MMR001CMP026</v>
      </c>
      <c r="AR796" s="835">
        <f ca="1">IF(Table_NFI[[#This Row],[Pcode]]="","",IF(OFFSET(CampList[Opening Date],MATCH(Table_NFI[[#This Row],[Pcode]],CampList[CP_Pcode],0)-1,0,1,1)&gt;=NFI_Monitor_Date,1,0))</f>
        <v>0</v>
      </c>
      <c r="AS796" s="467" t="str">
        <f>IFERROR(VLOOKUP(Table_NFI[[#This Row],[Camp Name]],CL,3,0),"")</f>
        <v>Open</v>
      </c>
      <c r="AT796" s="294" t="str">
        <f ca="1">IF(Table_NFI[[#This Row],[Pcode]]="","",OFFSET(CampList[Priority],MATCH(Table_NFI[[#This Row],[Pcode]],CampList[CP_Pcode],0)-1,0,1,1))</f>
        <v>P4</v>
      </c>
      <c r="AU796" s="293">
        <f>IFERROR(Table_NFI[[#This Row],[Kitchen Set]]/VLOOKUP(Table_NFI[[#This Row],[Camp Name]],CL,4,0),"")</f>
        <v>0</v>
      </c>
      <c r="AV796" s="461" t="s">
        <v>1092</v>
      </c>
      <c r="AW796" s="463"/>
    </row>
    <row r="797" spans="1:49" ht="14.45" customHeight="1" x14ac:dyDescent="0.25">
      <c r="A797" s="297">
        <f t="shared" si="12"/>
        <v>47.7</v>
      </c>
      <c r="B797" s="460">
        <v>41305</v>
      </c>
      <c r="C797" s="461" t="s">
        <v>569</v>
      </c>
      <c r="D797" s="462" t="s">
        <v>569</v>
      </c>
      <c r="E797" s="461" t="s">
        <v>380</v>
      </c>
      <c r="F797" s="290" t="s">
        <v>310</v>
      </c>
      <c r="G797" s="290" t="s">
        <v>347</v>
      </c>
      <c r="H797" s="291"/>
      <c r="I797" s="291"/>
      <c r="J797" s="291"/>
      <c r="K797" s="291"/>
      <c r="L797" s="292"/>
      <c r="M797" s="292">
        <v>358</v>
      </c>
      <c r="N797" s="292"/>
      <c r="O797" s="292"/>
      <c r="P797" s="294">
        <v>0</v>
      </c>
      <c r="Q797" s="294">
        <v>0</v>
      </c>
      <c r="R797" s="294"/>
      <c r="S797" s="294"/>
      <c r="T797" s="294"/>
      <c r="U797" s="294"/>
      <c r="V797" s="431"/>
      <c r="W797" s="294"/>
      <c r="X797" s="294"/>
      <c r="Y797" s="294">
        <f>IF(NFI_Expiration=1,IF($A797&lt;VLOOKUP(H$5,NFI,5,0),1,0)*Table_NFI[[#This Row],[Hygiene Kit]],Table_NFI[Hygiene Kit])</f>
        <v>0</v>
      </c>
      <c r="Z797" s="294">
        <f>IF(NFI_Expiration=1,IF($A797&lt;VLOOKUP(I$5,NFI,5,0),1,0)*Table_NFI[[#This Row],[NFI Core Kit]],Table_NFI[NFI Core Kit])</f>
        <v>0</v>
      </c>
      <c r="AA797" s="294">
        <f>IF(NFI_Expiration=1,IF($A797&lt;VLOOKUP(J$5,NFI,5,0),1,0)*Table_NFI[[#This Row],[Sanitary Kit]],Table_NFI[Sanitary Kit])</f>
        <v>0</v>
      </c>
      <c r="AB797" s="294">
        <f>IF(NFI_Expiration=1,IF($A797&lt;VLOOKUP(K$5,NFI,5,0),1,0)*Table_NFI[[#This Row],[Mosquito net]],Table_NFI[Mosquito net])</f>
        <v>0</v>
      </c>
      <c r="AC797" s="294">
        <f>IF(NFI_Expiration=1,IF($A797&lt;VLOOKUP(L$5,NFI,5,0),1,0)*Table_NFI[[#This Row],[Tarpaulin]],Table_NFI[[#This Row],[Tarpaulin]])</f>
        <v>0</v>
      </c>
      <c r="AD797" s="294">
        <f>IF(NFI_Expiration=1,IF($A797&lt;VLOOKUP(M$5,NFI,5,0),1,0)*Table_NFI[[#This Row],[Blanket]],Table_NFI[[#This Row],[Blanket]])</f>
        <v>0</v>
      </c>
      <c r="AE797" s="294">
        <f>IF(NFI_Expiration=1,IF($A797&lt;VLOOKUP(N$5,NFI,5,0),1,0)*Table_NFI[[#This Row],[Kitchen Set]],Table_NFI[Kitchen Set])</f>
        <v>0</v>
      </c>
      <c r="AF797" s="294">
        <f>IF(NFI_Expiration=1,IF($A797&lt;VLOOKUP(O$5,NFI,5,0),1,0)*Table_NFI[[#This Row],[Clothes Kit]],Table_NFI[Clothes Kit])</f>
        <v>0</v>
      </c>
      <c r="AG797" s="294">
        <f>IF(NFI_Expiration=1,IF($A797&lt;VLOOKUP(P$5,NFI,5,0),1,0)*Table_NFI[[#This Row],[Plastic Bucket]],Table_NFI[Plastic Bucket])</f>
        <v>0</v>
      </c>
      <c r="AH797" s="294">
        <f>IF(NFI_Expiration=1,IF($A797&lt;VLOOKUP(Q$5,NFI,5,0),1,0)*Table_NFI[[#This Row],[Plastic Mat]],Table_NFI[Plastic Mat])*IF(Table_NFI[[#This Row],[Distribution Date]]&gt;"2014-04-01",1,2.5)</f>
        <v>0</v>
      </c>
      <c r="AI797" s="294">
        <f>IF(NFI_Expiration=1,IF($A797&lt;VLOOKUP(R$5,NFI,5,0),1,0)*Table_NFI[[#This Row],[Winter Clothes Adult]],Table_NFI[Winter Clothes Adult])</f>
        <v>0</v>
      </c>
      <c r="AJ797" s="294">
        <f>IF(NFI_Expiration=1,IF($A797&lt;VLOOKUP(S$5,NFI,5,0),1,0)*Table_NFI[[#This Row],[Winter Clothes Children]],Table_NFI[Winter Clothes Children])</f>
        <v>0</v>
      </c>
      <c r="AK797" s="294">
        <f>IF(NFI_Expiration=1,IF($A797&lt;VLOOKUP(T$5,NFI,5,0),1,0)*Table_NFI[[#This Row],[Winter Items Other]],Table_NFI[Winter Items Other])</f>
        <v>0</v>
      </c>
      <c r="AL797" s="294">
        <f>IF(NFI_Expiration=1,IF($A797&lt;VLOOKUP(M$5,NFI,5,0),1,0)*Table_NFI[[#This Row],[Winter Blanket]],Table_NFI[[#This Row],[Winter Blanket]])</f>
        <v>0</v>
      </c>
      <c r="AM797" s="294">
        <f>IF(Table_NFI[[#This Row],[Winter Clothes Adult]]+Table_NFI[[#This Row],[Winter Clothes Children]]+Table_NFI[[#This Row],[Winter Items Other]]+Table_NFI[[#This Row],[Winter Blanket]]&gt;0,1,0)</f>
        <v>0</v>
      </c>
      <c r="AN797" s="331">
        <f>IF(NFI_Expiration=1,IF($A797&lt;VLOOKUP(V$5,NFI,5,0),1,0)*Table_NFI[[#This Row],[Jerry Can]],Table_NFI[Jerry Can])</f>
        <v>0</v>
      </c>
      <c r="AO797" s="331">
        <f>IF(NFI_Expiration=1,IF($A797&lt;VLOOKUP(V$5,NFI,5,0),1,0)*Table_NFI[[#This Row],[Shelter Tool kit]],Table_NFI[Shelter Tool kit])</f>
        <v>0</v>
      </c>
      <c r="AP797" s="331">
        <f>IF(NFI_Expiration=1,IF($A797&lt;VLOOKUP(V$5,NFI,5,0),1,0)*Table_NFI[[#This Row],[Tent]],Table_NFI[Tent])</f>
        <v>0</v>
      </c>
      <c r="AQ797" s="467" t="str">
        <f>IFERROR(VLOOKUP(Table_NFI[[#This Row],[Camp Name]],CL,2,0),"")</f>
        <v>MMR001CMP041</v>
      </c>
      <c r="AR797" s="835">
        <f ca="1">IF(Table_NFI[[#This Row],[Pcode]]="","",IF(OFFSET(CampList[Opening Date],MATCH(Table_NFI[[#This Row],[Pcode]],CampList[CP_Pcode],0)-1,0,1,1)&gt;=NFI_Monitor_Date,1,0))</f>
        <v>0</v>
      </c>
      <c r="AS797" s="467" t="str">
        <f>IFERROR(VLOOKUP(Table_NFI[[#This Row],[Camp Name]],CL,3,0),"")</f>
        <v>Open</v>
      </c>
      <c r="AT797" s="294" t="str">
        <f ca="1">IF(Table_NFI[[#This Row],[Pcode]]="","",OFFSET(CampList[Priority],MATCH(Table_NFI[[#This Row],[Pcode]],CampList[CP_Pcode],0)-1,0,1,1))</f>
        <v>P1</v>
      </c>
      <c r="AU797" s="293">
        <f>IFERROR(Table_NFI[[#This Row],[Kitchen Set]]/VLOOKUP(Table_NFI[[#This Row],[Camp Name]],CL,4,0),"")</f>
        <v>0</v>
      </c>
      <c r="AV797" s="461" t="s">
        <v>1092</v>
      </c>
      <c r="AW797" s="463"/>
    </row>
    <row r="798" spans="1:49" ht="14.45" customHeight="1" x14ac:dyDescent="0.25">
      <c r="A798" s="297">
        <f t="shared" si="12"/>
        <v>47.7</v>
      </c>
      <c r="B798" s="460">
        <v>41305</v>
      </c>
      <c r="C798" s="461" t="s">
        <v>569</v>
      </c>
      <c r="D798" s="462" t="s">
        <v>569</v>
      </c>
      <c r="E798" s="461" t="s">
        <v>380</v>
      </c>
      <c r="F798" s="290" t="s">
        <v>310</v>
      </c>
      <c r="G798" s="290" t="s">
        <v>349</v>
      </c>
      <c r="H798" s="291"/>
      <c r="I798" s="291"/>
      <c r="J798" s="291"/>
      <c r="K798" s="291"/>
      <c r="L798" s="292"/>
      <c r="M798" s="292">
        <v>122</v>
      </c>
      <c r="N798" s="292"/>
      <c r="O798" s="292"/>
      <c r="P798" s="294">
        <v>0</v>
      </c>
      <c r="Q798" s="294">
        <v>0</v>
      </c>
      <c r="R798" s="294"/>
      <c r="S798" s="294"/>
      <c r="T798" s="294"/>
      <c r="U798" s="294"/>
      <c r="V798" s="431"/>
      <c r="W798" s="294"/>
      <c r="X798" s="294"/>
      <c r="Y798" s="294">
        <f>IF(NFI_Expiration=1,IF($A798&lt;VLOOKUP(H$5,NFI,5,0),1,0)*Table_NFI[[#This Row],[Hygiene Kit]],Table_NFI[Hygiene Kit])</f>
        <v>0</v>
      </c>
      <c r="Z798" s="294">
        <f>IF(NFI_Expiration=1,IF($A798&lt;VLOOKUP(I$5,NFI,5,0),1,0)*Table_NFI[[#This Row],[NFI Core Kit]],Table_NFI[NFI Core Kit])</f>
        <v>0</v>
      </c>
      <c r="AA798" s="294">
        <f>IF(NFI_Expiration=1,IF($A798&lt;VLOOKUP(J$5,NFI,5,0),1,0)*Table_NFI[[#This Row],[Sanitary Kit]],Table_NFI[Sanitary Kit])</f>
        <v>0</v>
      </c>
      <c r="AB798" s="294">
        <f>IF(NFI_Expiration=1,IF($A798&lt;VLOOKUP(K$5,NFI,5,0),1,0)*Table_NFI[[#This Row],[Mosquito net]],Table_NFI[Mosquito net])</f>
        <v>0</v>
      </c>
      <c r="AC798" s="294">
        <f>IF(NFI_Expiration=1,IF($A798&lt;VLOOKUP(L$5,NFI,5,0),1,0)*Table_NFI[[#This Row],[Tarpaulin]],Table_NFI[[#This Row],[Tarpaulin]])</f>
        <v>0</v>
      </c>
      <c r="AD798" s="294">
        <f>IF(NFI_Expiration=1,IF($A798&lt;VLOOKUP(M$5,NFI,5,0),1,0)*Table_NFI[[#This Row],[Blanket]],Table_NFI[[#This Row],[Blanket]])</f>
        <v>0</v>
      </c>
      <c r="AE798" s="294">
        <f>IF(NFI_Expiration=1,IF($A798&lt;VLOOKUP(N$5,NFI,5,0),1,0)*Table_NFI[[#This Row],[Kitchen Set]],Table_NFI[Kitchen Set])</f>
        <v>0</v>
      </c>
      <c r="AF798" s="294">
        <f>IF(NFI_Expiration=1,IF($A798&lt;VLOOKUP(O$5,NFI,5,0),1,0)*Table_NFI[[#This Row],[Clothes Kit]],Table_NFI[Clothes Kit])</f>
        <v>0</v>
      </c>
      <c r="AG798" s="294">
        <f>IF(NFI_Expiration=1,IF($A798&lt;VLOOKUP(P$5,NFI,5,0),1,0)*Table_NFI[[#This Row],[Plastic Bucket]],Table_NFI[Plastic Bucket])</f>
        <v>0</v>
      </c>
      <c r="AH798" s="294">
        <f>IF(NFI_Expiration=1,IF($A798&lt;VLOOKUP(Q$5,NFI,5,0),1,0)*Table_NFI[[#This Row],[Plastic Mat]],Table_NFI[Plastic Mat])*IF(Table_NFI[[#This Row],[Distribution Date]]&gt;"2014-04-01",1,2.5)</f>
        <v>0</v>
      </c>
      <c r="AI798" s="294">
        <f>IF(NFI_Expiration=1,IF($A798&lt;VLOOKUP(R$5,NFI,5,0),1,0)*Table_NFI[[#This Row],[Winter Clothes Adult]],Table_NFI[Winter Clothes Adult])</f>
        <v>0</v>
      </c>
      <c r="AJ798" s="294">
        <f>IF(NFI_Expiration=1,IF($A798&lt;VLOOKUP(S$5,NFI,5,0),1,0)*Table_NFI[[#This Row],[Winter Clothes Children]],Table_NFI[Winter Clothes Children])</f>
        <v>0</v>
      </c>
      <c r="AK798" s="294">
        <f>IF(NFI_Expiration=1,IF($A798&lt;VLOOKUP(T$5,NFI,5,0),1,0)*Table_NFI[[#This Row],[Winter Items Other]],Table_NFI[Winter Items Other])</f>
        <v>0</v>
      </c>
      <c r="AL798" s="294">
        <f>IF(NFI_Expiration=1,IF($A798&lt;VLOOKUP(M$5,NFI,5,0),1,0)*Table_NFI[[#This Row],[Winter Blanket]],Table_NFI[[#This Row],[Winter Blanket]])</f>
        <v>0</v>
      </c>
      <c r="AM798" s="294">
        <f>IF(Table_NFI[[#This Row],[Winter Clothes Adult]]+Table_NFI[[#This Row],[Winter Clothes Children]]+Table_NFI[[#This Row],[Winter Items Other]]+Table_NFI[[#This Row],[Winter Blanket]]&gt;0,1,0)</f>
        <v>0</v>
      </c>
      <c r="AN798" s="331">
        <f>IF(NFI_Expiration=1,IF($A798&lt;VLOOKUP(V$5,NFI,5,0),1,0)*Table_NFI[[#This Row],[Jerry Can]],Table_NFI[Jerry Can])</f>
        <v>0</v>
      </c>
      <c r="AO798" s="331">
        <f>IF(NFI_Expiration=1,IF($A798&lt;VLOOKUP(V$5,NFI,5,0),1,0)*Table_NFI[[#This Row],[Shelter Tool kit]],Table_NFI[Shelter Tool kit])</f>
        <v>0</v>
      </c>
      <c r="AP798" s="331">
        <f>IF(NFI_Expiration=1,IF($A798&lt;VLOOKUP(V$5,NFI,5,0),1,0)*Table_NFI[[#This Row],[Tent]],Table_NFI[Tent])</f>
        <v>0</v>
      </c>
      <c r="AQ798" s="467" t="str">
        <f>IFERROR(VLOOKUP(Table_NFI[[#This Row],[Camp Name]],CL,2,0),"")</f>
        <v>MMR001CMP037</v>
      </c>
      <c r="AR798" s="835">
        <f ca="1">IF(Table_NFI[[#This Row],[Pcode]]="","",IF(OFFSET(CampList[Opening Date],MATCH(Table_NFI[[#This Row],[Pcode]],CampList[CP_Pcode],0)-1,0,1,1)&gt;=NFI_Monitor_Date,1,0))</f>
        <v>0</v>
      </c>
      <c r="AS798" s="467" t="str">
        <f>IFERROR(VLOOKUP(Table_NFI[[#This Row],[Camp Name]],CL,3,0),"")</f>
        <v>Open</v>
      </c>
      <c r="AT798" s="294" t="str">
        <f ca="1">IF(Table_NFI[[#This Row],[Pcode]]="","",OFFSET(CampList[Priority],MATCH(Table_NFI[[#This Row],[Pcode]],CampList[CP_Pcode],0)-1,0,1,1))</f>
        <v>P4</v>
      </c>
      <c r="AU798" s="293">
        <f>IFERROR(Table_NFI[[#This Row],[Kitchen Set]]/VLOOKUP(Table_NFI[[#This Row],[Camp Name]],CL,4,0),"")</f>
        <v>0</v>
      </c>
      <c r="AV798" s="461" t="s">
        <v>1092</v>
      </c>
      <c r="AW798" s="463"/>
    </row>
    <row r="799" spans="1:49" ht="14.45" customHeight="1" x14ac:dyDescent="0.25">
      <c r="A799" s="297">
        <f t="shared" si="12"/>
        <v>47.7</v>
      </c>
      <c r="B799" s="460">
        <v>41305</v>
      </c>
      <c r="C799" s="461" t="s">
        <v>569</v>
      </c>
      <c r="D799" s="462" t="s">
        <v>569</v>
      </c>
      <c r="E799" s="461" t="s">
        <v>380</v>
      </c>
      <c r="F799" s="290" t="s">
        <v>310</v>
      </c>
      <c r="G799" s="290" t="s">
        <v>316</v>
      </c>
      <c r="H799" s="291"/>
      <c r="I799" s="291"/>
      <c r="J799" s="291"/>
      <c r="K799" s="291"/>
      <c r="L799" s="292"/>
      <c r="M799" s="292">
        <v>104</v>
      </c>
      <c r="N799" s="292"/>
      <c r="O799" s="292"/>
      <c r="P799" s="294">
        <v>0</v>
      </c>
      <c r="Q799" s="294">
        <v>0</v>
      </c>
      <c r="R799" s="294"/>
      <c r="S799" s="294"/>
      <c r="T799" s="294"/>
      <c r="U799" s="294"/>
      <c r="V799" s="431"/>
      <c r="W799" s="294"/>
      <c r="X799" s="294"/>
      <c r="Y799" s="294">
        <f>IF(NFI_Expiration=1,IF($A799&lt;VLOOKUP(H$5,NFI,5,0),1,0)*Table_NFI[[#This Row],[Hygiene Kit]],Table_NFI[Hygiene Kit])</f>
        <v>0</v>
      </c>
      <c r="Z799" s="294">
        <f>IF(NFI_Expiration=1,IF($A799&lt;VLOOKUP(I$5,NFI,5,0),1,0)*Table_NFI[[#This Row],[NFI Core Kit]],Table_NFI[NFI Core Kit])</f>
        <v>0</v>
      </c>
      <c r="AA799" s="294">
        <f>IF(NFI_Expiration=1,IF($A799&lt;VLOOKUP(J$5,NFI,5,0),1,0)*Table_NFI[[#This Row],[Sanitary Kit]],Table_NFI[Sanitary Kit])</f>
        <v>0</v>
      </c>
      <c r="AB799" s="294">
        <f>IF(NFI_Expiration=1,IF($A799&lt;VLOOKUP(K$5,NFI,5,0),1,0)*Table_NFI[[#This Row],[Mosquito net]],Table_NFI[Mosquito net])</f>
        <v>0</v>
      </c>
      <c r="AC799" s="294">
        <f>IF(NFI_Expiration=1,IF($A799&lt;VLOOKUP(L$5,NFI,5,0),1,0)*Table_NFI[[#This Row],[Tarpaulin]],Table_NFI[[#This Row],[Tarpaulin]])</f>
        <v>0</v>
      </c>
      <c r="AD799" s="294">
        <f>IF(NFI_Expiration=1,IF($A799&lt;VLOOKUP(M$5,NFI,5,0),1,0)*Table_NFI[[#This Row],[Blanket]],Table_NFI[[#This Row],[Blanket]])</f>
        <v>0</v>
      </c>
      <c r="AE799" s="294">
        <f>IF(NFI_Expiration=1,IF($A799&lt;VLOOKUP(N$5,NFI,5,0),1,0)*Table_NFI[[#This Row],[Kitchen Set]],Table_NFI[Kitchen Set])</f>
        <v>0</v>
      </c>
      <c r="AF799" s="294">
        <f>IF(NFI_Expiration=1,IF($A799&lt;VLOOKUP(O$5,NFI,5,0),1,0)*Table_NFI[[#This Row],[Clothes Kit]],Table_NFI[Clothes Kit])</f>
        <v>0</v>
      </c>
      <c r="AG799" s="294">
        <f>IF(NFI_Expiration=1,IF($A799&lt;VLOOKUP(P$5,NFI,5,0),1,0)*Table_NFI[[#This Row],[Plastic Bucket]],Table_NFI[Plastic Bucket])</f>
        <v>0</v>
      </c>
      <c r="AH799" s="294">
        <f>IF(NFI_Expiration=1,IF($A799&lt;VLOOKUP(Q$5,NFI,5,0),1,0)*Table_NFI[[#This Row],[Plastic Mat]],Table_NFI[Plastic Mat])*IF(Table_NFI[[#This Row],[Distribution Date]]&gt;"2014-04-01",1,2.5)</f>
        <v>0</v>
      </c>
      <c r="AI799" s="294">
        <f>IF(NFI_Expiration=1,IF($A799&lt;VLOOKUP(R$5,NFI,5,0),1,0)*Table_NFI[[#This Row],[Winter Clothes Adult]],Table_NFI[Winter Clothes Adult])</f>
        <v>0</v>
      </c>
      <c r="AJ799" s="294">
        <f>IF(NFI_Expiration=1,IF($A799&lt;VLOOKUP(S$5,NFI,5,0),1,0)*Table_NFI[[#This Row],[Winter Clothes Children]],Table_NFI[Winter Clothes Children])</f>
        <v>0</v>
      </c>
      <c r="AK799" s="294">
        <f>IF(NFI_Expiration=1,IF($A799&lt;VLOOKUP(T$5,NFI,5,0),1,0)*Table_NFI[[#This Row],[Winter Items Other]],Table_NFI[Winter Items Other])</f>
        <v>0</v>
      </c>
      <c r="AL799" s="294">
        <f>IF(NFI_Expiration=1,IF($A799&lt;VLOOKUP(M$5,NFI,5,0),1,0)*Table_NFI[[#This Row],[Winter Blanket]],Table_NFI[[#This Row],[Winter Blanket]])</f>
        <v>0</v>
      </c>
      <c r="AM799" s="294">
        <f>IF(Table_NFI[[#This Row],[Winter Clothes Adult]]+Table_NFI[[#This Row],[Winter Clothes Children]]+Table_NFI[[#This Row],[Winter Items Other]]+Table_NFI[[#This Row],[Winter Blanket]]&gt;0,1,0)</f>
        <v>0</v>
      </c>
      <c r="AN799" s="331">
        <f>IF(NFI_Expiration=1,IF($A799&lt;VLOOKUP(V$5,NFI,5,0),1,0)*Table_NFI[[#This Row],[Jerry Can]],Table_NFI[Jerry Can])</f>
        <v>0</v>
      </c>
      <c r="AO799" s="331">
        <f>IF(NFI_Expiration=1,IF($A799&lt;VLOOKUP(V$5,NFI,5,0),1,0)*Table_NFI[[#This Row],[Shelter Tool kit]],Table_NFI[Shelter Tool kit])</f>
        <v>0</v>
      </c>
      <c r="AP799" s="331">
        <f>IF(NFI_Expiration=1,IF($A799&lt;VLOOKUP(V$5,NFI,5,0),1,0)*Table_NFI[[#This Row],[Tent]],Table_NFI[Tent])</f>
        <v>0</v>
      </c>
      <c r="AQ799" s="467" t="str">
        <f>IFERROR(VLOOKUP(Table_NFI[[#This Row],[Camp Name]],CL,2,0),"")</f>
        <v>MMR001CMP038</v>
      </c>
      <c r="AR799" s="835">
        <f ca="1">IF(Table_NFI[[#This Row],[Pcode]]="","",IF(OFFSET(CampList[Opening Date],MATCH(Table_NFI[[#This Row],[Pcode]],CampList[CP_Pcode],0)-1,0,1,1)&gt;=NFI_Monitor_Date,1,0))</f>
        <v>0</v>
      </c>
      <c r="AS799" s="467" t="str">
        <f>IFERROR(VLOOKUP(Table_NFI[[#This Row],[Camp Name]],CL,3,0),"")</f>
        <v>Open</v>
      </c>
      <c r="AT799" s="294" t="str">
        <f ca="1">IF(Table_NFI[[#This Row],[Pcode]]="","",OFFSET(CampList[Priority],MATCH(Table_NFI[[#This Row],[Pcode]],CampList[CP_Pcode],0)-1,0,1,1))</f>
        <v>P4</v>
      </c>
      <c r="AU799" s="293">
        <f>IFERROR(Table_NFI[[#This Row],[Kitchen Set]]/VLOOKUP(Table_NFI[[#This Row],[Camp Name]],CL,4,0),"")</f>
        <v>0</v>
      </c>
      <c r="AV799" s="461" t="s">
        <v>1092</v>
      </c>
      <c r="AW799" s="463"/>
    </row>
    <row r="800" spans="1:49" ht="14.45" customHeight="1" x14ac:dyDescent="0.25">
      <c r="A800" s="297">
        <f t="shared" si="12"/>
        <v>47.733333333333334</v>
      </c>
      <c r="B800" s="460">
        <v>41304</v>
      </c>
      <c r="C800" s="461" t="s">
        <v>905</v>
      </c>
      <c r="D800" s="461" t="s">
        <v>1002</v>
      </c>
      <c r="E800" s="461" t="s">
        <v>380</v>
      </c>
      <c r="F800" s="290" t="s">
        <v>302</v>
      </c>
      <c r="G800" s="290" t="s">
        <v>306</v>
      </c>
      <c r="H800" s="291">
        <v>272</v>
      </c>
      <c r="I800" s="291"/>
      <c r="J800" s="291"/>
      <c r="K800" s="291"/>
      <c r="L800" s="292"/>
      <c r="M800" s="292"/>
      <c r="N800" s="292"/>
      <c r="O800" s="292"/>
      <c r="P800" s="294">
        <v>0</v>
      </c>
      <c r="Q800" s="294">
        <v>0</v>
      </c>
      <c r="R800" s="294"/>
      <c r="S800" s="294"/>
      <c r="T800" s="294"/>
      <c r="U800" s="294"/>
      <c r="V800" s="431"/>
      <c r="W800" s="294"/>
      <c r="X800" s="294"/>
      <c r="Y800" s="294">
        <f>IF(NFI_Expiration=1,IF($A800&lt;VLOOKUP(H$5,NFI,5,0),1,0)*Table_NFI[[#This Row],[Hygiene Kit]],Table_NFI[Hygiene Kit])</f>
        <v>0</v>
      </c>
      <c r="Z800" s="294">
        <f>IF(NFI_Expiration=1,IF($A800&lt;VLOOKUP(I$5,NFI,5,0),1,0)*Table_NFI[[#This Row],[NFI Core Kit]],Table_NFI[NFI Core Kit])</f>
        <v>0</v>
      </c>
      <c r="AA800" s="294">
        <f>IF(NFI_Expiration=1,IF($A800&lt;VLOOKUP(J$5,NFI,5,0),1,0)*Table_NFI[[#This Row],[Sanitary Kit]],Table_NFI[Sanitary Kit])</f>
        <v>0</v>
      </c>
      <c r="AB800" s="294">
        <f>IF(NFI_Expiration=1,IF($A800&lt;VLOOKUP(K$5,NFI,5,0),1,0)*Table_NFI[[#This Row],[Mosquito net]],Table_NFI[Mosquito net])</f>
        <v>0</v>
      </c>
      <c r="AC800" s="294">
        <f>IF(NFI_Expiration=1,IF($A800&lt;VLOOKUP(L$5,NFI,5,0),1,0)*Table_NFI[[#This Row],[Tarpaulin]],Table_NFI[[#This Row],[Tarpaulin]])</f>
        <v>0</v>
      </c>
      <c r="AD800" s="294">
        <f>IF(NFI_Expiration=1,IF($A800&lt;VLOOKUP(M$5,NFI,5,0),1,0)*Table_NFI[[#This Row],[Blanket]],Table_NFI[[#This Row],[Blanket]])</f>
        <v>0</v>
      </c>
      <c r="AE800" s="294">
        <f>IF(NFI_Expiration=1,IF($A800&lt;VLOOKUP(N$5,NFI,5,0),1,0)*Table_NFI[[#This Row],[Kitchen Set]],Table_NFI[Kitchen Set])</f>
        <v>0</v>
      </c>
      <c r="AF800" s="294">
        <f>IF(NFI_Expiration=1,IF($A800&lt;VLOOKUP(O$5,NFI,5,0),1,0)*Table_NFI[[#This Row],[Clothes Kit]],Table_NFI[Clothes Kit])</f>
        <v>0</v>
      </c>
      <c r="AG800" s="294">
        <f>IF(NFI_Expiration=1,IF($A800&lt;VLOOKUP(P$5,NFI,5,0),1,0)*Table_NFI[[#This Row],[Plastic Bucket]],Table_NFI[Plastic Bucket])</f>
        <v>0</v>
      </c>
      <c r="AH800" s="294">
        <f>IF(NFI_Expiration=1,IF($A800&lt;VLOOKUP(Q$5,NFI,5,0),1,0)*Table_NFI[[#This Row],[Plastic Mat]],Table_NFI[Plastic Mat])*IF(Table_NFI[[#This Row],[Distribution Date]]&gt;"2014-04-01",1,2.5)</f>
        <v>0</v>
      </c>
      <c r="AI800" s="294">
        <f>IF(NFI_Expiration=1,IF($A800&lt;VLOOKUP(R$5,NFI,5,0),1,0)*Table_NFI[[#This Row],[Winter Clothes Adult]],Table_NFI[Winter Clothes Adult])</f>
        <v>0</v>
      </c>
      <c r="AJ800" s="294">
        <f>IF(NFI_Expiration=1,IF($A800&lt;VLOOKUP(S$5,NFI,5,0),1,0)*Table_NFI[[#This Row],[Winter Clothes Children]],Table_NFI[Winter Clothes Children])</f>
        <v>0</v>
      </c>
      <c r="AK800" s="294">
        <f>IF(NFI_Expiration=1,IF($A800&lt;VLOOKUP(T$5,NFI,5,0),1,0)*Table_NFI[[#This Row],[Winter Items Other]],Table_NFI[Winter Items Other])</f>
        <v>0</v>
      </c>
      <c r="AL800" s="294">
        <f>IF(NFI_Expiration=1,IF($A800&lt;VLOOKUP(M$5,NFI,5,0),1,0)*Table_NFI[[#This Row],[Winter Blanket]],Table_NFI[[#This Row],[Winter Blanket]])</f>
        <v>0</v>
      </c>
      <c r="AM800" s="294">
        <f>IF(Table_NFI[[#This Row],[Winter Clothes Adult]]+Table_NFI[[#This Row],[Winter Clothes Children]]+Table_NFI[[#This Row],[Winter Items Other]]+Table_NFI[[#This Row],[Winter Blanket]]&gt;0,1,0)</f>
        <v>0</v>
      </c>
      <c r="AN800" s="331">
        <f>IF(NFI_Expiration=1,IF($A800&lt;VLOOKUP(V$5,NFI,5,0),1,0)*Table_NFI[[#This Row],[Jerry Can]],Table_NFI[Jerry Can])</f>
        <v>0</v>
      </c>
      <c r="AO800" s="331">
        <f>IF(NFI_Expiration=1,IF($A800&lt;VLOOKUP(V$5,NFI,5,0),1,0)*Table_NFI[[#This Row],[Shelter Tool kit]],Table_NFI[Shelter Tool kit])</f>
        <v>0</v>
      </c>
      <c r="AP800" s="331">
        <f>IF(NFI_Expiration=1,IF($A800&lt;VLOOKUP(V$5,NFI,5,0),1,0)*Table_NFI[[#This Row],[Tent]],Table_NFI[Tent])</f>
        <v>0</v>
      </c>
      <c r="AQ800" s="467" t="str">
        <f>IFERROR(VLOOKUP(Table_NFI[[#This Row],[Camp Name]],CL,2,0),"")</f>
        <v>MMR001CMP067</v>
      </c>
      <c r="AR800" s="835">
        <f ca="1">IF(Table_NFI[[#This Row],[Pcode]]="","",IF(OFFSET(CampList[Opening Date],MATCH(Table_NFI[[#This Row],[Pcode]],CampList[CP_Pcode],0)-1,0,1,1)&gt;=NFI_Monitor_Date,1,0))</f>
        <v>0</v>
      </c>
      <c r="AS800" s="467" t="str">
        <f>IFERROR(VLOOKUP(Table_NFI[[#This Row],[Camp Name]],CL,3,0),"")</f>
        <v>Open</v>
      </c>
      <c r="AT800" s="294" t="str">
        <f ca="1">IF(Table_NFI[[#This Row],[Pcode]]="","",OFFSET(CampList[Priority],MATCH(Table_NFI[[#This Row],[Pcode]],CampList[CP_Pcode],0)-1,0,1,1))</f>
        <v>P4</v>
      </c>
      <c r="AU800" s="293">
        <f>IFERROR(Table_NFI[[#This Row],[Kitchen Set]]/VLOOKUP(Table_NFI[[#This Row],[Camp Name]],CL,4,0),"")</f>
        <v>0</v>
      </c>
      <c r="AV800" s="461" t="s">
        <v>1092</v>
      </c>
      <c r="AW800" s="463"/>
    </row>
    <row r="801" spans="1:49" ht="14.45" customHeight="1" x14ac:dyDescent="0.25">
      <c r="A801" s="297">
        <f t="shared" si="12"/>
        <v>47.766666666666666</v>
      </c>
      <c r="B801" s="460">
        <v>41303</v>
      </c>
      <c r="C801" s="461" t="s">
        <v>905</v>
      </c>
      <c r="D801" s="462" t="s">
        <v>1002</v>
      </c>
      <c r="E801" s="461" t="s">
        <v>380</v>
      </c>
      <c r="F801" s="290" t="s">
        <v>302</v>
      </c>
      <c r="G801" s="290" t="s">
        <v>308</v>
      </c>
      <c r="H801" s="291">
        <v>177</v>
      </c>
      <c r="I801" s="291"/>
      <c r="J801" s="291"/>
      <c r="K801" s="291"/>
      <c r="L801" s="292"/>
      <c r="M801" s="292"/>
      <c r="N801" s="292"/>
      <c r="O801" s="292"/>
      <c r="P801" s="294">
        <v>0</v>
      </c>
      <c r="Q801" s="294">
        <v>0</v>
      </c>
      <c r="R801" s="294"/>
      <c r="S801" s="294"/>
      <c r="T801" s="294"/>
      <c r="U801" s="294"/>
      <c r="V801" s="431"/>
      <c r="W801" s="294"/>
      <c r="X801" s="294"/>
      <c r="Y801" s="294">
        <f>IF(NFI_Expiration=1,IF($A801&lt;VLOOKUP(H$5,NFI,5,0),1,0)*Table_NFI[[#This Row],[Hygiene Kit]],Table_NFI[Hygiene Kit])</f>
        <v>0</v>
      </c>
      <c r="Z801" s="294">
        <f>IF(NFI_Expiration=1,IF($A801&lt;VLOOKUP(I$5,NFI,5,0),1,0)*Table_NFI[[#This Row],[NFI Core Kit]],Table_NFI[NFI Core Kit])</f>
        <v>0</v>
      </c>
      <c r="AA801" s="294">
        <f>IF(NFI_Expiration=1,IF($A801&lt;VLOOKUP(J$5,NFI,5,0),1,0)*Table_NFI[[#This Row],[Sanitary Kit]],Table_NFI[Sanitary Kit])</f>
        <v>0</v>
      </c>
      <c r="AB801" s="294">
        <f>IF(NFI_Expiration=1,IF($A801&lt;VLOOKUP(K$5,NFI,5,0),1,0)*Table_NFI[[#This Row],[Mosquito net]],Table_NFI[Mosquito net])</f>
        <v>0</v>
      </c>
      <c r="AC801" s="294">
        <f>IF(NFI_Expiration=1,IF($A801&lt;VLOOKUP(L$5,NFI,5,0),1,0)*Table_NFI[[#This Row],[Tarpaulin]],Table_NFI[[#This Row],[Tarpaulin]])</f>
        <v>0</v>
      </c>
      <c r="AD801" s="294">
        <f>IF(NFI_Expiration=1,IF($A801&lt;VLOOKUP(M$5,NFI,5,0),1,0)*Table_NFI[[#This Row],[Blanket]],Table_NFI[[#This Row],[Blanket]])</f>
        <v>0</v>
      </c>
      <c r="AE801" s="294">
        <f>IF(NFI_Expiration=1,IF($A801&lt;VLOOKUP(N$5,NFI,5,0),1,0)*Table_NFI[[#This Row],[Kitchen Set]],Table_NFI[Kitchen Set])</f>
        <v>0</v>
      </c>
      <c r="AF801" s="294">
        <f>IF(NFI_Expiration=1,IF($A801&lt;VLOOKUP(O$5,NFI,5,0),1,0)*Table_NFI[[#This Row],[Clothes Kit]],Table_NFI[Clothes Kit])</f>
        <v>0</v>
      </c>
      <c r="AG801" s="294">
        <f>IF(NFI_Expiration=1,IF($A801&lt;VLOOKUP(P$5,NFI,5,0),1,0)*Table_NFI[[#This Row],[Plastic Bucket]],Table_NFI[Plastic Bucket])</f>
        <v>0</v>
      </c>
      <c r="AH801" s="294">
        <f>IF(NFI_Expiration=1,IF($A801&lt;VLOOKUP(Q$5,NFI,5,0),1,0)*Table_NFI[[#This Row],[Plastic Mat]],Table_NFI[Plastic Mat])*IF(Table_NFI[[#This Row],[Distribution Date]]&gt;"2014-04-01",1,2.5)</f>
        <v>0</v>
      </c>
      <c r="AI801" s="294">
        <f>IF(NFI_Expiration=1,IF($A801&lt;VLOOKUP(R$5,NFI,5,0),1,0)*Table_NFI[[#This Row],[Winter Clothes Adult]],Table_NFI[Winter Clothes Adult])</f>
        <v>0</v>
      </c>
      <c r="AJ801" s="294">
        <f>IF(NFI_Expiration=1,IF($A801&lt;VLOOKUP(S$5,NFI,5,0),1,0)*Table_NFI[[#This Row],[Winter Clothes Children]],Table_NFI[Winter Clothes Children])</f>
        <v>0</v>
      </c>
      <c r="AK801" s="294">
        <f>IF(NFI_Expiration=1,IF($A801&lt;VLOOKUP(T$5,NFI,5,0),1,0)*Table_NFI[[#This Row],[Winter Items Other]],Table_NFI[Winter Items Other])</f>
        <v>0</v>
      </c>
      <c r="AL801" s="294">
        <f>IF(NFI_Expiration=1,IF($A801&lt;VLOOKUP(M$5,NFI,5,0),1,0)*Table_NFI[[#This Row],[Winter Blanket]],Table_NFI[[#This Row],[Winter Blanket]])</f>
        <v>0</v>
      </c>
      <c r="AM801" s="294">
        <f>IF(Table_NFI[[#This Row],[Winter Clothes Adult]]+Table_NFI[[#This Row],[Winter Clothes Children]]+Table_NFI[[#This Row],[Winter Items Other]]+Table_NFI[[#This Row],[Winter Blanket]]&gt;0,1,0)</f>
        <v>0</v>
      </c>
      <c r="AN801" s="331">
        <f>IF(NFI_Expiration=1,IF($A801&lt;VLOOKUP(V$5,NFI,5,0),1,0)*Table_NFI[[#This Row],[Jerry Can]],Table_NFI[Jerry Can])</f>
        <v>0</v>
      </c>
      <c r="AO801" s="331">
        <f>IF(NFI_Expiration=1,IF($A801&lt;VLOOKUP(V$5,NFI,5,0),1,0)*Table_NFI[[#This Row],[Shelter Tool kit]],Table_NFI[Shelter Tool kit])</f>
        <v>0</v>
      </c>
      <c r="AP801" s="331">
        <f>IF(NFI_Expiration=1,IF($A801&lt;VLOOKUP(V$5,NFI,5,0),1,0)*Table_NFI[[#This Row],[Tent]],Table_NFI[Tent])</f>
        <v>0</v>
      </c>
      <c r="AQ801" s="467" t="str">
        <f>IFERROR(VLOOKUP(Table_NFI[[#This Row],[Camp Name]],CL,2,0),"")</f>
        <v>MMR001CMP068</v>
      </c>
      <c r="AR801" s="835">
        <f ca="1">IF(Table_NFI[[#This Row],[Pcode]]="","",IF(OFFSET(CampList[Opening Date],MATCH(Table_NFI[[#This Row],[Pcode]],CampList[CP_Pcode],0)-1,0,1,1)&gt;=NFI_Monitor_Date,1,0))</f>
        <v>0</v>
      </c>
      <c r="AS801" s="467" t="str">
        <f>IFERROR(VLOOKUP(Table_NFI[[#This Row],[Camp Name]],CL,3,0),"")</f>
        <v>Open</v>
      </c>
      <c r="AT801" s="294" t="str">
        <f ca="1">IF(Table_NFI[[#This Row],[Pcode]]="","",OFFSET(CampList[Priority],MATCH(Table_NFI[[#This Row],[Pcode]],CampList[CP_Pcode],0)-1,0,1,1))</f>
        <v>P4</v>
      </c>
      <c r="AU801" s="293">
        <f>IFERROR(Table_NFI[[#This Row],[Kitchen Set]]/VLOOKUP(Table_NFI[[#This Row],[Camp Name]],CL,4,0),"")</f>
        <v>0</v>
      </c>
      <c r="AV801" s="461" t="s">
        <v>1092</v>
      </c>
      <c r="AW801" s="463"/>
    </row>
    <row r="802" spans="1:49" ht="14.45" customHeight="1" x14ac:dyDescent="0.25">
      <c r="A802" s="297">
        <f t="shared" si="12"/>
        <v>47.9</v>
      </c>
      <c r="B802" s="460">
        <v>41299</v>
      </c>
      <c r="C802" s="461" t="s">
        <v>905</v>
      </c>
      <c r="D802" s="461" t="s">
        <v>905</v>
      </c>
      <c r="E802" s="461" t="s">
        <v>380</v>
      </c>
      <c r="F802" s="461" t="s">
        <v>185</v>
      </c>
      <c r="G802" s="290" t="s">
        <v>217</v>
      </c>
      <c r="H802" s="291">
        <v>75</v>
      </c>
      <c r="I802" s="291"/>
      <c r="J802" s="291"/>
      <c r="K802" s="291"/>
      <c r="L802" s="292"/>
      <c r="M802" s="292"/>
      <c r="N802" s="292"/>
      <c r="O802" s="292"/>
      <c r="P802" s="294">
        <v>0</v>
      </c>
      <c r="Q802" s="294">
        <v>0</v>
      </c>
      <c r="R802" s="294"/>
      <c r="S802" s="294"/>
      <c r="T802" s="294"/>
      <c r="U802" s="294"/>
      <c r="V802" s="431"/>
      <c r="W802" s="294"/>
      <c r="X802" s="294"/>
      <c r="Y802" s="294">
        <f>IF(NFI_Expiration=1,IF($A802&lt;VLOOKUP(H$5,NFI,5,0),1,0)*Table_NFI[[#This Row],[Hygiene Kit]],Table_NFI[Hygiene Kit])</f>
        <v>0</v>
      </c>
      <c r="Z802" s="294">
        <f>IF(NFI_Expiration=1,IF($A802&lt;VLOOKUP(I$5,NFI,5,0),1,0)*Table_NFI[[#This Row],[NFI Core Kit]],Table_NFI[NFI Core Kit])</f>
        <v>0</v>
      </c>
      <c r="AA802" s="294">
        <f>IF(NFI_Expiration=1,IF($A802&lt;VLOOKUP(J$5,NFI,5,0),1,0)*Table_NFI[[#This Row],[Sanitary Kit]],Table_NFI[Sanitary Kit])</f>
        <v>0</v>
      </c>
      <c r="AB802" s="294">
        <f>IF(NFI_Expiration=1,IF($A802&lt;VLOOKUP(K$5,NFI,5,0),1,0)*Table_NFI[[#This Row],[Mosquito net]],Table_NFI[Mosquito net])</f>
        <v>0</v>
      </c>
      <c r="AC802" s="294">
        <f>IF(NFI_Expiration=1,IF($A802&lt;VLOOKUP(L$5,NFI,5,0),1,0)*Table_NFI[[#This Row],[Tarpaulin]],Table_NFI[[#This Row],[Tarpaulin]])</f>
        <v>0</v>
      </c>
      <c r="AD802" s="294">
        <f>IF(NFI_Expiration=1,IF($A802&lt;VLOOKUP(M$5,NFI,5,0),1,0)*Table_NFI[[#This Row],[Blanket]],Table_NFI[[#This Row],[Blanket]])</f>
        <v>0</v>
      </c>
      <c r="AE802" s="294">
        <f>IF(NFI_Expiration=1,IF($A802&lt;VLOOKUP(N$5,NFI,5,0),1,0)*Table_NFI[[#This Row],[Kitchen Set]],Table_NFI[Kitchen Set])</f>
        <v>0</v>
      </c>
      <c r="AF802" s="294">
        <f>IF(NFI_Expiration=1,IF($A802&lt;VLOOKUP(O$5,NFI,5,0),1,0)*Table_NFI[[#This Row],[Clothes Kit]],Table_NFI[Clothes Kit])</f>
        <v>0</v>
      </c>
      <c r="AG802" s="294">
        <f>IF(NFI_Expiration=1,IF($A802&lt;VLOOKUP(P$5,NFI,5,0),1,0)*Table_NFI[[#This Row],[Plastic Bucket]],Table_NFI[Plastic Bucket])</f>
        <v>0</v>
      </c>
      <c r="AH802" s="294">
        <f>IF(NFI_Expiration=1,IF($A802&lt;VLOOKUP(Q$5,NFI,5,0),1,0)*Table_NFI[[#This Row],[Plastic Mat]],Table_NFI[Plastic Mat])*IF(Table_NFI[[#This Row],[Distribution Date]]&gt;"2014-04-01",1,2.5)</f>
        <v>0</v>
      </c>
      <c r="AI802" s="294">
        <f>IF(NFI_Expiration=1,IF($A802&lt;VLOOKUP(R$5,NFI,5,0),1,0)*Table_NFI[[#This Row],[Winter Clothes Adult]],Table_NFI[Winter Clothes Adult])</f>
        <v>0</v>
      </c>
      <c r="AJ802" s="294">
        <f>IF(NFI_Expiration=1,IF($A802&lt;VLOOKUP(S$5,NFI,5,0),1,0)*Table_NFI[[#This Row],[Winter Clothes Children]],Table_NFI[Winter Clothes Children])</f>
        <v>0</v>
      </c>
      <c r="AK802" s="294">
        <f>IF(NFI_Expiration=1,IF($A802&lt;VLOOKUP(T$5,NFI,5,0),1,0)*Table_NFI[[#This Row],[Winter Items Other]],Table_NFI[Winter Items Other])</f>
        <v>0</v>
      </c>
      <c r="AL802" s="294">
        <f>IF(NFI_Expiration=1,IF($A802&lt;VLOOKUP(M$5,NFI,5,0),1,0)*Table_NFI[[#This Row],[Winter Blanket]],Table_NFI[[#This Row],[Winter Blanket]])</f>
        <v>0</v>
      </c>
      <c r="AM802" s="294">
        <f>IF(Table_NFI[[#This Row],[Winter Clothes Adult]]+Table_NFI[[#This Row],[Winter Clothes Children]]+Table_NFI[[#This Row],[Winter Items Other]]+Table_NFI[[#This Row],[Winter Blanket]]&gt;0,1,0)</f>
        <v>0</v>
      </c>
      <c r="AN802" s="331">
        <f>IF(NFI_Expiration=1,IF($A802&lt;VLOOKUP(V$5,NFI,5,0),1,0)*Table_NFI[[#This Row],[Jerry Can]],Table_NFI[Jerry Can])</f>
        <v>0</v>
      </c>
      <c r="AO802" s="331">
        <f>IF(NFI_Expiration=1,IF($A802&lt;VLOOKUP(V$5,NFI,5,0),1,0)*Table_NFI[[#This Row],[Shelter Tool kit]],Table_NFI[Shelter Tool kit])</f>
        <v>0</v>
      </c>
      <c r="AP802" s="331">
        <f>IF(NFI_Expiration=1,IF($A802&lt;VLOOKUP(V$5,NFI,5,0),1,0)*Table_NFI[[#This Row],[Tent]],Table_NFI[Tent])</f>
        <v>0</v>
      </c>
      <c r="AQ802" s="467" t="str">
        <f>IFERROR(VLOOKUP(Table_NFI[[#This Row],[Camp Name]],CL,2,0),"")</f>
        <v>MMR001CMP059</v>
      </c>
      <c r="AR802" s="835">
        <f ca="1">IF(Table_NFI[[#This Row],[Pcode]]="","",IF(OFFSET(CampList[Opening Date],MATCH(Table_NFI[[#This Row],[Pcode]],CampList[CP_Pcode],0)-1,0,1,1)&gt;=NFI_Monitor_Date,1,0))</f>
        <v>0</v>
      </c>
      <c r="AS802" s="467" t="str">
        <f>IFERROR(VLOOKUP(Table_NFI[[#This Row],[Camp Name]],CL,3,0),"")</f>
        <v>Closed</v>
      </c>
      <c r="AT802" s="294" t="str">
        <f ca="1">IF(Table_NFI[[#This Row],[Pcode]]="","",OFFSET(CampList[Priority],MATCH(Table_NFI[[#This Row],[Pcode]],CampList[CP_Pcode],0)-1,0,1,1))</f>
        <v>P4</v>
      </c>
      <c r="AU802" s="293">
        <f>IFERROR(Table_NFI[[#This Row],[Kitchen Set]]/VLOOKUP(Table_NFI[[#This Row],[Camp Name]],CL,4,0),"")</f>
        <v>0</v>
      </c>
      <c r="AV802" s="461" t="s">
        <v>1092</v>
      </c>
      <c r="AW802" s="463"/>
    </row>
    <row r="803" spans="1:49" ht="14.45" customHeight="1" x14ac:dyDescent="0.25">
      <c r="A803" s="297">
        <f t="shared" si="12"/>
        <v>47.93333333333333</v>
      </c>
      <c r="B803" s="460">
        <v>41298</v>
      </c>
      <c r="C803" s="461" t="s">
        <v>905</v>
      </c>
      <c r="D803" s="462" t="s">
        <v>905</v>
      </c>
      <c r="E803" s="461" t="s">
        <v>380</v>
      </c>
      <c r="F803" s="290" t="s">
        <v>185</v>
      </c>
      <c r="G803" s="290" t="s">
        <v>202</v>
      </c>
      <c r="H803" s="291">
        <v>200</v>
      </c>
      <c r="I803" s="291"/>
      <c r="J803" s="291"/>
      <c r="K803" s="291"/>
      <c r="L803" s="292"/>
      <c r="M803" s="292"/>
      <c r="N803" s="292"/>
      <c r="O803" s="292"/>
      <c r="P803" s="294">
        <v>0</v>
      </c>
      <c r="Q803" s="294">
        <v>0</v>
      </c>
      <c r="R803" s="294"/>
      <c r="S803" s="294"/>
      <c r="T803" s="294"/>
      <c r="U803" s="294"/>
      <c r="V803" s="431"/>
      <c r="W803" s="294"/>
      <c r="X803" s="294"/>
      <c r="Y803" s="294">
        <f>IF(NFI_Expiration=1,IF($A803&lt;VLOOKUP(H$5,NFI,5,0),1,0)*Table_NFI[[#This Row],[Hygiene Kit]],Table_NFI[Hygiene Kit])</f>
        <v>0</v>
      </c>
      <c r="Z803" s="294">
        <f>IF(NFI_Expiration=1,IF($A803&lt;VLOOKUP(I$5,NFI,5,0),1,0)*Table_NFI[[#This Row],[NFI Core Kit]],Table_NFI[NFI Core Kit])</f>
        <v>0</v>
      </c>
      <c r="AA803" s="294">
        <f>IF(NFI_Expiration=1,IF($A803&lt;VLOOKUP(J$5,NFI,5,0),1,0)*Table_NFI[[#This Row],[Sanitary Kit]],Table_NFI[Sanitary Kit])</f>
        <v>0</v>
      </c>
      <c r="AB803" s="294">
        <f>IF(NFI_Expiration=1,IF($A803&lt;VLOOKUP(K$5,NFI,5,0),1,0)*Table_NFI[[#This Row],[Mosquito net]],Table_NFI[Mosquito net])</f>
        <v>0</v>
      </c>
      <c r="AC803" s="294">
        <f>IF(NFI_Expiration=1,IF($A803&lt;VLOOKUP(L$5,NFI,5,0),1,0)*Table_NFI[[#This Row],[Tarpaulin]],Table_NFI[[#This Row],[Tarpaulin]])</f>
        <v>0</v>
      </c>
      <c r="AD803" s="294">
        <f>IF(NFI_Expiration=1,IF($A803&lt;VLOOKUP(M$5,NFI,5,0),1,0)*Table_NFI[[#This Row],[Blanket]],Table_NFI[[#This Row],[Blanket]])</f>
        <v>0</v>
      </c>
      <c r="AE803" s="294">
        <f>IF(NFI_Expiration=1,IF($A803&lt;VLOOKUP(N$5,NFI,5,0),1,0)*Table_NFI[[#This Row],[Kitchen Set]],Table_NFI[Kitchen Set])</f>
        <v>0</v>
      </c>
      <c r="AF803" s="294">
        <f>IF(NFI_Expiration=1,IF($A803&lt;VLOOKUP(O$5,NFI,5,0),1,0)*Table_NFI[[#This Row],[Clothes Kit]],Table_NFI[Clothes Kit])</f>
        <v>0</v>
      </c>
      <c r="AG803" s="294">
        <f>IF(NFI_Expiration=1,IF($A803&lt;VLOOKUP(P$5,NFI,5,0),1,0)*Table_NFI[[#This Row],[Plastic Bucket]],Table_NFI[Plastic Bucket])</f>
        <v>0</v>
      </c>
      <c r="AH803" s="294">
        <f>IF(NFI_Expiration=1,IF($A803&lt;VLOOKUP(Q$5,NFI,5,0),1,0)*Table_NFI[[#This Row],[Plastic Mat]],Table_NFI[Plastic Mat])*IF(Table_NFI[[#This Row],[Distribution Date]]&gt;"2014-04-01",1,2.5)</f>
        <v>0</v>
      </c>
      <c r="AI803" s="294">
        <f>IF(NFI_Expiration=1,IF($A803&lt;VLOOKUP(R$5,NFI,5,0),1,0)*Table_NFI[[#This Row],[Winter Clothes Adult]],Table_NFI[Winter Clothes Adult])</f>
        <v>0</v>
      </c>
      <c r="AJ803" s="294">
        <f>IF(NFI_Expiration=1,IF($A803&lt;VLOOKUP(S$5,NFI,5,0),1,0)*Table_NFI[[#This Row],[Winter Clothes Children]],Table_NFI[Winter Clothes Children])</f>
        <v>0</v>
      </c>
      <c r="AK803" s="294">
        <f>IF(NFI_Expiration=1,IF($A803&lt;VLOOKUP(T$5,NFI,5,0),1,0)*Table_NFI[[#This Row],[Winter Items Other]],Table_NFI[Winter Items Other])</f>
        <v>0</v>
      </c>
      <c r="AL803" s="294">
        <f>IF(NFI_Expiration=1,IF($A803&lt;VLOOKUP(M$5,NFI,5,0),1,0)*Table_NFI[[#This Row],[Winter Blanket]],Table_NFI[[#This Row],[Winter Blanket]])</f>
        <v>0</v>
      </c>
      <c r="AM803" s="294">
        <f>IF(Table_NFI[[#This Row],[Winter Clothes Adult]]+Table_NFI[[#This Row],[Winter Clothes Children]]+Table_NFI[[#This Row],[Winter Items Other]]+Table_NFI[[#This Row],[Winter Blanket]]&gt;0,1,0)</f>
        <v>0</v>
      </c>
      <c r="AN803" s="331">
        <f>IF(NFI_Expiration=1,IF($A803&lt;VLOOKUP(V$5,NFI,5,0),1,0)*Table_NFI[[#This Row],[Jerry Can]],Table_NFI[Jerry Can])</f>
        <v>0</v>
      </c>
      <c r="AO803" s="331">
        <f>IF(NFI_Expiration=1,IF($A803&lt;VLOOKUP(V$5,NFI,5,0),1,0)*Table_NFI[[#This Row],[Shelter Tool kit]],Table_NFI[Shelter Tool kit])</f>
        <v>0</v>
      </c>
      <c r="AP803" s="331">
        <f>IF(NFI_Expiration=1,IF($A803&lt;VLOOKUP(V$5,NFI,5,0),1,0)*Table_NFI[[#This Row],[Tent]],Table_NFI[Tent])</f>
        <v>0</v>
      </c>
      <c r="AQ803" s="467" t="str">
        <f>IFERROR(VLOOKUP(Table_NFI[[#This Row],[Camp Name]],CL,2,0),"")</f>
        <v>MMR001CMP062</v>
      </c>
      <c r="AR803" s="835">
        <f ca="1">IF(Table_NFI[[#This Row],[Pcode]]="","",IF(OFFSET(CampList[Opening Date],MATCH(Table_NFI[[#This Row],[Pcode]],CampList[CP_Pcode],0)-1,0,1,1)&gt;=NFI_Monitor_Date,1,0))</f>
        <v>0</v>
      </c>
      <c r="AS803" s="467" t="str">
        <f>IFERROR(VLOOKUP(Table_NFI[[#This Row],[Camp Name]],CL,3,0),"")</f>
        <v>Open</v>
      </c>
      <c r="AT803" s="294" t="str">
        <f ca="1">IF(Table_NFI[[#This Row],[Pcode]]="","",OFFSET(CampList[Priority],MATCH(Table_NFI[[#This Row],[Pcode]],CampList[CP_Pcode],0)-1,0,1,1))</f>
        <v>P4</v>
      </c>
      <c r="AU803" s="293">
        <f>IFERROR(Table_NFI[[#This Row],[Kitchen Set]]/VLOOKUP(Table_NFI[[#This Row],[Camp Name]],CL,4,0),"")</f>
        <v>0</v>
      </c>
      <c r="AV803" s="461" t="s">
        <v>1092</v>
      </c>
      <c r="AW803" s="463"/>
    </row>
    <row r="804" spans="1:49" ht="14.45" customHeight="1" x14ac:dyDescent="0.25">
      <c r="A804" s="297">
        <f t="shared" si="12"/>
        <v>47.93333333333333</v>
      </c>
      <c r="B804" s="460">
        <v>41298</v>
      </c>
      <c r="C804" s="461" t="s">
        <v>905</v>
      </c>
      <c r="D804" s="462" t="s">
        <v>905</v>
      </c>
      <c r="E804" s="461" t="s">
        <v>380</v>
      </c>
      <c r="F804" s="290" t="s">
        <v>185</v>
      </c>
      <c r="G804" s="290" t="s">
        <v>211</v>
      </c>
      <c r="H804" s="291">
        <v>793</v>
      </c>
      <c r="I804" s="291"/>
      <c r="J804" s="291"/>
      <c r="K804" s="291"/>
      <c r="L804" s="292"/>
      <c r="M804" s="292"/>
      <c r="N804" s="292"/>
      <c r="O804" s="292"/>
      <c r="P804" s="294">
        <v>0</v>
      </c>
      <c r="Q804" s="294">
        <v>0</v>
      </c>
      <c r="R804" s="294"/>
      <c r="S804" s="294"/>
      <c r="T804" s="294"/>
      <c r="U804" s="294"/>
      <c r="V804" s="431"/>
      <c r="W804" s="294"/>
      <c r="X804" s="294"/>
      <c r="Y804" s="294">
        <f>IF(NFI_Expiration=1,IF($A804&lt;VLOOKUP(H$5,NFI,5,0),1,0)*Table_NFI[[#This Row],[Hygiene Kit]],Table_NFI[Hygiene Kit])</f>
        <v>0</v>
      </c>
      <c r="Z804" s="294">
        <f>IF(NFI_Expiration=1,IF($A804&lt;VLOOKUP(I$5,NFI,5,0),1,0)*Table_NFI[[#This Row],[NFI Core Kit]],Table_NFI[NFI Core Kit])</f>
        <v>0</v>
      </c>
      <c r="AA804" s="294">
        <f>IF(NFI_Expiration=1,IF($A804&lt;VLOOKUP(J$5,NFI,5,0),1,0)*Table_NFI[[#This Row],[Sanitary Kit]],Table_NFI[Sanitary Kit])</f>
        <v>0</v>
      </c>
      <c r="AB804" s="294">
        <f>IF(NFI_Expiration=1,IF($A804&lt;VLOOKUP(K$5,NFI,5,0),1,0)*Table_NFI[[#This Row],[Mosquito net]],Table_NFI[Mosquito net])</f>
        <v>0</v>
      </c>
      <c r="AC804" s="294">
        <f>IF(NFI_Expiration=1,IF($A804&lt;VLOOKUP(L$5,NFI,5,0),1,0)*Table_NFI[[#This Row],[Tarpaulin]],Table_NFI[[#This Row],[Tarpaulin]])</f>
        <v>0</v>
      </c>
      <c r="AD804" s="294">
        <f>IF(NFI_Expiration=1,IF($A804&lt;VLOOKUP(M$5,NFI,5,0),1,0)*Table_NFI[[#This Row],[Blanket]],Table_NFI[[#This Row],[Blanket]])</f>
        <v>0</v>
      </c>
      <c r="AE804" s="294">
        <f>IF(NFI_Expiration=1,IF($A804&lt;VLOOKUP(N$5,NFI,5,0),1,0)*Table_NFI[[#This Row],[Kitchen Set]],Table_NFI[Kitchen Set])</f>
        <v>0</v>
      </c>
      <c r="AF804" s="294">
        <f>IF(NFI_Expiration=1,IF($A804&lt;VLOOKUP(O$5,NFI,5,0),1,0)*Table_NFI[[#This Row],[Clothes Kit]],Table_NFI[Clothes Kit])</f>
        <v>0</v>
      </c>
      <c r="AG804" s="294">
        <f>IF(NFI_Expiration=1,IF($A804&lt;VLOOKUP(P$5,NFI,5,0),1,0)*Table_NFI[[#This Row],[Plastic Bucket]],Table_NFI[Plastic Bucket])</f>
        <v>0</v>
      </c>
      <c r="AH804" s="294">
        <f>IF(NFI_Expiration=1,IF($A804&lt;VLOOKUP(Q$5,NFI,5,0),1,0)*Table_NFI[[#This Row],[Plastic Mat]],Table_NFI[Plastic Mat])*IF(Table_NFI[[#This Row],[Distribution Date]]&gt;"2014-04-01",1,2.5)</f>
        <v>0</v>
      </c>
      <c r="AI804" s="294">
        <f>IF(NFI_Expiration=1,IF($A804&lt;VLOOKUP(R$5,NFI,5,0),1,0)*Table_NFI[[#This Row],[Winter Clothes Adult]],Table_NFI[Winter Clothes Adult])</f>
        <v>0</v>
      </c>
      <c r="AJ804" s="294">
        <f>IF(NFI_Expiration=1,IF($A804&lt;VLOOKUP(S$5,NFI,5,0),1,0)*Table_NFI[[#This Row],[Winter Clothes Children]],Table_NFI[Winter Clothes Children])</f>
        <v>0</v>
      </c>
      <c r="AK804" s="294">
        <f>IF(NFI_Expiration=1,IF($A804&lt;VLOOKUP(T$5,NFI,5,0),1,0)*Table_NFI[[#This Row],[Winter Items Other]],Table_NFI[Winter Items Other])</f>
        <v>0</v>
      </c>
      <c r="AL804" s="294">
        <f>IF(NFI_Expiration=1,IF($A804&lt;VLOOKUP(M$5,NFI,5,0),1,0)*Table_NFI[[#This Row],[Winter Blanket]],Table_NFI[[#This Row],[Winter Blanket]])</f>
        <v>0</v>
      </c>
      <c r="AM804" s="294">
        <f>IF(Table_NFI[[#This Row],[Winter Clothes Adult]]+Table_NFI[[#This Row],[Winter Clothes Children]]+Table_NFI[[#This Row],[Winter Items Other]]+Table_NFI[[#This Row],[Winter Blanket]]&gt;0,1,0)</f>
        <v>0</v>
      </c>
      <c r="AN804" s="331">
        <f>IF(NFI_Expiration=1,IF($A804&lt;VLOOKUP(V$5,NFI,5,0),1,0)*Table_NFI[[#This Row],[Jerry Can]],Table_NFI[Jerry Can])</f>
        <v>0</v>
      </c>
      <c r="AO804" s="331">
        <f>IF(NFI_Expiration=1,IF($A804&lt;VLOOKUP(V$5,NFI,5,0),1,0)*Table_NFI[[#This Row],[Shelter Tool kit]],Table_NFI[Shelter Tool kit])</f>
        <v>0</v>
      </c>
      <c r="AP804" s="331">
        <f>IF(NFI_Expiration=1,IF($A804&lt;VLOOKUP(V$5,NFI,5,0),1,0)*Table_NFI[[#This Row],[Tent]],Table_NFI[Tent])</f>
        <v>0</v>
      </c>
      <c r="AQ804" s="467" t="str">
        <f>IFERROR(VLOOKUP(Table_NFI[[#This Row],[Camp Name]],CL,2,0),"")</f>
        <v>MMR001CMP057</v>
      </c>
      <c r="AR804" s="835">
        <f ca="1">IF(Table_NFI[[#This Row],[Pcode]]="","",IF(OFFSET(CampList[Opening Date],MATCH(Table_NFI[[#This Row],[Pcode]],CampList[CP_Pcode],0)-1,0,1,1)&gt;=NFI_Monitor_Date,1,0))</f>
        <v>0</v>
      </c>
      <c r="AS804" s="467" t="str">
        <f>IFERROR(VLOOKUP(Table_NFI[[#This Row],[Camp Name]],CL,3,0),"")</f>
        <v>Closed</v>
      </c>
      <c r="AT804" s="294" t="str">
        <f ca="1">IF(Table_NFI[[#This Row],[Pcode]]="","",OFFSET(CampList[Priority],MATCH(Table_NFI[[#This Row],[Pcode]],CampList[CP_Pcode],0)-1,0,1,1))</f>
        <v>P4</v>
      </c>
      <c r="AU804" s="293">
        <f>IFERROR(Table_NFI[[#This Row],[Kitchen Set]]/VLOOKUP(Table_NFI[[#This Row],[Camp Name]],CL,4,0),"")</f>
        <v>0</v>
      </c>
      <c r="AV804" s="461" t="s">
        <v>1092</v>
      </c>
      <c r="AW804" s="463"/>
    </row>
    <row r="805" spans="1:49" ht="14.45" customHeight="1" x14ac:dyDescent="0.25">
      <c r="A805" s="297">
        <f t="shared" si="12"/>
        <v>48</v>
      </c>
      <c r="B805" s="460">
        <v>41296</v>
      </c>
      <c r="C805" s="461" t="s">
        <v>905</v>
      </c>
      <c r="D805" s="462" t="s">
        <v>905</v>
      </c>
      <c r="E805" s="461" t="s">
        <v>380</v>
      </c>
      <c r="F805" s="290" t="s">
        <v>5</v>
      </c>
      <c r="G805" s="290" t="s">
        <v>22</v>
      </c>
      <c r="H805" s="291">
        <v>1824</v>
      </c>
      <c r="I805" s="291"/>
      <c r="J805" s="291"/>
      <c r="K805" s="291"/>
      <c r="L805" s="292"/>
      <c r="M805" s="292"/>
      <c r="N805" s="292"/>
      <c r="O805" s="292"/>
      <c r="P805" s="294">
        <v>0</v>
      </c>
      <c r="Q805" s="294">
        <v>0</v>
      </c>
      <c r="R805" s="294"/>
      <c r="S805" s="294"/>
      <c r="T805" s="294"/>
      <c r="U805" s="294"/>
      <c r="V805" s="431"/>
      <c r="W805" s="294"/>
      <c r="X805" s="294"/>
      <c r="Y805" s="294">
        <f>IF(NFI_Expiration=1,IF($A805&lt;VLOOKUP(H$5,NFI,5,0),1,0)*Table_NFI[[#This Row],[Hygiene Kit]],Table_NFI[Hygiene Kit])</f>
        <v>0</v>
      </c>
      <c r="Z805" s="294">
        <f>IF(NFI_Expiration=1,IF($A805&lt;VLOOKUP(I$5,NFI,5,0),1,0)*Table_NFI[[#This Row],[NFI Core Kit]],Table_NFI[NFI Core Kit])</f>
        <v>0</v>
      </c>
      <c r="AA805" s="294">
        <f>IF(NFI_Expiration=1,IF($A805&lt;VLOOKUP(J$5,NFI,5,0),1,0)*Table_NFI[[#This Row],[Sanitary Kit]],Table_NFI[Sanitary Kit])</f>
        <v>0</v>
      </c>
      <c r="AB805" s="294">
        <f>IF(NFI_Expiration=1,IF($A805&lt;VLOOKUP(K$5,NFI,5,0),1,0)*Table_NFI[[#This Row],[Mosquito net]],Table_NFI[Mosquito net])</f>
        <v>0</v>
      </c>
      <c r="AC805" s="294">
        <f>IF(NFI_Expiration=1,IF($A805&lt;VLOOKUP(L$5,NFI,5,0),1,0)*Table_NFI[[#This Row],[Tarpaulin]],Table_NFI[[#This Row],[Tarpaulin]])</f>
        <v>0</v>
      </c>
      <c r="AD805" s="294">
        <f>IF(NFI_Expiration=1,IF($A805&lt;VLOOKUP(M$5,NFI,5,0),1,0)*Table_NFI[[#This Row],[Blanket]],Table_NFI[[#This Row],[Blanket]])</f>
        <v>0</v>
      </c>
      <c r="AE805" s="294">
        <f>IF(NFI_Expiration=1,IF($A805&lt;VLOOKUP(N$5,NFI,5,0),1,0)*Table_NFI[[#This Row],[Kitchen Set]],Table_NFI[Kitchen Set])</f>
        <v>0</v>
      </c>
      <c r="AF805" s="294">
        <f>IF(NFI_Expiration=1,IF($A805&lt;VLOOKUP(O$5,NFI,5,0),1,0)*Table_NFI[[#This Row],[Clothes Kit]],Table_NFI[Clothes Kit])</f>
        <v>0</v>
      </c>
      <c r="AG805" s="294">
        <f>IF(NFI_Expiration=1,IF($A805&lt;VLOOKUP(P$5,NFI,5,0),1,0)*Table_NFI[[#This Row],[Plastic Bucket]],Table_NFI[Plastic Bucket])</f>
        <v>0</v>
      </c>
      <c r="AH805" s="294">
        <f>IF(NFI_Expiration=1,IF($A805&lt;VLOOKUP(Q$5,NFI,5,0),1,0)*Table_NFI[[#This Row],[Plastic Mat]],Table_NFI[Plastic Mat])*IF(Table_NFI[[#This Row],[Distribution Date]]&gt;"2014-04-01",1,2.5)</f>
        <v>0</v>
      </c>
      <c r="AI805" s="294">
        <f>IF(NFI_Expiration=1,IF($A805&lt;VLOOKUP(R$5,NFI,5,0),1,0)*Table_NFI[[#This Row],[Winter Clothes Adult]],Table_NFI[Winter Clothes Adult])</f>
        <v>0</v>
      </c>
      <c r="AJ805" s="294">
        <f>IF(NFI_Expiration=1,IF($A805&lt;VLOOKUP(S$5,NFI,5,0),1,0)*Table_NFI[[#This Row],[Winter Clothes Children]],Table_NFI[Winter Clothes Children])</f>
        <v>0</v>
      </c>
      <c r="AK805" s="294">
        <f>IF(NFI_Expiration=1,IF($A805&lt;VLOOKUP(T$5,NFI,5,0),1,0)*Table_NFI[[#This Row],[Winter Items Other]],Table_NFI[Winter Items Other])</f>
        <v>0</v>
      </c>
      <c r="AL805" s="294">
        <f>IF(NFI_Expiration=1,IF($A805&lt;VLOOKUP(M$5,NFI,5,0),1,0)*Table_NFI[[#This Row],[Winter Blanket]],Table_NFI[[#This Row],[Winter Blanket]])</f>
        <v>0</v>
      </c>
      <c r="AM805" s="294">
        <f>IF(Table_NFI[[#This Row],[Winter Clothes Adult]]+Table_NFI[[#This Row],[Winter Clothes Children]]+Table_NFI[[#This Row],[Winter Items Other]]+Table_NFI[[#This Row],[Winter Blanket]]&gt;0,1,0)</f>
        <v>0</v>
      </c>
      <c r="AN805" s="331">
        <f>IF(NFI_Expiration=1,IF($A805&lt;VLOOKUP(V$5,NFI,5,0),1,0)*Table_NFI[[#This Row],[Jerry Can]],Table_NFI[Jerry Can])</f>
        <v>0</v>
      </c>
      <c r="AO805" s="331">
        <f>IF(NFI_Expiration=1,IF($A805&lt;VLOOKUP(V$5,NFI,5,0),1,0)*Table_NFI[[#This Row],[Shelter Tool kit]],Table_NFI[Shelter Tool kit])</f>
        <v>0</v>
      </c>
      <c r="AP805" s="331">
        <f>IF(NFI_Expiration=1,IF($A805&lt;VLOOKUP(V$5,NFI,5,0),1,0)*Table_NFI[[#This Row],[Tent]],Table_NFI[Tent])</f>
        <v>0</v>
      </c>
      <c r="AQ805" s="467" t="str">
        <f>IFERROR(VLOOKUP(Table_NFI[[#This Row],[Camp Name]],CL,2,0),"")</f>
        <v>MMR001CMP047</v>
      </c>
      <c r="AR805" s="835">
        <f ca="1">IF(Table_NFI[[#This Row],[Pcode]]="","",IF(OFFSET(CampList[Opening Date],MATCH(Table_NFI[[#This Row],[Pcode]],CampList[CP_Pcode],0)-1,0,1,1)&gt;=NFI_Monitor_Date,1,0))</f>
        <v>0</v>
      </c>
      <c r="AS805" s="467" t="str">
        <f>IFERROR(VLOOKUP(Table_NFI[[#This Row],[Camp Name]],CL,3,0),"")</f>
        <v>Open</v>
      </c>
      <c r="AT805" s="294" t="str">
        <f ca="1">IF(Table_NFI[[#This Row],[Pcode]]="","",OFFSET(CampList[Priority],MATCH(Table_NFI[[#This Row],[Pcode]],CampList[CP_Pcode],0)-1,0,1,1))</f>
        <v>P4</v>
      </c>
      <c r="AU805" s="293">
        <f>IFERROR(Table_NFI[[#This Row],[Kitchen Set]]/VLOOKUP(Table_NFI[[#This Row],[Camp Name]],CL,4,0),"")</f>
        <v>0</v>
      </c>
      <c r="AV805" s="461" t="s">
        <v>1092</v>
      </c>
      <c r="AW805" s="463"/>
    </row>
    <row r="806" spans="1:49" ht="14.45" customHeight="1" x14ac:dyDescent="0.25">
      <c r="A806" s="297">
        <f t="shared" si="12"/>
        <v>48.033333333333331</v>
      </c>
      <c r="B806" s="460">
        <v>41295</v>
      </c>
      <c r="C806" s="461" t="s">
        <v>905</v>
      </c>
      <c r="D806" s="461" t="s">
        <v>905</v>
      </c>
      <c r="E806" s="461" t="s">
        <v>380</v>
      </c>
      <c r="F806" s="290" t="s">
        <v>5</v>
      </c>
      <c r="G806" s="290" t="s">
        <v>20</v>
      </c>
      <c r="H806" s="291">
        <v>85</v>
      </c>
      <c r="I806" s="291"/>
      <c r="J806" s="291"/>
      <c r="K806" s="291"/>
      <c r="L806" s="292"/>
      <c r="M806" s="292"/>
      <c r="N806" s="292"/>
      <c r="O806" s="292"/>
      <c r="P806" s="294">
        <v>0</v>
      </c>
      <c r="Q806" s="294">
        <v>0</v>
      </c>
      <c r="R806" s="294"/>
      <c r="S806" s="294"/>
      <c r="T806" s="294"/>
      <c r="U806" s="294"/>
      <c r="V806" s="431"/>
      <c r="W806" s="294"/>
      <c r="X806" s="294"/>
      <c r="Y806" s="294">
        <f>IF(NFI_Expiration=1,IF($A806&lt;VLOOKUP(H$5,NFI,5,0),1,0)*Table_NFI[[#This Row],[Hygiene Kit]],Table_NFI[Hygiene Kit])</f>
        <v>0</v>
      </c>
      <c r="Z806" s="294">
        <f>IF(NFI_Expiration=1,IF($A806&lt;VLOOKUP(I$5,NFI,5,0),1,0)*Table_NFI[[#This Row],[NFI Core Kit]],Table_NFI[NFI Core Kit])</f>
        <v>0</v>
      </c>
      <c r="AA806" s="294">
        <f>IF(NFI_Expiration=1,IF($A806&lt;VLOOKUP(J$5,NFI,5,0),1,0)*Table_NFI[[#This Row],[Sanitary Kit]],Table_NFI[Sanitary Kit])</f>
        <v>0</v>
      </c>
      <c r="AB806" s="294">
        <f>IF(NFI_Expiration=1,IF($A806&lt;VLOOKUP(K$5,NFI,5,0),1,0)*Table_NFI[[#This Row],[Mosquito net]],Table_NFI[Mosquito net])</f>
        <v>0</v>
      </c>
      <c r="AC806" s="294">
        <f>IF(NFI_Expiration=1,IF($A806&lt;VLOOKUP(L$5,NFI,5,0),1,0)*Table_NFI[[#This Row],[Tarpaulin]],Table_NFI[[#This Row],[Tarpaulin]])</f>
        <v>0</v>
      </c>
      <c r="AD806" s="294">
        <f>IF(NFI_Expiration=1,IF($A806&lt;VLOOKUP(M$5,NFI,5,0),1,0)*Table_NFI[[#This Row],[Blanket]],Table_NFI[[#This Row],[Blanket]])</f>
        <v>0</v>
      </c>
      <c r="AE806" s="294">
        <f>IF(NFI_Expiration=1,IF($A806&lt;VLOOKUP(N$5,NFI,5,0),1,0)*Table_NFI[[#This Row],[Kitchen Set]],Table_NFI[Kitchen Set])</f>
        <v>0</v>
      </c>
      <c r="AF806" s="294">
        <f>IF(NFI_Expiration=1,IF($A806&lt;VLOOKUP(O$5,NFI,5,0),1,0)*Table_NFI[[#This Row],[Clothes Kit]],Table_NFI[Clothes Kit])</f>
        <v>0</v>
      </c>
      <c r="AG806" s="294">
        <f>IF(NFI_Expiration=1,IF($A806&lt;VLOOKUP(P$5,NFI,5,0),1,0)*Table_NFI[[#This Row],[Plastic Bucket]],Table_NFI[Plastic Bucket])</f>
        <v>0</v>
      </c>
      <c r="AH806" s="294">
        <f>IF(NFI_Expiration=1,IF($A806&lt;VLOOKUP(Q$5,NFI,5,0),1,0)*Table_NFI[[#This Row],[Plastic Mat]],Table_NFI[Plastic Mat])*IF(Table_NFI[[#This Row],[Distribution Date]]&gt;"2014-04-01",1,2.5)</f>
        <v>0</v>
      </c>
      <c r="AI806" s="294">
        <f>IF(NFI_Expiration=1,IF($A806&lt;VLOOKUP(R$5,NFI,5,0),1,0)*Table_NFI[[#This Row],[Winter Clothes Adult]],Table_NFI[Winter Clothes Adult])</f>
        <v>0</v>
      </c>
      <c r="AJ806" s="294">
        <f>IF(NFI_Expiration=1,IF($A806&lt;VLOOKUP(S$5,NFI,5,0),1,0)*Table_NFI[[#This Row],[Winter Clothes Children]],Table_NFI[Winter Clothes Children])</f>
        <v>0</v>
      </c>
      <c r="AK806" s="294">
        <f>IF(NFI_Expiration=1,IF($A806&lt;VLOOKUP(T$5,NFI,5,0),1,0)*Table_NFI[[#This Row],[Winter Items Other]],Table_NFI[Winter Items Other])</f>
        <v>0</v>
      </c>
      <c r="AL806" s="294">
        <f>IF(NFI_Expiration=1,IF($A806&lt;VLOOKUP(M$5,NFI,5,0),1,0)*Table_NFI[[#This Row],[Winter Blanket]],Table_NFI[[#This Row],[Winter Blanket]])</f>
        <v>0</v>
      </c>
      <c r="AM806" s="294">
        <f>IF(Table_NFI[[#This Row],[Winter Clothes Adult]]+Table_NFI[[#This Row],[Winter Clothes Children]]+Table_NFI[[#This Row],[Winter Items Other]]+Table_NFI[[#This Row],[Winter Blanket]]&gt;0,1,0)</f>
        <v>0</v>
      </c>
      <c r="AN806" s="331">
        <f>IF(NFI_Expiration=1,IF($A806&lt;VLOOKUP(V$5,NFI,5,0),1,0)*Table_NFI[[#This Row],[Jerry Can]],Table_NFI[Jerry Can])</f>
        <v>0</v>
      </c>
      <c r="AO806" s="331">
        <f>IF(NFI_Expiration=1,IF($A806&lt;VLOOKUP(V$5,NFI,5,0),1,0)*Table_NFI[[#This Row],[Shelter Tool kit]],Table_NFI[Shelter Tool kit])</f>
        <v>0</v>
      </c>
      <c r="AP806" s="331">
        <f>IF(NFI_Expiration=1,IF($A806&lt;VLOOKUP(V$5,NFI,5,0),1,0)*Table_NFI[[#This Row],[Tent]],Table_NFI[Tent])</f>
        <v>0</v>
      </c>
      <c r="AQ806" s="467" t="str">
        <f>IFERROR(VLOOKUP(Table_NFI[[#This Row],[Camp Name]],CL,2,0),"")</f>
        <v>MMR001CMP054</v>
      </c>
      <c r="AR806" s="835">
        <f ca="1">IF(Table_NFI[[#This Row],[Pcode]]="","",IF(OFFSET(CampList[Opening Date],MATCH(Table_NFI[[#This Row],[Pcode]],CampList[CP_Pcode],0)-1,0,1,1)&gt;=NFI_Monitor_Date,1,0))</f>
        <v>0</v>
      </c>
      <c r="AS806" s="467" t="str">
        <f>IFERROR(VLOOKUP(Table_NFI[[#This Row],[Camp Name]],CL,3,0),"")</f>
        <v>Open</v>
      </c>
      <c r="AT806" s="294" t="str">
        <f ca="1">IF(Table_NFI[[#This Row],[Pcode]]="","",OFFSET(CampList[Priority],MATCH(Table_NFI[[#This Row],[Pcode]],CampList[CP_Pcode],0)-1,0,1,1))</f>
        <v>P4</v>
      </c>
      <c r="AU806" s="293">
        <f>IFERROR(Table_NFI[[#This Row],[Kitchen Set]]/VLOOKUP(Table_NFI[[#This Row],[Camp Name]],CL,4,0),"")</f>
        <v>0</v>
      </c>
      <c r="AV806" s="461" t="s">
        <v>1092</v>
      </c>
      <c r="AW806" s="463"/>
    </row>
    <row r="807" spans="1:49" x14ac:dyDescent="0.25">
      <c r="A807" s="297">
        <f t="shared" si="12"/>
        <v>48.2</v>
      </c>
      <c r="B807" s="460">
        <v>41290</v>
      </c>
      <c r="C807" s="461" t="s">
        <v>905</v>
      </c>
      <c r="D807" s="462" t="s">
        <v>905</v>
      </c>
      <c r="E807" s="461" t="s">
        <v>380</v>
      </c>
      <c r="F807" s="290" t="s">
        <v>185</v>
      </c>
      <c r="G807" s="290" t="s">
        <v>209</v>
      </c>
      <c r="H807" s="291">
        <v>1215</v>
      </c>
      <c r="I807" s="291"/>
      <c r="J807" s="291"/>
      <c r="K807" s="291"/>
      <c r="L807" s="292"/>
      <c r="M807" s="292"/>
      <c r="N807" s="292"/>
      <c r="O807" s="292"/>
      <c r="P807" s="294">
        <v>0</v>
      </c>
      <c r="Q807" s="294">
        <v>0</v>
      </c>
      <c r="R807" s="294"/>
      <c r="S807" s="294"/>
      <c r="T807" s="294"/>
      <c r="U807" s="294"/>
      <c r="V807" s="431"/>
      <c r="W807" s="294"/>
      <c r="X807" s="294"/>
      <c r="Y807" s="294">
        <f>IF(NFI_Expiration=1,IF($A807&lt;VLOOKUP(H$5,NFI,5,0),1,0)*Table_NFI[[#This Row],[Hygiene Kit]],Table_NFI[Hygiene Kit])</f>
        <v>0</v>
      </c>
      <c r="Z807" s="294">
        <f>IF(NFI_Expiration=1,IF($A807&lt;VLOOKUP(I$5,NFI,5,0),1,0)*Table_NFI[[#This Row],[NFI Core Kit]],Table_NFI[NFI Core Kit])</f>
        <v>0</v>
      </c>
      <c r="AA807" s="294">
        <f>IF(NFI_Expiration=1,IF($A807&lt;VLOOKUP(J$5,NFI,5,0),1,0)*Table_NFI[[#This Row],[Sanitary Kit]],Table_NFI[Sanitary Kit])</f>
        <v>0</v>
      </c>
      <c r="AB807" s="294">
        <f>IF(NFI_Expiration=1,IF($A807&lt;VLOOKUP(K$5,NFI,5,0),1,0)*Table_NFI[[#This Row],[Mosquito net]],Table_NFI[Mosquito net])</f>
        <v>0</v>
      </c>
      <c r="AC807" s="294">
        <f>IF(NFI_Expiration=1,IF($A807&lt;VLOOKUP(L$5,NFI,5,0),1,0)*Table_NFI[[#This Row],[Tarpaulin]],Table_NFI[[#This Row],[Tarpaulin]])</f>
        <v>0</v>
      </c>
      <c r="AD807" s="294">
        <f>IF(NFI_Expiration=1,IF($A807&lt;VLOOKUP(M$5,NFI,5,0),1,0)*Table_NFI[[#This Row],[Blanket]],Table_NFI[[#This Row],[Blanket]])</f>
        <v>0</v>
      </c>
      <c r="AE807" s="294">
        <f>IF(NFI_Expiration=1,IF($A807&lt;VLOOKUP(N$5,NFI,5,0),1,0)*Table_NFI[[#This Row],[Kitchen Set]],Table_NFI[Kitchen Set])</f>
        <v>0</v>
      </c>
      <c r="AF807" s="294">
        <f>IF(NFI_Expiration=1,IF($A807&lt;VLOOKUP(O$5,NFI,5,0),1,0)*Table_NFI[[#This Row],[Clothes Kit]],Table_NFI[Clothes Kit])</f>
        <v>0</v>
      </c>
      <c r="AG807" s="294">
        <f>IF(NFI_Expiration=1,IF($A807&lt;VLOOKUP(P$5,NFI,5,0),1,0)*Table_NFI[[#This Row],[Plastic Bucket]],Table_NFI[Plastic Bucket])</f>
        <v>0</v>
      </c>
      <c r="AH807" s="294">
        <f>IF(NFI_Expiration=1,IF($A807&lt;VLOOKUP(Q$5,NFI,5,0),1,0)*Table_NFI[[#This Row],[Plastic Mat]],Table_NFI[Plastic Mat])*IF(Table_NFI[[#This Row],[Distribution Date]]&gt;"2014-04-01",1,2.5)</f>
        <v>0</v>
      </c>
      <c r="AI807" s="294">
        <f>IF(NFI_Expiration=1,IF($A807&lt;VLOOKUP(R$5,NFI,5,0),1,0)*Table_NFI[[#This Row],[Winter Clothes Adult]],Table_NFI[Winter Clothes Adult])</f>
        <v>0</v>
      </c>
      <c r="AJ807" s="294">
        <f>IF(NFI_Expiration=1,IF($A807&lt;VLOOKUP(S$5,NFI,5,0),1,0)*Table_NFI[[#This Row],[Winter Clothes Children]],Table_NFI[Winter Clothes Children])</f>
        <v>0</v>
      </c>
      <c r="AK807" s="294">
        <f>IF(NFI_Expiration=1,IF($A807&lt;VLOOKUP(T$5,NFI,5,0),1,0)*Table_NFI[[#This Row],[Winter Items Other]],Table_NFI[Winter Items Other])</f>
        <v>0</v>
      </c>
      <c r="AL807" s="294">
        <f>IF(NFI_Expiration=1,IF($A807&lt;VLOOKUP(M$5,NFI,5,0),1,0)*Table_NFI[[#This Row],[Winter Blanket]],Table_NFI[[#This Row],[Winter Blanket]])</f>
        <v>0</v>
      </c>
      <c r="AM807" s="294">
        <f>IF(Table_NFI[[#This Row],[Winter Clothes Adult]]+Table_NFI[[#This Row],[Winter Clothes Children]]+Table_NFI[[#This Row],[Winter Items Other]]+Table_NFI[[#This Row],[Winter Blanket]]&gt;0,1,0)</f>
        <v>0</v>
      </c>
      <c r="AN807" s="331">
        <f>IF(NFI_Expiration=1,IF($A807&lt;VLOOKUP(V$5,NFI,5,0),1,0)*Table_NFI[[#This Row],[Jerry Can]],Table_NFI[Jerry Can])</f>
        <v>0</v>
      </c>
      <c r="AO807" s="331">
        <f>IF(NFI_Expiration=1,IF($A807&lt;VLOOKUP(V$5,NFI,5,0),1,0)*Table_NFI[[#This Row],[Shelter Tool kit]],Table_NFI[Shelter Tool kit])</f>
        <v>0</v>
      </c>
      <c r="AP807" s="331">
        <f>IF(NFI_Expiration=1,IF($A807&lt;VLOOKUP(V$5,NFI,5,0),1,0)*Table_NFI[[#This Row],[Tent]],Table_NFI[Tent])</f>
        <v>0</v>
      </c>
      <c r="AQ807" s="467" t="str">
        <f>IFERROR(VLOOKUP(Table_NFI[[#This Row],[Camp Name]],CL,2,0),"")</f>
        <v>MMR001CMP056</v>
      </c>
      <c r="AR807" s="835">
        <f ca="1">IF(Table_NFI[[#This Row],[Pcode]]="","",IF(OFFSET(CampList[Opening Date],MATCH(Table_NFI[[#This Row],[Pcode]],CampList[CP_Pcode],0)-1,0,1,1)&gt;=NFI_Monitor_Date,1,0))</f>
        <v>0</v>
      </c>
      <c r="AS807" s="467" t="str">
        <f>IFERROR(VLOOKUP(Table_NFI[[#This Row],[Camp Name]],CL,3,0),"")</f>
        <v>Open</v>
      </c>
      <c r="AT807" s="294" t="str">
        <f ca="1">IF(Table_NFI[[#This Row],[Pcode]]="","",OFFSET(CampList[Priority],MATCH(Table_NFI[[#This Row],[Pcode]],CampList[CP_Pcode],0)-1,0,1,1))</f>
        <v>P4</v>
      </c>
      <c r="AU807" s="293">
        <f>IFERROR(Table_NFI[[#This Row],[Kitchen Set]]/VLOOKUP(Table_NFI[[#This Row],[Camp Name]],CL,4,0),"")</f>
        <v>0</v>
      </c>
      <c r="AV807" s="461" t="s">
        <v>1092</v>
      </c>
      <c r="AW807" s="463"/>
    </row>
    <row r="808" spans="1:49" ht="15" customHeight="1" x14ac:dyDescent="0.25">
      <c r="A808" s="297">
        <f t="shared" si="12"/>
        <v>48.266666666666666</v>
      </c>
      <c r="B808" s="460">
        <v>41288</v>
      </c>
      <c r="C808" s="461" t="s">
        <v>905</v>
      </c>
      <c r="D808" s="461" t="s">
        <v>905</v>
      </c>
      <c r="E808" s="461" t="s">
        <v>380</v>
      </c>
      <c r="F808" s="290" t="s">
        <v>5</v>
      </c>
      <c r="G808" s="290" t="s">
        <v>6</v>
      </c>
      <c r="H808" s="291">
        <v>940</v>
      </c>
      <c r="I808" s="291"/>
      <c r="J808" s="291"/>
      <c r="K808" s="291"/>
      <c r="L808" s="292"/>
      <c r="M808" s="292"/>
      <c r="N808" s="292"/>
      <c r="O808" s="292"/>
      <c r="P808" s="294">
        <v>0</v>
      </c>
      <c r="Q808" s="294">
        <v>0</v>
      </c>
      <c r="R808" s="294"/>
      <c r="S808" s="294"/>
      <c r="T808" s="294"/>
      <c r="U808" s="294"/>
      <c r="V808" s="431"/>
      <c r="W808" s="294"/>
      <c r="X808" s="294"/>
      <c r="Y808" s="294">
        <f>IF(NFI_Expiration=1,IF($A808&lt;VLOOKUP(H$5,NFI,5,0),1,0)*Table_NFI[[#This Row],[Hygiene Kit]],Table_NFI[Hygiene Kit])</f>
        <v>0</v>
      </c>
      <c r="Z808" s="294">
        <f>IF(NFI_Expiration=1,IF($A808&lt;VLOOKUP(I$5,NFI,5,0),1,0)*Table_NFI[[#This Row],[NFI Core Kit]],Table_NFI[NFI Core Kit])</f>
        <v>0</v>
      </c>
      <c r="AA808" s="294">
        <f>IF(NFI_Expiration=1,IF($A808&lt;VLOOKUP(J$5,NFI,5,0),1,0)*Table_NFI[[#This Row],[Sanitary Kit]],Table_NFI[Sanitary Kit])</f>
        <v>0</v>
      </c>
      <c r="AB808" s="294">
        <f>IF(NFI_Expiration=1,IF($A808&lt;VLOOKUP(K$5,NFI,5,0),1,0)*Table_NFI[[#This Row],[Mosquito net]],Table_NFI[Mosquito net])</f>
        <v>0</v>
      </c>
      <c r="AC808" s="294">
        <f>IF(NFI_Expiration=1,IF($A808&lt;VLOOKUP(L$5,NFI,5,0),1,0)*Table_NFI[[#This Row],[Tarpaulin]],Table_NFI[[#This Row],[Tarpaulin]])</f>
        <v>0</v>
      </c>
      <c r="AD808" s="294">
        <f>IF(NFI_Expiration=1,IF($A808&lt;VLOOKUP(M$5,NFI,5,0),1,0)*Table_NFI[[#This Row],[Blanket]],Table_NFI[[#This Row],[Blanket]])</f>
        <v>0</v>
      </c>
      <c r="AE808" s="294">
        <f>IF(NFI_Expiration=1,IF($A808&lt;VLOOKUP(N$5,NFI,5,0),1,0)*Table_NFI[[#This Row],[Kitchen Set]],Table_NFI[Kitchen Set])</f>
        <v>0</v>
      </c>
      <c r="AF808" s="294">
        <f>IF(NFI_Expiration=1,IF($A808&lt;VLOOKUP(O$5,NFI,5,0),1,0)*Table_NFI[[#This Row],[Clothes Kit]],Table_NFI[Clothes Kit])</f>
        <v>0</v>
      </c>
      <c r="AG808" s="294">
        <f>IF(NFI_Expiration=1,IF($A808&lt;VLOOKUP(P$5,NFI,5,0),1,0)*Table_NFI[[#This Row],[Plastic Bucket]],Table_NFI[Plastic Bucket])</f>
        <v>0</v>
      </c>
      <c r="AH808" s="294">
        <f>IF(NFI_Expiration=1,IF($A808&lt;VLOOKUP(Q$5,NFI,5,0),1,0)*Table_NFI[[#This Row],[Plastic Mat]],Table_NFI[Plastic Mat])*IF(Table_NFI[[#This Row],[Distribution Date]]&gt;"2014-04-01",1,2.5)</f>
        <v>0</v>
      </c>
      <c r="AI808" s="294">
        <f>IF(NFI_Expiration=1,IF($A808&lt;VLOOKUP(R$5,NFI,5,0),1,0)*Table_NFI[[#This Row],[Winter Clothes Adult]],Table_NFI[Winter Clothes Adult])</f>
        <v>0</v>
      </c>
      <c r="AJ808" s="294">
        <f>IF(NFI_Expiration=1,IF($A808&lt;VLOOKUP(S$5,NFI,5,0),1,0)*Table_NFI[[#This Row],[Winter Clothes Children]],Table_NFI[Winter Clothes Children])</f>
        <v>0</v>
      </c>
      <c r="AK808" s="294">
        <f>IF(NFI_Expiration=1,IF($A808&lt;VLOOKUP(T$5,NFI,5,0),1,0)*Table_NFI[[#This Row],[Winter Items Other]],Table_NFI[Winter Items Other])</f>
        <v>0</v>
      </c>
      <c r="AL808" s="294">
        <f>IF(NFI_Expiration=1,IF($A808&lt;VLOOKUP(M$5,NFI,5,0),1,0)*Table_NFI[[#This Row],[Winter Blanket]],Table_NFI[[#This Row],[Winter Blanket]])</f>
        <v>0</v>
      </c>
      <c r="AM808" s="294">
        <f>IF(Table_NFI[[#This Row],[Winter Clothes Adult]]+Table_NFI[[#This Row],[Winter Clothes Children]]+Table_NFI[[#This Row],[Winter Items Other]]+Table_NFI[[#This Row],[Winter Blanket]]&gt;0,1,0)</f>
        <v>0</v>
      </c>
      <c r="AN808" s="331">
        <f>IF(NFI_Expiration=1,IF($A808&lt;VLOOKUP(V$5,NFI,5,0),1,0)*Table_NFI[[#This Row],[Jerry Can]],Table_NFI[Jerry Can])</f>
        <v>0</v>
      </c>
      <c r="AO808" s="331">
        <f>IF(NFI_Expiration=1,IF($A808&lt;VLOOKUP(V$5,NFI,5,0),1,0)*Table_NFI[[#This Row],[Shelter Tool kit]],Table_NFI[Shelter Tool kit])</f>
        <v>0</v>
      </c>
      <c r="AP808" s="331">
        <f>IF(NFI_Expiration=1,IF($A808&lt;VLOOKUP(V$5,NFI,5,0),1,0)*Table_NFI[[#This Row],[Tent]],Table_NFI[Tent])</f>
        <v>0</v>
      </c>
      <c r="AQ808" s="467" t="str">
        <f>IFERROR(VLOOKUP(Table_NFI[[#This Row],[Camp Name]],CL,2,0),"")</f>
        <v>MMR001CMP050</v>
      </c>
      <c r="AR808" s="835">
        <f ca="1">IF(Table_NFI[[#This Row],[Pcode]]="","",IF(OFFSET(CampList[Opening Date],MATCH(Table_NFI[[#This Row],[Pcode]],CampList[CP_Pcode],0)-1,0,1,1)&gt;=NFI_Monitor_Date,1,0))</f>
        <v>0</v>
      </c>
      <c r="AS808" s="467" t="str">
        <f>IFERROR(VLOOKUP(Table_NFI[[#This Row],[Camp Name]],CL,3,0),"")</f>
        <v>Open</v>
      </c>
      <c r="AT808" s="294" t="str">
        <f ca="1">IF(Table_NFI[[#This Row],[Pcode]]="","",OFFSET(CampList[Priority],MATCH(Table_NFI[[#This Row],[Pcode]],CampList[CP_Pcode],0)-1,0,1,1))</f>
        <v>P4</v>
      </c>
      <c r="AU808" s="293">
        <f>IFERROR(Table_NFI[[#This Row],[Kitchen Set]]/VLOOKUP(Table_NFI[[#This Row],[Camp Name]],CL,4,0),"")</f>
        <v>0</v>
      </c>
      <c r="AV808" s="461" t="s">
        <v>1092</v>
      </c>
      <c r="AW808" s="463"/>
    </row>
    <row r="809" spans="1:49" ht="14.45" customHeight="1" x14ac:dyDescent="0.25">
      <c r="A809" s="297">
        <f t="shared" si="12"/>
        <v>48.4</v>
      </c>
      <c r="B809" s="460">
        <v>41284</v>
      </c>
      <c r="C809" s="461" t="s">
        <v>905</v>
      </c>
      <c r="D809" s="462" t="s">
        <v>905</v>
      </c>
      <c r="E809" s="461" t="s">
        <v>380</v>
      </c>
      <c r="F809" s="290" t="s">
        <v>5</v>
      </c>
      <c r="G809" s="290" t="s">
        <v>14</v>
      </c>
      <c r="H809" s="291">
        <v>212</v>
      </c>
      <c r="I809" s="291"/>
      <c r="J809" s="291"/>
      <c r="K809" s="291"/>
      <c r="L809" s="292"/>
      <c r="M809" s="292"/>
      <c r="N809" s="292"/>
      <c r="O809" s="292"/>
      <c r="P809" s="294">
        <v>0</v>
      </c>
      <c r="Q809" s="294">
        <v>0</v>
      </c>
      <c r="R809" s="294"/>
      <c r="S809" s="294"/>
      <c r="T809" s="294"/>
      <c r="U809" s="294"/>
      <c r="V809" s="431"/>
      <c r="W809" s="294"/>
      <c r="X809" s="294"/>
      <c r="Y809" s="294">
        <f>IF(NFI_Expiration=1,IF($A809&lt;VLOOKUP(H$5,NFI,5,0),1,0)*Table_NFI[[#This Row],[Hygiene Kit]],Table_NFI[Hygiene Kit])</f>
        <v>0</v>
      </c>
      <c r="Z809" s="294">
        <f>IF(NFI_Expiration=1,IF($A809&lt;VLOOKUP(I$5,NFI,5,0),1,0)*Table_NFI[[#This Row],[NFI Core Kit]],Table_NFI[NFI Core Kit])</f>
        <v>0</v>
      </c>
      <c r="AA809" s="294">
        <f>IF(NFI_Expiration=1,IF($A809&lt;VLOOKUP(J$5,NFI,5,0),1,0)*Table_NFI[[#This Row],[Sanitary Kit]],Table_NFI[Sanitary Kit])</f>
        <v>0</v>
      </c>
      <c r="AB809" s="294">
        <f>IF(NFI_Expiration=1,IF($A809&lt;VLOOKUP(K$5,NFI,5,0),1,0)*Table_NFI[[#This Row],[Mosquito net]],Table_NFI[Mosquito net])</f>
        <v>0</v>
      </c>
      <c r="AC809" s="294">
        <f>IF(NFI_Expiration=1,IF($A809&lt;VLOOKUP(L$5,NFI,5,0),1,0)*Table_NFI[[#This Row],[Tarpaulin]],Table_NFI[[#This Row],[Tarpaulin]])</f>
        <v>0</v>
      </c>
      <c r="AD809" s="294">
        <f>IF(NFI_Expiration=1,IF($A809&lt;VLOOKUP(M$5,NFI,5,0),1,0)*Table_NFI[[#This Row],[Blanket]],Table_NFI[[#This Row],[Blanket]])</f>
        <v>0</v>
      </c>
      <c r="AE809" s="294">
        <f>IF(NFI_Expiration=1,IF($A809&lt;VLOOKUP(N$5,NFI,5,0),1,0)*Table_NFI[[#This Row],[Kitchen Set]],Table_NFI[Kitchen Set])</f>
        <v>0</v>
      </c>
      <c r="AF809" s="294">
        <f>IF(NFI_Expiration=1,IF($A809&lt;VLOOKUP(O$5,NFI,5,0),1,0)*Table_NFI[[#This Row],[Clothes Kit]],Table_NFI[Clothes Kit])</f>
        <v>0</v>
      </c>
      <c r="AG809" s="294">
        <f>IF(NFI_Expiration=1,IF($A809&lt;VLOOKUP(P$5,NFI,5,0),1,0)*Table_NFI[[#This Row],[Plastic Bucket]],Table_NFI[Plastic Bucket])</f>
        <v>0</v>
      </c>
      <c r="AH809" s="294">
        <f>IF(NFI_Expiration=1,IF($A809&lt;VLOOKUP(Q$5,NFI,5,0),1,0)*Table_NFI[[#This Row],[Plastic Mat]],Table_NFI[Plastic Mat])*IF(Table_NFI[[#This Row],[Distribution Date]]&gt;"2014-04-01",1,2.5)</f>
        <v>0</v>
      </c>
      <c r="AI809" s="294">
        <f>IF(NFI_Expiration=1,IF($A809&lt;VLOOKUP(R$5,NFI,5,0),1,0)*Table_NFI[[#This Row],[Winter Clothes Adult]],Table_NFI[Winter Clothes Adult])</f>
        <v>0</v>
      </c>
      <c r="AJ809" s="294">
        <f>IF(NFI_Expiration=1,IF($A809&lt;VLOOKUP(S$5,NFI,5,0),1,0)*Table_NFI[[#This Row],[Winter Clothes Children]],Table_NFI[Winter Clothes Children])</f>
        <v>0</v>
      </c>
      <c r="AK809" s="294">
        <f>IF(NFI_Expiration=1,IF($A809&lt;VLOOKUP(T$5,NFI,5,0),1,0)*Table_NFI[[#This Row],[Winter Items Other]],Table_NFI[Winter Items Other])</f>
        <v>0</v>
      </c>
      <c r="AL809" s="294">
        <f>IF(NFI_Expiration=1,IF($A809&lt;VLOOKUP(M$5,NFI,5,0),1,0)*Table_NFI[[#This Row],[Winter Blanket]],Table_NFI[[#This Row],[Winter Blanket]])</f>
        <v>0</v>
      </c>
      <c r="AM809" s="294">
        <f>IF(Table_NFI[[#This Row],[Winter Clothes Adult]]+Table_NFI[[#This Row],[Winter Clothes Children]]+Table_NFI[[#This Row],[Winter Items Other]]+Table_NFI[[#This Row],[Winter Blanket]]&gt;0,1,0)</f>
        <v>0</v>
      </c>
      <c r="AN809" s="331">
        <f>IF(NFI_Expiration=1,IF($A809&lt;VLOOKUP(V$5,NFI,5,0),1,0)*Table_NFI[[#This Row],[Jerry Can]],Table_NFI[Jerry Can])</f>
        <v>0</v>
      </c>
      <c r="AO809" s="331">
        <f>IF(NFI_Expiration=1,IF($A809&lt;VLOOKUP(V$5,NFI,5,0),1,0)*Table_NFI[[#This Row],[Shelter Tool kit]],Table_NFI[Shelter Tool kit])</f>
        <v>0</v>
      </c>
      <c r="AP809" s="331">
        <f>IF(NFI_Expiration=1,IF($A809&lt;VLOOKUP(V$5,NFI,5,0),1,0)*Table_NFI[[#This Row],[Tent]],Table_NFI[Tent])</f>
        <v>0</v>
      </c>
      <c r="AQ809" s="467" t="str">
        <f>IFERROR(VLOOKUP(Table_NFI[[#This Row],[Camp Name]],CL,2,0),"")</f>
        <v>MMR001CMP052</v>
      </c>
      <c r="AR809" s="835">
        <f ca="1">IF(Table_NFI[[#This Row],[Pcode]]="","",IF(OFFSET(CampList[Opening Date],MATCH(Table_NFI[[#This Row],[Pcode]],CampList[CP_Pcode],0)-1,0,1,1)&gt;=NFI_Monitor_Date,1,0))</f>
        <v>0</v>
      </c>
      <c r="AS809" s="467" t="str">
        <f>IFERROR(VLOOKUP(Table_NFI[[#This Row],[Camp Name]],CL,3,0),"")</f>
        <v>Open</v>
      </c>
      <c r="AT809" s="294" t="str">
        <f ca="1">IF(Table_NFI[[#This Row],[Pcode]]="","",OFFSET(CampList[Priority],MATCH(Table_NFI[[#This Row],[Pcode]],CampList[CP_Pcode],0)-1,0,1,1))</f>
        <v>P4</v>
      </c>
      <c r="AU809" s="293">
        <f>IFERROR(Table_NFI[[#This Row],[Kitchen Set]]/VLOOKUP(Table_NFI[[#This Row],[Camp Name]],CL,4,0),"")</f>
        <v>0</v>
      </c>
      <c r="AV809" s="461" t="s">
        <v>1092</v>
      </c>
      <c r="AW809" s="463"/>
    </row>
    <row r="810" spans="1:49" ht="14.45" customHeight="1" x14ac:dyDescent="0.25">
      <c r="A810" s="297">
        <f t="shared" si="12"/>
        <v>48.43333333333333</v>
      </c>
      <c r="B810" s="460">
        <v>41283</v>
      </c>
      <c r="C810" s="461" t="s">
        <v>905</v>
      </c>
      <c r="D810" s="462" t="s">
        <v>905</v>
      </c>
      <c r="E810" s="461" t="s">
        <v>380</v>
      </c>
      <c r="F810" s="290" t="s">
        <v>5</v>
      </c>
      <c r="G810" s="290" t="s">
        <v>18</v>
      </c>
      <c r="H810" s="291">
        <v>205</v>
      </c>
      <c r="I810" s="291"/>
      <c r="J810" s="291"/>
      <c r="K810" s="291"/>
      <c r="L810" s="292"/>
      <c r="M810" s="292"/>
      <c r="N810" s="292"/>
      <c r="O810" s="292"/>
      <c r="P810" s="294">
        <v>0</v>
      </c>
      <c r="Q810" s="294">
        <v>0</v>
      </c>
      <c r="R810" s="294"/>
      <c r="S810" s="294"/>
      <c r="T810" s="294"/>
      <c r="U810" s="294"/>
      <c r="V810" s="431"/>
      <c r="W810" s="294"/>
      <c r="X810" s="294"/>
      <c r="Y810" s="294">
        <f>IF(NFI_Expiration=1,IF($A810&lt;VLOOKUP(H$5,NFI,5,0),1,0)*Table_NFI[[#This Row],[Hygiene Kit]],Table_NFI[Hygiene Kit])</f>
        <v>0</v>
      </c>
      <c r="Z810" s="294">
        <f>IF(NFI_Expiration=1,IF($A810&lt;VLOOKUP(I$5,NFI,5,0),1,0)*Table_NFI[[#This Row],[NFI Core Kit]],Table_NFI[NFI Core Kit])</f>
        <v>0</v>
      </c>
      <c r="AA810" s="294">
        <f>IF(NFI_Expiration=1,IF($A810&lt;VLOOKUP(J$5,NFI,5,0),1,0)*Table_NFI[[#This Row],[Sanitary Kit]],Table_NFI[Sanitary Kit])</f>
        <v>0</v>
      </c>
      <c r="AB810" s="294">
        <f>IF(NFI_Expiration=1,IF($A810&lt;VLOOKUP(K$5,NFI,5,0),1,0)*Table_NFI[[#This Row],[Mosquito net]],Table_NFI[Mosquito net])</f>
        <v>0</v>
      </c>
      <c r="AC810" s="294">
        <f>IF(NFI_Expiration=1,IF($A810&lt;VLOOKUP(L$5,NFI,5,0),1,0)*Table_NFI[[#This Row],[Tarpaulin]],Table_NFI[[#This Row],[Tarpaulin]])</f>
        <v>0</v>
      </c>
      <c r="AD810" s="294">
        <f>IF(NFI_Expiration=1,IF($A810&lt;VLOOKUP(M$5,NFI,5,0),1,0)*Table_NFI[[#This Row],[Blanket]],Table_NFI[[#This Row],[Blanket]])</f>
        <v>0</v>
      </c>
      <c r="AE810" s="294">
        <f>IF(NFI_Expiration=1,IF($A810&lt;VLOOKUP(N$5,NFI,5,0),1,0)*Table_NFI[[#This Row],[Kitchen Set]],Table_NFI[Kitchen Set])</f>
        <v>0</v>
      </c>
      <c r="AF810" s="294">
        <f>IF(NFI_Expiration=1,IF($A810&lt;VLOOKUP(O$5,NFI,5,0),1,0)*Table_NFI[[#This Row],[Clothes Kit]],Table_NFI[Clothes Kit])</f>
        <v>0</v>
      </c>
      <c r="AG810" s="294">
        <f>IF(NFI_Expiration=1,IF($A810&lt;VLOOKUP(P$5,NFI,5,0),1,0)*Table_NFI[[#This Row],[Plastic Bucket]],Table_NFI[Plastic Bucket])</f>
        <v>0</v>
      </c>
      <c r="AH810" s="294">
        <f>IF(NFI_Expiration=1,IF($A810&lt;VLOOKUP(Q$5,NFI,5,0),1,0)*Table_NFI[[#This Row],[Plastic Mat]],Table_NFI[Plastic Mat])*IF(Table_NFI[[#This Row],[Distribution Date]]&gt;"2014-04-01",1,2.5)</f>
        <v>0</v>
      </c>
      <c r="AI810" s="294">
        <f>IF(NFI_Expiration=1,IF($A810&lt;VLOOKUP(R$5,NFI,5,0),1,0)*Table_NFI[[#This Row],[Winter Clothes Adult]],Table_NFI[Winter Clothes Adult])</f>
        <v>0</v>
      </c>
      <c r="AJ810" s="294">
        <f>IF(NFI_Expiration=1,IF($A810&lt;VLOOKUP(S$5,NFI,5,0),1,0)*Table_NFI[[#This Row],[Winter Clothes Children]],Table_NFI[Winter Clothes Children])</f>
        <v>0</v>
      </c>
      <c r="AK810" s="294">
        <f>IF(NFI_Expiration=1,IF($A810&lt;VLOOKUP(T$5,NFI,5,0),1,0)*Table_NFI[[#This Row],[Winter Items Other]],Table_NFI[Winter Items Other])</f>
        <v>0</v>
      </c>
      <c r="AL810" s="294">
        <f>IF(NFI_Expiration=1,IF($A810&lt;VLOOKUP(M$5,NFI,5,0),1,0)*Table_NFI[[#This Row],[Winter Blanket]],Table_NFI[[#This Row],[Winter Blanket]])</f>
        <v>0</v>
      </c>
      <c r="AM810" s="294">
        <f>IF(Table_NFI[[#This Row],[Winter Clothes Adult]]+Table_NFI[[#This Row],[Winter Clothes Children]]+Table_NFI[[#This Row],[Winter Items Other]]+Table_NFI[[#This Row],[Winter Blanket]]&gt;0,1,0)</f>
        <v>0</v>
      </c>
      <c r="AN810" s="331">
        <f>IF(NFI_Expiration=1,IF($A810&lt;VLOOKUP(V$5,NFI,5,0),1,0)*Table_NFI[[#This Row],[Jerry Can]],Table_NFI[Jerry Can])</f>
        <v>0</v>
      </c>
      <c r="AO810" s="331">
        <f>IF(NFI_Expiration=1,IF($A810&lt;VLOOKUP(V$5,NFI,5,0),1,0)*Table_NFI[[#This Row],[Shelter Tool kit]],Table_NFI[Shelter Tool kit])</f>
        <v>0</v>
      </c>
      <c r="AP810" s="331">
        <f>IF(NFI_Expiration=1,IF($A810&lt;VLOOKUP(V$5,NFI,5,0),1,0)*Table_NFI[[#This Row],[Tent]],Table_NFI[Tent])</f>
        <v>0</v>
      </c>
      <c r="AQ810" s="467" t="str">
        <f>IFERROR(VLOOKUP(Table_NFI[[#This Row],[Camp Name]],CL,2,0),"")</f>
        <v>MMR001CMP049</v>
      </c>
      <c r="AR810" s="835">
        <f ca="1">IF(Table_NFI[[#This Row],[Pcode]]="","",IF(OFFSET(CampList[Opening Date],MATCH(Table_NFI[[#This Row],[Pcode]],CampList[CP_Pcode],0)-1,0,1,1)&gt;=NFI_Monitor_Date,1,0))</f>
        <v>0</v>
      </c>
      <c r="AS810" s="467" t="str">
        <f>IFERROR(VLOOKUP(Table_NFI[[#This Row],[Camp Name]],CL,3,0),"")</f>
        <v>Open</v>
      </c>
      <c r="AT810" s="294" t="str">
        <f ca="1">IF(Table_NFI[[#This Row],[Pcode]]="","",OFFSET(CampList[Priority],MATCH(Table_NFI[[#This Row],[Pcode]],CampList[CP_Pcode],0)-1,0,1,1))</f>
        <v>P4</v>
      </c>
      <c r="AU810" s="293">
        <f>IFERROR(Table_NFI[[#This Row],[Kitchen Set]]/VLOOKUP(Table_NFI[[#This Row],[Camp Name]],CL,4,0),"")</f>
        <v>0</v>
      </c>
      <c r="AV810" s="461" t="s">
        <v>1092</v>
      </c>
      <c r="AW810" s="463"/>
    </row>
    <row r="811" spans="1:49" ht="14.45" customHeight="1" x14ac:dyDescent="0.25">
      <c r="A811" s="297">
        <f t="shared" si="12"/>
        <v>48.466666666666669</v>
      </c>
      <c r="B811" s="460">
        <v>41282</v>
      </c>
      <c r="C811" s="461" t="s">
        <v>905</v>
      </c>
      <c r="D811" s="461" t="s">
        <v>905</v>
      </c>
      <c r="E811" s="461" t="s">
        <v>380</v>
      </c>
      <c r="F811" s="461" t="s">
        <v>185</v>
      </c>
      <c r="G811" s="290" t="s">
        <v>223</v>
      </c>
      <c r="H811" s="291">
        <v>353</v>
      </c>
      <c r="I811" s="291"/>
      <c r="J811" s="291"/>
      <c r="K811" s="291"/>
      <c r="L811" s="292"/>
      <c r="M811" s="292"/>
      <c r="N811" s="292"/>
      <c r="O811" s="292"/>
      <c r="P811" s="294">
        <v>0</v>
      </c>
      <c r="Q811" s="294">
        <v>0</v>
      </c>
      <c r="R811" s="294"/>
      <c r="S811" s="294"/>
      <c r="T811" s="294"/>
      <c r="U811" s="294"/>
      <c r="V811" s="431"/>
      <c r="W811" s="294"/>
      <c r="X811" s="294"/>
      <c r="Y811" s="294">
        <f>IF(NFI_Expiration=1,IF($A811&lt;VLOOKUP(H$5,NFI,5,0),1,0)*Table_NFI[[#This Row],[Hygiene Kit]],Table_NFI[Hygiene Kit])</f>
        <v>0</v>
      </c>
      <c r="Z811" s="294">
        <f>IF(NFI_Expiration=1,IF($A811&lt;VLOOKUP(I$5,NFI,5,0),1,0)*Table_NFI[[#This Row],[NFI Core Kit]],Table_NFI[NFI Core Kit])</f>
        <v>0</v>
      </c>
      <c r="AA811" s="294">
        <f>IF(NFI_Expiration=1,IF($A811&lt;VLOOKUP(J$5,NFI,5,0),1,0)*Table_NFI[[#This Row],[Sanitary Kit]],Table_NFI[Sanitary Kit])</f>
        <v>0</v>
      </c>
      <c r="AB811" s="294">
        <f>IF(NFI_Expiration=1,IF($A811&lt;VLOOKUP(K$5,NFI,5,0),1,0)*Table_NFI[[#This Row],[Mosquito net]],Table_NFI[Mosquito net])</f>
        <v>0</v>
      </c>
      <c r="AC811" s="294">
        <f>IF(NFI_Expiration=1,IF($A811&lt;VLOOKUP(L$5,NFI,5,0),1,0)*Table_NFI[[#This Row],[Tarpaulin]],Table_NFI[[#This Row],[Tarpaulin]])</f>
        <v>0</v>
      </c>
      <c r="AD811" s="294">
        <f>IF(NFI_Expiration=1,IF($A811&lt;VLOOKUP(M$5,NFI,5,0),1,0)*Table_NFI[[#This Row],[Blanket]],Table_NFI[[#This Row],[Blanket]])</f>
        <v>0</v>
      </c>
      <c r="AE811" s="294">
        <f>IF(NFI_Expiration=1,IF($A811&lt;VLOOKUP(N$5,NFI,5,0),1,0)*Table_NFI[[#This Row],[Kitchen Set]],Table_NFI[Kitchen Set])</f>
        <v>0</v>
      </c>
      <c r="AF811" s="294">
        <f>IF(NFI_Expiration=1,IF($A811&lt;VLOOKUP(O$5,NFI,5,0),1,0)*Table_NFI[[#This Row],[Clothes Kit]],Table_NFI[Clothes Kit])</f>
        <v>0</v>
      </c>
      <c r="AG811" s="294">
        <f>IF(NFI_Expiration=1,IF($A811&lt;VLOOKUP(P$5,NFI,5,0),1,0)*Table_NFI[[#This Row],[Plastic Bucket]],Table_NFI[Plastic Bucket])</f>
        <v>0</v>
      </c>
      <c r="AH811" s="294">
        <f>IF(NFI_Expiration=1,IF($A811&lt;VLOOKUP(Q$5,NFI,5,0),1,0)*Table_NFI[[#This Row],[Plastic Mat]],Table_NFI[Plastic Mat])*IF(Table_NFI[[#This Row],[Distribution Date]]&gt;"2014-04-01",1,2.5)</f>
        <v>0</v>
      </c>
      <c r="AI811" s="294">
        <f>IF(NFI_Expiration=1,IF($A811&lt;VLOOKUP(R$5,NFI,5,0),1,0)*Table_NFI[[#This Row],[Winter Clothes Adult]],Table_NFI[Winter Clothes Adult])</f>
        <v>0</v>
      </c>
      <c r="AJ811" s="294">
        <f>IF(NFI_Expiration=1,IF($A811&lt;VLOOKUP(S$5,NFI,5,0),1,0)*Table_NFI[[#This Row],[Winter Clothes Children]],Table_NFI[Winter Clothes Children])</f>
        <v>0</v>
      </c>
      <c r="AK811" s="294">
        <f>IF(NFI_Expiration=1,IF($A811&lt;VLOOKUP(T$5,NFI,5,0),1,0)*Table_NFI[[#This Row],[Winter Items Other]],Table_NFI[Winter Items Other])</f>
        <v>0</v>
      </c>
      <c r="AL811" s="294">
        <f>IF(NFI_Expiration=1,IF($A811&lt;VLOOKUP(M$5,NFI,5,0),1,0)*Table_NFI[[#This Row],[Winter Blanket]],Table_NFI[[#This Row],[Winter Blanket]])</f>
        <v>0</v>
      </c>
      <c r="AM811" s="294">
        <f>IF(Table_NFI[[#This Row],[Winter Clothes Adult]]+Table_NFI[[#This Row],[Winter Clothes Children]]+Table_NFI[[#This Row],[Winter Items Other]]+Table_NFI[[#This Row],[Winter Blanket]]&gt;0,1,0)</f>
        <v>0</v>
      </c>
      <c r="AN811" s="331">
        <f>IF(NFI_Expiration=1,IF($A811&lt;VLOOKUP(V$5,NFI,5,0),1,0)*Table_NFI[[#This Row],[Jerry Can]],Table_NFI[Jerry Can])</f>
        <v>0</v>
      </c>
      <c r="AO811" s="331">
        <f>IF(NFI_Expiration=1,IF($A811&lt;VLOOKUP(V$5,NFI,5,0),1,0)*Table_NFI[[#This Row],[Shelter Tool kit]],Table_NFI[Shelter Tool kit])</f>
        <v>0</v>
      </c>
      <c r="AP811" s="331">
        <f>IF(NFI_Expiration=1,IF($A811&lt;VLOOKUP(V$5,NFI,5,0),1,0)*Table_NFI[[#This Row],[Tent]],Table_NFI[Tent])</f>
        <v>0</v>
      </c>
      <c r="AQ811" s="467" t="str">
        <f>IFERROR(VLOOKUP(Table_NFI[[#This Row],[Camp Name]],CL,2,0),"")</f>
        <v>MMR001CMP069</v>
      </c>
      <c r="AR811" s="835">
        <f ca="1">IF(Table_NFI[[#This Row],[Pcode]]="","",IF(OFFSET(CampList[Opening Date],MATCH(Table_NFI[[#This Row],[Pcode]],CampList[CP_Pcode],0)-1,0,1,1)&gt;=NFI_Monitor_Date,1,0))</f>
        <v>0</v>
      </c>
      <c r="AS811" s="467" t="str">
        <f>IFERROR(VLOOKUP(Table_NFI[[#This Row],[Camp Name]],CL,3,0),"")</f>
        <v>Open</v>
      </c>
      <c r="AT811" s="294" t="str">
        <f ca="1">IF(Table_NFI[[#This Row],[Pcode]]="","",OFFSET(CampList[Priority],MATCH(Table_NFI[[#This Row],[Pcode]],CampList[CP_Pcode],0)-1,0,1,1))</f>
        <v>P3</v>
      </c>
      <c r="AU811" s="293">
        <f>IFERROR(Table_NFI[[#This Row],[Kitchen Set]]/VLOOKUP(Table_NFI[[#This Row],[Camp Name]],CL,4,0),"")</f>
        <v>0</v>
      </c>
      <c r="AV811" s="461" t="s">
        <v>1092</v>
      </c>
      <c r="AW811" s="463"/>
    </row>
    <row r="812" spans="1:49" ht="14.45" customHeight="1" x14ac:dyDescent="0.25">
      <c r="A812" s="297">
        <f t="shared" si="12"/>
        <v>48.466666666666669</v>
      </c>
      <c r="B812" s="460">
        <v>41282</v>
      </c>
      <c r="C812" s="461" t="s">
        <v>905</v>
      </c>
      <c r="D812" s="461" t="s">
        <v>905</v>
      </c>
      <c r="E812" s="461" t="s">
        <v>380</v>
      </c>
      <c r="F812" s="461" t="s">
        <v>5</v>
      </c>
      <c r="G812" s="290" t="s">
        <v>26</v>
      </c>
      <c r="H812" s="291">
        <v>132</v>
      </c>
      <c r="I812" s="291"/>
      <c r="J812" s="291"/>
      <c r="K812" s="291"/>
      <c r="L812" s="292"/>
      <c r="M812" s="292"/>
      <c r="N812" s="292"/>
      <c r="O812" s="292"/>
      <c r="P812" s="294">
        <v>0</v>
      </c>
      <c r="Q812" s="294">
        <v>0</v>
      </c>
      <c r="R812" s="294"/>
      <c r="S812" s="294"/>
      <c r="T812" s="294"/>
      <c r="U812" s="294"/>
      <c r="V812" s="431"/>
      <c r="W812" s="294"/>
      <c r="X812" s="294"/>
      <c r="Y812" s="294">
        <f>IF(NFI_Expiration=1,IF($A812&lt;VLOOKUP(H$5,NFI,5,0),1,0)*Table_NFI[[#This Row],[Hygiene Kit]],Table_NFI[Hygiene Kit])</f>
        <v>0</v>
      </c>
      <c r="Z812" s="294">
        <f>IF(NFI_Expiration=1,IF($A812&lt;VLOOKUP(I$5,NFI,5,0),1,0)*Table_NFI[[#This Row],[NFI Core Kit]],Table_NFI[NFI Core Kit])</f>
        <v>0</v>
      </c>
      <c r="AA812" s="294">
        <f>IF(NFI_Expiration=1,IF($A812&lt;VLOOKUP(J$5,NFI,5,0),1,0)*Table_NFI[[#This Row],[Sanitary Kit]],Table_NFI[Sanitary Kit])</f>
        <v>0</v>
      </c>
      <c r="AB812" s="294">
        <f>IF(NFI_Expiration=1,IF($A812&lt;VLOOKUP(K$5,NFI,5,0),1,0)*Table_NFI[[#This Row],[Mosquito net]],Table_NFI[Mosquito net])</f>
        <v>0</v>
      </c>
      <c r="AC812" s="294">
        <f>IF(NFI_Expiration=1,IF($A812&lt;VLOOKUP(L$5,NFI,5,0),1,0)*Table_NFI[[#This Row],[Tarpaulin]],Table_NFI[[#This Row],[Tarpaulin]])</f>
        <v>0</v>
      </c>
      <c r="AD812" s="294">
        <f>IF(NFI_Expiration=1,IF($A812&lt;VLOOKUP(M$5,NFI,5,0),1,0)*Table_NFI[[#This Row],[Blanket]],Table_NFI[[#This Row],[Blanket]])</f>
        <v>0</v>
      </c>
      <c r="AE812" s="294">
        <f>IF(NFI_Expiration=1,IF($A812&lt;VLOOKUP(N$5,NFI,5,0),1,0)*Table_NFI[[#This Row],[Kitchen Set]],Table_NFI[Kitchen Set])</f>
        <v>0</v>
      </c>
      <c r="AF812" s="294">
        <f>IF(NFI_Expiration=1,IF($A812&lt;VLOOKUP(O$5,NFI,5,0),1,0)*Table_NFI[[#This Row],[Clothes Kit]],Table_NFI[Clothes Kit])</f>
        <v>0</v>
      </c>
      <c r="AG812" s="294">
        <f>IF(NFI_Expiration=1,IF($A812&lt;VLOOKUP(P$5,NFI,5,0),1,0)*Table_NFI[[#This Row],[Plastic Bucket]],Table_NFI[Plastic Bucket])</f>
        <v>0</v>
      </c>
      <c r="AH812" s="294">
        <f>IF(NFI_Expiration=1,IF($A812&lt;VLOOKUP(Q$5,NFI,5,0),1,0)*Table_NFI[[#This Row],[Plastic Mat]],Table_NFI[Plastic Mat])*IF(Table_NFI[[#This Row],[Distribution Date]]&gt;"2014-04-01",1,2.5)</f>
        <v>0</v>
      </c>
      <c r="AI812" s="294">
        <f>IF(NFI_Expiration=1,IF($A812&lt;VLOOKUP(R$5,NFI,5,0),1,0)*Table_NFI[[#This Row],[Winter Clothes Adult]],Table_NFI[Winter Clothes Adult])</f>
        <v>0</v>
      </c>
      <c r="AJ812" s="294">
        <f>IF(NFI_Expiration=1,IF($A812&lt;VLOOKUP(S$5,NFI,5,0),1,0)*Table_NFI[[#This Row],[Winter Clothes Children]],Table_NFI[Winter Clothes Children])</f>
        <v>0</v>
      </c>
      <c r="AK812" s="294">
        <f>IF(NFI_Expiration=1,IF($A812&lt;VLOOKUP(T$5,NFI,5,0),1,0)*Table_NFI[[#This Row],[Winter Items Other]],Table_NFI[Winter Items Other])</f>
        <v>0</v>
      </c>
      <c r="AL812" s="294">
        <f>IF(NFI_Expiration=1,IF($A812&lt;VLOOKUP(M$5,NFI,5,0),1,0)*Table_NFI[[#This Row],[Winter Blanket]],Table_NFI[[#This Row],[Winter Blanket]])</f>
        <v>0</v>
      </c>
      <c r="AM812" s="294">
        <f>IF(Table_NFI[[#This Row],[Winter Clothes Adult]]+Table_NFI[[#This Row],[Winter Clothes Children]]+Table_NFI[[#This Row],[Winter Items Other]]+Table_NFI[[#This Row],[Winter Blanket]]&gt;0,1,0)</f>
        <v>0</v>
      </c>
      <c r="AN812" s="331">
        <f>IF(NFI_Expiration=1,IF($A812&lt;VLOOKUP(V$5,NFI,5,0),1,0)*Table_NFI[[#This Row],[Jerry Can]],Table_NFI[Jerry Can])</f>
        <v>0</v>
      </c>
      <c r="AO812" s="331">
        <f>IF(NFI_Expiration=1,IF($A812&lt;VLOOKUP(V$5,NFI,5,0),1,0)*Table_NFI[[#This Row],[Shelter Tool kit]],Table_NFI[Shelter Tool kit])</f>
        <v>0</v>
      </c>
      <c r="AP812" s="331">
        <f>IF(NFI_Expiration=1,IF($A812&lt;VLOOKUP(V$5,NFI,5,0),1,0)*Table_NFI[[#This Row],[Tent]],Table_NFI[Tent])</f>
        <v>0</v>
      </c>
      <c r="AQ812" s="467" t="str">
        <f>IFERROR(VLOOKUP(Table_NFI[[#This Row],[Camp Name]],CL,2,0),"")</f>
        <v>MMR001CMP053</v>
      </c>
      <c r="AR812" s="835">
        <f ca="1">IF(Table_NFI[[#This Row],[Pcode]]="","",IF(OFFSET(CampList[Opening Date],MATCH(Table_NFI[[#This Row],[Pcode]],CampList[CP_Pcode],0)-1,0,1,1)&gt;=NFI_Monitor_Date,1,0))</f>
        <v>0</v>
      </c>
      <c r="AS812" s="467" t="str">
        <f>IFERROR(VLOOKUP(Table_NFI[[#This Row],[Camp Name]],CL,3,0),"")</f>
        <v>Open</v>
      </c>
      <c r="AT812" s="294" t="str">
        <f ca="1">IF(Table_NFI[[#This Row],[Pcode]]="","",OFFSET(CampList[Priority],MATCH(Table_NFI[[#This Row],[Pcode]],CampList[CP_Pcode],0)-1,0,1,1))</f>
        <v>P4</v>
      </c>
      <c r="AU812" s="293">
        <f>IFERROR(Table_NFI[[#This Row],[Kitchen Set]]/VLOOKUP(Table_NFI[[#This Row],[Camp Name]],CL,4,0),"")</f>
        <v>0</v>
      </c>
      <c r="AV812" s="461" t="s">
        <v>1092</v>
      </c>
      <c r="AW812" s="463"/>
    </row>
    <row r="813" spans="1:49" ht="14.45" customHeight="1" x14ac:dyDescent="0.25">
      <c r="A813" s="297">
        <f t="shared" si="12"/>
        <v>48.533333333333331</v>
      </c>
      <c r="B813" s="460">
        <v>41280</v>
      </c>
      <c r="C813" s="461" t="s">
        <v>905</v>
      </c>
      <c r="D813" s="462" t="s">
        <v>905</v>
      </c>
      <c r="E813" s="461" t="s">
        <v>380</v>
      </c>
      <c r="F813" s="290" t="s">
        <v>151</v>
      </c>
      <c r="G813" s="290" t="s">
        <v>152</v>
      </c>
      <c r="H813" s="291">
        <v>351</v>
      </c>
      <c r="I813" s="291"/>
      <c r="J813" s="291"/>
      <c r="K813" s="291"/>
      <c r="L813" s="292"/>
      <c r="M813" s="292"/>
      <c r="N813" s="292"/>
      <c r="O813" s="292"/>
      <c r="P813" s="294">
        <v>0</v>
      </c>
      <c r="Q813" s="294">
        <v>0</v>
      </c>
      <c r="R813" s="294"/>
      <c r="S813" s="294"/>
      <c r="T813" s="294"/>
      <c r="U813" s="294"/>
      <c r="V813" s="431"/>
      <c r="W813" s="294"/>
      <c r="X813" s="294"/>
      <c r="Y813" s="294">
        <f>IF(NFI_Expiration=1,IF($A813&lt;VLOOKUP(H$5,NFI,5,0),1,0)*Table_NFI[[#This Row],[Hygiene Kit]],Table_NFI[Hygiene Kit])</f>
        <v>0</v>
      </c>
      <c r="Z813" s="294">
        <f>IF(NFI_Expiration=1,IF($A813&lt;VLOOKUP(I$5,NFI,5,0),1,0)*Table_NFI[[#This Row],[NFI Core Kit]],Table_NFI[NFI Core Kit])</f>
        <v>0</v>
      </c>
      <c r="AA813" s="294">
        <f>IF(NFI_Expiration=1,IF($A813&lt;VLOOKUP(J$5,NFI,5,0),1,0)*Table_NFI[[#This Row],[Sanitary Kit]],Table_NFI[Sanitary Kit])</f>
        <v>0</v>
      </c>
      <c r="AB813" s="294">
        <f>IF(NFI_Expiration=1,IF($A813&lt;VLOOKUP(K$5,NFI,5,0),1,0)*Table_NFI[[#This Row],[Mosquito net]],Table_NFI[Mosquito net])</f>
        <v>0</v>
      </c>
      <c r="AC813" s="294">
        <f>IF(NFI_Expiration=1,IF($A813&lt;VLOOKUP(L$5,NFI,5,0),1,0)*Table_NFI[[#This Row],[Tarpaulin]],Table_NFI[[#This Row],[Tarpaulin]])</f>
        <v>0</v>
      </c>
      <c r="AD813" s="294">
        <f>IF(NFI_Expiration=1,IF($A813&lt;VLOOKUP(M$5,NFI,5,0),1,0)*Table_NFI[[#This Row],[Blanket]],Table_NFI[[#This Row],[Blanket]])</f>
        <v>0</v>
      </c>
      <c r="AE813" s="294">
        <f>IF(NFI_Expiration=1,IF($A813&lt;VLOOKUP(N$5,NFI,5,0),1,0)*Table_NFI[[#This Row],[Kitchen Set]],Table_NFI[Kitchen Set])</f>
        <v>0</v>
      </c>
      <c r="AF813" s="294">
        <f>IF(NFI_Expiration=1,IF($A813&lt;VLOOKUP(O$5,NFI,5,0),1,0)*Table_NFI[[#This Row],[Clothes Kit]],Table_NFI[Clothes Kit])</f>
        <v>0</v>
      </c>
      <c r="AG813" s="294">
        <f>IF(NFI_Expiration=1,IF($A813&lt;VLOOKUP(P$5,NFI,5,0),1,0)*Table_NFI[[#This Row],[Plastic Bucket]],Table_NFI[Plastic Bucket])</f>
        <v>0</v>
      </c>
      <c r="AH813" s="294">
        <f>IF(NFI_Expiration=1,IF($A813&lt;VLOOKUP(Q$5,NFI,5,0),1,0)*Table_NFI[[#This Row],[Plastic Mat]],Table_NFI[Plastic Mat])*IF(Table_NFI[[#This Row],[Distribution Date]]&gt;"2014-04-01",1,2.5)</f>
        <v>0</v>
      </c>
      <c r="AI813" s="294">
        <f>IF(NFI_Expiration=1,IF($A813&lt;VLOOKUP(R$5,NFI,5,0),1,0)*Table_NFI[[#This Row],[Winter Clothes Adult]],Table_NFI[Winter Clothes Adult])</f>
        <v>0</v>
      </c>
      <c r="AJ813" s="294">
        <f>IF(NFI_Expiration=1,IF($A813&lt;VLOOKUP(S$5,NFI,5,0),1,0)*Table_NFI[[#This Row],[Winter Clothes Children]],Table_NFI[Winter Clothes Children])</f>
        <v>0</v>
      </c>
      <c r="AK813" s="294">
        <f>IF(NFI_Expiration=1,IF($A813&lt;VLOOKUP(T$5,NFI,5,0),1,0)*Table_NFI[[#This Row],[Winter Items Other]],Table_NFI[Winter Items Other])</f>
        <v>0</v>
      </c>
      <c r="AL813" s="294">
        <f>IF(NFI_Expiration=1,IF($A813&lt;VLOOKUP(M$5,NFI,5,0),1,0)*Table_NFI[[#This Row],[Winter Blanket]],Table_NFI[[#This Row],[Winter Blanket]])</f>
        <v>0</v>
      </c>
      <c r="AM813" s="294">
        <f>IF(Table_NFI[[#This Row],[Winter Clothes Adult]]+Table_NFI[[#This Row],[Winter Clothes Children]]+Table_NFI[[#This Row],[Winter Items Other]]+Table_NFI[[#This Row],[Winter Blanket]]&gt;0,1,0)</f>
        <v>0</v>
      </c>
      <c r="AN813" s="331">
        <f>IF(NFI_Expiration=1,IF($A813&lt;VLOOKUP(V$5,NFI,5,0),1,0)*Table_NFI[[#This Row],[Jerry Can]],Table_NFI[Jerry Can])</f>
        <v>0</v>
      </c>
      <c r="AO813" s="331">
        <f>IF(NFI_Expiration=1,IF($A813&lt;VLOOKUP(V$5,NFI,5,0),1,0)*Table_NFI[[#This Row],[Shelter Tool kit]],Table_NFI[Shelter Tool kit])</f>
        <v>0</v>
      </c>
      <c r="AP813" s="331">
        <f>IF(NFI_Expiration=1,IF($A813&lt;VLOOKUP(V$5,NFI,5,0),1,0)*Table_NFI[[#This Row],[Tent]],Table_NFI[Tent])</f>
        <v>0</v>
      </c>
      <c r="AQ813" s="467" t="str">
        <f>IFERROR(VLOOKUP(Table_NFI[[#This Row],[Camp Name]],CL,2,0),"")</f>
        <v>MMR001CMP066</v>
      </c>
      <c r="AR813" s="835">
        <f ca="1">IF(Table_NFI[[#This Row],[Pcode]]="","",IF(OFFSET(CampList[Opening Date],MATCH(Table_NFI[[#This Row],[Pcode]],CampList[CP_Pcode],0)-1,0,1,1)&gt;=NFI_Monitor_Date,1,0))</f>
        <v>0</v>
      </c>
      <c r="AS813" s="467" t="str">
        <f>IFERROR(VLOOKUP(Table_NFI[[#This Row],[Camp Name]],CL,3,0),"")</f>
        <v>Open</v>
      </c>
      <c r="AT813" s="294" t="str">
        <f ca="1">IF(Table_NFI[[#This Row],[Pcode]]="","",OFFSET(CampList[Priority],MATCH(Table_NFI[[#This Row],[Pcode]],CampList[CP_Pcode],0)-1,0,1,1))</f>
        <v>P4</v>
      </c>
      <c r="AU813" s="293">
        <f>IFERROR(Table_NFI[[#This Row],[Kitchen Set]]/VLOOKUP(Table_NFI[[#This Row],[Camp Name]],CL,4,0),"")</f>
        <v>0</v>
      </c>
      <c r="AV813" s="461" t="s">
        <v>1092</v>
      </c>
      <c r="AW813" s="463"/>
    </row>
    <row r="814" spans="1:49" x14ac:dyDescent="0.25">
      <c r="A814" s="297">
        <f t="shared" si="12"/>
        <v>48.733333333333334</v>
      </c>
      <c r="B814" s="460">
        <v>41274</v>
      </c>
      <c r="C814" s="461" t="s">
        <v>453</v>
      </c>
      <c r="D814" s="462" t="s">
        <v>453</v>
      </c>
      <c r="E814" s="461" t="s">
        <v>380</v>
      </c>
      <c r="F814" s="290" t="s">
        <v>527</v>
      </c>
      <c r="G814" s="290" t="s">
        <v>62</v>
      </c>
      <c r="H814" s="291">
        <v>12</v>
      </c>
      <c r="I814" s="291"/>
      <c r="J814" s="291"/>
      <c r="K814" s="291"/>
      <c r="L814" s="292"/>
      <c r="M814" s="292"/>
      <c r="N814" s="292"/>
      <c r="O814" s="292"/>
      <c r="P814" s="294">
        <v>0</v>
      </c>
      <c r="Q814" s="294">
        <v>0</v>
      </c>
      <c r="R814" s="294"/>
      <c r="S814" s="294"/>
      <c r="T814" s="294"/>
      <c r="U814" s="294"/>
      <c r="V814" s="431"/>
      <c r="W814" s="294"/>
      <c r="X814" s="294"/>
      <c r="Y814" s="294">
        <f>IF(NFI_Expiration=1,IF($A814&lt;VLOOKUP(H$5,NFI,5,0),1,0)*Table_NFI[[#This Row],[Hygiene Kit]],Table_NFI[Hygiene Kit])</f>
        <v>0</v>
      </c>
      <c r="Z814" s="294">
        <f>IF(NFI_Expiration=1,IF($A814&lt;VLOOKUP(I$5,NFI,5,0),1,0)*Table_NFI[[#This Row],[NFI Core Kit]],Table_NFI[NFI Core Kit])</f>
        <v>0</v>
      </c>
      <c r="AA814" s="294">
        <f>IF(NFI_Expiration=1,IF($A814&lt;VLOOKUP(J$5,NFI,5,0),1,0)*Table_NFI[[#This Row],[Sanitary Kit]],Table_NFI[Sanitary Kit])</f>
        <v>0</v>
      </c>
      <c r="AB814" s="294">
        <f>IF(NFI_Expiration=1,IF($A814&lt;VLOOKUP(K$5,NFI,5,0),1,0)*Table_NFI[[#This Row],[Mosquito net]],Table_NFI[Mosquito net])</f>
        <v>0</v>
      </c>
      <c r="AC814" s="294">
        <f>IF(NFI_Expiration=1,IF($A814&lt;VLOOKUP(L$5,NFI,5,0),1,0)*Table_NFI[[#This Row],[Tarpaulin]],Table_NFI[[#This Row],[Tarpaulin]])</f>
        <v>0</v>
      </c>
      <c r="AD814" s="294">
        <f>IF(NFI_Expiration=1,IF($A814&lt;VLOOKUP(M$5,NFI,5,0),1,0)*Table_NFI[[#This Row],[Blanket]],Table_NFI[[#This Row],[Blanket]])</f>
        <v>0</v>
      </c>
      <c r="AE814" s="294">
        <f>IF(NFI_Expiration=1,IF($A814&lt;VLOOKUP(N$5,NFI,5,0),1,0)*Table_NFI[[#This Row],[Kitchen Set]],Table_NFI[Kitchen Set])</f>
        <v>0</v>
      </c>
      <c r="AF814" s="294">
        <f>IF(NFI_Expiration=1,IF($A814&lt;VLOOKUP(O$5,NFI,5,0),1,0)*Table_NFI[[#This Row],[Clothes Kit]],Table_NFI[Clothes Kit])</f>
        <v>0</v>
      </c>
      <c r="AG814" s="294">
        <f>IF(NFI_Expiration=1,IF($A814&lt;VLOOKUP(P$5,NFI,5,0),1,0)*Table_NFI[[#This Row],[Plastic Bucket]],Table_NFI[Plastic Bucket])</f>
        <v>0</v>
      </c>
      <c r="AH814" s="294">
        <f>IF(NFI_Expiration=1,IF($A814&lt;VLOOKUP(Q$5,NFI,5,0),1,0)*Table_NFI[[#This Row],[Plastic Mat]],Table_NFI[Plastic Mat])*IF(Table_NFI[[#This Row],[Distribution Date]]&gt;"2014-04-01",1,2.5)</f>
        <v>0</v>
      </c>
      <c r="AI814" s="294">
        <f>IF(NFI_Expiration=1,IF($A814&lt;VLOOKUP(R$5,NFI,5,0),1,0)*Table_NFI[[#This Row],[Winter Clothes Adult]],Table_NFI[Winter Clothes Adult])</f>
        <v>0</v>
      </c>
      <c r="AJ814" s="294">
        <f>IF(NFI_Expiration=1,IF($A814&lt;VLOOKUP(S$5,NFI,5,0),1,0)*Table_NFI[[#This Row],[Winter Clothes Children]],Table_NFI[Winter Clothes Children])</f>
        <v>0</v>
      </c>
      <c r="AK814" s="294">
        <f>IF(NFI_Expiration=1,IF($A814&lt;VLOOKUP(T$5,NFI,5,0),1,0)*Table_NFI[[#This Row],[Winter Items Other]],Table_NFI[Winter Items Other])</f>
        <v>0</v>
      </c>
      <c r="AL814" s="294">
        <f>IF(NFI_Expiration=1,IF($A814&lt;VLOOKUP(M$5,NFI,5,0),1,0)*Table_NFI[[#This Row],[Winter Blanket]],Table_NFI[[#This Row],[Winter Blanket]])</f>
        <v>0</v>
      </c>
      <c r="AM814" s="294">
        <f>IF(Table_NFI[[#This Row],[Winter Clothes Adult]]+Table_NFI[[#This Row],[Winter Clothes Children]]+Table_NFI[[#This Row],[Winter Items Other]]+Table_NFI[[#This Row],[Winter Blanket]]&gt;0,1,0)</f>
        <v>0</v>
      </c>
      <c r="AN814" s="331">
        <f>IF(NFI_Expiration=1,IF($A814&lt;VLOOKUP(V$5,NFI,5,0),1,0)*Table_NFI[[#This Row],[Jerry Can]],Table_NFI[Jerry Can])</f>
        <v>0</v>
      </c>
      <c r="AO814" s="331">
        <f>IF(NFI_Expiration=1,IF($A814&lt;VLOOKUP(V$5,NFI,5,0),1,0)*Table_NFI[[#This Row],[Shelter Tool kit]],Table_NFI[Shelter Tool kit])</f>
        <v>0</v>
      </c>
      <c r="AP814" s="331">
        <f>IF(NFI_Expiration=1,IF($A814&lt;VLOOKUP(V$5,NFI,5,0),1,0)*Table_NFI[[#This Row],[Tent]],Table_NFI[Tent])</f>
        <v>0</v>
      </c>
      <c r="AQ814" s="467" t="str">
        <f>IFERROR(VLOOKUP(Table_NFI[[#This Row],[Camp Name]],CL,2,0),"")</f>
        <v>MMR001CMP179</v>
      </c>
      <c r="AR814" s="835">
        <f ca="1">IF(Table_NFI[[#This Row],[Pcode]]="","",IF(OFFSET(CampList[Opening Date],MATCH(Table_NFI[[#This Row],[Pcode]],CampList[CP_Pcode],0)-1,0,1,1)&gt;=NFI_Monitor_Date,1,0))</f>
        <v>0</v>
      </c>
      <c r="AS814" s="467" t="str">
        <f>IFERROR(VLOOKUP(Table_NFI[[#This Row],[Camp Name]],CL,3,0),"")</f>
        <v>Open</v>
      </c>
      <c r="AT814" s="294" t="str">
        <f ca="1">IF(Table_NFI[[#This Row],[Pcode]]="","",OFFSET(CampList[Priority],MATCH(Table_NFI[[#This Row],[Pcode]],CampList[CP_Pcode],0)-1,0,1,1))</f>
        <v>P4</v>
      </c>
      <c r="AU814" s="293">
        <f>IFERROR(Table_NFI[[#This Row],[Kitchen Set]]/VLOOKUP(Table_NFI[[#This Row],[Camp Name]],CL,4,0),"")</f>
        <v>0</v>
      </c>
      <c r="AV814" s="461" t="s">
        <v>1092</v>
      </c>
      <c r="AW814" s="463"/>
    </row>
    <row r="815" spans="1:49" x14ac:dyDescent="0.25">
      <c r="A815" s="297">
        <f t="shared" si="12"/>
        <v>48.733333333333334</v>
      </c>
      <c r="B815" s="460">
        <v>41274</v>
      </c>
      <c r="C815" s="461" t="s">
        <v>453</v>
      </c>
      <c r="D815" s="462" t="s">
        <v>453</v>
      </c>
      <c r="E815" s="461" t="s">
        <v>380</v>
      </c>
      <c r="F815" s="290" t="s">
        <v>527</v>
      </c>
      <c r="G815" s="290" t="s">
        <v>120</v>
      </c>
      <c r="H815" s="291">
        <v>19</v>
      </c>
      <c r="I815" s="291"/>
      <c r="J815" s="291"/>
      <c r="K815" s="291"/>
      <c r="L815" s="292"/>
      <c r="M815" s="292"/>
      <c r="N815" s="292"/>
      <c r="O815" s="292"/>
      <c r="P815" s="294">
        <v>0</v>
      </c>
      <c r="Q815" s="294">
        <v>0</v>
      </c>
      <c r="R815" s="294"/>
      <c r="S815" s="294"/>
      <c r="T815" s="294"/>
      <c r="U815" s="294"/>
      <c r="V815" s="431"/>
      <c r="W815" s="294"/>
      <c r="X815" s="294"/>
      <c r="Y815" s="294">
        <f>IF(NFI_Expiration=1,IF($A815&lt;VLOOKUP(H$5,NFI,5,0),1,0)*Table_NFI[[#This Row],[Hygiene Kit]],Table_NFI[Hygiene Kit])</f>
        <v>0</v>
      </c>
      <c r="Z815" s="294">
        <f>IF(NFI_Expiration=1,IF($A815&lt;VLOOKUP(I$5,NFI,5,0),1,0)*Table_NFI[[#This Row],[NFI Core Kit]],Table_NFI[NFI Core Kit])</f>
        <v>0</v>
      </c>
      <c r="AA815" s="294">
        <f>IF(NFI_Expiration=1,IF($A815&lt;VLOOKUP(J$5,NFI,5,0),1,0)*Table_NFI[[#This Row],[Sanitary Kit]],Table_NFI[Sanitary Kit])</f>
        <v>0</v>
      </c>
      <c r="AB815" s="294">
        <f>IF(NFI_Expiration=1,IF($A815&lt;VLOOKUP(K$5,NFI,5,0),1,0)*Table_NFI[[#This Row],[Mosquito net]],Table_NFI[Mosquito net])</f>
        <v>0</v>
      </c>
      <c r="AC815" s="294">
        <f>IF(NFI_Expiration=1,IF($A815&lt;VLOOKUP(L$5,NFI,5,0),1,0)*Table_NFI[[#This Row],[Tarpaulin]],Table_NFI[[#This Row],[Tarpaulin]])</f>
        <v>0</v>
      </c>
      <c r="AD815" s="294">
        <f>IF(NFI_Expiration=1,IF($A815&lt;VLOOKUP(M$5,NFI,5,0),1,0)*Table_NFI[[#This Row],[Blanket]],Table_NFI[[#This Row],[Blanket]])</f>
        <v>0</v>
      </c>
      <c r="AE815" s="294">
        <f>IF(NFI_Expiration=1,IF($A815&lt;VLOOKUP(N$5,NFI,5,0),1,0)*Table_NFI[[#This Row],[Kitchen Set]],Table_NFI[Kitchen Set])</f>
        <v>0</v>
      </c>
      <c r="AF815" s="294">
        <f>IF(NFI_Expiration=1,IF($A815&lt;VLOOKUP(O$5,NFI,5,0),1,0)*Table_NFI[[#This Row],[Clothes Kit]],Table_NFI[Clothes Kit])</f>
        <v>0</v>
      </c>
      <c r="AG815" s="294">
        <f>IF(NFI_Expiration=1,IF($A815&lt;VLOOKUP(P$5,NFI,5,0),1,0)*Table_NFI[[#This Row],[Plastic Bucket]],Table_NFI[Plastic Bucket])</f>
        <v>0</v>
      </c>
      <c r="AH815" s="294">
        <f>IF(NFI_Expiration=1,IF($A815&lt;VLOOKUP(Q$5,NFI,5,0),1,0)*Table_NFI[[#This Row],[Plastic Mat]],Table_NFI[Plastic Mat])*IF(Table_NFI[[#This Row],[Distribution Date]]&gt;"2014-04-01",1,2.5)</f>
        <v>0</v>
      </c>
      <c r="AI815" s="294">
        <f>IF(NFI_Expiration=1,IF($A815&lt;VLOOKUP(R$5,NFI,5,0),1,0)*Table_NFI[[#This Row],[Winter Clothes Adult]],Table_NFI[Winter Clothes Adult])</f>
        <v>0</v>
      </c>
      <c r="AJ815" s="294">
        <f>IF(NFI_Expiration=1,IF($A815&lt;VLOOKUP(S$5,NFI,5,0),1,0)*Table_NFI[[#This Row],[Winter Clothes Children]],Table_NFI[Winter Clothes Children])</f>
        <v>0</v>
      </c>
      <c r="AK815" s="294">
        <f>IF(NFI_Expiration=1,IF($A815&lt;VLOOKUP(T$5,NFI,5,0),1,0)*Table_NFI[[#This Row],[Winter Items Other]],Table_NFI[Winter Items Other])</f>
        <v>0</v>
      </c>
      <c r="AL815" s="294">
        <f>IF(NFI_Expiration=1,IF($A815&lt;VLOOKUP(M$5,NFI,5,0),1,0)*Table_NFI[[#This Row],[Winter Blanket]],Table_NFI[[#This Row],[Winter Blanket]])</f>
        <v>0</v>
      </c>
      <c r="AM815" s="294">
        <f>IF(Table_NFI[[#This Row],[Winter Clothes Adult]]+Table_NFI[[#This Row],[Winter Clothes Children]]+Table_NFI[[#This Row],[Winter Items Other]]+Table_NFI[[#This Row],[Winter Blanket]]&gt;0,1,0)</f>
        <v>0</v>
      </c>
      <c r="AN815" s="331">
        <f>IF(NFI_Expiration=1,IF($A815&lt;VLOOKUP(V$5,NFI,5,0),1,0)*Table_NFI[[#This Row],[Jerry Can]],Table_NFI[Jerry Can])</f>
        <v>0</v>
      </c>
      <c r="AO815" s="331">
        <f>IF(NFI_Expiration=1,IF($A815&lt;VLOOKUP(V$5,NFI,5,0),1,0)*Table_NFI[[#This Row],[Shelter Tool kit]],Table_NFI[Shelter Tool kit])</f>
        <v>0</v>
      </c>
      <c r="AP815" s="331">
        <f>IF(NFI_Expiration=1,IF($A815&lt;VLOOKUP(V$5,NFI,5,0),1,0)*Table_NFI[[#This Row],[Tent]],Table_NFI[Tent])</f>
        <v>0</v>
      </c>
      <c r="AQ815" s="467" t="str">
        <f>IFERROR(VLOOKUP(Table_NFI[[#This Row],[Camp Name]],CL,2,0),"")</f>
        <v>MMR001CMP168</v>
      </c>
      <c r="AR815" s="835">
        <f ca="1">IF(Table_NFI[[#This Row],[Pcode]]="","",IF(OFFSET(CampList[Opening Date],MATCH(Table_NFI[[#This Row],[Pcode]],CampList[CP_Pcode],0)-1,0,1,1)&gt;=NFI_Monitor_Date,1,0))</f>
        <v>0</v>
      </c>
      <c r="AS815" s="467" t="str">
        <f>IFERROR(VLOOKUP(Table_NFI[[#This Row],[Camp Name]],CL,3,0),"")</f>
        <v>Open</v>
      </c>
      <c r="AT815" s="294" t="str">
        <f ca="1">IF(Table_NFI[[#This Row],[Pcode]]="","",OFFSET(CampList[Priority],MATCH(Table_NFI[[#This Row],[Pcode]],CampList[CP_Pcode],0)-1,0,1,1))</f>
        <v>P4</v>
      </c>
      <c r="AU815" s="293">
        <f>IFERROR(Table_NFI[[#This Row],[Kitchen Set]]/VLOOKUP(Table_NFI[[#This Row],[Camp Name]],CL,4,0),"")</f>
        <v>0</v>
      </c>
      <c r="AV815" s="461" t="s">
        <v>1092</v>
      </c>
      <c r="AW815" s="463"/>
    </row>
    <row r="816" spans="1:49" ht="14.45" customHeight="1" x14ac:dyDescent="0.25">
      <c r="A816" s="297">
        <f t="shared" si="12"/>
        <v>48.733333333333334</v>
      </c>
      <c r="B816" s="460">
        <v>41274</v>
      </c>
      <c r="C816" s="461" t="s">
        <v>453</v>
      </c>
      <c r="D816" s="461" t="s">
        <v>453</v>
      </c>
      <c r="E816" s="461" t="s">
        <v>380</v>
      </c>
      <c r="F816" s="461" t="s">
        <v>527</v>
      </c>
      <c r="G816" s="290" t="s">
        <v>41</v>
      </c>
      <c r="H816" s="291">
        <v>7</v>
      </c>
      <c r="I816" s="291"/>
      <c r="J816" s="291"/>
      <c r="K816" s="291"/>
      <c r="L816" s="292"/>
      <c r="M816" s="292"/>
      <c r="N816" s="292"/>
      <c r="O816" s="292"/>
      <c r="P816" s="294">
        <v>0</v>
      </c>
      <c r="Q816" s="294">
        <v>0</v>
      </c>
      <c r="R816" s="294"/>
      <c r="S816" s="294"/>
      <c r="T816" s="294"/>
      <c r="U816" s="294"/>
      <c r="V816" s="431"/>
      <c r="W816" s="294"/>
      <c r="X816" s="294"/>
      <c r="Y816" s="294">
        <f>IF(NFI_Expiration=1,IF($A816&lt;VLOOKUP(H$5,NFI,5,0),1,0)*Table_NFI[[#This Row],[Hygiene Kit]],Table_NFI[Hygiene Kit])</f>
        <v>0</v>
      </c>
      <c r="Z816" s="294">
        <f>IF(NFI_Expiration=1,IF($A816&lt;VLOOKUP(I$5,NFI,5,0),1,0)*Table_NFI[[#This Row],[NFI Core Kit]],Table_NFI[NFI Core Kit])</f>
        <v>0</v>
      </c>
      <c r="AA816" s="294">
        <f>IF(NFI_Expiration=1,IF($A816&lt;VLOOKUP(J$5,NFI,5,0),1,0)*Table_NFI[[#This Row],[Sanitary Kit]],Table_NFI[Sanitary Kit])</f>
        <v>0</v>
      </c>
      <c r="AB816" s="294">
        <f>IF(NFI_Expiration=1,IF($A816&lt;VLOOKUP(K$5,NFI,5,0),1,0)*Table_NFI[[#This Row],[Mosquito net]],Table_NFI[Mosquito net])</f>
        <v>0</v>
      </c>
      <c r="AC816" s="294">
        <f>IF(NFI_Expiration=1,IF($A816&lt;VLOOKUP(L$5,NFI,5,0),1,0)*Table_NFI[[#This Row],[Tarpaulin]],Table_NFI[[#This Row],[Tarpaulin]])</f>
        <v>0</v>
      </c>
      <c r="AD816" s="294">
        <f>IF(NFI_Expiration=1,IF($A816&lt;VLOOKUP(M$5,NFI,5,0),1,0)*Table_NFI[[#This Row],[Blanket]],Table_NFI[[#This Row],[Blanket]])</f>
        <v>0</v>
      </c>
      <c r="AE816" s="294">
        <f>IF(NFI_Expiration=1,IF($A816&lt;VLOOKUP(N$5,NFI,5,0),1,0)*Table_NFI[[#This Row],[Kitchen Set]],Table_NFI[Kitchen Set])</f>
        <v>0</v>
      </c>
      <c r="AF816" s="294">
        <f>IF(NFI_Expiration=1,IF($A816&lt;VLOOKUP(O$5,NFI,5,0),1,0)*Table_NFI[[#This Row],[Clothes Kit]],Table_NFI[Clothes Kit])</f>
        <v>0</v>
      </c>
      <c r="AG816" s="294">
        <f>IF(NFI_Expiration=1,IF($A816&lt;VLOOKUP(P$5,NFI,5,0),1,0)*Table_NFI[[#This Row],[Plastic Bucket]],Table_NFI[Plastic Bucket])</f>
        <v>0</v>
      </c>
      <c r="AH816" s="294">
        <f>IF(NFI_Expiration=1,IF($A816&lt;VLOOKUP(Q$5,NFI,5,0),1,0)*Table_NFI[[#This Row],[Plastic Mat]],Table_NFI[Plastic Mat])*IF(Table_NFI[[#This Row],[Distribution Date]]&gt;"2014-04-01",1,2.5)</f>
        <v>0</v>
      </c>
      <c r="AI816" s="294">
        <f>IF(NFI_Expiration=1,IF($A816&lt;VLOOKUP(R$5,NFI,5,0),1,0)*Table_NFI[[#This Row],[Winter Clothes Adult]],Table_NFI[Winter Clothes Adult])</f>
        <v>0</v>
      </c>
      <c r="AJ816" s="294">
        <f>IF(NFI_Expiration=1,IF($A816&lt;VLOOKUP(S$5,NFI,5,0),1,0)*Table_NFI[[#This Row],[Winter Clothes Children]],Table_NFI[Winter Clothes Children])</f>
        <v>0</v>
      </c>
      <c r="AK816" s="294">
        <f>IF(NFI_Expiration=1,IF($A816&lt;VLOOKUP(T$5,NFI,5,0),1,0)*Table_NFI[[#This Row],[Winter Items Other]],Table_NFI[Winter Items Other])</f>
        <v>0</v>
      </c>
      <c r="AL816" s="294">
        <f>IF(NFI_Expiration=1,IF($A816&lt;VLOOKUP(M$5,NFI,5,0),1,0)*Table_NFI[[#This Row],[Winter Blanket]],Table_NFI[[#This Row],[Winter Blanket]])</f>
        <v>0</v>
      </c>
      <c r="AM816" s="294">
        <f>IF(Table_NFI[[#This Row],[Winter Clothes Adult]]+Table_NFI[[#This Row],[Winter Clothes Children]]+Table_NFI[[#This Row],[Winter Items Other]]+Table_NFI[[#This Row],[Winter Blanket]]&gt;0,1,0)</f>
        <v>0</v>
      </c>
      <c r="AN816" s="331">
        <f>IF(NFI_Expiration=1,IF($A816&lt;VLOOKUP(V$5,NFI,5,0),1,0)*Table_NFI[[#This Row],[Jerry Can]],Table_NFI[Jerry Can])</f>
        <v>0</v>
      </c>
      <c r="AO816" s="331">
        <f>IF(NFI_Expiration=1,IF($A816&lt;VLOOKUP(V$5,NFI,5,0),1,0)*Table_NFI[[#This Row],[Shelter Tool kit]],Table_NFI[Shelter Tool kit])</f>
        <v>0</v>
      </c>
      <c r="AP816" s="331">
        <f>IF(NFI_Expiration=1,IF($A816&lt;VLOOKUP(V$5,NFI,5,0),1,0)*Table_NFI[[#This Row],[Tent]],Table_NFI[Tent])</f>
        <v>0</v>
      </c>
      <c r="AQ816" s="467" t="str">
        <f>IFERROR(VLOOKUP(Table_NFI[[#This Row],[Camp Name]],CL,2,0),"")</f>
        <v>MMR001CMP176</v>
      </c>
      <c r="AR816" s="835">
        <f ca="1">IF(Table_NFI[[#This Row],[Pcode]]="","",IF(OFFSET(CampList[Opening Date],MATCH(Table_NFI[[#This Row],[Pcode]],CampList[CP_Pcode],0)-1,0,1,1)&gt;=NFI_Monitor_Date,1,0))</f>
        <v>0</v>
      </c>
      <c r="AS816" s="467" t="str">
        <f>IFERROR(VLOOKUP(Table_NFI[[#This Row],[Camp Name]],CL,3,0),"")</f>
        <v>Open</v>
      </c>
      <c r="AT816" s="294" t="str">
        <f ca="1">IF(Table_NFI[[#This Row],[Pcode]]="","",OFFSET(CampList[Priority],MATCH(Table_NFI[[#This Row],[Pcode]],CampList[CP_Pcode],0)-1,0,1,1))</f>
        <v>P4</v>
      </c>
      <c r="AU816" s="293">
        <f>IFERROR(Table_NFI[[#This Row],[Kitchen Set]]/VLOOKUP(Table_NFI[[#This Row],[Camp Name]],CL,4,0),"")</f>
        <v>0</v>
      </c>
      <c r="AV816" s="461" t="s">
        <v>1092</v>
      </c>
      <c r="AW816" s="463"/>
    </row>
    <row r="817" spans="1:49" ht="14.45" customHeight="1" x14ac:dyDescent="0.25">
      <c r="A817" s="297">
        <f t="shared" si="12"/>
        <v>48.733333333333334</v>
      </c>
      <c r="B817" s="460">
        <v>41274</v>
      </c>
      <c r="C817" s="461" t="s">
        <v>453</v>
      </c>
      <c r="D817" s="462" t="s">
        <v>453</v>
      </c>
      <c r="E817" s="461" t="s">
        <v>380</v>
      </c>
      <c r="F817" s="290" t="s">
        <v>527</v>
      </c>
      <c r="G817" s="290" t="s">
        <v>43</v>
      </c>
      <c r="H817" s="291">
        <v>4</v>
      </c>
      <c r="I817" s="291"/>
      <c r="J817" s="291"/>
      <c r="K817" s="291"/>
      <c r="L817" s="292"/>
      <c r="M817" s="292"/>
      <c r="N817" s="292"/>
      <c r="O817" s="292"/>
      <c r="P817" s="294">
        <v>0</v>
      </c>
      <c r="Q817" s="294">
        <v>0</v>
      </c>
      <c r="R817" s="294"/>
      <c r="S817" s="294"/>
      <c r="T817" s="294"/>
      <c r="U817" s="294"/>
      <c r="V817" s="431"/>
      <c r="W817" s="294"/>
      <c r="X817" s="294"/>
      <c r="Y817" s="294">
        <f>IF(NFI_Expiration=1,IF($A817&lt;VLOOKUP(H$5,NFI,5,0),1,0)*Table_NFI[[#This Row],[Hygiene Kit]],Table_NFI[Hygiene Kit])</f>
        <v>0</v>
      </c>
      <c r="Z817" s="294">
        <f>IF(NFI_Expiration=1,IF($A817&lt;VLOOKUP(I$5,NFI,5,0),1,0)*Table_NFI[[#This Row],[NFI Core Kit]],Table_NFI[NFI Core Kit])</f>
        <v>0</v>
      </c>
      <c r="AA817" s="294">
        <f>IF(NFI_Expiration=1,IF($A817&lt;VLOOKUP(J$5,NFI,5,0),1,0)*Table_NFI[[#This Row],[Sanitary Kit]],Table_NFI[Sanitary Kit])</f>
        <v>0</v>
      </c>
      <c r="AB817" s="294">
        <f>IF(NFI_Expiration=1,IF($A817&lt;VLOOKUP(K$5,NFI,5,0),1,0)*Table_NFI[[#This Row],[Mosquito net]],Table_NFI[Mosquito net])</f>
        <v>0</v>
      </c>
      <c r="AC817" s="294">
        <f>IF(NFI_Expiration=1,IF($A817&lt;VLOOKUP(L$5,NFI,5,0),1,0)*Table_NFI[[#This Row],[Tarpaulin]],Table_NFI[[#This Row],[Tarpaulin]])</f>
        <v>0</v>
      </c>
      <c r="AD817" s="294">
        <f>IF(NFI_Expiration=1,IF($A817&lt;VLOOKUP(M$5,NFI,5,0),1,0)*Table_NFI[[#This Row],[Blanket]],Table_NFI[[#This Row],[Blanket]])</f>
        <v>0</v>
      </c>
      <c r="AE817" s="294">
        <f>IF(NFI_Expiration=1,IF($A817&lt;VLOOKUP(N$5,NFI,5,0),1,0)*Table_NFI[[#This Row],[Kitchen Set]],Table_NFI[Kitchen Set])</f>
        <v>0</v>
      </c>
      <c r="AF817" s="294">
        <f>IF(NFI_Expiration=1,IF($A817&lt;VLOOKUP(O$5,NFI,5,0),1,0)*Table_NFI[[#This Row],[Clothes Kit]],Table_NFI[Clothes Kit])</f>
        <v>0</v>
      </c>
      <c r="AG817" s="294">
        <f>IF(NFI_Expiration=1,IF($A817&lt;VLOOKUP(P$5,NFI,5,0),1,0)*Table_NFI[[#This Row],[Plastic Bucket]],Table_NFI[Plastic Bucket])</f>
        <v>0</v>
      </c>
      <c r="AH817" s="294">
        <f>IF(NFI_Expiration=1,IF($A817&lt;VLOOKUP(Q$5,NFI,5,0),1,0)*Table_NFI[[#This Row],[Plastic Mat]],Table_NFI[Plastic Mat])*IF(Table_NFI[[#This Row],[Distribution Date]]&gt;"2014-04-01",1,2.5)</f>
        <v>0</v>
      </c>
      <c r="AI817" s="294">
        <f>IF(NFI_Expiration=1,IF($A817&lt;VLOOKUP(R$5,NFI,5,0),1,0)*Table_NFI[[#This Row],[Winter Clothes Adult]],Table_NFI[Winter Clothes Adult])</f>
        <v>0</v>
      </c>
      <c r="AJ817" s="294">
        <f>IF(NFI_Expiration=1,IF($A817&lt;VLOOKUP(S$5,NFI,5,0),1,0)*Table_NFI[[#This Row],[Winter Clothes Children]],Table_NFI[Winter Clothes Children])</f>
        <v>0</v>
      </c>
      <c r="AK817" s="294">
        <f>IF(NFI_Expiration=1,IF($A817&lt;VLOOKUP(T$5,NFI,5,0),1,0)*Table_NFI[[#This Row],[Winter Items Other]],Table_NFI[Winter Items Other])</f>
        <v>0</v>
      </c>
      <c r="AL817" s="294">
        <f>IF(NFI_Expiration=1,IF($A817&lt;VLOOKUP(M$5,NFI,5,0),1,0)*Table_NFI[[#This Row],[Winter Blanket]],Table_NFI[[#This Row],[Winter Blanket]])</f>
        <v>0</v>
      </c>
      <c r="AM817" s="294">
        <f>IF(Table_NFI[[#This Row],[Winter Clothes Adult]]+Table_NFI[[#This Row],[Winter Clothes Children]]+Table_NFI[[#This Row],[Winter Items Other]]+Table_NFI[[#This Row],[Winter Blanket]]&gt;0,1,0)</f>
        <v>0</v>
      </c>
      <c r="AN817" s="331">
        <f>IF(NFI_Expiration=1,IF($A817&lt;VLOOKUP(V$5,NFI,5,0),1,0)*Table_NFI[[#This Row],[Jerry Can]],Table_NFI[Jerry Can])</f>
        <v>0</v>
      </c>
      <c r="AO817" s="331">
        <f>IF(NFI_Expiration=1,IF($A817&lt;VLOOKUP(V$5,NFI,5,0),1,0)*Table_NFI[[#This Row],[Shelter Tool kit]],Table_NFI[Shelter Tool kit])</f>
        <v>0</v>
      </c>
      <c r="AP817" s="331">
        <f>IF(NFI_Expiration=1,IF($A817&lt;VLOOKUP(V$5,NFI,5,0),1,0)*Table_NFI[[#This Row],[Tent]],Table_NFI[Tent])</f>
        <v>0</v>
      </c>
      <c r="AQ817" s="467" t="str">
        <f>IFERROR(VLOOKUP(Table_NFI[[#This Row],[Camp Name]],CL,2,0),"")</f>
        <v>MMR001CMP190</v>
      </c>
      <c r="AR817" s="835">
        <f ca="1">IF(Table_NFI[[#This Row],[Pcode]]="","",IF(OFFSET(CampList[Opening Date],MATCH(Table_NFI[[#This Row],[Pcode]],CampList[CP_Pcode],0)-1,0,1,1)&gt;=NFI_Monitor_Date,1,0))</f>
        <v>0</v>
      </c>
      <c r="AS817" s="467" t="str">
        <f>IFERROR(VLOOKUP(Table_NFI[[#This Row],[Camp Name]],CL,3,0),"")</f>
        <v>Open</v>
      </c>
      <c r="AT817" s="294" t="str">
        <f ca="1">IF(Table_NFI[[#This Row],[Pcode]]="","",OFFSET(CampList[Priority],MATCH(Table_NFI[[#This Row],[Pcode]],CampList[CP_Pcode],0)-1,0,1,1))</f>
        <v>P4</v>
      </c>
      <c r="AU817" s="293">
        <f>IFERROR(Table_NFI[[#This Row],[Kitchen Set]]/VLOOKUP(Table_NFI[[#This Row],[Camp Name]],CL,4,0),"")</f>
        <v>0</v>
      </c>
      <c r="AV817" s="461" t="s">
        <v>1092</v>
      </c>
      <c r="AW817" s="463"/>
    </row>
    <row r="818" spans="1:49" ht="14.45" customHeight="1" x14ac:dyDescent="0.25">
      <c r="A818" s="297">
        <f t="shared" si="12"/>
        <v>48.733333333333334</v>
      </c>
      <c r="B818" s="460">
        <v>41274</v>
      </c>
      <c r="C818" s="461" t="s">
        <v>453</v>
      </c>
      <c r="D818" s="462" t="s">
        <v>453</v>
      </c>
      <c r="E818" s="461" t="s">
        <v>380</v>
      </c>
      <c r="F818" s="290" t="s">
        <v>527</v>
      </c>
      <c r="G818" s="290" t="s">
        <v>52</v>
      </c>
      <c r="H818" s="291">
        <v>20</v>
      </c>
      <c r="I818" s="291"/>
      <c r="J818" s="291"/>
      <c r="K818" s="291"/>
      <c r="L818" s="292"/>
      <c r="M818" s="292"/>
      <c r="N818" s="292"/>
      <c r="O818" s="292"/>
      <c r="P818" s="294">
        <v>0</v>
      </c>
      <c r="Q818" s="294">
        <v>0</v>
      </c>
      <c r="R818" s="294"/>
      <c r="S818" s="294"/>
      <c r="T818" s="294"/>
      <c r="U818" s="294"/>
      <c r="V818" s="431"/>
      <c r="W818" s="294"/>
      <c r="X818" s="294"/>
      <c r="Y818" s="294">
        <f>IF(NFI_Expiration=1,IF($A818&lt;VLOOKUP(H$5,NFI,5,0),1,0)*Table_NFI[[#This Row],[Hygiene Kit]],Table_NFI[Hygiene Kit])</f>
        <v>0</v>
      </c>
      <c r="Z818" s="294">
        <f>IF(NFI_Expiration=1,IF($A818&lt;VLOOKUP(I$5,NFI,5,0),1,0)*Table_NFI[[#This Row],[NFI Core Kit]],Table_NFI[NFI Core Kit])</f>
        <v>0</v>
      </c>
      <c r="AA818" s="294">
        <f>IF(NFI_Expiration=1,IF($A818&lt;VLOOKUP(J$5,NFI,5,0),1,0)*Table_NFI[[#This Row],[Sanitary Kit]],Table_NFI[Sanitary Kit])</f>
        <v>0</v>
      </c>
      <c r="AB818" s="294">
        <f>IF(NFI_Expiration=1,IF($A818&lt;VLOOKUP(K$5,NFI,5,0),1,0)*Table_NFI[[#This Row],[Mosquito net]],Table_NFI[Mosquito net])</f>
        <v>0</v>
      </c>
      <c r="AC818" s="294">
        <f>IF(NFI_Expiration=1,IF($A818&lt;VLOOKUP(L$5,NFI,5,0),1,0)*Table_NFI[[#This Row],[Tarpaulin]],Table_NFI[[#This Row],[Tarpaulin]])</f>
        <v>0</v>
      </c>
      <c r="AD818" s="294">
        <f>IF(NFI_Expiration=1,IF($A818&lt;VLOOKUP(M$5,NFI,5,0),1,0)*Table_NFI[[#This Row],[Blanket]],Table_NFI[[#This Row],[Blanket]])</f>
        <v>0</v>
      </c>
      <c r="AE818" s="294">
        <f>IF(NFI_Expiration=1,IF($A818&lt;VLOOKUP(N$5,NFI,5,0),1,0)*Table_NFI[[#This Row],[Kitchen Set]],Table_NFI[Kitchen Set])</f>
        <v>0</v>
      </c>
      <c r="AF818" s="294">
        <f>IF(NFI_Expiration=1,IF($A818&lt;VLOOKUP(O$5,NFI,5,0),1,0)*Table_NFI[[#This Row],[Clothes Kit]],Table_NFI[Clothes Kit])</f>
        <v>0</v>
      </c>
      <c r="AG818" s="294">
        <f>IF(NFI_Expiration=1,IF($A818&lt;VLOOKUP(P$5,NFI,5,0),1,0)*Table_NFI[[#This Row],[Plastic Bucket]],Table_NFI[Plastic Bucket])</f>
        <v>0</v>
      </c>
      <c r="AH818" s="294">
        <f>IF(NFI_Expiration=1,IF($A818&lt;VLOOKUP(Q$5,NFI,5,0),1,0)*Table_NFI[[#This Row],[Plastic Mat]],Table_NFI[Plastic Mat])*IF(Table_NFI[[#This Row],[Distribution Date]]&gt;"2014-04-01",1,2.5)</f>
        <v>0</v>
      </c>
      <c r="AI818" s="294">
        <f>IF(NFI_Expiration=1,IF($A818&lt;VLOOKUP(R$5,NFI,5,0),1,0)*Table_NFI[[#This Row],[Winter Clothes Adult]],Table_NFI[Winter Clothes Adult])</f>
        <v>0</v>
      </c>
      <c r="AJ818" s="294">
        <f>IF(NFI_Expiration=1,IF($A818&lt;VLOOKUP(S$5,NFI,5,0),1,0)*Table_NFI[[#This Row],[Winter Clothes Children]],Table_NFI[Winter Clothes Children])</f>
        <v>0</v>
      </c>
      <c r="AK818" s="294">
        <f>IF(NFI_Expiration=1,IF($A818&lt;VLOOKUP(T$5,NFI,5,0),1,0)*Table_NFI[[#This Row],[Winter Items Other]],Table_NFI[Winter Items Other])</f>
        <v>0</v>
      </c>
      <c r="AL818" s="294">
        <f>IF(NFI_Expiration=1,IF($A818&lt;VLOOKUP(M$5,NFI,5,0),1,0)*Table_NFI[[#This Row],[Winter Blanket]],Table_NFI[[#This Row],[Winter Blanket]])</f>
        <v>0</v>
      </c>
      <c r="AM818" s="294">
        <f>IF(Table_NFI[[#This Row],[Winter Clothes Adult]]+Table_NFI[[#This Row],[Winter Clothes Children]]+Table_NFI[[#This Row],[Winter Items Other]]+Table_NFI[[#This Row],[Winter Blanket]]&gt;0,1,0)</f>
        <v>0</v>
      </c>
      <c r="AN818" s="331">
        <f>IF(NFI_Expiration=1,IF($A818&lt;VLOOKUP(V$5,NFI,5,0),1,0)*Table_NFI[[#This Row],[Jerry Can]],Table_NFI[Jerry Can])</f>
        <v>0</v>
      </c>
      <c r="AO818" s="331">
        <f>IF(NFI_Expiration=1,IF($A818&lt;VLOOKUP(V$5,NFI,5,0),1,0)*Table_NFI[[#This Row],[Shelter Tool kit]],Table_NFI[Shelter Tool kit])</f>
        <v>0</v>
      </c>
      <c r="AP818" s="331">
        <f>IF(NFI_Expiration=1,IF($A818&lt;VLOOKUP(V$5,NFI,5,0),1,0)*Table_NFI[[#This Row],[Tent]],Table_NFI[Tent])</f>
        <v>0</v>
      </c>
      <c r="AQ818" s="467" t="str">
        <f>IFERROR(VLOOKUP(Table_NFI[[#This Row],[Camp Name]],CL,2,0),"")</f>
        <v>MMR001CMP169</v>
      </c>
      <c r="AR818" s="835">
        <f ca="1">IF(Table_NFI[[#This Row],[Pcode]]="","",IF(OFFSET(CampList[Opening Date],MATCH(Table_NFI[[#This Row],[Pcode]],CampList[CP_Pcode],0)-1,0,1,1)&gt;=NFI_Monitor_Date,1,0))</f>
        <v>0</v>
      </c>
      <c r="AS818" s="467" t="str">
        <f>IFERROR(VLOOKUP(Table_NFI[[#This Row],[Camp Name]],CL,3,0),"")</f>
        <v>Open</v>
      </c>
      <c r="AT818" s="294" t="str">
        <f ca="1">IF(Table_NFI[[#This Row],[Pcode]]="","",OFFSET(CampList[Priority],MATCH(Table_NFI[[#This Row],[Pcode]],CampList[CP_Pcode],0)-1,0,1,1))</f>
        <v>P4</v>
      </c>
      <c r="AU818" s="293">
        <f>IFERROR(Table_NFI[[#This Row],[Kitchen Set]]/VLOOKUP(Table_NFI[[#This Row],[Camp Name]],CL,4,0),"")</f>
        <v>0</v>
      </c>
      <c r="AV818" s="461" t="s">
        <v>1092</v>
      </c>
      <c r="AW818" s="463"/>
    </row>
    <row r="819" spans="1:49" ht="14.45" customHeight="1" x14ac:dyDescent="0.25">
      <c r="A819" s="297">
        <f t="shared" si="12"/>
        <v>48.733333333333334</v>
      </c>
      <c r="B819" s="460">
        <v>41274</v>
      </c>
      <c r="C819" s="461" t="s">
        <v>453</v>
      </c>
      <c r="D819" s="462" t="s">
        <v>453</v>
      </c>
      <c r="E819" s="461" t="s">
        <v>380</v>
      </c>
      <c r="F819" s="290" t="s">
        <v>527</v>
      </c>
      <c r="G819" s="290" t="s">
        <v>76</v>
      </c>
      <c r="H819" s="291">
        <v>6</v>
      </c>
      <c r="I819" s="291"/>
      <c r="J819" s="291"/>
      <c r="K819" s="291"/>
      <c r="L819" s="292"/>
      <c r="M819" s="292"/>
      <c r="N819" s="292"/>
      <c r="O819" s="292"/>
      <c r="P819" s="294">
        <v>0</v>
      </c>
      <c r="Q819" s="294">
        <v>0</v>
      </c>
      <c r="R819" s="294"/>
      <c r="S819" s="294"/>
      <c r="T819" s="294"/>
      <c r="U819" s="294"/>
      <c r="V819" s="431"/>
      <c r="W819" s="294"/>
      <c r="X819" s="294"/>
      <c r="Y819" s="294">
        <f>IF(NFI_Expiration=1,IF($A819&lt;VLOOKUP(H$5,NFI,5,0),1,0)*Table_NFI[[#This Row],[Hygiene Kit]],Table_NFI[Hygiene Kit])</f>
        <v>0</v>
      </c>
      <c r="Z819" s="294">
        <f>IF(NFI_Expiration=1,IF($A819&lt;VLOOKUP(I$5,NFI,5,0),1,0)*Table_NFI[[#This Row],[NFI Core Kit]],Table_NFI[NFI Core Kit])</f>
        <v>0</v>
      </c>
      <c r="AA819" s="294">
        <f>IF(NFI_Expiration=1,IF($A819&lt;VLOOKUP(J$5,NFI,5,0),1,0)*Table_NFI[[#This Row],[Sanitary Kit]],Table_NFI[Sanitary Kit])</f>
        <v>0</v>
      </c>
      <c r="AB819" s="294">
        <f>IF(NFI_Expiration=1,IF($A819&lt;VLOOKUP(K$5,NFI,5,0),1,0)*Table_NFI[[#This Row],[Mosquito net]],Table_NFI[Mosquito net])</f>
        <v>0</v>
      </c>
      <c r="AC819" s="294">
        <f>IF(NFI_Expiration=1,IF($A819&lt;VLOOKUP(L$5,NFI,5,0),1,0)*Table_NFI[[#This Row],[Tarpaulin]],Table_NFI[[#This Row],[Tarpaulin]])</f>
        <v>0</v>
      </c>
      <c r="AD819" s="294">
        <f>IF(NFI_Expiration=1,IF($A819&lt;VLOOKUP(M$5,NFI,5,0),1,0)*Table_NFI[[#This Row],[Blanket]],Table_NFI[[#This Row],[Blanket]])</f>
        <v>0</v>
      </c>
      <c r="AE819" s="294">
        <f>IF(NFI_Expiration=1,IF($A819&lt;VLOOKUP(N$5,NFI,5,0),1,0)*Table_NFI[[#This Row],[Kitchen Set]],Table_NFI[Kitchen Set])</f>
        <v>0</v>
      </c>
      <c r="AF819" s="294">
        <f>IF(NFI_Expiration=1,IF($A819&lt;VLOOKUP(O$5,NFI,5,0),1,0)*Table_NFI[[#This Row],[Clothes Kit]],Table_NFI[Clothes Kit])</f>
        <v>0</v>
      </c>
      <c r="AG819" s="294">
        <f>IF(NFI_Expiration=1,IF($A819&lt;VLOOKUP(P$5,NFI,5,0),1,0)*Table_NFI[[#This Row],[Plastic Bucket]],Table_NFI[Plastic Bucket])</f>
        <v>0</v>
      </c>
      <c r="AH819" s="294">
        <f>IF(NFI_Expiration=1,IF($A819&lt;VLOOKUP(Q$5,NFI,5,0),1,0)*Table_NFI[[#This Row],[Plastic Mat]],Table_NFI[Plastic Mat])*IF(Table_NFI[[#This Row],[Distribution Date]]&gt;"2014-04-01",1,2.5)</f>
        <v>0</v>
      </c>
      <c r="AI819" s="294">
        <f>IF(NFI_Expiration=1,IF($A819&lt;VLOOKUP(R$5,NFI,5,0),1,0)*Table_NFI[[#This Row],[Winter Clothes Adult]],Table_NFI[Winter Clothes Adult])</f>
        <v>0</v>
      </c>
      <c r="AJ819" s="294">
        <f>IF(NFI_Expiration=1,IF($A819&lt;VLOOKUP(S$5,NFI,5,0),1,0)*Table_NFI[[#This Row],[Winter Clothes Children]],Table_NFI[Winter Clothes Children])</f>
        <v>0</v>
      </c>
      <c r="AK819" s="294">
        <f>IF(NFI_Expiration=1,IF($A819&lt;VLOOKUP(T$5,NFI,5,0),1,0)*Table_NFI[[#This Row],[Winter Items Other]],Table_NFI[Winter Items Other])</f>
        <v>0</v>
      </c>
      <c r="AL819" s="294">
        <f>IF(NFI_Expiration=1,IF($A819&lt;VLOOKUP(M$5,NFI,5,0),1,0)*Table_NFI[[#This Row],[Winter Blanket]],Table_NFI[[#This Row],[Winter Blanket]])</f>
        <v>0</v>
      </c>
      <c r="AM819" s="294">
        <f>IF(Table_NFI[[#This Row],[Winter Clothes Adult]]+Table_NFI[[#This Row],[Winter Clothes Children]]+Table_NFI[[#This Row],[Winter Items Other]]+Table_NFI[[#This Row],[Winter Blanket]]&gt;0,1,0)</f>
        <v>0</v>
      </c>
      <c r="AN819" s="331">
        <f>IF(NFI_Expiration=1,IF($A819&lt;VLOOKUP(V$5,NFI,5,0),1,0)*Table_NFI[[#This Row],[Jerry Can]],Table_NFI[Jerry Can])</f>
        <v>0</v>
      </c>
      <c r="AO819" s="331">
        <f>IF(NFI_Expiration=1,IF($A819&lt;VLOOKUP(V$5,NFI,5,0),1,0)*Table_NFI[[#This Row],[Shelter Tool kit]],Table_NFI[Shelter Tool kit])</f>
        <v>0</v>
      </c>
      <c r="AP819" s="331">
        <f>IF(NFI_Expiration=1,IF($A819&lt;VLOOKUP(V$5,NFI,5,0),1,0)*Table_NFI[[#This Row],[Tent]],Table_NFI[Tent])</f>
        <v>0</v>
      </c>
      <c r="AQ819" s="467" t="str">
        <f>IFERROR(VLOOKUP(Table_NFI[[#This Row],[Camp Name]],CL,2,0),"")</f>
        <v>MMR001CMP174</v>
      </c>
      <c r="AR819" s="835">
        <f ca="1">IF(Table_NFI[[#This Row],[Pcode]]="","",IF(OFFSET(CampList[Opening Date],MATCH(Table_NFI[[#This Row],[Pcode]],CampList[CP_Pcode],0)-1,0,1,1)&gt;=NFI_Monitor_Date,1,0))</f>
        <v>0</v>
      </c>
      <c r="AS819" s="467" t="str">
        <f>IFERROR(VLOOKUP(Table_NFI[[#This Row],[Camp Name]],CL,3,0),"")</f>
        <v>Open</v>
      </c>
      <c r="AT819" s="294" t="str">
        <f ca="1">IF(Table_NFI[[#This Row],[Pcode]]="","",OFFSET(CampList[Priority],MATCH(Table_NFI[[#This Row],[Pcode]],CampList[CP_Pcode],0)-1,0,1,1))</f>
        <v>P4</v>
      </c>
      <c r="AU819" s="293">
        <f>IFERROR(Table_NFI[[#This Row],[Kitchen Set]]/VLOOKUP(Table_NFI[[#This Row],[Camp Name]],CL,4,0),"")</f>
        <v>0</v>
      </c>
      <c r="AV819" s="461" t="s">
        <v>1092</v>
      </c>
      <c r="AW819" s="463"/>
    </row>
    <row r="820" spans="1:49" ht="14.45" customHeight="1" x14ac:dyDescent="0.25">
      <c r="A820" s="297">
        <f t="shared" si="12"/>
        <v>48.733333333333334</v>
      </c>
      <c r="B820" s="460">
        <v>41274</v>
      </c>
      <c r="C820" s="461" t="s">
        <v>453</v>
      </c>
      <c r="D820" s="462" t="s">
        <v>453</v>
      </c>
      <c r="E820" s="461" t="s">
        <v>380</v>
      </c>
      <c r="F820" s="461" t="s">
        <v>310</v>
      </c>
      <c r="G820" s="290" t="s">
        <v>313</v>
      </c>
      <c r="H820" s="291">
        <v>136</v>
      </c>
      <c r="I820" s="291"/>
      <c r="J820" s="291"/>
      <c r="K820" s="291"/>
      <c r="L820" s="292"/>
      <c r="M820" s="292"/>
      <c r="N820" s="292"/>
      <c r="O820" s="292"/>
      <c r="P820" s="294">
        <v>0</v>
      </c>
      <c r="Q820" s="294">
        <v>0</v>
      </c>
      <c r="R820" s="294"/>
      <c r="S820" s="294"/>
      <c r="T820" s="294"/>
      <c r="U820" s="294"/>
      <c r="V820" s="431"/>
      <c r="W820" s="294"/>
      <c r="X820" s="294"/>
      <c r="Y820" s="294">
        <f>IF(NFI_Expiration=1,IF($A820&lt;VLOOKUP(H$5,NFI,5,0),1,0)*Table_NFI[[#This Row],[Hygiene Kit]],Table_NFI[Hygiene Kit])</f>
        <v>0</v>
      </c>
      <c r="Z820" s="294">
        <f>IF(NFI_Expiration=1,IF($A820&lt;VLOOKUP(I$5,NFI,5,0),1,0)*Table_NFI[[#This Row],[NFI Core Kit]],Table_NFI[NFI Core Kit])</f>
        <v>0</v>
      </c>
      <c r="AA820" s="294">
        <f>IF(NFI_Expiration=1,IF($A820&lt;VLOOKUP(J$5,NFI,5,0),1,0)*Table_NFI[[#This Row],[Sanitary Kit]],Table_NFI[Sanitary Kit])</f>
        <v>0</v>
      </c>
      <c r="AB820" s="294">
        <f>IF(NFI_Expiration=1,IF($A820&lt;VLOOKUP(K$5,NFI,5,0),1,0)*Table_NFI[[#This Row],[Mosquito net]],Table_NFI[Mosquito net])</f>
        <v>0</v>
      </c>
      <c r="AC820" s="294">
        <f>IF(NFI_Expiration=1,IF($A820&lt;VLOOKUP(L$5,NFI,5,0),1,0)*Table_NFI[[#This Row],[Tarpaulin]],Table_NFI[[#This Row],[Tarpaulin]])</f>
        <v>0</v>
      </c>
      <c r="AD820" s="294">
        <f>IF(NFI_Expiration=1,IF($A820&lt;VLOOKUP(M$5,NFI,5,0),1,0)*Table_NFI[[#This Row],[Blanket]],Table_NFI[[#This Row],[Blanket]])</f>
        <v>0</v>
      </c>
      <c r="AE820" s="294">
        <f>IF(NFI_Expiration=1,IF($A820&lt;VLOOKUP(N$5,NFI,5,0),1,0)*Table_NFI[[#This Row],[Kitchen Set]],Table_NFI[Kitchen Set])</f>
        <v>0</v>
      </c>
      <c r="AF820" s="294">
        <f>IF(NFI_Expiration=1,IF($A820&lt;VLOOKUP(O$5,NFI,5,0),1,0)*Table_NFI[[#This Row],[Clothes Kit]],Table_NFI[Clothes Kit])</f>
        <v>0</v>
      </c>
      <c r="AG820" s="294">
        <f>IF(NFI_Expiration=1,IF($A820&lt;VLOOKUP(P$5,NFI,5,0),1,0)*Table_NFI[[#This Row],[Plastic Bucket]],Table_NFI[Plastic Bucket])</f>
        <v>0</v>
      </c>
      <c r="AH820" s="294">
        <f>IF(NFI_Expiration=1,IF($A820&lt;VLOOKUP(Q$5,NFI,5,0),1,0)*Table_NFI[[#This Row],[Plastic Mat]],Table_NFI[Plastic Mat])*IF(Table_NFI[[#This Row],[Distribution Date]]&gt;"2014-04-01",1,2.5)</f>
        <v>0</v>
      </c>
      <c r="AI820" s="294">
        <f>IF(NFI_Expiration=1,IF($A820&lt;VLOOKUP(R$5,NFI,5,0),1,0)*Table_NFI[[#This Row],[Winter Clothes Adult]],Table_NFI[Winter Clothes Adult])</f>
        <v>0</v>
      </c>
      <c r="AJ820" s="294">
        <f>IF(NFI_Expiration=1,IF($A820&lt;VLOOKUP(S$5,NFI,5,0),1,0)*Table_NFI[[#This Row],[Winter Clothes Children]],Table_NFI[Winter Clothes Children])</f>
        <v>0</v>
      </c>
      <c r="AK820" s="294">
        <f>IF(NFI_Expiration=1,IF($A820&lt;VLOOKUP(T$5,NFI,5,0),1,0)*Table_NFI[[#This Row],[Winter Items Other]],Table_NFI[Winter Items Other])</f>
        <v>0</v>
      </c>
      <c r="AL820" s="294">
        <f>IF(NFI_Expiration=1,IF($A820&lt;VLOOKUP(M$5,NFI,5,0),1,0)*Table_NFI[[#This Row],[Winter Blanket]],Table_NFI[[#This Row],[Winter Blanket]])</f>
        <v>0</v>
      </c>
      <c r="AM820" s="294">
        <f>IF(Table_NFI[[#This Row],[Winter Clothes Adult]]+Table_NFI[[#This Row],[Winter Clothes Children]]+Table_NFI[[#This Row],[Winter Items Other]]+Table_NFI[[#This Row],[Winter Blanket]]&gt;0,1,0)</f>
        <v>0</v>
      </c>
      <c r="AN820" s="331">
        <f>IF(NFI_Expiration=1,IF($A820&lt;VLOOKUP(V$5,NFI,5,0),1,0)*Table_NFI[[#This Row],[Jerry Can]],Table_NFI[Jerry Can])</f>
        <v>0</v>
      </c>
      <c r="AO820" s="331">
        <f>IF(NFI_Expiration=1,IF($A820&lt;VLOOKUP(V$5,NFI,5,0),1,0)*Table_NFI[[#This Row],[Shelter Tool kit]],Table_NFI[Shelter Tool kit])</f>
        <v>0</v>
      </c>
      <c r="AP820" s="331">
        <f>IF(NFI_Expiration=1,IF($A820&lt;VLOOKUP(V$5,NFI,5,0),1,0)*Table_NFI[[#This Row],[Tent]],Table_NFI[Tent])</f>
        <v>0</v>
      </c>
      <c r="AQ820" s="467" t="str">
        <f>IFERROR(VLOOKUP(Table_NFI[[#This Row],[Camp Name]],CL,2,0),"")</f>
        <v>MMR001CMP028</v>
      </c>
      <c r="AR820" s="835">
        <f ca="1">IF(Table_NFI[[#This Row],[Pcode]]="","",IF(OFFSET(CampList[Opening Date],MATCH(Table_NFI[[#This Row],[Pcode]],CampList[CP_Pcode],0)-1,0,1,1)&gt;=NFI_Monitor_Date,1,0))</f>
        <v>0</v>
      </c>
      <c r="AS820" s="467" t="str">
        <f>IFERROR(VLOOKUP(Table_NFI[[#This Row],[Camp Name]],CL,3,0),"")</f>
        <v>Open</v>
      </c>
      <c r="AT820" s="294" t="str">
        <f ca="1">IF(Table_NFI[[#This Row],[Pcode]]="","",OFFSET(CampList[Priority],MATCH(Table_NFI[[#This Row],[Pcode]],CampList[CP_Pcode],0)-1,0,1,1))</f>
        <v>P4</v>
      </c>
      <c r="AU820" s="293">
        <f>IFERROR(Table_NFI[[#This Row],[Kitchen Set]]/VLOOKUP(Table_NFI[[#This Row],[Camp Name]],CL,4,0),"")</f>
        <v>0</v>
      </c>
      <c r="AV820" s="461" t="s">
        <v>1092</v>
      </c>
      <c r="AW820" s="463"/>
    </row>
    <row r="821" spans="1:49" ht="14.45" customHeight="1" x14ac:dyDescent="0.25">
      <c r="A821" s="297">
        <f t="shared" si="12"/>
        <v>48.733333333333334</v>
      </c>
      <c r="B821" s="460">
        <v>41274</v>
      </c>
      <c r="C821" s="461" t="s">
        <v>453</v>
      </c>
      <c r="D821" s="461" t="s">
        <v>453</v>
      </c>
      <c r="E821" s="461" t="s">
        <v>380</v>
      </c>
      <c r="F821" s="461" t="s">
        <v>527</v>
      </c>
      <c r="G821" s="290" t="s">
        <v>88</v>
      </c>
      <c r="H821" s="291">
        <v>4</v>
      </c>
      <c r="I821" s="291"/>
      <c r="J821" s="291"/>
      <c r="K821" s="291"/>
      <c r="L821" s="292"/>
      <c r="M821" s="292"/>
      <c r="N821" s="292"/>
      <c r="O821" s="292"/>
      <c r="P821" s="294">
        <v>0</v>
      </c>
      <c r="Q821" s="294">
        <v>0</v>
      </c>
      <c r="R821" s="294"/>
      <c r="S821" s="294"/>
      <c r="T821" s="294"/>
      <c r="U821" s="294"/>
      <c r="V821" s="431"/>
      <c r="W821" s="294"/>
      <c r="X821" s="294"/>
      <c r="Y821" s="294">
        <f>IF(NFI_Expiration=1,IF($A821&lt;VLOOKUP(H$5,NFI,5,0),1,0)*Table_NFI[[#This Row],[Hygiene Kit]],Table_NFI[Hygiene Kit])</f>
        <v>0</v>
      </c>
      <c r="Z821" s="294">
        <f>IF(NFI_Expiration=1,IF($A821&lt;VLOOKUP(I$5,NFI,5,0),1,0)*Table_NFI[[#This Row],[NFI Core Kit]],Table_NFI[NFI Core Kit])</f>
        <v>0</v>
      </c>
      <c r="AA821" s="294">
        <f>IF(NFI_Expiration=1,IF($A821&lt;VLOOKUP(J$5,NFI,5,0),1,0)*Table_NFI[[#This Row],[Sanitary Kit]],Table_NFI[Sanitary Kit])</f>
        <v>0</v>
      </c>
      <c r="AB821" s="294">
        <f>IF(NFI_Expiration=1,IF($A821&lt;VLOOKUP(K$5,NFI,5,0),1,0)*Table_NFI[[#This Row],[Mosquito net]],Table_NFI[Mosquito net])</f>
        <v>0</v>
      </c>
      <c r="AC821" s="294">
        <f>IF(NFI_Expiration=1,IF($A821&lt;VLOOKUP(L$5,NFI,5,0),1,0)*Table_NFI[[#This Row],[Tarpaulin]],Table_NFI[[#This Row],[Tarpaulin]])</f>
        <v>0</v>
      </c>
      <c r="AD821" s="294">
        <f>IF(NFI_Expiration=1,IF($A821&lt;VLOOKUP(M$5,NFI,5,0),1,0)*Table_NFI[[#This Row],[Blanket]],Table_NFI[[#This Row],[Blanket]])</f>
        <v>0</v>
      </c>
      <c r="AE821" s="294">
        <f>IF(NFI_Expiration=1,IF($A821&lt;VLOOKUP(N$5,NFI,5,0),1,0)*Table_NFI[[#This Row],[Kitchen Set]],Table_NFI[Kitchen Set])</f>
        <v>0</v>
      </c>
      <c r="AF821" s="294">
        <f>IF(NFI_Expiration=1,IF($A821&lt;VLOOKUP(O$5,NFI,5,0),1,0)*Table_NFI[[#This Row],[Clothes Kit]],Table_NFI[Clothes Kit])</f>
        <v>0</v>
      </c>
      <c r="AG821" s="294">
        <f>IF(NFI_Expiration=1,IF($A821&lt;VLOOKUP(P$5,NFI,5,0),1,0)*Table_NFI[[#This Row],[Plastic Bucket]],Table_NFI[Plastic Bucket])</f>
        <v>0</v>
      </c>
      <c r="AH821" s="294">
        <f>IF(NFI_Expiration=1,IF($A821&lt;VLOOKUP(Q$5,NFI,5,0),1,0)*Table_NFI[[#This Row],[Plastic Mat]],Table_NFI[Plastic Mat])*IF(Table_NFI[[#This Row],[Distribution Date]]&gt;"2014-04-01",1,2.5)</f>
        <v>0</v>
      </c>
      <c r="AI821" s="294">
        <f>IF(NFI_Expiration=1,IF($A821&lt;VLOOKUP(R$5,NFI,5,0),1,0)*Table_NFI[[#This Row],[Winter Clothes Adult]],Table_NFI[Winter Clothes Adult])</f>
        <v>0</v>
      </c>
      <c r="AJ821" s="294">
        <f>IF(NFI_Expiration=1,IF($A821&lt;VLOOKUP(S$5,NFI,5,0),1,0)*Table_NFI[[#This Row],[Winter Clothes Children]],Table_NFI[Winter Clothes Children])</f>
        <v>0</v>
      </c>
      <c r="AK821" s="294">
        <f>IF(NFI_Expiration=1,IF($A821&lt;VLOOKUP(T$5,NFI,5,0),1,0)*Table_NFI[[#This Row],[Winter Items Other]],Table_NFI[Winter Items Other])</f>
        <v>0</v>
      </c>
      <c r="AL821" s="294">
        <f>IF(NFI_Expiration=1,IF($A821&lt;VLOOKUP(M$5,NFI,5,0),1,0)*Table_NFI[[#This Row],[Winter Blanket]],Table_NFI[[#This Row],[Winter Blanket]])</f>
        <v>0</v>
      </c>
      <c r="AM821" s="294">
        <f>IF(Table_NFI[[#This Row],[Winter Clothes Adult]]+Table_NFI[[#This Row],[Winter Clothes Children]]+Table_NFI[[#This Row],[Winter Items Other]]+Table_NFI[[#This Row],[Winter Blanket]]&gt;0,1,0)</f>
        <v>0</v>
      </c>
      <c r="AN821" s="331">
        <f>IF(NFI_Expiration=1,IF($A821&lt;VLOOKUP(V$5,NFI,5,0),1,0)*Table_NFI[[#This Row],[Jerry Can]],Table_NFI[Jerry Can])</f>
        <v>0</v>
      </c>
      <c r="AO821" s="331">
        <f>IF(NFI_Expiration=1,IF($A821&lt;VLOOKUP(V$5,NFI,5,0),1,0)*Table_NFI[[#This Row],[Shelter Tool kit]],Table_NFI[Shelter Tool kit])</f>
        <v>0</v>
      </c>
      <c r="AP821" s="331">
        <f>IF(NFI_Expiration=1,IF($A821&lt;VLOOKUP(V$5,NFI,5,0),1,0)*Table_NFI[[#This Row],[Tent]],Table_NFI[Tent])</f>
        <v>0</v>
      </c>
      <c r="AQ821" s="467" t="str">
        <f>IFERROR(VLOOKUP(Table_NFI[[#This Row],[Camp Name]],CL,2,0),"")</f>
        <v>MMR001CMP148</v>
      </c>
      <c r="AR821" s="835">
        <f ca="1">IF(Table_NFI[[#This Row],[Pcode]]="","",IF(OFFSET(CampList[Opening Date],MATCH(Table_NFI[[#This Row],[Pcode]],CampList[CP_Pcode],0)-1,0,1,1)&gt;=NFI_Monitor_Date,1,0))</f>
        <v>0</v>
      </c>
      <c r="AS821" s="467" t="str">
        <f>IFERROR(VLOOKUP(Table_NFI[[#This Row],[Camp Name]],CL,3,0),"")</f>
        <v>Open</v>
      </c>
      <c r="AT821" s="294" t="str">
        <f ca="1">IF(Table_NFI[[#This Row],[Pcode]]="","",OFFSET(CampList[Priority],MATCH(Table_NFI[[#This Row],[Pcode]],CampList[CP_Pcode],0)-1,0,1,1))</f>
        <v>P4</v>
      </c>
      <c r="AU821" s="293">
        <f>IFERROR(Table_NFI[[#This Row],[Kitchen Set]]/VLOOKUP(Table_NFI[[#This Row],[Camp Name]],CL,4,0),"")</f>
        <v>0</v>
      </c>
      <c r="AV821" s="461" t="s">
        <v>1092</v>
      </c>
      <c r="AW821" s="463"/>
    </row>
    <row r="822" spans="1:49" ht="14.45" customHeight="1" x14ac:dyDescent="0.25">
      <c r="A822" s="297">
        <f t="shared" si="12"/>
        <v>48.733333333333334</v>
      </c>
      <c r="B822" s="460">
        <v>41274</v>
      </c>
      <c r="C822" s="461" t="s">
        <v>453</v>
      </c>
      <c r="D822" s="462" t="s">
        <v>453</v>
      </c>
      <c r="E822" s="461" t="s">
        <v>380</v>
      </c>
      <c r="F822" s="290" t="s">
        <v>527</v>
      </c>
      <c r="G822" s="290" t="s">
        <v>44</v>
      </c>
      <c r="H822" s="291">
        <v>3</v>
      </c>
      <c r="I822" s="291"/>
      <c r="J822" s="291"/>
      <c r="K822" s="291"/>
      <c r="L822" s="292"/>
      <c r="M822" s="292"/>
      <c r="N822" s="292"/>
      <c r="O822" s="292"/>
      <c r="P822" s="294">
        <v>0</v>
      </c>
      <c r="Q822" s="294">
        <v>0</v>
      </c>
      <c r="R822" s="294"/>
      <c r="S822" s="294"/>
      <c r="T822" s="294"/>
      <c r="U822" s="294"/>
      <c r="V822" s="431"/>
      <c r="W822" s="294"/>
      <c r="X822" s="294"/>
      <c r="Y822" s="294">
        <f>IF(NFI_Expiration=1,IF($A822&lt;VLOOKUP(H$5,NFI,5,0),1,0)*Table_NFI[[#This Row],[Hygiene Kit]],Table_NFI[Hygiene Kit])</f>
        <v>0</v>
      </c>
      <c r="Z822" s="294">
        <f>IF(NFI_Expiration=1,IF($A822&lt;VLOOKUP(I$5,NFI,5,0),1,0)*Table_NFI[[#This Row],[NFI Core Kit]],Table_NFI[NFI Core Kit])</f>
        <v>0</v>
      </c>
      <c r="AA822" s="294">
        <f>IF(NFI_Expiration=1,IF($A822&lt;VLOOKUP(J$5,NFI,5,0),1,0)*Table_NFI[[#This Row],[Sanitary Kit]],Table_NFI[Sanitary Kit])</f>
        <v>0</v>
      </c>
      <c r="AB822" s="294">
        <f>IF(NFI_Expiration=1,IF($A822&lt;VLOOKUP(K$5,NFI,5,0),1,0)*Table_NFI[[#This Row],[Mosquito net]],Table_NFI[Mosquito net])</f>
        <v>0</v>
      </c>
      <c r="AC822" s="294">
        <f>IF(NFI_Expiration=1,IF($A822&lt;VLOOKUP(L$5,NFI,5,0),1,0)*Table_NFI[[#This Row],[Tarpaulin]],Table_NFI[[#This Row],[Tarpaulin]])</f>
        <v>0</v>
      </c>
      <c r="AD822" s="294">
        <f>IF(NFI_Expiration=1,IF($A822&lt;VLOOKUP(M$5,NFI,5,0),1,0)*Table_NFI[[#This Row],[Blanket]],Table_NFI[[#This Row],[Blanket]])</f>
        <v>0</v>
      </c>
      <c r="AE822" s="294">
        <f>IF(NFI_Expiration=1,IF($A822&lt;VLOOKUP(N$5,NFI,5,0),1,0)*Table_NFI[[#This Row],[Kitchen Set]],Table_NFI[Kitchen Set])</f>
        <v>0</v>
      </c>
      <c r="AF822" s="294">
        <f>IF(NFI_Expiration=1,IF($A822&lt;VLOOKUP(O$5,NFI,5,0),1,0)*Table_NFI[[#This Row],[Clothes Kit]],Table_NFI[Clothes Kit])</f>
        <v>0</v>
      </c>
      <c r="AG822" s="294">
        <f>IF(NFI_Expiration=1,IF($A822&lt;VLOOKUP(P$5,NFI,5,0),1,0)*Table_NFI[[#This Row],[Plastic Bucket]],Table_NFI[Plastic Bucket])</f>
        <v>0</v>
      </c>
      <c r="AH822" s="294">
        <f>IF(NFI_Expiration=1,IF($A822&lt;VLOOKUP(Q$5,NFI,5,0),1,0)*Table_NFI[[#This Row],[Plastic Mat]],Table_NFI[Plastic Mat])*IF(Table_NFI[[#This Row],[Distribution Date]]&gt;"2014-04-01",1,2.5)</f>
        <v>0</v>
      </c>
      <c r="AI822" s="294">
        <f>IF(NFI_Expiration=1,IF($A822&lt;VLOOKUP(R$5,NFI,5,0),1,0)*Table_NFI[[#This Row],[Winter Clothes Adult]],Table_NFI[Winter Clothes Adult])</f>
        <v>0</v>
      </c>
      <c r="AJ822" s="294">
        <f>IF(NFI_Expiration=1,IF($A822&lt;VLOOKUP(S$5,NFI,5,0),1,0)*Table_NFI[[#This Row],[Winter Clothes Children]],Table_NFI[Winter Clothes Children])</f>
        <v>0</v>
      </c>
      <c r="AK822" s="294">
        <f>IF(NFI_Expiration=1,IF($A822&lt;VLOOKUP(T$5,NFI,5,0),1,0)*Table_NFI[[#This Row],[Winter Items Other]],Table_NFI[Winter Items Other])</f>
        <v>0</v>
      </c>
      <c r="AL822" s="294">
        <f>IF(NFI_Expiration=1,IF($A822&lt;VLOOKUP(M$5,NFI,5,0),1,0)*Table_NFI[[#This Row],[Winter Blanket]],Table_NFI[[#This Row],[Winter Blanket]])</f>
        <v>0</v>
      </c>
      <c r="AM822" s="294">
        <f>IF(Table_NFI[[#This Row],[Winter Clothes Adult]]+Table_NFI[[#This Row],[Winter Clothes Children]]+Table_NFI[[#This Row],[Winter Items Other]]+Table_NFI[[#This Row],[Winter Blanket]]&gt;0,1,0)</f>
        <v>0</v>
      </c>
      <c r="AN822" s="331">
        <f>IF(NFI_Expiration=1,IF($A822&lt;VLOOKUP(V$5,NFI,5,0),1,0)*Table_NFI[[#This Row],[Jerry Can]],Table_NFI[Jerry Can])</f>
        <v>0</v>
      </c>
      <c r="AO822" s="331">
        <f>IF(NFI_Expiration=1,IF($A822&lt;VLOOKUP(V$5,NFI,5,0),1,0)*Table_NFI[[#This Row],[Shelter Tool kit]],Table_NFI[Shelter Tool kit])</f>
        <v>0</v>
      </c>
      <c r="AP822" s="331">
        <f>IF(NFI_Expiration=1,IF($A822&lt;VLOOKUP(V$5,NFI,5,0),1,0)*Table_NFI[[#This Row],[Tent]],Table_NFI[Tent])</f>
        <v>0</v>
      </c>
      <c r="AQ822" s="467" t="str">
        <f>IFERROR(VLOOKUP(Table_NFI[[#This Row],[Camp Name]],CL,2,0),"")</f>
        <v>MMR001CMP191</v>
      </c>
      <c r="AR822" s="835">
        <f ca="1">IF(Table_NFI[[#This Row],[Pcode]]="","",IF(OFFSET(CampList[Opening Date],MATCH(Table_NFI[[#This Row],[Pcode]],CampList[CP_Pcode],0)-1,0,1,1)&gt;=NFI_Monitor_Date,1,0))</f>
        <v>0</v>
      </c>
      <c r="AS822" s="467" t="str">
        <f>IFERROR(VLOOKUP(Table_NFI[[#This Row],[Camp Name]],CL,3,0),"")</f>
        <v>Open</v>
      </c>
      <c r="AT822" s="294" t="str">
        <f ca="1">IF(Table_NFI[[#This Row],[Pcode]]="","",OFFSET(CampList[Priority],MATCH(Table_NFI[[#This Row],[Pcode]],CampList[CP_Pcode],0)-1,0,1,1))</f>
        <v>P4</v>
      </c>
      <c r="AU822" s="293">
        <f>IFERROR(Table_NFI[[#This Row],[Kitchen Set]]/VLOOKUP(Table_NFI[[#This Row],[Camp Name]],CL,4,0),"")</f>
        <v>0</v>
      </c>
      <c r="AV822" s="461" t="s">
        <v>1092</v>
      </c>
      <c r="AW822" s="463"/>
    </row>
    <row r="823" spans="1:49" x14ac:dyDescent="0.25">
      <c r="A823" s="297">
        <f t="shared" si="12"/>
        <v>48.733333333333334</v>
      </c>
      <c r="B823" s="460">
        <v>41274</v>
      </c>
      <c r="C823" s="461" t="s">
        <v>453</v>
      </c>
      <c r="D823" s="462" t="s">
        <v>453</v>
      </c>
      <c r="E823" s="461" t="s">
        <v>380</v>
      </c>
      <c r="F823" s="290" t="s">
        <v>527</v>
      </c>
      <c r="G823" s="290" t="s">
        <v>92</v>
      </c>
      <c r="H823" s="291">
        <v>1</v>
      </c>
      <c r="I823" s="291"/>
      <c r="J823" s="291"/>
      <c r="K823" s="291"/>
      <c r="L823" s="292"/>
      <c r="M823" s="292"/>
      <c r="N823" s="292"/>
      <c r="O823" s="292"/>
      <c r="P823" s="294">
        <v>0</v>
      </c>
      <c r="Q823" s="294">
        <v>0</v>
      </c>
      <c r="R823" s="294"/>
      <c r="S823" s="294"/>
      <c r="T823" s="294"/>
      <c r="U823" s="294"/>
      <c r="V823" s="431"/>
      <c r="W823" s="294"/>
      <c r="X823" s="294"/>
      <c r="Y823" s="294">
        <f>IF(NFI_Expiration=1,IF($A823&lt;VLOOKUP(H$5,NFI,5,0),1,0)*Table_NFI[[#This Row],[Hygiene Kit]],Table_NFI[Hygiene Kit])</f>
        <v>0</v>
      </c>
      <c r="Z823" s="294">
        <f>IF(NFI_Expiration=1,IF($A823&lt;VLOOKUP(I$5,NFI,5,0),1,0)*Table_NFI[[#This Row],[NFI Core Kit]],Table_NFI[NFI Core Kit])</f>
        <v>0</v>
      </c>
      <c r="AA823" s="294">
        <f>IF(NFI_Expiration=1,IF($A823&lt;VLOOKUP(J$5,NFI,5,0),1,0)*Table_NFI[[#This Row],[Sanitary Kit]],Table_NFI[Sanitary Kit])</f>
        <v>0</v>
      </c>
      <c r="AB823" s="294">
        <f>IF(NFI_Expiration=1,IF($A823&lt;VLOOKUP(K$5,NFI,5,0),1,0)*Table_NFI[[#This Row],[Mosquito net]],Table_NFI[Mosquito net])</f>
        <v>0</v>
      </c>
      <c r="AC823" s="294">
        <f>IF(NFI_Expiration=1,IF($A823&lt;VLOOKUP(L$5,NFI,5,0),1,0)*Table_NFI[[#This Row],[Tarpaulin]],Table_NFI[[#This Row],[Tarpaulin]])</f>
        <v>0</v>
      </c>
      <c r="AD823" s="294">
        <f>IF(NFI_Expiration=1,IF($A823&lt;VLOOKUP(M$5,NFI,5,0),1,0)*Table_NFI[[#This Row],[Blanket]],Table_NFI[[#This Row],[Blanket]])</f>
        <v>0</v>
      </c>
      <c r="AE823" s="294">
        <f>IF(NFI_Expiration=1,IF($A823&lt;VLOOKUP(N$5,NFI,5,0),1,0)*Table_NFI[[#This Row],[Kitchen Set]],Table_NFI[Kitchen Set])</f>
        <v>0</v>
      </c>
      <c r="AF823" s="294">
        <f>IF(NFI_Expiration=1,IF($A823&lt;VLOOKUP(O$5,NFI,5,0),1,0)*Table_NFI[[#This Row],[Clothes Kit]],Table_NFI[Clothes Kit])</f>
        <v>0</v>
      </c>
      <c r="AG823" s="294">
        <f>IF(NFI_Expiration=1,IF($A823&lt;VLOOKUP(P$5,NFI,5,0),1,0)*Table_NFI[[#This Row],[Plastic Bucket]],Table_NFI[Plastic Bucket])</f>
        <v>0</v>
      </c>
      <c r="AH823" s="294">
        <f>IF(NFI_Expiration=1,IF($A823&lt;VLOOKUP(Q$5,NFI,5,0),1,0)*Table_NFI[[#This Row],[Plastic Mat]],Table_NFI[Plastic Mat])*IF(Table_NFI[[#This Row],[Distribution Date]]&gt;"2014-04-01",1,2.5)</f>
        <v>0</v>
      </c>
      <c r="AI823" s="294">
        <f>IF(NFI_Expiration=1,IF($A823&lt;VLOOKUP(R$5,NFI,5,0),1,0)*Table_NFI[[#This Row],[Winter Clothes Adult]],Table_NFI[Winter Clothes Adult])</f>
        <v>0</v>
      </c>
      <c r="AJ823" s="294">
        <f>IF(NFI_Expiration=1,IF($A823&lt;VLOOKUP(S$5,NFI,5,0),1,0)*Table_NFI[[#This Row],[Winter Clothes Children]],Table_NFI[Winter Clothes Children])</f>
        <v>0</v>
      </c>
      <c r="AK823" s="294">
        <f>IF(NFI_Expiration=1,IF($A823&lt;VLOOKUP(T$5,NFI,5,0),1,0)*Table_NFI[[#This Row],[Winter Items Other]],Table_NFI[Winter Items Other])</f>
        <v>0</v>
      </c>
      <c r="AL823" s="294">
        <f>IF(NFI_Expiration=1,IF($A823&lt;VLOOKUP(M$5,NFI,5,0),1,0)*Table_NFI[[#This Row],[Winter Blanket]],Table_NFI[[#This Row],[Winter Blanket]])</f>
        <v>0</v>
      </c>
      <c r="AM823" s="294">
        <f>IF(Table_NFI[[#This Row],[Winter Clothes Adult]]+Table_NFI[[#This Row],[Winter Clothes Children]]+Table_NFI[[#This Row],[Winter Items Other]]+Table_NFI[[#This Row],[Winter Blanket]]&gt;0,1,0)</f>
        <v>0</v>
      </c>
      <c r="AN823" s="331">
        <f>IF(NFI_Expiration=1,IF($A823&lt;VLOOKUP(V$5,NFI,5,0),1,0)*Table_NFI[[#This Row],[Jerry Can]],Table_NFI[Jerry Can])</f>
        <v>0</v>
      </c>
      <c r="AO823" s="331">
        <f>IF(NFI_Expiration=1,IF($A823&lt;VLOOKUP(V$5,NFI,5,0),1,0)*Table_NFI[[#This Row],[Shelter Tool kit]],Table_NFI[Shelter Tool kit])</f>
        <v>0</v>
      </c>
      <c r="AP823" s="331">
        <f>IF(NFI_Expiration=1,IF($A823&lt;VLOOKUP(V$5,NFI,5,0),1,0)*Table_NFI[[#This Row],[Tent]],Table_NFI[Tent])</f>
        <v>0</v>
      </c>
      <c r="AQ823" s="467" t="str">
        <f>IFERROR(VLOOKUP(Table_NFI[[#This Row],[Camp Name]],CL,2,0),"")</f>
        <v>MMR001CMP167</v>
      </c>
      <c r="AR823" s="835">
        <f ca="1">IF(Table_NFI[[#This Row],[Pcode]]="","",IF(OFFSET(CampList[Opening Date],MATCH(Table_NFI[[#This Row],[Pcode]],CampList[CP_Pcode],0)-1,0,1,1)&gt;=NFI_Monitor_Date,1,0))</f>
        <v>0</v>
      </c>
      <c r="AS823" s="467" t="str">
        <f>IFERROR(VLOOKUP(Table_NFI[[#This Row],[Camp Name]],CL,3,0),"")</f>
        <v>Open</v>
      </c>
      <c r="AT823" s="294" t="str">
        <f ca="1">IF(Table_NFI[[#This Row],[Pcode]]="","",OFFSET(CampList[Priority],MATCH(Table_NFI[[#This Row],[Pcode]],CampList[CP_Pcode],0)-1,0,1,1))</f>
        <v>P4</v>
      </c>
      <c r="AU823" s="293">
        <f>IFERROR(Table_NFI[[#This Row],[Kitchen Set]]/VLOOKUP(Table_NFI[[#This Row],[Camp Name]],CL,4,0),"")</f>
        <v>0</v>
      </c>
      <c r="AV823" s="461" t="s">
        <v>1092</v>
      </c>
      <c r="AW823" s="463"/>
    </row>
    <row r="824" spans="1:49" x14ac:dyDescent="0.25">
      <c r="A824" s="297">
        <f t="shared" si="12"/>
        <v>48.733333333333334</v>
      </c>
      <c r="B824" s="460">
        <v>41274</v>
      </c>
      <c r="C824" s="461" t="s">
        <v>453</v>
      </c>
      <c r="D824" s="461" t="s">
        <v>453</v>
      </c>
      <c r="E824" s="461" t="s">
        <v>380</v>
      </c>
      <c r="F824" s="290" t="s">
        <v>310</v>
      </c>
      <c r="G824" s="290" t="s">
        <v>320</v>
      </c>
      <c r="H824" s="291">
        <v>23</v>
      </c>
      <c r="I824" s="291"/>
      <c r="J824" s="291"/>
      <c r="K824" s="291"/>
      <c r="L824" s="292"/>
      <c r="M824" s="292"/>
      <c r="N824" s="292"/>
      <c r="O824" s="292"/>
      <c r="P824" s="294">
        <v>0</v>
      </c>
      <c r="Q824" s="294">
        <v>0</v>
      </c>
      <c r="R824" s="294"/>
      <c r="S824" s="294"/>
      <c r="T824" s="294"/>
      <c r="U824" s="294"/>
      <c r="V824" s="431"/>
      <c r="W824" s="294"/>
      <c r="X824" s="294"/>
      <c r="Y824" s="294">
        <f>IF(NFI_Expiration=1,IF($A824&lt;VLOOKUP(H$5,NFI,5,0),1,0)*Table_NFI[[#This Row],[Hygiene Kit]],Table_NFI[Hygiene Kit])</f>
        <v>0</v>
      </c>
      <c r="Z824" s="294">
        <f>IF(NFI_Expiration=1,IF($A824&lt;VLOOKUP(I$5,NFI,5,0),1,0)*Table_NFI[[#This Row],[NFI Core Kit]],Table_NFI[NFI Core Kit])</f>
        <v>0</v>
      </c>
      <c r="AA824" s="294">
        <f>IF(NFI_Expiration=1,IF($A824&lt;VLOOKUP(J$5,NFI,5,0),1,0)*Table_NFI[[#This Row],[Sanitary Kit]],Table_NFI[Sanitary Kit])</f>
        <v>0</v>
      </c>
      <c r="AB824" s="294">
        <f>IF(NFI_Expiration=1,IF($A824&lt;VLOOKUP(K$5,NFI,5,0),1,0)*Table_NFI[[#This Row],[Mosquito net]],Table_NFI[Mosquito net])</f>
        <v>0</v>
      </c>
      <c r="AC824" s="294">
        <f>IF(NFI_Expiration=1,IF($A824&lt;VLOOKUP(L$5,NFI,5,0),1,0)*Table_NFI[[#This Row],[Tarpaulin]],Table_NFI[[#This Row],[Tarpaulin]])</f>
        <v>0</v>
      </c>
      <c r="AD824" s="294">
        <f>IF(NFI_Expiration=1,IF($A824&lt;VLOOKUP(M$5,NFI,5,0),1,0)*Table_NFI[[#This Row],[Blanket]],Table_NFI[[#This Row],[Blanket]])</f>
        <v>0</v>
      </c>
      <c r="AE824" s="294">
        <f>IF(NFI_Expiration=1,IF($A824&lt;VLOOKUP(N$5,NFI,5,0),1,0)*Table_NFI[[#This Row],[Kitchen Set]],Table_NFI[Kitchen Set])</f>
        <v>0</v>
      </c>
      <c r="AF824" s="294">
        <f>IF(NFI_Expiration=1,IF($A824&lt;VLOOKUP(O$5,NFI,5,0),1,0)*Table_NFI[[#This Row],[Clothes Kit]],Table_NFI[Clothes Kit])</f>
        <v>0</v>
      </c>
      <c r="AG824" s="294">
        <f>IF(NFI_Expiration=1,IF($A824&lt;VLOOKUP(P$5,NFI,5,0),1,0)*Table_NFI[[#This Row],[Plastic Bucket]],Table_NFI[Plastic Bucket])</f>
        <v>0</v>
      </c>
      <c r="AH824" s="294">
        <f>IF(NFI_Expiration=1,IF($A824&lt;VLOOKUP(Q$5,NFI,5,0),1,0)*Table_NFI[[#This Row],[Plastic Mat]],Table_NFI[Plastic Mat])*IF(Table_NFI[[#This Row],[Distribution Date]]&gt;"2014-04-01",1,2.5)</f>
        <v>0</v>
      </c>
      <c r="AI824" s="294">
        <f>IF(NFI_Expiration=1,IF($A824&lt;VLOOKUP(R$5,NFI,5,0),1,0)*Table_NFI[[#This Row],[Winter Clothes Adult]],Table_NFI[Winter Clothes Adult])</f>
        <v>0</v>
      </c>
      <c r="AJ824" s="294">
        <f>IF(NFI_Expiration=1,IF($A824&lt;VLOOKUP(S$5,NFI,5,0),1,0)*Table_NFI[[#This Row],[Winter Clothes Children]],Table_NFI[Winter Clothes Children])</f>
        <v>0</v>
      </c>
      <c r="AK824" s="294">
        <f>IF(NFI_Expiration=1,IF($A824&lt;VLOOKUP(T$5,NFI,5,0),1,0)*Table_NFI[[#This Row],[Winter Items Other]],Table_NFI[Winter Items Other])</f>
        <v>0</v>
      </c>
      <c r="AL824" s="294">
        <f>IF(NFI_Expiration=1,IF($A824&lt;VLOOKUP(M$5,NFI,5,0),1,0)*Table_NFI[[#This Row],[Winter Blanket]],Table_NFI[[#This Row],[Winter Blanket]])</f>
        <v>0</v>
      </c>
      <c r="AM824" s="294">
        <f>IF(Table_NFI[[#This Row],[Winter Clothes Adult]]+Table_NFI[[#This Row],[Winter Clothes Children]]+Table_NFI[[#This Row],[Winter Items Other]]+Table_NFI[[#This Row],[Winter Blanket]]&gt;0,1,0)</f>
        <v>0</v>
      </c>
      <c r="AN824" s="331">
        <f>IF(NFI_Expiration=1,IF($A824&lt;VLOOKUP(V$5,NFI,5,0),1,0)*Table_NFI[[#This Row],[Jerry Can]],Table_NFI[Jerry Can])</f>
        <v>0</v>
      </c>
      <c r="AO824" s="331">
        <f>IF(NFI_Expiration=1,IF($A824&lt;VLOOKUP(V$5,NFI,5,0),1,0)*Table_NFI[[#This Row],[Shelter Tool kit]],Table_NFI[Shelter Tool kit])</f>
        <v>0</v>
      </c>
      <c r="AP824" s="331">
        <f>IF(NFI_Expiration=1,IF($A824&lt;VLOOKUP(V$5,NFI,5,0),1,0)*Table_NFI[[#This Row],[Tent]],Table_NFI[Tent])</f>
        <v>0</v>
      </c>
      <c r="AQ824" s="467" t="str">
        <f>IFERROR(VLOOKUP(Table_NFI[[#This Row],[Camp Name]],CL,2,0),"")</f>
        <v>MMR001CMP027</v>
      </c>
      <c r="AR824" s="835">
        <f ca="1">IF(Table_NFI[[#This Row],[Pcode]]="","",IF(OFFSET(CampList[Opening Date],MATCH(Table_NFI[[#This Row],[Pcode]],CampList[CP_Pcode],0)-1,0,1,1)&gt;=NFI_Monitor_Date,1,0))</f>
        <v>0</v>
      </c>
      <c r="AS824" s="467" t="str">
        <f>IFERROR(VLOOKUP(Table_NFI[[#This Row],[Camp Name]],CL,3,0),"")</f>
        <v>Open</v>
      </c>
      <c r="AT824" s="294" t="str">
        <f ca="1">IF(Table_NFI[[#This Row],[Pcode]]="","",OFFSET(CampList[Priority],MATCH(Table_NFI[[#This Row],[Pcode]],CampList[CP_Pcode],0)-1,0,1,1))</f>
        <v>P4</v>
      </c>
      <c r="AU824" s="293">
        <f>IFERROR(Table_NFI[[#This Row],[Kitchen Set]]/VLOOKUP(Table_NFI[[#This Row],[Camp Name]],CL,4,0),"")</f>
        <v>0</v>
      </c>
      <c r="AV824" s="461" t="s">
        <v>1092</v>
      </c>
      <c r="AW824" s="463"/>
    </row>
    <row r="825" spans="1:49" ht="14.45" customHeight="1" x14ac:dyDescent="0.25">
      <c r="A825" s="297">
        <f t="shared" si="12"/>
        <v>48.733333333333334</v>
      </c>
      <c r="B825" s="460">
        <v>41274</v>
      </c>
      <c r="C825" s="461" t="s">
        <v>453</v>
      </c>
      <c r="D825" s="462" t="s">
        <v>453</v>
      </c>
      <c r="E825" s="461" t="s">
        <v>380</v>
      </c>
      <c r="F825" s="290" t="s">
        <v>310</v>
      </c>
      <c r="G825" s="290" t="s">
        <v>328</v>
      </c>
      <c r="H825" s="291">
        <v>79</v>
      </c>
      <c r="I825" s="291"/>
      <c r="J825" s="291"/>
      <c r="K825" s="291"/>
      <c r="L825" s="292"/>
      <c r="M825" s="292"/>
      <c r="N825" s="292"/>
      <c r="O825" s="292"/>
      <c r="P825" s="294">
        <v>0</v>
      </c>
      <c r="Q825" s="294">
        <v>0</v>
      </c>
      <c r="R825" s="294"/>
      <c r="S825" s="294"/>
      <c r="T825" s="294"/>
      <c r="U825" s="294"/>
      <c r="V825" s="431"/>
      <c r="W825" s="294"/>
      <c r="X825" s="294"/>
      <c r="Y825" s="294">
        <f>IF(NFI_Expiration=1,IF($A825&lt;VLOOKUP(H$5,NFI,5,0),1,0)*Table_NFI[[#This Row],[Hygiene Kit]],Table_NFI[Hygiene Kit])</f>
        <v>0</v>
      </c>
      <c r="Z825" s="294">
        <f>IF(NFI_Expiration=1,IF($A825&lt;VLOOKUP(I$5,NFI,5,0),1,0)*Table_NFI[[#This Row],[NFI Core Kit]],Table_NFI[NFI Core Kit])</f>
        <v>0</v>
      </c>
      <c r="AA825" s="294">
        <f>IF(NFI_Expiration=1,IF($A825&lt;VLOOKUP(J$5,NFI,5,0),1,0)*Table_NFI[[#This Row],[Sanitary Kit]],Table_NFI[Sanitary Kit])</f>
        <v>0</v>
      </c>
      <c r="AB825" s="294">
        <f>IF(NFI_Expiration=1,IF($A825&lt;VLOOKUP(K$5,NFI,5,0),1,0)*Table_NFI[[#This Row],[Mosquito net]],Table_NFI[Mosquito net])</f>
        <v>0</v>
      </c>
      <c r="AC825" s="294">
        <f>IF(NFI_Expiration=1,IF($A825&lt;VLOOKUP(L$5,NFI,5,0),1,0)*Table_NFI[[#This Row],[Tarpaulin]],Table_NFI[[#This Row],[Tarpaulin]])</f>
        <v>0</v>
      </c>
      <c r="AD825" s="294">
        <f>IF(NFI_Expiration=1,IF($A825&lt;VLOOKUP(M$5,NFI,5,0),1,0)*Table_NFI[[#This Row],[Blanket]],Table_NFI[[#This Row],[Blanket]])</f>
        <v>0</v>
      </c>
      <c r="AE825" s="294">
        <f>IF(NFI_Expiration=1,IF($A825&lt;VLOOKUP(N$5,NFI,5,0),1,0)*Table_NFI[[#This Row],[Kitchen Set]],Table_NFI[Kitchen Set])</f>
        <v>0</v>
      </c>
      <c r="AF825" s="294">
        <f>IF(NFI_Expiration=1,IF($A825&lt;VLOOKUP(O$5,NFI,5,0),1,0)*Table_NFI[[#This Row],[Clothes Kit]],Table_NFI[Clothes Kit])</f>
        <v>0</v>
      </c>
      <c r="AG825" s="294">
        <f>IF(NFI_Expiration=1,IF($A825&lt;VLOOKUP(P$5,NFI,5,0),1,0)*Table_NFI[[#This Row],[Plastic Bucket]],Table_NFI[Plastic Bucket])</f>
        <v>0</v>
      </c>
      <c r="AH825" s="294">
        <f>IF(NFI_Expiration=1,IF($A825&lt;VLOOKUP(Q$5,NFI,5,0),1,0)*Table_NFI[[#This Row],[Plastic Mat]],Table_NFI[Plastic Mat])*IF(Table_NFI[[#This Row],[Distribution Date]]&gt;"2014-04-01",1,2.5)</f>
        <v>0</v>
      </c>
      <c r="AI825" s="294">
        <f>IF(NFI_Expiration=1,IF($A825&lt;VLOOKUP(R$5,NFI,5,0),1,0)*Table_NFI[[#This Row],[Winter Clothes Adult]],Table_NFI[Winter Clothes Adult])</f>
        <v>0</v>
      </c>
      <c r="AJ825" s="294">
        <f>IF(NFI_Expiration=1,IF($A825&lt;VLOOKUP(S$5,NFI,5,0),1,0)*Table_NFI[[#This Row],[Winter Clothes Children]],Table_NFI[Winter Clothes Children])</f>
        <v>0</v>
      </c>
      <c r="AK825" s="294">
        <f>IF(NFI_Expiration=1,IF($A825&lt;VLOOKUP(T$5,NFI,5,0),1,0)*Table_NFI[[#This Row],[Winter Items Other]],Table_NFI[Winter Items Other])</f>
        <v>0</v>
      </c>
      <c r="AL825" s="294">
        <f>IF(NFI_Expiration=1,IF($A825&lt;VLOOKUP(M$5,NFI,5,0),1,0)*Table_NFI[[#This Row],[Winter Blanket]],Table_NFI[[#This Row],[Winter Blanket]])</f>
        <v>0</v>
      </c>
      <c r="AM825" s="294">
        <f>IF(Table_NFI[[#This Row],[Winter Clothes Adult]]+Table_NFI[[#This Row],[Winter Clothes Children]]+Table_NFI[[#This Row],[Winter Items Other]]+Table_NFI[[#This Row],[Winter Blanket]]&gt;0,1,0)</f>
        <v>0</v>
      </c>
      <c r="AN825" s="331">
        <f>IF(NFI_Expiration=1,IF($A825&lt;VLOOKUP(V$5,NFI,5,0),1,0)*Table_NFI[[#This Row],[Jerry Can]],Table_NFI[Jerry Can])</f>
        <v>0</v>
      </c>
      <c r="AO825" s="331">
        <f>IF(NFI_Expiration=1,IF($A825&lt;VLOOKUP(V$5,NFI,5,0),1,0)*Table_NFI[[#This Row],[Shelter Tool kit]],Table_NFI[Shelter Tool kit])</f>
        <v>0</v>
      </c>
      <c r="AP825" s="331">
        <f>IF(NFI_Expiration=1,IF($A825&lt;VLOOKUP(V$5,NFI,5,0),1,0)*Table_NFI[[#This Row],[Tent]],Table_NFI[Tent])</f>
        <v>0</v>
      </c>
      <c r="AQ825" s="467" t="str">
        <f>IFERROR(VLOOKUP(Table_NFI[[#This Row],[Camp Name]],CL,2,0),"")</f>
        <v>MMR001CMP031</v>
      </c>
      <c r="AR825" s="835">
        <f ca="1">IF(Table_NFI[[#This Row],[Pcode]]="","",IF(OFFSET(CampList[Opening Date],MATCH(Table_NFI[[#This Row],[Pcode]],CampList[CP_Pcode],0)-1,0,1,1)&gt;=NFI_Monitor_Date,1,0))</f>
        <v>0</v>
      </c>
      <c r="AS825" s="467" t="str">
        <f>IFERROR(VLOOKUP(Table_NFI[[#This Row],[Camp Name]],CL,3,0),"")</f>
        <v>Open</v>
      </c>
      <c r="AT825" s="294" t="str">
        <f ca="1">IF(Table_NFI[[#This Row],[Pcode]]="","",OFFSET(CampList[Priority],MATCH(Table_NFI[[#This Row],[Pcode]],CampList[CP_Pcode],0)-1,0,1,1))</f>
        <v>P4</v>
      </c>
      <c r="AU825" s="293">
        <f>IFERROR(Table_NFI[[#This Row],[Kitchen Set]]/VLOOKUP(Table_NFI[[#This Row],[Camp Name]],CL,4,0),"")</f>
        <v>0</v>
      </c>
      <c r="AV825" s="461" t="s">
        <v>1092</v>
      </c>
      <c r="AW825" s="463"/>
    </row>
    <row r="826" spans="1:49" ht="14.45" customHeight="1" x14ac:dyDescent="0.25">
      <c r="A826" s="297">
        <f t="shared" si="12"/>
        <v>48.733333333333334</v>
      </c>
      <c r="B826" s="460">
        <v>41274</v>
      </c>
      <c r="C826" s="461" t="s">
        <v>453</v>
      </c>
      <c r="D826" s="462" t="s">
        <v>453</v>
      </c>
      <c r="E826" s="461" t="s">
        <v>380</v>
      </c>
      <c r="F826" s="290" t="s">
        <v>237</v>
      </c>
      <c r="G826" s="290" t="s">
        <v>263</v>
      </c>
      <c r="H826" s="291">
        <v>14</v>
      </c>
      <c r="I826" s="291"/>
      <c r="J826" s="291"/>
      <c r="K826" s="291"/>
      <c r="L826" s="292"/>
      <c r="M826" s="292"/>
      <c r="N826" s="292"/>
      <c r="O826" s="292"/>
      <c r="P826" s="294">
        <v>0</v>
      </c>
      <c r="Q826" s="294">
        <v>0</v>
      </c>
      <c r="R826" s="294"/>
      <c r="S826" s="294"/>
      <c r="T826" s="294"/>
      <c r="U826" s="294"/>
      <c r="V826" s="431"/>
      <c r="W826" s="294"/>
      <c r="X826" s="294"/>
      <c r="Y826" s="294">
        <f>IF(NFI_Expiration=1,IF($A826&lt;VLOOKUP(H$5,NFI,5,0),1,0)*Table_NFI[[#This Row],[Hygiene Kit]],Table_NFI[Hygiene Kit])</f>
        <v>0</v>
      </c>
      <c r="Z826" s="294">
        <f>IF(NFI_Expiration=1,IF($A826&lt;VLOOKUP(I$5,NFI,5,0),1,0)*Table_NFI[[#This Row],[NFI Core Kit]],Table_NFI[NFI Core Kit])</f>
        <v>0</v>
      </c>
      <c r="AA826" s="294">
        <f>IF(NFI_Expiration=1,IF($A826&lt;VLOOKUP(J$5,NFI,5,0),1,0)*Table_NFI[[#This Row],[Sanitary Kit]],Table_NFI[Sanitary Kit])</f>
        <v>0</v>
      </c>
      <c r="AB826" s="294">
        <f>IF(NFI_Expiration=1,IF($A826&lt;VLOOKUP(K$5,NFI,5,0),1,0)*Table_NFI[[#This Row],[Mosquito net]],Table_NFI[Mosquito net])</f>
        <v>0</v>
      </c>
      <c r="AC826" s="294">
        <f>IF(NFI_Expiration=1,IF($A826&lt;VLOOKUP(L$5,NFI,5,0),1,0)*Table_NFI[[#This Row],[Tarpaulin]],Table_NFI[[#This Row],[Tarpaulin]])</f>
        <v>0</v>
      </c>
      <c r="AD826" s="294">
        <f>IF(NFI_Expiration=1,IF($A826&lt;VLOOKUP(M$5,NFI,5,0),1,0)*Table_NFI[[#This Row],[Blanket]],Table_NFI[[#This Row],[Blanket]])</f>
        <v>0</v>
      </c>
      <c r="AE826" s="294">
        <f>IF(NFI_Expiration=1,IF($A826&lt;VLOOKUP(N$5,NFI,5,0),1,0)*Table_NFI[[#This Row],[Kitchen Set]],Table_NFI[Kitchen Set])</f>
        <v>0</v>
      </c>
      <c r="AF826" s="294">
        <f>IF(NFI_Expiration=1,IF($A826&lt;VLOOKUP(O$5,NFI,5,0),1,0)*Table_NFI[[#This Row],[Clothes Kit]],Table_NFI[Clothes Kit])</f>
        <v>0</v>
      </c>
      <c r="AG826" s="294">
        <f>IF(NFI_Expiration=1,IF($A826&lt;VLOOKUP(P$5,NFI,5,0),1,0)*Table_NFI[[#This Row],[Plastic Bucket]],Table_NFI[Plastic Bucket])</f>
        <v>0</v>
      </c>
      <c r="AH826" s="294">
        <f>IF(NFI_Expiration=1,IF($A826&lt;VLOOKUP(Q$5,NFI,5,0),1,0)*Table_NFI[[#This Row],[Plastic Mat]],Table_NFI[Plastic Mat])*IF(Table_NFI[[#This Row],[Distribution Date]]&gt;"2014-04-01",1,2.5)</f>
        <v>0</v>
      </c>
      <c r="AI826" s="294">
        <f>IF(NFI_Expiration=1,IF($A826&lt;VLOOKUP(R$5,NFI,5,0),1,0)*Table_NFI[[#This Row],[Winter Clothes Adult]],Table_NFI[Winter Clothes Adult])</f>
        <v>0</v>
      </c>
      <c r="AJ826" s="294">
        <f>IF(NFI_Expiration=1,IF($A826&lt;VLOOKUP(S$5,NFI,5,0),1,0)*Table_NFI[[#This Row],[Winter Clothes Children]],Table_NFI[Winter Clothes Children])</f>
        <v>0</v>
      </c>
      <c r="AK826" s="294">
        <f>IF(NFI_Expiration=1,IF($A826&lt;VLOOKUP(T$5,NFI,5,0),1,0)*Table_NFI[[#This Row],[Winter Items Other]],Table_NFI[Winter Items Other])</f>
        <v>0</v>
      </c>
      <c r="AL826" s="294">
        <f>IF(NFI_Expiration=1,IF($A826&lt;VLOOKUP(M$5,NFI,5,0),1,0)*Table_NFI[[#This Row],[Winter Blanket]],Table_NFI[[#This Row],[Winter Blanket]])</f>
        <v>0</v>
      </c>
      <c r="AM826" s="294">
        <f>IF(Table_NFI[[#This Row],[Winter Clothes Adult]]+Table_NFI[[#This Row],[Winter Clothes Children]]+Table_NFI[[#This Row],[Winter Items Other]]+Table_NFI[[#This Row],[Winter Blanket]]&gt;0,1,0)</f>
        <v>0</v>
      </c>
      <c r="AN826" s="331">
        <f>IF(NFI_Expiration=1,IF($A826&lt;VLOOKUP(V$5,NFI,5,0),1,0)*Table_NFI[[#This Row],[Jerry Can]],Table_NFI[Jerry Can])</f>
        <v>0</v>
      </c>
      <c r="AO826" s="331">
        <f>IF(NFI_Expiration=1,IF($A826&lt;VLOOKUP(V$5,NFI,5,0),1,0)*Table_NFI[[#This Row],[Shelter Tool kit]],Table_NFI[Shelter Tool kit])</f>
        <v>0</v>
      </c>
      <c r="AP826" s="331">
        <f>IF(NFI_Expiration=1,IF($A826&lt;VLOOKUP(V$5,NFI,5,0),1,0)*Table_NFI[[#This Row],[Tent]],Table_NFI[Tent])</f>
        <v>0</v>
      </c>
      <c r="AQ826" s="467" t="str">
        <f>IFERROR(VLOOKUP(Table_NFI[[#This Row],[Camp Name]],CL,2,0),"")</f>
        <v>MMR001CMP020</v>
      </c>
      <c r="AR826" s="835">
        <f ca="1">IF(Table_NFI[[#This Row],[Pcode]]="","",IF(OFFSET(CampList[Opening Date],MATCH(Table_NFI[[#This Row],[Pcode]],CampList[CP_Pcode],0)-1,0,1,1)&gt;=NFI_Monitor_Date,1,0))</f>
        <v>0</v>
      </c>
      <c r="AS826" s="467" t="str">
        <f>IFERROR(VLOOKUP(Table_NFI[[#This Row],[Camp Name]],CL,3,0),"")</f>
        <v>Open</v>
      </c>
      <c r="AT826" s="294" t="str">
        <f ca="1">IF(Table_NFI[[#This Row],[Pcode]]="","",OFFSET(CampList[Priority],MATCH(Table_NFI[[#This Row],[Pcode]],CampList[CP_Pcode],0)-1,0,1,1))</f>
        <v>P4</v>
      </c>
      <c r="AU826" s="293">
        <f>IFERROR(Table_NFI[[#This Row],[Kitchen Set]]/VLOOKUP(Table_NFI[[#This Row],[Camp Name]],CL,4,0),"")</f>
        <v>0</v>
      </c>
      <c r="AV826" s="461" t="s">
        <v>1092</v>
      </c>
      <c r="AW826" s="463"/>
    </row>
    <row r="827" spans="1:49" ht="14.45" customHeight="1" x14ac:dyDescent="0.25">
      <c r="A827" s="297">
        <f t="shared" si="12"/>
        <v>48.733333333333334</v>
      </c>
      <c r="B827" s="460">
        <v>41274</v>
      </c>
      <c r="C827" s="461" t="s">
        <v>453</v>
      </c>
      <c r="D827" s="461" t="s">
        <v>453</v>
      </c>
      <c r="E827" s="461" t="s">
        <v>380</v>
      </c>
      <c r="F827" s="461" t="s">
        <v>237</v>
      </c>
      <c r="G827" s="290" t="s">
        <v>265</v>
      </c>
      <c r="H827" s="291">
        <v>23</v>
      </c>
      <c r="I827" s="291"/>
      <c r="J827" s="291"/>
      <c r="K827" s="291"/>
      <c r="L827" s="292"/>
      <c r="M827" s="292"/>
      <c r="N827" s="292"/>
      <c r="O827" s="292"/>
      <c r="P827" s="294">
        <v>0</v>
      </c>
      <c r="Q827" s="294">
        <v>0</v>
      </c>
      <c r="R827" s="294"/>
      <c r="S827" s="294"/>
      <c r="T827" s="294"/>
      <c r="U827" s="294"/>
      <c r="V827" s="431"/>
      <c r="W827" s="294"/>
      <c r="X827" s="294"/>
      <c r="Y827" s="294">
        <f>IF(NFI_Expiration=1,IF($A827&lt;VLOOKUP(H$5,NFI,5,0),1,0)*Table_NFI[[#This Row],[Hygiene Kit]],Table_NFI[Hygiene Kit])</f>
        <v>0</v>
      </c>
      <c r="Z827" s="294">
        <f>IF(NFI_Expiration=1,IF($A827&lt;VLOOKUP(I$5,NFI,5,0),1,0)*Table_NFI[[#This Row],[NFI Core Kit]],Table_NFI[NFI Core Kit])</f>
        <v>0</v>
      </c>
      <c r="AA827" s="294">
        <f>IF(NFI_Expiration=1,IF($A827&lt;VLOOKUP(J$5,NFI,5,0),1,0)*Table_NFI[[#This Row],[Sanitary Kit]],Table_NFI[Sanitary Kit])</f>
        <v>0</v>
      </c>
      <c r="AB827" s="294">
        <f>IF(NFI_Expiration=1,IF($A827&lt;VLOOKUP(K$5,NFI,5,0),1,0)*Table_NFI[[#This Row],[Mosquito net]],Table_NFI[Mosquito net])</f>
        <v>0</v>
      </c>
      <c r="AC827" s="294">
        <f>IF(NFI_Expiration=1,IF($A827&lt;VLOOKUP(L$5,NFI,5,0),1,0)*Table_NFI[[#This Row],[Tarpaulin]],Table_NFI[[#This Row],[Tarpaulin]])</f>
        <v>0</v>
      </c>
      <c r="AD827" s="294">
        <f>IF(NFI_Expiration=1,IF($A827&lt;VLOOKUP(M$5,NFI,5,0),1,0)*Table_NFI[[#This Row],[Blanket]],Table_NFI[[#This Row],[Blanket]])</f>
        <v>0</v>
      </c>
      <c r="AE827" s="294">
        <f>IF(NFI_Expiration=1,IF($A827&lt;VLOOKUP(N$5,NFI,5,0),1,0)*Table_NFI[[#This Row],[Kitchen Set]],Table_NFI[Kitchen Set])</f>
        <v>0</v>
      </c>
      <c r="AF827" s="294">
        <f>IF(NFI_Expiration=1,IF($A827&lt;VLOOKUP(O$5,NFI,5,0),1,0)*Table_NFI[[#This Row],[Clothes Kit]],Table_NFI[Clothes Kit])</f>
        <v>0</v>
      </c>
      <c r="AG827" s="294">
        <f>IF(NFI_Expiration=1,IF($A827&lt;VLOOKUP(P$5,NFI,5,0),1,0)*Table_NFI[[#This Row],[Plastic Bucket]],Table_NFI[Plastic Bucket])</f>
        <v>0</v>
      </c>
      <c r="AH827" s="294">
        <f>IF(NFI_Expiration=1,IF($A827&lt;VLOOKUP(Q$5,NFI,5,0),1,0)*Table_NFI[[#This Row],[Plastic Mat]],Table_NFI[Plastic Mat])*IF(Table_NFI[[#This Row],[Distribution Date]]&gt;"2014-04-01",1,2.5)</f>
        <v>0</v>
      </c>
      <c r="AI827" s="294">
        <f>IF(NFI_Expiration=1,IF($A827&lt;VLOOKUP(R$5,NFI,5,0),1,0)*Table_NFI[[#This Row],[Winter Clothes Adult]],Table_NFI[Winter Clothes Adult])</f>
        <v>0</v>
      </c>
      <c r="AJ827" s="294">
        <f>IF(NFI_Expiration=1,IF($A827&lt;VLOOKUP(S$5,NFI,5,0),1,0)*Table_NFI[[#This Row],[Winter Clothes Children]],Table_NFI[Winter Clothes Children])</f>
        <v>0</v>
      </c>
      <c r="AK827" s="294">
        <f>IF(NFI_Expiration=1,IF($A827&lt;VLOOKUP(T$5,NFI,5,0),1,0)*Table_NFI[[#This Row],[Winter Items Other]],Table_NFI[Winter Items Other])</f>
        <v>0</v>
      </c>
      <c r="AL827" s="294">
        <f>IF(NFI_Expiration=1,IF($A827&lt;VLOOKUP(M$5,NFI,5,0),1,0)*Table_NFI[[#This Row],[Winter Blanket]],Table_NFI[[#This Row],[Winter Blanket]])</f>
        <v>0</v>
      </c>
      <c r="AM827" s="294">
        <f>IF(Table_NFI[[#This Row],[Winter Clothes Adult]]+Table_NFI[[#This Row],[Winter Clothes Children]]+Table_NFI[[#This Row],[Winter Items Other]]+Table_NFI[[#This Row],[Winter Blanket]]&gt;0,1,0)</f>
        <v>0</v>
      </c>
      <c r="AN827" s="331">
        <f>IF(NFI_Expiration=1,IF($A827&lt;VLOOKUP(V$5,NFI,5,0),1,0)*Table_NFI[[#This Row],[Jerry Can]],Table_NFI[Jerry Can])</f>
        <v>0</v>
      </c>
      <c r="AO827" s="331">
        <f>IF(NFI_Expiration=1,IF($A827&lt;VLOOKUP(V$5,NFI,5,0),1,0)*Table_NFI[[#This Row],[Shelter Tool kit]],Table_NFI[Shelter Tool kit])</f>
        <v>0</v>
      </c>
      <c r="AP827" s="331">
        <f>IF(NFI_Expiration=1,IF($A827&lt;VLOOKUP(V$5,NFI,5,0),1,0)*Table_NFI[[#This Row],[Tent]],Table_NFI[Tent])</f>
        <v>0</v>
      </c>
      <c r="AQ827" s="467" t="str">
        <f>IFERROR(VLOOKUP(Table_NFI[[#This Row],[Camp Name]],CL,2,0),"")</f>
        <v>MMR001CMP021</v>
      </c>
      <c r="AR827" s="835">
        <f ca="1">IF(Table_NFI[[#This Row],[Pcode]]="","",IF(OFFSET(CampList[Opening Date],MATCH(Table_NFI[[#This Row],[Pcode]],CampList[CP_Pcode],0)-1,0,1,1)&gt;=NFI_Monitor_Date,1,0))</f>
        <v>0</v>
      </c>
      <c r="AS827" s="467" t="str">
        <f>IFERROR(VLOOKUP(Table_NFI[[#This Row],[Camp Name]],CL,3,0),"")</f>
        <v>Open</v>
      </c>
      <c r="AT827" s="294" t="str">
        <f ca="1">IF(Table_NFI[[#This Row],[Pcode]]="","",OFFSET(CampList[Priority],MATCH(Table_NFI[[#This Row],[Pcode]],CampList[CP_Pcode],0)-1,0,1,1))</f>
        <v>P4</v>
      </c>
      <c r="AU827" s="293">
        <f>IFERROR(Table_NFI[[#This Row],[Kitchen Set]]/VLOOKUP(Table_NFI[[#This Row],[Camp Name]],CL,4,0),"")</f>
        <v>0</v>
      </c>
      <c r="AV827" s="461" t="s">
        <v>1092</v>
      </c>
      <c r="AW827" s="463"/>
    </row>
    <row r="828" spans="1:49" ht="14.45" customHeight="1" x14ac:dyDescent="0.25">
      <c r="A828" s="297">
        <f t="shared" si="12"/>
        <v>48.733333333333334</v>
      </c>
      <c r="B828" s="460">
        <v>41274</v>
      </c>
      <c r="C828" s="461" t="s">
        <v>453</v>
      </c>
      <c r="D828" s="462" t="s">
        <v>453</v>
      </c>
      <c r="E828" s="461" t="s">
        <v>380</v>
      </c>
      <c r="F828" s="290" t="s">
        <v>527</v>
      </c>
      <c r="G828" s="290" t="s">
        <v>100</v>
      </c>
      <c r="H828" s="291">
        <v>2</v>
      </c>
      <c r="I828" s="291"/>
      <c r="J828" s="291"/>
      <c r="K828" s="291"/>
      <c r="L828" s="292"/>
      <c r="M828" s="292"/>
      <c r="N828" s="292"/>
      <c r="O828" s="292"/>
      <c r="P828" s="294">
        <v>0</v>
      </c>
      <c r="Q828" s="294">
        <v>0</v>
      </c>
      <c r="R828" s="294"/>
      <c r="S828" s="294"/>
      <c r="T828" s="294"/>
      <c r="U828" s="294"/>
      <c r="V828" s="431"/>
      <c r="W828" s="294"/>
      <c r="X828" s="294"/>
      <c r="Y828" s="294">
        <f>IF(NFI_Expiration=1,IF($A828&lt;VLOOKUP(H$5,NFI,5,0),1,0)*Table_NFI[[#This Row],[Hygiene Kit]],Table_NFI[Hygiene Kit])</f>
        <v>0</v>
      </c>
      <c r="Z828" s="294">
        <f>IF(NFI_Expiration=1,IF($A828&lt;VLOOKUP(I$5,NFI,5,0),1,0)*Table_NFI[[#This Row],[NFI Core Kit]],Table_NFI[NFI Core Kit])</f>
        <v>0</v>
      </c>
      <c r="AA828" s="294">
        <f>IF(NFI_Expiration=1,IF($A828&lt;VLOOKUP(J$5,NFI,5,0),1,0)*Table_NFI[[#This Row],[Sanitary Kit]],Table_NFI[Sanitary Kit])</f>
        <v>0</v>
      </c>
      <c r="AB828" s="294">
        <f>IF(NFI_Expiration=1,IF($A828&lt;VLOOKUP(K$5,NFI,5,0),1,0)*Table_NFI[[#This Row],[Mosquito net]],Table_NFI[Mosquito net])</f>
        <v>0</v>
      </c>
      <c r="AC828" s="294">
        <f>IF(NFI_Expiration=1,IF($A828&lt;VLOOKUP(L$5,NFI,5,0),1,0)*Table_NFI[[#This Row],[Tarpaulin]],Table_NFI[[#This Row],[Tarpaulin]])</f>
        <v>0</v>
      </c>
      <c r="AD828" s="294">
        <f>IF(NFI_Expiration=1,IF($A828&lt;VLOOKUP(M$5,NFI,5,0),1,0)*Table_NFI[[#This Row],[Blanket]],Table_NFI[[#This Row],[Blanket]])</f>
        <v>0</v>
      </c>
      <c r="AE828" s="294">
        <f>IF(NFI_Expiration=1,IF($A828&lt;VLOOKUP(N$5,NFI,5,0),1,0)*Table_NFI[[#This Row],[Kitchen Set]],Table_NFI[Kitchen Set])</f>
        <v>0</v>
      </c>
      <c r="AF828" s="294">
        <f>IF(NFI_Expiration=1,IF($A828&lt;VLOOKUP(O$5,NFI,5,0),1,0)*Table_NFI[[#This Row],[Clothes Kit]],Table_NFI[Clothes Kit])</f>
        <v>0</v>
      </c>
      <c r="AG828" s="294">
        <f>IF(NFI_Expiration=1,IF($A828&lt;VLOOKUP(P$5,NFI,5,0),1,0)*Table_NFI[[#This Row],[Plastic Bucket]],Table_NFI[Plastic Bucket])</f>
        <v>0</v>
      </c>
      <c r="AH828" s="294">
        <f>IF(NFI_Expiration=1,IF($A828&lt;VLOOKUP(Q$5,NFI,5,0),1,0)*Table_NFI[[#This Row],[Plastic Mat]],Table_NFI[Plastic Mat])*IF(Table_NFI[[#This Row],[Distribution Date]]&gt;"2014-04-01",1,2.5)</f>
        <v>0</v>
      </c>
      <c r="AI828" s="294">
        <f>IF(NFI_Expiration=1,IF($A828&lt;VLOOKUP(R$5,NFI,5,0),1,0)*Table_NFI[[#This Row],[Winter Clothes Adult]],Table_NFI[Winter Clothes Adult])</f>
        <v>0</v>
      </c>
      <c r="AJ828" s="294">
        <f>IF(NFI_Expiration=1,IF($A828&lt;VLOOKUP(S$5,NFI,5,0),1,0)*Table_NFI[[#This Row],[Winter Clothes Children]],Table_NFI[Winter Clothes Children])</f>
        <v>0</v>
      </c>
      <c r="AK828" s="294">
        <f>IF(NFI_Expiration=1,IF($A828&lt;VLOOKUP(T$5,NFI,5,0),1,0)*Table_NFI[[#This Row],[Winter Items Other]],Table_NFI[Winter Items Other])</f>
        <v>0</v>
      </c>
      <c r="AL828" s="294">
        <f>IF(NFI_Expiration=1,IF($A828&lt;VLOOKUP(M$5,NFI,5,0),1,0)*Table_NFI[[#This Row],[Winter Blanket]],Table_NFI[[#This Row],[Winter Blanket]])</f>
        <v>0</v>
      </c>
      <c r="AM828" s="294">
        <f>IF(Table_NFI[[#This Row],[Winter Clothes Adult]]+Table_NFI[[#This Row],[Winter Clothes Children]]+Table_NFI[[#This Row],[Winter Items Other]]+Table_NFI[[#This Row],[Winter Blanket]]&gt;0,1,0)</f>
        <v>0</v>
      </c>
      <c r="AN828" s="331">
        <f>IF(NFI_Expiration=1,IF($A828&lt;VLOOKUP(V$5,NFI,5,0),1,0)*Table_NFI[[#This Row],[Jerry Can]],Table_NFI[Jerry Can])</f>
        <v>0</v>
      </c>
      <c r="AO828" s="331">
        <f>IF(NFI_Expiration=1,IF($A828&lt;VLOOKUP(V$5,NFI,5,0),1,0)*Table_NFI[[#This Row],[Shelter Tool kit]],Table_NFI[Shelter Tool kit])</f>
        <v>0</v>
      </c>
      <c r="AP828" s="331">
        <f>IF(NFI_Expiration=1,IF($A828&lt;VLOOKUP(V$5,NFI,5,0),1,0)*Table_NFI[[#This Row],[Tent]],Table_NFI[Tent])</f>
        <v>0</v>
      </c>
      <c r="AQ828" s="467" t="str">
        <f>IFERROR(VLOOKUP(Table_NFI[[#This Row],[Camp Name]],CL,2,0),"")</f>
        <v>MMR001CMP091</v>
      </c>
      <c r="AR828" s="835">
        <f ca="1">IF(Table_NFI[[#This Row],[Pcode]]="","",IF(OFFSET(CampList[Opening Date],MATCH(Table_NFI[[#This Row],[Pcode]],CampList[CP_Pcode],0)-1,0,1,1)&gt;=NFI_Monitor_Date,1,0))</f>
        <v>0</v>
      </c>
      <c r="AS828" s="467" t="str">
        <f>IFERROR(VLOOKUP(Table_NFI[[#This Row],[Camp Name]],CL,3,0),"")</f>
        <v>Open</v>
      </c>
      <c r="AT828" s="294" t="str">
        <f ca="1">IF(Table_NFI[[#This Row],[Pcode]]="","",OFFSET(CampList[Priority],MATCH(Table_NFI[[#This Row],[Pcode]],CampList[CP_Pcode],0)-1,0,1,1))</f>
        <v>P4</v>
      </c>
      <c r="AU828" s="293">
        <f>IFERROR(Table_NFI[[#This Row],[Kitchen Set]]/VLOOKUP(Table_NFI[[#This Row],[Camp Name]],CL,4,0),"")</f>
        <v>0</v>
      </c>
      <c r="AV828" s="461" t="s">
        <v>1092</v>
      </c>
      <c r="AW828" s="463"/>
    </row>
    <row r="829" spans="1:49" ht="14.45" customHeight="1" x14ac:dyDescent="0.25">
      <c r="A829" s="297">
        <f t="shared" si="12"/>
        <v>48.733333333333334</v>
      </c>
      <c r="B829" s="460">
        <v>41274</v>
      </c>
      <c r="C829" s="461" t="s">
        <v>453</v>
      </c>
      <c r="D829" s="462" t="s">
        <v>453</v>
      </c>
      <c r="E829" s="461" t="s">
        <v>380</v>
      </c>
      <c r="F829" s="290" t="s">
        <v>527</v>
      </c>
      <c r="G829" s="290" t="s">
        <v>611</v>
      </c>
      <c r="H829" s="291">
        <v>32</v>
      </c>
      <c r="I829" s="291"/>
      <c r="J829" s="291"/>
      <c r="K829" s="291"/>
      <c r="L829" s="292"/>
      <c r="M829" s="292"/>
      <c r="N829" s="292"/>
      <c r="O829" s="292"/>
      <c r="P829" s="294">
        <v>0</v>
      </c>
      <c r="Q829" s="294">
        <v>0</v>
      </c>
      <c r="R829" s="294"/>
      <c r="S829" s="294"/>
      <c r="T829" s="294"/>
      <c r="U829" s="294"/>
      <c r="V829" s="431"/>
      <c r="W829" s="294"/>
      <c r="X829" s="294"/>
      <c r="Y829" s="294">
        <f>IF(NFI_Expiration=1,IF($A829&lt;VLOOKUP(H$5,NFI,5,0),1,0)*Table_NFI[[#This Row],[Hygiene Kit]],Table_NFI[Hygiene Kit])</f>
        <v>0</v>
      </c>
      <c r="Z829" s="294">
        <f>IF(NFI_Expiration=1,IF($A829&lt;VLOOKUP(I$5,NFI,5,0),1,0)*Table_NFI[[#This Row],[NFI Core Kit]],Table_NFI[NFI Core Kit])</f>
        <v>0</v>
      </c>
      <c r="AA829" s="294">
        <f>IF(NFI_Expiration=1,IF($A829&lt;VLOOKUP(J$5,NFI,5,0),1,0)*Table_NFI[[#This Row],[Sanitary Kit]],Table_NFI[Sanitary Kit])</f>
        <v>0</v>
      </c>
      <c r="AB829" s="294">
        <f>IF(NFI_Expiration=1,IF($A829&lt;VLOOKUP(K$5,NFI,5,0),1,0)*Table_NFI[[#This Row],[Mosquito net]],Table_NFI[Mosquito net])</f>
        <v>0</v>
      </c>
      <c r="AC829" s="294">
        <f>IF(NFI_Expiration=1,IF($A829&lt;VLOOKUP(L$5,NFI,5,0),1,0)*Table_NFI[[#This Row],[Tarpaulin]],Table_NFI[[#This Row],[Tarpaulin]])</f>
        <v>0</v>
      </c>
      <c r="AD829" s="294">
        <f>IF(NFI_Expiration=1,IF($A829&lt;VLOOKUP(M$5,NFI,5,0),1,0)*Table_NFI[[#This Row],[Blanket]],Table_NFI[[#This Row],[Blanket]])</f>
        <v>0</v>
      </c>
      <c r="AE829" s="294">
        <f>IF(NFI_Expiration=1,IF($A829&lt;VLOOKUP(N$5,NFI,5,0),1,0)*Table_NFI[[#This Row],[Kitchen Set]],Table_NFI[Kitchen Set])</f>
        <v>0</v>
      </c>
      <c r="AF829" s="294">
        <f>IF(NFI_Expiration=1,IF($A829&lt;VLOOKUP(O$5,NFI,5,0),1,0)*Table_NFI[[#This Row],[Clothes Kit]],Table_NFI[Clothes Kit])</f>
        <v>0</v>
      </c>
      <c r="AG829" s="294">
        <f>IF(NFI_Expiration=1,IF($A829&lt;VLOOKUP(P$5,NFI,5,0),1,0)*Table_NFI[[#This Row],[Plastic Bucket]],Table_NFI[Plastic Bucket])</f>
        <v>0</v>
      </c>
      <c r="AH829" s="294">
        <f>IF(NFI_Expiration=1,IF($A829&lt;VLOOKUP(Q$5,NFI,5,0),1,0)*Table_NFI[[#This Row],[Plastic Mat]],Table_NFI[Plastic Mat])*IF(Table_NFI[[#This Row],[Distribution Date]]&gt;"2014-04-01",1,2.5)</f>
        <v>0</v>
      </c>
      <c r="AI829" s="294">
        <f>IF(NFI_Expiration=1,IF($A829&lt;VLOOKUP(R$5,NFI,5,0),1,0)*Table_NFI[[#This Row],[Winter Clothes Adult]],Table_NFI[Winter Clothes Adult])</f>
        <v>0</v>
      </c>
      <c r="AJ829" s="294">
        <f>IF(NFI_Expiration=1,IF($A829&lt;VLOOKUP(S$5,NFI,5,0),1,0)*Table_NFI[[#This Row],[Winter Clothes Children]],Table_NFI[Winter Clothes Children])</f>
        <v>0</v>
      </c>
      <c r="AK829" s="294">
        <f>IF(NFI_Expiration=1,IF($A829&lt;VLOOKUP(T$5,NFI,5,0),1,0)*Table_NFI[[#This Row],[Winter Items Other]],Table_NFI[Winter Items Other])</f>
        <v>0</v>
      </c>
      <c r="AL829" s="294">
        <f>IF(NFI_Expiration=1,IF($A829&lt;VLOOKUP(M$5,NFI,5,0),1,0)*Table_NFI[[#This Row],[Winter Blanket]],Table_NFI[[#This Row],[Winter Blanket]])</f>
        <v>0</v>
      </c>
      <c r="AM829" s="294">
        <f>IF(Table_NFI[[#This Row],[Winter Clothes Adult]]+Table_NFI[[#This Row],[Winter Clothes Children]]+Table_NFI[[#This Row],[Winter Items Other]]+Table_NFI[[#This Row],[Winter Blanket]]&gt;0,1,0)</f>
        <v>0</v>
      </c>
      <c r="AN829" s="331">
        <f>IF(NFI_Expiration=1,IF($A829&lt;VLOOKUP(V$5,NFI,5,0),1,0)*Table_NFI[[#This Row],[Jerry Can]],Table_NFI[Jerry Can])</f>
        <v>0</v>
      </c>
      <c r="AO829" s="331">
        <f>IF(NFI_Expiration=1,IF($A829&lt;VLOOKUP(V$5,NFI,5,0),1,0)*Table_NFI[[#This Row],[Shelter Tool kit]],Table_NFI[Shelter Tool kit])</f>
        <v>0</v>
      </c>
      <c r="AP829" s="331">
        <f>IF(NFI_Expiration=1,IF($A829&lt;VLOOKUP(V$5,NFI,5,0),1,0)*Table_NFI[[#This Row],[Tent]],Table_NFI[Tent])</f>
        <v>0</v>
      </c>
      <c r="AQ829" s="467" t="str">
        <f>IFERROR(VLOOKUP(Table_NFI[[#This Row],[Camp Name]],CL,2,0),"")</f>
        <v>MMR001CMP192</v>
      </c>
      <c r="AR829" s="835">
        <f ca="1">IF(Table_NFI[[#This Row],[Pcode]]="","",IF(OFFSET(CampList[Opening Date],MATCH(Table_NFI[[#This Row],[Pcode]],CampList[CP_Pcode],0)-1,0,1,1)&gt;=NFI_Monitor_Date,1,0))</f>
        <v>0</v>
      </c>
      <c r="AS829" s="467" t="str">
        <f>IFERROR(VLOOKUP(Table_NFI[[#This Row],[Camp Name]],CL,3,0),"")</f>
        <v>Open</v>
      </c>
      <c r="AT829" s="294" t="str">
        <f ca="1">IF(Table_NFI[[#This Row],[Pcode]]="","",OFFSET(CampList[Priority],MATCH(Table_NFI[[#This Row],[Pcode]],CampList[CP_Pcode],0)-1,0,1,1))</f>
        <v>P4</v>
      </c>
      <c r="AU829" s="293">
        <f>IFERROR(Table_NFI[[#This Row],[Kitchen Set]]/VLOOKUP(Table_NFI[[#This Row],[Camp Name]],CL,4,0),"")</f>
        <v>0</v>
      </c>
      <c r="AV829" s="461" t="s">
        <v>1092</v>
      </c>
      <c r="AW829" s="463"/>
    </row>
    <row r="830" spans="1:49" ht="14.45" customHeight="1" x14ac:dyDescent="0.25">
      <c r="A830" s="297">
        <f t="shared" si="12"/>
        <v>48.733333333333334</v>
      </c>
      <c r="B830" s="460">
        <v>41274</v>
      </c>
      <c r="C830" s="461" t="s">
        <v>453</v>
      </c>
      <c r="D830" s="462" t="s">
        <v>453</v>
      </c>
      <c r="E830" s="461" t="s">
        <v>380</v>
      </c>
      <c r="F830" s="290" t="s">
        <v>527</v>
      </c>
      <c r="G830" s="290" t="s">
        <v>108</v>
      </c>
      <c r="H830" s="291">
        <v>4</v>
      </c>
      <c r="I830" s="291"/>
      <c r="J830" s="291"/>
      <c r="K830" s="291"/>
      <c r="L830" s="292"/>
      <c r="M830" s="292"/>
      <c r="N830" s="292"/>
      <c r="O830" s="292"/>
      <c r="P830" s="294">
        <v>0</v>
      </c>
      <c r="Q830" s="294">
        <v>0</v>
      </c>
      <c r="R830" s="294"/>
      <c r="S830" s="294"/>
      <c r="T830" s="294"/>
      <c r="U830" s="294"/>
      <c r="V830" s="431"/>
      <c r="W830" s="294"/>
      <c r="X830" s="294"/>
      <c r="Y830" s="294">
        <f>IF(NFI_Expiration=1,IF($A830&lt;VLOOKUP(H$5,NFI,5,0),1,0)*Table_NFI[[#This Row],[Hygiene Kit]],Table_NFI[Hygiene Kit])</f>
        <v>0</v>
      </c>
      <c r="Z830" s="294">
        <f>IF(NFI_Expiration=1,IF($A830&lt;VLOOKUP(I$5,NFI,5,0),1,0)*Table_NFI[[#This Row],[NFI Core Kit]],Table_NFI[NFI Core Kit])</f>
        <v>0</v>
      </c>
      <c r="AA830" s="294">
        <f>IF(NFI_Expiration=1,IF($A830&lt;VLOOKUP(J$5,NFI,5,0),1,0)*Table_NFI[[#This Row],[Sanitary Kit]],Table_NFI[Sanitary Kit])</f>
        <v>0</v>
      </c>
      <c r="AB830" s="294">
        <f>IF(NFI_Expiration=1,IF($A830&lt;VLOOKUP(K$5,NFI,5,0),1,0)*Table_NFI[[#This Row],[Mosquito net]],Table_NFI[Mosquito net])</f>
        <v>0</v>
      </c>
      <c r="AC830" s="294">
        <f>IF(NFI_Expiration=1,IF($A830&lt;VLOOKUP(L$5,NFI,5,0),1,0)*Table_NFI[[#This Row],[Tarpaulin]],Table_NFI[[#This Row],[Tarpaulin]])</f>
        <v>0</v>
      </c>
      <c r="AD830" s="294">
        <f>IF(NFI_Expiration=1,IF($A830&lt;VLOOKUP(M$5,NFI,5,0),1,0)*Table_NFI[[#This Row],[Blanket]],Table_NFI[[#This Row],[Blanket]])</f>
        <v>0</v>
      </c>
      <c r="AE830" s="294">
        <f>IF(NFI_Expiration=1,IF($A830&lt;VLOOKUP(N$5,NFI,5,0),1,0)*Table_NFI[[#This Row],[Kitchen Set]],Table_NFI[Kitchen Set])</f>
        <v>0</v>
      </c>
      <c r="AF830" s="294">
        <f>IF(NFI_Expiration=1,IF($A830&lt;VLOOKUP(O$5,NFI,5,0),1,0)*Table_NFI[[#This Row],[Clothes Kit]],Table_NFI[Clothes Kit])</f>
        <v>0</v>
      </c>
      <c r="AG830" s="294">
        <f>IF(NFI_Expiration=1,IF($A830&lt;VLOOKUP(P$5,NFI,5,0),1,0)*Table_NFI[[#This Row],[Plastic Bucket]],Table_NFI[Plastic Bucket])</f>
        <v>0</v>
      </c>
      <c r="AH830" s="294">
        <f>IF(NFI_Expiration=1,IF($A830&lt;VLOOKUP(Q$5,NFI,5,0),1,0)*Table_NFI[[#This Row],[Plastic Mat]],Table_NFI[Plastic Mat])*IF(Table_NFI[[#This Row],[Distribution Date]]&gt;"2014-04-01",1,2.5)</f>
        <v>0</v>
      </c>
      <c r="AI830" s="294">
        <f>IF(NFI_Expiration=1,IF($A830&lt;VLOOKUP(R$5,NFI,5,0),1,0)*Table_NFI[[#This Row],[Winter Clothes Adult]],Table_NFI[Winter Clothes Adult])</f>
        <v>0</v>
      </c>
      <c r="AJ830" s="294">
        <f>IF(NFI_Expiration=1,IF($A830&lt;VLOOKUP(S$5,NFI,5,0),1,0)*Table_NFI[[#This Row],[Winter Clothes Children]],Table_NFI[Winter Clothes Children])</f>
        <v>0</v>
      </c>
      <c r="AK830" s="294">
        <f>IF(NFI_Expiration=1,IF($A830&lt;VLOOKUP(T$5,NFI,5,0),1,0)*Table_NFI[[#This Row],[Winter Items Other]],Table_NFI[Winter Items Other])</f>
        <v>0</v>
      </c>
      <c r="AL830" s="294">
        <f>IF(NFI_Expiration=1,IF($A830&lt;VLOOKUP(M$5,NFI,5,0),1,0)*Table_NFI[[#This Row],[Winter Blanket]],Table_NFI[[#This Row],[Winter Blanket]])</f>
        <v>0</v>
      </c>
      <c r="AM830" s="294">
        <f>IF(Table_NFI[[#This Row],[Winter Clothes Adult]]+Table_NFI[[#This Row],[Winter Clothes Children]]+Table_NFI[[#This Row],[Winter Items Other]]+Table_NFI[[#This Row],[Winter Blanket]]&gt;0,1,0)</f>
        <v>0</v>
      </c>
      <c r="AN830" s="331">
        <f>IF(NFI_Expiration=1,IF($A830&lt;VLOOKUP(V$5,NFI,5,0),1,0)*Table_NFI[[#This Row],[Jerry Can]],Table_NFI[Jerry Can])</f>
        <v>0</v>
      </c>
      <c r="AO830" s="331">
        <f>IF(NFI_Expiration=1,IF($A830&lt;VLOOKUP(V$5,NFI,5,0),1,0)*Table_NFI[[#This Row],[Shelter Tool kit]],Table_NFI[Shelter Tool kit])</f>
        <v>0</v>
      </c>
      <c r="AP830" s="331">
        <f>IF(NFI_Expiration=1,IF($A830&lt;VLOOKUP(V$5,NFI,5,0),1,0)*Table_NFI[[#This Row],[Tent]],Table_NFI[Tent])</f>
        <v>0</v>
      </c>
      <c r="AQ830" s="467" t="str">
        <f>IFERROR(VLOOKUP(Table_NFI[[#This Row],[Camp Name]],CL,2,0),"")</f>
        <v>MMR001CMP103</v>
      </c>
      <c r="AR830" s="835">
        <f ca="1">IF(Table_NFI[[#This Row],[Pcode]]="","",IF(OFFSET(CampList[Opening Date],MATCH(Table_NFI[[#This Row],[Pcode]],CampList[CP_Pcode],0)-1,0,1,1)&gt;=NFI_Monitor_Date,1,0))</f>
        <v>0</v>
      </c>
      <c r="AS830" s="467" t="str">
        <f>IFERROR(VLOOKUP(Table_NFI[[#This Row],[Camp Name]],CL,3,0),"")</f>
        <v>Open</v>
      </c>
      <c r="AT830" s="294" t="str">
        <f ca="1">IF(Table_NFI[[#This Row],[Pcode]]="","",OFFSET(CampList[Priority],MATCH(Table_NFI[[#This Row],[Pcode]],CampList[CP_Pcode],0)-1,0,1,1))</f>
        <v>P4</v>
      </c>
      <c r="AU830" s="293">
        <f>IFERROR(Table_NFI[[#This Row],[Kitchen Set]]/VLOOKUP(Table_NFI[[#This Row],[Camp Name]],CL,4,0),"")</f>
        <v>0</v>
      </c>
      <c r="AV830" s="461" t="s">
        <v>1092</v>
      </c>
      <c r="AW830" s="463"/>
    </row>
    <row r="831" spans="1:49" ht="14.45" customHeight="1" x14ac:dyDescent="0.25">
      <c r="A831" s="297">
        <f t="shared" si="12"/>
        <v>48.733333333333334</v>
      </c>
      <c r="B831" s="460">
        <v>41274</v>
      </c>
      <c r="C831" s="461" t="s">
        <v>453</v>
      </c>
      <c r="D831" s="462" t="s">
        <v>453</v>
      </c>
      <c r="E831" s="461" t="s">
        <v>380</v>
      </c>
      <c r="F831" s="290" t="s">
        <v>310</v>
      </c>
      <c r="G831" s="290" t="s">
        <v>318</v>
      </c>
      <c r="H831" s="291">
        <v>92</v>
      </c>
      <c r="I831" s="291"/>
      <c r="J831" s="291"/>
      <c r="K831" s="291"/>
      <c r="L831" s="292"/>
      <c r="M831" s="292"/>
      <c r="N831" s="292"/>
      <c r="O831" s="292"/>
      <c r="P831" s="294">
        <v>0</v>
      </c>
      <c r="Q831" s="294">
        <v>0</v>
      </c>
      <c r="R831" s="294"/>
      <c r="S831" s="294"/>
      <c r="T831" s="294"/>
      <c r="U831" s="294"/>
      <c r="V831" s="431"/>
      <c r="W831" s="294"/>
      <c r="X831" s="294"/>
      <c r="Y831" s="294">
        <f>IF(NFI_Expiration=1,IF($A831&lt;VLOOKUP(H$5,NFI,5,0),1,0)*Table_NFI[[#This Row],[Hygiene Kit]],Table_NFI[Hygiene Kit])</f>
        <v>0</v>
      </c>
      <c r="Z831" s="294">
        <f>IF(NFI_Expiration=1,IF($A831&lt;VLOOKUP(I$5,NFI,5,0),1,0)*Table_NFI[[#This Row],[NFI Core Kit]],Table_NFI[NFI Core Kit])</f>
        <v>0</v>
      </c>
      <c r="AA831" s="294">
        <f>IF(NFI_Expiration=1,IF($A831&lt;VLOOKUP(J$5,NFI,5,0),1,0)*Table_NFI[[#This Row],[Sanitary Kit]],Table_NFI[Sanitary Kit])</f>
        <v>0</v>
      </c>
      <c r="AB831" s="294">
        <f>IF(NFI_Expiration=1,IF($A831&lt;VLOOKUP(K$5,NFI,5,0),1,0)*Table_NFI[[#This Row],[Mosquito net]],Table_NFI[Mosquito net])</f>
        <v>0</v>
      </c>
      <c r="AC831" s="294">
        <f>IF(NFI_Expiration=1,IF($A831&lt;VLOOKUP(L$5,NFI,5,0),1,0)*Table_NFI[[#This Row],[Tarpaulin]],Table_NFI[[#This Row],[Tarpaulin]])</f>
        <v>0</v>
      </c>
      <c r="AD831" s="294">
        <f>IF(NFI_Expiration=1,IF($A831&lt;VLOOKUP(M$5,NFI,5,0),1,0)*Table_NFI[[#This Row],[Blanket]],Table_NFI[[#This Row],[Blanket]])</f>
        <v>0</v>
      </c>
      <c r="AE831" s="294">
        <f>IF(NFI_Expiration=1,IF($A831&lt;VLOOKUP(N$5,NFI,5,0),1,0)*Table_NFI[[#This Row],[Kitchen Set]],Table_NFI[Kitchen Set])</f>
        <v>0</v>
      </c>
      <c r="AF831" s="294">
        <f>IF(NFI_Expiration=1,IF($A831&lt;VLOOKUP(O$5,NFI,5,0),1,0)*Table_NFI[[#This Row],[Clothes Kit]],Table_NFI[Clothes Kit])</f>
        <v>0</v>
      </c>
      <c r="AG831" s="294">
        <f>IF(NFI_Expiration=1,IF($A831&lt;VLOOKUP(P$5,NFI,5,0),1,0)*Table_NFI[[#This Row],[Plastic Bucket]],Table_NFI[Plastic Bucket])</f>
        <v>0</v>
      </c>
      <c r="AH831" s="294">
        <f>IF(NFI_Expiration=1,IF($A831&lt;VLOOKUP(Q$5,NFI,5,0),1,0)*Table_NFI[[#This Row],[Plastic Mat]],Table_NFI[Plastic Mat])*IF(Table_NFI[[#This Row],[Distribution Date]]&gt;"2014-04-01",1,2.5)</f>
        <v>0</v>
      </c>
      <c r="AI831" s="294">
        <f>IF(NFI_Expiration=1,IF($A831&lt;VLOOKUP(R$5,NFI,5,0),1,0)*Table_NFI[[#This Row],[Winter Clothes Adult]],Table_NFI[Winter Clothes Adult])</f>
        <v>0</v>
      </c>
      <c r="AJ831" s="294">
        <f>IF(NFI_Expiration=1,IF($A831&lt;VLOOKUP(S$5,NFI,5,0),1,0)*Table_NFI[[#This Row],[Winter Clothes Children]],Table_NFI[Winter Clothes Children])</f>
        <v>0</v>
      </c>
      <c r="AK831" s="294">
        <f>IF(NFI_Expiration=1,IF($A831&lt;VLOOKUP(T$5,NFI,5,0),1,0)*Table_NFI[[#This Row],[Winter Items Other]],Table_NFI[Winter Items Other])</f>
        <v>0</v>
      </c>
      <c r="AL831" s="294">
        <f>IF(NFI_Expiration=1,IF($A831&lt;VLOOKUP(M$5,NFI,5,0),1,0)*Table_NFI[[#This Row],[Winter Blanket]],Table_NFI[[#This Row],[Winter Blanket]])</f>
        <v>0</v>
      </c>
      <c r="AM831" s="294">
        <f>IF(Table_NFI[[#This Row],[Winter Clothes Adult]]+Table_NFI[[#This Row],[Winter Clothes Children]]+Table_NFI[[#This Row],[Winter Items Other]]+Table_NFI[[#This Row],[Winter Blanket]]&gt;0,1,0)</f>
        <v>0</v>
      </c>
      <c r="AN831" s="331">
        <f>IF(NFI_Expiration=1,IF($A831&lt;VLOOKUP(V$5,NFI,5,0),1,0)*Table_NFI[[#This Row],[Jerry Can]],Table_NFI[Jerry Can])</f>
        <v>0</v>
      </c>
      <c r="AO831" s="331">
        <f>IF(NFI_Expiration=1,IF($A831&lt;VLOOKUP(V$5,NFI,5,0),1,0)*Table_NFI[[#This Row],[Shelter Tool kit]],Table_NFI[Shelter Tool kit])</f>
        <v>0</v>
      </c>
      <c r="AP831" s="331">
        <f>IF(NFI_Expiration=1,IF($A831&lt;VLOOKUP(V$5,NFI,5,0),1,0)*Table_NFI[[#This Row],[Tent]],Table_NFI[Tent])</f>
        <v>0</v>
      </c>
      <c r="AQ831" s="467" t="str">
        <f>IFERROR(VLOOKUP(Table_NFI[[#This Row],[Camp Name]],CL,2,0),"")</f>
        <v>MMR001CMP032</v>
      </c>
      <c r="AR831" s="835">
        <f ca="1">IF(Table_NFI[[#This Row],[Pcode]]="","",IF(OFFSET(CampList[Opening Date],MATCH(Table_NFI[[#This Row],[Pcode]],CampList[CP_Pcode],0)-1,0,1,1)&gt;=NFI_Monitor_Date,1,0))</f>
        <v>0</v>
      </c>
      <c r="AS831" s="467" t="str">
        <f>IFERROR(VLOOKUP(Table_NFI[[#This Row],[Camp Name]],CL,3,0),"")</f>
        <v>Open</v>
      </c>
      <c r="AT831" s="294" t="str">
        <f ca="1">IF(Table_NFI[[#This Row],[Pcode]]="","",OFFSET(CampList[Priority],MATCH(Table_NFI[[#This Row],[Pcode]],CampList[CP_Pcode],0)-1,0,1,1))</f>
        <v>P4</v>
      </c>
      <c r="AU831" s="293">
        <f>IFERROR(Table_NFI[[#This Row],[Kitchen Set]]/VLOOKUP(Table_NFI[[#This Row],[Camp Name]],CL,4,0),"")</f>
        <v>0</v>
      </c>
      <c r="AV831" s="461" t="s">
        <v>1092</v>
      </c>
      <c r="AW831" s="463"/>
    </row>
    <row r="832" spans="1:49" ht="14.45" customHeight="1" x14ac:dyDescent="0.25">
      <c r="A832" s="297">
        <f t="shared" si="12"/>
        <v>48.733333333333334</v>
      </c>
      <c r="B832" s="460">
        <v>41274</v>
      </c>
      <c r="C832" s="461" t="s">
        <v>453</v>
      </c>
      <c r="D832" s="461" t="s">
        <v>453</v>
      </c>
      <c r="E832" s="461" t="s">
        <v>380</v>
      </c>
      <c r="F832" s="290" t="s">
        <v>527</v>
      </c>
      <c r="G832" s="290" t="s">
        <v>50</v>
      </c>
      <c r="H832" s="291">
        <v>16</v>
      </c>
      <c r="I832" s="291"/>
      <c r="J832" s="291"/>
      <c r="K832" s="291"/>
      <c r="L832" s="292"/>
      <c r="M832" s="292"/>
      <c r="N832" s="292"/>
      <c r="O832" s="292"/>
      <c r="P832" s="294">
        <v>0</v>
      </c>
      <c r="Q832" s="294">
        <v>0</v>
      </c>
      <c r="R832" s="294"/>
      <c r="S832" s="294"/>
      <c r="T832" s="294"/>
      <c r="U832" s="294"/>
      <c r="V832" s="431"/>
      <c r="W832" s="294"/>
      <c r="X832" s="294"/>
      <c r="Y832" s="294">
        <f>IF(NFI_Expiration=1,IF($A832&lt;VLOOKUP(H$5,NFI,5,0),1,0)*Table_NFI[[#This Row],[Hygiene Kit]],Table_NFI[Hygiene Kit])</f>
        <v>0</v>
      </c>
      <c r="Z832" s="294">
        <f>IF(NFI_Expiration=1,IF($A832&lt;VLOOKUP(I$5,NFI,5,0),1,0)*Table_NFI[[#This Row],[NFI Core Kit]],Table_NFI[NFI Core Kit])</f>
        <v>0</v>
      </c>
      <c r="AA832" s="294">
        <f>IF(NFI_Expiration=1,IF($A832&lt;VLOOKUP(J$5,NFI,5,0),1,0)*Table_NFI[[#This Row],[Sanitary Kit]],Table_NFI[Sanitary Kit])</f>
        <v>0</v>
      </c>
      <c r="AB832" s="294">
        <f>IF(NFI_Expiration=1,IF($A832&lt;VLOOKUP(K$5,NFI,5,0),1,0)*Table_NFI[[#This Row],[Mosquito net]],Table_NFI[Mosquito net])</f>
        <v>0</v>
      </c>
      <c r="AC832" s="294">
        <f>IF(NFI_Expiration=1,IF($A832&lt;VLOOKUP(L$5,NFI,5,0),1,0)*Table_NFI[[#This Row],[Tarpaulin]],Table_NFI[[#This Row],[Tarpaulin]])</f>
        <v>0</v>
      </c>
      <c r="AD832" s="294">
        <f>IF(NFI_Expiration=1,IF($A832&lt;VLOOKUP(M$5,NFI,5,0),1,0)*Table_NFI[[#This Row],[Blanket]],Table_NFI[[#This Row],[Blanket]])</f>
        <v>0</v>
      </c>
      <c r="AE832" s="294">
        <f>IF(NFI_Expiration=1,IF($A832&lt;VLOOKUP(N$5,NFI,5,0),1,0)*Table_NFI[[#This Row],[Kitchen Set]],Table_NFI[Kitchen Set])</f>
        <v>0</v>
      </c>
      <c r="AF832" s="294">
        <f>IF(NFI_Expiration=1,IF($A832&lt;VLOOKUP(O$5,NFI,5,0),1,0)*Table_NFI[[#This Row],[Clothes Kit]],Table_NFI[Clothes Kit])</f>
        <v>0</v>
      </c>
      <c r="AG832" s="294">
        <f>IF(NFI_Expiration=1,IF($A832&lt;VLOOKUP(P$5,NFI,5,0),1,0)*Table_NFI[[#This Row],[Plastic Bucket]],Table_NFI[Plastic Bucket])</f>
        <v>0</v>
      </c>
      <c r="AH832" s="294">
        <f>IF(NFI_Expiration=1,IF($A832&lt;VLOOKUP(Q$5,NFI,5,0),1,0)*Table_NFI[[#This Row],[Plastic Mat]],Table_NFI[Plastic Mat])*IF(Table_NFI[[#This Row],[Distribution Date]]&gt;"2014-04-01",1,2.5)</f>
        <v>0</v>
      </c>
      <c r="AI832" s="294">
        <f>IF(NFI_Expiration=1,IF($A832&lt;VLOOKUP(R$5,NFI,5,0),1,0)*Table_NFI[[#This Row],[Winter Clothes Adult]],Table_NFI[Winter Clothes Adult])</f>
        <v>0</v>
      </c>
      <c r="AJ832" s="294">
        <f>IF(NFI_Expiration=1,IF($A832&lt;VLOOKUP(S$5,NFI,5,0),1,0)*Table_NFI[[#This Row],[Winter Clothes Children]],Table_NFI[Winter Clothes Children])</f>
        <v>0</v>
      </c>
      <c r="AK832" s="294">
        <f>IF(NFI_Expiration=1,IF($A832&lt;VLOOKUP(T$5,NFI,5,0),1,0)*Table_NFI[[#This Row],[Winter Items Other]],Table_NFI[Winter Items Other])</f>
        <v>0</v>
      </c>
      <c r="AL832" s="294">
        <f>IF(NFI_Expiration=1,IF($A832&lt;VLOOKUP(M$5,NFI,5,0),1,0)*Table_NFI[[#This Row],[Winter Blanket]],Table_NFI[[#This Row],[Winter Blanket]])</f>
        <v>0</v>
      </c>
      <c r="AM832" s="294">
        <f>IF(Table_NFI[[#This Row],[Winter Clothes Adult]]+Table_NFI[[#This Row],[Winter Clothes Children]]+Table_NFI[[#This Row],[Winter Items Other]]+Table_NFI[[#This Row],[Winter Blanket]]&gt;0,1,0)</f>
        <v>0</v>
      </c>
      <c r="AN832" s="331">
        <f>IF(NFI_Expiration=1,IF($A832&lt;VLOOKUP(V$5,NFI,5,0),1,0)*Table_NFI[[#This Row],[Jerry Can]],Table_NFI[Jerry Can])</f>
        <v>0</v>
      </c>
      <c r="AO832" s="331">
        <f>IF(NFI_Expiration=1,IF($A832&lt;VLOOKUP(V$5,NFI,5,0),1,0)*Table_NFI[[#This Row],[Shelter Tool kit]],Table_NFI[Shelter Tool kit])</f>
        <v>0</v>
      </c>
      <c r="AP832" s="331">
        <f>IF(NFI_Expiration=1,IF($A832&lt;VLOOKUP(V$5,NFI,5,0),1,0)*Table_NFI[[#This Row],[Tent]],Table_NFI[Tent])</f>
        <v>0</v>
      </c>
      <c r="AQ832" s="467" t="str">
        <f>IFERROR(VLOOKUP(Table_NFI[[#This Row],[Camp Name]],CL,2,0),"")</f>
        <v>MMR001CMP092</v>
      </c>
      <c r="AR832" s="835">
        <f ca="1">IF(Table_NFI[[#This Row],[Pcode]]="","",IF(OFFSET(CampList[Opening Date],MATCH(Table_NFI[[#This Row],[Pcode]],CampList[CP_Pcode],0)-1,0,1,1)&gt;=NFI_Monitor_Date,1,0))</f>
        <v>0</v>
      </c>
      <c r="AS832" s="467" t="str">
        <f>IFERROR(VLOOKUP(Table_NFI[[#This Row],[Camp Name]],CL,3,0),"")</f>
        <v>Closed</v>
      </c>
      <c r="AT832" s="294" t="str">
        <f ca="1">IF(Table_NFI[[#This Row],[Pcode]]="","",OFFSET(CampList[Priority],MATCH(Table_NFI[[#This Row],[Pcode]],CampList[CP_Pcode],0)-1,0,1,1))</f>
        <v/>
      </c>
      <c r="AU832" s="293" t="str">
        <f>IFERROR(Table_NFI[[#This Row],[Kitchen Set]]/VLOOKUP(Table_NFI[[#This Row],[Camp Name]],CL,4,0),"")</f>
        <v/>
      </c>
      <c r="AV832" s="461" t="s">
        <v>1092</v>
      </c>
      <c r="AW832" s="463"/>
    </row>
    <row r="833" spans="1:49" ht="14.45" customHeight="1" x14ac:dyDescent="0.25">
      <c r="A833" s="297">
        <f t="shared" si="12"/>
        <v>48.733333333333334</v>
      </c>
      <c r="B833" s="460">
        <v>41274</v>
      </c>
      <c r="C833" s="461" t="s">
        <v>453</v>
      </c>
      <c r="D833" s="462" t="s">
        <v>453</v>
      </c>
      <c r="E833" s="461" t="s">
        <v>380</v>
      </c>
      <c r="F833" s="290" t="s">
        <v>527</v>
      </c>
      <c r="G833" s="290" t="s">
        <v>60</v>
      </c>
      <c r="H833" s="291">
        <v>3</v>
      </c>
      <c r="I833" s="291"/>
      <c r="J833" s="291"/>
      <c r="K833" s="291"/>
      <c r="L833" s="292"/>
      <c r="M833" s="292"/>
      <c r="N833" s="292"/>
      <c r="O833" s="292"/>
      <c r="P833" s="294">
        <v>0</v>
      </c>
      <c r="Q833" s="294">
        <v>0</v>
      </c>
      <c r="R833" s="294"/>
      <c r="S833" s="294"/>
      <c r="T833" s="294"/>
      <c r="U833" s="294"/>
      <c r="V833" s="431"/>
      <c r="W833" s="294"/>
      <c r="X833" s="294"/>
      <c r="Y833" s="294">
        <f>IF(NFI_Expiration=1,IF($A833&lt;VLOOKUP(H$5,NFI,5,0),1,0)*Table_NFI[[#This Row],[Hygiene Kit]],Table_NFI[Hygiene Kit])</f>
        <v>0</v>
      </c>
      <c r="Z833" s="294">
        <f>IF(NFI_Expiration=1,IF($A833&lt;VLOOKUP(I$5,NFI,5,0),1,0)*Table_NFI[[#This Row],[NFI Core Kit]],Table_NFI[NFI Core Kit])</f>
        <v>0</v>
      </c>
      <c r="AA833" s="294">
        <f>IF(NFI_Expiration=1,IF($A833&lt;VLOOKUP(J$5,NFI,5,0),1,0)*Table_NFI[[#This Row],[Sanitary Kit]],Table_NFI[Sanitary Kit])</f>
        <v>0</v>
      </c>
      <c r="AB833" s="294">
        <f>IF(NFI_Expiration=1,IF($A833&lt;VLOOKUP(K$5,NFI,5,0),1,0)*Table_NFI[[#This Row],[Mosquito net]],Table_NFI[Mosquito net])</f>
        <v>0</v>
      </c>
      <c r="AC833" s="294">
        <f>IF(NFI_Expiration=1,IF($A833&lt;VLOOKUP(L$5,NFI,5,0),1,0)*Table_NFI[[#This Row],[Tarpaulin]],Table_NFI[[#This Row],[Tarpaulin]])</f>
        <v>0</v>
      </c>
      <c r="AD833" s="294">
        <f>IF(NFI_Expiration=1,IF($A833&lt;VLOOKUP(M$5,NFI,5,0),1,0)*Table_NFI[[#This Row],[Blanket]],Table_NFI[[#This Row],[Blanket]])</f>
        <v>0</v>
      </c>
      <c r="AE833" s="294">
        <f>IF(NFI_Expiration=1,IF($A833&lt;VLOOKUP(N$5,NFI,5,0),1,0)*Table_NFI[[#This Row],[Kitchen Set]],Table_NFI[Kitchen Set])</f>
        <v>0</v>
      </c>
      <c r="AF833" s="294">
        <f>IF(NFI_Expiration=1,IF($A833&lt;VLOOKUP(O$5,NFI,5,0),1,0)*Table_NFI[[#This Row],[Clothes Kit]],Table_NFI[Clothes Kit])</f>
        <v>0</v>
      </c>
      <c r="AG833" s="294">
        <f>IF(NFI_Expiration=1,IF($A833&lt;VLOOKUP(P$5,NFI,5,0),1,0)*Table_NFI[[#This Row],[Plastic Bucket]],Table_NFI[Plastic Bucket])</f>
        <v>0</v>
      </c>
      <c r="AH833" s="294">
        <f>IF(NFI_Expiration=1,IF($A833&lt;VLOOKUP(Q$5,NFI,5,0),1,0)*Table_NFI[[#This Row],[Plastic Mat]],Table_NFI[Plastic Mat])*IF(Table_NFI[[#This Row],[Distribution Date]]&gt;"2014-04-01",1,2.5)</f>
        <v>0</v>
      </c>
      <c r="AI833" s="294">
        <f>IF(NFI_Expiration=1,IF($A833&lt;VLOOKUP(R$5,NFI,5,0),1,0)*Table_NFI[[#This Row],[Winter Clothes Adult]],Table_NFI[Winter Clothes Adult])</f>
        <v>0</v>
      </c>
      <c r="AJ833" s="294">
        <f>IF(NFI_Expiration=1,IF($A833&lt;VLOOKUP(S$5,NFI,5,0),1,0)*Table_NFI[[#This Row],[Winter Clothes Children]],Table_NFI[Winter Clothes Children])</f>
        <v>0</v>
      </c>
      <c r="AK833" s="294">
        <f>IF(NFI_Expiration=1,IF($A833&lt;VLOOKUP(T$5,NFI,5,0),1,0)*Table_NFI[[#This Row],[Winter Items Other]],Table_NFI[Winter Items Other])</f>
        <v>0</v>
      </c>
      <c r="AL833" s="294">
        <f>IF(NFI_Expiration=1,IF($A833&lt;VLOOKUP(M$5,NFI,5,0),1,0)*Table_NFI[[#This Row],[Winter Blanket]],Table_NFI[[#This Row],[Winter Blanket]])</f>
        <v>0</v>
      </c>
      <c r="AM833" s="294">
        <f>IF(Table_NFI[[#This Row],[Winter Clothes Adult]]+Table_NFI[[#This Row],[Winter Clothes Children]]+Table_NFI[[#This Row],[Winter Items Other]]+Table_NFI[[#This Row],[Winter Blanket]]&gt;0,1,0)</f>
        <v>0</v>
      </c>
      <c r="AN833" s="331">
        <f>IF(NFI_Expiration=1,IF($A833&lt;VLOOKUP(V$5,NFI,5,0),1,0)*Table_NFI[[#This Row],[Jerry Can]],Table_NFI[Jerry Can])</f>
        <v>0</v>
      </c>
      <c r="AO833" s="331">
        <f>IF(NFI_Expiration=1,IF($A833&lt;VLOOKUP(V$5,NFI,5,0),1,0)*Table_NFI[[#This Row],[Shelter Tool kit]],Table_NFI[Shelter Tool kit])</f>
        <v>0</v>
      </c>
      <c r="AP833" s="331">
        <f>IF(NFI_Expiration=1,IF($A833&lt;VLOOKUP(V$5,NFI,5,0),1,0)*Table_NFI[[#This Row],[Tent]],Table_NFI[Tent])</f>
        <v>0</v>
      </c>
      <c r="AQ833" s="467" t="str">
        <f>IFERROR(VLOOKUP(Table_NFI[[#This Row],[Camp Name]],CL,2,0),"")</f>
        <v>MMR001CMP172</v>
      </c>
      <c r="AR833" s="835">
        <f ca="1">IF(Table_NFI[[#This Row],[Pcode]]="","",IF(OFFSET(CampList[Opening Date],MATCH(Table_NFI[[#This Row],[Pcode]],CampList[CP_Pcode],0)-1,0,1,1)&gt;=NFI_Monitor_Date,1,0))</f>
        <v>0</v>
      </c>
      <c r="AS833" s="467" t="str">
        <f>IFERROR(VLOOKUP(Table_NFI[[#This Row],[Camp Name]],CL,3,0),"")</f>
        <v>Closed</v>
      </c>
      <c r="AT833" s="294" t="str">
        <f ca="1">IF(Table_NFI[[#This Row],[Pcode]]="","",OFFSET(CampList[Priority],MATCH(Table_NFI[[#This Row],[Pcode]],CampList[CP_Pcode],0)-1,0,1,1))</f>
        <v/>
      </c>
      <c r="AU833" s="293">
        <f>IFERROR(Table_NFI[[#This Row],[Kitchen Set]]/VLOOKUP(Table_NFI[[#This Row],[Camp Name]],CL,4,0),"")</f>
        <v>0</v>
      </c>
      <c r="AV833" s="461" t="s">
        <v>1092</v>
      </c>
      <c r="AW833" s="463"/>
    </row>
    <row r="834" spans="1:49" ht="14.45" customHeight="1" x14ac:dyDescent="0.25">
      <c r="A834" s="297">
        <f t="shared" si="12"/>
        <v>48.733333333333334</v>
      </c>
      <c r="B834" s="460">
        <v>41274</v>
      </c>
      <c r="C834" s="461" t="s">
        <v>453</v>
      </c>
      <c r="D834" s="462" t="s">
        <v>453</v>
      </c>
      <c r="E834" s="461" t="s">
        <v>380</v>
      </c>
      <c r="F834" s="290" t="s">
        <v>310</v>
      </c>
      <c r="G834" s="290" t="s">
        <v>338</v>
      </c>
      <c r="H834" s="291">
        <v>27</v>
      </c>
      <c r="I834" s="291"/>
      <c r="J834" s="291"/>
      <c r="K834" s="291"/>
      <c r="L834" s="292"/>
      <c r="M834" s="292"/>
      <c r="N834" s="292"/>
      <c r="O834" s="292"/>
      <c r="P834" s="294">
        <v>0</v>
      </c>
      <c r="Q834" s="294">
        <v>0</v>
      </c>
      <c r="R834" s="294"/>
      <c r="S834" s="294"/>
      <c r="T834" s="294"/>
      <c r="U834" s="294"/>
      <c r="V834" s="431"/>
      <c r="W834" s="294"/>
      <c r="X834" s="294"/>
      <c r="Y834" s="294">
        <f>IF(NFI_Expiration=1,IF($A834&lt;VLOOKUP(H$5,NFI,5,0),1,0)*Table_NFI[[#This Row],[Hygiene Kit]],Table_NFI[Hygiene Kit])</f>
        <v>0</v>
      </c>
      <c r="Z834" s="294">
        <f>IF(NFI_Expiration=1,IF($A834&lt;VLOOKUP(I$5,NFI,5,0),1,0)*Table_NFI[[#This Row],[NFI Core Kit]],Table_NFI[NFI Core Kit])</f>
        <v>0</v>
      </c>
      <c r="AA834" s="294">
        <f>IF(NFI_Expiration=1,IF($A834&lt;VLOOKUP(J$5,NFI,5,0),1,0)*Table_NFI[[#This Row],[Sanitary Kit]],Table_NFI[Sanitary Kit])</f>
        <v>0</v>
      </c>
      <c r="AB834" s="294">
        <f>IF(NFI_Expiration=1,IF($A834&lt;VLOOKUP(K$5,NFI,5,0),1,0)*Table_NFI[[#This Row],[Mosquito net]],Table_NFI[Mosquito net])</f>
        <v>0</v>
      </c>
      <c r="AC834" s="294">
        <f>IF(NFI_Expiration=1,IF($A834&lt;VLOOKUP(L$5,NFI,5,0),1,0)*Table_NFI[[#This Row],[Tarpaulin]],Table_NFI[[#This Row],[Tarpaulin]])</f>
        <v>0</v>
      </c>
      <c r="AD834" s="294">
        <f>IF(NFI_Expiration=1,IF($A834&lt;VLOOKUP(M$5,NFI,5,0),1,0)*Table_NFI[[#This Row],[Blanket]],Table_NFI[[#This Row],[Blanket]])</f>
        <v>0</v>
      </c>
      <c r="AE834" s="294">
        <f>IF(NFI_Expiration=1,IF($A834&lt;VLOOKUP(N$5,NFI,5,0),1,0)*Table_NFI[[#This Row],[Kitchen Set]],Table_NFI[Kitchen Set])</f>
        <v>0</v>
      </c>
      <c r="AF834" s="294">
        <f>IF(NFI_Expiration=1,IF($A834&lt;VLOOKUP(O$5,NFI,5,0),1,0)*Table_NFI[[#This Row],[Clothes Kit]],Table_NFI[Clothes Kit])</f>
        <v>0</v>
      </c>
      <c r="AG834" s="294">
        <f>IF(NFI_Expiration=1,IF($A834&lt;VLOOKUP(P$5,NFI,5,0),1,0)*Table_NFI[[#This Row],[Plastic Bucket]],Table_NFI[Plastic Bucket])</f>
        <v>0</v>
      </c>
      <c r="AH834" s="294">
        <f>IF(NFI_Expiration=1,IF($A834&lt;VLOOKUP(Q$5,NFI,5,0),1,0)*Table_NFI[[#This Row],[Plastic Mat]],Table_NFI[Plastic Mat])*IF(Table_NFI[[#This Row],[Distribution Date]]&gt;"2014-04-01",1,2.5)</f>
        <v>0</v>
      </c>
      <c r="AI834" s="294">
        <f>IF(NFI_Expiration=1,IF($A834&lt;VLOOKUP(R$5,NFI,5,0),1,0)*Table_NFI[[#This Row],[Winter Clothes Adult]],Table_NFI[Winter Clothes Adult])</f>
        <v>0</v>
      </c>
      <c r="AJ834" s="294">
        <f>IF(NFI_Expiration=1,IF($A834&lt;VLOOKUP(S$5,NFI,5,0),1,0)*Table_NFI[[#This Row],[Winter Clothes Children]],Table_NFI[Winter Clothes Children])</f>
        <v>0</v>
      </c>
      <c r="AK834" s="294">
        <f>IF(NFI_Expiration=1,IF($A834&lt;VLOOKUP(T$5,NFI,5,0),1,0)*Table_NFI[[#This Row],[Winter Items Other]],Table_NFI[Winter Items Other])</f>
        <v>0</v>
      </c>
      <c r="AL834" s="294">
        <f>IF(NFI_Expiration=1,IF($A834&lt;VLOOKUP(M$5,NFI,5,0),1,0)*Table_NFI[[#This Row],[Winter Blanket]],Table_NFI[[#This Row],[Winter Blanket]])</f>
        <v>0</v>
      </c>
      <c r="AM834" s="294">
        <f>IF(Table_NFI[[#This Row],[Winter Clothes Adult]]+Table_NFI[[#This Row],[Winter Clothes Children]]+Table_NFI[[#This Row],[Winter Items Other]]+Table_NFI[[#This Row],[Winter Blanket]]&gt;0,1,0)</f>
        <v>0</v>
      </c>
      <c r="AN834" s="331">
        <f>IF(NFI_Expiration=1,IF($A834&lt;VLOOKUP(V$5,NFI,5,0),1,0)*Table_NFI[[#This Row],[Jerry Can]],Table_NFI[Jerry Can])</f>
        <v>0</v>
      </c>
      <c r="AO834" s="331">
        <f>IF(NFI_Expiration=1,IF($A834&lt;VLOOKUP(V$5,NFI,5,0),1,0)*Table_NFI[[#This Row],[Shelter Tool kit]],Table_NFI[Shelter Tool kit])</f>
        <v>0</v>
      </c>
      <c r="AP834" s="331">
        <f>IF(NFI_Expiration=1,IF($A834&lt;VLOOKUP(V$5,NFI,5,0),1,0)*Table_NFI[[#This Row],[Tent]],Table_NFI[Tent])</f>
        <v>0</v>
      </c>
      <c r="AQ834" s="467" t="str">
        <f>IFERROR(VLOOKUP(Table_NFI[[#This Row],[Camp Name]],CL,2,0),"")</f>
        <v>MMR001CMP030</v>
      </c>
      <c r="AR834" s="835">
        <f ca="1">IF(Table_NFI[[#This Row],[Pcode]]="","",IF(OFFSET(CampList[Opening Date],MATCH(Table_NFI[[#This Row],[Pcode]],CampList[CP_Pcode],0)-1,0,1,1)&gt;=NFI_Monitor_Date,1,0))</f>
        <v>0</v>
      </c>
      <c r="AS834" s="467" t="str">
        <f>IFERROR(VLOOKUP(Table_NFI[[#This Row],[Camp Name]],CL,3,0),"")</f>
        <v>Open</v>
      </c>
      <c r="AT834" s="294" t="str">
        <f ca="1">IF(Table_NFI[[#This Row],[Pcode]]="","",OFFSET(CampList[Priority],MATCH(Table_NFI[[#This Row],[Pcode]],CampList[CP_Pcode],0)-1,0,1,1))</f>
        <v>P4</v>
      </c>
      <c r="AU834" s="293">
        <f>IFERROR(Table_NFI[[#This Row],[Kitchen Set]]/VLOOKUP(Table_NFI[[#This Row],[Camp Name]],CL,4,0),"")</f>
        <v>0</v>
      </c>
      <c r="AV834" s="461" t="s">
        <v>1092</v>
      </c>
      <c r="AW834" s="463"/>
    </row>
    <row r="835" spans="1:49" ht="14.45" customHeight="1" x14ac:dyDescent="0.25">
      <c r="A835" s="297">
        <f t="shared" si="12"/>
        <v>48.733333333333334</v>
      </c>
      <c r="B835" s="460">
        <v>41274</v>
      </c>
      <c r="C835" s="461" t="s">
        <v>453</v>
      </c>
      <c r="D835" s="462" t="s">
        <v>453</v>
      </c>
      <c r="E835" s="461" t="s">
        <v>380</v>
      </c>
      <c r="F835" s="290" t="s">
        <v>527</v>
      </c>
      <c r="G835" s="290" t="s">
        <v>54</v>
      </c>
      <c r="H835" s="291">
        <v>57</v>
      </c>
      <c r="I835" s="291"/>
      <c r="J835" s="291"/>
      <c r="K835" s="291"/>
      <c r="L835" s="292"/>
      <c r="M835" s="292"/>
      <c r="N835" s="292"/>
      <c r="O835" s="292"/>
      <c r="P835" s="294">
        <v>0</v>
      </c>
      <c r="Q835" s="294">
        <v>0</v>
      </c>
      <c r="R835" s="294"/>
      <c r="S835" s="294"/>
      <c r="T835" s="294"/>
      <c r="U835" s="294"/>
      <c r="V835" s="431"/>
      <c r="W835" s="294"/>
      <c r="X835" s="294"/>
      <c r="Y835" s="294">
        <f>IF(NFI_Expiration=1,IF($A835&lt;VLOOKUP(H$5,NFI,5,0),1,0)*Table_NFI[[#This Row],[Hygiene Kit]],Table_NFI[Hygiene Kit])</f>
        <v>0</v>
      </c>
      <c r="Z835" s="294">
        <f>IF(NFI_Expiration=1,IF($A835&lt;VLOOKUP(I$5,NFI,5,0),1,0)*Table_NFI[[#This Row],[NFI Core Kit]],Table_NFI[NFI Core Kit])</f>
        <v>0</v>
      </c>
      <c r="AA835" s="294">
        <f>IF(NFI_Expiration=1,IF($A835&lt;VLOOKUP(J$5,NFI,5,0),1,0)*Table_NFI[[#This Row],[Sanitary Kit]],Table_NFI[Sanitary Kit])</f>
        <v>0</v>
      </c>
      <c r="AB835" s="294">
        <f>IF(NFI_Expiration=1,IF($A835&lt;VLOOKUP(K$5,NFI,5,0),1,0)*Table_NFI[[#This Row],[Mosquito net]],Table_NFI[Mosquito net])</f>
        <v>0</v>
      </c>
      <c r="AC835" s="294">
        <f>IF(NFI_Expiration=1,IF($A835&lt;VLOOKUP(L$5,NFI,5,0),1,0)*Table_NFI[[#This Row],[Tarpaulin]],Table_NFI[[#This Row],[Tarpaulin]])</f>
        <v>0</v>
      </c>
      <c r="AD835" s="294">
        <f>IF(NFI_Expiration=1,IF($A835&lt;VLOOKUP(M$5,NFI,5,0),1,0)*Table_NFI[[#This Row],[Blanket]],Table_NFI[[#This Row],[Blanket]])</f>
        <v>0</v>
      </c>
      <c r="AE835" s="294">
        <f>IF(NFI_Expiration=1,IF($A835&lt;VLOOKUP(N$5,NFI,5,0),1,0)*Table_NFI[[#This Row],[Kitchen Set]],Table_NFI[Kitchen Set])</f>
        <v>0</v>
      </c>
      <c r="AF835" s="294">
        <f>IF(NFI_Expiration=1,IF($A835&lt;VLOOKUP(O$5,NFI,5,0),1,0)*Table_NFI[[#This Row],[Clothes Kit]],Table_NFI[Clothes Kit])</f>
        <v>0</v>
      </c>
      <c r="AG835" s="294">
        <f>IF(NFI_Expiration=1,IF($A835&lt;VLOOKUP(P$5,NFI,5,0),1,0)*Table_NFI[[#This Row],[Plastic Bucket]],Table_NFI[Plastic Bucket])</f>
        <v>0</v>
      </c>
      <c r="AH835" s="294">
        <f>IF(NFI_Expiration=1,IF($A835&lt;VLOOKUP(Q$5,NFI,5,0),1,0)*Table_NFI[[#This Row],[Plastic Mat]],Table_NFI[Plastic Mat])*IF(Table_NFI[[#This Row],[Distribution Date]]&gt;"2014-04-01",1,2.5)</f>
        <v>0</v>
      </c>
      <c r="AI835" s="294">
        <f>IF(NFI_Expiration=1,IF($A835&lt;VLOOKUP(R$5,NFI,5,0),1,0)*Table_NFI[[#This Row],[Winter Clothes Adult]],Table_NFI[Winter Clothes Adult])</f>
        <v>0</v>
      </c>
      <c r="AJ835" s="294">
        <f>IF(NFI_Expiration=1,IF($A835&lt;VLOOKUP(S$5,NFI,5,0),1,0)*Table_NFI[[#This Row],[Winter Clothes Children]],Table_NFI[Winter Clothes Children])</f>
        <v>0</v>
      </c>
      <c r="AK835" s="294">
        <f>IF(NFI_Expiration=1,IF($A835&lt;VLOOKUP(T$5,NFI,5,0),1,0)*Table_NFI[[#This Row],[Winter Items Other]],Table_NFI[Winter Items Other])</f>
        <v>0</v>
      </c>
      <c r="AL835" s="294">
        <f>IF(NFI_Expiration=1,IF($A835&lt;VLOOKUP(M$5,NFI,5,0),1,0)*Table_NFI[[#This Row],[Winter Blanket]],Table_NFI[[#This Row],[Winter Blanket]])</f>
        <v>0</v>
      </c>
      <c r="AM835" s="294">
        <f>IF(Table_NFI[[#This Row],[Winter Clothes Adult]]+Table_NFI[[#This Row],[Winter Clothes Children]]+Table_NFI[[#This Row],[Winter Items Other]]+Table_NFI[[#This Row],[Winter Blanket]]&gt;0,1,0)</f>
        <v>0</v>
      </c>
      <c r="AN835" s="331">
        <f>IF(NFI_Expiration=1,IF($A835&lt;VLOOKUP(V$5,NFI,5,0),1,0)*Table_NFI[[#This Row],[Jerry Can]],Table_NFI[Jerry Can])</f>
        <v>0</v>
      </c>
      <c r="AO835" s="331">
        <f>IF(NFI_Expiration=1,IF($A835&lt;VLOOKUP(V$5,NFI,5,0),1,0)*Table_NFI[[#This Row],[Shelter Tool kit]],Table_NFI[Shelter Tool kit])</f>
        <v>0</v>
      </c>
      <c r="AP835" s="331">
        <f>IF(NFI_Expiration=1,IF($A835&lt;VLOOKUP(V$5,NFI,5,0),1,0)*Table_NFI[[#This Row],[Tent]],Table_NFI[Tent])</f>
        <v>0</v>
      </c>
      <c r="AQ835" s="467" t="str">
        <f>IFERROR(VLOOKUP(Table_NFI[[#This Row],[Camp Name]],CL,2,0),"")</f>
        <v>MMR001CMP094</v>
      </c>
      <c r="AR835" s="835">
        <f ca="1">IF(Table_NFI[[#This Row],[Pcode]]="","",IF(OFFSET(CampList[Opening Date],MATCH(Table_NFI[[#This Row],[Pcode]],CampList[CP_Pcode],0)-1,0,1,1)&gt;=NFI_Monitor_Date,1,0))</f>
        <v>0</v>
      </c>
      <c r="AS835" s="467" t="str">
        <f>IFERROR(VLOOKUP(Table_NFI[[#This Row],[Camp Name]],CL,3,0),"")</f>
        <v>Closed</v>
      </c>
      <c r="AT835" s="294" t="str">
        <f ca="1">IF(Table_NFI[[#This Row],[Pcode]]="","",OFFSET(CampList[Priority],MATCH(Table_NFI[[#This Row],[Pcode]],CampList[CP_Pcode],0)-1,0,1,1))</f>
        <v/>
      </c>
      <c r="AU835" s="293" t="str">
        <f>IFERROR(Table_NFI[[#This Row],[Kitchen Set]]/VLOOKUP(Table_NFI[[#This Row],[Camp Name]],CL,4,0),"")</f>
        <v/>
      </c>
      <c r="AV835" s="461" t="s">
        <v>1092</v>
      </c>
      <c r="AW835" s="463"/>
    </row>
    <row r="836" spans="1:49" ht="14.45" customHeight="1" x14ac:dyDescent="0.25">
      <c r="A836" s="297">
        <f t="shared" si="12"/>
        <v>48.733333333333334</v>
      </c>
      <c r="B836" s="460">
        <v>41274</v>
      </c>
      <c r="C836" s="461" t="s">
        <v>453</v>
      </c>
      <c r="D836" s="462" t="s">
        <v>453</v>
      </c>
      <c r="E836" s="461" t="s">
        <v>380</v>
      </c>
      <c r="F836" s="290" t="s">
        <v>527</v>
      </c>
      <c r="G836" s="290" t="s">
        <v>66</v>
      </c>
      <c r="H836" s="291">
        <v>2</v>
      </c>
      <c r="I836" s="291"/>
      <c r="J836" s="291"/>
      <c r="K836" s="291"/>
      <c r="L836" s="292"/>
      <c r="M836" s="292"/>
      <c r="N836" s="292"/>
      <c r="O836" s="292"/>
      <c r="P836" s="294">
        <v>0</v>
      </c>
      <c r="Q836" s="294">
        <v>0</v>
      </c>
      <c r="R836" s="294"/>
      <c r="S836" s="294"/>
      <c r="T836" s="294"/>
      <c r="U836" s="294"/>
      <c r="V836" s="431"/>
      <c r="W836" s="294"/>
      <c r="X836" s="294"/>
      <c r="Y836" s="294">
        <f>IF(NFI_Expiration=1,IF($A836&lt;VLOOKUP(H$5,NFI,5,0),1,0)*Table_NFI[[#This Row],[Hygiene Kit]],Table_NFI[Hygiene Kit])</f>
        <v>0</v>
      </c>
      <c r="Z836" s="294">
        <f>IF(NFI_Expiration=1,IF($A836&lt;VLOOKUP(I$5,NFI,5,0),1,0)*Table_NFI[[#This Row],[NFI Core Kit]],Table_NFI[NFI Core Kit])</f>
        <v>0</v>
      </c>
      <c r="AA836" s="294">
        <f>IF(NFI_Expiration=1,IF($A836&lt;VLOOKUP(J$5,NFI,5,0),1,0)*Table_NFI[[#This Row],[Sanitary Kit]],Table_NFI[Sanitary Kit])</f>
        <v>0</v>
      </c>
      <c r="AB836" s="294">
        <f>IF(NFI_Expiration=1,IF($A836&lt;VLOOKUP(K$5,NFI,5,0),1,0)*Table_NFI[[#This Row],[Mosquito net]],Table_NFI[Mosquito net])</f>
        <v>0</v>
      </c>
      <c r="AC836" s="294">
        <f>IF(NFI_Expiration=1,IF($A836&lt;VLOOKUP(L$5,NFI,5,0),1,0)*Table_NFI[[#This Row],[Tarpaulin]],Table_NFI[[#This Row],[Tarpaulin]])</f>
        <v>0</v>
      </c>
      <c r="AD836" s="294">
        <f>IF(NFI_Expiration=1,IF($A836&lt;VLOOKUP(M$5,NFI,5,0),1,0)*Table_NFI[[#This Row],[Blanket]],Table_NFI[[#This Row],[Blanket]])</f>
        <v>0</v>
      </c>
      <c r="AE836" s="294">
        <f>IF(NFI_Expiration=1,IF($A836&lt;VLOOKUP(N$5,NFI,5,0),1,0)*Table_NFI[[#This Row],[Kitchen Set]],Table_NFI[Kitchen Set])</f>
        <v>0</v>
      </c>
      <c r="AF836" s="294">
        <f>IF(NFI_Expiration=1,IF($A836&lt;VLOOKUP(O$5,NFI,5,0),1,0)*Table_NFI[[#This Row],[Clothes Kit]],Table_NFI[Clothes Kit])</f>
        <v>0</v>
      </c>
      <c r="AG836" s="294">
        <f>IF(NFI_Expiration=1,IF($A836&lt;VLOOKUP(P$5,NFI,5,0),1,0)*Table_NFI[[#This Row],[Plastic Bucket]],Table_NFI[Plastic Bucket])</f>
        <v>0</v>
      </c>
      <c r="AH836" s="294">
        <f>IF(NFI_Expiration=1,IF($A836&lt;VLOOKUP(Q$5,NFI,5,0),1,0)*Table_NFI[[#This Row],[Plastic Mat]],Table_NFI[Plastic Mat])*IF(Table_NFI[[#This Row],[Distribution Date]]&gt;"2014-04-01",1,2.5)</f>
        <v>0</v>
      </c>
      <c r="AI836" s="294">
        <f>IF(NFI_Expiration=1,IF($A836&lt;VLOOKUP(R$5,NFI,5,0),1,0)*Table_NFI[[#This Row],[Winter Clothes Adult]],Table_NFI[Winter Clothes Adult])</f>
        <v>0</v>
      </c>
      <c r="AJ836" s="294">
        <f>IF(NFI_Expiration=1,IF($A836&lt;VLOOKUP(S$5,NFI,5,0),1,0)*Table_NFI[[#This Row],[Winter Clothes Children]],Table_NFI[Winter Clothes Children])</f>
        <v>0</v>
      </c>
      <c r="AK836" s="294">
        <f>IF(NFI_Expiration=1,IF($A836&lt;VLOOKUP(T$5,NFI,5,0),1,0)*Table_NFI[[#This Row],[Winter Items Other]],Table_NFI[Winter Items Other])</f>
        <v>0</v>
      </c>
      <c r="AL836" s="294">
        <f>IF(NFI_Expiration=1,IF($A836&lt;VLOOKUP(M$5,NFI,5,0),1,0)*Table_NFI[[#This Row],[Winter Blanket]],Table_NFI[[#This Row],[Winter Blanket]])</f>
        <v>0</v>
      </c>
      <c r="AM836" s="294">
        <f>IF(Table_NFI[[#This Row],[Winter Clothes Adult]]+Table_NFI[[#This Row],[Winter Clothes Children]]+Table_NFI[[#This Row],[Winter Items Other]]+Table_NFI[[#This Row],[Winter Blanket]]&gt;0,1,0)</f>
        <v>0</v>
      </c>
      <c r="AN836" s="331">
        <f>IF(NFI_Expiration=1,IF($A836&lt;VLOOKUP(V$5,NFI,5,0),1,0)*Table_NFI[[#This Row],[Jerry Can]],Table_NFI[Jerry Can])</f>
        <v>0</v>
      </c>
      <c r="AO836" s="331">
        <f>IF(NFI_Expiration=1,IF($A836&lt;VLOOKUP(V$5,NFI,5,0),1,0)*Table_NFI[[#This Row],[Shelter Tool kit]],Table_NFI[Shelter Tool kit])</f>
        <v>0</v>
      </c>
      <c r="AP836" s="331">
        <f>IF(NFI_Expiration=1,IF($A836&lt;VLOOKUP(V$5,NFI,5,0),1,0)*Table_NFI[[#This Row],[Tent]],Table_NFI[Tent])</f>
        <v>0</v>
      </c>
      <c r="AQ836" s="467" t="str">
        <f>IFERROR(VLOOKUP(Table_NFI[[#This Row],[Camp Name]],CL,2,0),"")</f>
        <v>MMR001CMP093</v>
      </c>
      <c r="AR836" s="835">
        <f ca="1">IF(Table_NFI[[#This Row],[Pcode]]="","",IF(OFFSET(CampList[Opening Date],MATCH(Table_NFI[[#This Row],[Pcode]],CampList[CP_Pcode],0)-1,0,1,1)&gt;=NFI_Monitor_Date,1,0))</f>
        <v>0</v>
      </c>
      <c r="AS836" s="467" t="str">
        <f>IFERROR(VLOOKUP(Table_NFI[[#This Row],[Camp Name]],CL,3,0),"")</f>
        <v>Closed</v>
      </c>
      <c r="AT836" s="294" t="str">
        <f ca="1">IF(Table_NFI[[#This Row],[Pcode]]="","",OFFSET(CampList[Priority],MATCH(Table_NFI[[#This Row],[Pcode]],CampList[CP_Pcode],0)-1,0,1,1))</f>
        <v/>
      </c>
      <c r="AU836" s="293" t="str">
        <f>IFERROR(Table_NFI[[#This Row],[Kitchen Set]]/VLOOKUP(Table_NFI[[#This Row],[Camp Name]],CL,4,0),"")</f>
        <v/>
      </c>
      <c r="AV836" s="461" t="s">
        <v>1092</v>
      </c>
      <c r="AW836" s="463"/>
    </row>
    <row r="837" spans="1:49" ht="14.45" customHeight="1" x14ac:dyDescent="0.25">
      <c r="A837" s="297">
        <f t="shared" si="12"/>
        <v>48.733333333333334</v>
      </c>
      <c r="B837" s="460">
        <v>41274</v>
      </c>
      <c r="C837" s="461" t="s">
        <v>453</v>
      </c>
      <c r="D837" s="462" t="s">
        <v>453</v>
      </c>
      <c r="E837" s="461" t="s">
        <v>380</v>
      </c>
      <c r="F837" s="290" t="s">
        <v>527</v>
      </c>
      <c r="G837" s="290" t="s">
        <v>136</v>
      </c>
      <c r="H837" s="291">
        <v>3</v>
      </c>
      <c r="I837" s="291"/>
      <c r="J837" s="291"/>
      <c r="K837" s="291"/>
      <c r="L837" s="292"/>
      <c r="M837" s="292"/>
      <c r="N837" s="292"/>
      <c r="O837" s="292"/>
      <c r="P837" s="294">
        <v>0</v>
      </c>
      <c r="Q837" s="294">
        <v>0</v>
      </c>
      <c r="R837" s="294"/>
      <c r="S837" s="294"/>
      <c r="T837" s="294"/>
      <c r="U837" s="294"/>
      <c r="V837" s="431"/>
      <c r="W837" s="294"/>
      <c r="X837" s="294"/>
      <c r="Y837" s="294">
        <f>IF(NFI_Expiration=1,IF($A837&lt;VLOOKUP(H$5,NFI,5,0),1,0)*Table_NFI[[#This Row],[Hygiene Kit]],Table_NFI[Hygiene Kit])</f>
        <v>0</v>
      </c>
      <c r="Z837" s="294">
        <f>IF(NFI_Expiration=1,IF($A837&lt;VLOOKUP(I$5,NFI,5,0),1,0)*Table_NFI[[#This Row],[NFI Core Kit]],Table_NFI[NFI Core Kit])</f>
        <v>0</v>
      </c>
      <c r="AA837" s="294">
        <f>IF(NFI_Expiration=1,IF($A837&lt;VLOOKUP(J$5,NFI,5,0),1,0)*Table_NFI[[#This Row],[Sanitary Kit]],Table_NFI[Sanitary Kit])</f>
        <v>0</v>
      </c>
      <c r="AB837" s="294">
        <f>IF(NFI_Expiration=1,IF($A837&lt;VLOOKUP(K$5,NFI,5,0),1,0)*Table_NFI[[#This Row],[Mosquito net]],Table_NFI[Mosquito net])</f>
        <v>0</v>
      </c>
      <c r="AC837" s="294">
        <f>IF(NFI_Expiration=1,IF($A837&lt;VLOOKUP(L$5,NFI,5,0),1,0)*Table_NFI[[#This Row],[Tarpaulin]],Table_NFI[[#This Row],[Tarpaulin]])</f>
        <v>0</v>
      </c>
      <c r="AD837" s="294">
        <f>IF(NFI_Expiration=1,IF($A837&lt;VLOOKUP(M$5,NFI,5,0),1,0)*Table_NFI[[#This Row],[Blanket]],Table_NFI[[#This Row],[Blanket]])</f>
        <v>0</v>
      </c>
      <c r="AE837" s="294">
        <f>IF(NFI_Expiration=1,IF($A837&lt;VLOOKUP(N$5,NFI,5,0),1,0)*Table_NFI[[#This Row],[Kitchen Set]],Table_NFI[Kitchen Set])</f>
        <v>0</v>
      </c>
      <c r="AF837" s="294">
        <f>IF(NFI_Expiration=1,IF($A837&lt;VLOOKUP(O$5,NFI,5,0),1,0)*Table_NFI[[#This Row],[Clothes Kit]],Table_NFI[Clothes Kit])</f>
        <v>0</v>
      </c>
      <c r="AG837" s="294">
        <f>IF(NFI_Expiration=1,IF($A837&lt;VLOOKUP(P$5,NFI,5,0),1,0)*Table_NFI[[#This Row],[Plastic Bucket]],Table_NFI[Plastic Bucket])</f>
        <v>0</v>
      </c>
      <c r="AH837" s="294">
        <f>IF(NFI_Expiration=1,IF($A837&lt;VLOOKUP(Q$5,NFI,5,0),1,0)*Table_NFI[[#This Row],[Plastic Mat]],Table_NFI[Plastic Mat])*IF(Table_NFI[[#This Row],[Distribution Date]]&gt;"2014-04-01",1,2.5)</f>
        <v>0</v>
      </c>
      <c r="AI837" s="294">
        <f>IF(NFI_Expiration=1,IF($A837&lt;VLOOKUP(R$5,NFI,5,0),1,0)*Table_NFI[[#This Row],[Winter Clothes Adult]],Table_NFI[Winter Clothes Adult])</f>
        <v>0</v>
      </c>
      <c r="AJ837" s="294">
        <f>IF(NFI_Expiration=1,IF($A837&lt;VLOOKUP(S$5,NFI,5,0),1,0)*Table_NFI[[#This Row],[Winter Clothes Children]],Table_NFI[Winter Clothes Children])</f>
        <v>0</v>
      </c>
      <c r="AK837" s="294">
        <f>IF(NFI_Expiration=1,IF($A837&lt;VLOOKUP(T$5,NFI,5,0),1,0)*Table_NFI[[#This Row],[Winter Items Other]],Table_NFI[Winter Items Other])</f>
        <v>0</v>
      </c>
      <c r="AL837" s="294">
        <f>IF(NFI_Expiration=1,IF($A837&lt;VLOOKUP(M$5,NFI,5,0),1,0)*Table_NFI[[#This Row],[Winter Blanket]],Table_NFI[[#This Row],[Winter Blanket]])</f>
        <v>0</v>
      </c>
      <c r="AM837" s="294">
        <f>IF(Table_NFI[[#This Row],[Winter Clothes Adult]]+Table_NFI[[#This Row],[Winter Clothes Children]]+Table_NFI[[#This Row],[Winter Items Other]]+Table_NFI[[#This Row],[Winter Blanket]]&gt;0,1,0)</f>
        <v>0</v>
      </c>
      <c r="AN837" s="331">
        <f>IF(NFI_Expiration=1,IF($A837&lt;VLOOKUP(V$5,NFI,5,0),1,0)*Table_NFI[[#This Row],[Jerry Can]],Table_NFI[Jerry Can])</f>
        <v>0</v>
      </c>
      <c r="AO837" s="331">
        <f>IF(NFI_Expiration=1,IF($A837&lt;VLOOKUP(V$5,NFI,5,0),1,0)*Table_NFI[[#This Row],[Shelter Tool kit]],Table_NFI[Shelter Tool kit])</f>
        <v>0</v>
      </c>
      <c r="AP837" s="331">
        <f>IF(NFI_Expiration=1,IF($A837&lt;VLOOKUP(V$5,NFI,5,0),1,0)*Table_NFI[[#This Row],[Tent]],Table_NFI[Tent])</f>
        <v>0</v>
      </c>
      <c r="AQ837" s="467" t="str">
        <f>IFERROR(VLOOKUP(Table_NFI[[#This Row],[Camp Name]],CL,2,0),"")</f>
        <v>MMR001CMP106</v>
      </c>
      <c r="AR837" s="835">
        <f ca="1">IF(Table_NFI[[#This Row],[Pcode]]="","",IF(OFFSET(CampList[Opening Date],MATCH(Table_NFI[[#This Row],[Pcode]],CampList[CP_Pcode],0)-1,0,1,1)&gt;=NFI_Monitor_Date,1,0))</f>
        <v>0</v>
      </c>
      <c r="AS837" s="467" t="str">
        <f>IFERROR(VLOOKUP(Table_NFI[[#This Row],[Camp Name]],CL,3,0),"")</f>
        <v>Closed</v>
      </c>
      <c r="AT837" s="294" t="str">
        <f ca="1">IF(Table_NFI[[#This Row],[Pcode]]="","",OFFSET(CampList[Priority],MATCH(Table_NFI[[#This Row],[Pcode]],CampList[CP_Pcode],0)-1,0,1,1))</f>
        <v/>
      </c>
      <c r="AU837" s="293" t="str">
        <f>IFERROR(Table_NFI[[#This Row],[Kitchen Set]]/VLOOKUP(Table_NFI[[#This Row],[Camp Name]],CL,4,0),"")</f>
        <v/>
      </c>
      <c r="AV837" s="461" t="s">
        <v>1092</v>
      </c>
      <c r="AW837" s="463"/>
    </row>
    <row r="838" spans="1:49" ht="14.45" customHeight="1" x14ac:dyDescent="0.25">
      <c r="A838" s="297">
        <f t="shared" ref="A838:A901" si="13">IF(ISBLANK(B838),"",(Report_Date-B838)/30)</f>
        <v>48.733333333333334</v>
      </c>
      <c r="B838" s="460">
        <v>41274</v>
      </c>
      <c r="C838" s="461" t="s">
        <v>453</v>
      </c>
      <c r="D838" s="461" t="s">
        <v>453</v>
      </c>
      <c r="E838" s="461" t="s">
        <v>380</v>
      </c>
      <c r="F838" s="290" t="s">
        <v>527</v>
      </c>
      <c r="G838" s="290" t="s">
        <v>84</v>
      </c>
      <c r="H838" s="291">
        <v>10</v>
      </c>
      <c r="I838" s="291"/>
      <c r="J838" s="291"/>
      <c r="K838" s="291"/>
      <c r="L838" s="292"/>
      <c r="M838" s="292"/>
      <c r="N838" s="292"/>
      <c r="O838" s="292"/>
      <c r="P838" s="294">
        <v>0</v>
      </c>
      <c r="Q838" s="294">
        <v>0</v>
      </c>
      <c r="R838" s="294"/>
      <c r="S838" s="294"/>
      <c r="T838" s="294"/>
      <c r="U838" s="294"/>
      <c r="V838" s="431"/>
      <c r="W838" s="294"/>
      <c r="X838" s="294"/>
      <c r="Y838" s="294">
        <f>IF(NFI_Expiration=1,IF($A838&lt;VLOOKUP(H$5,NFI,5,0),1,0)*Table_NFI[[#This Row],[Hygiene Kit]],Table_NFI[Hygiene Kit])</f>
        <v>0</v>
      </c>
      <c r="Z838" s="294">
        <f>IF(NFI_Expiration=1,IF($A838&lt;VLOOKUP(I$5,NFI,5,0),1,0)*Table_NFI[[#This Row],[NFI Core Kit]],Table_NFI[NFI Core Kit])</f>
        <v>0</v>
      </c>
      <c r="AA838" s="294">
        <f>IF(NFI_Expiration=1,IF($A838&lt;VLOOKUP(J$5,NFI,5,0),1,0)*Table_NFI[[#This Row],[Sanitary Kit]],Table_NFI[Sanitary Kit])</f>
        <v>0</v>
      </c>
      <c r="AB838" s="294">
        <f>IF(NFI_Expiration=1,IF($A838&lt;VLOOKUP(K$5,NFI,5,0),1,0)*Table_NFI[[#This Row],[Mosquito net]],Table_NFI[Mosquito net])</f>
        <v>0</v>
      </c>
      <c r="AC838" s="294">
        <f>IF(NFI_Expiration=1,IF($A838&lt;VLOOKUP(L$5,NFI,5,0),1,0)*Table_NFI[[#This Row],[Tarpaulin]],Table_NFI[[#This Row],[Tarpaulin]])</f>
        <v>0</v>
      </c>
      <c r="AD838" s="294">
        <f>IF(NFI_Expiration=1,IF($A838&lt;VLOOKUP(M$5,NFI,5,0),1,0)*Table_NFI[[#This Row],[Blanket]],Table_NFI[[#This Row],[Blanket]])</f>
        <v>0</v>
      </c>
      <c r="AE838" s="294">
        <f>IF(NFI_Expiration=1,IF($A838&lt;VLOOKUP(N$5,NFI,5,0),1,0)*Table_NFI[[#This Row],[Kitchen Set]],Table_NFI[Kitchen Set])</f>
        <v>0</v>
      </c>
      <c r="AF838" s="294">
        <f>IF(NFI_Expiration=1,IF($A838&lt;VLOOKUP(O$5,NFI,5,0),1,0)*Table_NFI[[#This Row],[Clothes Kit]],Table_NFI[Clothes Kit])</f>
        <v>0</v>
      </c>
      <c r="AG838" s="294">
        <f>IF(NFI_Expiration=1,IF($A838&lt;VLOOKUP(P$5,NFI,5,0),1,0)*Table_NFI[[#This Row],[Plastic Bucket]],Table_NFI[Plastic Bucket])</f>
        <v>0</v>
      </c>
      <c r="AH838" s="294">
        <f>IF(NFI_Expiration=1,IF($A838&lt;VLOOKUP(Q$5,NFI,5,0),1,0)*Table_NFI[[#This Row],[Plastic Mat]],Table_NFI[Plastic Mat])*IF(Table_NFI[[#This Row],[Distribution Date]]&gt;"2014-04-01",1,2.5)</f>
        <v>0</v>
      </c>
      <c r="AI838" s="294">
        <f>IF(NFI_Expiration=1,IF($A838&lt;VLOOKUP(R$5,NFI,5,0),1,0)*Table_NFI[[#This Row],[Winter Clothes Adult]],Table_NFI[Winter Clothes Adult])</f>
        <v>0</v>
      </c>
      <c r="AJ838" s="294">
        <f>IF(NFI_Expiration=1,IF($A838&lt;VLOOKUP(S$5,NFI,5,0),1,0)*Table_NFI[[#This Row],[Winter Clothes Children]],Table_NFI[Winter Clothes Children])</f>
        <v>0</v>
      </c>
      <c r="AK838" s="294">
        <f>IF(NFI_Expiration=1,IF($A838&lt;VLOOKUP(T$5,NFI,5,0),1,0)*Table_NFI[[#This Row],[Winter Items Other]],Table_NFI[Winter Items Other])</f>
        <v>0</v>
      </c>
      <c r="AL838" s="294">
        <f>IF(NFI_Expiration=1,IF($A838&lt;VLOOKUP(M$5,NFI,5,0),1,0)*Table_NFI[[#This Row],[Winter Blanket]],Table_NFI[[#This Row],[Winter Blanket]])</f>
        <v>0</v>
      </c>
      <c r="AM838" s="294">
        <f>IF(Table_NFI[[#This Row],[Winter Clothes Adult]]+Table_NFI[[#This Row],[Winter Clothes Children]]+Table_NFI[[#This Row],[Winter Items Other]]+Table_NFI[[#This Row],[Winter Blanket]]&gt;0,1,0)</f>
        <v>0</v>
      </c>
      <c r="AN838" s="331">
        <f>IF(NFI_Expiration=1,IF($A838&lt;VLOOKUP(V$5,NFI,5,0),1,0)*Table_NFI[[#This Row],[Jerry Can]],Table_NFI[Jerry Can])</f>
        <v>0</v>
      </c>
      <c r="AO838" s="331">
        <f>IF(NFI_Expiration=1,IF($A838&lt;VLOOKUP(V$5,NFI,5,0),1,0)*Table_NFI[[#This Row],[Shelter Tool kit]],Table_NFI[Shelter Tool kit])</f>
        <v>0</v>
      </c>
      <c r="AP838" s="331">
        <f>IF(NFI_Expiration=1,IF($A838&lt;VLOOKUP(V$5,NFI,5,0),1,0)*Table_NFI[[#This Row],[Tent]],Table_NFI[Tent])</f>
        <v>0</v>
      </c>
      <c r="AQ838" s="467" t="str">
        <f>IFERROR(VLOOKUP(Table_NFI[[#This Row],[Camp Name]],CL,2,0),"")</f>
        <v>MMR001CMP085</v>
      </c>
      <c r="AR838" s="835">
        <f ca="1">IF(Table_NFI[[#This Row],[Pcode]]="","",IF(OFFSET(CampList[Opening Date],MATCH(Table_NFI[[#This Row],[Pcode]],CampList[CP_Pcode],0)-1,0,1,1)&gt;=NFI_Monitor_Date,1,0))</f>
        <v>0</v>
      </c>
      <c r="AS838" s="467" t="str">
        <f>IFERROR(VLOOKUP(Table_NFI[[#This Row],[Camp Name]],CL,3,0),"")</f>
        <v>Closed</v>
      </c>
      <c r="AT838" s="294" t="str">
        <f ca="1">IF(Table_NFI[[#This Row],[Pcode]]="","",OFFSET(CampList[Priority],MATCH(Table_NFI[[#This Row],[Pcode]],CampList[CP_Pcode],0)-1,0,1,1))</f>
        <v/>
      </c>
      <c r="AU838" s="293" t="str">
        <f>IFERROR(Table_NFI[[#This Row],[Kitchen Set]]/VLOOKUP(Table_NFI[[#This Row],[Camp Name]],CL,4,0),"")</f>
        <v/>
      </c>
      <c r="AV838" s="461" t="s">
        <v>1092</v>
      </c>
      <c r="AW838" s="463"/>
    </row>
    <row r="839" spans="1:49" ht="14.45" customHeight="1" x14ac:dyDescent="0.25">
      <c r="A839" s="297">
        <f t="shared" si="13"/>
        <v>48.733333333333334</v>
      </c>
      <c r="B839" s="460">
        <v>41274</v>
      </c>
      <c r="C839" s="461" t="s">
        <v>453</v>
      </c>
      <c r="D839" s="461" t="s">
        <v>453</v>
      </c>
      <c r="E839" s="461" t="s">
        <v>380</v>
      </c>
      <c r="F839" s="290" t="s">
        <v>527</v>
      </c>
      <c r="G839" s="290" t="s">
        <v>98</v>
      </c>
      <c r="H839" s="291">
        <v>5</v>
      </c>
      <c r="I839" s="291"/>
      <c r="J839" s="291"/>
      <c r="K839" s="291"/>
      <c r="L839" s="292"/>
      <c r="M839" s="292"/>
      <c r="N839" s="292"/>
      <c r="O839" s="292"/>
      <c r="P839" s="294">
        <v>0</v>
      </c>
      <c r="Q839" s="294">
        <v>0</v>
      </c>
      <c r="R839" s="294"/>
      <c r="S839" s="294"/>
      <c r="T839" s="294"/>
      <c r="U839" s="294"/>
      <c r="V839" s="431"/>
      <c r="W839" s="294"/>
      <c r="X839" s="294"/>
      <c r="Y839" s="294">
        <f>IF(NFI_Expiration=1,IF($A839&lt;VLOOKUP(H$5,NFI,5,0),1,0)*Table_NFI[[#This Row],[Hygiene Kit]],Table_NFI[Hygiene Kit])</f>
        <v>0</v>
      </c>
      <c r="Z839" s="294">
        <f>IF(NFI_Expiration=1,IF($A839&lt;VLOOKUP(I$5,NFI,5,0),1,0)*Table_NFI[[#This Row],[NFI Core Kit]],Table_NFI[NFI Core Kit])</f>
        <v>0</v>
      </c>
      <c r="AA839" s="294">
        <f>IF(NFI_Expiration=1,IF($A839&lt;VLOOKUP(J$5,NFI,5,0),1,0)*Table_NFI[[#This Row],[Sanitary Kit]],Table_NFI[Sanitary Kit])</f>
        <v>0</v>
      </c>
      <c r="AB839" s="294">
        <f>IF(NFI_Expiration=1,IF($A839&lt;VLOOKUP(K$5,NFI,5,0),1,0)*Table_NFI[[#This Row],[Mosquito net]],Table_NFI[Mosquito net])</f>
        <v>0</v>
      </c>
      <c r="AC839" s="294">
        <f>IF(NFI_Expiration=1,IF($A839&lt;VLOOKUP(L$5,NFI,5,0),1,0)*Table_NFI[[#This Row],[Tarpaulin]],Table_NFI[[#This Row],[Tarpaulin]])</f>
        <v>0</v>
      </c>
      <c r="AD839" s="294">
        <f>IF(NFI_Expiration=1,IF($A839&lt;VLOOKUP(M$5,NFI,5,0),1,0)*Table_NFI[[#This Row],[Blanket]],Table_NFI[[#This Row],[Blanket]])</f>
        <v>0</v>
      </c>
      <c r="AE839" s="294">
        <f>IF(NFI_Expiration=1,IF($A839&lt;VLOOKUP(N$5,NFI,5,0),1,0)*Table_NFI[[#This Row],[Kitchen Set]],Table_NFI[Kitchen Set])</f>
        <v>0</v>
      </c>
      <c r="AF839" s="294">
        <f>IF(NFI_Expiration=1,IF($A839&lt;VLOOKUP(O$5,NFI,5,0),1,0)*Table_NFI[[#This Row],[Clothes Kit]],Table_NFI[Clothes Kit])</f>
        <v>0</v>
      </c>
      <c r="AG839" s="294">
        <f>IF(NFI_Expiration=1,IF($A839&lt;VLOOKUP(P$5,NFI,5,0),1,0)*Table_NFI[[#This Row],[Plastic Bucket]],Table_NFI[Plastic Bucket])</f>
        <v>0</v>
      </c>
      <c r="AH839" s="294">
        <f>IF(NFI_Expiration=1,IF($A839&lt;VLOOKUP(Q$5,NFI,5,0),1,0)*Table_NFI[[#This Row],[Plastic Mat]],Table_NFI[Plastic Mat])*IF(Table_NFI[[#This Row],[Distribution Date]]&gt;"2014-04-01",1,2.5)</f>
        <v>0</v>
      </c>
      <c r="AI839" s="294">
        <f>IF(NFI_Expiration=1,IF($A839&lt;VLOOKUP(R$5,NFI,5,0),1,0)*Table_NFI[[#This Row],[Winter Clothes Adult]],Table_NFI[Winter Clothes Adult])</f>
        <v>0</v>
      </c>
      <c r="AJ839" s="294">
        <f>IF(NFI_Expiration=1,IF($A839&lt;VLOOKUP(S$5,NFI,5,0),1,0)*Table_NFI[[#This Row],[Winter Clothes Children]],Table_NFI[Winter Clothes Children])</f>
        <v>0</v>
      </c>
      <c r="AK839" s="294">
        <f>IF(NFI_Expiration=1,IF($A839&lt;VLOOKUP(T$5,NFI,5,0),1,0)*Table_NFI[[#This Row],[Winter Items Other]],Table_NFI[Winter Items Other])</f>
        <v>0</v>
      </c>
      <c r="AL839" s="294">
        <f>IF(NFI_Expiration=1,IF($A839&lt;VLOOKUP(M$5,NFI,5,0),1,0)*Table_NFI[[#This Row],[Winter Blanket]],Table_NFI[[#This Row],[Winter Blanket]])</f>
        <v>0</v>
      </c>
      <c r="AM839" s="294">
        <f>IF(Table_NFI[[#This Row],[Winter Clothes Adult]]+Table_NFI[[#This Row],[Winter Clothes Children]]+Table_NFI[[#This Row],[Winter Items Other]]+Table_NFI[[#This Row],[Winter Blanket]]&gt;0,1,0)</f>
        <v>0</v>
      </c>
      <c r="AN839" s="331">
        <f>IF(NFI_Expiration=1,IF($A839&lt;VLOOKUP(V$5,NFI,5,0),1,0)*Table_NFI[[#This Row],[Jerry Can]],Table_NFI[Jerry Can])</f>
        <v>0</v>
      </c>
      <c r="AO839" s="331">
        <f>IF(NFI_Expiration=1,IF($A839&lt;VLOOKUP(V$5,NFI,5,0),1,0)*Table_NFI[[#This Row],[Shelter Tool kit]],Table_NFI[Shelter Tool kit])</f>
        <v>0</v>
      </c>
      <c r="AP839" s="331">
        <f>IF(NFI_Expiration=1,IF($A839&lt;VLOOKUP(V$5,NFI,5,0),1,0)*Table_NFI[[#This Row],[Tent]],Table_NFI[Tent])</f>
        <v>0</v>
      </c>
      <c r="AQ839" s="467" t="str">
        <f>IFERROR(VLOOKUP(Table_NFI[[#This Row],[Camp Name]],CL,2,0),"")</f>
        <v>MMR001CMP178</v>
      </c>
      <c r="AR839" s="835">
        <f ca="1">IF(Table_NFI[[#This Row],[Pcode]]="","",IF(OFFSET(CampList[Opening Date],MATCH(Table_NFI[[#This Row],[Pcode]],CampList[CP_Pcode],0)-1,0,1,1)&gt;=NFI_Monitor_Date,1,0))</f>
        <v>0</v>
      </c>
      <c r="AS839" s="467" t="str">
        <f>IFERROR(VLOOKUP(Table_NFI[[#This Row],[Camp Name]],CL,3,0),"")</f>
        <v>Closed</v>
      </c>
      <c r="AT839" s="294" t="str">
        <f ca="1">IF(Table_NFI[[#This Row],[Pcode]]="","",OFFSET(CampList[Priority],MATCH(Table_NFI[[#This Row],[Pcode]],CampList[CP_Pcode],0)-1,0,1,1))</f>
        <v/>
      </c>
      <c r="AU839" s="293" t="str">
        <f>IFERROR(Table_NFI[[#This Row],[Kitchen Set]]/VLOOKUP(Table_NFI[[#This Row],[Camp Name]],CL,4,0),"")</f>
        <v/>
      </c>
      <c r="AV839" s="461" t="s">
        <v>1092</v>
      </c>
      <c r="AW839" s="463"/>
    </row>
    <row r="840" spans="1:49" ht="14.45" customHeight="1" x14ac:dyDescent="0.25">
      <c r="A840" s="297">
        <f t="shared" si="13"/>
        <v>48.733333333333334</v>
      </c>
      <c r="B840" s="460">
        <v>41274</v>
      </c>
      <c r="C840" s="461" t="s">
        <v>453</v>
      </c>
      <c r="D840" s="461" t="s">
        <v>453</v>
      </c>
      <c r="E840" s="461" t="s">
        <v>380</v>
      </c>
      <c r="F840" s="290" t="s">
        <v>527</v>
      </c>
      <c r="G840" s="290" t="s">
        <v>142</v>
      </c>
      <c r="H840" s="291">
        <v>1</v>
      </c>
      <c r="I840" s="291"/>
      <c r="J840" s="291"/>
      <c r="K840" s="291"/>
      <c r="L840" s="292"/>
      <c r="M840" s="292"/>
      <c r="N840" s="292"/>
      <c r="O840" s="292"/>
      <c r="P840" s="294">
        <v>0</v>
      </c>
      <c r="Q840" s="294">
        <v>0</v>
      </c>
      <c r="R840" s="294"/>
      <c r="S840" s="294"/>
      <c r="T840" s="294"/>
      <c r="U840" s="294"/>
      <c r="V840" s="431"/>
      <c r="W840" s="294"/>
      <c r="X840" s="294"/>
      <c r="Y840" s="294">
        <f>IF(NFI_Expiration=1,IF($A840&lt;VLOOKUP(H$5,NFI,5,0),1,0)*Table_NFI[[#This Row],[Hygiene Kit]],Table_NFI[Hygiene Kit])</f>
        <v>0</v>
      </c>
      <c r="Z840" s="294">
        <f>IF(NFI_Expiration=1,IF($A840&lt;VLOOKUP(I$5,NFI,5,0),1,0)*Table_NFI[[#This Row],[NFI Core Kit]],Table_NFI[NFI Core Kit])</f>
        <v>0</v>
      </c>
      <c r="AA840" s="294">
        <f>IF(NFI_Expiration=1,IF($A840&lt;VLOOKUP(J$5,NFI,5,0),1,0)*Table_NFI[[#This Row],[Sanitary Kit]],Table_NFI[Sanitary Kit])</f>
        <v>0</v>
      </c>
      <c r="AB840" s="294">
        <f>IF(NFI_Expiration=1,IF($A840&lt;VLOOKUP(K$5,NFI,5,0),1,0)*Table_NFI[[#This Row],[Mosquito net]],Table_NFI[Mosquito net])</f>
        <v>0</v>
      </c>
      <c r="AC840" s="294">
        <f>IF(NFI_Expiration=1,IF($A840&lt;VLOOKUP(L$5,NFI,5,0),1,0)*Table_NFI[[#This Row],[Tarpaulin]],Table_NFI[[#This Row],[Tarpaulin]])</f>
        <v>0</v>
      </c>
      <c r="AD840" s="294">
        <f>IF(NFI_Expiration=1,IF($A840&lt;VLOOKUP(M$5,NFI,5,0),1,0)*Table_NFI[[#This Row],[Blanket]],Table_NFI[[#This Row],[Blanket]])</f>
        <v>0</v>
      </c>
      <c r="AE840" s="294">
        <f>IF(NFI_Expiration=1,IF($A840&lt;VLOOKUP(N$5,NFI,5,0),1,0)*Table_NFI[[#This Row],[Kitchen Set]],Table_NFI[Kitchen Set])</f>
        <v>0</v>
      </c>
      <c r="AF840" s="294">
        <f>IF(NFI_Expiration=1,IF($A840&lt;VLOOKUP(O$5,NFI,5,0),1,0)*Table_NFI[[#This Row],[Clothes Kit]],Table_NFI[Clothes Kit])</f>
        <v>0</v>
      </c>
      <c r="AG840" s="294">
        <f>IF(NFI_Expiration=1,IF($A840&lt;VLOOKUP(P$5,NFI,5,0),1,0)*Table_NFI[[#This Row],[Plastic Bucket]],Table_NFI[Plastic Bucket])</f>
        <v>0</v>
      </c>
      <c r="AH840" s="294">
        <f>IF(NFI_Expiration=1,IF($A840&lt;VLOOKUP(Q$5,NFI,5,0),1,0)*Table_NFI[[#This Row],[Plastic Mat]],Table_NFI[Plastic Mat])*IF(Table_NFI[[#This Row],[Distribution Date]]&gt;"2014-04-01",1,2.5)</f>
        <v>0</v>
      </c>
      <c r="AI840" s="294">
        <f>IF(NFI_Expiration=1,IF($A840&lt;VLOOKUP(R$5,NFI,5,0),1,0)*Table_NFI[[#This Row],[Winter Clothes Adult]],Table_NFI[Winter Clothes Adult])</f>
        <v>0</v>
      </c>
      <c r="AJ840" s="294">
        <f>IF(NFI_Expiration=1,IF($A840&lt;VLOOKUP(S$5,NFI,5,0),1,0)*Table_NFI[[#This Row],[Winter Clothes Children]],Table_NFI[Winter Clothes Children])</f>
        <v>0</v>
      </c>
      <c r="AK840" s="294">
        <f>IF(NFI_Expiration=1,IF($A840&lt;VLOOKUP(T$5,NFI,5,0),1,0)*Table_NFI[[#This Row],[Winter Items Other]],Table_NFI[Winter Items Other])</f>
        <v>0</v>
      </c>
      <c r="AL840" s="294">
        <f>IF(NFI_Expiration=1,IF($A840&lt;VLOOKUP(M$5,NFI,5,0),1,0)*Table_NFI[[#This Row],[Winter Blanket]],Table_NFI[[#This Row],[Winter Blanket]])</f>
        <v>0</v>
      </c>
      <c r="AM840" s="294">
        <f>IF(Table_NFI[[#This Row],[Winter Clothes Adult]]+Table_NFI[[#This Row],[Winter Clothes Children]]+Table_NFI[[#This Row],[Winter Items Other]]+Table_NFI[[#This Row],[Winter Blanket]]&gt;0,1,0)</f>
        <v>0</v>
      </c>
      <c r="AN840" s="331">
        <f>IF(NFI_Expiration=1,IF($A840&lt;VLOOKUP(V$5,NFI,5,0),1,0)*Table_NFI[[#This Row],[Jerry Can]],Table_NFI[Jerry Can])</f>
        <v>0</v>
      </c>
      <c r="AO840" s="331">
        <f>IF(NFI_Expiration=1,IF($A840&lt;VLOOKUP(V$5,NFI,5,0),1,0)*Table_NFI[[#This Row],[Shelter Tool kit]],Table_NFI[Shelter Tool kit])</f>
        <v>0</v>
      </c>
      <c r="AP840" s="331">
        <f>IF(NFI_Expiration=1,IF($A840&lt;VLOOKUP(V$5,NFI,5,0),1,0)*Table_NFI[[#This Row],[Tent]],Table_NFI[Tent])</f>
        <v>0</v>
      </c>
      <c r="AQ840" s="467" t="str">
        <f>IFERROR(VLOOKUP(Table_NFI[[#This Row],[Camp Name]],CL,2,0),"")</f>
        <v>MMR001CMP177</v>
      </c>
      <c r="AR840" s="835">
        <f ca="1">IF(Table_NFI[[#This Row],[Pcode]]="","",IF(OFFSET(CampList[Opening Date],MATCH(Table_NFI[[#This Row],[Pcode]],CampList[CP_Pcode],0)-1,0,1,1)&gt;=NFI_Monitor_Date,1,0))</f>
        <v>0</v>
      </c>
      <c r="AS840" s="467" t="str">
        <f>IFERROR(VLOOKUP(Table_NFI[[#This Row],[Camp Name]],CL,3,0),"")</f>
        <v>Closed</v>
      </c>
      <c r="AT840" s="294" t="str">
        <f ca="1">IF(Table_NFI[[#This Row],[Pcode]]="","",OFFSET(CampList[Priority],MATCH(Table_NFI[[#This Row],[Pcode]],CampList[CP_Pcode],0)-1,0,1,1))</f>
        <v/>
      </c>
      <c r="AU840" s="293">
        <f>IFERROR(Table_NFI[[#This Row],[Kitchen Set]]/VLOOKUP(Table_NFI[[#This Row],[Camp Name]],CL,4,0),"")</f>
        <v>0</v>
      </c>
      <c r="AV840" s="461" t="s">
        <v>1092</v>
      </c>
      <c r="AW840" s="463"/>
    </row>
    <row r="841" spans="1:49" ht="14.45" customHeight="1" x14ac:dyDescent="0.25">
      <c r="A841" s="297">
        <f t="shared" si="13"/>
        <v>48.733333333333334</v>
      </c>
      <c r="B841" s="460">
        <v>41274</v>
      </c>
      <c r="C841" s="461" t="s">
        <v>453</v>
      </c>
      <c r="D841" s="462" t="s">
        <v>453</v>
      </c>
      <c r="E841" s="461" t="s">
        <v>380</v>
      </c>
      <c r="F841" s="290" t="s">
        <v>237</v>
      </c>
      <c r="G841" s="290" t="s">
        <v>267</v>
      </c>
      <c r="H841" s="291">
        <v>12</v>
      </c>
      <c r="I841" s="291"/>
      <c r="J841" s="291"/>
      <c r="K841" s="291"/>
      <c r="L841" s="292"/>
      <c r="M841" s="292"/>
      <c r="N841" s="292"/>
      <c r="O841" s="292"/>
      <c r="P841" s="294">
        <v>0</v>
      </c>
      <c r="Q841" s="294">
        <v>0</v>
      </c>
      <c r="R841" s="294"/>
      <c r="S841" s="294"/>
      <c r="T841" s="294"/>
      <c r="U841" s="294"/>
      <c r="V841" s="431"/>
      <c r="W841" s="294"/>
      <c r="X841" s="294"/>
      <c r="Y841" s="294">
        <f>IF(NFI_Expiration=1,IF($A841&lt;VLOOKUP(H$5,NFI,5,0),1,0)*Table_NFI[[#This Row],[Hygiene Kit]],Table_NFI[Hygiene Kit])</f>
        <v>0</v>
      </c>
      <c r="Z841" s="294">
        <f>IF(NFI_Expiration=1,IF($A841&lt;VLOOKUP(I$5,NFI,5,0),1,0)*Table_NFI[[#This Row],[NFI Core Kit]],Table_NFI[NFI Core Kit])</f>
        <v>0</v>
      </c>
      <c r="AA841" s="294">
        <f>IF(NFI_Expiration=1,IF($A841&lt;VLOOKUP(J$5,NFI,5,0),1,0)*Table_NFI[[#This Row],[Sanitary Kit]],Table_NFI[Sanitary Kit])</f>
        <v>0</v>
      </c>
      <c r="AB841" s="294">
        <f>IF(NFI_Expiration=1,IF($A841&lt;VLOOKUP(K$5,NFI,5,0),1,0)*Table_NFI[[#This Row],[Mosquito net]],Table_NFI[Mosquito net])</f>
        <v>0</v>
      </c>
      <c r="AC841" s="294">
        <f>IF(NFI_Expiration=1,IF($A841&lt;VLOOKUP(L$5,NFI,5,0),1,0)*Table_NFI[[#This Row],[Tarpaulin]],Table_NFI[[#This Row],[Tarpaulin]])</f>
        <v>0</v>
      </c>
      <c r="AD841" s="294">
        <f>IF(NFI_Expiration=1,IF($A841&lt;VLOOKUP(M$5,NFI,5,0),1,0)*Table_NFI[[#This Row],[Blanket]],Table_NFI[[#This Row],[Blanket]])</f>
        <v>0</v>
      </c>
      <c r="AE841" s="294">
        <f>IF(NFI_Expiration=1,IF($A841&lt;VLOOKUP(N$5,NFI,5,0),1,0)*Table_NFI[[#This Row],[Kitchen Set]],Table_NFI[Kitchen Set])</f>
        <v>0</v>
      </c>
      <c r="AF841" s="294">
        <f>IF(NFI_Expiration=1,IF($A841&lt;VLOOKUP(O$5,NFI,5,0),1,0)*Table_NFI[[#This Row],[Clothes Kit]],Table_NFI[Clothes Kit])</f>
        <v>0</v>
      </c>
      <c r="AG841" s="294">
        <f>IF(NFI_Expiration=1,IF($A841&lt;VLOOKUP(P$5,NFI,5,0),1,0)*Table_NFI[[#This Row],[Plastic Bucket]],Table_NFI[Plastic Bucket])</f>
        <v>0</v>
      </c>
      <c r="AH841" s="294">
        <f>IF(NFI_Expiration=1,IF($A841&lt;VLOOKUP(Q$5,NFI,5,0),1,0)*Table_NFI[[#This Row],[Plastic Mat]],Table_NFI[Plastic Mat])*IF(Table_NFI[[#This Row],[Distribution Date]]&gt;"2014-04-01",1,2.5)</f>
        <v>0</v>
      </c>
      <c r="AI841" s="294">
        <f>IF(NFI_Expiration=1,IF($A841&lt;VLOOKUP(R$5,NFI,5,0),1,0)*Table_NFI[[#This Row],[Winter Clothes Adult]],Table_NFI[Winter Clothes Adult])</f>
        <v>0</v>
      </c>
      <c r="AJ841" s="294">
        <f>IF(NFI_Expiration=1,IF($A841&lt;VLOOKUP(S$5,NFI,5,0),1,0)*Table_NFI[[#This Row],[Winter Clothes Children]],Table_NFI[Winter Clothes Children])</f>
        <v>0</v>
      </c>
      <c r="AK841" s="294">
        <f>IF(NFI_Expiration=1,IF($A841&lt;VLOOKUP(T$5,NFI,5,0),1,0)*Table_NFI[[#This Row],[Winter Items Other]],Table_NFI[Winter Items Other])</f>
        <v>0</v>
      </c>
      <c r="AL841" s="294">
        <f>IF(NFI_Expiration=1,IF($A841&lt;VLOOKUP(M$5,NFI,5,0),1,0)*Table_NFI[[#This Row],[Winter Blanket]],Table_NFI[[#This Row],[Winter Blanket]])</f>
        <v>0</v>
      </c>
      <c r="AM841" s="294">
        <f>IF(Table_NFI[[#This Row],[Winter Clothes Adult]]+Table_NFI[[#This Row],[Winter Clothes Children]]+Table_NFI[[#This Row],[Winter Items Other]]+Table_NFI[[#This Row],[Winter Blanket]]&gt;0,1,0)</f>
        <v>0</v>
      </c>
      <c r="AN841" s="331">
        <f>IF(NFI_Expiration=1,IF($A841&lt;VLOOKUP(V$5,NFI,5,0),1,0)*Table_NFI[[#This Row],[Jerry Can]],Table_NFI[Jerry Can])</f>
        <v>0</v>
      </c>
      <c r="AO841" s="331">
        <f>IF(NFI_Expiration=1,IF($A841&lt;VLOOKUP(V$5,NFI,5,0),1,0)*Table_NFI[[#This Row],[Shelter Tool kit]],Table_NFI[Shelter Tool kit])</f>
        <v>0</v>
      </c>
      <c r="AP841" s="331">
        <f>IF(NFI_Expiration=1,IF($A841&lt;VLOOKUP(V$5,NFI,5,0),1,0)*Table_NFI[[#This Row],[Tent]],Table_NFI[Tent])</f>
        <v>0</v>
      </c>
      <c r="AQ841" s="467" t="str">
        <f>IFERROR(VLOOKUP(Table_NFI[[#This Row],[Camp Name]],CL,2,0),"")</f>
        <v>MMR001CMP017</v>
      </c>
      <c r="AR841" s="835">
        <f ca="1">IF(Table_NFI[[#This Row],[Pcode]]="","",IF(OFFSET(CampList[Opening Date],MATCH(Table_NFI[[#This Row],[Pcode]],CampList[CP_Pcode],0)-1,0,1,1)&gt;=NFI_Monitor_Date,1,0))</f>
        <v>0</v>
      </c>
      <c r="AS841" s="467" t="str">
        <f>IFERROR(VLOOKUP(Table_NFI[[#This Row],[Camp Name]],CL,3,0),"")</f>
        <v>Closed</v>
      </c>
      <c r="AT841" s="294" t="str">
        <f ca="1">IF(Table_NFI[[#This Row],[Pcode]]="","",OFFSET(CampList[Priority],MATCH(Table_NFI[[#This Row],[Pcode]],CampList[CP_Pcode],0)-1,0,1,1))</f>
        <v>P4</v>
      </c>
      <c r="AU841" s="293">
        <f>IFERROR(Table_NFI[[#This Row],[Kitchen Set]]/VLOOKUP(Table_NFI[[#This Row],[Camp Name]],CL,4,0),"")</f>
        <v>0</v>
      </c>
      <c r="AV841" s="461" t="s">
        <v>1092</v>
      </c>
      <c r="AW841" s="463"/>
    </row>
    <row r="842" spans="1:49" ht="14.45" customHeight="1" x14ac:dyDescent="0.25">
      <c r="A842" s="297">
        <f t="shared" si="13"/>
        <v>48.733333333333334</v>
      </c>
      <c r="B842" s="460">
        <v>41274</v>
      </c>
      <c r="C842" s="461" t="s">
        <v>453</v>
      </c>
      <c r="D842" s="462" t="s">
        <v>453</v>
      </c>
      <c r="E842" s="461" t="s">
        <v>380</v>
      </c>
      <c r="F842" s="290" t="s">
        <v>527</v>
      </c>
      <c r="G842" s="290" t="s">
        <v>112</v>
      </c>
      <c r="H842" s="291">
        <v>3</v>
      </c>
      <c r="I842" s="291"/>
      <c r="J842" s="291"/>
      <c r="K842" s="291"/>
      <c r="L842" s="292"/>
      <c r="M842" s="292"/>
      <c r="N842" s="292"/>
      <c r="O842" s="292"/>
      <c r="P842" s="294">
        <v>0</v>
      </c>
      <c r="Q842" s="294">
        <v>0</v>
      </c>
      <c r="R842" s="294"/>
      <c r="S842" s="294"/>
      <c r="T842" s="294"/>
      <c r="U842" s="294"/>
      <c r="V842" s="431"/>
      <c r="W842" s="294"/>
      <c r="X842" s="294"/>
      <c r="Y842" s="294">
        <f>IF(NFI_Expiration=1,IF($A842&lt;VLOOKUP(H$5,NFI,5,0),1,0)*Table_NFI[[#This Row],[Hygiene Kit]],Table_NFI[Hygiene Kit])</f>
        <v>0</v>
      </c>
      <c r="Z842" s="294">
        <f>IF(NFI_Expiration=1,IF($A842&lt;VLOOKUP(I$5,NFI,5,0),1,0)*Table_NFI[[#This Row],[NFI Core Kit]],Table_NFI[NFI Core Kit])</f>
        <v>0</v>
      </c>
      <c r="AA842" s="294">
        <f>IF(NFI_Expiration=1,IF($A842&lt;VLOOKUP(J$5,NFI,5,0),1,0)*Table_NFI[[#This Row],[Sanitary Kit]],Table_NFI[Sanitary Kit])</f>
        <v>0</v>
      </c>
      <c r="AB842" s="294">
        <f>IF(NFI_Expiration=1,IF($A842&lt;VLOOKUP(K$5,NFI,5,0),1,0)*Table_NFI[[#This Row],[Mosquito net]],Table_NFI[Mosquito net])</f>
        <v>0</v>
      </c>
      <c r="AC842" s="294">
        <f>IF(NFI_Expiration=1,IF($A842&lt;VLOOKUP(L$5,NFI,5,0),1,0)*Table_NFI[[#This Row],[Tarpaulin]],Table_NFI[[#This Row],[Tarpaulin]])</f>
        <v>0</v>
      </c>
      <c r="AD842" s="294">
        <f>IF(NFI_Expiration=1,IF($A842&lt;VLOOKUP(M$5,NFI,5,0),1,0)*Table_NFI[[#This Row],[Blanket]],Table_NFI[[#This Row],[Blanket]])</f>
        <v>0</v>
      </c>
      <c r="AE842" s="294">
        <f>IF(NFI_Expiration=1,IF($A842&lt;VLOOKUP(N$5,NFI,5,0),1,0)*Table_NFI[[#This Row],[Kitchen Set]],Table_NFI[Kitchen Set])</f>
        <v>0</v>
      </c>
      <c r="AF842" s="294">
        <f>IF(NFI_Expiration=1,IF($A842&lt;VLOOKUP(O$5,NFI,5,0),1,0)*Table_NFI[[#This Row],[Clothes Kit]],Table_NFI[Clothes Kit])</f>
        <v>0</v>
      </c>
      <c r="AG842" s="294">
        <f>IF(NFI_Expiration=1,IF($A842&lt;VLOOKUP(P$5,NFI,5,0),1,0)*Table_NFI[[#This Row],[Plastic Bucket]],Table_NFI[Plastic Bucket])</f>
        <v>0</v>
      </c>
      <c r="AH842" s="294">
        <f>IF(NFI_Expiration=1,IF($A842&lt;VLOOKUP(Q$5,NFI,5,0),1,0)*Table_NFI[[#This Row],[Plastic Mat]],Table_NFI[Plastic Mat])*IF(Table_NFI[[#This Row],[Distribution Date]]&gt;"2014-04-01",1,2.5)</f>
        <v>0</v>
      </c>
      <c r="AI842" s="294">
        <f>IF(NFI_Expiration=1,IF($A842&lt;VLOOKUP(R$5,NFI,5,0),1,0)*Table_NFI[[#This Row],[Winter Clothes Adult]],Table_NFI[Winter Clothes Adult])</f>
        <v>0</v>
      </c>
      <c r="AJ842" s="294">
        <f>IF(NFI_Expiration=1,IF($A842&lt;VLOOKUP(S$5,NFI,5,0),1,0)*Table_NFI[[#This Row],[Winter Clothes Children]],Table_NFI[Winter Clothes Children])</f>
        <v>0</v>
      </c>
      <c r="AK842" s="294">
        <f>IF(NFI_Expiration=1,IF($A842&lt;VLOOKUP(T$5,NFI,5,0),1,0)*Table_NFI[[#This Row],[Winter Items Other]],Table_NFI[Winter Items Other])</f>
        <v>0</v>
      </c>
      <c r="AL842" s="294">
        <f>IF(NFI_Expiration=1,IF($A842&lt;VLOOKUP(M$5,NFI,5,0),1,0)*Table_NFI[[#This Row],[Winter Blanket]],Table_NFI[[#This Row],[Winter Blanket]])</f>
        <v>0</v>
      </c>
      <c r="AM842" s="294">
        <f>IF(Table_NFI[[#This Row],[Winter Clothes Adult]]+Table_NFI[[#This Row],[Winter Clothes Children]]+Table_NFI[[#This Row],[Winter Items Other]]+Table_NFI[[#This Row],[Winter Blanket]]&gt;0,1,0)</f>
        <v>0</v>
      </c>
      <c r="AN842" s="331">
        <f>IF(NFI_Expiration=1,IF($A842&lt;VLOOKUP(V$5,NFI,5,0),1,0)*Table_NFI[[#This Row],[Jerry Can]],Table_NFI[Jerry Can])</f>
        <v>0</v>
      </c>
      <c r="AO842" s="331">
        <f>IF(NFI_Expiration=1,IF($A842&lt;VLOOKUP(V$5,NFI,5,0),1,0)*Table_NFI[[#This Row],[Shelter Tool kit]],Table_NFI[Shelter Tool kit])</f>
        <v>0</v>
      </c>
      <c r="AP842" s="331">
        <f>IF(NFI_Expiration=1,IF($A842&lt;VLOOKUP(V$5,NFI,5,0),1,0)*Table_NFI[[#This Row],[Tent]],Table_NFI[Tent])</f>
        <v>0</v>
      </c>
      <c r="AQ842" s="467" t="str">
        <f>IFERROR(VLOOKUP(Table_NFI[[#This Row],[Camp Name]],CL,2,0),"")</f>
        <v>MMR001CMP083</v>
      </c>
      <c r="AR842" s="835">
        <f ca="1">IF(Table_NFI[[#This Row],[Pcode]]="","",IF(OFFSET(CampList[Opening Date],MATCH(Table_NFI[[#This Row],[Pcode]],CampList[CP_Pcode],0)-1,0,1,1)&gt;=NFI_Monitor_Date,1,0))</f>
        <v>0</v>
      </c>
      <c r="AS842" s="467" t="str">
        <f>IFERROR(VLOOKUP(Table_NFI[[#This Row],[Camp Name]],CL,3,0),"")</f>
        <v>Closed</v>
      </c>
      <c r="AT842" s="294" t="str">
        <f ca="1">IF(Table_NFI[[#This Row],[Pcode]]="","",OFFSET(CampList[Priority],MATCH(Table_NFI[[#This Row],[Pcode]],CampList[CP_Pcode],0)-1,0,1,1))</f>
        <v/>
      </c>
      <c r="AU842" s="293" t="str">
        <f>IFERROR(Table_NFI[[#This Row],[Kitchen Set]]/VLOOKUP(Table_NFI[[#This Row],[Camp Name]],CL,4,0),"")</f>
        <v/>
      </c>
      <c r="AV842" s="461" t="s">
        <v>1092</v>
      </c>
      <c r="AW842" s="463"/>
    </row>
    <row r="843" spans="1:49" x14ac:dyDescent="0.25">
      <c r="A843" s="297">
        <f t="shared" si="13"/>
        <v>48.733333333333334</v>
      </c>
      <c r="B843" s="460">
        <v>41274</v>
      </c>
      <c r="C843" s="461" t="s">
        <v>453</v>
      </c>
      <c r="D843" s="462" t="s">
        <v>453</v>
      </c>
      <c r="E843" s="461" t="s">
        <v>380</v>
      </c>
      <c r="F843" s="290" t="s">
        <v>310</v>
      </c>
      <c r="G843" s="290" t="s">
        <v>351</v>
      </c>
      <c r="H843" s="291">
        <v>96</v>
      </c>
      <c r="I843" s="291"/>
      <c r="J843" s="291"/>
      <c r="K843" s="291"/>
      <c r="L843" s="292"/>
      <c r="M843" s="292"/>
      <c r="N843" s="292"/>
      <c r="O843" s="292"/>
      <c r="P843" s="294">
        <v>0</v>
      </c>
      <c r="Q843" s="294">
        <v>0</v>
      </c>
      <c r="R843" s="294"/>
      <c r="S843" s="294"/>
      <c r="T843" s="294"/>
      <c r="U843" s="294"/>
      <c r="V843" s="431"/>
      <c r="W843" s="294"/>
      <c r="X843" s="294"/>
      <c r="Y843" s="294">
        <f>IF(NFI_Expiration=1,IF($A843&lt;VLOOKUP(H$5,NFI,5,0),1,0)*Table_NFI[[#This Row],[Hygiene Kit]],Table_NFI[Hygiene Kit])</f>
        <v>0</v>
      </c>
      <c r="Z843" s="294">
        <f>IF(NFI_Expiration=1,IF($A843&lt;VLOOKUP(I$5,NFI,5,0),1,0)*Table_NFI[[#This Row],[NFI Core Kit]],Table_NFI[NFI Core Kit])</f>
        <v>0</v>
      </c>
      <c r="AA843" s="294">
        <f>IF(NFI_Expiration=1,IF($A843&lt;VLOOKUP(J$5,NFI,5,0),1,0)*Table_NFI[[#This Row],[Sanitary Kit]],Table_NFI[Sanitary Kit])</f>
        <v>0</v>
      </c>
      <c r="AB843" s="294">
        <f>IF(NFI_Expiration=1,IF($A843&lt;VLOOKUP(K$5,NFI,5,0),1,0)*Table_NFI[[#This Row],[Mosquito net]],Table_NFI[Mosquito net])</f>
        <v>0</v>
      </c>
      <c r="AC843" s="294">
        <f>IF(NFI_Expiration=1,IF($A843&lt;VLOOKUP(L$5,NFI,5,0),1,0)*Table_NFI[[#This Row],[Tarpaulin]],Table_NFI[[#This Row],[Tarpaulin]])</f>
        <v>0</v>
      </c>
      <c r="AD843" s="294">
        <f>IF(NFI_Expiration=1,IF($A843&lt;VLOOKUP(M$5,NFI,5,0),1,0)*Table_NFI[[#This Row],[Blanket]],Table_NFI[[#This Row],[Blanket]])</f>
        <v>0</v>
      </c>
      <c r="AE843" s="294">
        <f>IF(NFI_Expiration=1,IF($A843&lt;VLOOKUP(N$5,NFI,5,0),1,0)*Table_NFI[[#This Row],[Kitchen Set]],Table_NFI[Kitchen Set])</f>
        <v>0</v>
      </c>
      <c r="AF843" s="294">
        <f>IF(NFI_Expiration=1,IF($A843&lt;VLOOKUP(O$5,NFI,5,0),1,0)*Table_NFI[[#This Row],[Clothes Kit]],Table_NFI[Clothes Kit])</f>
        <v>0</v>
      </c>
      <c r="AG843" s="294">
        <f>IF(NFI_Expiration=1,IF($A843&lt;VLOOKUP(P$5,NFI,5,0),1,0)*Table_NFI[[#This Row],[Plastic Bucket]],Table_NFI[Plastic Bucket])</f>
        <v>0</v>
      </c>
      <c r="AH843" s="294">
        <f>IF(NFI_Expiration=1,IF($A843&lt;VLOOKUP(Q$5,NFI,5,0),1,0)*Table_NFI[[#This Row],[Plastic Mat]],Table_NFI[Plastic Mat])*IF(Table_NFI[[#This Row],[Distribution Date]]&gt;"2014-04-01",1,2.5)</f>
        <v>0</v>
      </c>
      <c r="AI843" s="294">
        <f>IF(NFI_Expiration=1,IF($A843&lt;VLOOKUP(R$5,NFI,5,0),1,0)*Table_NFI[[#This Row],[Winter Clothes Adult]],Table_NFI[Winter Clothes Adult])</f>
        <v>0</v>
      </c>
      <c r="AJ843" s="294">
        <f>IF(NFI_Expiration=1,IF($A843&lt;VLOOKUP(S$5,NFI,5,0),1,0)*Table_NFI[[#This Row],[Winter Clothes Children]],Table_NFI[Winter Clothes Children])</f>
        <v>0</v>
      </c>
      <c r="AK843" s="294">
        <f>IF(NFI_Expiration=1,IF($A843&lt;VLOOKUP(T$5,NFI,5,0),1,0)*Table_NFI[[#This Row],[Winter Items Other]],Table_NFI[Winter Items Other])</f>
        <v>0</v>
      </c>
      <c r="AL843" s="294">
        <f>IF(NFI_Expiration=1,IF($A843&lt;VLOOKUP(M$5,NFI,5,0),1,0)*Table_NFI[[#This Row],[Winter Blanket]],Table_NFI[[#This Row],[Winter Blanket]])</f>
        <v>0</v>
      </c>
      <c r="AM843" s="294">
        <f>IF(Table_NFI[[#This Row],[Winter Clothes Adult]]+Table_NFI[[#This Row],[Winter Clothes Children]]+Table_NFI[[#This Row],[Winter Items Other]]+Table_NFI[[#This Row],[Winter Blanket]]&gt;0,1,0)</f>
        <v>0</v>
      </c>
      <c r="AN843" s="331">
        <f>IF(NFI_Expiration=1,IF($A843&lt;VLOOKUP(V$5,NFI,5,0),1,0)*Table_NFI[[#This Row],[Jerry Can]],Table_NFI[Jerry Can])</f>
        <v>0</v>
      </c>
      <c r="AO843" s="331">
        <f>IF(NFI_Expiration=1,IF($A843&lt;VLOOKUP(V$5,NFI,5,0),1,0)*Table_NFI[[#This Row],[Shelter Tool kit]],Table_NFI[Shelter Tool kit])</f>
        <v>0</v>
      </c>
      <c r="AP843" s="331">
        <f>IF(NFI_Expiration=1,IF($A843&lt;VLOOKUP(V$5,NFI,5,0),1,0)*Table_NFI[[#This Row],[Tent]],Table_NFI[Tent])</f>
        <v>0</v>
      </c>
      <c r="AQ843" s="467" t="str">
        <f>IFERROR(VLOOKUP(Table_NFI[[#This Row],[Camp Name]],CL,2,0),"")</f>
        <v>MMR001CMP026</v>
      </c>
      <c r="AR843" s="835">
        <f ca="1">IF(Table_NFI[[#This Row],[Pcode]]="","",IF(OFFSET(CampList[Opening Date],MATCH(Table_NFI[[#This Row],[Pcode]],CampList[CP_Pcode],0)-1,0,1,1)&gt;=NFI_Monitor_Date,1,0))</f>
        <v>0</v>
      </c>
      <c r="AS843" s="467" t="str">
        <f>IFERROR(VLOOKUP(Table_NFI[[#This Row],[Camp Name]],CL,3,0),"")</f>
        <v>Open</v>
      </c>
      <c r="AT843" s="294" t="str">
        <f ca="1">IF(Table_NFI[[#This Row],[Pcode]]="","",OFFSET(CampList[Priority],MATCH(Table_NFI[[#This Row],[Pcode]],CampList[CP_Pcode],0)-1,0,1,1))</f>
        <v>P4</v>
      </c>
      <c r="AU843" s="293">
        <f>IFERROR(Table_NFI[[#This Row],[Kitchen Set]]/VLOOKUP(Table_NFI[[#This Row],[Camp Name]],CL,4,0),"")</f>
        <v>0</v>
      </c>
      <c r="AV843" s="461" t="s">
        <v>1092</v>
      </c>
      <c r="AW843" s="463"/>
    </row>
    <row r="844" spans="1:49" ht="14.45" customHeight="1" x14ac:dyDescent="0.25">
      <c r="A844" s="297">
        <f t="shared" si="13"/>
        <v>48.733333333333334</v>
      </c>
      <c r="B844" s="460">
        <v>41274</v>
      </c>
      <c r="C844" s="461" t="s">
        <v>453</v>
      </c>
      <c r="D844" s="461" t="s">
        <v>453</v>
      </c>
      <c r="E844" s="461" t="s">
        <v>380</v>
      </c>
      <c r="F844" s="290" t="s">
        <v>527</v>
      </c>
      <c r="G844" s="290" t="s">
        <v>74</v>
      </c>
      <c r="H844" s="291">
        <v>3</v>
      </c>
      <c r="I844" s="291"/>
      <c r="J844" s="291"/>
      <c r="K844" s="291"/>
      <c r="L844" s="292"/>
      <c r="M844" s="292"/>
      <c r="N844" s="292"/>
      <c r="O844" s="292"/>
      <c r="P844" s="294">
        <v>0</v>
      </c>
      <c r="Q844" s="294">
        <v>0</v>
      </c>
      <c r="R844" s="294"/>
      <c r="S844" s="294"/>
      <c r="T844" s="294"/>
      <c r="U844" s="294"/>
      <c r="V844" s="431"/>
      <c r="W844" s="294"/>
      <c r="X844" s="294"/>
      <c r="Y844" s="294">
        <f>IF(NFI_Expiration=1,IF($A844&lt;VLOOKUP(H$5,NFI,5,0),1,0)*Table_NFI[[#This Row],[Hygiene Kit]],Table_NFI[Hygiene Kit])</f>
        <v>0</v>
      </c>
      <c r="Z844" s="294">
        <f>IF(NFI_Expiration=1,IF($A844&lt;VLOOKUP(I$5,NFI,5,0),1,0)*Table_NFI[[#This Row],[NFI Core Kit]],Table_NFI[NFI Core Kit])</f>
        <v>0</v>
      </c>
      <c r="AA844" s="294">
        <f>IF(NFI_Expiration=1,IF($A844&lt;VLOOKUP(J$5,NFI,5,0),1,0)*Table_NFI[[#This Row],[Sanitary Kit]],Table_NFI[Sanitary Kit])</f>
        <v>0</v>
      </c>
      <c r="AB844" s="294">
        <f>IF(NFI_Expiration=1,IF($A844&lt;VLOOKUP(K$5,NFI,5,0),1,0)*Table_NFI[[#This Row],[Mosquito net]],Table_NFI[Mosquito net])</f>
        <v>0</v>
      </c>
      <c r="AC844" s="294">
        <f>IF(NFI_Expiration=1,IF($A844&lt;VLOOKUP(L$5,NFI,5,0),1,0)*Table_NFI[[#This Row],[Tarpaulin]],Table_NFI[[#This Row],[Tarpaulin]])</f>
        <v>0</v>
      </c>
      <c r="AD844" s="294">
        <f>IF(NFI_Expiration=1,IF($A844&lt;VLOOKUP(M$5,NFI,5,0),1,0)*Table_NFI[[#This Row],[Blanket]],Table_NFI[[#This Row],[Blanket]])</f>
        <v>0</v>
      </c>
      <c r="AE844" s="294">
        <f>IF(NFI_Expiration=1,IF($A844&lt;VLOOKUP(N$5,NFI,5,0),1,0)*Table_NFI[[#This Row],[Kitchen Set]],Table_NFI[Kitchen Set])</f>
        <v>0</v>
      </c>
      <c r="AF844" s="294">
        <f>IF(NFI_Expiration=1,IF($A844&lt;VLOOKUP(O$5,NFI,5,0),1,0)*Table_NFI[[#This Row],[Clothes Kit]],Table_NFI[Clothes Kit])</f>
        <v>0</v>
      </c>
      <c r="AG844" s="294">
        <f>IF(NFI_Expiration=1,IF($A844&lt;VLOOKUP(P$5,NFI,5,0),1,0)*Table_NFI[[#This Row],[Plastic Bucket]],Table_NFI[Plastic Bucket])</f>
        <v>0</v>
      </c>
      <c r="AH844" s="294">
        <f>IF(NFI_Expiration=1,IF($A844&lt;VLOOKUP(Q$5,NFI,5,0),1,0)*Table_NFI[[#This Row],[Plastic Mat]],Table_NFI[Plastic Mat])*IF(Table_NFI[[#This Row],[Distribution Date]]&gt;"2014-04-01",1,2.5)</f>
        <v>0</v>
      </c>
      <c r="AI844" s="294">
        <f>IF(NFI_Expiration=1,IF($A844&lt;VLOOKUP(R$5,NFI,5,0),1,0)*Table_NFI[[#This Row],[Winter Clothes Adult]],Table_NFI[Winter Clothes Adult])</f>
        <v>0</v>
      </c>
      <c r="AJ844" s="294">
        <f>IF(NFI_Expiration=1,IF($A844&lt;VLOOKUP(S$5,NFI,5,0),1,0)*Table_NFI[[#This Row],[Winter Clothes Children]],Table_NFI[Winter Clothes Children])</f>
        <v>0</v>
      </c>
      <c r="AK844" s="294">
        <f>IF(NFI_Expiration=1,IF($A844&lt;VLOOKUP(T$5,NFI,5,0),1,0)*Table_NFI[[#This Row],[Winter Items Other]],Table_NFI[Winter Items Other])</f>
        <v>0</v>
      </c>
      <c r="AL844" s="294">
        <f>IF(NFI_Expiration=1,IF($A844&lt;VLOOKUP(M$5,NFI,5,0),1,0)*Table_NFI[[#This Row],[Winter Blanket]],Table_NFI[[#This Row],[Winter Blanket]])</f>
        <v>0</v>
      </c>
      <c r="AM844" s="294">
        <f>IF(Table_NFI[[#This Row],[Winter Clothes Adult]]+Table_NFI[[#This Row],[Winter Clothes Children]]+Table_NFI[[#This Row],[Winter Items Other]]+Table_NFI[[#This Row],[Winter Blanket]]&gt;0,1,0)</f>
        <v>0</v>
      </c>
      <c r="AN844" s="331">
        <f>IF(NFI_Expiration=1,IF($A844&lt;VLOOKUP(V$5,NFI,5,0),1,0)*Table_NFI[[#This Row],[Jerry Can]],Table_NFI[Jerry Can])</f>
        <v>0</v>
      </c>
      <c r="AO844" s="331">
        <f>IF(NFI_Expiration=1,IF($A844&lt;VLOOKUP(V$5,NFI,5,0),1,0)*Table_NFI[[#This Row],[Shelter Tool kit]],Table_NFI[Shelter Tool kit])</f>
        <v>0</v>
      </c>
      <c r="AP844" s="331">
        <f>IF(NFI_Expiration=1,IF($A844&lt;VLOOKUP(V$5,NFI,5,0),1,0)*Table_NFI[[#This Row],[Tent]],Table_NFI[Tent])</f>
        <v>0</v>
      </c>
      <c r="AQ844" s="467" t="str">
        <f>IFERROR(VLOOKUP(Table_NFI[[#This Row],[Camp Name]],CL,2,0),"")</f>
        <v>MMR001CMP175</v>
      </c>
      <c r="AR844" s="835">
        <f ca="1">IF(Table_NFI[[#This Row],[Pcode]]="","",IF(OFFSET(CampList[Opening Date],MATCH(Table_NFI[[#This Row],[Pcode]],CampList[CP_Pcode],0)-1,0,1,1)&gt;=NFI_Monitor_Date,1,0))</f>
        <v>0</v>
      </c>
      <c r="AS844" s="467" t="str">
        <f>IFERROR(VLOOKUP(Table_NFI[[#This Row],[Camp Name]],CL,3,0),"")</f>
        <v>Closed</v>
      </c>
      <c r="AT844" s="294" t="str">
        <f ca="1">IF(Table_NFI[[#This Row],[Pcode]]="","",OFFSET(CampList[Priority],MATCH(Table_NFI[[#This Row],[Pcode]],CampList[CP_Pcode],0)-1,0,1,1))</f>
        <v/>
      </c>
      <c r="AU844" s="293" t="str">
        <f>IFERROR(Table_NFI[[#This Row],[Kitchen Set]]/VLOOKUP(Table_NFI[[#This Row],[Camp Name]],CL,4,0),"")</f>
        <v/>
      </c>
      <c r="AV844" s="461" t="s">
        <v>1092</v>
      </c>
      <c r="AW844" s="463"/>
    </row>
    <row r="845" spans="1:49" x14ac:dyDescent="0.25">
      <c r="A845" s="297">
        <f t="shared" si="13"/>
        <v>48.733333333333334</v>
      </c>
      <c r="B845" s="460">
        <v>41274</v>
      </c>
      <c r="C845" s="461" t="s">
        <v>453</v>
      </c>
      <c r="D845" s="462" t="s">
        <v>453</v>
      </c>
      <c r="E845" s="461" t="s">
        <v>380</v>
      </c>
      <c r="F845" s="290" t="s">
        <v>237</v>
      </c>
      <c r="G845" s="290" t="s">
        <v>279</v>
      </c>
      <c r="H845" s="291">
        <v>17</v>
      </c>
      <c r="I845" s="291"/>
      <c r="J845" s="291"/>
      <c r="K845" s="291"/>
      <c r="L845" s="292"/>
      <c r="M845" s="292"/>
      <c r="N845" s="292"/>
      <c r="O845" s="292"/>
      <c r="P845" s="294">
        <v>0</v>
      </c>
      <c r="Q845" s="294">
        <v>0</v>
      </c>
      <c r="R845" s="294"/>
      <c r="S845" s="294"/>
      <c r="T845" s="294"/>
      <c r="U845" s="294"/>
      <c r="V845" s="431"/>
      <c r="W845" s="294"/>
      <c r="X845" s="294"/>
      <c r="Y845" s="294">
        <f>IF(NFI_Expiration=1,IF($A845&lt;VLOOKUP(H$5,NFI,5,0),1,0)*Table_NFI[[#This Row],[Hygiene Kit]],Table_NFI[Hygiene Kit])</f>
        <v>0</v>
      </c>
      <c r="Z845" s="294">
        <f>IF(NFI_Expiration=1,IF($A845&lt;VLOOKUP(I$5,NFI,5,0),1,0)*Table_NFI[[#This Row],[NFI Core Kit]],Table_NFI[NFI Core Kit])</f>
        <v>0</v>
      </c>
      <c r="AA845" s="294">
        <f>IF(NFI_Expiration=1,IF($A845&lt;VLOOKUP(J$5,NFI,5,0),1,0)*Table_NFI[[#This Row],[Sanitary Kit]],Table_NFI[Sanitary Kit])</f>
        <v>0</v>
      </c>
      <c r="AB845" s="294">
        <f>IF(NFI_Expiration=1,IF($A845&lt;VLOOKUP(K$5,NFI,5,0),1,0)*Table_NFI[[#This Row],[Mosquito net]],Table_NFI[Mosquito net])</f>
        <v>0</v>
      </c>
      <c r="AC845" s="294">
        <f>IF(NFI_Expiration=1,IF($A845&lt;VLOOKUP(L$5,NFI,5,0),1,0)*Table_NFI[[#This Row],[Tarpaulin]],Table_NFI[[#This Row],[Tarpaulin]])</f>
        <v>0</v>
      </c>
      <c r="AD845" s="294">
        <f>IF(NFI_Expiration=1,IF($A845&lt;VLOOKUP(M$5,NFI,5,0),1,0)*Table_NFI[[#This Row],[Blanket]],Table_NFI[[#This Row],[Blanket]])</f>
        <v>0</v>
      </c>
      <c r="AE845" s="294">
        <f>IF(NFI_Expiration=1,IF($A845&lt;VLOOKUP(N$5,NFI,5,0),1,0)*Table_NFI[[#This Row],[Kitchen Set]],Table_NFI[Kitchen Set])</f>
        <v>0</v>
      </c>
      <c r="AF845" s="294">
        <f>IF(NFI_Expiration=1,IF($A845&lt;VLOOKUP(O$5,NFI,5,0),1,0)*Table_NFI[[#This Row],[Clothes Kit]],Table_NFI[Clothes Kit])</f>
        <v>0</v>
      </c>
      <c r="AG845" s="294">
        <f>IF(NFI_Expiration=1,IF($A845&lt;VLOOKUP(P$5,NFI,5,0),1,0)*Table_NFI[[#This Row],[Plastic Bucket]],Table_NFI[Plastic Bucket])</f>
        <v>0</v>
      </c>
      <c r="AH845" s="294">
        <f>IF(NFI_Expiration=1,IF($A845&lt;VLOOKUP(Q$5,NFI,5,0),1,0)*Table_NFI[[#This Row],[Plastic Mat]],Table_NFI[Plastic Mat])*IF(Table_NFI[[#This Row],[Distribution Date]]&gt;"2014-04-01",1,2.5)</f>
        <v>0</v>
      </c>
      <c r="AI845" s="294">
        <f>IF(NFI_Expiration=1,IF($A845&lt;VLOOKUP(R$5,NFI,5,0),1,0)*Table_NFI[[#This Row],[Winter Clothes Adult]],Table_NFI[Winter Clothes Adult])</f>
        <v>0</v>
      </c>
      <c r="AJ845" s="294">
        <f>IF(NFI_Expiration=1,IF($A845&lt;VLOOKUP(S$5,NFI,5,0),1,0)*Table_NFI[[#This Row],[Winter Clothes Children]],Table_NFI[Winter Clothes Children])</f>
        <v>0</v>
      </c>
      <c r="AK845" s="294">
        <f>IF(NFI_Expiration=1,IF($A845&lt;VLOOKUP(T$5,NFI,5,0),1,0)*Table_NFI[[#This Row],[Winter Items Other]],Table_NFI[Winter Items Other])</f>
        <v>0</v>
      </c>
      <c r="AL845" s="294">
        <f>IF(NFI_Expiration=1,IF($A845&lt;VLOOKUP(M$5,NFI,5,0),1,0)*Table_NFI[[#This Row],[Winter Blanket]],Table_NFI[[#This Row],[Winter Blanket]])</f>
        <v>0</v>
      </c>
      <c r="AM845" s="294">
        <f>IF(Table_NFI[[#This Row],[Winter Clothes Adult]]+Table_NFI[[#This Row],[Winter Clothes Children]]+Table_NFI[[#This Row],[Winter Items Other]]+Table_NFI[[#This Row],[Winter Blanket]]&gt;0,1,0)</f>
        <v>0</v>
      </c>
      <c r="AN845" s="331">
        <f>IF(NFI_Expiration=1,IF($A845&lt;VLOOKUP(V$5,NFI,5,0),1,0)*Table_NFI[[#This Row],[Jerry Can]],Table_NFI[Jerry Can])</f>
        <v>0</v>
      </c>
      <c r="AO845" s="331">
        <f>IF(NFI_Expiration=1,IF($A845&lt;VLOOKUP(V$5,NFI,5,0),1,0)*Table_NFI[[#This Row],[Shelter Tool kit]],Table_NFI[Shelter Tool kit])</f>
        <v>0</v>
      </c>
      <c r="AP845" s="331">
        <f>IF(NFI_Expiration=1,IF($A845&lt;VLOOKUP(V$5,NFI,5,0),1,0)*Table_NFI[[#This Row],[Tent]],Table_NFI[Tent])</f>
        <v>0</v>
      </c>
      <c r="AQ845" s="467" t="str">
        <f>IFERROR(VLOOKUP(Table_NFI[[#This Row],[Camp Name]],CL,2,0),"")</f>
        <v>MMR001CMP007</v>
      </c>
      <c r="AR845" s="835">
        <f ca="1">IF(Table_NFI[[#This Row],[Pcode]]="","",IF(OFFSET(CampList[Opening Date],MATCH(Table_NFI[[#This Row],[Pcode]],CampList[CP_Pcode],0)-1,0,1,1)&gt;=NFI_Monitor_Date,1,0))</f>
        <v>0</v>
      </c>
      <c r="AS845" s="467" t="str">
        <f>IFERROR(VLOOKUP(Table_NFI[[#This Row],[Camp Name]],CL,3,0),"")</f>
        <v>Open</v>
      </c>
      <c r="AT845" s="294" t="str">
        <f ca="1">IF(Table_NFI[[#This Row],[Pcode]]="","",OFFSET(CampList[Priority],MATCH(Table_NFI[[#This Row],[Pcode]],CampList[CP_Pcode],0)-1,0,1,1))</f>
        <v>P4</v>
      </c>
      <c r="AU845" s="293">
        <f>IFERROR(Table_NFI[[#This Row],[Kitchen Set]]/VLOOKUP(Table_NFI[[#This Row],[Camp Name]],CL,4,0),"")</f>
        <v>0</v>
      </c>
      <c r="AV845" s="461" t="s">
        <v>1092</v>
      </c>
      <c r="AW845" s="463"/>
    </row>
    <row r="846" spans="1:49" ht="14.45" customHeight="1" x14ac:dyDescent="0.25">
      <c r="A846" s="297">
        <f t="shared" si="13"/>
        <v>48.733333333333334</v>
      </c>
      <c r="B846" s="460">
        <v>41274</v>
      </c>
      <c r="C846" s="461" t="s">
        <v>453</v>
      </c>
      <c r="D846" s="462" t="s">
        <v>453</v>
      </c>
      <c r="E846" s="461" t="s">
        <v>380</v>
      </c>
      <c r="F846" s="290" t="s">
        <v>237</v>
      </c>
      <c r="G846" s="290" t="s">
        <v>1244</v>
      </c>
      <c r="H846" s="291">
        <v>34</v>
      </c>
      <c r="I846" s="291"/>
      <c r="J846" s="291"/>
      <c r="K846" s="291"/>
      <c r="L846" s="292"/>
      <c r="M846" s="292"/>
      <c r="N846" s="292"/>
      <c r="O846" s="292"/>
      <c r="P846" s="294">
        <v>0</v>
      </c>
      <c r="Q846" s="294">
        <v>0</v>
      </c>
      <c r="R846" s="294"/>
      <c r="S846" s="294"/>
      <c r="T846" s="294"/>
      <c r="U846" s="294"/>
      <c r="V846" s="431"/>
      <c r="W846" s="294"/>
      <c r="X846" s="294"/>
      <c r="Y846" s="294">
        <f>IF(NFI_Expiration=1,IF($A846&lt;VLOOKUP(H$5,NFI,5,0),1,0)*Table_NFI[[#This Row],[Hygiene Kit]],Table_NFI[Hygiene Kit])</f>
        <v>0</v>
      </c>
      <c r="Z846" s="294">
        <f>IF(NFI_Expiration=1,IF($A846&lt;VLOOKUP(I$5,NFI,5,0),1,0)*Table_NFI[[#This Row],[NFI Core Kit]],Table_NFI[NFI Core Kit])</f>
        <v>0</v>
      </c>
      <c r="AA846" s="294">
        <f>IF(NFI_Expiration=1,IF($A846&lt;VLOOKUP(J$5,NFI,5,0),1,0)*Table_NFI[[#This Row],[Sanitary Kit]],Table_NFI[Sanitary Kit])</f>
        <v>0</v>
      </c>
      <c r="AB846" s="294">
        <f>IF(NFI_Expiration=1,IF($A846&lt;VLOOKUP(K$5,NFI,5,0),1,0)*Table_NFI[[#This Row],[Mosquito net]],Table_NFI[Mosquito net])</f>
        <v>0</v>
      </c>
      <c r="AC846" s="294">
        <f>IF(NFI_Expiration=1,IF($A846&lt;VLOOKUP(L$5,NFI,5,0),1,0)*Table_NFI[[#This Row],[Tarpaulin]],Table_NFI[[#This Row],[Tarpaulin]])</f>
        <v>0</v>
      </c>
      <c r="AD846" s="294">
        <f>IF(NFI_Expiration=1,IF($A846&lt;VLOOKUP(M$5,NFI,5,0),1,0)*Table_NFI[[#This Row],[Blanket]],Table_NFI[[#This Row],[Blanket]])</f>
        <v>0</v>
      </c>
      <c r="AE846" s="294">
        <f>IF(NFI_Expiration=1,IF($A846&lt;VLOOKUP(N$5,NFI,5,0),1,0)*Table_NFI[[#This Row],[Kitchen Set]],Table_NFI[Kitchen Set])</f>
        <v>0</v>
      </c>
      <c r="AF846" s="294">
        <f>IF(NFI_Expiration=1,IF($A846&lt;VLOOKUP(O$5,NFI,5,0),1,0)*Table_NFI[[#This Row],[Clothes Kit]],Table_NFI[Clothes Kit])</f>
        <v>0</v>
      </c>
      <c r="AG846" s="294">
        <f>IF(NFI_Expiration=1,IF($A846&lt;VLOOKUP(P$5,NFI,5,0),1,0)*Table_NFI[[#This Row],[Plastic Bucket]],Table_NFI[Plastic Bucket])</f>
        <v>0</v>
      </c>
      <c r="AH846" s="294">
        <f>IF(NFI_Expiration=1,IF($A846&lt;VLOOKUP(Q$5,NFI,5,0),1,0)*Table_NFI[[#This Row],[Plastic Mat]],Table_NFI[Plastic Mat])*IF(Table_NFI[[#This Row],[Distribution Date]]&gt;"2014-04-01",1,2.5)</f>
        <v>0</v>
      </c>
      <c r="AI846" s="294">
        <f>IF(NFI_Expiration=1,IF($A846&lt;VLOOKUP(R$5,NFI,5,0),1,0)*Table_NFI[[#This Row],[Winter Clothes Adult]],Table_NFI[Winter Clothes Adult])</f>
        <v>0</v>
      </c>
      <c r="AJ846" s="294">
        <f>IF(NFI_Expiration=1,IF($A846&lt;VLOOKUP(S$5,NFI,5,0),1,0)*Table_NFI[[#This Row],[Winter Clothes Children]],Table_NFI[Winter Clothes Children])</f>
        <v>0</v>
      </c>
      <c r="AK846" s="294">
        <f>IF(NFI_Expiration=1,IF($A846&lt;VLOOKUP(T$5,NFI,5,0),1,0)*Table_NFI[[#This Row],[Winter Items Other]],Table_NFI[Winter Items Other])</f>
        <v>0</v>
      </c>
      <c r="AL846" s="294">
        <f>IF(NFI_Expiration=1,IF($A846&lt;VLOOKUP(M$5,NFI,5,0),1,0)*Table_NFI[[#This Row],[Winter Blanket]],Table_NFI[[#This Row],[Winter Blanket]])</f>
        <v>0</v>
      </c>
      <c r="AM846" s="294">
        <f>IF(Table_NFI[[#This Row],[Winter Clothes Adult]]+Table_NFI[[#This Row],[Winter Clothes Children]]+Table_NFI[[#This Row],[Winter Items Other]]+Table_NFI[[#This Row],[Winter Blanket]]&gt;0,1,0)</f>
        <v>0</v>
      </c>
      <c r="AN846" s="331">
        <f>IF(NFI_Expiration=1,IF($A846&lt;VLOOKUP(V$5,NFI,5,0),1,0)*Table_NFI[[#This Row],[Jerry Can]],Table_NFI[Jerry Can])</f>
        <v>0</v>
      </c>
      <c r="AO846" s="331">
        <f>IF(NFI_Expiration=1,IF($A846&lt;VLOOKUP(V$5,NFI,5,0),1,0)*Table_NFI[[#This Row],[Shelter Tool kit]],Table_NFI[Shelter Tool kit])</f>
        <v>0</v>
      </c>
      <c r="AP846" s="331">
        <f>IF(NFI_Expiration=1,IF($A846&lt;VLOOKUP(V$5,NFI,5,0),1,0)*Table_NFI[[#This Row],[Tent]],Table_NFI[Tent])</f>
        <v>0</v>
      </c>
      <c r="AQ846" s="467" t="str">
        <f>IFERROR(VLOOKUP(Table_NFI[[#This Row],[Camp Name]],CL,2,0),"")</f>
        <v>MMR001CMP023</v>
      </c>
      <c r="AR846" s="835">
        <f ca="1">IF(Table_NFI[[#This Row],[Pcode]]="","",IF(OFFSET(CampList[Opening Date],MATCH(Table_NFI[[#This Row],[Pcode]],CampList[CP_Pcode],0)-1,0,1,1)&gt;=NFI_Monitor_Date,1,0))</f>
        <v>0</v>
      </c>
      <c r="AS846" s="467" t="str">
        <f>IFERROR(VLOOKUP(Table_NFI[[#This Row],[Camp Name]],CL,3,0),"")</f>
        <v>Open</v>
      </c>
      <c r="AT846" s="294" t="str">
        <f ca="1">IF(Table_NFI[[#This Row],[Pcode]]="","",OFFSET(CampList[Priority],MATCH(Table_NFI[[#This Row],[Pcode]],CampList[CP_Pcode],0)-1,0,1,1))</f>
        <v>P4</v>
      </c>
      <c r="AU846" s="293">
        <f>IFERROR(Table_NFI[[#This Row],[Kitchen Set]]/VLOOKUP(Table_NFI[[#This Row],[Camp Name]],CL,4,0),"")</f>
        <v>0</v>
      </c>
      <c r="AV846" s="461" t="s">
        <v>1092</v>
      </c>
      <c r="AW846" s="463"/>
    </row>
    <row r="847" spans="1:49" ht="14.45" customHeight="1" x14ac:dyDescent="0.25">
      <c r="A847" s="297">
        <f t="shared" si="13"/>
        <v>48.733333333333334</v>
      </c>
      <c r="B847" s="460">
        <v>41274</v>
      </c>
      <c r="C847" s="461" t="s">
        <v>453</v>
      </c>
      <c r="D847" s="462" t="s">
        <v>453</v>
      </c>
      <c r="E847" s="461" t="s">
        <v>380</v>
      </c>
      <c r="F847" s="290" t="s">
        <v>237</v>
      </c>
      <c r="G847" s="290" t="s">
        <v>249</v>
      </c>
      <c r="H847" s="291">
        <v>14</v>
      </c>
      <c r="I847" s="291"/>
      <c r="J847" s="291"/>
      <c r="K847" s="291"/>
      <c r="L847" s="292"/>
      <c r="M847" s="292"/>
      <c r="N847" s="292"/>
      <c r="O847" s="292"/>
      <c r="P847" s="294">
        <v>0</v>
      </c>
      <c r="Q847" s="294">
        <v>0</v>
      </c>
      <c r="R847" s="294"/>
      <c r="S847" s="294"/>
      <c r="T847" s="294"/>
      <c r="U847" s="294"/>
      <c r="V847" s="431"/>
      <c r="W847" s="294"/>
      <c r="X847" s="294"/>
      <c r="Y847" s="294">
        <f>IF(NFI_Expiration=1,IF($A847&lt;VLOOKUP(H$5,NFI,5,0),1,0)*Table_NFI[[#This Row],[Hygiene Kit]],Table_NFI[Hygiene Kit])</f>
        <v>0</v>
      </c>
      <c r="Z847" s="294">
        <f>IF(NFI_Expiration=1,IF($A847&lt;VLOOKUP(I$5,NFI,5,0),1,0)*Table_NFI[[#This Row],[NFI Core Kit]],Table_NFI[NFI Core Kit])</f>
        <v>0</v>
      </c>
      <c r="AA847" s="294">
        <f>IF(NFI_Expiration=1,IF($A847&lt;VLOOKUP(J$5,NFI,5,0),1,0)*Table_NFI[[#This Row],[Sanitary Kit]],Table_NFI[Sanitary Kit])</f>
        <v>0</v>
      </c>
      <c r="AB847" s="294">
        <f>IF(NFI_Expiration=1,IF($A847&lt;VLOOKUP(K$5,NFI,5,0),1,0)*Table_NFI[[#This Row],[Mosquito net]],Table_NFI[Mosquito net])</f>
        <v>0</v>
      </c>
      <c r="AC847" s="294">
        <f>IF(NFI_Expiration=1,IF($A847&lt;VLOOKUP(L$5,NFI,5,0),1,0)*Table_NFI[[#This Row],[Tarpaulin]],Table_NFI[[#This Row],[Tarpaulin]])</f>
        <v>0</v>
      </c>
      <c r="AD847" s="294">
        <f>IF(NFI_Expiration=1,IF($A847&lt;VLOOKUP(M$5,NFI,5,0),1,0)*Table_NFI[[#This Row],[Blanket]],Table_NFI[[#This Row],[Blanket]])</f>
        <v>0</v>
      </c>
      <c r="AE847" s="294">
        <f>IF(NFI_Expiration=1,IF($A847&lt;VLOOKUP(N$5,NFI,5,0),1,0)*Table_NFI[[#This Row],[Kitchen Set]],Table_NFI[Kitchen Set])</f>
        <v>0</v>
      </c>
      <c r="AF847" s="294">
        <f>IF(NFI_Expiration=1,IF($A847&lt;VLOOKUP(O$5,NFI,5,0),1,0)*Table_NFI[[#This Row],[Clothes Kit]],Table_NFI[Clothes Kit])</f>
        <v>0</v>
      </c>
      <c r="AG847" s="294">
        <f>IF(NFI_Expiration=1,IF($A847&lt;VLOOKUP(P$5,NFI,5,0),1,0)*Table_NFI[[#This Row],[Plastic Bucket]],Table_NFI[Plastic Bucket])</f>
        <v>0</v>
      </c>
      <c r="AH847" s="294">
        <f>IF(NFI_Expiration=1,IF($A847&lt;VLOOKUP(Q$5,NFI,5,0),1,0)*Table_NFI[[#This Row],[Plastic Mat]],Table_NFI[Plastic Mat])*IF(Table_NFI[[#This Row],[Distribution Date]]&gt;"2014-04-01",1,2.5)</f>
        <v>0</v>
      </c>
      <c r="AI847" s="294">
        <f>IF(NFI_Expiration=1,IF($A847&lt;VLOOKUP(R$5,NFI,5,0),1,0)*Table_NFI[[#This Row],[Winter Clothes Adult]],Table_NFI[Winter Clothes Adult])</f>
        <v>0</v>
      </c>
      <c r="AJ847" s="294">
        <f>IF(NFI_Expiration=1,IF($A847&lt;VLOOKUP(S$5,NFI,5,0),1,0)*Table_NFI[[#This Row],[Winter Clothes Children]],Table_NFI[Winter Clothes Children])</f>
        <v>0</v>
      </c>
      <c r="AK847" s="294">
        <f>IF(NFI_Expiration=1,IF($A847&lt;VLOOKUP(T$5,NFI,5,0),1,0)*Table_NFI[[#This Row],[Winter Items Other]],Table_NFI[Winter Items Other])</f>
        <v>0</v>
      </c>
      <c r="AL847" s="294">
        <f>IF(NFI_Expiration=1,IF($A847&lt;VLOOKUP(M$5,NFI,5,0),1,0)*Table_NFI[[#This Row],[Winter Blanket]],Table_NFI[[#This Row],[Winter Blanket]])</f>
        <v>0</v>
      </c>
      <c r="AM847" s="294">
        <f>IF(Table_NFI[[#This Row],[Winter Clothes Adult]]+Table_NFI[[#This Row],[Winter Clothes Children]]+Table_NFI[[#This Row],[Winter Items Other]]+Table_NFI[[#This Row],[Winter Blanket]]&gt;0,1,0)</f>
        <v>0</v>
      </c>
      <c r="AN847" s="331">
        <f>IF(NFI_Expiration=1,IF($A847&lt;VLOOKUP(V$5,NFI,5,0),1,0)*Table_NFI[[#This Row],[Jerry Can]],Table_NFI[Jerry Can])</f>
        <v>0</v>
      </c>
      <c r="AO847" s="331">
        <f>IF(NFI_Expiration=1,IF($A847&lt;VLOOKUP(V$5,NFI,5,0),1,0)*Table_NFI[[#This Row],[Shelter Tool kit]],Table_NFI[Shelter Tool kit])</f>
        <v>0</v>
      </c>
      <c r="AP847" s="331">
        <f>IF(NFI_Expiration=1,IF($A847&lt;VLOOKUP(V$5,NFI,5,0),1,0)*Table_NFI[[#This Row],[Tent]],Table_NFI[Tent])</f>
        <v>0</v>
      </c>
      <c r="AQ847" s="467" t="str">
        <f>IFERROR(VLOOKUP(Table_NFI[[#This Row],[Camp Name]],CL,2,0),"")</f>
        <v>MMR001CMP004</v>
      </c>
      <c r="AR847" s="835">
        <f ca="1">IF(Table_NFI[[#This Row],[Pcode]]="","",IF(OFFSET(CampList[Opening Date],MATCH(Table_NFI[[#This Row],[Pcode]],CampList[CP_Pcode],0)-1,0,1,1)&gt;=NFI_Monitor_Date,1,0))</f>
        <v>0</v>
      </c>
      <c r="AS847" s="467" t="str">
        <f>IFERROR(VLOOKUP(Table_NFI[[#This Row],[Camp Name]],CL,3,0),"")</f>
        <v>Open</v>
      </c>
      <c r="AT847" s="294" t="str">
        <f ca="1">IF(Table_NFI[[#This Row],[Pcode]]="","",OFFSET(CampList[Priority],MATCH(Table_NFI[[#This Row],[Pcode]],CampList[CP_Pcode],0)-1,0,1,1))</f>
        <v>P4</v>
      </c>
      <c r="AU847" s="293">
        <f>IFERROR(Table_NFI[[#This Row],[Kitchen Set]]/VLOOKUP(Table_NFI[[#This Row],[Camp Name]],CL,4,0),"")</f>
        <v>0</v>
      </c>
      <c r="AV847" s="461" t="s">
        <v>1092</v>
      </c>
      <c r="AW847" s="463"/>
    </row>
    <row r="848" spans="1:49" ht="14.45" customHeight="1" x14ac:dyDescent="0.25">
      <c r="A848" s="297">
        <f t="shared" si="13"/>
        <v>48.733333333333334</v>
      </c>
      <c r="B848" s="460">
        <v>41274</v>
      </c>
      <c r="C848" s="461" t="s">
        <v>453</v>
      </c>
      <c r="D848" s="461" t="s">
        <v>453</v>
      </c>
      <c r="E848" s="461" t="s">
        <v>380</v>
      </c>
      <c r="F848" s="290" t="s">
        <v>310</v>
      </c>
      <c r="G848" s="290" t="s">
        <v>349</v>
      </c>
      <c r="H848" s="291">
        <v>68</v>
      </c>
      <c r="I848" s="291"/>
      <c r="J848" s="291"/>
      <c r="K848" s="291"/>
      <c r="L848" s="292"/>
      <c r="M848" s="292"/>
      <c r="N848" s="292"/>
      <c r="O848" s="292"/>
      <c r="P848" s="294">
        <v>0</v>
      </c>
      <c r="Q848" s="294">
        <v>0</v>
      </c>
      <c r="R848" s="294"/>
      <c r="S848" s="294"/>
      <c r="T848" s="294"/>
      <c r="U848" s="294"/>
      <c r="V848" s="431"/>
      <c r="W848" s="294"/>
      <c r="X848" s="294"/>
      <c r="Y848" s="294">
        <f>IF(NFI_Expiration=1,IF($A848&lt;VLOOKUP(H$5,NFI,5,0),1,0)*Table_NFI[[#This Row],[Hygiene Kit]],Table_NFI[Hygiene Kit])</f>
        <v>0</v>
      </c>
      <c r="Z848" s="294">
        <f>IF(NFI_Expiration=1,IF($A848&lt;VLOOKUP(I$5,NFI,5,0),1,0)*Table_NFI[[#This Row],[NFI Core Kit]],Table_NFI[NFI Core Kit])</f>
        <v>0</v>
      </c>
      <c r="AA848" s="294">
        <f>IF(NFI_Expiration=1,IF($A848&lt;VLOOKUP(J$5,NFI,5,0),1,0)*Table_NFI[[#This Row],[Sanitary Kit]],Table_NFI[Sanitary Kit])</f>
        <v>0</v>
      </c>
      <c r="AB848" s="294">
        <f>IF(NFI_Expiration=1,IF($A848&lt;VLOOKUP(K$5,NFI,5,0),1,0)*Table_NFI[[#This Row],[Mosquito net]],Table_NFI[Mosquito net])</f>
        <v>0</v>
      </c>
      <c r="AC848" s="294">
        <f>IF(NFI_Expiration=1,IF($A848&lt;VLOOKUP(L$5,NFI,5,0),1,0)*Table_NFI[[#This Row],[Tarpaulin]],Table_NFI[[#This Row],[Tarpaulin]])</f>
        <v>0</v>
      </c>
      <c r="AD848" s="294">
        <f>IF(NFI_Expiration=1,IF($A848&lt;VLOOKUP(M$5,NFI,5,0),1,0)*Table_NFI[[#This Row],[Blanket]],Table_NFI[[#This Row],[Blanket]])</f>
        <v>0</v>
      </c>
      <c r="AE848" s="294">
        <f>IF(NFI_Expiration=1,IF($A848&lt;VLOOKUP(N$5,NFI,5,0),1,0)*Table_NFI[[#This Row],[Kitchen Set]],Table_NFI[Kitchen Set])</f>
        <v>0</v>
      </c>
      <c r="AF848" s="294">
        <f>IF(NFI_Expiration=1,IF($A848&lt;VLOOKUP(O$5,NFI,5,0),1,0)*Table_NFI[[#This Row],[Clothes Kit]],Table_NFI[Clothes Kit])</f>
        <v>0</v>
      </c>
      <c r="AG848" s="294">
        <f>IF(NFI_Expiration=1,IF($A848&lt;VLOOKUP(P$5,NFI,5,0),1,0)*Table_NFI[[#This Row],[Plastic Bucket]],Table_NFI[Plastic Bucket])</f>
        <v>0</v>
      </c>
      <c r="AH848" s="294">
        <f>IF(NFI_Expiration=1,IF($A848&lt;VLOOKUP(Q$5,NFI,5,0),1,0)*Table_NFI[[#This Row],[Plastic Mat]],Table_NFI[Plastic Mat])*IF(Table_NFI[[#This Row],[Distribution Date]]&gt;"2014-04-01",1,2.5)</f>
        <v>0</v>
      </c>
      <c r="AI848" s="294">
        <f>IF(NFI_Expiration=1,IF($A848&lt;VLOOKUP(R$5,NFI,5,0),1,0)*Table_NFI[[#This Row],[Winter Clothes Adult]],Table_NFI[Winter Clothes Adult])</f>
        <v>0</v>
      </c>
      <c r="AJ848" s="294">
        <f>IF(NFI_Expiration=1,IF($A848&lt;VLOOKUP(S$5,NFI,5,0),1,0)*Table_NFI[[#This Row],[Winter Clothes Children]],Table_NFI[Winter Clothes Children])</f>
        <v>0</v>
      </c>
      <c r="AK848" s="294">
        <f>IF(NFI_Expiration=1,IF($A848&lt;VLOOKUP(T$5,NFI,5,0),1,0)*Table_NFI[[#This Row],[Winter Items Other]],Table_NFI[Winter Items Other])</f>
        <v>0</v>
      </c>
      <c r="AL848" s="294">
        <f>IF(NFI_Expiration=1,IF($A848&lt;VLOOKUP(M$5,NFI,5,0),1,0)*Table_NFI[[#This Row],[Winter Blanket]],Table_NFI[[#This Row],[Winter Blanket]])</f>
        <v>0</v>
      </c>
      <c r="AM848" s="294">
        <f>IF(Table_NFI[[#This Row],[Winter Clothes Adult]]+Table_NFI[[#This Row],[Winter Clothes Children]]+Table_NFI[[#This Row],[Winter Items Other]]+Table_NFI[[#This Row],[Winter Blanket]]&gt;0,1,0)</f>
        <v>0</v>
      </c>
      <c r="AN848" s="331">
        <f>IF(NFI_Expiration=1,IF($A848&lt;VLOOKUP(V$5,NFI,5,0),1,0)*Table_NFI[[#This Row],[Jerry Can]],Table_NFI[Jerry Can])</f>
        <v>0</v>
      </c>
      <c r="AO848" s="331">
        <f>IF(NFI_Expiration=1,IF($A848&lt;VLOOKUP(V$5,NFI,5,0),1,0)*Table_NFI[[#This Row],[Shelter Tool kit]],Table_NFI[Shelter Tool kit])</f>
        <v>0</v>
      </c>
      <c r="AP848" s="331">
        <f>IF(NFI_Expiration=1,IF($A848&lt;VLOOKUP(V$5,NFI,5,0),1,0)*Table_NFI[[#This Row],[Tent]],Table_NFI[Tent])</f>
        <v>0</v>
      </c>
      <c r="AQ848" s="467" t="str">
        <f>IFERROR(VLOOKUP(Table_NFI[[#This Row],[Camp Name]],CL,2,0),"")</f>
        <v>MMR001CMP037</v>
      </c>
      <c r="AR848" s="835">
        <f ca="1">IF(Table_NFI[[#This Row],[Pcode]]="","",IF(OFFSET(CampList[Opening Date],MATCH(Table_NFI[[#This Row],[Pcode]],CampList[CP_Pcode],0)-1,0,1,1)&gt;=NFI_Monitor_Date,1,0))</f>
        <v>0</v>
      </c>
      <c r="AS848" s="467" t="str">
        <f>IFERROR(VLOOKUP(Table_NFI[[#This Row],[Camp Name]],CL,3,0),"")</f>
        <v>Open</v>
      </c>
      <c r="AT848" s="294" t="str">
        <f ca="1">IF(Table_NFI[[#This Row],[Pcode]]="","",OFFSET(CampList[Priority],MATCH(Table_NFI[[#This Row],[Pcode]],CampList[CP_Pcode],0)-1,0,1,1))</f>
        <v>P4</v>
      </c>
      <c r="AU848" s="293">
        <f>IFERROR(Table_NFI[[#This Row],[Kitchen Set]]/VLOOKUP(Table_NFI[[#This Row],[Camp Name]],CL,4,0),"")</f>
        <v>0</v>
      </c>
      <c r="AV848" s="461" t="s">
        <v>1092</v>
      </c>
      <c r="AW848" s="463"/>
    </row>
    <row r="849" spans="1:49" x14ac:dyDescent="0.25">
      <c r="A849" s="297">
        <f t="shared" si="13"/>
        <v>48.733333333333334</v>
      </c>
      <c r="B849" s="460">
        <v>41274</v>
      </c>
      <c r="C849" s="461" t="s">
        <v>453</v>
      </c>
      <c r="D849" s="461" t="s">
        <v>453</v>
      </c>
      <c r="E849" s="461" t="s">
        <v>380</v>
      </c>
      <c r="F849" s="290" t="s">
        <v>310</v>
      </c>
      <c r="G849" s="290" t="s">
        <v>316</v>
      </c>
      <c r="H849" s="291">
        <v>56</v>
      </c>
      <c r="I849" s="291"/>
      <c r="J849" s="291"/>
      <c r="K849" s="291"/>
      <c r="L849" s="292"/>
      <c r="M849" s="292"/>
      <c r="N849" s="292"/>
      <c r="O849" s="292"/>
      <c r="P849" s="294">
        <v>0</v>
      </c>
      <c r="Q849" s="294">
        <v>0</v>
      </c>
      <c r="R849" s="294"/>
      <c r="S849" s="294"/>
      <c r="T849" s="294"/>
      <c r="U849" s="294"/>
      <c r="V849" s="613"/>
      <c r="W849" s="294"/>
      <c r="X849" s="294"/>
      <c r="Y849" s="294">
        <f>IF(NFI_Expiration=1,IF($A849&lt;VLOOKUP(H$5,NFI,5,0),1,0)*Table_NFI[[#This Row],[Hygiene Kit]],Table_NFI[Hygiene Kit])</f>
        <v>0</v>
      </c>
      <c r="Z849" s="294">
        <f>IF(NFI_Expiration=1,IF($A849&lt;VLOOKUP(I$5,NFI,5,0),1,0)*Table_NFI[[#This Row],[NFI Core Kit]],Table_NFI[NFI Core Kit])</f>
        <v>0</v>
      </c>
      <c r="AA849" s="294">
        <f>IF(NFI_Expiration=1,IF($A849&lt;VLOOKUP(J$5,NFI,5,0),1,0)*Table_NFI[[#This Row],[Sanitary Kit]],Table_NFI[Sanitary Kit])</f>
        <v>0</v>
      </c>
      <c r="AB849" s="294">
        <f>IF(NFI_Expiration=1,IF($A849&lt;VLOOKUP(K$5,NFI,5,0),1,0)*Table_NFI[[#This Row],[Mosquito net]],Table_NFI[Mosquito net])</f>
        <v>0</v>
      </c>
      <c r="AC849" s="294">
        <f>IF(NFI_Expiration=1,IF($A849&lt;VLOOKUP(L$5,NFI,5,0),1,0)*Table_NFI[[#This Row],[Tarpaulin]],Table_NFI[[#This Row],[Tarpaulin]])</f>
        <v>0</v>
      </c>
      <c r="AD849" s="294">
        <f>IF(NFI_Expiration=1,IF($A849&lt;VLOOKUP(M$5,NFI,5,0),1,0)*Table_NFI[[#This Row],[Blanket]],Table_NFI[[#This Row],[Blanket]])</f>
        <v>0</v>
      </c>
      <c r="AE849" s="294">
        <f>IF(NFI_Expiration=1,IF($A849&lt;VLOOKUP(N$5,NFI,5,0),1,0)*Table_NFI[[#This Row],[Kitchen Set]],Table_NFI[Kitchen Set])</f>
        <v>0</v>
      </c>
      <c r="AF849" s="294">
        <f>IF(NFI_Expiration=1,IF($A849&lt;VLOOKUP(O$5,NFI,5,0),1,0)*Table_NFI[[#This Row],[Clothes Kit]],Table_NFI[Clothes Kit])</f>
        <v>0</v>
      </c>
      <c r="AG849" s="294">
        <f>IF(NFI_Expiration=1,IF($A849&lt;VLOOKUP(P$5,NFI,5,0),1,0)*Table_NFI[[#This Row],[Plastic Bucket]],Table_NFI[Plastic Bucket])</f>
        <v>0</v>
      </c>
      <c r="AH849" s="294">
        <f>IF(NFI_Expiration=1,IF($A849&lt;VLOOKUP(Q$5,NFI,5,0),1,0)*Table_NFI[[#This Row],[Plastic Mat]],Table_NFI[Plastic Mat])*IF(Table_NFI[[#This Row],[Distribution Date]]&gt;"2014-04-01",1,2.5)</f>
        <v>0</v>
      </c>
      <c r="AI849" s="294">
        <f>IF(NFI_Expiration=1,IF($A849&lt;VLOOKUP(R$5,NFI,5,0),1,0)*Table_NFI[[#This Row],[Winter Clothes Adult]],Table_NFI[Winter Clothes Adult])</f>
        <v>0</v>
      </c>
      <c r="AJ849" s="294">
        <f>IF(NFI_Expiration=1,IF($A849&lt;VLOOKUP(S$5,NFI,5,0),1,0)*Table_NFI[[#This Row],[Winter Clothes Children]],Table_NFI[Winter Clothes Children])</f>
        <v>0</v>
      </c>
      <c r="AK849" s="294">
        <f>IF(NFI_Expiration=1,IF($A849&lt;VLOOKUP(T$5,NFI,5,0),1,0)*Table_NFI[[#This Row],[Winter Items Other]],Table_NFI[Winter Items Other])</f>
        <v>0</v>
      </c>
      <c r="AL849" s="294">
        <f>IF(NFI_Expiration=1,IF($A849&lt;VLOOKUP(M$5,NFI,5,0),1,0)*Table_NFI[[#This Row],[Winter Blanket]],Table_NFI[[#This Row],[Winter Blanket]])</f>
        <v>0</v>
      </c>
      <c r="AM849" s="294">
        <f>IF(Table_NFI[[#This Row],[Winter Clothes Adult]]+Table_NFI[[#This Row],[Winter Clothes Children]]+Table_NFI[[#This Row],[Winter Items Other]]+Table_NFI[[#This Row],[Winter Blanket]]&gt;0,1,0)</f>
        <v>0</v>
      </c>
      <c r="AN849" s="331">
        <f>IF(NFI_Expiration=1,IF($A849&lt;VLOOKUP(V$5,NFI,5,0),1,0)*Table_NFI[[#This Row],[Jerry Can]],Table_NFI[Jerry Can])</f>
        <v>0</v>
      </c>
      <c r="AO849" s="331">
        <f>IF(NFI_Expiration=1,IF($A849&lt;VLOOKUP(V$5,NFI,5,0),1,0)*Table_NFI[[#This Row],[Shelter Tool kit]],Table_NFI[Shelter Tool kit])</f>
        <v>0</v>
      </c>
      <c r="AP849" s="331">
        <f>IF(NFI_Expiration=1,IF($A849&lt;VLOOKUP(V$5,NFI,5,0),1,0)*Table_NFI[[#This Row],[Tent]],Table_NFI[Tent])</f>
        <v>0</v>
      </c>
      <c r="AQ849" s="467" t="str">
        <f>IFERROR(VLOOKUP(Table_NFI[[#This Row],[Camp Name]],CL,2,0),"")</f>
        <v>MMR001CMP038</v>
      </c>
      <c r="AR849" s="835">
        <f ca="1">IF(Table_NFI[[#This Row],[Pcode]]="","",IF(OFFSET(CampList[Opening Date],MATCH(Table_NFI[[#This Row],[Pcode]],CampList[CP_Pcode],0)-1,0,1,1)&gt;=NFI_Monitor_Date,1,0))</f>
        <v>0</v>
      </c>
      <c r="AS849" s="467" t="str">
        <f>IFERROR(VLOOKUP(Table_NFI[[#This Row],[Camp Name]],CL,3,0),"")</f>
        <v>Open</v>
      </c>
      <c r="AT849" s="294" t="str">
        <f ca="1">IF(Table_NFI[[#This Row],[Pcode]]="","",OFFSET(CampList[Priority],MATCH(Table_NFI[[#This Row],[Pcode]],CampList[CP_Pcode],0)-1,0,1,1))</f>
        <v>P4</v>
      </c>
      <c r="AU849" s="293">
        <f>IFERROR(Table_NFI[[#This Row],[Kitchen Set]]/VLOOKUP(Table_NFI[[#This Row],[Camp Name]],CL,4,0),"")</f>
        <v>0</v>
      </c>
      <c r="AV849" s="461" t="s">
        <v>1092</v>
      </c>
      <c r="AW849" s="463"/>
    </row>
    <row r="850" spans="1:49" ht="15" customHeight="1" x14ac:dyDescent="0.25">
      <c r="A850" s="297">
        <f t="shared" si="13"/>
        <v>48.733333333333334</v>
      </c>
      <c r="B850" s="460">
        <v>41274</v>
      </c>
      <c r="C850" s="461" t="s">
        <v>453</v>
      </c>
      <c r="D850" s="461" t="s">
        <v>453</v>
      </c>
      <c r="E850" s="461" t="s">
        <v>380</v>
      </c>
      <c r="F850" s="461" t="s">
        <v>237</v>
      </c>
      <c r="G850" s="290" t="s">
        <v>283</v>
      </c>
      <c r="H850" s="291">
        <v>24</v>
      </c>
      <c r="I850" s="291"/>
      <c r="J850" s="291"/>
      <c r="K850" s="291"/>
      <c r="L850" s="292"/>
      <c r="M850" s="292"/>
      <c r="N850" s="292"/>
      <c r="O850" s="292"/>
      <c r="P850" s="294">
        <v>0</v>
      </c>
      <c r="Q850" s="294">
        <v>0</v>
      </c>
      <c r="R850" s="294"/>
      <c r="S850" s="294"/>
      <c r="T850" s="294"/>
      <c r="U850" s="294"/>
      <c r="V850" s="431"/>
      <c r="W850" s="294"/>
      <c r="X850" s="294"/>
      <c r="Y850" s="294">
        <f>IF(NFI_Expiration=1,IF($A850&lt;VLOOKUP(H$5,NFI,5,0),1,0)*Table_NFI[[#This Row],[Hygiene Kit]],Table_NFI[Hygiene Kit])</f>
        <v>0</v>
      </c>
      <c r="Z850" s="294">
        <f>IF(NFI_Expiration=1,IF($A850&lt;VLOOKUP(I$5,NFI,5,0),1,0)*Table_NFI[[#This Row],[NFI Core Kit]],Table_NFI[NFI Core Kit])</f>
        <v>0</v>
      </c>
      <c r="AA850" s="294">
        <f>IF(NFI_Expiration=1,IF($A850&lt;VLOOKUP(J$5,NFI,5,0),1,0)*Table_NFI[[#This Row],[Sanitary Kit]],Table_NFI[Sanitary Kit])</f>
        <v>0</v>
      </c>
      <c r="AB850" s="294">
        <f>IF(NFI_Expiration=1,IF($A850&lt;VLOOKUP(K$5,NFI,5,0),1,0)*Table_NFI[[#This Row],[Mosquito net]],Table_NFI[Mosquito net])</f>
        <v>0</v>
      </c>
      <c r="AC850" s="294">
        <f>IF(NFI_Expiration=1,IF($A850&lt;VLOOKUP(L$5,NFI,5,0),1,0)*Table_NFI[[#This Row],[Tarpaulin]],Table_NFI[[#This Row],[Tarpaulin]])</f>
        <v>0</v>
      </c>
      <c r="AD850" s="294">
        <f>IF(NFI_Expiration=1,IF($A850&lt;VLOOKUP(M$5,NFI,5,0),1,0)*Table_NFI[[#This Row],[Blanket]],Table_NFI[[#This Row],[Blanket]])</f>
        <v>0</v>
      </c>
      <c r="AE850" s="294">
        <f>IF(NFI_Expiration=1,IF($A850&lt;VLOOKUP(N$5,NFI,5,0),1,0)*Table_NFI[[#This Row],[Kitchen Set]],Table_NFI[Kitchen Set])</f>
        <v>0</v>
      </c>
      <c r="AF850" s="294">
        <f>IF(NFI_Expiration=1,IF($A850&lt;VLOOKUP(O$5,NFI,5,0),1,0)*Table_NFI[[#This Row],[Clothes Kit]],Table_NFI[Clothes Kit])</f>
        <v>0</v>
      </c>
      <c r="AG850" s="294">
        <f>IF(NFI_Expiration=1,IF($A850&lt;VLOOKUP(P$5,NFI,5,0),1,0)*Table_NFI[[#This Row],[Plastic Bucket]],Table_NFI[Plastic Bucket])</f>
        <v>0</v>
      </c>
      <c r="AH850" s="294">
        <f>IF(NFI_Expiration=1,IF($A850&lt;VLOOKUP(Q$5,NFI,5,0),1,0)*Table_NFI[[#This Row],[Plastic Mat]],Table_NFI[Plastic Mat])*IF(Table_NFI[[#This Row],[Distribution Date]]&gt;"2014-04-01",1,2.5)</f>
        <v>0</v>
      </c>
      <c r="AI850" s="294">
        <f>IF(NFI_Expiration=1,IF($A850&lt;VLOOKUP(R$5,NFI,5,0),1,0)*Table_NFI[[#This Row],[Winter Clothes Adult]],Table_NFI[Winter Clothes Adult])</f>
        <v>0</v>
      </c>
      <c r="AJ850" s="294">
        <f>IF(NFI_Expiration=1,IF($A850&lt;VLOOKUP(S$5,NFI,5,0),1,0)*Table_NFI[[#This Row],[Winter Clothes Children]],Table_NFI[Winter Clothes Children])</f>
        <v>0</v>
      </c>
      <c r="AK850" s="294">
        <f>IF(NFI_Expiration=1,IF($A850&lt;VLOOKUP(T$5,NFI,5,0),1,0)*Table_NFI[[#This Row],[Winter Items Other]],Table_NFI[Winter Items Other])</f>
        <v>0</v>
      </c>
      <c r="AL850" s="294">
        <f>IF(NFI_Expiration=1,IF($A850&lt;VLOOKUP(M$5,NFI,5,0),1,0)*Table_NFI[[#This Row],[Winter Blanket]],Table_NFI[[#This Row],[Winter Blanket]])</f>
        <v>0</v>
      </c>
      <c r="AM850" s="294">
        <f>IF(Table_NFI[[#This Row],[Winter Clothes Adult]]+Table_NFI[[#This Row],[Winter Clothes Children]]+Table_NFI[[#This Row],[Winter Items Other]]+Table_NFI[[#This Row],[Winter Blanket]]&gt;0,1,0)</f>
        <v>0</v>
      </c>
      <c r="AN850" s="331">
        <f>IF(NFI_Expiration=1,IF($A850&lt;VLOOKUP(V$5,NFI,5,0),1,0)*Table_NFI[[#This Row],[Jerry Can]],Table_NFI[Jerry Can])</f>
        <v>0</v>
      </c>
      <c r="AO850" s="331">
        <f>IF(NFI_Expiration=1,IF($A850&lt;VLOOKUP(V$5,NFI,5,0),1,0)*Table_NFI[[#This Row],[Shelter Tool kit]],Table_NFI[Shelter Tool kit])</f>
        <v>0</v>
      </c>
      <c r="AP850" s="331">
        <f>IF(NFI_Expiration=1,IF($A850&lt;VLOOKUP(V$5,NFI,5,0),1,0)*Table_NFI[[#This Row],[Tent]],Table_NFI[Tent])</f>
        <v>0</v>
      </c>
      <c r="AQ850" s="467" t="str">
        <f>IFERROR(VLOOKUP(Table_NFI[[#This Row],[Camp Name]],CL,2,0),"")</f>
        <v>MMR001CMP022</v>
      </c>
      <c r="AR850" s="835">
        <f ca="1">IF(Table_NFI[[#This Row],[Pcode]]="","",IF(OFFSET(CampList[Opening Date],MATCH(Table_NFI[[#This Row],[Pcode]],CampList[CP_Pcode],0)-1,0,1,1)&gt;=NFI_Monitor_Date,1,0))</f>
        <v>0</v>
      </c>
      <c r="AS850" s="467" t="str">
        <f>IFERROR(VLOOKUP(Table_NFI[[#This Row],[Camp Name]],CL,3,0),"")</f>
        <v>Open</v>
      </c>
      <c r="AT850" s="294" t="str">
        <f ca="1">IF(Table_NFI[[#This Row],[Pcode]]="","",OFFSET(CampList[Priority],MATCH(Table_NFI[[#This Row],[Pcode]],CampList[CP_Pcode],0)-1,0,1,1))</f>
        <v>P4</v>
      </c>
      <c r="AU850" s="293">
        <f>IFERROR(Table_NFI[[#This Row],[Kitchen Set]]/VLOOKUP(Table_NFI[[#This Row],[Camp Name]],CL,4,0),"")</f>
        <v>0</v>
      </c>
      <c r="AV850" s="461" t="s">
        <v>1092</v>
      </c>
      <c r="AW850" s="463"/>
    </row>
    <row r="851" spans="1:49" x14ac:dyDescent="0.25">
      <c r="A851" s="297">
        <f t="shared" si="13"/>
        <v>48.733333333333334</v>
      </c>
      <c r="B851" s="460">
        <v>41274</v>
      </c>
      <c r="C851" s="461" t="s">
        <v>453</v>
      </c>
      <c r="D851" s="462" t="s">
        <v>453</v>
      </c>
      <c r="E851" s="461" t="s">
        <v>380</v>
      </c>
      <c r="F851" s="290" t="s">
        <v>527</v>
      </c>
      <c r="G851" s="290" t="s">
        <v>140</v>
      </c>
      <c r="H851" s="291">
        <v>42</v>
      </c>
      <c r="I851" s="296"/>
      <c r="J851" s="289"/>
      <c r="K851" s="289"/>
      <c r="L851" s="289"/>
      <c r="M851" s="289"/>
      <c r="N851" s="289"/>
      <c r="O851" s="289"/>
      <c r="P851" s="294">
        <v>0</v>
      </c>
      <c r="Q851" s="294">
        <v>0</v>
      </c>
      <c r="R851" s="294"/>
      <c r="S851" s="294"/>
      <c r="T851" s="294"/>
      <c r="U851" s="294"/>
      <c r="V851" s="431"/>
      <c r="W851" s="294"/>
      <c r="X851" s="294"/>
      <c r="Y851" s="294">
        <f>IF(NFI_Expiration=1,IF($A851&lt;VLOOKUP(H$5,NFI,5,0),1,0)*Table_NFI[[#This Row],[Hygiene Kit]],Table_NFI[Hygiene Kit])</f>
        <v>0</v>
      </c>
      <c r="Z851" s="294">
        <f>IF(NFI_Expiration=1,IF($A851&lt;VLOOKUP(I$5,NFI,5,0),1,0)*Table_NFI[[#This Row],[NFI Core Kit]],Table_NFI[NFI Core Kit])</f>
        <v>0</v>
      </c>
      <c r="AA851" s="294">
        <f>IF(NFI_Expiration=1,IF($A851&lt;VLOOKUP(J$5,NFI,5,0),1,0)*Table_NFI[[#This Row],[Sanitary Kit]],Table_NFI[Sanitary Kit])</f>
        <v>0</v>
      </c>
      <c r="AB851" s="294">
        <f>IF(NFI_Expiration=1,IF($A851&lt;VLOOKUP(K$5,NFI,5,0),1,0)*Table_NFI[[#This Row],[Mosquito net]],Table_NFI[Mosquito net])</f>
        <v>0</v>
      </c>
      <c r="AC851" s="294">
        <f>IF(NFI_Expiration=1,IF($A851&lt;VLOOKUP(L$5,NFI,5,0),1,0)*Table_NFI[[#This Row],[Tarpaulin]],Table_NFI[[#This Row],[Tarpaulin]])</f>
        <v>0</v>
      </c>
      <c r="AD851" s="294">
        <f>IF(NFI_Expiration=1,IF($A851&lt;VLOOKUP(M$5,NFI,5,0),1,0)*Table_NFI[[#This Row],[Blanket]],Table_NFI[[#This Row],[Blanket]])</f>
        <v>0</v>
      </c>
      <c r="AE851" s="294">
        <f>IF(NFI_Expiration=1,IF($A851&lt;VLOOKUP(N$5,NFI,5,0),1,0)*Table_NFI[[#This Row],[Kitchen Set]],Table_NFI[Kitchen Set])</f>
        <v>0</v>
      </c>
      <c r="AF851" s="294">
        <f>IF(NFI_Expiration=1,IF($A851&lt;VLOOKUP(O$5,NFI,5,0),1,0)*Table_NFI[[#This Row],[Clothes Kit]],Table_NFI[Clothes Kit])</f>
        <v>0</v>
      </c>
      <c r="AG851" s="294">
        <f>IF(NFI_Expiration=1,IF($A851&lt;VLOOKUP(P$5,NFI,5,0),1,0)*Table_NFI[[#This Row],[Plastic Bucket]],Table_NFI[Plastic Bucket])</f>
        <v>0</v>
      </c>
      <c r="AH851" s="294">
        <f>IF(NFI_Expiration=1,IF($A851&lt;VLOOKUP(Q$5,NFI,5,0),1,0)*Table_NFI[[#This Row],[Plastic Mat]],Table_NFI[Plastic Mat])*IF(Table_NFI[[#This Row],[Distribution Date]]&gt;"2014-04-01",1,2.5)</f>
        <v>0</v>
      </c>
      <c r="AI851" s="294">
        <f>IF(NFI_Expiration=1,IF($A851&lt;VLOOKUP(R$5,NFI,5,0),1,0)*Table_NFI[[#This Row],[Winter Clothes Adult]],Table_NFI[Winter Clothes Adult])</f>
        <v>0</v>
      </c>
      <c r="AJ851" s="294">
        <f>IF(NFI_Expiration=1,IF($A851&lt;VLOOKUP(S$5,NFI,5,0),1,0)*Table_NFI[[#This Row],[Winter Clothes Children]],Table_NFI[Winter Clothes Children])</f>
        <v>0</v>
      </c>
      <c r="AK851" s="294">
        <f>IF(NFI_Expiration=1,IF($A851&lt;VLOOKUP(T$5,NFI,5,0),1,0)*Table_NFI[[#This Row],[Winter Items Other]],Table_NFI[Winter Items Other])</f>
        <v>0</v>
      </c>
      <c r="AL851" s="294">
        <f>IF(NFI_Expiration=1,IF($A851&lt;VLOOKUP(M$5,NFI,5,0),1,0)*Table_NFI[[#This Row],[Winter Blanket]],Table_NFI[[#This Row],[Winter Blanket]])</f>
        <v>0</v>
      </c>
      <c r="AM851" s="294">
        <f>IF(Table_NFI[[#This Row],[Winter Clothes Adult]]+Table_NFI[[#This Row],[Winter Clothes Children]]+Table_NFI[[#This Row],[Winter Items Other]]+Table_NFI[[#This Row],[Winter Blanket]]&gt;0,1,0)</f>
        <v>0</v>
      </c>
      <c r="AN851" s="331">
        <f>IF(NFI_Expiration=1,IF($A851&lt;VLOOKUP(V$5,NFI,5,0),1,0)*Table_NFI[[#This Row],[Jerry Can]],Table_NFI[Jerry Can])</f>
        <v>0</v>
      </c>
      <c r="AO851" s="331">
        <f>IF(NFI_Expiration=1,IF($A851&lt;VLOOKUP(V$5,NFI,5,0),1,0)*Table_NFI[[#This Row],[Shelter Tool kit]],Table_NFI[Shelter Tool kit])</f>
        <v>0</v>
      </c>
      <c r="AP851" s="331">
        <f>IF(NFI_Expiration=1,IF($A851&lt;VLOOKUP(V$5,NFI,5,0),1,0)*Table_NFI[[#This Row],[Tent]],Table_NFI[Tent])</f>
        <v>0</v>
      </c>
      <c r="AQ851" s="467" t="str">
        <f>IFERROR(VLOOKUP(Table_NFI[[#This Row],[Camp Name]],CL,2,0),"")</f>
        <v>MMR001CMP105</v>
      </c>
      <c r="AR851" s="835">
        <f ca="1">IF(Table_NFI[[#This Row],[Pcode]]="","",IF(OFFSET(CampList[Opening Date],MATCH(Table_NFI[[#This Row],[Pcode]],CampList[CP_Pcode],0)-1,0,1,1)&gt;=NFI_Monitor_Date,1,0))</f>
        <v>0</v>
      </c>
      <c r="AS851" s="467" t="str">
        <f>IFERROR(VLOOKUP(Table_NFI[[#This Row],[Camp Name]],CL,3,0),"")</f>
        <v>Open</v>
      </c>
      <c r="AT851" s="294" t="str">
        <f ca="1">IF(Table_NFI[[#This Row],[Pcode]]="","",OFFSET(CampList[Priority],MATCH(Table_NFI[[#This Row],[Pcode]],CampList[CP_Pcode],0)-1,0,1,1))</f>
        <v>P4</v>
      </c>
      <c r="AU851" s="293">
        <f>IFERROR(Table_NFI[[#This Row],[Kitchen Set]]/VLOOKUP(Table_NFI[[#This Row],[Camp Name]],CL,4,0),"")</f>
        <v>0</v>
      </c>
      <c r="AV851" s="461" t="s">
        <v>1092</v>
      </c>
      <c r="AW851" s="463"/>
    </row>
    <row r="852" spans="1:49" x14ac:dyDescent="0.25">
      <c r="A852" s="297">
        <f t="shared" si="13"/>
        <v>49.06666666666667</v>
      </c>
      <c r="B852" s="460">
        <v>41264</v>
      </c>
      <c r="C852" s="461" t="s">
        <v>452</v>
      </c>
      <c r="D852" s="461" t="s">
        <v>452</v>
      </c>
      <c r="E852" s="461" t="s">
        <v>380</v>
      </c>
      <c r="F852" s="461" t="s">
        <v>5</v>
      </c>
      <c r="G852" s="290" t="s">
        <v>18</v>
      </c>
      <c r="H852" s="291"/>
      <c r="I852" s="291"/>
      <c r="J852" s="291"/>
      <c r="K852" s="291">
        <v>0</v>
      </c>
      <c r="L852" s="292">
        <v>12</v>
      </c>
      <c r="M852" s="292">
        <v>0</v>
      </c>
      <c r="N852" s="292">
        <v>12</v>
      </c>
      <c r="O852" s="292">
        <v>12</v>
      </c>
      <c r="P852" s="294">
        <v>12</v>
      </c>
      <c r="Q852" s="294">
        <v>12</v>
      </c>
      <c r="R852" s="294"/>
      <c r="S852" s="294"/>
      <c r="T852" s="294"/>
      <c r="U852" s="294"/>
      <c r="V852" s="431"/>
      <c r="W852" s="294"/>
      <c r="X852" s="294"/>
      <c r="Y852" s="294">
        <f>IF(NFI_Expiration=1,IF($A852&lt;VLOOKUP(H$5,NFI,5,0),1,0)*Table_NFI[[#This Row],[Hygiene Kit]],Table_NFI[Hygiene Kit])</f>
        <v>0</v>
      </c>
      <c r="Z852" s="294">
        <f>IF(NFI_Expiration=1,IF($A852&lt;VLOOKUP(I$5,NFI,5,0),1,0)*Table_NFI[[#This Row],[NFI Core Kit]],Table_NFI[NFI Core Kit])</f>
        <v>0</v>
      </c>
      <c r="AA852" s="294">
        <f>IF(NFI_Expiration=1,IF($A852&lt;VLOOKUP(J$5,NFI,5,0),1,0)*Table_NFI[[#This Row],[Sanitary Kit]],Table_NFI[Sanitary Kit])</f>
        <v>0</v>
      </c>
      <c r="AB852" s="294">
        <f>IF(NFI_Expiration=1,IF($A852&lt;VLOOKUP(K$5,NFI,5,0),1,0)*Table_NFI[[#This Row],[Mosquito net]],Table_NFI[Mosquito net])</f>
        <v>0</v>
      </c>
      <c r="AC852" s="294">
        <f>IF(NFI_Expiration=1,IF($A852&lt;VLOOKUP(L$5,NFI,5,0),1,0)*Table_NFI[[#This Row],[Tarpaulin]],Table_NFI[[#This Row],[Tarpaulin]])</f>
        <v>0</v>
      </c>
      <c r="AD852" s="294">
        <f>IF(NFI_Expiration=1,IF($A852&lt;VLOOKUP(M$5,NFI,5,0),1,0)*Table_NFI[[#This Row],[Blanket]],Table_NFI[[#This Row],[Blanket]])</f>
        <v>0</v>
      </c>
      <c r="AE852" s="294">
        <f>IF(NFI_Expiration=1,IF($A852&lt;VLOOKUP(N$5,NFI,5,0),1,0)*Table_NFI[[#This Row],[Kitchen Set]],Table_NFI[Kitchen Set])</f>
        <v>0</v>
      </c>
      <c r="AF852" s="294">
        <f>IF(NFI_Expiration=1,IF($A852&lt;VLOOKUP(O$5,NFI,5,0),1,0)*Table_NFI[[#This Row],[Clothes Kit]],Table_NFI[Clothes Kit])</f>
        <v>0</v>
      </c>
      <c r="AG852" s="294">
        <f>IF(NFI_Expiration=1,IF($A852&lt;VLOOKUP(P$5,NFI,5,0),1,0)*Table_NFI[[#This Row],[Plastic Bucket]],Table_NFI[Plastic Bucket])</f>
        <v>0</v>
      </c>
      <c r="AH852" s="294">
        <f>IF(NFI_Expiration=1,IF($A852&lt;VLOOKUP(Q$5,NFI,5,0),1,0)*Table_NFI[[#This Row],[Plastic Mat]],Table_NFI[Plastic Mat])*IF(Table_NFI[[#This Row],[Distribution Date]]&gt;"2014-04-01",1,2.5)</f>
        <v>0</v>
      </c>
      <c r="AI852" s="294">
        <f>IF(NFI_Expiration=1,IF($A852&lt;VLOOKUP(R$5,NFI,5,0),1,0)*Table_NFI[[#This Row],[Winter Clothes Adult]],Table_NFI[Winter Clothes Adult])</f>
        <v>0</v>
      </c>
      <c r="AJ852" s="294">
        <f>IF(NFI_Expiration=1,IF($A852&lt;VLOOKUP(S$5,NFI,5,0),1,0)*Table_NFI[[#This Row],[Winter Clothes Children]],Table_NFI[Winter Clothes Children])</f>
        <v>0</v>
      </c>
      <c r="AK852" s="294">
        <f>IF(NFI_Expiration=1,IF($A852&lt;VLOOKUP(T$5,NFI,5,0),1,0)*Table_NFI[[#This Row],[Winter Items Other]],Table_NFI[Winter Items Other])</f>
        <v>0</v>
      </c>
      <c r="AL852" s="294">
        <f>IF(NFI_Expiration=1,IF($A852&lt;VLOOKUP(M$5,NFI,5,0),1,0)*Table_NFI[[#This Row],[Winter Blanket]],Table_NFI[[#This Row],[Winter Blanket]])</f>
        <v>0</v>
      </c>
      <c r="AM852" s="294">
        <f>IF(Table_NFI[[#This Row],[Winter Clothes Adult]]+Table_NFI[[#This Row],[Winter Clothes Children]]+Table_NFI[[#This Row],[Winter Items Other]]+Table_NFI[[#This Row],[Winter Blanket]]&gt;0,1,0)</f>
        <v>0</v>
      </c>
      <c r="AN852" s="331">
        <f>IF(NFI_Expiration=1,IF($A852&lt;VLOOKUP(V$5,NFI,5,0),1,0)*Table_NFI[[#This Row],[Jerry Can]],Table_NFI[Jerry Can])</f>
        <v>0</v>
      </c>
      <c r="AO852" s="331">
        <f>IF(NFI_Expiration=1,IF($A852&lt;VLOOKUP(V$5,NFI,5,0),1,0)*Table_NFI[[#This Row],[Shelter Tool kit]],Table_NFI[Shelter Tool kit])</f>
        <v>0</v>
      </c>
      <c r="AP852" s="331">
        <f>IF(NFI_Expiration=1,IF($A852&lt;VLOOKUP(V$5,NFI,5,0),1,0)*Table_NFI[[#This Row],[Tent]],Table_NFI[Tent])</f>
        <v>0</v>
      </c>
      <c r="AQ852" s="467" t="str">
        <f>IFERROR(VLOOKUP(Table_NFI[[#This Row],[Camp Name]],CL,2,0),"")</f>
        <v>MMR001CMP049</v>
      </c>
      <c r="AR852" s="835">
        <f ca="1">IF(Table_NFI[[#This Row],[Pcode]]="","",IF(OFFSET(CampList[Opening Date],MATCH(Table_NFI[[#This Row],[Pcode]],CampList[CP_Pcode],0)-1,0,1,1)&gt;=NFI_Monitor_Date,1,0))</f>
        <v>0</v>
      </c>
      <c r="AS852" s="467" t="str">
        <f>IFERROR(VLOOKUP(Table_NFI[[#This Row],[Camp Name]],CL,3,0),"")</f>
        <v>Open</v>
      </c>
      <c r="AT852" s="294" t="str">
        <f ca="1">IF(Table_NFI[[#This Row],[Pcode]]="","",OFFSET(CampList[Priority],MATCH(Table_NFI[[#This Row],[Pcode]],CampList[CP_Pcode],0)-1,0,1,1))</f>
        <v>P4</v>
      </c>
      <c r="AU852" s="293">
        <f>IFERROR(Table_NFI[[#This Row],[Kitchen Set]]/VLOOKUP(Table_NFI[[#This Row],[Camp Name]],CL,4,0),"")</f>
        <v>2.948765204570586E-4</v>
      </c>
      <c r="AV852" s="461" t="s">
        <v>1092</v>
      </c>
      <c r="AW852" s="463"/>
    </row>
    <row r="853" spans="1:49" x14ac:dyDescent="0.25">
      <c r="A853" s="297">
        <f t="shared" si="13"/>
        <v>49.06666666666667</v>
      </c>
      <c r="B853" s="460">
        <v>41264</v>
      </c>
      <c r="C853" s="461" t="s">
        <v>452</v>
      </c>
      <c r="D853" s="462" t="s">
        <v>452</v>
      </c>
      <c r="E853" s="461" t="s">
        <v>380</v>
      </c>
      <c r="F853" s="290" t="s">
        <v>5</v>
      </c>
      <c r="G853" s="290" t="s">
        <v>22</v>
      </c>
      <c r="H853" s="291"/>
      <c r="I853" s="291"/>
      <c r="J853" s="291"/>
      <c r="K853" s="291">
        <v>0</v>
      </c>
      <c r="L853" s="292">
        <v>0</v>
      </c>
      <c r="M853" s="292">
        <v>73</v>
      </c>
      <c r="N853" s="292">
        <v>0</v>
      </c>
      <c r="O853" s="292">
        <v>0</v>
      </c>
      <c r="P853" s="294"/>
      <c r="Q853" s="294"/>
      <c r="R853" s="294"/>
      <c r="S853" s="294"/>
      <c r="T853" s="294"/>
      <c r="U853" s="294"/>
      <c r="V853" s="431"/>
      <c r="W853" s="294"/>
      <c r="X853" s="294"/>
      <c r="Y853" s="294">
        <f>IF(NFI_Expiration=1,IF($A853&lt;VLOOKUP(H$5,NFI,5,0),1,0)*Table_NFI[[#This Row],[Hygiene Kit]],Table_NFI[Hygiene Kit])</f>
        <v>0</v>
      </c>
      <c r="Z853" s="294">
        <f>IF(NFI_Expiration=1,IF($A853&lt;VLOOKUP(I$5,NFI,5,0),1,0)*Table_NFI[[#This Row],[NFI Core Kit]],Table_NFI[NFI Core Kit])</f>
        <v>0</v>
      </c>
      <c r="AA853" s="294">
        <f>IF(NFI_Expiration=1,IF($A853&lt;VLOOKUP(J$5,NFI,5,0),1,0)*Table_NFI[[#This Row],[Sanitary Kit]],Table_NFI[Sanitary Kit])</f>
        <v>0</v>
      </c>
      <c r="AB853" s="294">
        <f>IF(NFI_Expiration=1,IF($A853&lt;VLOOKUP(K$5,NFI,5,0),1,0)*Table_NFI[[#This Row],[Mosquito net]],Table_NFI[Mosquito net])</f>
        <v>0</v>
      </c>
      <c r="AC853" s="294">
        <f>IF(NFI_Expiration=1,IF($A853&lt;VLOOKUP(L$5,NFI,5,0),1,0)*Table_NFI[[#This Row],[Tarpaulin]],Table_NFI[[#This Row],[Tarpaulin]])</f>
        <v>0</v>
      </c>
      <c r="AD853" s="294">
        <f>IF(NFI_Expiration=1,IF($A853&lt;VLOOKUP(M$5,NFI,5,0),1,0)*Table_NFI[[#This Row],[Blanket]],Table_NFI[[#This Row],[Blanket]])</f>
        <v>0</v>
      </c>
      <c r="AE853" s="294">
        <f>IF(NFI_Expiration=1,IF($A853&lt;VLOOKUP(N$5,NFI,5,0),1,0)*Table_NFI[[#This Row],[Kitchen Set]],Table_NFI[Kitchen Set])</f>
        <v>0</v>
      </c>
      <c r="AF853" s="294">
        <f>IF(NFI_Expiration=1,IF($A853&lt;VLOOKUP(O$5,NFI,5,0),1,0)*Table_NFI[[#This Row],[Clothes Kit]],Table_NFI[Clothes Kit])</f>
        <v>0</v>
      </c>
      <c r="AG853" s="294">
        <f>IF(NFI_Expiration=1,IF($A853&lt;VLOOKUP(P$5,NFI,5,0),1,0)*Table_NFI[[#This Row],[Plastic Bucket]],Table_NFI[Plastic Bucket])</f>
        <v>0</v>
      </c>
      <c r="AH853" s="294">
        <f>IF(NFI_Expiration=1,IF($A853&lt;VLOOKUP(Q$5,NFI,5,0),1,0)*Table_NFI[[#This Row],[Plastic Mat]],Table_NFI[Plastic Mat])*IF(Table_NFI[[#This Row],[Distribution Date]]&gt;"2014-04-01",1,2.5)</f>
        <v>0</v>
      </c>
      <c r="AI853" s="294">
        <f>IF(NFI_Expiration=1,IF($A853&lt;VLOOKUP(R$5,NFI,5,0),1,0)*Table_NFI[[#This Row],[Winter Clothes Adult]],Table_NFI[Winter Clothes Adult])</f>
        <v>0</v>
      </c>
      <c r="AJ853" s="294">
        <f>IF(NFI_Expiration=1,IF($A853&lt;VLOOKUP(S$5,NFI,5,0),1,0)*Table_NFI[[#This Row],[Winter Clothes Children]],Table_NFI[Winter Clothes Children])</f>
        <v>0</v>
      </c>
      <c r="AK853" s="294">
        <f>IF(NFI_Expiration=1,IF($A853&lt;VLOOKUP(T$5,NFI,5,0),1,0)*Table_NFI[[#This Row],[Winter Items Other]],Table_NFI[Winter Items Other])</f>
        <v>0</v>
      </c>
      <c r="AL853" s="294">
        <f>IF(NFI_Expiration=1,IF($A853&lt;VLOOKUP(M$5,NFI,5,0),1,0)*Table_NFI[[#This Row],[Winter Blanket]],Table_NFI[[#This Row],[Winter Blanket]])</f>
        <v>0</v>
      </c>
      <c r="AM853" s="294">
        <f>IF(Table_NFI[[#This Row],[Winter Clothes Adult]]+Table_NFI[[#This Row],[Winter Clothes Children]]+Table_NFI[[#This Row],[Winter Items Other]]+Table_NFI[[#This Row],[Winter Blanket]]&gt;0,1,0)</f>
        <v>0</v>
      </c>
      <c r="AN853" s="331">
        <f>IF(NFI_Expiration=1,IF($A853&lt;VLOOKUP(V$5,NFI,5,0),1,0)*Table_NFI[[#This Row],[Jerry Can]],Table_NFI[Jerry Can])</f>
        <v>0</v>
      </c>
      <c r="AO853" s="331">
        <f>IF(NFI_Expiration=1,IF($A853&lt;VLOOKUP(V$5,NFI,5,0),1,0)*Table_NFI[[#This Row],[Shelter Tool kit]],Table_NFI[Shelter Tool kit])</f>
        <v>0</v>
      </c>
      <c r="AP853" s="331">
        <f>IF(NFI_Expiration=1,IF($A853&lt;VLOOKUP(V$5,NFI,5,0),1,0)*Table_NFI[[#This Row],[Tent]],Table_NFI[Tent])</f>
        <v>0</v>
      </c>
      <c r="AQ853" s="467" t="str">
        <f>IFERROR(VLOOKUP(Table_NFI[[#This Row],[Camp Name]],CL,2,0),"")</f>
        <v>MMR001CMP047</v>
      </c>
      <c r="AR853" s="835">
        <f ca="1">IF(Table_NFI[[#This Row],[Pcode]]="","",IF(OFFSET(CampList[Opening Date],MATCH(Table_NFI[[#This Row],[Pcode]],CampList[CP_Pcode],0)-1,0,1,1)&gt;=NFI_Monitor_Date,1,0))</f>
        <v>0</v>
      </c>
      <c r="AS853" s="467" t="str">
        <f>IFERROR(VLOOKUP(Table_NFI[[#This Row],[Camp Name]],CL,3,0),"")</f>
        <v>Open</v>
      </c>
      <c r="AT853" s="294" t="str">
        <f ca="1">IF(Table_NFI[[#This Row],[Pcode]]="","",OFFSET(CampList[Priority],MATCH(Table_NFI[[#This Row],[Pcode]],CampList[CP_Pcode],0)-1,0,1,1))</f>
        <v>P4</v>
      </c>
      <c r="AU853" s="293">
        <f>IFERROR(Table_NFI[[#This Row],[Kitchen Set]]/VLOOKUP(Table_NFI[[#This Row],[Camp Name]],CL,4,0),"")</f>
        <v>0</v>
      </c>
      <c r="AV853" s="461" t="s">
        <v>1092</v>
      </c>
      <c r="AW853" s="463"/>
    </row>
    <row r="854" spans="1:49" x14ac:dyDescent="0.25">
      <c r="A854" s="297">
        <f t="shared" si="13"/>
        <v>49.06666666666667</v>
      </c>
      <c r="B854" s="460">
        <v>41264</v>
      </c>
      <c r="C854" s="461" t="s">
        <v>452</v>
      </c>
      <c r="D854" s="462" t="s">
        <v>452</v>
      </c>
      <c r="E854" s="461" t="s">
        <v>380</v>
      </c>
      <c r="F854" s="290" t="s">
        <v>5</v>
      </c>
      <c r="G854" s="290" t="s">
        <v>22</v>
      </c>
      <c r="H854" s="291"/>
      <c r="I854" s="291"/>
      <c r="J854" s="291"/>
      <c r="K854" s="291">
        <v>24</v>
      </c>
      <c r="L854" s="292">
        <v>12</v>
      </c>
      <c r="M854" s="292">
        <v>24</v>
      </c>
      <c r="N854" s="292">
        <v>12</v>
      </c>
      <c r="O854" s="292">
        <v>12</v>
      </c>
      <c r="P854" s="294">
        <v>12</v>
      </c>
      <c r="Q854" s="294">
        <v>12</v>
      </c>
      <c r="R854" s="294"/>
      <c r="S854" s="294"/>
      <c r="T854" s="294"/>
      <c r="U854" s="294"/>
      <c r="V854" s="431"/>
      <c r="W854" s="294"/>
      <c r="X854" s="294"/>
      <c r="Y854" s="294">
        <f>IF(NFI_Expiration=1,IF($A854&lt;VLOOKUP(H$5,NFI,5,0),1,0)*Table_NFI[[#This Row],[Hygiene Kit]],Table_NFI[Hygiene Kit])</f>
        <v>0</v>
      </c>
      <c r="Z854" s="294">
        <f>IF(NFI_Expiration=1,IF($A854&lt;VLOOKUP(I$5,NFI,5,0),1,0)*Table_NFI[[#This Row],[NFI Core Kit]],Table_NFI[NFI Core Kit])</f>
        <v>0</v>
      </c>
      <c r="AA854" s="294">
        <f>IF(NFI_Expiration=1,IF($A854&lt;VLOOKUP(J$5,NFI,5,0),1,0)*Table_NFI[[#This Row],[Sanitary Kit]],Table_NFI[Sanitary Kit])</f>
        <v>0</v>
      </c>
      <c r="AB854" s="294">
        <f>IF(NFI_Expiration=1,IF($A854&lt;VLOOKUP(K$5,NFI,5,0),1,0)*Table_NFI[[#This Row],[Mosquito net]],Table_NFI[Mosquito net])</f>
        <v>0</v>
      </c>
      <c r="AC854" s="294">
        <f>IF(NFI_Expiration=1,IF($A854&lt;VLOOKUP(L$5,NFI,5,0),1,0)*Table_NFI[[#This Row],[Tarpaulin]],Table_NFI[[#This Row],[Tarpaulin]])</f>
        <v>0</v>
      </c>
      <c r="AD854" s="294">
        <f>IF(NFI_Expiration=1,IF($A854&lt;VLOOKUP(M$5,NFI,5,0),1,0)*Table_NFI[[#This Row],[Blanket]],Table_NFI[[#This Row],[Blanket]])</f>
        <v>0</v>
      </c>
      <c r="AE854" s="294">
        <f>IF(NFI_Expiration=1,IF($A854&lt;VLOOKUP(N$5,NFI,5,0),1,0)*Table_NFI[[#This Row],[Kitchen Set]],Table_NFI[Kitchen Set])</f>
        <v>0</v>
      </c>
      <c r="AF854" s="294">
        <f>IF(NFI_Expiration=1,IF($A854&lt;VLOOKUP(O$5,NFI,5,0),1,0)*Table_NFI[[#This Row],[Clothes Kit]],Table_NFI[Clothes Kit])</f>
        <v>0</v>
      </c>
      <c r="AG854" s="294">
        <f>IF(NFI_Expiration=1,IF($A854&lt;VLOOKUP(P$5,NFI,5,0),1,0)*Table_NFI[[#This Row],[Plastic Bucket]],Table_NFI[Plastic Bucket])</f>
        <v>0</v>
      </c>
      <c r="AH854" s="294">
        <f>IF(NFI_Expiration=1,IF($A854&lt;VLOOKUP(Q$5,NFI,5,0),1,0)*Table_NFI[[#This Row],[Plastic Mat]],Table_NFI[Plastic Mat])*IF(Table_NFI[[#This Row],[Distribution Date]]&gt;"2014-04-01",1,2.5)</f>
        <v>0</v>
      </c>
      <c r="AI854" s="294">
        <f>IF(NFI_Expiration=1,IF($A854&lt;VLOOKUP(R$5,NFI,5,0),1,0)*Table_NFI[[#This Row],[Winter Clothes Adult]],Table_NFI[Winter Clothes Adult])</f>
        <v>0</v>
      </c>
      <c r="AJ854" s="294">
        <f>IF(NFI_Expiration=1,IF($A854&lt;VLOOKUP(S$5,NFI,5,0),1,0)*Table_NFI[[#This Row],[Winter Clothes Children]],Table_NFI[Winter Clothes Children])</f>
        <v>0</v>
      </c>
      <c r="AK854" s="294">
        <f>IF(NFI_Expiration=1,IF($A854&lt;VLOOKUP(T$5,NFI,5,0),1,0)*Table_NFI[[#This Row],[Winter Items Other]],Table_NFI[Winter Items Other])</f>
        <v>0</v>
      </c>
      <c r="AL854" s="294">
        <f>IF(NFI_Expiration=1,IF($A854&lt;VLOOKUP(M$5,NFI,5,0),1,0)*Table_NFI[[#This Row],[Winter Blanket]],Table_NFI[[#This Row],[Winter Blanket]])</f>
        <v>0</v>
      </c>
      <c r="AM854" s="294">
        <f>IF(Table_NFI[[#This Row],[Winter Clothes Adult]]+Table_NFI[[#This Row],[Winter Clothes Children]]+Table_NFI[[#This Row],[Winter Items Other]]+Table_NFI[[#This Row],[Winter Blanket]]&gt;0,1,0)</f>
        <v>0</v>
      </c>
      <c r="AN854" s="331">
        <f>IF(NFI_Expiration=1,IF($A854&lt;VLOOKUP(V$5,NFI,5,0),1,0)*Table_NFI[[#This Row],[Jerry Can]],Table_NFI[Jerry Can])</f>
        <v>0</v>
      </c>
      <c r="AO854" s="331">
        <f>IF(NFI_Expiration=1,IF($A854&lt;VLOOKUP(V$5,NFI,5,0),1,0)*Table_NFI[[#This Row],[Shelter Tool kit]],Table_NFI[Shelter Tool kit])</f>
        <v>0</v>
      </c>
      <c r="AP854" s="331">
        <f>IF(NFI_Expiration=1,IF($A854&lt;VLOOKUP(V$5,NFI,5,0),1,0)*Table_NFI[[#This Row],[Tent]],Table_NFI[Tent])</f>
        <v>0</v>
      </c>
      <c r="AQ854" s="467" t="str">
        <f>IFERROR(VLOOKUP(Table_NFI[[#This Row],[Camp Name]],CL,2,0),"")</f>
        <v>MMR001CMP047</v>
      </c>
      <c r="AR854" s="835">
        <f ca="1">IF(Table_NFI[[#This Row],[Pcode]]="","",IF(OFFSET(CampList[Opening Date],MATCH(Table_NFI[[#This Row],[Pcode]],CampList[CP_Pcode],0)-1,0,1,1)&gt;=NFI_Monitor_Date,1,0))</f>
        <v>0</v>
      </c>
      <c r="AS854" s="467" t="str">
        <f>IFERROR(VLOOKUP(Table_NFI[[#This Row],[Camp Name]],CL,3,0),"")</f>
        <v>Open</v>
      </c>
      <c r="AT854" s="294" t="str">
        <f ca="1">IF(Table_NFI[[#This Row],[Pcode]]="","",OFFSET(CampList[Priority],MATCH(Table_NFI[[#This Row],[Pcode]],CampList[CP_Pcode],0)-1,0,1,1))</f>
        <v>P4</v>
      </c>
      <c r="AU854" s="293">
        <f>IFERROR(Table_NFI[[#This Row],[Kitchen Set]]/VLOOKUP(Table_NFI[[#This Row],[Camp Name]],CL,4,0),"")</f>
        <v>2.9465930018416205E-4</v>
      </c>
      <c r="AV854" s="461" t="s">
        <v>1092</v>
      </c>
      <c r="AW854" s="463"/>
    </row>
    <row r="855" spans="1:49" ht="15" customHeight="1" x14ac:dyDescent="0.25">
      <c r="A855" s="297">
        <f t="shared" si="13"/>
        <v>49.06666666666667</v>
      </c>
      <c r="B855" s="460">
        <v>41264</v>
      </c>
      <c r="C855" s="461" t="s">
        <v>452</v>
      </c>
      <c r="D855" s="462" t="s">
        <v>452</v>
      </c>
      <c r="E855" s="461" t="s">
        <v>380</v>
      </c>
      <c r="F855" s="290" t="s">
        <v>302</v>
      </c>
      <c r="G855" s="290" t="s">
        <v>306</v>
      </c>
      <c r="H855" s="291"/>
      <c r="I855" s="291"/>
      <c r="J855" s="291"/>
      <c r="K855" s="291">
        <v>0</v>
      </c>
      <c r="L855" s="292">
        <v>0</v>
      </c>
      <c r="M855" s="292">
        <v>83</v>
      </c>
      <c r="N855" s="292">
        <v>0</v>
      </c>
      <c r="O855" s="292">
        <v>0</v>
      </c>
      <c r="P855" s="294"/>
      <c r="Q855" s="294"/>
      <c r="R855" s="294"/>
      <c r="S855" s="294"/>
      <c r="T855" s="294"/>
      <c r="U855" s="294"/>
      <c r="V855" s="431"/>
      <c r="W855" s="294"/>
      <c r="X855" s="294"/>
      <c r="Y855" s="294">
        <f>IF(NFI_Expiration=1,IF($A855&lt;VLOOKUP(H$5,NFI,5,0),1,0)*Table_NFI[[#This Row],[Hygiene Kit]],Table_NFI[Hygiene Kit])</f>
        <v>0</v>
      </c>
      <c r="Z855" s="294">
        <f>IF(NFI_Expiration=1,IF($A855&lt;VLOOKUP(I$5,NFI,5,0),1,0)*Table_NFI[[#This Row],[NFI Core Kit]],Table_NFI[NFI Core Kit])</f>
        <v>0</v>
      </c>
      <c r="AA855" s="294">
        <f>IF(NFI_Expiration=1,IF($A855&lt;VLOOKUP(J$5,NFI,5,0),1,0)*Table_NFI[[#This Row],[Sanitary Kit]],Table_NFI[Sanitary Kit])</f>
        <v>0</v>
      </c>
      <c r="AB855" s="294">
        <f>IF(NFI_Expiration=1,IF($A855&lt;VLOOKUP(K$5,NFI,5,0),1,0)*Table_NFI[[#This Row],[Mosquito net]],Table_NFI[Mosquito net])</f>
        <v>0</v>
      </c>
      <c r="AC855" s="294">
        <f>IF(NFI_Expiration=1,IF($A855&lt;VLOOKUP(L$5,NFI,5,0),1,0)*Table_NFI[[#This Row],[Tarpaulin]],Table_NFI[[#This Row],[Tarpaulin]])</f>
        <v>0</v>
      </c>
      <c r="AD855" s="294">
        <f>IF(NFI_Expiration=1,IF($A855&lt;VLOOKUP(M$5,NFI,5,0),1,0)*Table_NFI[[#This Row],[Blanket]],Table_NFI[[#This Row],[Blanket]])</f>
        <v>0</v>
      </c>
      <c r="AE855" s="294">
        <f>IF(NFI_Expiration=1,IF($A855&lt;VLOOKUP(N$5,NFI,5,0),1,0)*Table_NFI[[#This Row],[Kitchen Set]],Table_NFI[Kitchen Set])</f>
        <v>0</v>
      </c>
      <c r="AF855" s="294">
        <f>IF(NFI_Expiration=1,IF($A855&lt;VLOOKUP(O$5,NFI,5,0),1,0)*Table_NFI[[#This Row],[Clothes Kit]],Table_NFI[Clothes Kit])</f>
        <v>0</v>
      </c>
      <c r="AG855" s="294">
        <f>IF(NFI_Expiration=1,IF($A855&lt;VLOOKUP(P$5,NFI,5,0),1,0)*Table_NFI[[#This Row],[Plastic Bucket]],Table_NFI[Plastic Bucket])</f>
        <v>0</v>
      </c>
      <c r="AH855" s="294">
        <f>IF(NFI_Expiration=1,IF($A855&lt;VLOOKUP(Q$5,NFI,5,0),1,0)*Table_NFI[[#This Row],[Plastic Mat]],Table_NFI[Plastic Mat])*IF(Table_NFI[[#This Row],[Distribution Date]]&gt;"2014-04-01",1,2.5)</f>
        <v>0</v>
      </c>
      <c r="AI855" s="294">
        <f>IF(NFI_Expiration=1,IF($A855&lt;VLOOKUP(R$5,NFI,5,0),1,0)*Table_NFI[[#This Row],[Winter Clothes Adult]],Table_NFI[Winter Clothes Adult])</f>
        <v>0</v>
      </c>
      <c r="AJ855" s="294">
        <f>IF(NFI_Expiration=1,IF($A855&lt;VLOOKUP(S$5,NFI,5,0),1,0)*Table_NFI[[#This Row],[Winter Clothes Children]],Table_NFI[Winter Clothes Children])</f>
        <v>0</v>
      </c>
      <c r="AK855" s="294">
        <f>IF(NFI_Expiration=1,IF($A855&lt;VLOOKUP(T$5,NFI,5,0),1,0)*Table_NFI[[#This Row],[Winter Items Other]],Table_NFI[Winter Items Other])</f>
        <v>0</v>
      </c>
      <c r="AL855" s="294">
        <f>IF(NFI_Expiration=1,IF($A855&lt;VLOOKUP(M$5,NFI,5,0),1,0)*Table_NFI[[#This Row],[Winter Blanket]],Table_NFI[[#This Row],[Winter Blanket]])</f>
        <v>0</v>
      </c>
      <c r="AM855" s="294">
        <f>IF(Table_NFI[[#This Row],[Winter Clothes Adult]]+Table_NFI[[#This Row],[Winter Clothes Children]]+Table_NFI[[#This Row],[Winter Items Other]]+Table_NFI[[#This Row],[Winter Blanket]]&gt;0,1,0)</f>
        <v>0</v>
      </c>
      <c r="AN855" s="331">
        <f>IF(NFI_Expiration=1,IF($A855&lt;VLOOKUP(V$5,NFI,5,0),1,0)*Table_NFI[[#This Row],[Jerry Can]],Table_NFI[Jerry Can])</f>
        <v>0</v>
      </c>
      <c r="AO855" s="331">
        <f>IF(NFI_Expiration=1,IF($A855&lt;VLOOKUP(V$5,NFI,5,0),1,0)*Table_NFI[[#This Row],[Shelter Tool kit]],Table_NFI[Shelter Tool kit])</f>
        <v>0</v>
      </c>
      <c r="AP855" s="331">
        <f>IF(NFI_Expiration=1,IF($A855&lt;VLOOKUP(V$5,NFI,5,0),1,0)*Table_NFI[[#This Row],[Tent]],Table_NFI[Tent])</f>
        <v>0</v>
      </c>
      <c r="AQ855" s="467" t="str">
        <f>IFERROR(VLOOKUP(Table_NFI[[#This Row],[Camp Name]],CL,2,0),"")</f>
        <v>MMR001CMP067</v>
      </c>
      <c r="AR855" s="835">
        <f ca="1">IF(Table_NFI[[#This Row],[Pcode]]="","",IF(OFFSET(CampList[Opening Date],MATCH(Table_NFI[[#This Row],[Pcode]],CampList[CP_Pcode],0)-1,0,1,1)&gt;=NFI_Monitor_Date,1,0))</f>
        <v>0</v>
      </c>
      <c r="AS855" s="467" t="str">
        <f>IFERROR(VLOOKUP(Table_NFI[[#This Row],[Camp Name]],CL,3,0),"")</f>
        <v>Open</v>
      </c>
      <c r="AT855" s="294" t="str">
        <f ca="1">IF(Table_NFI[[#This Row],[Pcode]]="","",OFFSET(CampList[Priority],MATCH(Table_NFI[[#This Row],[Pcode]],CampList[CP_Pcode],0)-1,0,1,1))</f>
        <v>P4</v>
      </c>
      <c r="AU855" s="293">
        <f>IFERROR(Table_NFI[[#This Row],[Kitchen Set]]/VLOOKUP(Table_NFI[[#This Row],[Camp Name]],CL,4,0),"")</f>
        <v>0</v>
      </c>
      <c r="AV855" s="461" t="s">
        <v>1092</v>
      </c>
      <c r="AW855" s="463"/>
    </row>
    <row r="856" spans="1:49" ht="15" customHeight="1" x14ac:dyDescent="0.25">
      <c r="A856" s="297">
        <f t="shared" si="13"/>
        <v>49.06666666666667</v>
      </c>
      <c r="B856" s="460">
        <v>41264</v>
      </c>
      <c r="C856" s="461" t="s">
        <v>905</v>
      </c>
      <c r="D856" s="461" t="s">
        <v>905</v>
      </c>
      <c r="E856" s="461" t="s">
        <v>380</v>
      </c>
      <c r="F856" s="461" t="s">
        <v>5</v>
      </c>
      <c r="G856" s="290" t="s">
        <v>26</v>
      </c>
      <c r="H856" s="294">
        <v>178</v>
      </c>
      <c r="I856" s="291"/>
      <c r="J856" s="291"/>
      <c r="K856" s="291"/>
      <c r="L856" s="292"/>
      <c r="M856" s="292"/>
      <c r="N856" s="292"/>
      <c r="O856" s="292"/>
      <c r="P856" s="294"/>
      <c r="Q856" s="294"/>
      <c r="R856" s="294"/>
      <c r="S856" s="294"/>
      <c r="T856" s="294"/>
      <c r="U856" s="294"/>
      <c r="V856" s="431"/>
      <c r="W856" s="331"/>
      <c r="X856" s="331"/>
      <c r="Y856" s="294">
        <f>IF(NFI_Expiration=1,IF($A856&lt;VLOOKUP(H$5,NFI,5,0),1,0)*Table_NFI[[#This Row],[Hygiene Kit]],Table_NFI[Hygiene Kit])</f>
        <v>0</v>
      </c>
      <c r="Z856" s="294">
        <f>IF(NFI_Expiration=1,IF($A856&lt;VLOOKUP(I$5,NFI,5,0),1,0)*Table_NFI[[#This Row],[NFI Core Kit]],Table_NFI[NFI Core Kit])</f>
        <v>0</v>
      </c>
      <c r="AA856" s="294">
        <f>IF(NFI_Expiration=1,IF($A856&lt;VLOOKUP(J$5,NFI,5,0),1,0)*Table_NFI[[#This Row],[Sanitary Kit]],Table_NFI[Sanitary Kit])</f>
        <v>0</v>
      </c>
      <c r="AB856" s="294">
        <f>IF(NFI_Expiration=1,IF($A856&lt;VLOOKUP(K$5,NFI,5,0),1,0)*Table_NFI[[#This Row],[Mosquito net]],Table_NFI[Mosquito net])</f>
        <v>0</v>
      </c>
      <c r="AC856" s="294">
        <f>IF(NFI_Expiration=1,IF($A856&lt;VLOOKUP(L$5,NFI,5,0),1,0)*Table_NFI[[#This Row],[Tarpaulin]],Table_NFI[[#This Row],[Tarpaulin]])</f>
        <v>0</v>
      </c>
      <c r="AD856" s="294">
        <f>IF(NFI_Expiration=1,IF($A856&lt;VLOOKUP(M$5,NFI,5,0),1,0)*Table_NFI[[#This Row],[Blanket]],Table_NFI[[#This Row],[Blanket]])</f>
        <v>0</v>
      </c>
      <c r="AE856" s="294">
        <f>IF(NFI_Expiration=1,IF($A856&lt;VLOOKUP(N$5,NFI,5,0),1,0)*Table_NFI[[#This Row],[Kitchen Set]],Table_NFI[Kitchen Set])</f>
        <v>0</v>
      </c>
      <c r="AF856" s="294">
        <f>IF(NFI_Expiration=1,IF($A856&lt;VLOOKUP(O$5,NFI,5,0),1,0)*Table_NFI[[#This Row],[Clothes Kit]],Table_NFI[Clothes Kit])</f>
        <v>0</v>
      </c>
      <c r="AG856" s="294">
        <f>IF(NFI_Expiration=1,IF($A856&lt;VLOOKUP(P$5,NFI,5,0),1,0)*Table_NFI[[#This Row],[Plastic Bucket]],Table_NFI[Plastic Bucket])</f>
        <v>0</v>
      </c>
      <c r="AH856" s="294">
        <f>IF(NFI_Expiration=1,IF($A856&lt;VLOOKUP(Q$5,NFI,5,0),1,0)*Table_NFI[[#This Row],[Plastic Mat]],Table_NFI[Plastic Mat])*IF(Table_NFI[[#This Row],[Distribution Date]]&gt;"2014-04-01",1,2.5)</f>
        <v>0</v>
      </c>
      <c r="AI856" s="294">
        <f>IF(NFI_Expiration=1,IF($A856&lt;VLOOKUP(R$5,NFI,5,0),1,0)*Table_NFI[[#This Row],[Winter Clothes Adult]],Table_NFI[Winter Clothes Adult])</f>
        <v>0</v>
      </c>
      <c r="AJ856" s="294">
        <f>IF(NFI_Expiration=1,IF($A856&lt;VLOOKUP(S$5,NFI,5,0),1,0)*Table_NFI[[#This Row],[Winter Clothes Children]],Table_NFI[Winter Clothes Children])</f>
        <v>0</v>
      </c>
      <c r="AK856" s="294">
        <f>IF(NFI_Expiration=1,IF($A856&lt;VLOOKUP(T$5,NFI,5,0),1,0)*Table_NFI[[#This Row],[Winter Items Other]],Table_NFI[Winter Items Other])</f>
        <v>0</v>
      </c>
      <c r="AL856" s="294">
        <f>IF(NFI_Expiration=1,IF($A856&lt;VLOOKUP(M$5,NFI,5,0),1,0)*Table_NFI[[#This Row],[Winter Blanket]],Table_NFI[[#This Row],[Winter Blanket]])</f>
        <v>0</v>
      </c>
      <c r="AM856" s="294">
        <f>IF(Table_NFI[[#This Row],[Winter Clothes Adult]]+Table_NFI[[#This Row],[Winter Clothes Children]]+Table_NFI[[#This Row],[Winter Items Other]]+Table_NFI[[#This Row],[Winter Blanket]]&gt;0,1,0)</f>
        <v>0</v>
      </c>
      <c r="AN856" s="331">
        <f>IF(NFI_Expiration=1,IF($A856&lt;VLOOKUP(V$5,NFI,5,0),1,0)*Table_NFI[[#This Row],[Jerry Can]],Table_NFI[Jerry Can])</f>
        <v>0</v>
      </c>
      <c r="AO856" s="331">
        <f>IF(NFI_Expiration=1,IF($A856&lt;VLOOKUP(V$5,NFI,5,0),1,0)*Table_NFI[[#This Row],[Shelter Tool kit]],Table_NFI[Shelter Tool kit])</f>
        <v>0</v>
      </c>
      <c r="AP856" s="331">
        <f>IF(NFI_Expiration=1,IF($A856&lt;VLOOKUP(V$5,NFI,5,0),1,0)*Table_NFI[[#This Row],[Tent]],Table_NFI[Tent])</f>
        <v>0</v>
      </c>
      <c r="AQ856" s="467" t="str">
        <f>IFERROR(VLOOKUP(Table_NFI[[#This Row],[Camp Name]],CL,2,0),"")</f>
        <v>MMR001CMP053</v>
      </c>
      <c r="AR856" s="835">
        <f ca="1">IF(Table_NFI[[#This Row],[Pcode]]="","",IF(OFFSET(CampList[Opening Date],MATCH(Table_NFI[[#This Row],[Pcode]],CampList[CP_Pcode],0)-1,0,1,1)&gt;=NFI_Monitor_Date,1,0))</f>
        <v>0</v>
      </c>
      <c r="AS856" s="467" t="str">
        <f>IFERROR(VLOOKUP(Table_NFI[[#This Row],[Camp Name]],CL,3,0),"")</f>
        <v>Open</v>
      </c>
      <c r="AT856" s="294" t="str">
        <f ca="1">IF(Table_NFI[[#This Row],[Pcode]]="","",OFFSET(CampList[Priority],MATCH(Table_NFI[[#This Row],[Pcode]],CampList[CP_Pcode],0)-1,0,1,1))</f>
        <v>P4</v>
      </c>
      <c r="AU856" s="293">
        <f>IFERROR(Table_NFI[[#This Row],[Kitchen Set]]/VLOOKUP(Table_NFI[[#This Row],[Camp Name]],CL,4,0),"")</f>
        <v>0</v>
      </c>
      <c r="AV856" s="461"/>
      <c r="AW856" s="463"/>
    </row>
    <row r="857" spans="1:49" ht="15" customHeight="1" x14ac:dyDescent="0.25">
      <c r="A857" s="297">
        <f t="shared" si="13"/>
        <v>49.06666666666667</v>
      </c>
      <c r="B857" s="460">
        <v>41264</v>
      </c>
      <c r="C857" s="461" t="s">
        <v>452</v>
      </c>
      <c r="D857" s="462" t="s">
        <v>452</v>
      </c>
      <c r="E857" s="461" t="s">
        <v>380</v>
      </c>
      <c r="F857" s="290" t="s">
        <v>5</v>
      </c>
      <c r="G857" s="290" t="s">
        <v>26</v>
      </c>
      <c r="H857" s="291"/>
      <c r="I857" s="291"/>
      <c r="J857" s="291"/>
      <c r="K857" s="291">
        <v>0</v>
      </c>
      <c r="L857" s="292">
        <v>3</v>
      </c>
      <c r="M857" s="292">
        <v>0</v>
      </c>
      <c r="N857" s="292">
        <v>3</v>
      </c>
      <c r="O857" s="292">
        <v>3</v>
      </c>
      <c r="P857" s="294">
        <v>3</v>
      </c>
      <c r="Q857" s="294">
        <v>3</v>
      </c>
      <c r="R857" s="294"/>
      <c r="S857" s="294"/>
      <c r="T857" s="294"/>
      <c r="U857" s="294"/>
      <c r="V857" s="431"/>
      <c r="W857" s="331"/>
      <c r="X857" s="331"/>
      <c r="Y857" s="294">
        <f>IF(NFI_Expiration=1,IF($A857&lt;VLOOKUP(H$5,NFI,5,0),1,0)*Table_NFI[[#This Row],[Hygiene Kit]],Table_NFI[Hygiene Kit])</f>
        <v>0</v>
      </c>
      <c r="Z857" s="294">
        <f>IF(NFI_Expiration=1,IF($A857&lt;VLOOKUP(I$5,NFI,5,0),1,0)*Table_NFI[[#This Row],[NFI Core Kit]],Table_NFI[NFI Core Kit])</f>
        <v>0</v>
      </c>
      <c r="AA857" s="294">
        <f>IF(NFI_Expiration=1,IF($A857&lt;VLOOKUP(J$5,NFI,5,0),1,0)*Table_NFI[[#This Row],[Sanitary Kit]],Table_NFI[Sanitary Kit])</f>
        <v>0</v>
      </c>
      <c r="AB857" s="294">
        <f>IF(NFI_Expiration=1,IF($A857&lt;VLOOKUP(K$5,NFI,5,0),1,0)*Table_NFI[[#This Row],[Mosquito net]],Table_NFI[Mosquito net])</f>
        <v>0</v>
      </c>
      <c r="AC857" s="294">
        <f>IF(NFI_Expiration=1,IF($A857&lt;VLOOKUP(L$5,NFI,5,0),1,0)*Table_NFI[[#This Row],[Tarpaulin]],Table_NFI[[#This Row],[Tarpaulin]])</f>
        <v>0</v>
      </c>
      <c r="AD857" s="294">
        <f>IF(NFI_Expiration=1,IF($A857&lt;VLOOKUP(M$5,NFI,5,0),1,0)*Table_NFI[[#This Row],[Blanket]],Table_NFI[[#This Row],[Blanket]])</f>
        <v>0</v>
      </c>
      <c r="AE857" s="294">
        <f>IF(NFI_Expiration=1,IF($A857&lt;VLOOKUP(N$5,NFI,5,0),1,0)*Table_NFI[[#This Row],[Kitchen Set]],Table_NFI[Kitchen Set])</f>
        <v>0</v>
      </c>
      <c r="AF857" s="294">
        <f>IF(NFI_Expiration=1,IF($A857&lt;VLOOKUP(O$5,NFI,5,0),1,0)*Table_NFI[[#This Row],[Clothes Kit]],Table_NFI[Clothes Kit])</f>
        <v>0</v>
      </c>
      <c r="AG857" s="294">
        <f>IF(NFI_Expiration=1,IF($A857&lt;VLOOKUP(P$5,NFI,5,0),1,0)*Table_NFI[[#This Row],[Plastic Bucket]],Table_NFI[Plastic Bucket])</f>
        <v>0</v>
      </c>
      <c r="AH857" s="294">
        <f>IF(NFI_Expiration=1,IF($A857&lt;VLOOKUP(Q$5,NFI,5,0),1,0)*Table_NFI[[#This Row],[Plastic Mat]],Table_NFI[Plastic Mat])*IF(Table_NFI[[#This Row],[Distribution Date]]&gt;"2014-04-01",1,2.5)</f>
        <v>0</v>
      </c>
      <c r="AI857" s="294">
        <f>IF(NFI_Expiration=1,IF($A857&lt;VLOOKUP(R$5,NFI,5,0),1,0)*Table_NFI[[#This Row],[Winter Clothes Adult]],Table_NFI[Winter Clothes Adult])</f>
        <v>0</v>
      </c>
      <c r="AJ857" s="294">
        <f>IF(NFI_Expiration=1,IF($A857&lt;VLOOKUP(S$5,NFI,5,0),1,0)*Table_NFI[[#This Row],[Winter Clothes Children]],Table_NFI[Winter Clothes Children])</f>
        <v>0</v>
      </c>
      <c r="AK857" s="294">
        <f>IF(NFI_Expiration=1,IF($A857&lt;VLOOKUP(T$5,NFI,5,0),1,0)*Table_NFI[[#This Row],[Winter Items Other]],Table_NFI[Winter Items Other])</f>
        <v>0</v>
      </c>
      <c r="AL857" s="294">
        <f>IF(NFI_Expiration=1,IF($A857&lt;VLOOKUP(M$5,NFI,5,0),1,0)*Table_NFI[[#This Row],[Winter Blanket]],Table_NFI[[#This Row],[Winter Blanket]])</f>
        <v>0</v>
      </c>
      <c r="AM857" s="294">
        <f>IF(Table_NFI[[#This Row],[Winter Clothes Adult]]+Table_NFI[[#This Row],[Winter Clothes Children]]+Table_NFI[[#This Row],[Winter Items Other]]+Table_NFI[[#This Row],[Winter Blanket]]&gt;0,1,0)</f>
        <v>0</v>
      </c>
      <c r="AN857" s="331">
        <f>IF(NFI_Expiration=1,IF($A857&lt;VLOOKUP(V$5,NFI,5,0),1,0)*Table_NFI[[#This Row],[Jerry Can]],Table_NFI[Jerry Can])</f>
        <v>0</v>
      </c>
      <c r="AO857" s="331">
        <f>IF(NFI_Expiration=1,IF($A857&lt;VLOOKUP(V$5,NFI,5,0),1,0)*Table_NFI[[#This Row],[Shelter Tool kit]],Table_NFI[Shelter Tool kit])</f>
        <v>0</v>
      </c>
      <c r="AP857" s="331">
        <f>IF(NFI_Expiration=1,IF($A857&lt;VLOOKUP(V$5,NFI,5,0),1,0)*Table_NFI[[#This Row],[Tent]],Table_NFI[Tent])</f>
        <v>0</v>
      </c>
      <c r="AQ857" s="467" t="str">
        <f>IFERROR(VLOOKUP(Table_NFI[[#This Row],[Camp Name]],CL,2,0),"")</f>
        <v>MMR001CMP053</v>
      </c>
      <c r="AR857" s="835">
        <f ca="1">IF(Table_NFI[[#This Row],[Pcode]]="","",IF(OFFSET(CampList[Opening Date],MATCH(Table_NFI[[#This Row],[Pcode]],CampList[CP_Pcode],0)-1,0,1,1)&gt;=NFI_Monitor_Date,1,0))</f>
        <v>0</v>
      </c>
      <c r="AS857" s="467" t="str">
        <f>IFERROR(VLOOKUP(Table_NFI[[#This Row],[Camp Name]],CL,3,0),"")</f>
        <v>Open</v>
      </c>
      <c r="AT857" s="294" t="str">
        <f ca="1">IF(Table_NFI[[#This Row],[Pcode]]="","",OFFSET(CampList[Priority],MATCH(Table_NFI[[#This Row],[Pcode]],CampList[CP_Pcode],0)-1,0,1,1))</f>
        <v>P4</v>
      </c>
      <c r="AU857" s="293">
        <f>IFERROR(Table_NFI[[#This Row],[Kitchen Set]]/VLOOKUP(Table_NFI[[#This Row],[Camp Name]],CL,4,0),"")</f>
        <v>7.2953650114294054E-5</v>
      </c>
      <c r="AV857" s="461" t="s">
        <v>1092</v>
      </c>
      <c r="AW857" s="463"/>
    </row>
    <row r="858" spans="1:49" ht="15" customHeight="1" x14ac:dyDescent="0.25">
      <c r="A858" s="297">
        <f t="shared" si="13"/>
        <v>49.1</v>
      </c>
      <c r="B858" s="460">
        <v>41263</v>
      </c>
      <c r="C858" s="461" t="s">
        <v>452</v>
      </c>
      <c r="D858" s="462" t="s">
        <v>460</v>
      </c>
      <c r="E858" s="461" t="s">
        <v>380</v>
      </c>
      <c r="F858" s="290" t="s">
        <v>527</v>
      </c>
      <c r="G858" s="290" t="s">
        <v>88</v>
      </c>
      <c r="H858" s="291"/>
      <c r="I858" s="296"/>
      <c r="J858" s="289"/>
      <c r="K858" s="289">
        <v>12</v>
      </c>
      <c r="L858" s="289">
        <v>0</v>
      </c>
      <c r="M858" s="289">
        <v>12</v>
      </c>
      <c r="N858" s="289">
        <v>0</v>
      </c>
      <c r="O858" s="289">
        <v>0</v>
      </c>
      <c r="P858" s="294"/>
      <c r="Q858" s="294"/>
      <c r="R858" s="294"/>
      <c r="S858" s="294"/>
      <c r="T858" s="294"/>
      <c r="U858" s="294"/>
      <c r="V858" s="431"/>
      <c r="W858" s="331"/>
      <c r="X858" s="331"/>
      <c r="Y858" s="294">
        <f>IF(NFI_Expiration=1,IF($A858&lt;VLOOKUP(H$5,NFI,5,0),1,0)*Table_NFI[[#This Row],[Hygiene Kit]],Table_NFI[Hygiene Kit])</f>
        <v>0</v>
      </c>
      <c r="Z858" s="294">
        <f>IF(NFI_Expiration=1,IF($A858&lt;VLOOKUP(I$5,NFI,5,0),1,0)*Table_NFI[[#This Row],[NFI Core Kit]],Table_NFI[NFI Core Kit])</f>
        <v>0</v>
      </c>
      <c r="AA858" s="294">
        <f>IF(NFI_Expiration=1,IF($A858&lt;VLOOKUP(J$5,NFI,5,0),1,0)*Table_NFI[[#This Row],[Sanitary Kit]],Table_NFI[Sanitary Kit])</f>
        <v>0</v>
      </c>
      <c r="AB858" s="294">
        <f>IF(NFI_Expiration=1,IF($A858&lt;VLOOKUP(K$5,NFI,5,0),1,0)*Table_NFI[[#This Row],[Mosquito net]],Table_NFI[Mosquito net])</f>
        <v>0</v>
      </c>
      <c r="AC858" s="294">
        <f>IF(NFI_Expiration=1,IF($A858&lt;VLOOKUP(L$5,NFI,5,0),1,0)*Table_NFI[[#This Row],[Tarpaulin]],Table_NFI[[#This Row],[Tarpaulin]])</f>
        <v>0</v>
      </c>
      <c r="AD858" s="294">
        <f>IF(NFI_Expiration=1,IF($A858&lt;VLOOKUP(M$5,NFI,5,0),1,0)*Table_NFI[[#This Row],[Blanket]],Table_NFI[[#This Row],[Blanket]])</f>
        <v>0</v>
      </c>
      <c r="AE858" s="294">
        <f>IF(NFI_Expiration=1,IF($A858&lt;VLOOKUP(N$5,NFI,5,0),1,0)*Table_NFI[[#This Row],[Kitchen Set]],Table_NFI[Kitchen Set])</f>
        <v>0</v>
      </c>
      <c r="AF858" s="294">
        <f>IF(NFI_Expiration=1,IF($A858&lt;VLOOKUP(O$5,NFI,5,0),1,0)*Table_NFI[[#This Row],[Clothes Kit]],Table_NFI[Clothes Kit])</f>
        <v>0</v>
      </c>
      <c r="AG858" s="294">
        <f>IF(NFI_Expiration=1,IF($A858&lt;VLOOKUP(P$5,NFI,5,0),1,0)*Table_NFI[[#This Row],[Plastic Bucket]],Table_NFI[Plastic Bucket])</f>
        <v>0</v>
      </c>
      <c r="AH858" s="294">
        <f>IF(NFI_Expiration=1,IF($A858&lt;VLOOKUP(Q$5,NFI,5,0),1,0)*Table_NFI[[#This Row],[Plastic Mat]],Table_NFI[Plastic Mat])*IF(Table_NFI[[#This Row],[Distribution Date]]&gt;"2014-04-01",1,2.5)</f>
        <v>0</v>
      </c>
      <c r="AI858" s="294">
        <f>IF(NFI_Expiration=1,IF($A858&lt;VLOOKUP(R$5,NFI,5,0),1,0)*Table_NFI[[#This Row],[Winter Clothes Adult]],Table_NFI[Winter Clothes Adult])</f>
        <v>0</v>
      </c>
      <c r="AJ858" s="294">
        <f>IF(NFI_Expiration=1,IF($A858&lt;VLOOKUP(S$5,NFI,5,0),1,0)*Table_NFI[[#This Row],[Winter Clothes Children]],Table_NFI[Winter Clothes Children])</f>
        <v>0</v>
      </c>
      <c r="AK858" s="294">
        <f>IF(NFI_Expiration=1,IF($A858&lt;VLOOKUP(T$5,NFI,5,0),1,0)*Table_NFI[[#This Row],[Winter Items Other]],Table_NFI[Winter Items Other])</f>
        <v>0</v>
      </c>
      <c r="AL858" s="294">
        <f>IF(NFI_Expiration=1,IF($A858&lt;VLOOKUP(M$5,NFI,5,0),1,0)*Table_NFI[[#This Row],[Winter Blanket]],Table_NFI[[#This Row],[Winter Blanket]])</f>
        <v>0</v>
      </c>
      <c r="AM858" s="294">
        <f>IF(Table_NFI[[#This Row],[Winter Clothes Adult]]+Table_NFI[[#This Row],[Winter Clothes Children]]+Table_NFI[[#This Row],[Winter Items Other]]+Table_NFI[[#This Row],[Winter Blanket]]&gt;0,1,0)</f>
        <v>0</v>
      </c>
      <c r="AN858" s="331">
        <f>IF(NFI_Expiration=1,IF($A858&lt;VLOOKUP(V$5,NFI,5,0),1,0)*Table_NFI[[#This Row],[Jerry Can]],Table_NFI[Jerry Can])</f>
        <v>0</v>
      </c>
      <c r="AO858" s="331">
        <f>IF(NFI_Expiration=1,IF($A858&lt;VLOOKUP(V$5,NFI,5,0),1,0)*Table_NFI[[#This Row],[Shelter Tool kit]],Table_NFI[Shelter Tool kit])</f>
        <v>0</v>
      </c>
      <c r="AP858" s="331">
        <f>IF(NFI_Expiration=1,IF($A858&lt;VLOOKUP(V$5,NFI,5,0),1,0)*Table_NFI[[#This Row],[Tent]],Table_NFI[Tent])</f>
        <v>0</v>
      </c>
      <c r="AQ858" s="467" t="str">
        <f>IFERROR(VLOOKUP(Table_NFI[[#This Row],[Camp Name]],CL,2,0),"")</f>
        <v>MMR001CMP148</v>
      </c>
      <c r="AR858" s="835">
        <f ca="1">IF(Table_NFI[[#This Row],[Pcode]]="","",IF(OFFSET(CampList[Opening Date],MATCH(Table_NFI[[#This Row],[Pcode]],CampList[CP_Pcode],0)-1,0,1,1)&gt;=NFI_Monitor_Date,1,0))</f>
        <v>0</v>
      </c>
      <c r="AS858" s="467" t="str">
        <f>IFERROR(VLOOKUP(Table_NFI[[#This Row],[Camp Name]],CL,3,0),"")</f>
        <v>Open</v>
      </c>
      <c r="AT858" s="294" t="str">
        <f ca="1">IF(Table_NFI[[#This Row],[Pcode]]="","",OFFSET(CampList[Priority],MATCH(Table_NFI[[#This Row],[Pcode]],CampList[CP_Pcode],0)-1,0,1,1))</f>
        <v>P4</v>
      </c>
      <c r="AU858" s="293">
        <f>IFERROR(Table_NFI[[#This Row],[Kitchen Set]]/VLOOKUP(Table_NFI[[#This Row],[Camp Name]],CL,4,0),"")</f>
        <v>0</v>
      </c>
      <c r="AV858" s="461" t="s">
        <v>1092</v>
      </c>
      <c r="AW858" s="463"/>
    </row>
    <row r="859" spans="1:49" ht="15" customHeight="1" x14ac:dyDescent="0.25">
      <c r="A859" s="297">
        <f t="shared" si="13"/>
        <v>49.1</v>
      </c>
      <c r="B859" s="460">
        <v>41263</v>
      </c>
      <c r="C859" s="461" t="s">
        <v>452</v>
      </c>
      <c r="D859" s="461" t="s">
        <v>452</v>
      </c>
      <c r="E859" s="461" t="s">
        <v>380</v>
      </c>
      <c r="F859" s="461" t="s">
        <v>237</v>
      </c>
      <c r="G859" s="290" t="s">
        <v>253</v>
      </c>
      <c r="H859" s="291"/>
      <c r="I859" s="291"/>
      <c r="J859" s="291"/>
      <c r="K859" s="291">
        <v>19</v>
      </c>
      <c r="L859" s="292">
        <v>10</v>
      </c>
      <c r="M859" s="292">
        <v>19</v>
      </c>
      <c r="N859" s="292">
        <v>10</v>
      </c>
      <c r="O859" s="292">
        <v>10</v>
      </c>
      <c r="P859" s="294">
        <v>10</v>
      </c>
      <c r="Q859" s="294">
        <v>10</v>
      </c>
      <c r="R859" s="294"/>
      <c r="S859" s="294"/>
      <c r="T859" s="294"/>
      <c r="U859" s="294"/>
      <c r="V859" s="431"/>
      <c r="W859" s="331"/>
      <c r="X859" s="331"/>
      <c r="Y859" s="294">
        <f>IF(NFI_Expiration=1,IF($A859&lt;VLOOKUP(H$5,NFI,5,0),1,0)*Table_NFI[[#This Row],[Hygiene Kit]],Table_NFI[Hygiene Kit])</f>
        <v>0</v>
      </c>
      <c r="Z859" s="294">
        <f>IF(NFI_Expiration=1,IF($A859&lt;VLOOKUP(I$5,NFI,5,0),1,0)*Table_NFI[[#This Row],[NFI Core Kit]],Table_NFI[NFI Core Kit])</f>
        <v>0</v>
      </c>
      <c r="AA859" s="294">
        <f>IF(NFI_Expiration=1,IF($A859&lt;VLOOKUP(J$5,NFI,5,0),1,0)*Table_NFI[[#This Row],[Sanitary Kit]],Table_NFI[Sanitary Kit])</f>
        <v>0</v>
      </c>
      <c r="AB859" s="294">
        <f>IF(NFI_Expiration=1,IF($A859&lt;VLOOKUP(K$5,NFI,5,0),1,0)*Table_NFI[[#This Row],[Mosquito net]],Table_NFI[Mosquito net])</f>
        <v>0</v>
      </c>
      <c r="AC859" s="294">
        <f>IF(NFI_Expiration=1,IF($A859&lt;VLOOKUP(L$5,NFI,5,0),1,0)*Table_NFI[[#This Row],[Tarpaulin]],Table_NFI[[#This Row],[Tarpaulin]])</f>
        <v>0</v>
      </c>
      <c r="AD859" s="294">
        <f>IF(NFI_Expiration=1,IF($A859&lt;VLOOKUP(M$5,NFI,5,0),1,0)*Table_NFI[[#This Row],[Blanket]],Table_NFI[[#This Row],[Blanket]])</f>
        <v>0</v>
      </c>
      <c r="AE859" s="294">
        <f>IF(NFI_Expiration=1,IF($A859&lt;VLOOKUP(N$5,NFI,5,0),1,0)*Table_NFI[[#This Row],[Kitchen Set]],Table_NFI[Kitchen Set])</f>
        <v>0</v>
      </c>
      <c r="AF859" s="294">
        <f>IF(NFI_Expiration=1,IF($A859&lt;VLOOKUP(O$5,NFI,5,0),1,0)*Table_NFI[[#This Row],[Clothes Kit]],Table_NFI[Clothes Kit])</f>
        <v>0</v>
      </c>
      <c r="AG859" s="294">
        <f>IF(NFI_Expiration=1,IF($A859&lt;VLOOKUP(P$5,NFI,5,0),1,0)*Table_NFI[[#This Row],[Plastic Bucket]],Table_NFI[Plastic Bucket])</f>
        <v>0</v>
      </c>
      <c r="AH859" s="294">
        <f>IF(NFI_Expiration=1,IF($A859&lt;VLOOKUP(Q$5,NFI,5,0),1,0)*Table_NFI[[#This Row],[Plastic Mat]],Table_NFI[Plastic Mat])*IF(Table_NFI[[#This Row],[Distribution Date]]&gt;"2014-04-01",1,2.5)</f>
        <v>0</v>
      </c>
      <c r="AI859" s="294">
        <f>IF(NFI_Expiration=1,IF($A859&lt;VLOOKUP(R$5,NFI,5,0),1,0)*Table_NFI[[#This Row],[Winter Clothes Adult]],Table_NFI[Winter Clothes Adult])</f>
        <v>0</v>
      </c>
      <c r="AJ859" s="294">
        <f>IF(NFI_Expiration=1,IF($A859&lt;VLOOKUP(S$5,NFI,5,0),1,0)*Table_NFI[[#This Row],[Winter Clothes Children]],Table_NFI[Winter Clothes Children])</f>
        <v>0</v>
      </c>
      <c r="AK859" s="294">
        <f>IF(NFI_Expiration=1,IF($A859&lt;VLOOKUP(T$5,NFI,5,0),1,0)*Table_NFI[[#This Row],[Winter Items Other]],Table_NFI[Winter Items Other])</f>
        <v>0</v>
      </c>
      <c r="AL859" s="294">
        <f>IF(NFI_Expiration=1,IF($A859&lt;VLOOKUP(M$5,NFI,5,0),1,0)*Table_NFI[[#This Row],[Winter Blanket]],Table_NFI[[#This Row],[Winter Blanket]])</f>
        <v>0</v>
      </c>
      <c r="AM859" s="294">
        <f>IF(Table_NFI[[#This Row],[Winter Clothes Adult]]+Table_NFI[[#This Row],[Winter Clothes Children]]+Table_NFI[[#This Row],[Winter Items Other]]+Table_NFI[[#This Row],[Winter Blanket]]&gt;0,1,0)</f>
        <v>0</v>
      </c>
      <c r="AN859" s="331">
        <f>IF(NFI_Expiration=1,IF($A859&lt;VLOOKUP(V$5,NFI,5,0),1,0)*Table_NFI[[#This Row],[Jerry Can]],Table_NFI[Jerry Can])</f>
        <v>0</v>
      </c>
      <c r="AO859" s="331">
        <f>IF(NFI_Expiration=1,IF($A859&lt;VLOOKUP(V$5,NFI,5,0),1,0)*Table_NFI[[#This Row],[Shelter Tool kit]],Table_NFI[Shelter Tool kit])</f>
        <v>0</v>
      </c>
      <c r="AP859" s="331">
        <f>IF(NFI_Expiration=1,IF($A859&lt;VLOOKUP(V$5,NFI,5,0),1,0)*Table_NFI[[#This Row],[Tent]],Table_NFI[Tent])</f>
        <v>0</v>
      </c>
      <c r="AQ859" s="467" t="str">
        <f>IFERROR(VLOOKUP(Table_NFI[[#This Row],[Camp Name]],CL,2,0),"")</f>
        <v>MMR001CMP018</v>
      </c>
      <c r="AR859" s="835">
        <f ca="1">IF(Table_NFI[[#This Row],[Pcode]]="","",IF(OFFSET(CampList[Opening Date],MATCH(Table_NFI[[#This Row],[Pcode]],CampList[CP_Pcode],0)-1,0,1,1)&gt;=NFI_Monitor_Date,1,0))</f>
        <v>0</v>
      </c>
      <c r="AS859" s="467" t="str">
        <f>IFERROR(VLOOKUP(Table_NFI[[#This Row],[Camp Name]],CL,3,0),"")</f>
        <v>Open</v>
      </c>
      <c r="AT859" s="294" t="str">
        <f ca="1">IF(Table_NFI[[#This Row],[Pcode]]="","",OFFSET(CampList[Priority],MATCH(Table_NFI[[#This Row],[Pcode]],CampList[CP_Pcode],0)-1,0,1,1))</f>
        <v>P4</v>
      </c>
      <c r="AU859" s="293">
        <f>IFERROR(Table_NFI[[#This Row],[Kitchen Set]]/VLOOKUP(Table_NFI[[#This Row],[Camp Name]],CL,4,0),"")</f>
        <v>2.4554941682013506E-4</v>
      </c>
      <c r="AV859" s="461" t="s">
        <v>1092</v>
      </c>
      <c r="AW859" s="463"/>
    </row>
    <row r="860" spans="1:49" ht="15" customHeight="1" x14ac:dyDescent="0.25">
      <c r="A860" s="297">
        <f t="shared" si="13"/>
        <v>49.133333333333333</v>
      </c>
      <c r="B860" s="460">
        <v>41262</v>
      </c>
      <c r="C860" s="461" t="s">
        <v>452</v>
      </c>
      <c r="D860" s="462" t="s">
        <v>452</v>
      </c>
      <c r="E860" s="461" t="s">
        <v>380</v>
      </c>
      <c r="F860" s="290" t="s">
        <v>237</v>
      </c>
      <c r="G860" s="290" t="s">
        <v>273</v>
      </c>
      <c r="H860" s="291"/>
      <c r="I860" s="296"/>
      <c r="J860" s="289"/>
      <c r="K860" s="289">
        <v>37</v>
      </c>
      <c r="L860" s="289">
        <v>10</v>
      </c>
      <c r="M860" s="289">
        <v>37</v>
      </c>
      <c r="N860" s="289">
        <v>10</v>
      </c>
      <c r="O860" s="289">
        <v>10</v>
      </c>
      <c r="P860" s="294">
        <v>10</v>
      </c>
      <c r="Q860" s="294">
        <v>10</v>
      </c>
      <c r="R860" s="294"/>
      <c r="S860" s="294"/>
      <c r="T860" s="294"/>
      <c r="U860" s="294"/>
      <c r="V860" s="431"/>
      <c r="W860" s="331"/>
      <c r="X860" s="331"/>
      <c r="Y860" s="294">
        <f>IF(NFI_Expiration=1,IF($A860&lt;VLOOKUP(H$5,NFI,5,0),1,0)*Table_NFI[[#This Row],[Hygiene Kit]],Table_NFI[Hygiene Kit])</f>
        <v>0</v>
      </c>
      <c r="Z860" s="294">
        <f>IF(NFI_Expiration=1,IF($A860&lt;VLOOKUP(I$5,NFI,5,0),1,0)*Table_NFI[[#This Row],[NFI Core Kit]],Table_NFI[NFI Core Kit])</f>
        <v>0</v>
      </c>
      <c r="AA860" s="294">
        <f>IF(NFI_Expiration=1,IF($A860&lt;VLOOKUP(J$5,NFI,5,0),1,0)*Table_NFI[[#This Row],[Sanitary Kit]],Table_NFI[Sanitary Kit])</f>
        <v>0</v>
      </c>
      <c r="AB860" s="294">
        <f>IF(NFI_Expiration=1,IF($A860&lt;VLOOKUP(K$5,NFI,5,0),1,0)*Table_NFI[[#This Row],[Mosquito net]],Table_NFI[Mosquito net])</f>
        <v>0</v>
      </c>
      <c r="AC860" s="294">
        <f>IF(NFI_Expiration=1,IF($A860&lt;VLOOKUP(L$5,NFI,5,0),1,0)*Table_NFI[[#This Row],[Tarpaulin]],Table_NFI[[#This Row],[Tarpaulin]])</f>
        <v>0</v>
      </c>
      <c r="AD860" s="294">
        <f>IF(NFI_Expiration=1,IF($A860&lt;VLOOKUP(M$5,NFI,5,0),1,0)*Table_NFI[[#This Row],[Blanket]],Table_NFI[[#This Row],[Blanket]])</f>
        <v>0</v>
      </c>
      <c r="AE860" s="294">
        <f>IF(NFI_Expiration=1,IF($A860&lt;VLOOKUP(N$5,NFI,5,0),1,0)*Table_NFI[[#This Row],[Kitchen Set]],Table_NFI[Kitchen Set])</f>
        <v>0</v>
      </c>
      <c r="AF860" s="294">
        <f>IF(NFI_Expiration=1,IF($A860&lt;VLOOKUP(O$5,NFI,5,0),1,0)*Table_NFI[[#This Row],[Clothes Kit]],Table_NFI[Clothes Kit])</f>
        <v>0</v>
      </c>
      <c r="AG860" s="294">
        <f>IF(NFI_Expiration=1,IF($A860&lt;VLOOKUP(P$5,NFI,5,0),1,0)*Table_NFI[[#This Row],[Plastic Bucket]],Table_NFI[Plastic Bucket])</f>
        <v>0</v>
      </c>
      <c r="AH860" s="294">
        <f>IF(NFI_Expiration=1,IF($A860&lt;VLOOKUP(Q$5,NFI,5,0),1,0)*Table_NFI[[#This Row],[Plastic Mat]],Table_NFI[Plastic Mat])*IF(Table_NFI[[#This Row],[Distribution Date]]&gt;"2014-04-01",1,2.5)</f>
        <v>0</v>
      </c>
      <c r="AI860" s="294">
        <f>IF(NFI_Expiration=1,IF($A860&lt;VLOOKUP(R$5,NFI,5,0),1,0)*Table_NFI[[#This Row],[Winter Clothes Adult]],Table_NFI[Winter Clothes Adult])</f>
        <v>0</v>
      </c>
      <c r="AJ860" s="294">
        <f>IF(NFI_Expiration=1,IF($A860&lt;VLOOKUP(S$5,NFI,5,0),1,0)*Table_NFI[[#This Row],[Winter Clothes Children]],Table_NFI[Winter Clothes Children])</f>
        <v>0</v>
      </c>
      <c r="AK860" s="294">
        <f>IF(NFI_Expiration=1,IF($A860&lt;VLOOKUP(T$5,NFI,5,0),1,0)*Table_NFI[[#This Row],[Winter Items Other]],Table_NFI[Winter Items Other])</f>
        <v>0</v>
      </c>
      <c r="AL860" s="294">
        <f>IF(NFI_Expiration=1,IF($A860&lt;VLOOKUP(M$5,NFI,5,0),1,0)*Table_NFI[[#This Row],[Winter Blanket]],Table_NFI[[#This Row],[Winter Blanket]])</f>
        <v>0</v>
      </c>
      <c r="AM860" s="294">
        <f>IF(Table_NFI[[#This Row],[Winter Clothes Adult]]+Table_NFI[[#This Row],[Winter Clothes Children]]+Table_NFI[[#This Row],[Winter Items Other]]+Table_NFI[[#This Row],[Winter Blanket]]&gt;0,1,0)</f>
        <v>0</v>
      </c>
      <c r="AN860" s="331">
        <f>IF(NFI_Expiration=1,IF($A860&lt;VLOOKUP(V$5,NFI,5,0),1,0)*Table_NFI[[#This Row],[Jerry Can]],Table_NFI[Jerry Can])</f>
        <v>0</v>
      </c>
      <c r="AO860" s="331">
        <f>IF(NFI_Expiration=1,IF($A860&lt;VLOOKUP(V$5,NFI,5,0),1,0)*Table_NFI[[#This Row],[Shelter Tool kit]],Table_NFI[Shelter Tool kit])</f>
        <v>0</v>
      </c>
      <c r="AP860" s="331">
        <f>IF(NFI_Expiration=1,IF($A860&lt;VLOOKUP(V$5,NFI,5,0),1,0)*Table_NFI[[#This Row],[Tent]],Table_NFI[Tent])</f>
        <v>0</v>
      </c>
      <c r="AQ860" s="467" t="str">
        <f>IFERROR(VLOOKUP(Table_NFI[[#This Row],[Camp Name]],CL,2,0),"")</f>
        <v>MMR001CMP162</v>
      </c>
      <c r="AR860" s="835">
        <f ca="1">IF(Table_NFI[[#This Row],[Pcode]]="","",IF(OFFSET(CampList[Opening Date],MATCH(Table_NFI[[#This Row],[Pcode]],CampList[CP_Pcode],0)-1,0,1,1)&gt;=NFI_Monitor_Date,1,0))</f>
        <v>0</v>
      </c>
      <c r="AS860" s="467" t="str">
        <f>IFERROR(VLOOKUP(Table_NFI[[#This Row],[Camp Name]],CL,3,0),"")</f>
        <v>Open</v>
      </c>
      <c r="AT860" s="294" t="str">
        <f ca="1">IF(Table_NFI[[#This Row],[Pcode]]="","",OFFSET(CampList[Priority],MATCH(Table_NFI[[#This Row],[Pcode]],CampList[CP_Pcode],0)-1,0,1,1))</f>
        <v>P4</v>
      </c>
      <c r="AU860" s="293">
        <f>IFERROR(Table_NFI[[#This Row],[Kitchen Set]]/VLOOKUP(Table_NFI[[#This Row],[Camp Name]],CL,4,0),"")</f>
        <v>2.4245950926195326E-4</v>
      </c>
      <c r="AV860" s="461" t="s">
        <v>1092</v>
      </c>
      <c r="AW860" s="463"/>
    </row>
    <row r="861" spans="1:49" ht="15" customHeight="1" x14ac:dyDescent="0.2">
      <c r="A861" s="297">
        <f t="shared" si="13"/>
        <v>49.166666666666664</v>
      </c>
      <c r="B861" s="460">
        <v>41261</v>
      </c>
      <c r="C861" s="461" t="s">
        <v>905</v>
      </c>
      <c r="D861" s="462" t="s">
        <v>905</v>
      </c>
      <c r="E861" s="461" t="s">
        <v>380</v>
      </c>
      <c r="F861" s="290" t="s">
        <v>185</v>
      </c>
      <c r="G861" s="290" t="s">
        <v>186</v>
      </c>
      <c r="H861" s="291"/>
      <c r="I861" s="291"/>
      <c r="J861" s="575">
        <v>54</v>
      </c>
      <c r="K861" s="291"/>
      <c r="L861" s="292"/>
      <c r="M861" s="292"/>
      <c r="N861" s="292"/>
      <c r="O861" s="292"/>
      <c r="P861" s="294"/>
      <c r="Q861" s="294"/>
      <c r="R861" s="294"/>
      <c r="S861" s="294"/>
      <c r="T861" s="294"/>
      <c r="U861" s="294"/>
      <c r="V861" s="431"/>
      <c r="W861" s="331"/>
      <c r="X861" s="331"/>
      <c r="Y861" s="294">
        <f>IF(NFI_Expiration=1,IF($A861&lt;VLOOKUP(H$5,NFI,5,0),1,0)*Table_NFI[[#This Row],[Hygiene Kit]],Table_NFI[Hygiene Kit])</f>
        <v>0</v>
      </c>
      <c r="Z861" s="294">
        <f>IF(NFI_Expiration=1,IF($A861&lt;VLOOKUP(I$5,NFI,5,0),1,0)*Table_NFI[[#This Row],[NFI Core Kit]],Table_NFI[NFI Core Kit])</f>
        <v>0</v>
      </c>
      <c r="AA861" s="294">
        <f>IF(NFI_Expiration=1,IF($A861&lt;VLOOKUP(J$5,NFI,5,0),1,0)*Table_NFI[[#This Row],[Sanitary Kit]],Table_NFI[Sanitary Kit])</f>
        <v>0</v>
      </c>
      <c r="AB861" s="294">
        <f>IF(NFI_Expiration=1,IF($A861&lt;VLOOKUP(K$5,NFI,5,0),1,0)*Table_NFI[[#This Row],[Mosquito net]],Table_NFI[Mosquito net])</f>
        <v>0</v>
      </c>
      <c r="AC861" s="294">
        <f>IF(NFI_Expiration=1,IF($A861&lt;VLOOKUP(L$5,NFI,5,0),1,0)*Table_NFI[[#This Row],[Tarpaulin]],Table_NFI[[#This Row],[Tarpaulin]])</f>
        <v>0</v>
      </c>
      <c r="AD861" s="294">
        <f>IF(NFI_Expiration=1,IF($A861&lt;VLOOKUP(M$5,NFI,5,0),1,0)*Table_NFI[[#This Row],[Blanket]],Table_NFI[[#This Row],[Blanket]])</f>
        <v>0</v>
      </c>
      <c r="AE861" s="294">
        <f>IF(NFI_Expiration=1,IF($A861&lt;VLOOKUP(N$5,NFI,5,0),1,0)*Table_NFI[[#This Row],[Kitchen Set]],Table_NFI[Kitchen Set])</f>
        <v>0</v>
      </c>
      <c r="AF861" s="294">
        <f>IF(NFI_Expiration=1,IF($A861&lt;VLOOKUP(O$5,NFI,5,0),1,0)*Table_NFI[[#This Row],[Clothes Kit]],Table_NFI[Clothes Kit])</f>
        <v>0</v>
      </c>
      <c r="AG861" s="294">
        <f>IF(NFI_Expiration=1,IF($A861&lt;VLOOKUP(P$5,NFI,5,0),1,0)*Table_NFI[[#This Row],[Plastic Bucket]],Table_NFI[Plastic Bucket])</f>
        <v>0</v>
      </c>
      <c r="AH861" s="294">
        <f>IF(NFI_Expiration=1,IF($A861&lt;VLOOKUP(Q$5,NFI,5,0),1,0)*Table_NFI[[#This Row],[Plastic Mat]],Table_NFI[Plastic Mat])*IF(Table_NFI[[#This Row],[Distribution Date]]&gt;"2014-04-01",1,2.5)</f>
        <v>0</v>
      </c>
      <c r="AI861" s="294">
        <f>IF(NFI_Expiration=1,IF($A861&lt;VLOOKUP(R$5,NFI,5,0),1,0)*Table_NFI[[#This Row],[Winter Clothes Adult]],Table_NFI[Winter Clothes Adult])</f>
        <v>0</v>
      </c>
      <c r="AJ861" s="294">
        <f>IF(NFI_Expiration=1,IF($A861&lt;VLOOKUP(S$5,NFI,5,0),1,0)*Table_NFI[[#This Row],[Winter Clothes Children]],Table_NFI[Winter Clothes Children])</f>
        <v>0</v>
      </c>
      <c r="AK861" s="294">
        <f>IF(NFI_Expiration=1,IF($A861&lt;VLOOKUP(T$5,NFI,5,0),1,0)*Table_NFI[[#This Row],[Winter Items Other]],Table_NFI[Winter Items Other])</f>
        <v>0</v>
      </c>
      <c r="AL861" s="294">
        <f>IF(NFI_Expiration=1,IF($A861&lt;VLOOKUP(M$5,NFI,5,0),1,0)*Table_NFI[[#This Row],[Winter Blanket]],Table_NFI[[#This Row],[Winter Blanket]])</f>
        <v>0</v>
      </c>
      <c r="AM861" s="294">
        <f>IF(Table_NFI[[#This Row],[Winter Clothes Adult]]+Table_NFI[[#This Row],[Winter Clothes Children]]+Table_NFI[[#This Row],[Winter Items Other]]+Table_NFI[[#This Row],[Winter Blanket]]&gt;0,1,0)</f>
        <v>0</v>
      </c>
      <c r="AN861" s="331">
        <f>IF(NFI_Expiration=1,IF($A861&lt;VLOOKUP(V$5,NFI,5,0),1,0)*Table_NFI[[#This Row],[Jerry Can]],Table_NFI[Jerry Can])</f>
        <v>0</v>
      </c>
      <c r="AO861" s="331">
        <f>IF(NFI_Expiration=1,IF($A861&lt;VLOOKUP(V$5,NFI,5,0),1,0)*Table_NFI[[#This Row],[Shelter Tool kit]],Table_NFI[Shelter Tool kit])</f>
        <v>0</v>
      </c>
      <c r="AP861" s="331">
        <f>IF(NFI_Expiration=1,IF($A861&lt;VLOOKUP(V$5,NFI,5,0),1,0)*Table_NFI[[#This Row],[Tent]],Table_NFI[Tent])</f>
        <v>0</v>
      </c>
      <c r="AQ861" s="467" t="str">
        <f>IFERROR(VLOOKUP(Table_NFI[[#This Row],[Camp Name]],CL,2,0),"")</f>
        <v>MMR001CMP071</v>
      </c>
      <c r="AR861" s="835">
        <f ca="1">IF(Table_NFI[[#This Row],[Pcode]]="","",IF(OFFSET(CampList[Opening Date],MATCH(Table_NFI[[#This Row],[Pcode]],CampList[CP_Pcode],0)-1,0,1,1)&gt;=NFI_Monitor_Date,1,0))</f>
        <v>0</v>
      </c>
      <c r="AS861" s="467" t="str">
        <f>IFERROR(VLOOKUP(Table_NFI[[#This Row],[Camp Name]],CL,3,0),"")</f>
        <v>Open</v>
      </c>
      <c r="AT861" s="294" t="str">
        <f ca="1">IF(Table_NFI[[#This Row],[Pcode]]="","",OFFSET(CampList[Priority],MATCH(Table_NFI[[#This Row],[Pcode]],CampList[CP_Pcode],0)-1,0,1,1))</f>
        <v>P3</v>
      </c>
      <c r="AU861" s="293">
        <f>IFERROR(Table_NFI[[#This Row],[Kitchen Set]]/VLOOKUP(Table_NFI[[#This Row],[Camp Name]],CL,4,0),"")</f>
        <v>0</v>
      </c>
      <c r="AV861" s="461"/>
      <c r="AW861" s="463"/>
    </row>
    <row r="862" spans="1:49" ht="15" customHeight="1" x14ac:dyDescent="0.25">
      <c r="A862" s="297">
        <f t="shared" si="13"/>
        <v>49.166666666666664</v>
      </c>
      <c r="B862" s="460">
        <v>41261</v>
      </c>
      <c r="C862" s="461" t="s">
        <v>452</v>
      </c>
      <c r="D862" s="462" t="s">
        <v>452</v>
      </c>
      <c r="E862" s="461" t="s">
        <v>380</v>
      </c>
      <c r="F862" s="290" t="s">
        <v>237</v>
      </c>
      <c r="G862" s="290" t="s">
        <v>281</v>
      </c>
      <c r="H862" s="291"/>
      <c r="I862" s="291"/>
      <c r="J862" s="291"/>
      <c r="K862" s="291">
        <v>30</v>
      </c>
      <c r="L862" s="292">
        <v>20</v>
      </c>
      <c r="M862" s="292">
        <v>30</v>
      </c>
      <c r="N862" s="292">
        <v>20</v>
      </c>
      <c r="O862" s="292">
        <v>20</v>
      </c>
      <c r="P862" s="294">
        <v>20</v>
      </c>
      <c r="Q862" s="294">
        <v>20</v>
      </c>
      <c r="R862" s="294"/>
      <c r="S862" s="294"/>
      <c r="T862" s="294"/>
      <c r="U862" s="294"/>
      <c r="V862" s="431"/>
      <c r="W862" s="294"/>
      <c r="X862" s="294"/>
      <c r="Y862" s="294">
        <f>IF(NFI_Expiration=1,IF($A862&lt;VLOOKUP(H$5,NFI,5,0),1,0)*Table_NFI[[#This Row],[Hygiene Kit]],Table_NFI[Hygiene Kit])</f>
        <v>0</v>
      </c>
      <c r="Z862" s="294">
        <f>IF(NFI_Expiration=1,IF($A862&lt;VLOOKUP(I$5,NFI,5,0),1,0)*Table_NFI[[#This Row],[NFI Core Kit]],Table_NFI[NFI Core Kit])</f>
        <v>0</v>
      </c>
      <c r="AA862" s="294">
        <f>IF(NFI_Expiration=1,IF($A862&lt;VLOOKUP(J$5,NFI,5,0),1,0)*Table_NFI[[#This Row],[Sanitary Kit]],Table_NFI[Sanitary Kit])</f>
        <v>0</v>
      </c>
      <c r="AB862" s="294">
        <f>IF(NFI_Expiration=1,IF($A862&lt;VLOOKUP(K$5,NFI,5,0),1,0)*Table_NFI[[#This Row],[Mosquito net]],Table_NFI[Mosquito net])</f>
        <v>0</v>
      </c>
      <c r="AC862" s="294">
        <f>IF(NFI_Expiration=1,IF($A862&lt;VLOOKUP(L$5,NFI,5,0),1,0)*Table_NFI[[#This Row],[Tarpaulin]],Table_NFI[[#This Row],[Tarpaulin]])</f>
        <v>0</v>
      </c>
      <c r="AD862" s="294">
        <f>IF(NFI_Expiration=1,IF($A862&lt;VLOOKUP(M$5,NFI,5,0),1,0)*Table_NFI[[#This Row],[Blanket]],Table_NFI[[#This Row],[Blanket]])</f>
        <v>0</v>
      </c>
      <c r="AE862" s="294">
        <f>IF(NFI_Expiration=1,IF($A862&lt;VLOOKUP(N$5,NFI,5,0),1,0)*Table_NFI[[#This Row],[Kitchen Set]],Table_NFI[Kitchen Set])</f>
        <v>0</v>
      </c>
      <c r="AF862" s="294">
        <f>IF(NFI_Expiration=1,IF($A862&lt;VLOOKUP(O$5,NFI,5,0),1,0)*Table_NFI[[#This Row],[Clothes Kit]],Table_NFI[Clothes Kit])</f>
        <v>0</v>
      </c>
      <c r="AG862" s="294">
        <f>IF(NFI_Expiration=1,IF($A862&lt;VLOOKUP(P$5,NFI,5,0),1,0)*Table_NFI[[#This Row],[Plastic Bucket]],Table_NFI[Plastic Bucket])</f>
        <v>0</v>
      </c>
      <c r="AH862" s="294">
        <f>IF(NFI_Expiration=1,IF($A862&lt;VLOOKUP(Q$5,NFI,5,0),1,0)*Table_NFI[[#This Row],[Plastic Mat]],Table_NFI[Plastic Mat])*IF(Table_NFI[[#This Row],[Distribution Date]]&gt;"2014-04-01",1,2.5)</f>
        <v>0</v>
      </c>
      <c r="AI862" s="294">
        <f>IF(NFI_Expiration=1,IF($A862&lt;VLOOKUP(R$5,NFI,5,0),1,0)*Table_NFI[[#This Row],[Winter Clothes Adult]],Table_NFI[Winter Clothes Adult])</f>
        <v>0</v>
      </c>
      <c r="AJ862" s="294">
        <f>IF(NFI_Expiration=1,IF($A862&lt;VLOOKUP(S$5,NFI,5,0),1,0)*Table_NFI[[#This Row],[Winter Clothes Children]],Table_NFI[Winter Clothes Children])</f>
        <v>0</v>
      </c>
      <c r="AK862" s="294">
        <f>IF(NFI_Expiration=1,IF($A862&lt;VLOOKUP(T$5,NFI,5,0),1,0)*Table_NFI[[#This Row],[Winter Items Other]],Table_NFI[Winter Items Other])</f>
        <v>0</v>
      </c>
      <c r="AL862" s="294">
        <f>IF(NFI_Expiration=1,IF($A862&lt;VLOOKUP(M$5,NFI,5,0),1,0)*Table_NFI[[#This Row],[Winter Blanket]],Table_NFI[[#This Row],[Winter Blanket]])</f>
        <v>0</v>
      </c>
      <c r="AM862" s="294">
        <f>IF(Table_NFI[[#This Row],[Winter Clothes Adult]]+Table_NFI[[#This Row],[Winter Clothes Children]]+Table_NFI[[#This Row],[Winter Items Other]]+Table_NFI[[#This Row],[Winter Blanket]]&gt;0,1,0)</f>
        <v>0</v>
      </c>
      <c r="AN862" s="331">
        <f>IF(NFI_Expiration=1,IF($A862&lt;VLOOKUP(V$5,NFI,5,0),1,0)*Table_NFI[[#This Row],[Jerry Can]],Table_NFI[Jerry Can])</f>
        <v>0</v>
      </c>
      <c r="AO862" s="331">
        <f>IF(NFI_Expiration=1,IF($A862&lt;VLOOKUP(V$5,NFI,5,0),1,0)*Table_NFI[[#This Row],[Shelter Tool kit]],Table_NFI[Shelter Tool kit])</f>
        <v>0</v>
      </c>
      <c r="AP862" s="331">
        <f>IF(NFI_Expiration=1,IF($A862&lt;VLOOKUP(V$5,NFI,5,0),1,0)*Table_NFI[[#This Row],[Tent]],Table_NFI[Tent])</f>
        <v>0</v>
      </c>
      <c r="AQ862" s="467" t="str">
        <f>IFERROR(VLOOKUP(Table_NFI[[#This Row],[Camp Name]],CL,2,0),"")</f>
        <v>MMR001CMP009</v>
      </c>
      <c r="AR862" s="835">
        <f ca="1">IF(Table_NFI[[#This Row],[Pcode]]="","",IF(OFFSET(CampList[Opening Date],MATCH(Table_NFI[[#This Row],[Pcode]],CampList[CP_Pcode],0)-1,0,1,1)&gt;=NFI_Monitor_Date,1,0))</f>
        <v>0</v>
      </c>
      <c r="AS862" s="467" t="str">
        <f>IFERROR(VLOOKUP(Table_NFI[[#This Row],[Camp Name]],CL,3,0),"")</f>
        <v>Open</v>
      </c>
      <c r="AT862" s="294" t="str">
        <f ca="1">IF(Table_NFI[[#This Row],[Pcode]]="","",OFFSET(CampList[Priority],MATCH(Table_NFI[[#This Row],[Pcode]],CampList[CP_Pcode],0)-1,0,1,1))</f>
        <v>P4</v>
      </c>
      <c r="AU862" s="293">
        <f>IFERROR(Table_NFI[[#This Row],[Kitchen Set]]/VLOOKUP(Table_NFI[[#This Row],[Camp Name]],CL,4,0),"")</f>
        <v>4.9109883364027013E-4</v>
      </c>
      <c r="AV862" s="461" t="s">
        <v>1092</v>
      </c>
      <c r="AW862" s="463"/>
    </row>
    <row r="863" spans="1:49" ht="14.45" customHeight="1" x14ac:dyDescent="0.25">
      <c r="A863" s="297">
        <f t="shared" si="13"/>
        <v>49.266666666666666</v>
      </c>
      <c r="B863" s="460">
        <v>41258</v>
      </c>
      <c r="C863" s="461" t="s">
        <v>905</v>
      </c>
      <c r="D863" s="462" t="s">
        <v>460</v>
      </c>
      <c r="E863" s="461" t="s">
        <v>380</v>
      </c>
      <c r="F863" s="290" t="s">
        <v>151</v>
      </c>
      <c r="G863" s="290" t="s">
        <v>188</v>
      </c>
      <c r="H863" s="291">
        <v>587</v>
      </c>
      <c r="I863" s="291"/>
      <c r="J863" s="291"/>
      <c r="K863" s="291"/>
      <c r="L863" s="292"/>
      <c r="M863" s="292"/>
      <c r="N863" s="292"/>
      <c r="O863" s="292"/>
      <c r="P863" s="294">
        <v>0</v>
      </c>
      <c r="Q863" s="294">
        <v>0</v>
      </c>
      <c r="R863" s="294"/>
      <c r="S863" s="294"/>
      <c r="T863" s="294"/>
      <c r="U863" s="294"/>
      <c r="V863" s="431"/>
      <c r="W863" s="294"/>
      <c r="X863" s="294"/>
      <c r="Y863" s="294">
        <f>IF(NFI_Expiration=1,IF($A863&lt;VLOOKUP(H$5,NFI,5,0),1,0)*Table_NFI[[#This Row],[Hygiene Kit]],Table_NFI[Hygiene Kit])</f>
        <v>0</v>
      </c>
      <c r="Z863" s="294">
        <f>IF(NFI_Expiration=1,IF($A863&lt;VLOOKUP(I$5,NFI,5,0),1,0)*Table_NFI[[#This Row],[NFI Core Kit]],Table_NFI[NFI Core Kit])</f>
        <v>0</v>
      </c>
      <c r="AA863" s="294">
        <f>IF(NFI_Expiration=1,IF($A863&lt;VLOOKUP(J$5,NFI,5,0),1,0)*Table_NFI[[#This Row],[Sanitary Kit]],Table_NFI[Sanitary Kit])</f>
        <v>0</v>
      </c>
      <c r="AB863" s="294">
        <f>IF(NFI_Expiration=1,IF($A863&lt;VLOOKUP(K$5,NFI,5,0),1,0)*Table_NFI[[#This Row],[Mosquito net]],Table_NFI[Mosquito net])</f>
        <v>0</v>
      </c>
      <c r="AC863" s="294">
        <f>IF(NFI_Expiration=1,IF($A863&lt;VLOOKUP(L$5,NFI,5,0),1,0)*Table_NFI[[#This Row],[Tarpaulin]],Table_NFI[[#This Row],[Tarpaulin]])</f>
        <v>0</v>
      </c>
      <c r="AD863" s="294">
        <f>IF(NFI_Expiration=1,IF($A863&lt;VLOOKUP(M$5,NFI,5,0),1,0)*Table_NFI[[#This Row],[Blanket]],Table_NFI[[#This Row],[Blanket]])</f>
        <v>0</v>
      </c>
      <c r="AE863" s="294">
        <f>IF(NFI_Expiration=1,IF($A863&lt;VLOOKUP(N$5,NFI,5,0),1,0)*Table_NFI[[#This Row],[Kitchen Set]],Table_NFI[Kitchen Set])</f>
        <v>0</v>
      </c>
      <c r="AF863" s="294">
        <f>IF(NFI_Expiration=1,IF($A863&lt;VLOOKUP(O$5,NFI,5,0),1,0)*Table_NFI[[#This Row],[Clothes Kit]],Table_NFI[Clothes Kit])</f>
        <v>0</v>
      </c>
      <c r="AG863" s="294">
        <f>IF(NFI_Expiration=1,IF($A863&lt;VLOOKUP(P$5,NFI,5,0),1,0)*Table_NFI[[#This Row],[Plastic Bucket]],Table_NFI[Plastic Bucket])</f>
        <v>0</v>
      </c>
      <c r="AH863" s="294">
        <f>IF(NFI_Expiration=1,IF($A863&lt;VLOOKUP(Q$5,NFI,5,0),1,0)*Table_NFI[[#This Row],[Plastic Mat]],Table_NFI[Plastic Mat])*IF(Table_NFI[[#This Row],[Distribution Date]]&gt;"2014-04-01",1,2.5)</f>
        <v>0</v>
      </c>
      <c r="AI863" s="294">
        <f>IF(NFI_Expiration=1,IF($A863&lt;VLOOKUP(R$5,NFI,5,0),1,0)*Table_NFI[[#This Row],[Winter Clothes Adult]],Table_NFI[Winter Clothes Adult])</f>
        <v>0</v>
      </c>
      <c r="AJ863" s="294">
        <f>IF(NFI_Expiration=1,IF($A863&lt;VLOOKUP(S$5,NFI,5,0),1,0)*Table_NFI[[#This Row],[Winter Clothes Children]],Table_NFI[Winter Clothes Children])</f>
        <v>0</v>
      </c>
      <c r="AK863" s="294">
        <f>IF(NFI_Expiration=1,IF($A863&lt;VLOOKUP(T$5,NFI,5,0),1,0)*Table_NFI[[#This Row],[Winter Items Other]],Table_NFI[Winter Items Other])</f>
        <v>0</v>
      </c>
      <c r="AL863" s="294">
        <f>IF(NFI_Expiration=1,IF($A863&lt;VLOOKUP(M$5,NFI,5,0),1,0)*Table_NFI[[#This Row],[Winter Blanket]],Table_NFI[[#This Row],[Winter Blanket]])</f>
        <v>0</v>
      </c>
      <c r="AM863" s="294">
        <f>IF(Table_NFI[[#This Row],[Winter Clothes Adult]]+Table_NFI[[#This Row],[Winter Clothes Children]]+Table_NFI[[#This Row],[Winter Items Other]]+Table_NFI[[#This Row],[Winter Blanket]]&gt;0,1,0)</f>
        <v>0</v>
      </c>
      <c r="AN863" s="331">
        <f>IF(NFI_Expiration=1,IF($A863&lt;VLOOKUP(V$5,NFI,5,0),1,0)*Table_NFI[[#This Row],[Jerry Can]],Table_NFI[Jerry Can])</f>
        <v>0</v>
      </c>
      <c r="AO863" s="331">
        <f>IF(NFI_Expiration=1,IF($A863&lt;VLOOKUP(V$5,NFI,5,0),1,0)*Table_NFI[[#This Row],[Shelter Tool kit]],Table_NFI[Shelter Tool kit])</f>
        <v>0</v>
      </c>
      <c r="AP863" s="331">
        <f>IF(NFI_Expiration=1,IF($A863&lt;VLOOKUP(V$5,NFI,5,0),1,0)*Table_NFI[[#This Row],[Tent]],Table_NFI[Tent])</f>
        <v>0</v>
      </c>
      <c r="AQ863" s="467" t="str">
        <f>IFERROR(VLOOKUP(Table_NFI[[#This Row],[Camp Name]],CL,2,0),"")</f>
        <v>MMR001CMP129</v>
      </c>
      <c r="AR863" s="835">
        <f ca="1">IF(Table_NFI[[#This Row],[Pcode]]="","",IF(OFFSET(CampList[Opening Date],MATCH(Table_NFI[[#This Row],[Pcode]],CampList[CP_Pcode],0)-1,0,1,1)&gt;=NFI_Monitor_Date,1,0))</f>
        <v>0</v>
      </c>
      <c r="AS863" s="467" t="str">
        <f>IFERROR(VLOOKUP(Table_NFI[[#This Row],[Camp Name]],CL,3,0),"")</f>
        <v>Open</v>
      </c>
      <c r="AT863" s="294" t="str">
        <f ca="1">IF(Table_NFI[[#This Row],[Pcode]]="","",OFFSET(CampList[Priority],MATCH(Table_NFI[[#This Row],[Pcode]],CampList[CP_Pcode],0)-1,0,1,1))</f>
        <v>P2</v>
      </c>
      <c r="AU863" s="293">
        <f>IFERROR(Table_NFI[[#This Row],[Kitchen Set]]/VLOOKUP(Table_NFI[[#This Row],[Camp Name]],CL,4,0),"")</f>
        <v>0</v>
      </c>
      <c r="AV863" s="461" t="s">
        <v>1092</v>
      </c>
      <c r="AW863" s="463"/>
    </row>
    <row r="864" spans="1:49" ht="14.45" customHeight="1" x14ac:dyDescent="0.25">
      <c r="A864" s="297">
        <f t="shared" si="13"/>
        <v>49.333333333333336</v>
      </c>
      <c r="B864" s="460">
        <v>41256</v>
      </c>
      <c r="C864" s="461" t="s">
        <v>452</v>
      </c>
      <c r="D864" s="462" t="s">
        <v>452</v>
      </c>
      <c r="E864" s="461" t="s">
        <v>380</v>
      </c>
      <c r="F864" s="290" t="s">
        <v>237</v>
      </c>
      <c r="G864" s="290" t="s">
        <v>271</v>
      </c>
      <c r="H864" s="291"/>
      <c r="I864" s="291"/>
      <c r="J864" s="291"/>
      <c r="K864" s="291">
        <v>16</v>
      </c>
      <c r="L864" s="292">
        <v>7</v>
      </c>
      <c r="M864" s="292">
        <v>16</v>
      </c>
      <c r="N864" s="292">
        <v>7</v>
      </c>
      <c r="O864" s="292">
        <v>7</v>
      </c>
      <c r="P864" s="294">
        <v>7</v>
      </c>
      <c r="Q864" s="294">
        <v>7</v>
      </c>
      <c r="R864" s="294"/>
      <c r="S864" s="294"/>
      <c r="T864" s="294"/>
      <c r="U864" s="294"/>
      <c r="V864" s="431"/>
      <c r="W864" s="294"/>
      <c r="X864" s="294"/>
      <c r="Y864" s="294">
        <f>IF(NFI_Expiration=1,IF($A864&lt;VLOOKUP(H$5,NFI,5,0),1,0)*Table_NFI[[#This Row],[Hygiene Kit]],Table_NFI[Hygiene Kit])</f>
        <v>0</v>
      </c>
      <c r="Z864" s="294">
        <f>IF(NFI_Expiration=1,IF($A864&lt;VLOOKUP(I$5,NFI,5,0),1,0)*Table_NFI[[#This Row],[NFI Core Kit]],Table_NFI[NFI Core Kit])</f>
        <v>0</v>
      </c>
      <c r="AA864" s="294">
        <f>IF(NFI_Expiration=1,IF($A864&lt;VLOOKUP(J$5,NFI,5,0),1,0)*Table_NFI[[#This Row],[Sanitary Kit]],Table_NFI[Sanitary Kit])</f>
        <v>0</v>
      </c>
      <c r="AB864" s="294">
        <f>IF(NFI_Expiration=1,IF($A864&lt;VLOOKUP(K$5,NFI,5,0),1,0)*Table_NFI[[#This Row],[Mosquito net]],Table_NFI[Mosquito net])</f>
        <v>0</v>
      </c>
      <c r="AC864" s="294">
        <f>IF(NFI_Expiration=1,IF($A864&lt;VLOOKUP(L$5,NFI,5,0),1,0)*Table_NFI[[#This Row],[Tarpaulin]],Table_NFI[[#This Row],[Tarpaulin]])</f>
        <v>0</v>
      </c>
      <c r="AD864" s="294">
        <f>IF(NFI_Expiration=1,IF($A864&lt;VLOOKUP(M$5,NFI,5,0),1,0)*Table_NFI[[#This Row],[Blanket]],Table_NFI[[#This Row],[Blanket]])</f>
        <v>0</v>
      </c>
      <c r="AE864" s="294">
        <f>IF(NFI_Expiration=1,IF($A864&lt;VLOOKUP(N$5,NFI,5,0),1,0)*Table_NFI[[#This Row],[Kitchen Set]],Table_NFI[Kitchen Set])</f>
        <v>0</v>
      </c>
      <c r="AF864" s="294">
        <f>IF(NFI_Expiration=1,IF($A864&lt;VLOOKUP(O$5,NFI,5,0),1,0)*Table_NFI[[#This Row],[Clothes Kit]],Table_NFI[Clothes Kit])</f>
        <v>0</v>
      </c>
      <c r="AG864" s="294">
        <f>IF(NFI_Expiration=1,IF($A864&lt;VLOOKUP(P$5,NFI,5,0),1,0)*Table_NFI[[#This Row],[Plastic Bucket]],Table_NFI[Plastic Bucket])</f>
        <v>0</v>
      </c>
      <c r="AH864" s="294">
        <f>IF(NFI_Expiration=1,IF($A864&lt;VLOOKUP(Q$5,NFI,5,0),1,0)*Table_NFI[[#This Row],[Plastic Mat]],Table_NFI[Plastic Mat])*IF(Table_NFI[[#This Row],[Distribution Date]]&gt;"2014-04-01",1,2.5)</f>
        <v>0</v>
      </c>
      <c r="AI864" s="294">
        <f>IF(NFI_Expiration=1,IF($A864&lt;VLOOKUP(R$5,NFI,5,0),1,0)*Table_NFI[[#This Row],[Winter Clothes Adult]],Table_NFI[Winter Clothes Adult])</f>
        <v>0</v>
      </c>
      <c r="AJ864" s="294">
        <f>IF(NFI_Expiration=1,IF($A864&lt;VLOOKUP(S$5,NFI,5,0),1,0)*Table_NFI[[#This Row],[Winter Clothes Children]],Table_NFI[Winter Clothes Children])</f>
        <v>0</v>
      </c>
      <c r="AK864" s="294">
        <f>IF(NFI_Expiration=1,IF($A864&lt;VLOOKUP(T$5,NFI,5,0),1,0)*Table_NFI[[#This Row],[Winter Items Other]],Table_NFI[Winter Items Other])</f>
        <v>0</v>
      </c>
      <c r="AL864" s="294">
        <f>IF(NFI_Expiration=1,IF($A864&lt;VLOOKUP(M$5,NFI,5,0),1,0)*Table_NFI[[#This Row],[Winter Blanket]],Table_NFI[[#This Row],[Winter Blanket]])</f>
        <v>0</v>
      </c>
      <c r="AM864" s="294">
        <f>IF(Table_NFI[[#This Row],[Winter Clothes Adult]]+Table_NFI[[#This Row],[Winter Clothes Children]]+Table_NFI[[#This Row],[Winter Items Other]]+Table_NFI[[#This Row],[Winter Blanket]]&gt;0,1,0)</f>
        <v>0</v>
      </c>
      <c r="AN864" s="331">
        <f>IF(NFI_Expiration=1,IF($A864&lt;VLOOKUP(V$5,NFI,5,0),1,0)*Table_NFI[[#This Row],[Jerry Can]],Table_NFI[Jerry Can])</f>
        <v>0</v>
      </c>
      <c r="AO864" s="331">
        <f>IF(NFI_Expiration=1,IF($A864&lt;VLOOKUP(V$5,NFI,5,0),1,0)*Table_NFI[[#This Row],[Shelter Tool kit]],Table_NFI[Shelter Tool kit])</f>
        <v>0</v>
      </c>
      <c r="AP864" s="331">
        <f>IF(NFI_Expiration=1,IF($A864&lt;VLOOKUP(V$5,NFI,5,0),1,0)*Table_NFI[[#This Row],[Tent]],Table_NFI[Tent])</f>
        <v>0</v>
      </c>
      <c r="AQ864" s="467" t="str">
        <f>IFERROR(VLOOKUP(Table_NFI[[#This Row],[Camp Name]],CL,2,0),"")</f>
        <v>MMR001CMP024</v>
      </c>
      <c r="AR864" s="835">
        <f ca="1">IF(Table_NFI[[#This Row],[Pcode]]="","",IF(OFFSET(CampList[Opening Date],MATCH(Table_NFI[[#This Row],[Pcode]],CampList[CP_Pcode],0)-1,0,1,1)&gt;=NFI_Monitor_Date,1,0))</f>
        <v>0</v>
      </c>
      <c r="AS864" s="467" t="str">
        <f>IFERROR(VLOOKUP(Table_NFI[[#This Row],[Camp Name]],CL,3,0),"")</f>
        <v>Open</v>
      </c>
      <c r="AT864" s="294" t="str">
        <f ca="1">IF(Table_NFI[[#This Row],[Pcode]]="","",OFFSET(CampList[Priority],MATCH(Table_NFI[[#This Row],[Pcode]],CampList[CP_Pcode],0)-1,0,1,1))</f>
        <v>P4</v>
      </c>
      <c r="AU864" s="293">
        <f>IFERROR(Table_NFI[[#This Row],[Kitchen Set]]/VLOOKUP(Table_NFI[[#This Row],[Camp Name]],CL,4,0),"")</f>
        <v>1.7111149135886968E-4</v>
      </c>
      <c r="AV864" s="461" t="s">
        <v>1092</v>
      </c>
      <c r="AW864" s="463"/>
    </row>
    <row r="865" spans="1:49" ht="14.45" customHeight="1" x14ac:dyDescent="0.25">
      <c r="A865" s="297">
        <f t="shared" si="13"/>
        <v>49.366666666666667</v>
      </c>
      <c r="B865" s="460">
        <v>41255</v>
      </c>
      <c r="C865" s="461" t="s">
        <v>905</v>
      </c>
      <c r="D865" s="461" t="s">
        <v>905</v>
      </c>
      <c r="E865" s="461" t="s">
        <v>380</v>
      </c>
      <c r="F865" s="461" t="s">
        <v>185</v>
      </c>
      <c r="G865" s="290" t="s">
        <v>196</v>
      </c>
      <c r="H865" s="294">
        <v>5228</v>
      </c>
      <c r="I865" s="291"/>
      <c r="J865" s="291"/>
      <c r="K865" s="291"/>
      <c r="L865" s="292"/>
      <c r="M865" s="292"/>
      <c r="N865" s="292"/>
      <c r="O865" s="292"/>
      <c r="P865" s="294">
        <v>0</v>
      </c>
      <c r="Q865" s="294">
        <v>0</v>
      </c>
      <c r="R865" s="294"/>
      <c r="S865" s="294"/>
      <c r="T865" s="294"/>
      <c r="U865" s="294"/>
      <c r="V865" s="431"/>
      <c r="W865" s="294"/>
      <c r="X865" s="294"/>
      <c r="Y865" s="294">
        <f>IF(NFI_Expiration=1,IF($A865&lt;VLOOKUP(H$5,NFI,5,0),1,0)*Table_NFI[[#This Row],[Hygiene Kit]],Table_NFI[Hygiene Kit])</f>
        <v>0</v>
      </c>
      <c r="Z865" s="294">
        <f>IF(NFI_Expiration=1,IF($A865&lt;VLOOKUP(I$5,NFI,5,0),1,0)*Table_NFI[[#This Row],[NFI Core Kit]],Table_NFI[NFI Core Kit])</f>
        <v>0</v>
      </c>
      <c r="AA865" s="294">
        <f>IF(NFI_Expiration=1,IF($A865&lt;VLOOKUP(J$5,NFI,5,0),1,0)*Table_NFI[[#This Row],[Sanitary Kit]],Table_NFI[Sanitary Kit])</f>
        <v>0</v>
      </c>
      <c r="AB865" s="294">
        <f>IF(NFI_Expiration=1,IF($A865&lt;VLOOKUP(K$5,NFI,5,0),1,0)*Table_NFI[[#This Row],[Mosquito net]],Table_NFI[Mosquito net])</f>
        <v>0</v>
      </c>
      <c r="AC865" s="294">
        <f>IF(NFI_Expiration=1,IF($A865&lt;VLOOKUP(L$5,NFI,5,0),1,0)*Table_NFI[[#This Row],[Tarpaulin]],Table_NFI[[#This Row],[Tarpaulin]])</f>
        <v>0</v>
      </c>
      <c r="AD865" s="294">
        <f>IF(NFI_Expiration=1,IF($A865&lt;VLOOKUP(M$5,NFI,5,0),1,0)*Table_NFI[[#This Row],[Blanket]],Table_NFI[[#This Row],[Blanket]])</f>
        <v>0</v>
      </c>
      <c r="AE865" s="294">
        <f>IF(NFI_Expiration=1,IF($A865&lt;VLOOKUP(N$5,NFI,5,0),1,0)*Table_NFI[[#This Row],[Kitchen Set]],Table_NFI[Kitchen Set])</f>
        <v>0</v>
      </c>
      <c r="AF865" s="294">
        <f>IF(NFI_Expiration=1,IF($A865&lt;VLOOKUP(O$5,NFI,5,0),1,0)*Table_NFI[[#This Row],[Clothes Kit]],Table_NFI[Clothes Kit])</f>
        <v>0</v>
      </c>
      <c r="AG865" s="294">
        <f>IF(NFI_Expiration=1,IF($A865&lt;VLOOKUP(P$5,NFI,5,0),1,0)*Table_NFI[[#This Row],[Plastic Bucket]],Table_NFI[Plastic Bucket])</f>
        <v>0</v>
      </c>
      <c r="AH865" s="294">
        <f>IF(NFI_Expiration=1,IF($A865&lt;VLOOKUP(Q$5,NFI,5,0),1,0)*Table_NFI[[#This Row],[Plastic Mat]],Table_NFI[Plastic Mat])*IF(Table_NFI[[#This Row],[Distribution Date]]&gt;"2014-04-01",1,2.5)</f>
        <v>0</v>
      </c>
      <c r="AI865" s="294">
        <f>IF(NFI_Expiration=1,IF($A865&lt;VLOOKUP(R$5,NFI,5,0),1,0)*Table_NFI[[#This Row],[Winter Clothes Adult]],Table_NFI[Winter Clothes Adult])</f>
        <v>0</v>
      </c>
      <c r="AJ865" s="294">
        <f>IF(NFI_Expiration=1,IF($A865&lt;VLOOKUP(S$5,NFI,5,0),1,0)*Table_NFI[[#This Row],[Winter Clothes Children]],Table_NFI[Winter Clothes Children])</f>
        <v>0</v>
      </c>
      <c r="AK865" s="294">
        <f>IF(NFI_Expiration=1,IF($A865&lt;VLOOKUP(T$5,NFI,5,0),1,0)*Table_NFI[[#This Row],[Winter Items Other]],Table_NFI[Winter Items Other])</f>
        <v>0</v>
      </c>
      <c r="AL865" s="294">
        <f>IF(NFI_Expiration=1,IF($A865&lt;VLOOKUP(M$5,NFI,5,0),1,0)*Table_NFI[[#This Row],[Winter Blanket]],Table_NFI[[#This Row],[Winter Blanket]])</f>
        <v>0</v>
      </c>
      <c r="AM865" s="294">
        <f>IF(Table_NFI[[#This Row],[Winter Clothes Adult]]+Table_NFI[[#This Row],[Winter Clothes Children]]+Table_NFI[[#This Row],[Winter Items Other]]+Table_NFI[[#This Row],[Winter Blanket]]&gt;0,1,0)</f>
        <v>0</v>
      </c>
      <c r="AN865" s="331">
        <f>IF(NFI_Expiration=1,IF($A865&lt;VLOOKUP(V$5,NFI,5,0),1,0)*Table_NFI[[#This Row],[Jerry Can]],Table_NFI[Jerry Can])</f>
        <v>0</v>
      </c>
      <c r="AO865" s="331">
        <f>IF(NFI_Expiration=1,IF($A865&lt;VLOOKUP(V$5,NFI,5,0),1,0)*Table_NFI[[#This Row],[Shelter Tool kit]],Table_NFI[Shelter Tool kit])</f>
        <v>0</v>
      </c>
      <c r="AP865" s="331">
        <f>IF(NFI_Expiration=1,IF($A865&lt;VLOOKUP(V$5,NFI,5,0),1,0)*Table_NFI[[#This Row],[Tent]],Table_NFI[Tent])</f>
        <v>0</v>
      </c>
      <c r="AQ865" s="467" t="str">
        <f>IFERROR(VLOOKUP(Table_NFI[[#This Row],[Camp Name]],CL,2,0),"")</f>
        <v>MMR001CMP121</v>
      </c>
      <c r="AR865" s="835">
        <f ca="1">IF(Table_NFI[[#This Row],[Pcode]]="","",IF(OFFSET(CampList[Opening Date],MATCH(Table_NFI[[#This Row],[Pcode]],CampList[CP_Pcode],0)-1,0,1,1)&gt;=NFI_Monitor_Date,1,0))</f>
        <v>0</v>
      </c>
      <c r="AS865" s="467" t="str">
        <f>IFERROR(VLOOKUP(Table_NFI[[#This Row],[Camp Name]],CL,3,0),"")</f>
        <v>Open</v>
      </c>
      <c r="AT865" s="294" t="str">
        <f ca="1">IF(Table_NFI[[#This Row],[Pcode]]="","",OFFSET(CampList[Priority],MATCH(Table_NFI[[#This Row],[Pcode]],CampList[CP_Pcode],0)-1,0,1,1))</f>
        <v>P2</v>
      </c>
      <c r="AU865" s="293">
        <f>IFERROR(Table_NFI[[#This Row],[Kitchen Set]]/VLOOKUP(Table_NFI[[#This Row],[Camp Name]],CL,4,0),"")</f>
        <v>0</v>
      </c>
      <c r="AV865" s="461" t="s">
        <v>1092</v>
      </c>
      <c r="AW865" s="463"/>
    </row>
    <row r="866" spans="1:49" ht="14.45" customHeight="1" x14ac:dyDescent="0.25">
      <c r="A866" s="297">
        <f t="shared" si="13"/>
        <v>49.4</v>
      </c>
      <c r="B866" s="460">
        <v>41254</v>
      </c>
      <c r="C866" s="461" t="s">
        <v>905</v>
      </c>
      <c r="D866" s="462" t="s">
        <v>905</v>
      </c>
      <c r="E866" s="461" t="s">
        <v>380</v>
      </c>
      <c r="F866" s="290" t="s">
        <v>185</v>
      </c>
      <c r="G866" s="290" t="s">
        <v>194</v>
      </c>
      <c r="H866" s="291">
        <v>1658</v>
      </c>
      <c r="I866" s="296"/>
      <c r="J866" s="289"/>
      <c r="K866" s="289"/>
      <c r="L866" s="289"/>
      <c r="M866" s="289"/>
      <c r="N866" s="289"/>
      <c r="O866" s="289"/>
      <c r="P866" s="294">
        <v>0</v>
      </c>
      <c r="Q866" s="294">
        <v>0</v>
      </c>
      <c r="R866" s="294"/>
      <c r="S866" s="294"/>
      <c r="T866" s="294"/>
      <c r="U866" s="294"/>
      <c r="V866" s="431"/>
      <c r="W866" s="294"/>
      <c r="X866" s="294"/>
      <c r="Y866" s="294">
        <f>IF(NFI_Expiration=1,IF($A866&lt;VLOOKUP(H$5,NFI,5,0),1,0)*Table_NFI[[#This Row],[Hygiene Kit]],Table_NFI[Hygiene Kit])</f>
        <v>0</v>
      </c>
      <c r="Z866" s="294">
        <f>IF(NFI_Expiration=1,IF($A866&lt;VLOOKUP(I$5,NFI,5,0),1,0)*Table_NFI[[#This Row],[NFI Core Kit]],Table_NFI[NFI Core Kit])</f>
        <v>0</v>
      </c>
      <c r="AA866" s="294">
        <f>IF(NFI_Expiration=1,IF($A866&lt;VLOOKUP(J$5,NFI,5,0),1,0)*Table_NFI[[#This Row],[Sanitary Kit]],Table_NFI[Sanitary Kit])</f>
        <v>0</v>
      </c>
      <c r="AB866" s="294">
        <f>IF(NFI_Expiration=1,IF($A866&lt;VLOOKUP(K$5,NFI,5,0),1,0)*Table_NFI[[#This Row],[Mosquito net]],Table_NFI[Mosquito net])</f>
        <v>0</v>
      </c>
      <c r="AC866" s="294">
        <f>IF(NFI_Expiration=1,IF($A866&lt;VLOOKUP(L$5,NFI,5,0),1,0)*Table_NFI[[#This Row],[Tarpaulin]],Table_NFI[[#This Row],[Tarpaulin]])</f>
        <v>0</v>
      </c>
      <c r="AD866" s="294">
        <f>IF(NFI_Expiration=1,IF($A866&lt;VLOOKUP(M$5,NFI,5,0),1,0)*Table_NFI[[#This Row],[Blanket]],Table_NFI[[#This Row],[Blanket]])</f>
        <v>0</v>
      </c>
      <c r="AE866" s="294">
        <f>IF(NFI_Expiration=1,IF($A866&lt;VLOOKUP(N$5,NFI,5,0),1,0)*Table_NFI[[#This Row],[Kitchen Set]],Table_NFI[Kitchen Set])</f>
        <v>0</v>
      </c>
      <c r="AF866" s="294">
        <f>IF(NFI_Expiration=1,IF($A866&lt;VLOOKUP(O$5,NFI,5,0),1,0)*Table_NFI[[#This Row],[Clothes Kit]],Table_NFI[Clothes Kit])</f>
        <v>0</v>
      </c>
      <c r="AG866" s="294">
        <f>IF(NFI_Expiration=1,IF($A866&lt;VLOOKUP(P$5,NFI,5,0),1,0)*Table_NFI[[#This Row],[Plastic Bucket]],Table_NFI[Plastic Bucket])</f>
        <v>0</v>
      </c>
      <c r="AH866" s="294">
        <f>IF(NFI_Expiration=1,IF($A866&lt;VLOOKUP(Q$5,NFI,5,0),1,0)*Table_NFI[[#This Row],[Plastic Mat]],Table_NFI[Plastic Mat])*IF(Table_NFI[[#This Row],[Distribution Date]]&gt;"2014-04-01",1,2.5)</f>
        <v>0</v>
      </c>
      <c r="AI866" s="294">
        <f>IF(NFI_Expiration=1,IF($A866&lt;VLOOKUP(R$5,NFI,5,0),1,0)*Table_NFI[[#This Row],[Winter Clothes Adult]],Table_NFI[Winter Clothes Adult])</f>
        <v>0</v>
      </c>
      <c r="AJ866" s="294">
        <f>IF(NFI_Expiration=1,IF($A866&lt;VLOOKUP(S$5,NFI,5,0),1,0)*Table_NFI[[#This Row],[Winter Clothes Children]],Table_NFI[Winter Clothes Children])</f>
        <v>0</v>
      </c>
      <c r="AK866" s="294">
        <f>IF(NFI_Expiration=1,IF($A866&lt;VLOOKUP(T$5,NFI,5,0),1,0)*Table_NFI[[#This Row],[Winter Items Other]],Table_NFI[Winter Items Other])</f>
        <v>0</v>
      </c>
      <c r="AL866" s="294">
        <f>IF(NFI_Expiration=1,IF($A866&lt;VLOOKUP(M$5,NFI,5,0),1,0)*Table_NFI[[#This Row],[Winter Blanket]],Table_NFI[[#This Row],[Winter Blanket]])</f>
        <v>0</v>
      </c>
      <c r="AM866" s="294">
        <f>IF(Table_NFI[[#This Row],[Winter Clothes Adult]]+Table_NFI[[#This Row],[Winter Clothes Children]]+Table_NFI[[#This Row],[Winter Items Other]]+Table_NFI[[#This Row],[Winter Blanket]]&gt;0,1,0)</f>
        <v>0</v>
      </c>
      <c r="AN866" s="331">
        <f>IF(NFI_Expiration=1,IF($A866&lt;VLOOKUP(V$5,NFI,5,0),1,0)*Table_NFI[[#This Row],[Jerry Can]],Table_NFI[Jerry Can])</f>
        <v>0</v>
      </c>
      <c r="AO866" s="331">
        <f>IF(NFI_Expiration=1,IF($A866&lt;VLOOKUP(V$5,NFI,5,0),1,0)*Table_NFI[[#This Row],[Shelter Tool kit]],Table_NFI[Shelter Tool kit])</f>
        <v>0</v>
      </c>
      <c r="AP866" s="331">
        <f>IF(NFI_Expiration=1,IF($A866&lt;VLOOKUP(V$5,NFI,5,0),1,0)*Table_NFI[[#This Row],[Tent]],Table_NFI[Tent])</f>
        <v>0</v>
      </c>
      <c r="AQ866" s="467" t="str">
        <f>IFERROR(VLOOKUP(Table_NFI[[#This Row],[Camp Name]],CL,2,0),"")</f>
        <v>MMR001CMP122</v>
      </c>
      <c r="AR866" s="835">
        <f ca="1">IF(Table_NFI[[#This Row],[Pcode]]="","",IF(OFFSET(CampList[Opening Date],MATCH(Table_NFI[[#This Row],[Pcode]],CampList[CP_Pcode],0)-1,0,1,1)&gt;=NFI_Monitor_Date,1,0))</f>
        <v>0</v>
      </c>
      <c r="AS866" s="467" t="str">
        <f>IFERROR(VLOOKUP(Table_NFI[[#This Row],[Camp Name]],CL,3,0),"")</f>
        <v>Open</v>
      </c>
      <c r="AT866" s="294" t="str">
        <f ca="1">IF(Table_NFI[[#This Row],[Pcode]]="","",OFFSET(CampList[Priority],MATCH(Table_NFI[[#This Row],[Pcode]],CampList[CP_Pcode],0)-1,0,1,1))</f>
        <v>P2</v>
      </c>
      <c r="AU866" s="293">
        <f>IFERROR(Table_NFI[[#This Row],[Kitchen Set]]/VLOOKUP(Table_NFI[[#This Row],[Camp Name]],CL,4,0),"")</f>
        <v>0</v>
      </c>
      <c r="AV866" s="461" t="s">
        <v>1092</v>
      </c>
      <c r="AW866" s="463"/>
    </row>
    <row r="867" spans="1:49" ht="14.45" customHeight="1" x14ac:dyDescent="0.25">
      <c r="A867" s="297">
        <f t="shared" si="13"/>
        <v>49.43333333333333</v>
      </c>
      <c r="B867" s="460">
        <v>41253</v>
      </c>
      <c r="C867" s="461" t="s">
        <v>905</v>
      </c>
      <c r="D867" s="462" t="s">
        <v>460</v>
      </c>
      <c r="E867" s="461" t="s">
        <v>380</v>
      </c>
      <c r="F867" s="290" t="s">
        <v>310</v>
      </c>
      <c r="G867" s="290" t="s">
        <v>353</v>
      </c>
      <c r="H867" s="291">
        <v>4285</v>
      </c>
      <c r="I867" s="296"/>
      <c r="J867" s="289"/>
      <c r="K867" s="289"/>
      <c r="L867" s="289"/>
      <c r="M867" s="289"/>
      <c r="N867" s="289"/>
      <c r="O867" s="289"/>
      <c r="P867" s="294">
        <v>0</v>
      </c>
      <c r="Q867" s="294">
        <v>0</v>
      </c>
      <c r="R867" s="294"/>
      <c r="S867" s="294"/>
      <c r="T867" s="294"/>
      <c r="U867" s="294"/>
      <c r="V867" s="431"/>
      <c r="W867" s="294"/>
      <c r="X867" s="294"/>
      <c r="Y867" s="294">
        <f>IF(NFI_Expiration=1,IF($A867&lt;VLOOKUP(H$5,NFI,5,0),1,0)*Table_NFI[[#This Row],[Hygiene Kit]],Table_NFI[Hygiene Kit])</f>
        <v>0</v>
      </c>
      <c r="Z867" s="294">
        <f>IF(NFI_Expiration=1,IF($A867&lt;VLOOKUP(I$5,NFI,5,0),1,0)*Table_NFI[[#This Row],[NFI Core Kit]],Table_NFI[NFI Core Kit])</f>
        <v>0</v>
      </c>
      <c r="AA867" s="294">
        <f>IF(NFI_Expiration=1,IF($A867&lt;VLOOKUP(J$5,NFI,5,0),1,0)*Table_NFI[[#This Row],[Sanitary Kit]],Table_NFI[Sanitary Kit])</f>
        <v>0</v>
      </c>
      <c r="AB867" s="294">
        <f>IF(NFI_Expiration=1,IF($A867&lt;VLOOKUP(K$5,NFI,5,0),1,0)*Table_NFI[[#This Row],[Mosquito net]],Table_NFI[Mosquito net])</f>
        <v>0</v>
      </c>
      <c r="AC867" s="294">
        <f>IF(NFI_Expiration=1,IF($A867&lt;VLOOKUP(L$5,NFI,5,0),1,0)*Table_NFI[[#This Row],[Tarpaulin]],Table_NFI[[#This Row],[Tarpaulin]])</f>
        <v>0</v>
      </c>
      <c r="AD867" s="294">
        <f>IF(NFI_Expiration=1,IF($A867&lt;VLOOKUP(M$5,NFI,5,0),1,0)*Table_NFI[[#This Row],[Blanket]],Table_NFI[[#This Row],[Blanket]])</f>
        <v>0</v>
      </c>
      <c r="AE867" s="294">
        <f>IF(NFI_Expiration=1,IF($A867&lt;VLOOKUP(N$5,NFI,5,0),1,0)*Table_NFI[[#This Row],[Kitchen Set]],Table_NFI[Kitchen Set])</f>
        <v>0</v>
      </c>
      <c r="AF867" s="294">
        <f>IF(NFI_Expiration=1,IF($A867&lt;VLOOKUP(O$5,NFI,5,0),1,0)*Table_NFI[[#This Row],[Clothes Kit]],Table_NFI[Clothes Kit])</f>
        <v>0</v>
      </c>
      <c r="AG867" s="294">
        <f>IF(NFI_Expiration=1,IF($A867&lt;VLOOKUP(P$5,NFI,5,0),1,0)*Table_NFI[[#This Row],[Plastic Bucket]],Table_NFI[Plastic Bucket])</f>
        <v>0</v>
      </c>
      <c r="AH867" s="294">
        <f>IF(NFI_Expiration=1,IF($A867&lt;VLOOKUP(Q$5,NFI,5,0),1,0)*Table_NFI[[#This Row],[Plastic Mat]],Table_NFI[Plastic Mat])*IF(Table_NFI[[#This Row],[Distribution Date]]&gt;"2014-04-01",1,2.5)</f>
        <v>0</v>
      </c>
      <c r="AI867" s="294">
        <f>IF(NFI_Expiration=1,IF($A867&lt;VLOOKUP(R$5,NFI,5,0),1,0)*Table_NFI[[#This Row],[Winter Clothes Adult]],Table_NFI[Winter Clothes Adult])</f>
        <v>0</v>
      </c>
      <c r="AJ867" s="294">
        <f>IF(NFI_Expiration=1,IF($A867&lt;VLOOKUP(S$5,NFI,5,0),1,0)*Table_NFI[[#This Row],[Winter Clothes Children]],Table_NFI[Winter Clothes Children])</f>
        <v>0</v>
      </c>
      <c r="AK867" s="294">
        <f>IF(NFI_Expiration=1,IF($A867&lt;VLOOKUP(T$5,NFI,5,0),1,0)*Table_NFI[[#This Row],[Winter Items Other]],Table_NFI[Winter Items Other])</f>
        <v>0</v>
      </c>
      <c r="AL867" s="294">
        <f>IF(NFI_Expiration=1,IF($A867&lt;VLOOKUP(M$5,NFI,5,0),1,0)*Table_NFI[[#This Row],[Winter Blanket]],Table_NFI[[#This Row],[Winter Blanket]])</f>
        <v>0</v>
      </c>
      <c r="AM867" s="294">
        <f>IF(Table_NFI[[#This Row],[Winter Clothes Adult]]+Table_NFI[[#This Row],[Winter Clothes Children]]+Table_NFI[[#This Row],[Winter Items Other]]+Table_NFI[[#This Row],[Winter Blanket]]&gt;0,1,0)</f>
        <v>0</v>
      </c>
      <c r="AN867" s="331">
        <f>IF(NFI_Expiration=1,IF($A867&lt;VLOOKUP(V$5,NFI,5,0),1,0)*Table_NFI[[#This Row],[Jerry Can]],Table_NFI[Jerry Can])</f>
        <v>0</v>
      </c>
      <c r="AO867" s="331">
        <f>IF(NFI_Expiration=1,IF($A867&lt;VLOOKUP(V$5,NFI,5,0),1,0)*Table_NFI[[#This Row],[Shelter Tool kit]],Table_NFI[Shelter Tool kit])</f>
        <v>0</v>
      </c>
      <c r="AP867" s="331">
        <f>IF(NFI_Expiration=1,IF($A867&lt;VLOOKUP(V$5,NFI,5,0),1,0)*Table_NFI[[#This Row],[Tent]],Table_NFI[Tent])</f>
        <v>0</v>
      </c>
      <c r="AQ867" s="467" t="str">
        <f>IFERROR(VLOOKUP(Table_NFI[[#This Row],[Camp Name]],CL,2,0),"")</f>
        <v>MMR001CMP116</v>
      </c>
      <c r="AR867" s="835">
        <f ca="1">IF(Table_NFI[[#This Row],[Pcode]]="","",IF(OFFSET(CampList[Opening Date],MATCH(Table_NFI[[#This Row],[Pcode]],CampList[CP_Pcode],0)-1,0,1,1)&gt;=NFI_Monitor_Date,1,0))</f>
        <v>0</v>
      </c>
      <c r="AS867" s="467" t="str">
        <f>IFERROR(VLOOKUP(Table_NFI[[#This Row],[Camp Name]],CL,3,0),"")</f>
        <v>Open</v>
      </c>
      <c r="AT867" s="294" t="str">
        <f ca="1">IF(Table_NFI[[#This Row],[Pcode]]="","",OFFSET(CampList[Priority],MATCH(Table_NFI[[#This Row],[Pcode]],CampList[CP_Pcode],0)-1,0,1,1))</f>
        <v>P4</v>
      </c>
      <c r="AU867" s="293">
        <f>IFERROR(Table_NFI[[#This Row],[Kitchen Set]]/VLOOKUP(Table_NFI[[#This Row],[Camp Name]],CL,4,0),"")</f>
        <v>0</v>
      </c>
      <c r="AV867" s="461" t="s">
        <v>1092</v>
      </c>
      <c r="AW867" s="463"/>
    </row>
    <row r="868" spans="1:49" ht="14.45" customHeight="1" x14ac:dyDescent="0.25">
      <c r="A868" s="297">
        <f t="shared" si="13"/>
        <v>49.5</v>
      </c>
      <c r="B868" s="460">
        <v>41251</v>
      </c>
      <c r="C868" s="461" t="s">
        <v>905</v>
      </c>
      <c r="D868" s="462" t="s">
        <v>460</v>
      </c>
      <c r="E868" s="461" t="s">
        <v>380</v>
      </c>
      <c r="F868" s="290" t="s">
        <v>310</v>
      </c>
      <c r="G868" s="290" t="s">
        <v>1248</v>
      </c>
      <c r="H868" s="291">
        <v>1690</v>
      </c>
      <c r="I868" s="291"/>
      <c r="J868" s="291"/>
      <c r="K868" s="291"/>
      <c r="L868" s="292"/>
      <c r="M868" s="292"/>
      <c r="N868" s="292"/>
      <c r="O868" s="292"/>
      <c r="P868" s="294">
        <v>0</v>
      </c>
      <c r="Q868" s="294">
        <v>0</v>
      </c>
      <c r="R868" s="294"/>
      <c r="S868" s="294"/>
      <c r="T868" s="294"/>
      <c r="U868" s="294"/>
      <c r="V868" s="431"/>
      <c r="W868" s="294"/>
      <c r="X868" s="294"/>
      <c r="Y868" s="294">
        <f>IF(NFI_Expiration=1,IF($A868&lt;VLOOKUP(H$5,NFI,5,0),1,0)*Table_NFI[[#This Row],[Hygiene Kit]],Table_NFI[Hygiene Kit])</f>
        <v>0</v>
      </c>
      <c r="Z868" s="294">
        <f>IF(NFI_Expiration=1,IF($A868&lt;VLOOKUP(I$5,NFI,5,0),1,0)*Table_NFI[[#This Row],[NFI Core Kit]],Table_NFI[NFI Core Kit])</f>
        <v>0</v>
      </c>
      <c r="AA868" s="294">
        <f>IF(NFI_Expiration=1,IF($A868&lt;VLOOKUP(J$5,NFI,5,0),1,0)*Table_NFI[[#This Row],[Sanitary Kit]],Table_NFI[Sanitary Kit])</f>
        <v>0</v>
      </c>
      <c r="AB868" s="294">
        <f>IF(NFI_Expiration=1,IF($A868&lt;VLOOKUP(K$5,NFI,5,0),1,0)*Table_NFI[[#This Row],[Mosquito net]],Table_NFI[Mosquito net])</f>
        <v>0</v>
      </c>
      <c r="AC868" s="294">
        <f>IF(NFI_Expiration=1,IF($A868&lt;VLOOKUP(L$5,NFI,5,0),1,0)*Table_NFI[[#This Row],[Tarpaulin]],Table_NFI[[#This Row],[Tarpaulin]])</f>
        <v>0</v>
      </c>
      <c r="AD868" s="294">
        <f>IF(NFI_Expiration=1,IF($A868&lt;VLOOKUP(M$5,NFI,5,0),1,0)*Table_NFI[[#This Row],[Blanket]],Table_NFI[[#This Row],[Blanket]])</f>
        <v>0</v>
      </c>
      <c r="AE868" s="294">
        <f>IF(NFI_Expiration=1,IF($A868&lt;VLOOKUP(N$5,NFI,5,0),1,0)*Table_NFI[[#This Row],[Kitchen Set]],Table_NFI[Kitchen Set])</f>
        <v>0</v>
      </c>
      <c r="AF868" s="294">
        <f>IF(NFI_Expiration=1,IF($A868&lt;VLOOKUP(O$5,NFI,5,0),1,0)*Table_NFI[[#This Row],[Clothes Kit]],Table_NFI[Clothes Kit])</f>
        <v>0</v>
      </c>
      <c r="AG868" s="294">
        <f>IF(NFI_Expiration=1,IF($A868&lt;VLOOKUP(P$5,NFI,5,0),1,0)*Table_NFI[[#This Row],[Plastic Bucket]],Table_NFI[Plastic Bucket])</f>
        <v>0</v>
      </c>
      <c r="AH868" s="294">
        <f>IF(NFI_Expiration=1,IF($A868&lt;VLOOKUP(Q$5,NFI,5,0),1,0)*Table_NFI[[#This Row],[Plastic Mat]],Table_NFI[Plastic Mat])*IF(Table_NFI[[#This Row],[Distribution Date]]&gt;"2014-04-01",1,2.5)</f>
        <v>0</v>
      </c>
      <c r="AI868" s="294">
        <f>IF(NFI_Expiration=1,IF($A868&lt;VLOOKUP(R$5,NFI,5,0),1,0)*Table_NFI[[#This Row],[Winter Clothes Adult]],Table_NFI[Winter Clothes Adult])</f>
        <v>0</v>
      </c>
      <c r="AJ868" s="294">
        <f>IF(NFI_Expiration=1,IF($A868&lt;VLOOKUP(S$5,NFI,5,0),1,0)*Table_NFI[[#This Row],[Winter Clothes Children]],Table_NFI[Winter Clothes Children])</f>
        <v>0</v>
      </c>
      <c r="AK868" s="294">
        <f>IF(NFI_Expiration=1,IF($A868&lt;VLOOKUP(T$5,NFI,5,0),1,0)*Table_NFI[[#This Row],[Winter Items Other]],Table_NFI[Winter Items Other])</f>
        <v>0</v>
      </c>
      <c r="AL868" s="294">
        <f>IF(NFI_Expiration=1,IF($A868&lt;VLOOKUP(M$5,NFI,5,0),1,0)*Table_NFI[[#This Row],[Winter Blanket]],Table_NFI[[#This Row],[Winter Blanket]])</f>
        <v>0</v>
      </c>
      <c r="AM868" s="294">
        <f>IF(Table_NFI[[#This Row],[Winter Clothes Adult]]+Table_NFI[[#This Row],[Winter Clothes Children]]+Table_NFI[[#This Row],[Winter Items Other]]+Table_NFI[[#This Row],[Winter Blanket]]&gt;0,1,0)</f>
        <v>0</v>
      </c>
      <c r="AN868" s="331">
        <f>IF(NFI_Expiration=1,IF($A868&lt;VLOOKUP(V$5,NFI,5,0),1,0)*Table_NFI[[#This Row],[Jerry Can]],Table_NFI[Jerry Can])</f>
        <v>0</v>
      </c>
      <c r="AO868" s="331">
        <f>IF(NFI_Expiration=1,IF($A868&lt;VLOOKUP(V$5,NFI,5,0),1,0)*Table_NFI[[#This Row],[Shelter Tool kit]],Table_NFI[Shelter Tool kit])</f>
        <v>0</v>
      </c>
      <c r="AP868" s="331">
        <f>IF(NFI_Expiration=1,IF($A868&lt;VLOOKUP(V$5,NFI,5,0),1,0)*Table_NFI[[#This Row],[Tent]],Table_NFI[Tent])</f>
        <v>0</v>
      </c>
      <c r="AQ868" s="467" t="str">
        <f>IFERROR(VLOOKUP(Table_NFI[[#This Row],[Camp Name]],CL,2,0),"")</f>
        <v>MMR001CMP117</v>
      </c>
      <c r="AR868" s="835">
        <f ca="1">IF(Table_NFI[[#This Row],[Pcode]]="","",IF(OFFSET(CampList[Opening Date],MATCH(Table_NFI[[#This Row],[Pcode]],CampList[CP_Pcode],0)-1,0,1,1)&gt;=NFI_Monitor_Date,1,0))</f>
        <v>0</v>
      </c>
      <c r="AS868" s="467" t="str">
        <f>IFERROR(VLOOKUP(Table_NFI[[#This Row],[Camp Name]],CL,3,0),"")</f>
        <v>Closed</v>
      </c>
      <c r="AT868" s="294" t="str">
        <f ca="1">IF(Table_NFI[[#This Row],[Pcode]]="","",OFFSET(CampList[Priority],MATCH(Table_NFI[[#This Row],[Pcode]],CampList[CP_Pcode],0)-1,0,1,1))</f>
        <v>P2</v>
      </c>
      <c r="AU868" s="293">
        <f>IFERROR(Table_NFI[[#This Row],[Kitchen Set]]/VLOOKUP(Table_NFI[[#This Row],[Camp Name]],CL,4,0),"")</f>
        <v>0</v>
      </c>
      <c r="AV868" s="461" t="s">
        <v>1092</v>
      </c>
      <c r="AW868" s="463"/>
    </row>
    <row r="869" spans="1:49" ht="14.45" customHeight="1" x14ac:dyDescent="0.25">
      <c r="A869" s="297">
        <f t="shared" si="13"/>
        <v>50.366666666666667</v>
      </c>
      <c r="B869" s="460">
        <v>41225</v>
      </c>
      <c r="C869" s="461" t="s">
        <v>452</v>
      </c>
      <c r="D869" s="462" t="s">
        <v>452</v>
      </c>
      <c r="E869" s="461" t="s">
        <v>380</v>
      </c>
      <c r="F869" s="290" t="s">
        <v>310</v>
      </c>
      <c r="G869" s="290" t="s">
        <v>318</v>
      </c>
      <c r="H869" s="291"/>
      <c r="I869" s="291"/>
      <c r="J869" s="291"/>
      <c r="K869" s="291">
        <v>12</v>
      </c>
      <c r="L869" s="292">
        <v>12</v>
      </c>
      <c r="M869" s="292">
        <v>12</v>
      </c>
      <c r="N869" s="292">
        <v>5</v>
      </c>
      <c r="O869" s="292">
        <v>5</v>
      </c>
      <c r="P869" s="294">
        <v>5</v>
      </c>
      <c r="Q869" s="294">
        <v>5</v>
      </c>
      <c r="R869" s="294"/>
      <c r="S869" s="294"/>
      <c r="T869" s="294"/>
      <c r="U869" s="294"/>
      <c r="V869" s="431"/>
      <c r="W869" s="294"/>
      <c r="X869" s="294"/>
      <c r="Y869" s="294">
        <f>IF(NFI_Expiration=1,IF($A869&lt;VLOOKUP(H$5,NFI,5,0),1,0)*Table_NFI[[#This Row],[Hygiene Kit]],Table_NFI[Hygiene Kit])</f>
        <v>0</v>
      </c>
      <c r="Z869" s="294">
        <f>IF(NFI_Expiration=1,IF($A869&lt;VLOOKUP(I$5,NFI,5,0),1,0)*Table_NFI[[#This Row],[NFI Core Kit]],Table_NFI[NFI Core Kit])</f>
        <v>0</v>
      </c>
      <c r="AA869" s="294">
        <f>IF(NFI_Expiration=1,IF($A869&lt;VLOOKUP(J$5,NFI,5,0),1,0)*Table_NFI[[#This Row],[Sanitary Kit]],Table_NFI[Sanitary Kit])</f>
        <v>0</v>
      </c>
      <c r="AB869" s="294">
        <f>IF(NFI_Expiration=1,IF($A869&lt;VLOOKUP(K$5,NFI,5,0),1,0)*Table_NFI[[#This Row],[Mosquito net]],Table_NFI[Mosquito net])</f>
        <v>0</v>
      </c>
      <c r="AC869" s="294">
        <f>IF(NFI_Expiration=1,IF($A869&lt;VLOOKUP(L$5,NFI,5,0),1,0)*Table_NFI[[#This Row],[Tarpaulin]],Table_NFI[[#This Row],[Tarpaulin]])</f>
        <v>0</v>
      </c>
      <c r="AD869" s="294">
        <f>IF(NFI_Expiration=1,IF($A869&lt;VLOOKUP(M$5,NFI,5,0),1,0)*Table_NFI[[#This Row],[Blanket]],Table_NFI[[#This Row],[Blanket]])</f>
        <v>0</v>
      </c>
      <c r="AE869" s="294">
        <f>IF(NFI_Expiration=1,IF($A869&lt;VLOOKUP(N$5,NFI,5,0),1,0)*Table_NFI[[#This Row],[Kitchen Set]],Table_NFI[Kitchen Set])</f>
        <v>0</v>
      </c>
      <c r="AF869" s="294">
        <f>IF(NFI_Expiration=1,IF($A869&lt;VLOOKUP(O$5,NFI,5,0),1,0)*Table_NFI[[#This Row],[Clothes Kit]],Table_NFI[Clothes Kit])</f>
        <v>0</v>
      </c>
      <c r="AG869" s="294">
        <f>IF(NFI_Expiration=1,IF($A869&lt;VLOOKUP(P$5,NFI,5,0),1,0)*Table_NFI[[#This Row],[Plastic Bucket]],Table_NFI[Plastic Bucket])</f>
        <v>0</v>
      </c>
      <c r="AH869" s="294">
        <f>IF(NFI_Expiration=1,IF($A869&lt;VLOOKUP(Q$5,NFI,5,0),1,0)*Table_NFI[[#This Row],[Plastic Mat]],Table_NFI[Plastic Mat])*IF(Table_NFI[[#This Row],[Distribution Date]]&gt;"2014-04-01",1,2.5)</f>
        <v>0</v>
      </c>
      <c r="AI869" s="294">
        <f>IF(NFI_Expiration=1,IF($A869&lt;VLOOKUP(R$5,NFI,5,0),1,0)*Table_NFI[[#This Row],[Winter Clothes Adult]],Table_NFI[Winter Clothes Adult])</f>
        <v>0</v>
      </c>
      <c r="AJ869" s="294">
        <f>IF(NFI_Expiration=1,IF($A869&lt;VLOOKUP(S$5,NFI,5,0),1,0)*Table_NFI[[#This Row],[Winter Clothes Children]],Table_NFI[Winter Clothes Children])</f>
        <v>0</v>
      </c>
      <c r="AK869" s="294">
        <f>IF(NFI_Expiration=1,IF($A869&lt;VLOOKUP(T$5,NFI,5,0),1,0)*Table_NFI[[#This Row],[Winter Items Other]],Table_NFI[Winter Items Other])</f>
        <v>0</v>
      </c>
      <c r="AL869" s="294">
        <f>IF(NFI_Expiration=1,IF($A869&lt;VLOOKUP(M$5,NFI,5,0),1,0)*Table_NFI[[#This Row],[Winter Blanket]],Table_NFI[[#This Row],[Winter Blanket]])</f>
        <v>0</v>
      </c>
      <c r="AM869" s="294">
        <f>IF(Table_NFI[[#This Row],[Winter Clothes Adult]]+Table_NFI[[#This Row],[Winter Clothes Children]]+Table_NFI[[#This Row],[Winter Items Other]]+Table_NFI[[#This Row],[Winter Blanket]]&gt;0,1,0)</f>
        <v>0</v>
      </c>
      <c r="AN869" s="331">
        <f>IF(NFI_Expiration=1,IF($A869&lt;VLOOKUP(V$5,NFI,5,0),1,0)*Table_NFI[[#This Row],[Jerry Can]],Table_NFI[Jerry Can])</f>
        <v>0</v>
      </c>
      <c r="AO869" s="331">
        <f>IF(NFI_Expiration=1,IF($A869&lt;VLOOKUP(V$5,NFI,5,0),1,0)*Table_NFI[[#This Row],[Shelter Tool kit]],Table_NFI[Shelter Tool kit])</f>
        <v>0</v>
      </c>
      <c r="AP869" s="331">
        <f>IF(NFI_Expiration=1,IF($A869&lt;VLOOKUP(V$5,NFI,5,0),1,0)*Table_NFI[[#This Row],[Tent]],Table_NFI[Tent])</f>
        <v>0</v>
      </c>
      <c r="AQ869" s="467" t="str">
        <f>IFERROR(VLOOKUP(Table_NFI[[#This Row],[Camp Name]],CL,2,0),"")</f>
        <v>MMR001CMP032</v>
      </c>
      <c r="AR869" s="835">
        <f ca="1">IF(Table_NFI[[#This Row],[Pcode]]="","",IF(OFFSET(CampList[Opening Date],MATCH(Table_NFI[[#This Row],[Pcode]],CampList[CP_Pcode],0)-1,0,1,1)&gt;=NFI_Monitor_Date,1,0))</f>
        <v>0</v>
      </c>
      <c r="AS869" s="467" t="str">
        <f>IFERROR(VLOOKUP(Table_NFI[[#This Row],[Camp Name]],CL,3,0),"")</f>
        <v>Open</v>
      </c>
      <c r="AT869" s="294" t="str">
        <f ca="1">IF(Table_NFI[[#This Row],[Pcode]]="","",OFFSET(CampList[Priority],MATCH(Table_NFI[[#This Row],[Pcode]],CampList[CP_Pcode],0)-1,0,1,1))</f>
        <v>P4</v>
      </c>
      <c r="AU869" s="293">
        <f>IFERROR(Table_NFI[[#This Row],[Kitchen Set]]/VLOOKUP(Table_NFI[[#This Row],[Camp Name]],CL,4,0),"")</f>
        <v>1.2277470841006753E-4</v>
      </c>
      <c r="AV869" s="461" t="s">
        <v>1092</v>
      </c>
      <c r="AW869" s="463"/>
    </row>
    <row r="870" spans="1:49" ht="14.45" customHeight="1" x14ac:dyDescent="0.25">
      <c r="A870" s="297">
        <f t="shared" si="13"/>
        <v>50.43333333333333</v>
      </c>
      <c r="B870" s="460">
        <v>41223</v>
      </c>
      <c r="C870" s="461" t="s">
        <v>452</v>
      </c>
      <c r="D870" s="461" t="s">
        <v>452</v>
      </c>
      <c r="E870" s="461" t="s">
        <v>380</v>
      </c>
      <c r="F870" s="461" t="s">
        <v>527</v>
      </c>
      <c r="G870" s="290" t="s">
        <v>88</v>
      </c>
      <c r="H870" s="291"/>
      <c r="I870" s="291"/>
      <c r="J870" s="291"/>
      <c r="K870" s="291">
        <v>12</v>
      </c>
      <c r="L870" s="292">
        <v>0</v>
      </c>
      <c r="M870" s="292">
        <v>12</v>
      </c>
      <c r="N870" s="292">
        <v>0</v>
      </c>
      <c r="O870" s="292">
        <v>0</v>
      </c>
      <c r="P870" s="294"/>
      <c r="Q870" s="294"/>
      <c r="R870" s="294"/>
      <c r="S870" s="294"/>
      <c r="T870" s="294"/>
      <c r="U870" s="294"/>
      <c r="V870" s="431"/>
      <c r="W870" s="294"/>
      <c r="X870" s="294"/>
      <c r="Y870" s="294">
        <f>IF(NFI_Expiration=1,IF($A870&lt;VLOOKUP(H$5,NFI,5,0),1,0)*Table_NFI[[#This Row],[Hygiene Kit]],Table_NFI[Hygiene Kit])</f>
        <v>0</v>
      </c>
      <c r="Z870" s="294">
        <f>IF(NFI_Expiration=1,IF($A870&lt;VLOOKUP(I$5,NFI,5,0),1,0)*Table_NFI[[#This Row],[NFI Core Kit]],Table_NFI[NFI Core Kit])</f>
        <v>0</v>
      </c>
      <c r="AA870" s="294">
        <f>IF(NFI_Expiration=1,IF($A870&lt;VLOOKUP(J$5,NFI,5,0),1,0)*Table_NFI[[#This Row],[Sanitary Kit]],Table_NFI[Sanitary Kit])</f>
        <v>0</v>
      </c>
      <c r="AB870" s="294">
        <f>IF(NFI_Expiration=1,IF($A870&lt;VLOOKUP(K$5,NFI,5,0),1,0)*Table_NFI[[#This Row],[Mosquito net]],Table_NFI[Mosquito net])</f>
        <v>0</v>
      </c>
      <c r="AC870" s="294">
        <f>IF(NFI_Expiration=1,IF($A870&lt;VLOOKUP(L$5,NFI,5,0),1,0)*Table_NFI[[#This Row],[Tarpaulin]],Table_NFI[[#This Row],[Tarpaulin]])</f>
        <v>0</v>
      </c>
      <c r="AD870" s="294">
        <f>IF(NFI_Expiration=1,IF($A870&lt;VLOOKUP(M$5,NFI,5,0),1,0)*Table_NFI[[#This Row],[Blanket]],Table_NFI[[#This Row],[Blanket]])</f>
        <v>0</v>
      </c>
      <c r="AE870" s="294">
        <f>IF(NFI_Expiration=1,IF($A870&lt;VLOOKUP(N$5,NFI,5,0),1,0)*Table_NFI[[#This Row],[Kitchen Set]],Table_NFI[Kitchen Set])</f>
        <v>0</v>
      </c>
      <c r="AF870" s="294">
        <f>IF(NFI_Expiration=1,IF($A870&lt;VLOOKUP(O$5,NFI,5,0),1,0)*Table_NFI[[#This Row],[Clothes Kit]],Table_NFI[Clothes Kit])</f>
        <v>0</v>
      </c>
      <c r="AG870" s="294">
        <f>IF(NFI_Expiration=1,IF($A870&lt;VLOOKUP(P$5,NFI,5,0),1,0)*Table_NFI[[#This Row],[Plastic Bucket]],Table_NFI[Plastic Bucket])</f>
        <v>0</v>
      </c>
      <c r="AH870" s="294">
        <f>IF(NFI_Expiration=1,IF($A870&lt;VLOOKUP(Q$5,NFI,5,0),1,0)*Table_NFI[[#This Row],[Plastic Mat]],Table_NFI[Plastic Mat])*IF(Table_NFI[[#This Row],[Distribution Date]]&gt;"2014-04-01",1,2.5)</f>
        <v>0</v>
      </c>
      <c r="AI870" s="294">
        <f>IF(NFI_Expiration=1,IF($A870&lt;VLOOKUP(R$5,NFI,5,0),1,0)*Table_NFI[[#This Row],[Winter Clothes Adult]],Table_NFI[Winter Clothes Adult])</f>
        <v>0</v>
      </c>
      <c r="AJ870" s="294">
        <f>IF(NFI_Expiration=1,IF($A870&lt;VLOOKUP(S$5,NFI,5,0),1,0)*Table_NFI[[#This Row],[Winter Clothes Children]],Table_NFI[Winter Clothes Children])</f>
        <v>0</v>
      </c>
      <c r="AK870" s="294">
        <f>IF(NFI_Expiration=1,IF($A870&lt;VLOOKUP(T$5,NFI,5,0),1,0)*Table_NFI[[#This Row],[Winter Items Other]],Table_NFI[Winter Items Other])</f>
        <v>0</v>
      </c>
      <c r="AL870" s="294">
        <f>IF(NFI_Expiration=1,IF($A870&lt;VLOOKUP(M$5,NFI,5,0),1,0)*Table_NFI[[#This Row],[Winter Blanket]],Table_NFI[[#This Row],[Winter Blanket]])</f>
        <v>0</v>
      </c>
      <c r="AM870" s="294">
        <f>IF(Table_NFI[[#This Row],[Winter Clothes Adult]]+Table_NFI[[#This Row],[Winter Clothes Children]]+Table_NFI[[#This Row],[Winter Items Other]]+Table_NFI[[#This Row],[Winter Blanket]]&gt;0,1,0)</f>
        <v>0</v>
      </c>
      <c r="AN870" s="331">
        <f>IF(NFI_Expiration=1,IF($A870&lt;VLOOKUP(V$5,NFI,5,0),1,0)*Table_NFI[[#This Row],[Jerry Can]],Table_NFI[Jerry Can])</f>
        <v>0</v>
      </c>
      <c r="AO870" s="331">
        <f>IF(NFI_Expiration=1,IF($A870&lt;VLOOKUP(V$5,NFI,5,0),1,0)*Table_NFI[[#This Row],[Shelter Tool kit]],Table_NFI[Shelter Tool kit])</f>
        <v>0</v>
      </c>
      <c r="AP870" s="331">
        <f>IF(NFI_Expiration=1,IF($A870&lt;VLOOKUP(V$5,NFI,5,0),1,0)*Table_NFI[[#This Row],[Tent]],Table_NFI[Tent])</f>
        <v>0</v>
      </c>
      <c r="AQ870" s="467" t="str">
        <f>IFERROR(VLOOKUP(Table_NFI[[#This Row],[Camp Name]],CL,2,0),"")</f>
        <v>MMR001CMP148</v>
      </c>
      <c r="AR870" s="835">
        <f ca="1">IF(Table_NFI[[#This Row],[Pcode]]="","",IF(OFFSET(CampList[Opening Date],MATCH(Table_NFI[[#This Row],[Pcode]],CampList[CP_Pcode],0)-1,0,1,1)&gt;=NFI_Monitor_Date,1,0))</f>
        <v>0</v>
      </c>
      <c r="AS870" s="467" t="str">
        <f>IFERROR(VLOOKUP(Table_NFI[[#This Row],[Camp Name]],CL,3,0),"")</f>
        <v>Open</v>
      </c>
      <c r="AT870" s="294" t="str">
        <f ca="1">IF(Table_NFI[[#This Row],[Pcode]]="","",OFFSET(CampList[Priority],MATCH(Table_NFI[[#This Row],[Pcode]],CampList[CP_Pcode],0)-1,0,1,1))</f>
        <v>P4</v>
      </c>
      <c r="AU870" s="293">
        <f>IFERROR(Table_NFI[[#This Row],[Kitchen Set]]/VLOOKUP(Table_NFI[[#This Row],[Camp Name]],CL,4,0),"")</f>
        <v>0</v>
      </c>
      <c r="AV870" s="461" t="s">
        <v>1092</v>
      </c>
      <c r="AW870" s="463"/>
    </row>
    <row r="871" spans="1:49" ht="14.45" customHeight="1" x14ac:dyDescent="0.25">
      <c r="A871" s="297">
        <f t="shared" si="13"/>
        <v>50.6</v>
      </c>
      <c r="B871" s="460">
        <v>41218</v>
      </c>
      <c r="C871" s="461" t="s">
        <v>452</v>
      </c>
      <c r="D871" s="462" t="s">
        <v>452</v>
      </c>
      <c r="E871" s="461" t="s">
        <v>380</v>
      </c>
      <c r="F871" s="290" t="s">
        <v>527</v>
      </c>
      <c r="G871" s="290" t="s">
        <v>88</v>
      </c>
      <c r="H871" s="291"/>
      <c r="I871" s="291"/>
      <c r="J871" s="291"/>
      <c r="K871" s="291">
        <v>70</v>
      </c>
      <c r="L871" s="292">
        <v>40</v>
      </c>
      <c r="M871" s="292">
        <v>70</v>
      </c>
      <c r="N871" s="292">
        <v>40</v>
      </c>
      <c r="O871" s="292">
        <v>40</v>
      </c>
      <c r="P871" s="294">
        <v>40</v>
      </c>
      <c r="Q871" s="294">
        <v>40</v>
      </c>
      <c r="R871" s="294"/>
      <c r="S871" s="294"/>
      <c r="T871" s="294"/>
      <c r="U871" s="294"/>
      <c r="V871" s="431"/>
      <c r="W871" s="294"/>
      <c r="X871" s="294"/>
      <c r="Y871" s="294">
        <f>IF(NFI_Expiration=1,IF($A871&lt;VLOOKUP(H$5,NFI,5,0),1,0)*Table_NFI[[#This Row],[Hygiene Kit]],Table_NFI[Hygiene Kit])</f>
        <v>0</v>
      </c>
      <c r="Z871" s="294">
        <f>IF(NFI_Expiration=1,IF($A871&lt;VLOOKUP(I$5,NFI,5,0),1,0)*Table_NFI[[#This Row],[NFI Core Kit]],Table_NFI[NFI Core Kit])</f>
        <v>0</v>
      </c>
      <c r="AA871" s="294">
        <f>IF(NFI_Expiration=1,IF($A871&lt;VLOOKUP(J$5,NFI,5,0),1,0)*Table_NFI[[#This Row],[Sanitary Kit]],Table_NFI[Sanitary Kit])</f>
        <v>0</v>
      </c>
      <c r="AB871" s="294">
        <f>IF(NFI_Expiration=1,IF($A871&lt;VLOOKUP(K$5,NFI,5,0),1,0)*Table_NFI[[#This Row],[Mosquito net]],Table_NFI[Mosquito net])</f>
        <v>0</v>
      </c>
      <c r="AC871" s="294">
        <f>IF(NFI_Expiration=1,IF($A871&lt;VLOOKUP(L$5,NFI,5,0),1,0)*Table_NFI[[#This Row],[Tarpaulin]],Table_NFI[[#This Row],[Tarpaulin]])</f>
        <v>0</v>
      </c>
      <c r="AD871" s="294">
        <f>IF(NFI_Expiration=1,IF($A871&lt;VLOOKUP(M$5,NFI,5,0),1,0)*Table_NFI[[#This Row],[Blanket]],Table_NFI[[#This Row],[Blanket]])</f>
        <v>0</v>
      </c>
      <c r="AE871" s="294">
        <f>IF(NFI_Expiration=1,IF($A871&lt;VLOOKUP(N$5,NFI,5,0),1,0)*Table_NFI[[#This Row],[Kitchen Set]],Table_NFI[Kitchen Set])</f>
        <v>0</v>
      </c>
      <c r="AF871" s="294">
        <f>IF(NFI_Expiration=1,IF($A871&lt;VLOOKUP(O$5,NFI,5,0),1,0)*Table_NFI[[#This Row],[Clothes Kit]],Table_NFI[Clothes Kit])</f>
        <v>0</v>
      </c>
      <c r="AG871" s="294">
        <f>IF(NFI_Expiration=1,IF($A871&lt;VLOOKUP(P$5,NFI,5,0),1,0)*Table_NFI[[#This Row],[Plastic Bucket]],Table_NFI[Plastic Bucket])</f>
        <v>0</v>
      </c>
      <c r="AH871" s="294">
        <f>IF(NFI_Expiration=1,IF($A871&lt;VLOOKUP(Q$5,NFI,5,0),1,0)*Table_NFI[[#This Row],[Plastic Mat]],Table_NFI[Plastic Mat])*IF(Table_NFI[[#This Row],[Distribution Date]]&gt;"2014-04-01",1,2.5)</f>
        <v>0</v>
      </c>
      <c r="AI871" s="294">
        <f>IF(NFI_Expiration=1,IF($A871&lt;VLOOKUP(R$5,NFI,5,0),1,0)*Table_NFI[[#This Row],[Winter Clothes Adult]],Table_NFI[Winter Clothes Adult])</f>
        <v>0</v>
      </c>
      <c r="AJ871" s="294">
        <f>IF(NFI_Expiration=1,IF($A871&lt;VLOOKUP(S$5,NFI,5,0),1,0)*Table_NFI[[#This Row],[Winter Clothes Children]],Table_NFI[Winter Clothes Children])</f>
        <v>0</v>
      </c>
      <c r="AK871" s="294">
        <f>IF(NFI_Expiration=1,IF($A871&lt;VLOOKUP(T$5,NFI,5,0),1,0)*Table_NFI[[#This Row],[Winter Items Other]],Table_NFI[Winter Items Other])</f>
        <v>0</v>
      </c>
      <c r="AL871" s="294">
        <f>IF(NFI_Expiration=1,IF($A871&lt;VLOOKUP(M$5,NFI,5,0),1,0)*Table_NFI[[#This Row],[Winter Blanket]],Table_NFI[[#This Row],[Winter Blanket]])</f>
        <v>0</v>
      </c>
      <c r="AM871" s="294">
        <f>IF(Table_NFI[[#This Row],[Winter Clothes Adult]]+Table_NFI[[#This Row],[Winter Clothes Children]]+Table_NFI[[#This Row],[Winter Items Other]]+Table_NFI[[#This Row],[Winter Blanket]]&gt;0,1,0)</f>
        <v>0</v>
      </c>
      <c r="AN871" s="331">
        <f>IF(NFI_Expiration=1,IF($A871&lt;VLOOKUP(V$5,NFI,5,0),1,0)*Table_NFI[[#This Row],[Jerry Can]],Table_NFI[Jerry Can])</f>
        <v>0</v>
      </c>
      <c r="AO871" s="331">
        <f>IF(NFI_Expiration=1,IF($A871&lt;VLOOKUP(V$5,NFI,5,0),1,0)*Table_NFI[[#This Row],[Shelter Tool kit]],Table_NFI[Shelter Tool kit])</f>
        <v>0</v>
      </c>
      <c r="AP871" s="331">
        <f>IF(NFI_Expiration=1,IF($A871&lt;VLOOKUP(V$5,NFI,5,0),1,0)*Table_NFI[[#This Row],[Tent]],Table_NFI[Tent])</f>
        <v>0</v>
      </c>
      <c r="AQ871" s="467" t="str">
        <f>IFERROR(VLOOKUP(Table_NFI[[#This Row],[Camp Name]],CL,2,0),"")</f>
        <v>MMR001CMP148</v>
      </c>
      <c r="AR871" s="835">
        <f ca="1">IF(Table_NFI[[#This Row],[Pcode]]="","",IF(OFFSET(CampList[Opening Date],MATCH(Table_NFI[[#This Row],[Pcode]],CampList[CP_Pcode],0)-1,0,1,1)&gt;=NFI_Monitor_Date,1,0))</f>
        <v>0</v>
      </c>
      <c r="AS871" s="467" t="str">
        <f>IFERROR(VLOOKUP(Table_NFI[[#This Row],[Camp Name]],CL,3,0),"")</f>
        <v>Open</v>
      </c>
      <c r="AT871" s="294" t="str">
        <f ca="1">IF(Table_NFI[[#This Row],[Pcode]]="","",OFFSET(CampList[Priority],MATCH(Table_NFI[[#This Row],[Pcode]],CampList[CP_Pcode],0)-1,0,1,1))</f>
        <v>P4</v>
      </c>
      <c r="AU871" s="293">
        <f>IFERROR(Table_NFI[[#This Row],[Kitchen Set]]/VLOOKUP(Table_NFI[[#This Row],[Camp Name]],CL,4,0),"")</f>
        <v>9.7127455503484453E-4</v>
      </c>
      <c r="AV871" s="461" t="s">
        <v>1092</v>
      </c>
      <c r="AW871" s="463"/>
    </row>
    <row r="872" spans="1:49" ht="14.45" customHeight="1" x14ac:dyDescent="0.25">
      <c r="A872" s="297">
        <f t="shared" si="13"/>
        <v>50.966666666666669</v>
      </c>
      <c r="B872" s="460">
        <v>41207</v>
      </c>
      <c r="C872" s="461" t="s">
        <v>905</v>
      </c>
      <c r="D872" s="461" t="s">
        <v>905</v>
      </c>
      <c r="E872" s="461" t="s">
        <v>380</v>
      </c>
      <c r="F872" s="290" t="s">
        <v>185</v>
      </c>
      <c r="G872" s="290" t="s">
        <v>521</v>
      </c>
      <c r="H872" s="294">
        <v>23</v>
      </c>
      <c r="I872" s="291"/>
      <c r="J872" s="291"/>
      <c r="K872" s="291"/>
      <c r="L872" s="292"/>
      <c r="M872" s="292"/>
      <c r="N872" s="292"/>
      <c r="O872" s="292"/>
      <c r="P872" s="294"/>
      <c r="Q872" s="294"/>
      <c r="R872" s="294"/>
      <c r="S872" s="294"/>
      <c r="T872" s="294"/>
      <c r="U872" s="294"/>
      <c r="V872" s="431"/>
      <c r="W872" s="294"/>
      <c r="X872" s="294"/>
      <c r="Y872" s="294">
        <f>IF(NFI_Expiration=1,IF($A872&lt;VLOOKUP(H$5,NFI,5,0),1,0)*Table_NFI[[#This Row],[Hygiene Kit]],Table_NFI[Hygiene Kit])</f>
        <v>0</v>
      </c>
      <c r="Z872" s="294">
        <f>IF(NFI_Expiration=1,IF($A872&lt;VLOOKUP(I$5,NFI,5,0),1,0)*Table_NFI[[#This Row],[NFI Core Kit]],Table_NFI[NFI Core Kit])</f>
        <v>0</v>
      </c>
      <c r="AA872" s="294">
        <f>IF(NFI_Expiration=1,IF($A872&lt;VLOOKUP(J$5,NFI,5,0),1,0)*Table_NFI[[#This Row],[Sanitary Kit]],Table_NFI[Sanitary Kit])</f>
        <v>0</v>
      </c>
      <c r="AB872" s="294">
        <f>IF(NFI_Expiration=1,IF($A872&lt;VLOOKUP(K$5,NFI,5,0),1,0)*Table_NFI[[#This Row],[Mosquito net]],Table_NFI[Mosquito net])</f>
        <v>0</v>
      </c>
      <c r="AC872" s="294">
        <f>IF(NFI_Expiration=1,IF($A872&lt;VLOOKUP(L$5,NFI,5,0),1,0)*Table_NFI[[#This Row],[Tarpaulin]],Table_NFI[[#This Row],[Tarpaulin]])</f>
        <v>0</v>
      </c>
      <c r="AD872" s="294">
        <f>IF(NFI_Expiration=1,IF($A872&lt;VLOOKUP(M$5,NFI,5,0),1,0)*Table_NFI[[#This Row],[Blanket]],Table_NFI[[#This Row],[Blanket]])</f>
        <v>0</v>
      </c>
      <c r="AE872" s="294">
        <f>IF(NFI_Expiration=1,IF($A872&lt;VLOOKUP(N$5,NFI,5,0),1,0)*Table_NFI[[#This Row],[Kitchen Set]],Table_NFI[Kitchen Set])</f>
        <v>0</v>
      </c>
      <c r="AF872" s="294">
        <f>IF(NFI_Expiration=1,IF($A872&lt;VLOOKUP(O$5,NFI,5,0),1,0)*Table_NFI[[#This Row],[Clothes Kit]],Table_NFI[Clothes Kit])</f>
        <v>0</v>
      </c>
      <c r="AG872" s="294">
        <f>IF(NFI_Expiration=1,IF($A872&lt;VLOOKUP(P$5,NFI,5,0),1,0)*Table_NFI[[#This Row],[Plastic Bucket]],Table_NFI[Plastic Bucket])</f>
        <v>0</v>
      </c>
      <c r="AH872" s="294">
        <f>IF(NFI_Expiration=1,IF($A872&lt;VLOOKUP(Q$5,NFI,5,0),1,0)*Table_NFI[[#This Row],[Plastic Mat]],Table_NFI[Plastic Mat])*IF(Table_NFI[[#This Row],[Distribution Date]]&gt;"2014-04-01",1,2.5)</f>
        <v>0</v>
      </c>
      <c r="AI872" s="294">
        <f>IF(NFI_Expiration=1,IF($A872&lt;VLOOKUP(R$5,NFI,5,0),1,0)*Table_NFI[[#This Row],[Winter Clothes Adult]],Table_NFI[Winter Clothes Adult])</f>
        <v>0</v>
      </c>
      <c r="AJ872" s="294">
        <f>IF(NFI_Expiration=1,IF($A872&lt;VLOOKUP(S$5,NFI,5,0),1,0)*Table_NFI[[#This Row],[Winter Clothes Children]],Table_NFI[Winter Clothes Children])</f>
        <v>0</v>
      </c>
      <c r="AK872" s="294">
        <f>IF(NFI_Expiration=1,IF($A872&lt;VLOOKUP(T$5,NFI,5,0),1,0)*Table_NFI[[#This Row],[Winter Items Other]],Table_NFI[Winter Items Other])</f>
        <v>0</v>
      </c>
      <c r="AL872" s="294">
        <f>IF(NFI_Expiration=1,IF($A872&lt;VLOOKUP(M$5,NFI,5,0),1,0)*Table_NFI[[#This Row],[Winter Blanket]],Table_NFI[[#This Row],[Winter Blanket]])</f>
        <v>0</v>
      </c>
      <c r="AM872" s="294">
        <f>IF(Table_NFI[[#This Row],[Winter Clothes Adult]]+Table_NFI[[#This Row],[Winter Clothes Children]]+Table_NFI[[#This Row],[Winter Items Other]]+Table_NFI[[#This Row],[Winter Blanket]]&gt;0,1,0)</f>
        <v>0</v>
      </c>
      <c r="AN872" s="331">
        <f>IF(NFI_Expiration=1,IF($A872&lt;VLOOKUP(V$5,NFI,5,0),1,0)*Table_NFI[[#This Row],[Jerry Can]],Table_NFI[Jerry Can])</f>
        <v>0</v>
      </c>
      <c r="AO872" s="331">
        <f>IF(NFI_Expiration=1,IF($A872&lt;VLOOKUP(V$5,NFI,5,0),1,0)*Table_NFI[[#This Row],[Shelter Tool kit]],Table_NFI[Shelter Tool kit])</f>
        <v>0</v>
      </c>
      <c r="AP872" s="331">
        <f>IF(NFI_Expiration=1,IF($A872&lt;VLOOKUP(V$5,NFI,5,0),1,0)*Table_NFI[[#This Row],[Tent]],Table_NFI[Tent])</f>
        <v>0</v>
      </c>
      <c r="AQ872" s="467" t="str">
        <f>IFERROR(VLOOKUP(Table_NFI[[#This Row],[Camp Name]],CL,2,0),"")</f>
        <v>MMR001CMP200</v>
      </c>
      <c r="AR872" s="835">
        <f ca="1">IF(Table_NFI[[#This Row],[Pcode]]="","",IF(OFFSET(CampList[Opening Date],MATCH(Table_NFI[[#This Row],[Pcode]],CampList[CP_Pcode],0)-1,0,1,1)&gt;=NFI_Monitor_Date,1,0))</f>
        <v>0</v>
      </c>
      <c r="AS872" s="467" t="str">
        <f>IFERROR(VLOOKUP(Table_NFI[[#This Row],[Camp Name]],CL,3,0),"")</f>
        <v>Open</v>
      </c>
      <c r="AT872" s="294" t="str">
        <f ca="1">IF(Table_NFI[[#This Row],[Pcode]]="","",OFFSET(CampList[Priority],MATCH(Table_NFI[[#This Row],[Pcode]],CampList[CP_Pcode],0)-1,0,1,1))</f>
        <v>P4</v>
      </c>
      <c r="AU872" s="293" t="str">
        <f>IFERROR(Table_NFI[[#This Row],[Kitchen Set]]/VLOOKUP(Table_NFI[[#This Row],[Camp Name]],CL,4,0),"")</f>
        <v/>
      </c>
      <c r="AV872" s="461"/>
      <c r="AW872" s="463"/>
    </row>
    <row r="873" spans="1:49" ht="14.45" customHeight="1" x14ac:dyDescent="0.25">
      <c r="A873" s="297">
        <f t="shared" si="13"/>
        <v>51.166666666666664</v>
      </c>
      <c r="B873" s="460">
        <v>41201</v>
      </c>
      <c r="C873" s="461" t="s">
        <v>905</v>
      </c>
      <c r="D873" s="461" t="s">
        <v>905</v>
      </c>
      <c r="E873" s="461" t="s">
        <v>380</v>
      </c>
      <c r="F873" s="461" t="s">
        <v>5</v>
      </c>
      <c r="G873" s="461" t="s">
        <v>24</v>
      </c>
      <c r="H873" s="294">
        <v>47</v>
      </c>
      <c r="I873" s="291"/>
      <c r="J873" s="291"/>
      <c r="K873" s="291"/>
      <c r="L873" s="292"/>
      <c r="M873" s="292"/>
      <c r="N873" s="292"/>
      <c r="O873" s="292"/>
      <c r="P873" s="294"/>
      <c r="Q873" s="294"/>
      <c r="R873" s="294"/>
      <c r="S873" s="294"/>
      <c r="T873" s="294"/>
      <c r="U873" s="294"/>
      <c r="V873" s="431"/>
      <c r="W873" s="294"/>
      <c r="X873" s="294"/>
      <c r="Y873" s="294">
        <f>IF(NFI_Expiration=1,IF($A873&lt;VLOOKUP(H$5,NFI,5,0),1,0)*Table_NFI[[#This Row],[Hygiene Kit]],Table_NFI[Hygiene Kit])</f>
        <v>0</v>
      </c>
      <c r="Z873" s="294">
        <f>IF(NFI_Expiration=1,IF($A873&lt;VLOOKUP(I$5,NFI,5,0),1,0)*Table_NFI[[#This Row],[NFI Core Kit]],Table_NFI[NFI Core Kit])</f>
        <v>0</v>
      </c>
      <c r="AA873" s="294">
        <f>IF(NFI_Expiration=1,IF($A873&lt;VLOOKUP(J$5,NFI,5,0),1,0)*Table_NFI[[#This Row],[Sanitary Kit]],Table_NFI[Sanitary Kit])</f>
        <v>0</v>
      </c>
      <c r="AB873" s="294">
        <f>IF(NFI_Expiration=1,IF($A873&lt;VLOOKUP(K$5,NFI,5,0),1,0)*Table_NFI[[#This Row],[Mosquito net]],Table_NFI[Mosquito net])</f>
        <v>0</v>
      </c>
      <c r="AC873" s="294">
        <f>IF(NFI_Expiration=1,IF($A873&lt;VLOOKUP(L$5,NFI,5,0),1,0)*Table_NFI[[#This Row],[Tarpaulin]],Table_NFI[[#This Row],[Tarpaulin]])</f>
        <v>0</v>
      </c>
      <c r="AD873" s="294">
        <f>IF(NFI_Expiration=1,IF($A873&lt;VLOOKUP(M$5,NFI,5,0),1,0)*Table_NFI[[#This Row],[Blanket]],Table_NFI[[#This Row],[Blanket]])</f>
        <v>0</v>
      </c>
      <c r="AE873" s="294">
        <f>IF(NFI_Expiration=1,IF($A873&lt;VLOOKUP(N$5,NFI,5,0),1,0)*Table_NFI[[#This Row],[Kitchen Set]],Table_NFI[Kitchen Set])</f>
        <v>0</v>
      </c>
      <c r="AF873" s="294">
        <f>IF(NFI_Expiration=1,IF($A873&lt;VLOOKUP(O$5,NFI,5,0),1,0)*Table_NFI[[#This Row],[Clothes Kit]],Table_NFI[Clothes Kit])</f>
        <v>0</v>
      </c>
      <c r="AG873" s="294">
        <f>IF(NFI_Expiration=1,IF($A873&lt;VLOOKUP(P$5,NFI,5,0),1,0)*Table_NFI[[#This Row],[Plastic Bucket]],Table_NFI[Plastic Bucket])</f>
        <v>0</v>
      </c>
      <c r="AH873" s="294">
        <f>IF(NFI_Expiration=1,IF($A873&lt;VLOOKUP(Q$5,NFI,5,0),1,0)*Table_NFI[[#This Row],[Plastic Mat]],Table_NFI[Plastic Mat])*IF(Table_NFI[[#This Row],[Distribution Date]]&gt;"2014-04-01",1,2.5)</f>
        <v>0</v>
      </c>
      <c r="AI873" s="294">
        <f>IF(NFI_Expiration=1,IF($A873&lt;VLOOKUP(R$5,NFI,5,0),1,0)*Table_NFI[[#This Row],[Winter Clothes Adult]],Table_NFI[Winter Clothes Adult])</f>
        <v>0</v>
      </c>
      <c r="AJ873" s="294">
        <f>IF(NFI_Expiration=1,IF($A873&lt;VLOOKUP(S$5,NFI,5,0),1,0)*Table_NFI[[#This Row],[Winter Clothes Children]],Table_NFI[Winter Clothes Children])</f>
        <v>0</v>
      </c>
      <c r="AK873" s="294">
        <f>IF(NFI_Expiration=1,IF($A873&lt;VLOOKUP(T$5,NFI,5,0),1,0)*Table_NFI[[#This Row],[Winter Items Other]],Table_NFI[Winter Items Other])</f>
        <v>0</v>
      </c>
      <c r="AL873" s="294">
        <f>IF(NFI_Expiration=1,IF($A873&lt;VLOOKUP(M$5,NFI,5,0),1,0)*Table_NFI[[#This Row],[Winter Blanket]],Table_NFI[[#This Row],[Winter Blanket]])</f>
        <v>0</v>
      </c>
      <c r="AM873" s="294">
        <f>IF(Table_NFI[[#This Row],[Winter Clothes Adult]]+Table_NFI[[#This Row],[Winter Clothes Children]]+Table_NFI[[#This Row],[Winter Items Other]]+Table_NFI[[#This Row],[Winter Blanket]]&gt;0,1,0)</f>
        <v>0</v>
      </c>
      <c r="AN873" s="331">
        <f>IF(NFI_Expiration=1,IF($A873&lt;VLOOKUP(V$5,NFI,5,0),1,0)*Table_NFI[[#This Row],[Jerry Can]],Table_NFI[Jerry Can])</f>
        <v>0</v>
      </c>
      <c r="AO873" s="331">
        <f>IF(NFI_Expiration=1,IF($A873&lt;VLOOKUP(V$5,NFI,5,0),1,0)*Table_NFI[[#This Row],[Shelter Tool kit]],Table_NFI[Shelter Tool kit])</f>
        <v>0</v>
      </c>
      <c r="AP873" s="331">
        <f>IF(NFI_Expiration=1,IF($A873&lt;VLOOKUP(V$5,NFI,5,0),1,0)*Table_NFI[[#This Row],[Tent]],Table_NFI[Tent])</f>
        <v>0</v>
      </c>
      <c r="AQ873" s="467" t="str">
        <f>IFERROR(VLOOKUP(Table_NFI[[#This Row],[Camp Name]],CL,2,0),"")</f>
        <v>MMR001CMP055</v>
      </c>
      <c r="AR873" s="835">
        <f ca="1">IF(Table_NFI[[#This Row],[Pcode]]="","",IF(OFFSET(CampList[Opening Date],MATCH(Table_NFI[[#This Row],[Pcode]],CampList[CP_Pcode],0)-1,0,1,1)&gt;=NFI_Monitor_Date,1,0))</f>
        <v>0</v>
      </c>
      <c r="AS873" s="467" t="str">
        <f>IFERROR(VLOOKUP(Table_NFI[[#This Row],[Camp Name]],CL,3,0),"")</f>
        <v>Open</v>
      </c>
      <c r="AT873" s="294" t="str">
        <f ca="1">IF(Table_NFI[[#This Row],[Pcode]]="","",OFFSET(CampList[Priority],MATCH(Table_NFI[[#This Row],[Pcode]],CampList[CP_Pcode],0)-1,0,1,1))</f>
        <v>P4</v>
      </c>
      <c r="AU873" s="293">
        <f>IFERROR(Table_NFI[[#This Row],[Kitchen Set]]/VLOOKUP(Table_NFI[[#This Row],[Camp Name]],CL,4,0),"")</f>
        <v>0</v>
      </c>
      <c r="AV873" s="461"/>
      <c r="AW873" s="463"/>
    </row>
    <row r="874" spans="1:49" ht="14.45" customHeight="1" x14ac:dyDescent="0.25">
      <c r="A874" s="297">
        <f t="shared" si="13"/>
        <v>51.3</v>
      </c>
      <c r="B874" s="460">
        <v>41197</v>
      </c>
      <c r="C874" s="461" t="s">
        <v>905</v>
      </c>
      <c r="D874" s="461" t="s">
        <v>1002</v>
      </c>
      <c r="E874" s="461" t="s">
        <v>380</v>
      </c>
      <c r="F874" s="461" t="s">
        <v>302</v>
      </c>
      <c r="G874" s="461" t="s">
        <v>1430</v>
      </c>
      <c r="H874" s="294">
        <v>38</v>
      </c>
      <c r="I874" s="291"/>
      <c r="J874" s="292"/>
      <c r="K874" s="291"/>
      <c r="L874" s="292"/>
      <c r="M874" s="292"/>
      <c r="N874" s="292"/>
      <c r="O874" s="292"/>
      <c r="P874" s="294"/>
      <c r="Q874" s="294"/>
      <c r="R874" s="294"/>
      <c r="S874" s="294"/>
      <c r="T874" s="294"/>
      <c r="U874" s="294"/>
      <c r="V874" s="431"/>
      <c r="W874" s="294"/>
      <c r="X874" s="294"/>
      <c r="Y874" s="294">
        <f>IF(NFI_Expiration=1,IF($A874&lt;VLOOKUP(H$5,NFI,5,0),1,0)*Table_NFI[[#This Row],[Hygiene Kit]],Table_NFI[Hygiene Kit])</f>
        <v>0</v>
      </c>
      <c r="Z874" s="294">
        <f>IF(NFI_Expiration=1,IF($A874&lt;VLOOKUP(I$5,NFI,5,0),1,0)*Table_NFI[[#This Row],[NFI Core Kit]],Table_NFI[NFI Core Kit])</f>
        <v>0</v>
      </c>
      <c r="AA874" s="294">
        <f>IF(NFI_Expiration=1,IF($A874&lt;VLOOKUP(J$5,NFI,5,0),1,0)*Table_NFI[[#This Row],[Sanitary Kit]],Table_NFI[Sanitary Kit])</f>
        <v>0</v>
      </c>
      <c r="AB874" s="294">
        <f>IF(NFI_Expiration=1,IF($A874&lt;VLOOKUP(K$5,NFI,5,0),1,0)*Table_NFI[[#This Row],[Mosquito net]],Table_NFI[Mosquito net])</f>
        <v>0</v>
      </c>
      <c r="AC874" s="294">
        <f>IF(NFI_Expiration=1,IF($A874&lt;VLOOKUP(L$5,NFI,5,0),1,0)*Table_NFI[[#This Row],[Tarpaulin]],Table_NFI[[#This Row],[Tarpaulin]])</f>
        <v>0</v>
      </c>
      <c r="AD874" s="294">
        <f>IF(NFI_Expiration=1,IF($A874&lt;VLOOKUP(M$5,NFI,5,0),1,0)*Table_NFI[[#This Row],[Blanket]],Table_NFI[[#This Row],[Blanket]])</f>
        <v>0</v>
      </c>
      <c r="AE874" s="294">
        <f>IF(NFI_Expiration=1,IF($A874&lt;VLOOKUP(N$5,NFI,5,0),1,0)*Table_NFI[[#This Row],[Kitchen Set]],Table_NFI[Kitchen Set])</f>
        <v>0</v>
      </c>
      <c r="AF874" s="294">
        <f>IF(NFI_Expiration=1,IF($A874&lt;VLOOKUP(O$5,NFI,5,0),1,0)*Table_NFI[[#This Row],[Clothes Kit]],Table_NFI[Clothes Kit])</f>
        <v>0</v>
      </c>
      <c r="AG874" s="294">
        <f>IF(NFI_Expiration=1,IF($A874&lt;VLOOKUP(P$5,NFI,5,0),1,0)*Table_NFI[[#This Row],[Plastic Bucket]],Table_NFI[Plastic Bucket])</f>
        <v>0</v>
      </c>
      <c r="AH874" s="294">
        <f>IF(NFI_Expiration=1,IF($A874&lt;VLOOKUP(Q$5,NFI,5,0),1,0)*Table_NFI[[#This Row],[Plastic Mat]],Table_NFI[Plastic Mat])*IF(Table_NFI[[#This Row],[Distribution Date]]&gt;"2014-04-01",1,2.5)</f>
        <v>0</v>
      </c>
      <c r="AI874" s="294">
        <f>IF(NFI_Expiration=1,IF($A874&lt;VLOOKUP(R$5,NFI,5,0),1,0)*Table_NFI[[#This Row],[Winter Clothes Adult]],Table_NFI[Winter Clothes Adult])</f>
        <v>0</v>
      </c>
      <c r="AJ874" s="294">
        <f>IF(NFI_Expiration=1,IF($A874&lt;VLOOKUP(S$5,NFI,5,0),1,0)*Table_NFI[[#This Row],[Winter Clothes Children]],Table_NFI[Winter Clothes Children])</f>
        <v>0</v>
      </c>
      <c r="AK874" s="294">
        <f>IF(NFI_Expiration=1,IF($A874&lt;VLOOKUP(T$5,NFI,5,0),1,0)*Table_NFI[[#This Row],[Winter Items Other]],Table_NFI[Winter Items Other])</f>
        <v>0</v>
      </c>
      <c r="AL874" s="294">
        <f>IF(NFI_Expiration=1,IF($A874&lt;VLOOKUP(M$5,NFI,5,0),1,0)*Table_NFI[[#This Row],[Winter Blanket]],Table_NFI[[#This Row],[Winter Blanket]])</f>
        <v>0</v>
      </c>
      <c r="AM874" s="294">
        <f>IF(Table_NFI[[#This Row],[Winter Clothes Adult]]+Table_NFI[[#This Row],[Winter Clothes Children]]+Table_NFI[[#This Row],[Winter Items Other]]+Table_NFI[[#This Row],[Winter Blanket]]&gt;0,1,0)</f>
        <v>0</v>
      </c>
      <c r="AN874" s="331">
        <f>IF(NFI_Expiration=1,IF($A874&lt;VLOOKUP(V$5,NFI,5,0),1,0)*Table_NFI[[#This Row],[Jerry Can]],Table_NFI[Jerry Can])</f>
        <v>0</v>
      </c>
      <c r="AO874" s="331">
        <f>IF(NFI_Expiration=1,IF($A874&lt;VLOOKUP(V$5,NFI,5,0),1,0)*Table_NFI[[#This Row],[Shelter Tool kit]],Table_NFI[Shelter Tool kit])</f>
        <v>0</v>
      </c>
      <c r="AP874" s="331">
        <f>IF(NFI_Expiration=1,IF($A874&lt;VLOOKUP(V$5,NFI,5,0),1,0)*Table_NFI[[#This Row],[Tent]],Table_NFI[Tent])</f>
        <v>0</v>
      </c>
      <c r="AQ874" s="467" t="str">
        <f>IFERROR(VLOOKUP(Table_NFI[[#This Row],[Camp Name]],CL,2,0),"")</f>
        <v/>
      </c>
      <c r="AR874" s="835" t="str">
        <f ca="1">IF(Table_NFI[[#This Row],[Pcode]]="","",IF(OFFSET(CampList[Opening Date],MATCH(Table_NFI[[#This Row],[Pcode]],CampList[CP_Pcode],0)-1,0,1,1)&gt;=NFI_Monitor_Date,1,0))</f>
        <v/>
      </c>
      <c r="AS874" s="467" t="str">
        <f>IFERROR(VLOOKUP(Table_NFI[[#This Row],[Camp Name]],CL,3,0),"")</f>
        <v/>
      </c>
      <c r="AT874" s="294" t="str">
        <f ca="1">IF(Table_NFI[[#This Row],[Pcode]]="","",OFFSET(CampList[Priority],MATCH(Table_NFI[[#This Row],[Pcode]],CampList[CP_Pcode],0)-1,0,1,1))</f>
        <v/>
      </c>
      <c r="AU874" s="293" t="str">
        <f>IFERROR(Table_NFI[[#This Row],[Kitchen Set]]/VLOOKUP(Table_NFI[[#This Row],[Camp Name]],CL,4,0),"")</f>
        <v/>
      </c>
      <c r="AV874" s="461"/>
      <c r="AW874" s="463"/>
    </row>
    <row r="875" spans="1:49" x14ac:dyDescent="0.25">
      <c r="A875" s="297">
        <f t="shared" si="13"/>
        <v>51.43333333333333</v>
      </c>
      <c r="B875" s="460">
        <v>41193</v>
      </c>
      <c r="C875" s="461" t="s">
        <v>452</v>
      </c>
      <c r="D875" s="462" t="s">
        <v>452</v>
      </c>
      <c r="E875" s="461" t="s">
        <v>380</v>
      </c>
      <c r="F875" s="290" t="s">
        <v>185</v>
      </c>
      <c r="G875" s="290" t="s">
        <v>225</v>
      </c>
      <c r="H875" s="291"/>
      <c r="I875" s="291"/>
      <c r="J875" s="291"/>
      <c r="K875" s="291">
        <v>28</v>
      </c>
      <c r="L875" s="292">
        <v>17</v>
      </c>
      <c r="M875" s="292">
        <v>28</v>
      </c>
      <c r="N875" s="292">
        <v>17</v>
      </c>
      <c r="O875" s="292">
        <v>17</v>
      </c>
      <c r="P875" s="294">
        <v>17</v>
      </c>
      <c r="Q875" s="294">
        <v>17</v>
      </c>
      <c r="R875" s="294"/>
      <c r="S875" s="294"/>
      <c r="T875" s="294"/>
      <c r="U875" s="294"/>
      <c r="V875" s="431"/>
      <c r="W875" s="331"/>
      <c r="X875" s="331"/>
      <c r="Y875" s="294">
        <f>IF(NFI_Expiration=1,IF($A875&lt;VLOOKUP(H$5,NFI,5,0),1,0)*Table_NFI[[#This Row],[Hygiene Kit]],Table_NFI[Hygiene Kit])</f>
        <v>0</v>
      </c>
      <c r="Z875" s="294">
        <f>IF(NFI_Expiration=1,IF($A875&lt;VLOOKUP(I$5,NFI,5,0),1,0)*Table_NFI[[#This Row],[NFI Core Kit]],Table_NFI[NFI Core Kit])</f>
        <v>0</v>
      </c>
      <c r="AA875" s="294">
        <f>IF(NFI_Expiration=1,IF($A875&lt;VLOOKUP(J$5,NFI,5,0),1,0)*Table_NFI[[#This Row],[Sanitary Kit]],Table_NFI[Sanitary Kit])</f>
        <v>0</v>
      </c>
      <c r="AB875" s="294">
        <f>IF(NFI_Expiration=1,IF($A875&lt;VLOOKUP(K$5,NFI,5,0),1,0)*Table_NFI[[#This Row],[Mosquito net]],Table_NFI[Mosquito net])</f>
        <v>0</v>
      </c>
      <c r="AC875" s="294">
        <f>IF(NFI_Expiration=1,IF($A875&lt;VLOOKUP(L$5,NFI,5,0),1,0)*Table_NFI[[#This Row],[Tarpaulin]],Table_NFI[[#This Row],[Tarpaulin]])</f>
        <v>0</v>
      </c>
      <c r="AD875" s="294">
        <f>IF(NFI_Expiration=1,IF($A875&lt;VLOOKUP(M$5,NFI,5,0),1,0)*Table_NFI[[#This Row],[Blanket]],Table_NFI[[#This Row],[Blanket]])</f>
        <v>0</v>
      </c>
      <c r="AE875" s="294">
        <f>IF(NFI_Expiration=1,IF($A875&lt;VLOOKUP(N$5,NFI,5,0),1,0)*Table_NFI[[#This Row],[Kitchen Set]],Table_NFI[Kitchen Set])</f>
        <v>0</v>
      </c>
      <c r="AF875" s="294">
        <f>IF(NFI_Expiration=1,IF($A875&lt;VLOOKUP(O$5,NFI,5,0),1,0)*Table_NFI[[#This Row],[Clothes Kit]],Table_NFI[Clothes Kit])</f>
        <v>0</v>
      </c>
      <c r="AG875" s="294">
        <f>IF(NFI_Expiration=1,IF($A875&lt;VLOOKUP(P$5,NFI,5,0),1,0)*Table_NFI[[#This Row],[Plastic Bucket]],Table_NFI[Plastic Bucket])</f>
        <v>0</v>
      </c>
      <c r="AH875" s="294">
        <f>IF(NFI_Expiration=1,IF($A875&lt;VLOOKUP(Q$5,NFI,5,0),1,0)*Table_NFI[[#This Row],[Plastic Mat]],Table_NFI[Plastic Mat])*IF(Table_NFI[[#This Row],[Distribution Date]]&gt;"2014-04-01",1,2.5)</f>
        <v>0</v>
      </c>
      <c r="AI875" s="294">
        <f>IF(NFI_Expiration=1,IF($A875&lt;VLOOKUP(R$5,NFI,5,0),1,0)*Table_NFI[[#This Row],[Winter Clothes Adult]],Table_NFI[Winter Clothes Adult])</f>
        <v>0</v>
      </c>
      <c r="AJ875" s="294">
        <f>IF(NFI_Expiration=1,IF($A875&lt;VLOOKUP(S$5,NFI,5,0),1,0)*Table_NFI[[#This Row],[Winter Clothes Children]],Table_NFI[Winter Clothes Children])</f>
        <v>0</v>
      </c>
      <c r="AK875" s="294">
        <f>IF(NFI_Expiration=1,IF($A875&lt;VLOOKUP(T$5,NFI,5,0),1,0)*Table_NFI[[#This Row],[Winter Items Other]],Table_NFI[Winter Items Other])</f>
        <v>0</v>
      </c>
      <c r="AL875" s="294">
        <f>IF(NFI_Expiration=1,IF($A875&lt;VLOOKUP(M$5,NFI,5,0),1,0)*Table_NFI[[#This Row],[Winter Blanket]],Table_NFI[[#This Row],[Winter Blanket]])</f>
        <v>0</v>
      </c>
      <c r="AM875" s="294">
        <f>IF(Table_NFI[[#This Row],[Winter Clothes Adult]]+Table_NFI[[#This Row],[Winter Clothes Children]]+Table_NFI[[#This Row],[Winter Items Other]]+Table_NFI[[#This Row],[Winter Blanket]]&gt;0,1,0)</f>
        <v>0</v>
      </c>
      <c r="AN875" s="331">
        <f>IF(NFI_Expiration=1,IF($A875&lt;VLOOKUP(V$5,NFI,5,0),1,0)*Table_NFI[[#This Row],[Jerry Can]],Table_NFI[Jerry Can])</f>
        <v>0</v>
      </c>
      <c r="AO875" s="331">
        <f>IF(NFI_Expiration=1,IF($A875&lt;VLOOKUP(V$5,NFI,5,0),1,0)*Table_NFI[[#This Row],[Shelter Tool kit]],Table_NFI[Shelter Tool kit])</f>
        <v>0</v>
      </c>
      <c r="AP875" s="331">
        <f>IF(NFI_Expiration=1,IF($A875&lt;VLOOKUP(V$5,NFI,5,0),1,0)*Table_NFI[[#This Row],[Tent]],Table_NFI[Tent])</f>
        <v>0</v>
      </c>
      <c r="AQ875" s="467" t="str">
        <f>IFERROR(VLOOKUP(Table_NFI[[#This Row],[Camp Name]],CL,2,0),"")</f>
        <v>MMR001CMP073</v>
      </c>
      <c r="AR875" s="835">
        <f ca="1">IF(Table_NFI[[#This Row],[Pcode]]="","",IF(OFFSET(CampList[Opening Date],MATCH(Table_NFI[[#This Row],[Pcode]],CampList[CP_Pcode],0)-1,0,1,1)&gt;=NFI_Monitor_Date,1,0))</f>
        <v>0</v>
      </c>
      <c r="AS875" s="467" t="str">
        <f>IFERROR(VLOOKUP(Table_NFI[[#This Row],[Camp Name]],CL,3,0),"")</f>
        <v>Open</v>
      </c>
      <c r="AT875" s="294" t="str">
        <f ca="1">IF(Table_NFI[[#This Row],[Pcode]]="","",OFFSET(CampList[Priority],MATCH(Table_NFI[[#This Row],[Pcode]],CampList[CP_Pcode],0)-1,0,1,1))</f>
        <v>P3</v>
      </c>
      <c r="AU875" s="293">
        <f>IFERROR(Table_NFI[[#This Row],[Kitchen Set]]/VLOOKUP(Table_NFI[[#This Row],[Camp Name]],CL,4,0),"")</f>
        <v>4.1340401731433294E-4</v>
      </c>
      <c r="AV875" s="461" t="s">
        <v>1092</v>
      </c>
      <c r="AW875" s="463"/>
    </row>
    <row r="876" spans="1:49" x14ac:dyDescent="0.25">
      <c r="A876" s="297">
        <f t="shared" si="13"/>
        <v>51.8</v>
      </c>
      <c r="B876" s="460">
        <v>41182</v>
      </c>
      <c r="C876" s="461" t="s">
        <v>452</v>
      </c>
      <c r="D876" s="461" t="s">
        <v>904</v>
      </c>
      <c r="E876" s="461" t="s">
        <v>380</v>
      </c>
      <c r="F876" s="461" t="s">
        <v>27</v>
      </c>
      <c r="G876" s="290" t="s">
        <v>37</v>
      </c>
      <c r="H876" s="291"/>
      <c r="I876" s="291"/>
      <c r="J876" s="291"/>
      <c r="K876" s="291">
        <v>34</v>
      </c>
      <c r="L876" s="292">
        <v>12</v>
      </c>
      <c r="M876" s="292">
        <v>34</v>
      </c>
      <c r="N876" s="292">
        <v>12</v>
      </c>
      <c r="O876" s="292">
        <v>12</v>
      </c>
      <c r="P876" s="294">
        <v>12</v>
      </c>
      <c r="Q876" s="294">
        <v>12</v>
      </c>
      <c r="R876" s="294"/>
      <c r="S876" s="294"/>
      <c r="T876" s="294"/>
      <c r="U876" s="294"/>
      <c r="V876" s="613"/>
      <c r="W876" s="331"/>
      <c r="X876" s="331"/>
      <c r="Y876" s="294">
        <f>IF(NFI_Expiration=1,IF($A876&lt;VLOOKUP(H$5,NFI,5,0),1,0)*Table_NFI[[#This Row],[Hygiene Kit]],Table_NFI[Hygiene Kit])</f>
        <v>0</v>
      </c>
      <c r="Z876" s="294">
        <f>IF(NFI_Expiration=1,IF($A876&lt;VLOOKUP(I$5,NFI,5,0),1,0)*Table_NFI[[#This Row],[NFI Core Kit]],Table_NFI[NFI Core Kit])</f>
        <v>0</v>
      </c>
      <c r="AA876" s="294">
        <f>IF(NFI_Expiration=1,IF($A876&lt;VLOOKUP(J$5,NFI,5,0),1,0)*Table_NFI[[#This Row],[Sanitary Kit]],Table_NFI[Sanitary Kit])</f>
        <v>0</v>
      </c>
      <c r="AB876" s="294">
        <f>IF(NFI_Expiration=1,IF($A876&lt;VLOOKUP(K$5,NFI,5,0),1,0)*Table_NFI[[#This Row],[Mosquito net]],Table_NFI[Mosquito net])</f>
        <v>0</v>
      </c>
      <c r="AC876" s="294">
        <f>IF(NFI_Expiration=1,IF($A876&lt;VLOOKUP(L$5,NFI,5,0),1,0)*Table_NFI[[#This Row],[Tarpaulin]],Table_NFI[[#This Row],[Tarpaulin]])</f>
        <v>0</v>
      </c>
      <c r="AD876" s="294">
        <f>IF(NFI_Expiration=1,IF($A876&lt;VLOOKUP(M$5,NFI,5,0),1,0)*Table_NFI[[#This Row],[Blanket]],Table_NFI[[#This Row],[Blanket]])</f>
        <v>0</v>
      </c>
      <c r="AE876" s="294">
        <f>IF(NFI_Expiration=1,IF($A876&lt;VLOOKUP(N$5,NFI,5,0),1,0)*Table_NFI[[#This Row],[Kitchen Set]],Table_NFI[Kitchen Set])</f>
        <v>0</v>
      </c>
      <c r="AF876" s="294">
        <f>IF(NFI_Expiration=1,IF($A876&lt;VLOOKUP(O$5,NFI,5,0),1,0)*Table_NFI[[#This Row],[Clothes Kit]],Table_NFI[Clothes Kit])</f>
        <v>0</v>
      </c>
      <c r="AG876" s="294">
        <f>IF(NFI_Expiration=1,IF($A876&lt;VLOOKUP(P$5,NFI,5,0),1,0)*Table_NFI[[#This Row],[Plastic Bucket]],Table_NFI[Plastic Bucket])</f>
        <v>0</v>
      </c>
      <c r="AH876" s="294">
        <f>IF(NFI_Expiration=1,IF($A876&lt;VLOOKUP(Q$5,NFI,5,0),1,0)*Table_NFI[[#This Row],[Plastic Mat]],Table_NFI[Plastic Mat])*IF(Table_NFI[[#This Row],[Distribution Date]]&gt;"2014-04-01",1,2.5)</f>
        <v>0</v>
      </c>
      <c r="AI876" s="294">
        <f>IF(NFI_Expiration=1,IF($A876&lt;VLOOKUP(R$5,NFI,5,0),1,0)*Table_NFI[[#This Row],[Winter Clothes Adult]],Table_NFI[Winter Clothes Adult])</f>
        <v>0</v>
      </c>
      <c r="AJ876" s="294">
        <f>IF(NFI_Expiration=1,IF($A876&lt;VLOOKUP(S$5,NFI,5,0),1,0)*Table_NFI[[#This Row],[Winter Clothes Children]],Table_NFI[Winter Clothes Children])</f>
        <v>0</v>
      </c>
      <c r="AK876" s="294">
        <f>IF(NFI_Expiration=1,IF($A876&lt;VLOOKUP(T$5,NFI,5,0),1,0)*Table_NFI[[#This Row],[Winter Items Other]],Table_NFI[Winter Items Other])</f>
        <v>0</v>
      </c>
      <c r="AL876" s="294">
        <f>IF(NFI_Expiration=1,IF($A876&lt;VLOOKUP(M$5,NFI,5,0),1,0)*Table_NFI[[#This Row],[Winter Blanket]],Table_NFI[[#This Row],[Winter Blanket]])</f>
        <v>0</v>
      </c>
      <c r="AM876" s="294">
        <f>IF(Table_NFI[[#This Row],[Winter Clothes Adult]]+Table_NFI[[#This Row],[Winter Clothes Children]]+Table_NFI[[#This Row],[Winter Items Other]]+Table_NFI[[#This Row],[Winter Blanket]]&gt;0,1,0)</f>
        <v>0</v>
      </c>
      <c r="AN876" s="331">
        <f>IF(NFI_Expiration=1,IF($A876&lt;VLOOKUP(V$5,NFI,5,0),1,0)*Table_NFI[[#This Row],[Jerry Can]],Table_NFI[Jerry Can])</f>
        <v>0</v>
      </c>
      <c r="AO876" s="331">
        <f>IF(NFI_Expiration=1,IF($A876&lt;VLOOKUP(V$5,NFI,5,0),1,0)*Table_NFI[[#This Row],[Shelter Tool kit]],Table_NFI[Shelter Tool kit])</f>
        <v>0</v>
      </c>
      <c r="AP876" s="331">
        <f>IF(NFI_Expiration=1,IF($A876&lt;VLOOKUP(V$5,NFI,5,0),1,0)*Table_NFI[[#This Row],[Tent]],Table_NFI[Tent])</f>
        <v>0</v>
      </c>
      <c r="AQ876" s="467" t="str">
        <f>IFERROR(VLOOKUP(Table_NFI[[#This Row],[Camp Name]],CL,2,0),"")</f>
        <v>MMR001CMP044</v>
      </c>
      <c r="AR876" s="835">
        <f ca="1">IF(Table_NFI[[#This Row],[Pcode]]="","",IF(OFFSET(CampList[Opening Date],MATCH(Table_NFI[[#This Row],[Pcode]],CampList[CP_Pcode],0)-1,0,1,1)&gt;=NFI_Monitor_Date,1,0))</f>
        <v>0</v>
      </c>
      <c r="AS876" s="467" t="str">
        <f>IFERROR(VLOOKUP(Table_NFI[[#This Row],[Camp Name]],CL,3,0),"")</f>
        <v>Closed</v>
      </c>
      <c r="AT876" s="294" t="str">
        <f ca="1">IF(Table_NFI[[#This Row],[Pcode]]="","",OFFSET(CampList[Priority],MATCH(Table_NFI[[#This Row],[Pcode]],CampList[CP_Pcode],0)-1,0,1,1))</f>
        <v/>
      </c>
      <c r="AU876" s="293" t="str">
        <f>IFERROR(Table_NFI[[#This Row],[Kitchen Set]]/VLOOKUP(Table_NFI[[#This Row],[Camp Name]],CL,4,0),"")</f>
        <v/>
      </c>
      <c r="AV876" s="461" t="s">
        <v>1092</v>
      </c>
      <c r="AW876" s="463"/>
    </row>
    <row r="877" spans="1:49" x14ac:dyDescent="0.25">
      <c r="A877" s="297">
        <f t="shared" si="13"/>
        <v>51.833333333333336</v>
      </c>
      <c r="B877" s="460">
        <v>41181</v>
      </c>
      <c r="C877" s="461" t="s">
        <v>452</v>
      </c>
      <c r="D877" s="461" t="s">
        <v>904</v>
      </c>
      <c r="E877" s="461" t="s">
        <v>380</v>
      </c>
      <c r="F877" s="461" t="s">
        <v>27</v>
      </c>
      <c r="G877" s="290" t="s">
        <v>365</v>
      </c>
      <c r="H877" s="291"/>
      <c r="I877" s="291"/>
      <c r="J877" s="291"/>
      <c r="K877" s="291">
        <v>34</v>
      </c>
      <c r="L877" s="292">
        <v>12</v>
      </c>
      <c r="M877" s="292">
        <v>34</v>
      </c>
      <c r="N877" s="292">
        <v>12</v>
      </c>
      <c r="O877" s="292">
        <v>12</v>
      </c>
      <c r="P877" s="294">
        <v>12</v>
      </c>
      <c r="Q877" s="294">
        <v>12</v>
      </c>
      <c r="R877" s="294"/>
      <c r="S877" s="294"/>
      <c r="T877" s="294"/>
      <c r="U877" s="294"/>
      <c r="V877" s="431"/>
      <c r="W877" s="331"/>
      <c r="X877" s="331"/>
      <c r="Y877" s="294">
        <f>IF(NFI_Expiration=1,IF($A877&lt;VLOOKUP(H$5,NFI,5,0),1,0)*Table_NFI[[#This Row],[Hygiene Kit]],Table_NFI[Hygiene Kit])</f>
        <v>0</v>
      </c>
      <c r="Z877" s="294">
        <f>IF(NFI_Expiration=1,IF($A877&lt;VLOOKUP(I$5,NFI,5,0),1,0)*Table_NFI[[#This Row],[NFI Core Kit]],Table_NFI[NFI Core Kit])</f>
        <v>0</v>
      </c>
      <c r="AA877" s="294">
        <f>IF(NFI_Expiration=1,IF($A877&lt;VLOOKUP(J$5,NFI,5,0),1,0)*Table_NFI[[#This Row],[Sanitary Kit]],Table_NFI[Sanitary Kit])</f>
        <v>0</v>
      </c>
      <c r="AB877" s="294">
        <f>IF(NFI_Expiration=1,IF($A877&lt;VLOOKUP(K$5,NFI,5,0),1,0)*Table_NFI[[#This Row],[Mosquito net]],Table_NFI[Mosquito net])</f>
        <v>0</v>
      </c>
      <c r="AC877" s="294">
        <f>IF(NFI_Expiration=1,IF($A877&lt;VLOOKUP(L$5,NFI,5,0),1,0)*Table_NFI[[#This Row],[Tarpaulin]],Table_NFI[[#This Row],[Tarpaulin]])</f>
        <v>0</v>
      </c>
      <c r="AD877" s="294">
        <f>IF(NFI_Expiration=1,IF($A877&lt;VLOOKUP(M$5,NFI,5,0),1,0)*Table_NFI[[#This Row],[Blanket]],Table_NFI[[#This Row],[Blanket]])</f>
        <v>0</v>
      </c>
      <c r="AE877" s="294">
        <f>IF(NFI_Expiration=1,IF($A877&lt;VLOOKUP(N$5,NFI,5,0),1,0)*Table_NFI[[#This Row],[Kitchen Set]],Table_NFI[Kitchen Set])</f>
        <v>0</v>
      </c>
      <c r="AF877" s="294">
        <f>IF(NFI_Expiration=1,IF($A877&lt;VLOOKUP(O$5,NFI,5,0),1,0)*Table_NFI[[#This Row],[Clothes Kit]],Table_NFI[Clothes Kit])</f>
        <v>0</v>
      </c>
      <c r="AG877" s="294">
        <f>IF(NFI_Expiration=1,IF($A877&lt;VLOOKUP(P$5,NFI,5,0),1,0)*Table_NFI[[#This Row],[Plastic Bucket]],Table_NFI[Plastic Bucket])</f>
        <v>0</v>
      </c>
      <c r="AH877" s="294">
        <f>IF(NFI_Expiration=1,IF($A877&lt;VLOOKUP(Q$5,NFI,5,0),1,0)*Table_NFI[[#This Row],[Plastic Mat]],Table_NFI[Plastic Mat])*IF(Table_NFI[[#This Row],[Distribution Date]]&gt;"2014-04-01",1,2.5)</f>
        <v>0</v>
      </c>
      <c r="AI877" s="294">
        <f>IF(NFI_Expiration=1,IF($A877&lt;VLOOKUP(R$5,NFI,5,0),1,0)*Table_NFI[[#This Row],[Winter Clothes Adult]],Table_NFI[Winter Clothes Adult])</f>
        <v>0</v>
      </c>
      <c r="AJ877" s="294">
        <f>IF(NFI_Expiration=1,IF($A877&lt;VLOOKUP(S$5,NFI,5,0),1,0)*Table_NFI[[#This Row],[Winter Clothes Children]],Table_NFI[Winter Clothes Children])</f>
        <v>0</v>
      </c>
      <c r="AK877" s="294">
        <f>IF(NFI_Expiration=1,IF($A877&lt;VLOOKUP(T$5,NFI,5,0),1,0)*Table_NFI[[#This Row],[Winter Items Other]],Table_NFI[Winter Items Other])</f>
        <v>0</v>
      </c>
      <c r="AL877" s="294">
        <f>IF(NFI_Expiration=1,IF($A877&lt;VLOOKUP(M$5,NFI,5,0),1,0)*Table_NFI[[#This Row],[Winter Blanket]],Table_NFI[[#This Row],[Winter Blanket]])</f>
        <v>0</v>
      </c>
      <c r="AM877" s="294">
        <f>IF(Table_NFI[[#This Row],[Winter Clothes Adult]]+Table_NFI[[#This Row],[Winter Clothes Children]]+Table_NFI[[#This Row],[Winter Items Other]]+Table_NFI[[#This Row],[Winter Blanket]]&gt;0,1,0)</f>
        <v>0</v>
      </c>
      <c r="AN877" s="331">
        <f>IF(NFI_Expiration=1,IF($A877&lt;VLOOKUP(V$5,NFI,5,0),1,0)*Table_NFI[[#This Row],[Jerry Can]],Table_NFI[Jerry Can])</f>
        <v>0</v>
      </c>
      <c r="AO877" s="331">
        <f>IF(NFI_Expiration=1,IF($A877&lt;VLOOKUP(V$5,NFI,5,0),1,0)*Table_NFI[[#This Row],[Shelter Tool kit]],Table_NFI[Shelter Tool kit])</f>
        <v>0</v>
      </c>
      <c r="AP877" s="331">
        <f>IF(NFI_Expiration=1,IF($A877&lt;VLOOKUP(V$5,NFI,5,0),1,0)*Table_NFI[[#This Row],[Tent]],Table_NFI[Tent])</f>
        <v>0</v>
      </c>
      <c r="AQ877" s="467" t="str">
        <f>IFERROR(VLOOKUP(Table_NFI[[#This Row],[Camp Name]],CL,2,0),"")</f>
        <v>MMR001CMP195</v>
      </c>
      <c r="AR877" s="835">
        <f ca="1">IF(Table_NFI[[#This Row],[Pcode]]="","",IF(OFFSET(CampList[Opening Date],MATCH(Table_NFI[[#This Row],[Pcode]],CampList[CP_Pcode],0)-1,0,1,1)&gt;=NFI_Monitor_Date,1,0))</f>
        <v>0</v>
      </c>
      <c r="AS877" s="467" t="str">
        <f>IFERROR(VLOOKUP(Table_NFI[[#This Row],[Camp Name]],CL,3,0),"")</f>
        <v>Open</v>
      </c>
      <c r="AT877" s="294" t="str">
        <f ca="1">IF(Table_NFI[[#This Row],[Pcode]]="","",OFFSET(CampList[Priority],MATCH(Table_NFI[[#This Row],[Pcode]],CampList[CP_Pcode],0)-1,0,1,1))</f>
        <v>P1</v>
      </c>
      <c r="AU877" s="293">
        <f>IFERROR(Table_NFI[[#This Row],[Kitchen Set]]/VLOOKUP(Table_NFI[[#This Row],[Camp Name]],CL,4,0),"")</f>
        <v>2.9311187103077673E-4</v>
      </c>
      <c r="AV877" s="461" t="s">
        <v>1092</v>
      </c>
      <c r="AW877" s="463"/>
    </row>
    <row r="878" spans="1:49" x14ac:dyDescent="0.25">
      <c r="A878" s="297">
        <f t="shared" si="13"/>
        <v>51.833333333333336</v>
      </c>
      <c r="B878" s="460">
        <v>41181</v>
      </c>
      <c r="C878" s="461" t="s">
        <v>452</v>
      </c>
      <c r="D878" s="461" t="s">
        <v>452</v>
      </c>
      <c r="E878" s="461" t="s">
        <v>380</v>
      </c>
      <c r="F878" s="290" t="s">
        <v>185</v>
      </c>
      <c r="G878" s="290" t="s">
        <v>190</v>
      </c>
      <c r="H878" s="291"/>
      <c r="I878" s="291"/>
      <c r="J878" s="291"/>
      <c r="K878" s="291">
        <v>151</v>
      </c>
      <c r="L878" s="294">
        <v>59</v>
      </c>
      <c r="M878" s="294">
        <v>151</v>
      </c>
      <c r="N878" s="294">
        <v>59</v>
      </c>
      <c r="O878" s="294">
        <v>59</v>
      </c>
      <c r="P878" s="294">
        <v>59</v>
      </c>
      <c r="Q878" s="294">
        <v>59</v>
      </c>
      <c r="R878" s="294"/>
      <c r="S878" s="294"/>
      <c r="T878" s="294"/>
      <c r="U878" s="294"/>
      <c r="V878" s="431"/>
      <c r="W878" s="331"/>
      <c r="X878" s="331"/>
      <c r="Y878" s="294">
        <f>IF(NFI_Expiration=1,IF($A878&lt;VLOOKUP(H$5,NFI,5,0),1,0)*Table_NFI[[#This Row],[Hygiene Kit]],Table_NFI[Hygiene Kit])</f>
        <v>0</v>
      </c>
      <c r="Z878" s="294">
        <f>IF(NFI_Expiration=1,IF($A878&lt;VLOOKUP(I$5,NFI,5,0),1,0)*Table_NFI[[#This Row],[NFI Core Kit]],Table_NFI[NFI Core Kit])</f>
        <v>0</v>
      </c>
      <c r="AA878" s="294">
        <f>IF(NFI_Expiration=1,IF($A878&lt;VLOOKUP(J$5,NFI,5,0),1,0)*Table_NFI[[#This Row],[Sanitary Kit]],Table_NFI[Sanitary Kit])</f>
        <v>0</v>
      </c>
      <c r="AB878" s="294">
        <f>IF(NFI_Expiration=1,IF($A878&lt;VLOOKUP(K$5,NFI,5,0),1,0)*Table_NFI[[#This Row],[Mosquito net]],Table_NFI[Mosquito net])</f>
        <v>0</v>
      </c>
      <c r="AC878" s="294">
        <f>IF(NFI_Expiration=1,IF($A878&lt;VLOOKUP(L$5,NFI,5,0),1,0)*Table_NFI[[#This Row],[Tarpaulin]],Table_NFI[[#This Row],[Tarpaulin]])</f>
        <v>0</v>
      </c>
      <c r="AD878" s="294">
        <f>IF(NFI_Expiration=1,IF($A878&lt;VLOOKUP(M$5,NFI,5,0),1,0)*Table_NFI[[#This Row],[Blanket]],Table_NFI[[#This Row],[Blanket]])</f>
        <v>0</v>
      </c>
      <c r="AE878" s="294">
        <f>IF(NFI_Expiration=1,IF($A878&lt;VLOOKUP(N$5,NFI,5,0),1,0)*Table_NFI[[#This Row],[Kitchen Set]],Table_NFI[Kitchen Set])</f>
        <v>0</v>
      </c>
      <c r="AF878" s="294">
        <f>IF(NFI_Expiration=1,IF($A878&lt;VLOOKUP(O$5,NFI,5,0),1,0)*Table_NFI[[#This Row],[Clothes Kit]],Table_NFI[Clothes Kit])</f>
        <v>0</v>
      </c>
      <c r="AG878" s="294">
        <f>IF(NFI_Expiration=1,IF($A878&lt;VLOOKUP(P$5,NFI,5,0),1,0)*Table_NFI[[#This Row],[Plastic Bucket]],Table_NFI[Plastic Bucket])</f>
        <v>0</v>
      </c>
      <c r="AH878" s="294">
        <f>IF(NFI_Expiration=1,IF($A878&lt;VLOOKUP(Q$5,NFI,5,0),1,0)*Table_NFI[[#This Row],[Plastic Mat]],Table_NFI[Plastic Mat])*IF(Table_NFI[[#This Row],[Distribution Date]]&gt;"2014-04-01",1,2.5)</f>
        <v>0</v>
      </c>
      <c r="AI878" s="294">
        <f>IF(NFI_Expiration=1,IF($A878&lt;VLOOKUP(R$5,NFI,5,0),1,0)*Table_NFI[[#This Row],[Winter Clothes Adult]],Table_NFI[Winter Clothes Adult])</f>
        <v>0</v>
      </c>
      <c r="AJ878" s="294">
        <f>IF(NFI_Expiration=1,IF($A878&lt;VLOOKUP(S$5,NFI,5,0),1,0)*Table_NFI[[#This Row],[Winter Clothes Children]],Table_NFI[Winter Clothes Children])</f>
        <v>0</v>
      </c>
      <c r="AK878" s="294">
        <f>IF(NFI_Expiration=1,IF($A878&lt;VLOOKUP(T$5,NFI,5,0),1,0)*Table_NFI[[#This Row],[Winter Items Other]],Table_NFI[Winter Items Other])</f>
        <v>0</v>
      </c>
      <c r="AL878" s="294">
        <f>IF(NFI_Expiration=1,IF($A878&lt;VLOOKUP(M$5,NFI,5,0),1,0)*Table_NFI[[#This Row],[Winter Blanket]],Table_NFI[[#This Row],[Winter Blanket]])</f>
        <v>0</v>
      </c>
      <c r="AM878" s="294">
        <f>IF(Table_NFI[[#This Row],[Winter Clothes Adult]]+Table_NFI[[#This Row],[Winter Clothes Children]]+Table_NFI[[#This Row],[Winter Items Other]]+Table_NFI[[#This Row],[Winter Blanket]]&gt;0,1,0)</f>
        <v>0</v>
      </c>
      <c r="AN878" s="331">
        <f>IF(NFI_Expiration=1,IF($A878&lt;VLOOKUP(V$5,NFI,5,0),1,0)*Table_NFI[[#This Row],[Jerry Can]],Table_NFI[Jerry Can])</f>
        <v>0</v>
      </c>
      <c r="AO878" s="331">
        <f>IF(NFI_Expiration=1,IF($A878&lt;VLOOKUP(V$5,NFI,5,0),1,0)*Table_NFI[[#This Row],[Shelter Tool kit]],Table_NFI[Shelter Tool kit])</f>
        <v>0</v>
      </c>
      <c r="AP878" s="331">
        <f>IF(NFI_Expiration=1,IF($A878&lt;VLOOKUP(V$5,NFI,5,0),1,0)*Table_NFI[[#This Row],[Tent]],Table_NFI[Tent])</f>
        <v>0</v>
      </c>
      <c r="AQ878" s="467" t="str">
        <f>IFERROR(VLOOKUP(Table_NFI[[#This Row],[Camp Name]],CL,2,0),"")</f>
        <v>MMR001CMP070</v>
      </c>
      <c r="AR878" s="835">
        <f ca="1">IF(Table_NFI[[#This Row],[Pcode]]="","",IF(OFFSET(CampList[Opening Date],MATCH(Table_NFI[[#This Row],[Pcode]],CampList[CP_Pcode],0)-1,0,1,1)&gt;=NFI_Monitor_Date,1,0))</f>
        <v>0</v>
      </c>
      <c r="AS878" s="467" t="str">
        <f>IFERROR(VLOOKUP(Table_NFI[[#This Row],[Camp Name]],CL,3,0),"")</f>
        <v>Open</v>
      </c>
      <c r="AT878" s="294" t="str">
        <f ca="1">IF(Table_NFI[[#This Row],[Pcode]]="","",OFFSET(CampList[Priority],MATCH(Table_NFI[[#This Row],[Pcode]],CampList[CP_Pcode],0)-1,0,1,1))</f>
        <v>P3</v>
      </c>
      <c r="AU878" s="293">
        <f>IFERROR(Table_NFI[[#This Row],[Kitchen Set]]/VLOOKUP(Table_NFI[[#This Row],[Camp Name]],CL,4,0),"")</f>
        <v>1.4390243902439024E-3</v>
      </c>
      <c r="AV878" s="461" t="s">
        <v>1092</v>
      </c>
      <c r="AW878" s="463"/>
    </row>
    <row r="879" spans="1:49" x14ac:dyDescent="0.25">
      <c r="A879" s="297">
        <f t="shared" si="13"/>
        <v>51.866666666666667</v>
      </c>
      <c r="B879" s="460">
        <v>41180</v>
      </c>
      <c r="C879" s="461" t="s">
        <v>452</v>
      </c>
      <c r="D879" s="462" t="s">
        <v>904</v>
      </c>
      <c r="E879" s="461" t="s">
        <v>380</v>
      </c>
      <c r="F879" s="290" t="s">
        <v>27</v>
      </c>
      <c r="G879" s="290" t="s">
        <v>34</v>
      </c>
      <c r="H879" s="291"/>
      <c r="I879" s="291"/>
      <c r="J879" s="291"/>
      <c r="K879" s="291">
        <v>33</v>
      </c>
      <c r="L879" s="292">
        <v>11</v>
      </c>
      <c r="M879" s="292">
        <v>33</v>
      </c>
      <c r="N879" s="292">
        <v>11</v>
      </c>
      <c r="O879" s="292">
        <v>11</v>
      </c>
      <c r="P879" s="294">
        <v>11</v>
      </c>
      <c r="Q879" s="294">
        <v>11</v>
      </c>
      <c r="R879" s="294"/>
      <c r="S879" s="294"/>
      <c r="T879" s="294"/>
      <c r="U879" s="294"/>
      <c r="V879" s="431"/>
      <c r="W879" s="331"/>
      <c r="X879" s="331"/>
      <c r="Y879" s="294">
        <f>IF(NFI_Expiration=1,IF($A879&lt;VLOOKUP(H$5,NFI,5,0),1,0)*Table_NFI[[#This Row],[Hygiene Kit]],Table_NFI[Hygiene Kit])</f>
        <v>0</v>
      </c>
      <c r="Z879" s="294">
        <f>IF(NFI_Expiration=1,IF($A879&lt;VLOOKUP(I$5,NFI,5,0),1,0)*Table_NFI[[#This Row],[NFI Core Kit]],Table_NFI[NFI Core Kit])</f>
        <v>0</v>
      </c>
      <c r="AA879" s="294">
        <f>IF(NFI_Expiration=1,IF($A879&lt;VLOOKUP(J$5,NFI,5,0),1,0)*Table_NFI[[#This Row],[Sanitary Kit]],Table_NFI[Sanitary Kit])</f>
        <v>0</v>
      </c>
      <c r="AB879" s="294">
        <f>IF(NFI_Expiration=1,IF($A879&lt;VLOOKUP(K$5,NFI,5,0),1,0)*Table_NFI[[#This Row],[Mosquito net]],Table_NFI[Mosquito net])</f>
        <v>0</v>
      </c>
      <c r="AC879" s="294">
        <f>IF(NFI_Expiration=1,IF($A879&lt;VLOOKUP(L$5,NFI,5,0),1,0)*Table_NFI[[#This Row],[Tarpaulin]],Table_NFI[[#This Row],[Tarpaulin]])</f>
        <v>0</v>
      </c>
      <c r="AD879" s="294">
        <f>IF(NFI_Expiration=1,IF($A879&lt;VLOOKUP(M$5,NFI,5,0),1,0)*Table_NFI[[#This Row],[Blanket]],Table_NFI[[#This Row],[Blanket]])</f>
        <v>0</v>
      </c>
      <c r="AE879" s="294">
        <f>IF(NFI_Expiration=1,IF($A879&lt;VLOOKUP(N$5,NFI,5,0),1,0)*Table_NFI[[#This Row],[Kitchen Set]],Table_NFI[Kitchen Set])</f>
        <v>0</v>
      </c>
      <c r="AF879" s="294">
        <f>IF(NFI_Expiration=1,IF($A879&lt;VLOOKUP(O$5,NFI,5,0),1,0)*Table_NFI[[#This Row],[Clothes Kit]],Table_NFI[Clothes Kit])</f>
        <v>0</v>
      </c>
      <c r="AG879" s="294">
        <f>IF(NFI_Expiration=1,IF($A879&lt;VLOOKUP(P$5,NFI,5,0),1,0)*Table_NFI[[#This Row],[Plastic Bucket]],Table_NFI[Plastic Bucket])</f>
        <v>0</v>
      </c>
      <c r="AH879" s="294">
        <f>IF(NFI_Expiration=1,IF($A879&lt;VLOOKUP(Q$5,NFI,5,0),1,0)*Table_NFI[[#This Row],[Plastic Mat]],Table_NFI[Plastic Mat])*IF(Table_NFI[[#This Row],[Distribution Date]]&gt;"2014-04-01",1,2.5)</f>
        <v>0</v>
      </c>
      <c r="AI879" s="294">
        <f>IF(NFI_Expiration=1,IF($A879&lt;VLOOKUP(R$5,NFI,5,0),1,0)*Table_NFI[[#This Row],[Winter Clothes Adult]],Table_NFI[Winter Clothes Adult])</f>
        <v>0</v>
      </c>
      <c r="AJ879" s="294">
        <f>IF(NFI_Expiration=1,IF($A879&lt;VLOOKUP(S$5,NFI,5,0),1,0)*Table_NFI[[#This Row],[Winter Clothes Children]],Table_NFI[Winter Clothes Children])</f>
        <v>0</v>
      </c>
      <c r="AK879" s="294">
        <f>IF(NFI_Expiration=1,IF($A879&lt;VLOOKUP(T$5,NFI,5,0),1,0)*Table_NFI[[#This Row],[Winter Items Other]],Table_NFI[Winter Items Other])</f>
        <v>0</v>
      </c>
      <c r="AL879" s="294">
        <f>IF(NFI_Expiration=1,IF($A879&lt;VLOOKUP(M$5,NFI,5,0),1,0)*Table_NFI[[#This Row],[Winter Blanket]],Table_NFI[[#This Row],[Winter Blanket]])</f>
        <v>0</v>
      </c>
      <c r="AM879" s="294">
        <f>IF(Table_NFI[[#This Row],[Winter Clothes Adult]]+Table_NFI[[#This Row],[Winter Clothes Children]]+Table_NFI[[#This Row],[Winter Items Other]]+Table_NFI[[#This Row],[Winter Blanket]]&gt;0,1,0)</f>
        <v>0</v>
      </c>
      <c r="AN879" s="331">
        <f>IF(NFI_Expiration=1,IF($A879&lt;VLOOKUP(V$5,NFI,5,0),1,0)*Table_NFI[[#This Row],[Jerry Can]],Table_NFI[Jerry Can])</f>
        <v>0</v>
      </c>
      <c r="AO879" s="331">
        <f>IF(NFI_Expiration=1,IF($A879&lt;VLOOKUP(V$5,NFI,5,0),1,0)*Table_NFI[[#This Row],[Shelter Tool kit]],Table_NFI[Shelter Tool kit])</f>
        <v>0</v>
      </c>
      <c r="AP879" s="331">
        <f>IF(NFI_Expiration=1,IF($A879&lt;VLOOKUP(V$5,NFI,5,0),1,0)*Table_NFI[[#This Row],[Tent]],Table_NFI[Tent])</f>
        <v>0</v>
      </c>
      <c r="AQ879" s="467" t="str">
        <f>IFERROR(VLOOKUP(Table_NFI[[#This Row],[Camp Name]],CL,2,0),"")</f>
        <v>MMR001CMP045</v>
      </c>
      <c r="AR879" s="835">
        <f ca="1">IF(Table_NFI[[#This Row],[Pcode]]="","",IF(OFFSET(CampList[Opening Date],MATCH(Table_NFI[[#This Row],[Pcode]],CampList[CP_Pcode],0)-1,0,1,1)&gt;=NFI_Monitor_Date,1,0))</f>
        <v>0</v>
      </c>
      <c r="AS879" s="467" t="str">
        <f>IFERROR(VLOOKUP(Table_NFI[[#This Row],[Camp Name]],CL,3,0),"")</f>
        <v>Open</v>
      </c>
      <c r="AT879" s="294" t="str">
        <f ca="1">IF(Table_NFI[[#This Row],[Pcode]]="","",OFFSET(CampList[Priority],MATCH(Table_NFI[[#This Row],[Pcode]],CampList[CP_Pcode],0)-1,0,1,1))</f>
        <v>P1</v>
      </c>
      <c r="AU879" s="293" t="str">
        <f>IFERROR(Table_NFI[[#This Row],[Kitchen Set]]/VLOOKUP(Table_NFI[[#This Row],[Camp Name]],CL,4,0),"")</f>
        <v/>
      </c>
      <c r="AV879" s="461" t="s">
        <v>1092</v>
      </c>
      <c r="AW879" s="463"/>
    </row>
    <row r="880" spans="1:49" x14ac:dyDescent="0.25">
      <c r="A880" s="297">
        <f t="shared" si="13"/>
        <v>51.9</v>
      </c>
      <c r="B880" s="460">
        <v>41179</v>
      </c>
      <c r="C880" s="461" t="s">
        <v>452</v>
      </c>
      <c r="D880" s="461" t="s">
        <v>904</v>
      </c>
      <c r="E880" s="461" t="s">
        <v>380</v>
      </c>
      <c r="F880" s="290" t="s">
        <v>27</v>
      </c>
      <c r="G880" s="290" t="s">
        <v>364</v>
      </c>
      <c r="H880" s="291"/>
      <c r="I880" s="291"/>
      <c r="J880" s="291"/>
      <c r="K880" s="291">
        <v>33</v>
      </c>
      <c r="L880" s="294">
        <v>11</v>
      </c>
      <c r="M880" s="294">
        <v>33</v>
      </c>
      <c r="N880" s="294">
        <v>11</v>
      </c>
      <c r="O880" s="292">
        <v>11</v>
      </c>
      <c r="P880" s="294">
        <v>11</v>
      </c>
      <c r="Q880" s="294">
        <v>11</v>
      </c>
      <c r="R880" s="294"/>
      <c r="S880" s="294"/>
      <c r="T880" s="294"/>
      <c r="U880" s="294"/>
      <c r="V880" s="613"/>
      <c r="W880" s="331"/>
      <c r="X880" s="331"/>
      <c r="Y880" s="294">
        <f>IF(NFI_Expiration=1,IF($A880&lt;VLOOKUP(H$5,NFI,5,0),1,0)*Table_NFI[[#This Row],[Hygiene Kit]],Table_NFI[Hygiene Kit])</f>
        <v>0</v>
      </c>
      <c r="Z880" s="294">
        <f>IF(NFI_Expiration=1,IF($A880&lt;VLOOKUP(I$5,NFI,5,0),1,0)*Table_NFI[[#This Row],[NFI Core Kit]],Table_NFI[NFI Core Kit])</f>
        <v>0</v>
      </c>
      <c r="AA880" s="294">
        <f>IF(NFI_Expiration=1,IF($A880&lt;VLOOKUP(J$5,NFI,5,0),1,0)*Table_NFI[[#This Row],[Sanitary Kit]],Table_NFI[Sanitary Kit])</f>
        <v>0</v>
      </c>
      <c r="AB880" s="294">
        <f>IF(NFI_Expiration=1,IF($A880&lt;VLOOKUP(K$5,NFI,5,0),1,0)*Table_NFI[[#This Row],[Mosquito net]],Table_NFI[Mosquito net])</f>
        <v>0</v>
      </c>
      <c r="AC880" s="294">
        <f>IF(NFI_Expiration=1,IF($A880&lt;VLOOKUP(L$5,NFI,5,0),1,0)*Table_NFI[[#This Row],[Tarpaulin]],Table_NFI[[#This Row],[Tarpaulin]])</f>
        <v>0</v>
      </c>
      <c r="AD880" s="294">
        <f>IF(NFI_Expiration=1,IF($A880&lt;VLOOKUP(M$5,NFI,5,0),1,0)*Table_NFI[[#This Row],[Blanket]],Table_NFI[[#This Row],[Blanket]])</f>
        <v>0</v>
      </c>
      <c r="AE880" s="294">
        <f>IF(NFI_Expiration=1,IF($A880&lt;VLOOKUP(N$5,NFI,5,0),1,0)*Table_NFI[[#This Row],[Kitchen Set]],Table_NFI[Kitchen Set])</f>
        <v>0</v>
      </c>
      <c r="AF880" s="294">
        <f>IF(NFI_Expiration=1,IF($A880&lt;VLOOKUP(O$5,NFI,5,0),1,0)*Table_NFI[[#This Row],[Clothes Kit]],Table_NFI[Clothes Kit])</f>
        <v>0</v>
      </c>
      <c r="AG880" s="294">
        <f>IF(NFI_Expiration=1,IF($A880&lt;VLOOKUP(P$5,NFI,5,0),1,0)*Table_NFI[[#This Row],[Plastic Bucket]],Table_NFI[Plastic Bucket])</f>
        <v>0</v>
      </c>
      <c r="AH880" s="294">
        <f>IF(NFI_Expiration=1,IF($A880&lt;VLOOKUP(Q$5,NFI,5,0),1,0)*Table_NFI[[#This Row],[Plastic Mat]],Table_NFI[Plastic Mat])*IF(Table_NFI[[#This Row],[Distribution Date]]&gt;"2014-04-01",1,2.5)</f>
        <v>0</v>
      </c>
      <c r="AI880" s="294">
        <f>IF(NFI_Expiration=1,IF($A880&lt;VLOOKUP(R$5,NFI,5,0),1,0)*Table_NFI[[#This Row],[Winter Clothes Adult]],Table_NFI[Winter Clothes Adult])</f>
        <v>0</v>
      </c>
      <c r="AJ880" s="294">
        <f>IF(NFI_Expiration=1,IF($A880&lt;VLOOKUP(S$5,NFI,5,0),1,0)*Table_NFI[[#This Row],[Winter Clothes Children]],Table_NFI[Winter Clothes Children])</f>
        <v>0</v>
      </c>
      <c r="AK880" s="294">
        <f>IF(NFI_Expiration=1,IF($A880&lt;VLOOKUP(T$5,NFI,5,0),1,0)*Table_NFI[[#This Row],[Winter Items Other]],Table_NFI[Winter Items Other])</f>
        <v>0</v>
      </c>
      <c r="AL880" s="294">
        <f>IF(NFI_Expiration=1,IF($A880&lt;VLOOKUP(M$5,NFI,5,0),1,0)*Table_NFI[[#This Row],[Winter Blanket]],Table_NFI[[#This Row],[Winter Blanket]])</f>
        <v>0</v>
      </c>
      <c r="AM880" s="294">
        <f>IF(Table_NFI[[#This Row],[Winter Clothes Adult]]+Table_NFI[[#This Row],[Winter Clothes Children]]+Table_NFI[[#This Row],[Winter Items Other]]+Table_NFI[[#This Row],[Winter Blanket]]&gt;0,1,0)</f>
        <v>0</v>
      </c>
      <c r="AN880" s="331">
        <f>IF(NFI_Expiration=1,IF($A880&lt;VLOOKUP(V$5,NFI,5,0),1,0)*Table_NFI[[#This Row],[Jerry Can]],Table_NFI[Jerry Can])</f>
        <v>0</v>
      </c>
      <c r="AO880" s="331">
        <f>IF(NFI_Expiration=1,IF($A880&lt;VLOOKUP(V$5,NFI,5,0),1,0)*Table_NFI[[#This Row],[Shelter Tool kit]],Table_NFI[Shelter Tool kit])</f>
        <v>0</v>
      </c>
      <c r="AP880" s="331">
        <f>IF(NFI_Expiration=1,IF($A880&lt;VLOOKUP(V$5,NFI,5,0),1,0)*Table_NFI[[#This Row],[Tent]],Table_NFI[Tent])</f>
        <v>0</v>
      </c>
      <c r="AQ880" s="467" t="str">
        <f>IFERROR(VLOOKUP(Table_NFI[[#This Row],[Camp Name]],CL,2,0),"")</f>
        <v>MMR001CMP043</v>
      </c>
      <c r="AR880" s="835">
        <f ca="1">IF(Table_NFI[[#This Row],[Pcode]]="","",IF(OFFSET(CampList[Opening Date],MATCH(Table_NFI[[#This Row],[Pcode]],CampList[CP_Pcode],0)-1,0,1,1)&gt;=NFI_Monitor_Date,1,0))</f>
        <v>0</v>
      </c>
      <c r="AS880" s="467" t="str">
        <f>IFERROR(VLOOKUP(Table_NFI[[#This Row],[Camp Name]],CL,3,0),"")</f>
        <v>Open</v>
      </c>
      <c r="AT880" s="294" t="str">
        <f ca="1">IF(Table_NFI[[#This Row],[Pcode]]="","",OFFSET(CampList[Priority],MATCH(Table_NFI[[#This Row],[Pcode]],CampList[CP_Pcode],0)-1,0,1,1))</f>
        <v>P1</v>
      </c>
      <c r="AU880" s="293">
        <f>IFERROR(Table_NFI[[#This Row],[Kitchen Set]]/VLOOKUP(Table_NFI[[#This Row],[Camp Name]],CL,4,0),"")</f>
        <v>2.6809651474530834E-4</v>
      </c>
      <c r="AV880" s="461" t="s">
        <v>1092</v>
      </c>
      <c r="AW880" s="463"/>
    </row>
    <row r="881" spans="1:49" ht="15" customHeight="1" x14ac:dyDescent="0.25">
      <c r="A881" s="297">
        <f t="shared" si="13"/>
        <v>51.93333333333333</v>
      </c>
      <c r="B881" s="460">
        <v>41178</v>
      </c>
      <c r="C881" s="461" t="s">
        <v>452</v>
      </c>
      <c r="D881" s="461" t="s">
        <v>904</v>
      </c>
      <c r="E881" s="461" t="s">
        <v>380</v>
      </c>
      <c r="F881" s="290" t="s">
        <v>27</v>
      </c>
      <c r="G881" s="290" t="s">
        <v>32</v>
      </c>
      <c r="H881" s="291"/>
      <c r="I881" s="291"/>
      <c r="J881" s="291"/>
      <c r="K881" s="291">
        <v>33</v>
      </c>
      <c r="L881" s="294">
        <v>11</v>
      </c>
      <c r="M881" s="294">
        <v>33</v>
      </c>
      <c r="N881" s="294">
        <v>11</v>
      </c>
      <c r="O881" s="294">
        <v>11</v>
      </c>
      <c r="P881" s="294">
        <v>11</v>
      </c>
      <c r="Q881" s="294">
        <v>11</v>
      </c>
      <c r="R881" s="294"/>
      <c r="S881" s="294"/>
      <c r="T881" s="294"/>
      <c r="U881" s="294"/>
      <c r="V881" s="431"/>
      <c r="W881" s="331"/>
      <c r="X881" s="331"/>
      <c r="Y881" s="294">
        <f>IF(NFI_Expiration=1,IF($A881&lt;VLOOKUP(H$5,NFI,5,0),1,0)*Table_NFI[[#This Row],[Hygiene Kit]],Table_NFI[Hygiene Kit])</f>
        <v>0</v>
      </c>
      <c r="Z881" s="294">
        <f>IF(NFI_Expiration=1,IF($A881&lt;VLOOKUP(I$5,NFI,5,0),1,0)*Table_NFI[[#This Row],[NFI Core Kit]],Table_NFI[NFI Core Kit])</f>
        <v>0</v>
      </c>
      <c r="AA881" s="294">
        <f>IF(NFI_Expiration=1,IF($A881&lt;VLOOKUP(J$5,NFI,5,0),1,0)*Table_NFI[[#This Row],[Sanitary Kit]],Table_NFI[Sanitary Kit])</f>
        <v>0</v>
      </c>
      <c r="AB881" s="294">
        <f>IF(NFI_Expiration=1,IF($A881&lt;VLOOKUP(K$5,NFI,5,0),1,0)*Table_NFI[[#This Row],[Mosquito net]],Table_NFI[Mosquito net])</f>
        <v>0</v>
      </c>
      <c r="AC881" s="294">
        <f>IF(NFI_Expiration=1,IF($A881&lt;VLOOKUP(L$5,NFI,5,0),1,0)*Table_NFI[[#This Row],[Tarpaulin]],Table_NFI[[#This Row],[Tarpaulin]])</f>
        <v>0</v>
      </c>
      <c r="AD881" s="294">
        <f>IF(NFI_Expiration=1,IF($A881&lt;VLOOKUP(M$5,NFI,5,0),1,0)*Table_NFI[[#This Row],[Blanket]],Table_NFI[[#This Row],[Blanket]])</f>
        <v>0</v>
      </c>
      <c r="AE881" s="294">
        <f>IF(NFI_Expiration=1,IF($A881&lt;VLOOKUP(N$5,NFI,5,0),1,0)*Table_NFI[[#This Row],[Kitchen Set]],Table_NFI[Kitchen Set])</f>
        <v>0</v>
      </c>
      <c r="AF881" s="294">
        <f>IF(NFI_Expiration=1,IF($A881&lt;VLOOKUP(O$5,NFI,5,0),1,0)*Table_NFI[[#This Row],[Clothes Kit]],Table_NFI[Clothes Kit])</f>
        <v>0</v>
      </c>
      <c r="AG881" s="294">
        <f>IF(NFI_Expiration=1,IF($A881&lt;VLOOKUP(P$5,NFI,5,0),1,0)*Table_NFI[[#This Row],[Plastic Bucket]],Table_NFI[Plastic Bucket])</f>
        <v>0</v>
      </c>
      <c r="AH881" s="294">
        <f>IF(NFI_Expiration=1,IF($A881&lt;VLOOKUP(Q$5,NFI,5,0),1,0)*Table_NFI[[#This Row],[Plastic Mat]],Table_NFI[Plastic Mat])*IF(Table_NFI[[#This Row],[Distribution Date]]&gt;"2014-04-01",1,2.5)</f>
        <v>0</v>
      </c>
      <c r="AI881" s="294">
        <f>IF(NFI_Expiration=1,IF($A881&lt;VLOOKUP(R$5,NFI,5,0),1,0)*Table_NFI[[#This Row],[Winter Clothes Adult]],Table_NFI[Winter Clothes Adult])</f>
        <v>0</v>
      </c>
      <c r="AJ881" s="294">
        <f>IF(NFI_Expiration=1,IF($A881&lt;VLOOKUP(S$5,NFI,5,0),1,0)*Table_NFI[[#This Row],[Winter Clothes Children]],Table_NFI[Winter Clothes Children])</f>
        <v>0</v>
      </c>
      <c r="AK881" s="294">
        <f>IF(NFI_Expiration=1,IF($A881&lt;VLOOKUP(T$5,NFI,5,0),1,0)*Table_NFI[[#This Row],[Winter Items Other]],Table_NFI[Winter Items Other])</f>
        <v>0</v>
      </c>
      <c r="AL881" s="294">
        <f>IF(NFI_Expiration=1,IF($A881&lt;VLOOKUP(M$5,NFI,5,0),1,0)*Table_NFI[[#This Row],[Winter Blanket]],Table_NFI[[#This Row],[Winter Blanket]])</f>
        <v>0</v>
      </c>
      <c r="AM881" s="294">
        <f>IF(Table_NFI[[#This Row],[Winter Clothes Adult]]+Table_NFI[[#This Row],[Winter Clothes Children]]+Table_NFI[[#This Row],[Winter Items Other]]+Table_NFI[[#This Row],[Winter Blanket]]&gt;0,1,0)</f>
        <v>0</v>
      </c>
      <c r="AN881" s="331">
        <f>IF(NFI_Expiration=1,IF($A881&lt;VLOOKUP(V$5,NFI,5,0),1,0)*Table_NFI[[#This Row],[Jerry Can]],Table_NFI[Jerry Can])</f>
        <v>0</v>
      </c>
      <c r="AO881" s="331">
        <f>IF(NFI_Expiration=1,IF($A881&lt;VLOOKUP(V$5,NFI,5,0),1,0)*Table_NFI[[#This Row],[Shelter Tool kit]],Table_NFI[Shelter Tool kit])</f>
        <v>0</v>
      </c>
      <c r="AP881" s="331">
        <f>IF(NFI_Expiration=1,IF($A881&lt;VLOOKUP(V$5,NFI,5,0),1,0)*Table_NFI[[#This Row],[Tent]],Table_NFI[Tent])</f>
        <v>0</v>
      </c>
      <c r="AQ881" s="467" t="str">
        <f>IFERROR(VLOOKUP(Table_NFI[[#This Row],[Camp Name]],CL,2,0),"")</f>
        <v>MMR001CMP046</v>
      </c>
      <c r="AR881" s="835">
        <f ca="1">IF(Table_NFI[[#This Row],[Pcode]]="","",IF(OFFSET(CampList[Opening Date],MATCH(Table_NFI[[#This Row],[Pcode]],CampList[CP_Pcode],0)-1,0,1,1)&gt;=NFI_Monitor_Date,1,0))</f>
        <v>0</v>
      </c>
      <c r="AS881" s="467" t="str">
        <f>IFERROR(VLOOKUP(Table_NFI[[#This Row],[Camp Name]],CL,3,0),"")</f>
        <v>Closed</v>
      </c>
      <c r="AT881" s="294" t="str">
        <f ca="1">IF(Table_NFI[[#This Row],[Pcode]]="","",OFFSET(CampList[Priority],MATCH(Table_NFI[[#This Row],[Pcode]],CampList[CP_Pcode],0)-1,0,1,1))</f>
        <v>P1</v>
      </c>
      <c r="AU881" s="293" t="str">
        <f>IFERROR(Table_NFI[[#This Row],[Kitchen Set]]/VLOOKUP(Table_NFI[[#This Row],[Camp Name]],CL,4,0),"")</f>
        <v/>
      </c>
      <c r="AV881" s="461" t="s">
        <v>1092</v>
      </c>
      <c r="AW881" s="463"/>
    </row>
    <row r="882" spans="1:49" x14ac:dyDescent="0.25">
      <c r="A882" s="297">
        <f t="shared" si="13"/>
        <v>51.966666666666669</v>
      </c>
      <c r="B882" s="460">
        <v>41177</v>
      </c>
      <c r="C882" s="461" t="s">
        <v>452</v>
      </c>
      <c r="D882" s="461" t="s">
        <v>904</v>
      </c>
      <c r="E882" s="461" t="s">
        <v>380</v>
      </c>
      <c r="F882" s="290" t="s">
        <v>27</v>
      </c>
      <c r="G882" s="290" t="s">
        <v>28</v>
      </c>
      <c r="H882" s="291"/>
      <c r="I882" s="291"/>
      <c r="J882" s="291"/>
      <c r="K882" s="291">
        <v>33</v>
      </c>
      <c r="L882" s="294">
        <v>11</v>
      </c>
      <c r="M882" s="294">
        <v>33</v>
      </c>
      <c r="N882" s="294">
        <v>11</v>
      </c>
      <c r="O882" s="294">
        <v>11</v>
      </c>
      <c r="P882" s="294">
        <v>11</v>
      </c>
      <c r="Q882" s="294">
        <v>11</v>
      </c>
      <c r="R882" s="294"/>
      <c r="S882" s="294"/>
      <c r="T882" s="294"/>
      <c r="U882" s="294"/>
      <c r="V882" s="431"/>
      <c r="W882" s="331"/>
      <c r="X882" s="331"/>
      <c r="Y882" s="294">
        <f>IF(NFI_Expiration=1,IF($A882&lt;VLOOKUP(H$5,NFI,5,0),1,0)*Table_NFI[[#This Row],[Hygiene Kit]],Table_NFI[Hygiene Kit])</f>
        <v>0</v>
      </c>
      <c r="Z882" s="294">
        <f>IF(NFI_Expiration=1,IF($A882&lt;VLOOKUP(I$5,NFI,5,0),1,0)*Table_NFI[[#This Row],[NFI Core Kit]],Table_NFI[NFI Core Kit])</f>
        <v>0</v>
      </c>
      <c r="AA882" s="294">
        <f>IF(NFI_Expiration=1,IF($A882&lt;VLOOKUP(J$5,NFI,5,0),1,0)*Table_NFI[[#This Row],[Sanitary Kit]],Table_NFI[Sanitary Kit])</f>
        <v>0</v>
      </c>
      <c r="AB882" s="294">
        <f>IF(NFI_Expiration=1,IF($A882&lt;VLOOKUP(K$5,NFI,5,0),1,0)*Table_NFI[[#This Row],[Mosquito net]],Table_NFI[Mosquito net])</f>
        <v>0</v>
      </c>
      <c r="AC882" s="294">
        <f>IF(NFI_Expiration=1,IF($A882&lt;VLOOKUP(L$5,NFI,5,0),1,0)*Table_NFI[[#This Row],[Tarpaulin]],Table_NFI[[#This Row],[Tarpaulin]])</f>
        <v>0</v>
      </c>
      <c r="AD882" s="294">
        <f>IF(NFI_Expiration=1,IF($A882&lt;VLOOKUP(M$5,NFI,5,0),1,0)*Table_NFI[[#This Row],[Blanket]],Table_NFI[[#This Row],[Blanket]])</f>
        <v>0</v>
      </c>
      <c r="AE882" s="294">
        <f>IF(NFI_Expiration=1,IF($A882&lt;VLOOKUP(N$5,NFI,5,0),1,0)*Table_NFI[[#This Row],[Kitchen Set]],Table_NFI[Kitchen Set])</f>
        <v>0</v>
      </c>
      <c r="AF882" s="294">
        <f>IF(NFI_Expiration=1,IF($A882&lt;VLOOKUP(O$5,NFI,5,0),1,0)*Table_NFI[[#This Row],[Clothes Kit]],Table_NFI[Clothes Kit])</f>
        <v>0</v>
      </c>
      <c r="AG882" s="294">
        <f>IF(NFI_Expiration=1,IF($A882&lt;VLOOKUP(P$5,NFI,5,0),1,0)*Table_NFI[[#This Row],[Plastic Bucket]],Table_NFI[Plastic Bucket])</f>
        <v>0</v>
      </c>
      <c r="AH882" s="294">
        <f>IF(NFI_Expiration=1,IF($A882&lt;VLOOKUP(Q$5,NFI,5,0),1,0)*Table_NFI[[#This Row],[Plastic Mat]],Table_NFI[Plastic Mat])*IF(Table_NFI[[#This Row],[Distribution Date]]&gt;"2014-04-01",1,2.5)</f>
        <v>0</v>
      </c>
      <c r="AI882" s="294">
        <f>IF(NFI_Expiration=1,IF($A882&lt;VLOOKUP(R$5,NFI,5,0),1,0)*Table_NFI[[#This Row],[Winter Clothes Adult]],Table_NFI[Winter Clothes Adult])</f>
        <v>0</v>
      </c>
      <c r="AJ882" s="294">
        <f>IF(NFI_Expiration=1,IF($A882&lt;VLOOKUP(S$5,NFI,5,0),1,0)*Table_NFI[[#This Row],[Winter Clothes Children]],Table_NFI[Winter Clothes Children])</f>
        <v>0</v>
      </c>
      <c r="AK882" s="294">
        <f>IF(NFI_Expiration=1,IF($A882&lt;VLOOKUP(T$5,NFI,5,0),1,0)*Table_NFI[[#This Row],[Winter Items Other]],Table_NFI[Winter Items Other])</f>
        <v>0</v>
      </c>
      <c r="AL882" s="294">
        <f>IF(NFI_Expiration=1,IF($A882&lt;VLOOKUP(M$5,NFI,5,0),1,0)*Table_NFI[[#This Row],[Winter Blanket]],Table_NFI[[#This Row],[Winter Blanket]])</f>
        <v>0</v>
      </c>
      <c r="AM882" s="294">
        <f>IF(Table_NFI[[#This Row],[Winter Clothes Adult]]+Table_NFI[[#This Row],[Winter Clothes Children]]+Table_NFI[[#This Row],[Winter Items Other]]+Table_NFI[[#This Row],[Winter Blanket]]&gt;0,1,0)</f>
        <v>0</v>
      </c>
      <c r="AN882" s="331">
        <f>IF(NFI_Expiration=1,IF($A882&lt;VLOOKUP(V$5,NFI,5,0),1,0)*Table_NFI[[#This Row],[Jerry Can]],Table_NFI[Jerry Can])</f>
        <v>0</v>
      </c>
      <c r="AO882" s="331">
        <f>IF(NFI_Expiration=1,IF($A882&lt;VLOOKUP(V$5,NFI,5,0),1,0)*Table_NFI[[#This Row],[Shelter Tool kit]],Table_NFI[Shelter Tool kit])</f>
        <v>0</v>
      </c>
      <c r="AP882" s="331">
        <f>IF(NFI_Expiration=1,IF($A882&lt;VLOOKUP(V$5,NFI,5,0),1,0)*Table_NFI[[#This Row],[Tent]],Table_NFI[Tent])</f>
        <v>0</v>
      </c>
      <c r="AQ882" s="467" t="str">
        <f>IFERROR(VLOOKUP(Table_NFI[[#This Row],[Camp Name]],CL,2,0),"")</f>
        <v>MMR001CMP042</v>
      </c>
      <c r="AR882" s="835">
        <f ca="1">IF(Table_NFI[[#This Row],[Pcode]]="","",IF(OFFSET(CampList[Opening Date],MATCH(Table_NFI[[#This Row],[Pcode]],CampList[CP_Pcode],0)-1,0,1,1)&gt;=NFI_Monitor_Date,1,0))</f>
        <v>0</v>
      </c>
      <c r="AS882" s="467" t="str">
        <f>IFERROR(VLOOKUP(Table_NFI[[#This Row],[Camp Name]],CL,3,0),"")</f>
        <v>Open</v>
      </c>
      <c r="AT882" s="294" t="str">
        <f ca="1">IF(Table_NFI[[#This Row],[Pcode]]="","",OFFSET(CampList[Priority],MATCH(Table_NFI[[#This Row],[Pcode]],CampList[CP_Pcode],0)-1,0,1,1))</f>
        <v>P1</v>
      </c>
      <c r="AU882" s="293">
        <f>IFERROR(Table_NFI[[#This Row],[Kitchen Set]]/VLOOKUP(Table_NFI[[#This Row],[Camp Name]],CL,4,0),"")</f>
        <v>2.667054601881486E-4</v>
      </c>
      <c r="AV882" s="461" t="s">
        <v>1092</v>
      </c>
      <c r="AW882" s="463"/>
    </row>
    <row r="883" spans="1:49" x14ac:dyDescent="0.25">
      <c r="A883" s="297">
        <f t="shared" si="13"/>
        <v>52.133333333333333</v>
      </c>
      <c r="B883" s="460">
        <v>41172</v>
      </c>
      <c r="C883" s="461" t="s">
        <v>905</v>
      </c>
      <c r="D883" s="461" t="s">
        <v>1002</v>
      </c>
      <c r="E883" s="461" t="s">
        <v>380</v>
      </c>
      <c r="F883" s="461" t="s">
        <v>302</v>
      </c>
      <c r="G883" s="461" t="s">
        <v>1426</v>
      </c>
      <c r="H883" s="294">
        <v>92</v>
      </c>
      <c r="I883" s="291"/>
      <c r="J883" s="292"/>
      <c r="K883" s="291"/>
      <c r="L883" s="292"/>
      <c r="M883" s="292"/>
      <c r="N883" s="292"/>
      <c r="O883" s="292"/>
      <c r="P883" s="294"/>
      <c r="Q883" s="294"/>
      <c r="R883" s="294"/>
      <c r="S883" s="294"/>
      <c r="T883" s="294"/>
      <c r="U883" s="294"/>
      <c r="V883" s="431"/>
      <c r="W883" s="294"/>
      <c r="X883" s="294"/>
      <c r="Y883" s="294">
        <f>IF(NFI_Expiration=1,IF($A883&lt;VLOOKUP(H$5,NFI,5,0),1,0)*Table_NFI[[#This Row],[Hygiene Kit]],Table_NFI[Hygiene Kit])</f>
        <v>0</v>
      </c>
      <c r="Z883" s="294">
        <f>IF(NFI_Expiration=1,IF($A883&lt;VLOOKUP(I$5,NFI,5,0),1,0)*Table_NFI[[#This Row],[NFI Core Kit]],Table_NFI[NFI Core Kit])</f>
        <v>0</v>
      </c>
      <c r="AA883" s="294">
        <f>IF(NFI_Expiration=1,IF($A883&lt;VLOOKUP(J$5,NFI,5,0),1,0)*Table_NFI[[#This Row],[Sanitary Kit]],Table_NFI[Sanitary Kit])</f>
        <v>0</v>
      </c>
      <c r="AB883" s="294">
        <f>IF(NFI_Expiration=1,IF($A883&lt;VLOOKUP(K$5,NFI,5,0),1,0)*Table_NFI[[#This Row],[Mosquito net]],Table_NFI[Mosquito net])</f>
        <v>0</v>
      </c>
      <c r="AC883" s="294">
        <f>IF(NFI_Expiration=1,IF($A883&lt;VLOOKUP(L$5,NFI,5,0),1,0)*Table_NFI[[#This Row],[Tarpaulin]],Table_NFI[[#This Row],[Tarpaulin]])</f>
        <v>0</v>
      </c>
      <c r="AD883" s="294">
        <f>IF(NFI_Expiration=1,IF($A883&lt;VLOOKUP(M$5,NFI,5,0),1,0)*Table_NFI[[#This Row],[Blanket]],Table_NFI[[#This Row],[Blanket]])</f>
        <v>0</v>
      </c>
      <c r="AE883" s="294">
        <f>IF(NFI_Expiration=1,IF($A883&lt;VLOOKUP(N$5,NFI,5,0),1,0)*Table_NFI[[#This Row],[Kitchen Set]],Table_NFI[Kitchen Set])</f>
        <v>0</v>
      </c>
      <c r="AF883" s="294">
        <f>IF(NFI_Expiration=1,IF($A883&lt;VLOOKUP(O$5,NFI,5,0),1,0)*Table_NFI[[#This Row],[Clothes Kit]],Table_NFI[Clothes Kit])</f>
        <v>0</v>
      </c>
      <c r="AG883" s="294">
        <f>IF(NFI_Expiration=1,IF($A883&lt;VLOOKUP(P$5,NFI,5,0),1,0)*Table_NFI[[#This Row],[Plastic Bucket]],Table_NFI[Plastic Bucket])</f>
        <v>0</v>
      </c>
      <c r="AH883" s="294">
        <f>IF(NFI_Expiration=1,IF($A883&lt;VLOOKUP(Q$5,NFI,5,0),1,0)*Table_NFI[[#This Row],[Plastic Mat]],Table_NFI[Plastic Mat])*IF(Table_NFI[[#This Row],[Distribution Date]]&gt;"2014-04-01",1,2.5)</f>
        <v>0</v>
      </c>
      <c r="AI883" s="294">
        <f>IF(NFI_Expiration=1,IF($A883&lt;VLOOKUP(R$5,NFI,5,0),1,0)*Table_NFI[[#This Row],[Winter Clothes Adult]],Table_NFI[Winter Clothes Adult])</f>
        <v>0</v>
      </c>
      <c r="AJ883" s="294">
        <f>IF(NFI_Expiration=1,IF($A883&lt;VLOOKUP(S$5,NFI,5,0),1,0)*Table_NFI[[#This Row],[Winter Clothes Children]],Table_NFI[Winter Clothes Children])</f>
        <v>0</v>
      </c>
      <c r="AK883" s="294">
        <f>IF(NFI_Expiration=1,IF($A883&lt;VLOOKUP(T$5,NFI,5,0),1,0)*Table_NFI[[#This Row],[Winter Items Other]],Table_NFI[Winter Items Other])</f>
        <v>0</v>
      </c>
      <c r="AL883" s="294">
        <f>IF(NFI_Expiration=1,IF($A883&lt;VLOOKUP(M$5,NFI,5,0),1,0)*Table_NFI[[#This Row],[Winter Blanket]],Table_NFI[[#This Row],[Winter Blanket]])</f>
        <v>0</v>
      </c>
      <c r="AM883" s="294">
        <f>IF(Table_NFI[[#This Row],[Winter Clothes Adult]]+Table_NFI[[#This Row],[Winter Clothes Children]]+Table_NFI[[#This Row],[Winter Items Other]]+Table_NFI[[#This Row],[Winter Blanket]]&gt;0,1,0)</f>
        <v>0</v>
      </c>
      <c r="AN883" s="331">
        <f>IF(NFI_Expiration=1,IF($A883&lt;VLOOKUP(V$5,NFI,5,0),1,0)*Table_NFI[[#This Row],[Jerry Can]],Table_NFI[Jerry Can])</f>
        <v>0</v>
      </c>
      <c r="AO883" s="331">
        <f>IF(NFI_Expiration=1,IF($A883&lt;VLOOKUP(V$5,NFI,5,0),1,0)*Table_NFI[[#This Row],[Shelter Tool kit]],Table_NFI[Shelter Tool kit])</f>
        <v>0</v>
      </c>
      <c r="AP883" s="331">
        <f>IF(NFI_Expiration=1,IF($A883&lt;VLOOKUP(V$5,NFI,5,0),1,0)*Table_NFI[[#This Row],[Tent]],Table_NFI[Tent])</f>
        <v>0</v>
      </c>
      <c r="AQ883" s="467" t="str">
        <f>IFERROR(VLOOKUP(Table_NFI[[#This Row],[Camp Name]],CL,2,0),"")</f>
        <v/>
      </c>
      <c r="AR883" s="835" t="str">
        <f ca="1">IF(Table_NFI[[#This Row],[Pcode]]="","",IF(OFFSET(CampList[Opening Date],MATCH(Table_NFI[[#This Row],[Pcode]],CampList[CP_Pcode],0)-1,0,1,1)&gt;=NFI_Monitor_Date,1,0))</f>
        <v/>
      </c>
      <c r="AS883" s="467" t="str">
        <f>IFERROR(VLOOKUP(Table_NFI[[#This Row],[Camp Name]],CL,3,0),"")</f>
        <v/>
      </c>
      <c r="AT883" s="294" t="str">
        <f ca="1">IF(Table_NFI[[#This Row],[Pcode]]="","",OFFSET(CampList[Priority],MATCH(Table_NFI[[#This Row],[Pcode]],CampList[CP_Pcode],0)-1,0,1,1))</f>
        <v/>
      </c>
      <c r="AU883" s="293" t="str">
        <f>IFERROR(Table_NFI[[#This Row],[Kitchen Set]]/VLOOKUP(Table_NFI[[#This Row],[Camp Name]],CL,4,0),"")</f>
        <v/>
      </c>
      <c r="AV883" s="461"/>
      <c r="AW883" s="463"/>
    </row>
    <row r="884" spans="1:49" ht="14.45" customHeight="1" x14ac:dyDescent="0.25">
      <c r="A884" s="297">
        <f t="shared" si="13"/>
        <v>52.2</v>
      </c>
      <c r="B884" s="460">
        <v>41170</v>
      </c>
      <c r="C884" s="461" t="s">
        <v>905</v>
      </c>
      <c r="D884" s="461" t="s">
        <v>1002</v>
      </c>
      <c r="E884" s="461" t="s">
        <v>380</v>
      </c>
      <c r="F884" s="461" t="s">
        <v>302</v>
      </c>
      <c r="G884" s="461" t="s">
        <v>1427</v>
      </c>
      <c r="H884" s="294">
        <v>45</v>
      </c>
      <c r="I884" s="291"/>
      <c r="J884" s="292"/>
      <c r="K884" s="291"/>
      <c r="L884" s="292"/>
      <c r="M884" s="292"/>
      <c r="N884" s="292"/>
      <c r="O884" s="292"/>
      <c r="P884" s="294"/>
      <c r="Q884" s="294"/>
      <c r="R884" s="294"/>
      <c r="S884" s="294"/>
      <c r="T884" s="294"/>
      <c r="U884" s="294"/>
      <c r="V884" s="431"/>
      <c r="W884" s="294"/>
      <c r="X884" s="294"/>
      <c r="Y884" s="294">
        <f>IF(NFI_Expiration=1,IF($A884&lt;VLOOKUP(H$5,NFI,5,0),1,0)*Table_NFI[[#This Row],[Hygiene Kit]],Table_NFI[Hygiene Kit])</f>
        <v>0</v>
      </c>
      <c r="Z884" s="294">
        <f>IF(NFI_Expiration=1,IF($A884&lt;VLOOKUP(I$5,NFI,5,0),1,0)*Table_NFI[[#This Row],[NFI Core Kit]],Table_NFI[NFI Core Kit])</f>
        <v>0</v>
      </c>
      <c r="AA884" s="294">
        <f>IF(NFI_Expiration=1,IF($A884&lt;VLOOKUP(J$5,NFI,5,0),1,0)*Table_NFI[[#This Row],[Sanitary Kit]],Table_NFI[Sanitary Kit])</f>
        <v>0</v>
      </c>
      <c r="AB884" s="294">
        <f>IF(NFI_Expiration=1,IF($A884&lt;VLOOKUP(K$5,NFI,5,0),1,0)*Table_NFI[[#This Row],[Mosquito net]],Table_NFI[Mosquito net])</f>
        <v>0</v>
      </c>
      <c r="AC884" s="294">
        <f>IF(NFI_Expiration=1,IF($A884&lt;VLOOKUP(L$5,NFI,5,0),1,0)*Table_NFI[[#This Row],[Tarpaulin]],Table_NFI[[#This Row],[Tarpaulin]])</f>
        <v>0</v>
      </c>
      <c r="AD884" s="294">
        <f>IF(NFI_Expiration=1,IF($A884&lt;VLOOKUP(M$5,NFI,5,0),1,0)*Table_NFI[[#This Row],[Blanket]],Table_NFI[[#This Row],[Blanket]])</f>
        <v>0</v>
      </c>
      <c r="AE884" s="294">
        <f>IF(NFI_Expiration=1,IF($A884&lt;VLOOKUP(N$5,NFI,5,0),1,0)*Table_NFI[[#This Row],[Kitchen Set]],Table_NFI[Kitchen Set])</f>
        <v>0</v>
      </c>
      <c r="AF884" s="294">
        <f>IF(NFI_Expiration=1,IF($A884&lt;VLOOKUP(O$5,NFI,5,0),1,0)*Table_NFI[[#This Row],[Clothes Kit]],Table_NFI[Clothes Kit])</f>
        <v>0</v>
      </c>
      <c r="AG884" s="294">
        <f>IF(NFI_Expiration=1,IF($A884&lt;VLOOKUP(P$5,NFI,5,0),1,0)*Table_NFI[[#This Row],[Plastic Bucket]],Table_NFI[Plastic Bucket])</f>
        <v>0</v>
      </c>
      <c r="AH884" s="294">
        <f>IF(NFI_Expiration=1,IF($A884&lt;VLOOKUP(Q$5,NFI,5,0),1,0)*Table_NFI[[#This Row],[Plastic Mat]],Table_NFI[Plastic Mat])*IF(Table_NFI[[#This Row],[Distribution Date]]&gt;"2014-04-01",1,2.5)</f>
        <v>0</v>
      </c>
      <c r="AI884" s="294">
        <f>IF(NFI_Expiration=1,IF($A884&lt;VLOOKUP(R$5,NFI,5,0),1,0)*Table_NFI[[#This Row],[Winter Clothes Adult]],Table_NFI[Winter Clothes Adult])</f>
        <v>0</v>
      </c>
      <c r="AJ884" s="294">
        <f>IF(NFI_Expiration=1,IF($A884&lt;VLOOKUP(S$5,NFI,5,0),1,0)*Table_NFI[[#This Row],[Winter Clothes Children]],Table_NFI[Winter Clothes Children])</f>
        <v>0</v>
      </c>
      <c r="AK884" s="294">
        <f>IF(NFI_Expiration=1,IF($A884&lt;VLOOKUP(T$5,NFI,5,0),1,0)*Table_NFI[[#This Row],[Winter Items Other]],Table_NFI[Winter Items Other])</f>
        <v>0</v>
      </c>
      <c r="AL884" s="294">
        <f>IF(NFI_Expiration=1,IF($A884&lt;VLOOKUP(M$5,NFI,5,0),1,0)*Table_NFI[[#This Row],[Winter Blanket]],Table_NFI[[#This Row],[Winter Blanket]])</f>
        <v>0</v>
      </c>
      <c r="AM884" s="294">
        <f>IF(Table_NFI[[#This Row],[Winter Clothes Adult]]+Table_NFI[[#This Row],[Winter Clothes Children]]+Table_NFI[[#This Row],[Winter Items Other]]+Table_NFI[[#This Row],[Winter Blanket]]&gt;0,1,0)</f>
        <v>0</v>
      </c>
      <c r="AN884" s="331">
        <f>IF(NFI_Expiration=1,IF($A884&lt;VLOOKUP(V$5,NFI,5,0),1,0)*Table_NFI[[#This Row],[Jerry Can]],Table_NFI[Jerry Can])</f>
        <v>0</v>
      </c>
      <c r="AO884" s="331">
        <f>IF(NFI_Expiration=1,IF($A884&lt;VLOOKUP(V$5,NFI,5,0),1,0)*Table_NFI[[#This Row],[Shelter Tool kit]],Table_NFI[Shelter Tool kit])</f>
        <v>0</v>
      </c>
      <c r="AP884" s="331">
        <f>IF(NFI_Expiration=1,IF($A884&lt;VLOOKUP(V$5,NFI,5,0),1,0)*Table_NFI[[#This Row],[Tent]],Table_NFI[Tent])</f>
        <v>0</v>
      </c>
      <c r="AQ884" s="467" t="str">
        <f>IFERROR(VLOOKUP(Table_NFI[[#This Row],[Camp Name]],CL,2,0),"")</f>
        <v/>
      </c>
      <c r="AR884" s="835" t="str">
        <f ca="1">IF(Table_NFI[[#This Row],[Pcode]]="","",IF(OFFSET(CampList[Opening Date],MATCH(Table_NFI[[#This Row],[Pcode]],CampList[CP_Pcode],0)-1,0,1,1)&gt;=NFI_Monitor_Date,1,0))</f>
        <v/>
      </c>
      <c r="AS884" s="467" t="str">
        <f>IFERROR(VLOOKUP(Table_NFI[[#This Row],[Camp Name]],CL,3,0),"")</f>
        <v/>
      </c>
      <c r="AT884" s="294" t="str">
        <f ca="1">IF(Table_NFI[[#This Row],[Pcode]]="","",OFFSET(CampList[Priority],MATCH(Table_NFI[[#This Row],[Pcode]],CampList[CP_Pcode],0)-1,0,1,1))</f>
        <v/>
      </c>
      <c r="AU884" s="293" t="str">
        <f>IFERROR(Table_NFI[[#This Row],[Kitchen Set]]/VLOOKUP(Table_NFI[[#This Row],[Camp Name]],CL,4,0),"")</f>
        <v/>
      </c>
      <c r="AV884" s="461"/>
      <c r="AW884" s="463"/>
    </row>
    <row r="885" spans="1:49" x14ac:dyDescent="0.25">
      <c r="A885" s="297">
        <f t="shared" si="13"/>
        <v>52.2</v>
      </c>
      <c r="B885" s="460">
        <v>41170</v>
      </c>
      <c r="C885" s="461" t="s">
        <v>905</v>
      </c>
      <c r="D885" s="461" t="s">
        <v>1002</v>
      </c>
      <c r="E885" s="461" t="s">
        <v>380</v>
      </c>
      <c r="F885" s="461" t="s">
        <v>302</v>
      </c>
      <c r="G885" s="461" t="s">
        <v>1428</v>
      </c>
      <c r="H885" s="294">
        <v>22</v>
      </c>
      <c r="I885" s="291"/>
      <c r="J885" s="292"/>
      <c r="K885" s="291"/>
      <c r="L885" s="292"/>
      <c r="M885" s="292"/>
      <c r="N885" s="292"/>
      <c r="O885" s="292"/>
      <c r="P885" s="294"/>
      <c r="Q885" s="294"/>
      <c r="R885" s="294"/>
      <c r="S885" s="294"/>
      <c r="T885" s="294"/>
      <c r="U885" s="294"/>
      <c r="V885" s="431"/>
      <c r="W885" s="294"/>
      <c r="X885" s="294"/>
      <c r="Y885" s="294">
        <f>IF(NFI_Expiration=1,IF($A885&lt;VLOOKUP(H$5,NFI,5,0),1,0)*Table_NFI[[#This Row],[Hygiene Kit]],Table_NFI[Hygiene Kit])</f>
        <v>0</v>
      </c>
      <c r="Z885" s="294">
        <f>IF(NFI_Expiration=1,IF($A885&lt;VLOOKUP(I$5,NFI,5,0),1,0)*Table_NFI[[#This Row],[NFI Core Kit]],Table_NFI[NFI Core Kit])</f>
        <v>0</v>
      </c>
      <c r="AA885" s="294">
        <f>IF(NFI_Expiration=1,IF($A885&lt;VLOOKUP(J$5,NFI,5,0),1,0)*Table_NFI[[#This Row],[Sanitary Kit]],Table_NFI[Sanitary Kit])</f>
        <v>0</v>
      </c>
      <c r="AB885" s="294">
        <f>IF(NFI_Expiration=1,IF($A885&lt;VLOOKUP(K$5,NFI,5,0),1,0)*Table_NFI[[#This Row],[Mosquito net]],Table_NFI[Mosquito net])</f>
        <v>0</v>
      </c>
      <c r="AC885" s="294">
        <f>IF(NFI_Expiration=1,IF($A885&lt;VLOOKUP(L$5,NFI,5,0),1,0)*Table_NFI[[#This Row],[Tarpaulin]],Table_NFI[[#This Row],[Tarpaulin]])</f>
        <v>0</v>
      </c>
      <c r="AD885" s="294">
        <f>IF(NFI_Expiration=1,IF($A885&lt;VLOOKUP(M$5,NFI,5,0),1,0)*Table_NFI[[#This Row],[Blanket]],Table_NFI[[#This Row],[Blanket]])</f>
        <v>0</v>
      </c>
      <c r="AE885" s="294">
        <f>IF(NFI_Expiration=1,IF($A885&lt;VLOOKUP(N$5,NFI,5,0),1,0)*Table_NFI[[#This Row],[Kitchen Set]],Table_NFI[Kitchen Set])</f>
        <v>0</v>
      </c>
      <c r="AF885" s="294">
        <f>IF(NFI_Expiration=1,IF($A885&lt;VLOOKUP(O$5,NFI,5,0),1,0)*Table_NFI[[#This Row],[Clothes Kit]],Table_NFI[Clothes Kit])</f>
        <v>0</v>
      </c>
      <c r="AG885" s="294">
        <f>IF(NFI_Expiration=1,IF($A885&lt;VLOOKUP(P$5,NFI,5,0),1,0)*Table_NFI[[#This Row],[Plastic Bucket]],Table_NFI[Plastic Bucket])</f>
        <v>0</v>
      </c>
      <c r="AH885" s="294">
        <f>IF(NFI_Expiration=1,IF($A885&lt;VLOOKUP(Q$5,NFI,5,0),1,0)*Table_NFI[[#This Row],[Plastic Mat]],Table_NFI[Plastic Mat])*IF(Table_NFI[[#This Row],[Distribution Date]]&gt;"2014-04-01",1,2.5)</f>
        <v>0</v>
      </c>
      <c r="AI885" s="294">
        <f>IF(NFI_Expiration=1,IF($A885&lt;VLOOKUP(R$5,NFI,5,0),1,0)*Table_NFI[[#This Row],[Winter Clothes Adult]],Table_NFI[Winter Clothes Adult])</f>
        <v>0</v>
      </c>
      <c r="AJ885" s="294">
        <f>IF(NFI_Expiration=1,IF($A885&lt;VLOOKUP(S$5,NFI,5,0),1,0)*Table_NFI[[#This Row],[Winter Clothes Children]],Table_NFI[Winter Clothes Children])</f>
        <v>0</v>
      </c>
      <c r="AK885" s="294">
        <f>IF(NFI_Expiration=1,IF($A885&lt;VLOOKUP(T$5,NFI,5,0),1,0)*Table_NFI[[#This Row],[Winter Items Other]],Table_NFI[Winter Items Other])</f>
        <v>0</v>
      </c>
      <c r="AL885" s="294">
        <f>IF(NFI_Expiration=1,IF($A885&lt;VLOOKUP(M$5,NFI,5,0),1,0)*Table_NFI[[#This Row],[Winter Blanket]],Table_NFI[[#This Row],[Winter Blanket]])</f>
        <v>0</v>
      </c>
      <c r="AM885" s="294">
        <f>IF(Table_NFI[[#This Row],[Winter Clothes Adult]]+Table_NFI[[#This Row],[Winter Clothes Children]]+Table_NFI[[#This Row],[Winter Items Other]]+Table_NFI[[#This Row],[Winter Blanket]]&gt;0,1,0)</f>
        <v>0</v>
      </c>
      <c r="AN885" s="331">
        <f>IF(NFI_Expiration=1,IF($A885&lt;VLOOKUP(V$5,NFI,5,0),1,0)*Table_NFI[[#This Row],[Jerry Can]],Table_NFI[Jerry Can])</f>
        <v>0</v>
      </c>
      <c r="AO885" s="331">
        <f>IF(NFI_Expiration=1,IF($A885&lt;VLOOKUP(V$5,NFI,5,0),1,0)*Table_NFI[[#This Row],[Shelter Tool kit]],Table_NFI[Shelter Tool kit])</f>
        <v>0</v>
      </c>
      <c r="AP885" s="331">
        <f>IF(NFI_Expiration=1,IF($A885&lt;VLOOKUP(V$5,NFI,5,0),1,0)*Table_NFI[[#This Row],[Tent]],Table_NFI[Tent])</f>
        <v>0</v>
      </c>
      <c r="AQ885" s="467" t="str">
        <f>IFERROR(VLOOKUP(Table_NFI[[#This Row],[Camp Name]],CL,2,0),"")</f>
        <v/>
      </c>
      <c r="AR885" s="835" t="str">
        <f ca="1">IF(Table_NFI[[#This Row],[Pcode]]="","",IF(OFFSET(CampList[Opening Date],MATCH(Table_NFI[[#This Row],[Pcode]],CampList[CP_Pcode],0)-1,0,1,1)&gt;=NFI_Monitor_Date,1,0))</f>
        <v/>
      </c>
      <c r="AS885" s="467" t="str">
        <f>IFERROR(VLOOKUP(Table_NFI[[#This Row],[Camp Name]],CL,3,0),"")</f>
        <v/>
      </c>
      <c r="AT885" s="294" t="str">
        <f ca="1">IF(Table_NFI[[#This Row],[Pcode]]="","",OFFSET(CampList[Priority],MATCH(Table_NFI[[#This Row],[Pcode]],CampList[CP_Pcode],0)-1,0,1,1))</f>
        <v/>
      </c>
      <c r="AU885" s="293" t="str">
        <f>IFERROR(Table_NFI[[#This Row],[Kitchen Set]]/VLOOKUP(Table_NFI[[#This Row],[Camp Name]],CL,4,0),"")</f>
        <v/>
      </c>
      <c r="AV885" s="461"/>
      <c r="AW885" s="463"/>
    </row>
    <row r="886" spans="1:49" ht="14.45" customHeight="1" x14ac:dyDescent="0.25">
      <c r="A886" s="297">
        <f t="shared" si="13"/>
        <v>52.2</v>
      </c>
      <c r="B886" s="460">
        <v>41170</v>
      </c>
      <c r="C886" s="461" t="s">
        <v>905</v>
      </c>
      <c r="D886" s="461" t="s">
        <v>1002</v>
      </c>
      <c r="E886" s="461" t="s">
        <v>380</v>
      </c>
      <c r="F886" s="461" t="s">
        <v>302</v>
      </c>
      <c r="G886" s="461" t="s">
        <v>1429</v>
      </c>
      <c r="H886" s="294">
        <v>130</v>
      </c>
      <c r="I886" s="291"/>
      <c r="J886" s="292"/>
      <c r="K886" s="291"/>
      <c r="L886" s="292"/>
      <c r="M886" s="292"/>
      <c r="N886" s="292"/>
      <c r="O886" s="292"/>
      <c r="P886" s="294"/>
      <c r="Q886" s="294"/>
      <c r="R886" s="294"/>
      <c r="S886" s="294"/>
      <c r="T886" s="294"/>
      <c r="U886" s="294"/>
      <c r="V886" s="431"/>
      <c r="W886" s="294"/>
      <c r="X886" s="294"/>
      <c r="Y886" s="294">
        <f>IF(NFI_Expiration=1,IF($A886&lt;VLOOKUP(H$5,NFI,5,0),1,0)*Table_NFI[[#This Row],[Hygiene Kit]],Table_NFI[Hygiene Kit])</f>
        <v>0</v>
      </c>
      <c r="Z886" s="294">
        <f>IF(NFI_Expiration=1,IF($A886&lt;VLOOKUP(I$5,NFI,5,0),1,0)*Table_NFI[[#This Row],[NFI Core Kit]],Table_NFI[NFI Core Kit])</f>
        <v>0</v>
      </c>
      <c r="AA886" s="294">
        <f>IF(NFI_Expiration=1,IF($A886&lt;VLOOKUP(J$5,NFI,5,0),1,0)*Table_NFI[[#This Row],[Sanitary Kit]],Table_NFI[Sanitary Kit])</f>
        <v>0</v>
      </c>
      <c r="AB886" s="294">
        <f>IF(NFI_Expiration=1,IF($A886&lt;VLOOKUP(K$5,NFI,5,0),1,0)*Table_NFI[[#This Row],[Mosquito net]],Table_NFI[Mosquito net])</f>
        <v>0</v>
      </c>
      <c r="AC886" s="294">
        <f>IF(NFI_Expiration=1,IF($A886&lt;VLOOKUP(L$5,NFI,5,0),1,0)*Table_NFI[[#This Row],[Tarpaulin]],Table_NFI[[#This Row],[Tarpaulin]])</f>
        <v>0</v>
      </c>
      <c r="AD886" s="294">
        <f>IF(NFI_Expiration=1,IF($A886&lt;VLOOKUP(M$5,NFI,5,0),1,0)*Table_NFI[[#This Row],[Blanket]],Table_NFI[[#This Row],[Blanket]])</f>
        <v>0</v>
      </c>
      <c r="AE886" s="294">
        <f>IF(NFI_Expiration=1,IF($A886&lt;VLOOKUP(N$5,NFI,5,0),1,0)*Table_NFI[[#This Row],[Kitchen Set]],Table_NFI[Kitchen Set])</f>
        <v>0</v>
      </c>
      <c r="AF886" s="294">
        <f>IF(NFI_Expiration=1,IF($A886&lt;VLOOKUP(O$5,NFI,5,0),1,0)*Table_NFI[[#This Row],[Clothes Kit]],Table_NFI[Clothes Kit])</f>
        <v>0</v>
      </c>
      <c r="AG886" s="294">
        <f>IF(NFI_Expiration=1,IF($A886&lt;VLOOKUP(P$5,NFI,5,0),1,0)*Table_NFI[[#This Row],[Plastic Bucket]],Table_NFI[Plastic Bucket])</f>
        <v>0</v>
      </c>
      <c r="AH886" s="294">
        <f>IF(NFI_Expiration=1,IF($A886&lt;VLOOKUP(Q$5,NFI,5,0),1,0)*Table_NFI[[#This Row],[Plastic Mat]],Table_NFI[Plastic Mat])*IF(Table_NFI[[#This Row],[Distribution Date]]&gt;"2014-04-01",1,2.5)</f>
        <v>0</v>
      </c>
      <c r="AI886" s="294">
        <f>IF(NFI_Expiration=1,IF($A886&lt;VLOOKUP(R$5,NFI,5,0),1,0)*Table_NFI[[#This Row],[Winter Clothes Adult]],Table_NFI[Winter Clothes Adult])</f>
        <v>0</v>
      </c>
      <c r="AJ886" s="294">
        <f>IF(NFI_Expiration=1,IF($A886&lt;VLOOKUP(S$5,NFI,5,0),1,0)*Table_NFI[[#This Row],[Winter Clothes Children]],Table_NFI[Winter Clothes Children])</f>
        <v>0</v>
      </c>
      <c r="AK886" s="294">
        <f>IF(NFI_Expiration=1,IF($A886&lt;VLOOKUP(T$5,NFI,5,0),1,0)*Table_NFI[[#This Row],[Winter Items Other]],Table_NFI[Winter Items Other])</f>
        <v>0</v>
      </c>
      <c r="AL886" s="294">
        <f>IF(NFI_Expiration=1,IF($A886&lt;VLOOKUP(M$5,NFI,5,0),1,0)*Table_NFI[[#This Row],[Winter Blanket]],Table_NFI[[#This Row],[Winter Blanket]])</f>
        <v>0</v>
      </c>
      <c r="AM886" s="294">
        <f>IF(Table_NFI[[#This Row],[Winter Clothes Adult]]+Table_NFI[[#This Row],[Winter Clothes Children]]+Table_NFI[[#This Row],[Winter Items Other]]+Table_NFI[[#This Row],[Winter Blanket]]&gt;0,1,0)</f>
        <v>0</v>
      </c>
      <c r="AN886" s="331">
        <f>IF(NFI_Expiration=1,IF($A886&lt;VLOOKUP(V$5,NFI,5,0),1,0)*Table_NFI[[#This Row],[Jerry Can]],Table_NFI[Jerry Can])</f>
        <v>0</v>
      </c>
      <c r="AO886" s="331">
        <f>IF(NFI_Expiration=1,IF($A886&lt;VLOOKUP(V$5,NFI,5,0),1,0)*Table_NFI[[#This Row],[Shelter Tool kit]],Table_NFI[Shelter Tool kit])</f>
        <v>0</v>
      </c>
      <c r="AP886" s="331">
        <f>IF(NFI_Expiration=1,IF($A886&lt;VLOOKUP(V$5,NFI,5,0),1,0)*Table_NFI[[#This Row],[Tent]],Table_NFI[Tent])</f>
        <v>0</v>
      </c>
      <c r="AQ886" s="467" t="str">
        <f>IFERROR(VLOOKUP(Table_NFI[[#This Row],[Camp Name]],CL,2,0),"")</f>
        <v/>
      </c>
      <c r="AR886" s="835" t="str">
        <f ca="1">IF(Table_NFI[[#This Row],[Pcode]]="","",IF(OFFSET(CampList[Opening Date],MATCH(Table_NFI[[#This Row],[Pcode]],CampList[CP_Pcode],0)-1,0,1,1)&gt;=NFI_Monitor_Date,1,0))</f>
        <v/>
      </c>
      <c r="AS886" s="467" t="str">
        <f>IFERROR(VLOOKUP(Table_NFI[[#This Row],[Camp Name]],CL,3,0),"")</f>
        <v/>
      </c>
      <c r="AT886" s="294" t="str">
        <f ca="1">IF(Table_NFI[[#This Row],[Pcode]]="","",OFFSET(CampList[Priority],MATCH(Table_NFI[[#This Row],[Pcode]],CampList[CP_Pcode],0)-1,0,1,1))</f>
        <v/>
      </c>
      <c r="AU886" s="293" t="str">
        <f>IFERROR(Table_NFI[[#This Row],[Kitchen Set]]/VLOOKUP(Table_NFI[[#This Row],[Camp Name]],CL,4,0),"")</f>
        <v/>
      </c>
      <c r="AV886" s="461"/>
      <c r="AW886" s="463"/>
    </row>
    <row r="887" spans="1:49" ht="14.45" customHeight="1" x14ac:dyDescent="0.25">
      <c r="A887" s="297">
        <f t="shared" si="13"/>
        <v>52.2</v>
      </c>
      <c r="B887" s="460">
        <v>41170</v>
      </c>
      <c r="C887" s="461" t="s">
        <v>905</v>
      </c>
      <c r="D887" s="461" t="s">
        <v>1002</v>
      </c>
      <c r="E887" s="461" t="s">
        <v>380</v>
      </c>
      <c r="F887" s="290" t="s">
        <v>302</v>
      </c>
      <c r="G887" s="290" t="s">
        <v>306</v>
      </c>
      <c r="H887" s="294">
        <v>98</v>
      </c>
      <c r="I887" s="291"/>
      <c r="J887" s="291"/>
      <c r="K887" s="291"/>
      <c r="L887" s="292"/>
      <c r="M887" s="292"/>
      <c r="N887" s="292"/>
      <c r="O887" s="292"/>
      <c r="P887" s="294"/>
      <c r="Q887" s="294"/>
      <c r="R887" s="294"/>
      <c r="S887" s="294"/>
      <c r="T887" s="294"/>
      <c r="U887" s="294"/>
      <c r="V887" s="431"/>
      <c r="W887" s="294"/>
      <c r="X887" s="294"/>
      <c r="Y887" s="294">
        <f>IF(NFI_Expiration=1,IF($A887&lt;VLOOKUP(H$5,NFI,5,0),1,0)*Table_NFI[[#This Row],[Hygiene Kit]],Table_NFI[Hygiene Kit])</f>
        <v>0</v>
      </c>
      <c r="Z887" s="294">
        <f>IF(NFI_Expiration=1,IF($A887&lt;VLOOKUP(I$5,NFI,5,0),1,0)*Table_NFI[[#This Row],[NFI Core Kit]],Table_NFI[NFI Core Kit])</f>
        <v>0</v>
      </c>
      <c r="AA887" s="294">
        <f>IF(NFI_Expiration=1,IF($A887&lt;VLOOKUP(J$5,NFI,5,0),1,0)*Table_NFI[[#This Row],[Sanitary Kit]],Table_NFI[Sanitary Kit])</f>
        <v>0</v>
      </c>
      <c r="AB887" s="294">
        <f>IF(NFI_Expiration=1,IF($A887&lt;VLOOKUP(K$5,NFI,5,0),1,0)*Table_NFI[[#This Row],[Mosquito net]],Table_NFI[Mosquito net])</f>
        <v>0</v>
      </c>
      <c r="AC887" s="294">
        <f>IF(NFI_Expiration=1,IF($A887&lt;VLOOKUP(L$5,NFI,5,0),1,0)*Table_NFI[[#This Row],[Tarpaulin]],Table_NFI[[#This Row],[Tarpaulin]])</f>
        <v>0</v>
      </c>
      <c r="AD887" s="294">
        <f>IF(NFI_Expiration=1,IF($A887&lt;VLOOKUP(M$5,NFI,5,0),1,0)*Table_NFI[[#This Row],[Blanket]],Table_NFI[[#This Row],[Blanket]])</f>
        <v>0</v>
      </c>
      <c r="AE887" s="294">
        <f>IF(NFI_Expiration=1,IF($A887&lt;VLOOKUP(N$5,NFI,5,0),1,0)*Table_NFI[[#This Row],[Kitchen Set]],Table_NFI[Kitchen Set])</f>
        <v>0</v>
      </c>
      <c r="AF887" s="294">
        <f>IF(NFI_Expiration=1,IF($A887&lt;VLOOKUP(O$5,NFI,5,0),1,0)*Table_NFI[[#This Row],[Clothes Kit]],Table_NFI[Clothes Kit])</f>
        <v>0</v>
      </c>
      <c r="AG887" s="294">
        <f>IF(NFI_Expiration=1,IF($A887&lt;VLOOKUP(P$5,NFI,5,0),1,0)*Table_NFI[[#This Row],[Plastic Bucket]],Table_NFI[Plastic Bucket])</f>
        <v>0</v>
      </c>
      <c r="AH887" s="294">
        <f>IF(NFI_Expiration=1,IF($A887&lt;VLOOKUP(Q$5,NFI,5,0),1,0)*Table_NFI[[#This Row],[Plastic Mat]],Table_NFI[Plastic Mat])*IF(Table_NFI[[#This Row],[Distribution Date]]&gt;"2014-04-01",1,2.5)</f>
        <v>0</v>
      </c>
      <c r="AI887" s="294">
        <f>IF(NFI_Expiration=1,IF($A887&lt;VLOOKUP(R$5,NFI,5,0),1,0)*Table_NFI[[#This Row],[Winter Clothes Adult]],Table_NFI[Winter Clothes Adult])</f>
        <v>0</v>
      </c>
      <c r="AJ887" s="294">
        <f>IF(NFI_Expiration=1,IF($A887&lt;VLOOKUP(S$5,NFI,5,0),1,0)*Table_NFI[[#This Row],[Winter Clothes Children]],Table_NFI[Winter Clothes Children])</f>
        <v>0</v>
      </c>
      <c r="AK887" s="294">
        <f>IF(NFI_Expiration=1,IF($A887&lt;VLOOKUP(T$5,NFI,5,0),1,0)*Table_NFI[[#This Row],[Winter Items Other]],Table_NFI[Winter Items Other])</f>
        <v>0</v>
      </c>
      <c r="AL887" s="294">
        <f>IF(NFI_Expiration=1,IF($A887&lt;VLOOKUP(M$5,NFI,5,0),1,0)*Table_NFI[[#This Row],[Winter Blanket]],Table_NFI[[#This Row],[Winter Blanket]])</f>
        <v>0</v>
      </c>
      <c r="AM887" s="294">
        <f>IF(Table_NFI[[#This Row],[Winter Clothes Adult]]+Table_NFI[[#This Row],[Winter Clothes Children]]+Table_NFI[[#This Row],[Winter Items Other]]+Table_NFI[[#This Row],[Winter Blanket]]&gt;0,1,0)</f>
        <v>0</v>
      </c>
      <c r="AN887" s="331">
        <f>IF(NFI_Expiration=1,IF($A887&lt;VLOOKUP(V$5,NFI,5,0),1,0)*Table_NFI[[#This Row],[Jerry Can]],Table_NFI[Jerry Can])</f>
        <v>0</v>
      </c>
      <c r="AO887" s="331">
        <f>IF(NFI_Expiration=1,IF($A887&lt;VLOOKUP(V$5,NFI,5,0),1,0)*Table_NFI[[#This Row],[Shelter Tool kit]],Table_NFI[Shelter Tool kit])</f>
        <v>0</v>
      </c>
      <c r="AP887" s="331">
        <f>IF(NFI_Expiration=1,IF($A887&lt;VLOOKUP(V$5,NFI,5,0),1,0)*Table_NFI[[#This Row],[Tent]],Table_NFI[Tent])</f>
        <v>0</v>
      </c>
      <c r="AQ887" s="467" t="str">
        <f>IFERROR(VLOOKUP(Table_NFI[[#This Row],[Camp Name]],CL,2,0),"")</f>
        <v>MMR001CMP067</v>
      </c>
      <c r="AR887" s="835">
        <f ca="1">IF(Table_NFI[[#This Row],[Pcode]]="","",IF(OFFSET(CampList[Opening Date],MATCH(Table_NFI[[#This Row],[Pcode]],CampList[CP_Pcode],0)-1,0,1,1)&gt;=NFI_Monitor_Date,1,0))</f>
        <v>0</v>
      </c>
      <c r="AS887" s="467" t="str">
        <f>IFERROR(VLOOKUP(Table_NFI[[#This Row],[Camp Name]],CL,3,0),"")</f>
        <v>Open</v>
      </c>
      <c r="AT887" s="294" t="str">
        <f ca="1">IF(Table_NFI[[#This Row],[Pcode]]="","",OFFSET(CampList[Priority],MATCH(Table_NFI[[#This Row],[Pcode]],CampList[CP_Pcode],0)-1,0,1,1))</f>
        <v>P4</v>
      </c>
      <c r="AU887" s="293">
        <f>IFERROR(Table_NFI[[#This Row],[Kitchen Set]]/VLOOKUP(Table_NFI[[#This Row],[Camp Name]],CL,4,0),"")</f>
        <v>0</v>
      </c>
      <c r="AV887" s="461"/>
      <c r="AW887" s="463"/>
    </row>
    <row r="888" spans="1:49" ht="14.45" customHeight="1" x14ac:dyDescent="0.25">
      <c r="A888" s="297">
        <f t="shared" si="13"/>
        <v>52.2</v>
      </c>
      <c r="B888" s="460">
        <v>41170</v>
      </c>
      <c r="C888" s="461" t="s">
        <v>905</v>
      </c>
      <c r="D888" s="461" t="s">
        <v>1002</v>
      </c>
      <c r="E888" s="461" t="s">
        <v>380</v>
      </c>
      <c r="F888" s="290" t="s">
        <v>302</v>
      </c>
      <c r="G888" s="290" t="s">
        <v>308</v>
      </c>
      <c r="H888" s="294">
        <v>59</v>
      </c>
      <c r="I888" s="291"/>
      <c r="J888" s="291"/>
      <c r="K888" s="291"/>
      <c r="L888" s="292"/>
      <c r="M888" s="292"/>
      <c r="N888" s="292"/>
      <c r="O888" s="292"/>
      <c r="P888" s="294"/>
      <c r="Q888" s="294"/>
      <c r="R888" s="294"/>
      <c r="S888" s="294"/>
      <c r="T888" s="294"/>
      <c r="U888" s="294"/>
      <c r="V888" s="431"/>
      <c r="W888" s="294"/>
      <c r="X888" s="294"/>
      <c r="Y888" s="294">
        <f>IF(NFI_Expiration=1,IF($A888&lt;VLOOKUP(H$5,NFI,5,0),1,0)*Table_NFI[[#This Row],[Hygiene Kit]],Table_NFI[Hygiene Kit])</f>
        <v>0</v>
      </c>
      <c r="Z888" s="294">
        <f>IF(NFI_Expiration=1,IF($A888&lt;VLOOKUP(I$5,NFI,5,0),1,0)*Table_NFI[[#This Row],[NFI Core Kit]],Table_NFI[NFI Core Kit])</f>
        <v>0</v>
      </c>
      <c r="AA888" s="294">
        <f>IF(NFI_Expiration=1,IF($A888&lt;VLOOKUP(J$5,NFI,5,0),1,0)*Table_NFI[[#This Row],[Sanitary Kit]],Table_NFI[Sanitary Kit])</f>
        <v>0</v>
      </c>
      <c r="AB888" s="294">
        <f>IF(NFI_Expiration=1,IF($A888&lt;VLOOKUP(K$5,NFI,5,0),1,0)*Table_NFI[[#This Row],[Mosquito net]],Table_NFI[Mosquito net])</f>
        <v>0</v>
      </c>
      <c r="AC888" s="294">
        <f>IF(NFI_Expiration=1,IF($A888&lt;VLOOKUP(L$5,NFI,5,0),1,0)*Table_NFI[[#This Row],[Tarpaulin]],Table_NFI[[#This Row],[Tarpaulin]])</f>
        <v>0</v>
      </c>
      <c r="AD888" s="294">
        <f>IF(NFI_Expiration=1,IF($A888&lt;VLOOKUP(M$5,NFI,5,0),1,0)*Table_NFI[[#This Row],[Blanket]],Table_NFI[[#This Row],[Blanket]])</f>
        <v>0</v>
      </c>
      <c r="AE888" s="294">
        <f>IF(NFI_Expiration=1,IF($A888&lt;VLOOKUP(N$5,NFI,5,0),1,0)*Table_NFI[[#This Row],[Kitchen Set]],Table_NFI[Kitchen Set])</f>
        <v>0</v>
      </c>
      <c r="AF888" s="294">
        <f>IF(NFI_Expiration=1,IF($A888&lt;VLOOKUP(O$5,NFI,5,0),1,0)*Table_NFI[[#This Row],[Clothes Kit]],Table_NFI[Clothes Kit])</f>
        <v>0</v>
      </c>
      <c r="AG888" s="294">
        <f>IF(NFI_Expiration=1,IF($A888&lt;VLOOKUP(P$5,NFI,5,0),1,0)*Table_NFI[[#This Row],[Plastic Bucket]],Table_NFI[Plastic Bucket])</f>
        <v>0</v>
      </c>
      <c r="AH888" s="294">
        <f>IF(NFI_Expiration=1,IF($A888&lt;VLOOKUP(Q$5,NFI,5,0),1,0)*Table_NFI[[#This Row],[Plastic Mat]],Table_NFI[Plastic Mat])*IF(Table_NFI[[#This Row],[Distribution Date]]&gt;"2014-04-01",1,2.5)</f>
        <v>0</v>
      </c>
      <c r="AI888" s="294">
        <f>IF(NFI_Expiration=1,IF($A888&lt;VLOOKUP(R$5,NFI,5,0),1,0)*Table_NFI[[#This Row],[Winter Clothes Adult]],Table_NFI[Winter Clothes Adult])</f>
        <v>0</v>
      </c>
      <c r="AJ888" s="294">
        <f>IF(NFI_Expiration=1,IF($A888&lt;VLOOKUP(S$5,NFI,5,0),1,0)*Table_NFI[[#This Row],[Winter Clothes Children]],Table_NFI[Winter Clothes Children])</f>
        <v>0</v>
      </c>
      <c r="AK888" s="294">
        <f>IF(NFI_Expiration=1,IF($A888&lt;VLOOKUP(T$5,NFI,5,0),1,0)*Table_NFI[[#This Row],[Winter Items Other]],Table_NFI[Winter Items Other])</f>
        <v>0</v>
      </c>
      <c r="AL888" s="294">
        <f>IF(NFI_Expiration=1,IF($A888&lt;VLOOKUP(M$5,NFI,5,0),1,0)*Table_NFI[[#This Row],[Winter Blanket]],Table_NFI[[#This Row],[Winter Blanket]])</f>
        <v>0</v>
      </c>
      <c r="AM888" s="294">
        <f>IF(Table_NFI[[#This Row],[Winter Clothes Adult]]+Table_NFI[[#This Row],[Winter Clothes Children]]+Table_NFI[[#This Row],[Winter Items Other]]+Table_NFI[[#This Row],[Winter Blanket]]&gt;0,1,0)</f>
        <v>0</v>
      </c>
      <c r="AN888" s="331">
        <f>IF(NFI_Expiration=1,IF($A888&lt;VLOOKUP(V$5,NFI,5,0),1,0)*Table_NFI[[#This Row],[Jerry Can]],Table_NFI[Jerry Can])</f>
        <v>0</v>
      </c>
      <c r="AO888" s="331">
        <f>IF(NFI_Expiration=1,IF($A888&lt;VLOOKUP(V$5,NFI,5,0),1,0)*Table_NFI[[#This Row],[Shelter Tool kit]],Table_NFI[Shelter Tool kit])</f>
        <v>0</v>
      </c>
      <c r="AP888" s="331">
        <f>IF(NFI_Expiration=1,IF($A888&lt;VLOOKUP(V$5,NFI,5,0),1,0)*Table_NFI[[#This Row],[Tent]],Table_NFI[Tent])</f>
        <v>0</v>
      </c>
      <c r="AQ888" s="467" t="str">
        <f>IFERROR(VLOOKUP(Table_NFI[[#This Row],[Camp Name]],CL,2,0),"")</f>
        <v>MMR001CMP068</v>
      </c>
      <c r="AR888" s="835">
        <f ca="1">IF(Table_NFI[[#This Row],[Pcode]]="","",IF(OFFSET(CampList[Opening Date],MATCH(Table_NFI[[#This Row],[Pcode]],CampList[CP_Pcode],0)-1,0,1,1)&gt;=NFI_Monitor_Date,1,0))</f>
        <v>0</v>
      </c>
      <c r="AS888" s="467" t="str">
        <f>IFERROR(VLOOKUP(Table_NFI[[#This Row],[Camp Name]],CL,3,0),"")</f>
        <v>Open</v>
      </c>
      <c r="AT888" s="294" t="str">
        <f ca="1">IF(Table_NFI[[#This Row],[Pcode]]="","",OFFSET(CampList[Priority],MATCH(Table_NFI[[#This Row],[Pcode]],CampList[CP_Pcode],0)-1,0,1,1))</f>
        <v>P4</v>
      </c>
      <c r="AU888" s="293">
        <f>IFERROR(Table_NFI[[#This Row],[Kitchen Set]]/VLOOKUP(Table_NFI[[#This Row],[Camp Name]],CL,4,0),"")</f>
        <v>0</v>
      </c>
      <c r="AV888" s="461"/>
      <c r="AW888" s="463"/>
    </row>
    <row r="889" spans="1:49" ht="14.45" customHeight="1" x14ac:dyDescent="0.25">
      <c r="A889" s="297">
        <f t="shared" si="13"/>
        <v>52.233333333333334</v>
      </c>
      <c r="B889" s="460">
        <v>41169</v>
      </c>
      <c r="C889" s="461" t="s">
        <v>452</v>
      </c>
      <c r="D889" s="461" t="s">
        <v>452</v>
      </c>
      <c r="E889" s="461" t="s">
        <v>380</v>
      </c>
      <c r="F889" s="290" t="s">
        <v>185</v>
      </c>
      <c r="G889" s="290" t="s">
        <v>202</v>
      </c>
      <c r="H889" s="291"/>
      <c r="I889" s="291"/>
      <c r="J889" s="291"/>
      <c r="K889" s="291">
        <v>86</v>
      </c>
      <c r="L889" s="292">
        <v>43</v>
      </c>
      <c r="M889" s="292">
        <v>86</v>
      </c>
      <c r="N889" s="292">
        <v>43</v>
      </c>
      <c r="O889" s="292">
        <v>43</v>
      </c>
      <c r="P889" s="294">
        <v>43</v>
      </c>
      <c r="Q889" s="294">
        <v>43</v>
      </c>
      <c r="R889" s="294"/>
      <c r="S889" s="294"/>
      <c r="T889" s="294"/>
      <c r="U889" s="294"/>
      <c r="V889" s="431"/>
      <c r="W889" s="294"/>
      <c r="X889" s="294"/>
      <c r="Y889" s="294">
        <f>IF(NFI_Expiration=1,IF($A889&lt;VLOOKUP(H$5,NFI,5,0),1,0)*Table_NFI[[#This Row],[Hygiene Kit]],Table_NFI[Hygiene Kit])</f>
        <v>0</v>
      </c>
      <c r="Z889" s="294">
        <f>IF(NFI_Expiration=1,IF($A889&lt;VLOOKUP(I$5,NFI,5,0),1,0)*Table_NFI[[#This Row],[NFI Core Kit]],Table_NFI[NFI Core Kit])</f>
        <v>0</v>
      </c>
      <c r="AA889" s="294">
        <f>IF(NFI_Expiration=1,IF($A889&lt;VLOOKUP(J$5,NFI,5,0),1,0)*Table_NFI[[#This Row],[Sanitary Kit]],Table_NFI[Sanitary Kit])</f>
        <v>0</v>
      </c>
      <c r="AB889" s="294">
        <f>IF(NFI_Expiration=1,IF($A889&lt;VLOOKUP(K$5,NFI,5,0),1,0)*Table_NFI[[#This Row],[Mosquito net]],Table_NFI[Mosquito net])</f>
        <v>0</v>
      </c>
      <c r="AC889" s="294">
        <f>IF(NFI_Expiration=1,IF($A889&lt;VLOOKUP(L$5,NFI,5,0),1,0)*Table_NFI[[#This Row],[Tarpaulin]],Table_NFI[[#This Row],[Tarpaulin]])</f>
        <v>0</v>
      </c>
      <c r="AD889" s="294">
        <f>IF(NFI_Expiration=1,IF($A889&lt;VLOOKUP(M$5,NFI,5,0),1,0)*Table_NFI[[#This Row],[Blanket]],Table_NFI[[#This Row],[Blanket]])</f>
        <v>0</v>
      </c>
      <c r="AE889" s="294">
        <f>IF(NFI_Expiration=1,IF($A889&lt;VLOOKUP(N$5,NFI,5,0),1,0)*Table_NFI[[#This Row],[Kitchen Set]],Table_NFI[Kitchen Set])</f>
        <v>0</v>
      </c>
      <c r="AF889" s="294">
        <f>IF(NFI_Expiration=1,IF($A889&lt;VLOOKUP(O$5,NFI,5,0),1,0)*Table_NFI[[#This Row],[Clothes Kit]],Table_NFI[Clothes Kit])</f>
        <v>0</v>
      </c>
      <c r="AG889" s="294">
        <f>IF(NFI_Expiration=1,IF($A889&lt;VLOOKUP(P$5,NFI,5,0),1,0)*Table_NFI[[#This Row],[Plastic Bucket]],Table_NFI[Plastic Bucket])</f>
        <v>0</v>
      </c>
      <c r="AH889" s="294">
        <f>IF(NFI_Expiration=1,IF($A889&lt;VLOOKUP(Q$5,NFI,5,0),1,0)*Table_NFI[[#This Row],[Plastic Mat]],Table_NFI[Plastic Mat])*IF(Table_NFI[[#This Row],[Distribution Date]]&gt;"2014-04-01",1,2.5)</f>
        <v>0</v>
      </c>
      <c r="AI889" s="294">
        <f>IF(NFI_Expiration=1,IF($A889&lt;VLOOKUP(R$5,NFI,5,0),1,0)*Table_NFI[[#This Row],[Winter Clothes Adult]],Table_NFI[Winter Clothes Adult])</f>
        <v>0</v>
      </c>
      <c r="AJ889" s="294">
        <f>IF(NFI_Expiration=1,IF($A889&lt;VLOOKUP(S$5,NFI,5,0),1,0)*Table_NFI[[#This Row],[Winter Clothes Children]],Table_NFI[Winter Clothes Children])</f>
        <v>0</v>
      </c>
      <c r="AK889" s="294">
        <f>IF(NFI_Expiration=1,IF($A889&lt;VLOOKUP(T$5,NFI,5,0),1,0)*Table_NFI[[#This Row],[Winter Items Other]],Table_NFI[Winter Items Other])</f>
        <v>0</v>
      </c>
      <c r="AL889" s="294">
        <f>IF(NFI_Expiration=1,IF($A889&lt;VLOOKUP(M$5,NFI,5,0),1,0)*Table_NFI[[#This Row],[Winter Blanket]],Table_NFI[[#This Row],[Winter Blanket]])</f>
        <v>0</v>
      </c>
      <c r="AM889" s="294">
        <f>IF(Table_NFI[[#This Row],[Winter Clothes Adult]]+Table_NFI[[#This Row],[Winter Clothes Children]]+Table_NFI[[#This Row],[Winter Items Other]]+Table_NFI[[#This Row],[Winter Blanket]]&gt;0,1,0)</f>
        <v>0</v>
      </c>
      <c r="AN889" s="331">
        <f>IF(NFI_Expiration=1,IF($A889&lt;VLOOKUP(V$5,NFI,5,0),1,0)*Table_NFI[[#This Row],[Jerry Can]],Table_NFI[Jerry Can])</f>
        <v>0</v>
      </c>
      <c r="AO889" s="331">
        <f>IF(NFI_Expiration=1,IF($A889&lt;VLOOKUP(V$5,NFI,5,0),1,0)*Table_NFI[[#This Row],[Shelter Tool kit]],Table_NFI[Shelter Tool kit])</f>
        <v>0</v>
      </c>
      <c r="AP889" s="331">
        <f>IF(NFI_Expiration=1,IF($A889&lt;VLOOKUP(V$5,NFI,5,0),1,0)*Table_NFI[[#This Row],[Tent]],Table_NFI[Tent])</f>
        <v>0</v>
      </c>
      <c r="AQ889" s="467" t="str">
        <f>IFERROR(VLOOKUP(Table_NFI[[#This Row],[Camp Name]],CL,2,0),"")</f>
        <v>MMR001CMP062</v>
      </c>
      <c r="AR889" s="835">
        <f ca="1">IF(Table_NFI[[#This Row],[Pcode]]="","",IF(OFFSET(CampList[Opening Date],MATCH(Table_NFI[[#This Row],[Pcode]],CampList[CP_Pcode],0)-1,0,1,1)&gt;=NFI_Monitor_Date,1,0))</f>
        <v>0</v>
      </c>
      <c r="AS889" s="467" t="str">
        <f>IFERROR(VLOOKUP(Table_NFI[[#This Row],[Camp Name]],CL,3,0),"")</f>
        <v>Open</v>
      </c>
      <c r="AT889" s="294" t="str">
        <f ca="1">IF(Table_NFI[[#This Row],[Pcode]]="","",OFFSET(CampList[Priority],MATCH(Table_NFI[[#This Row],[Pcode]],CampList[CP_Pcode],0)-1,0,1,1))</f>
        <v>P4</v>
      </c>
      <c r="AU889" s="293">
        <f>IFERROR(Table_NFI[[#This Row],[Kitchen Set]]/VLOOKUP(Table_NFI[[#This Row],[Camp Name]],CL,4,0),"")</f>
        <v>1.0480136485498416E-3</v>
      </c>
      <c r="AV889" s="461" t="s">
        <v>1092</v>
      </c>
      <c r="AW889" s="463"/>
    </row>
    <row r="890" spans="1:49" ht="14.45" customHeight="1" x14ac:dyDescent="0.25">
      <c r="A890" s="297">
        <f t="shared" si="13"/>
        <v>52.233333333333334</v>
      </c>
      <c r="B890" s="460">
        <v>41169</v>
      </c>
      <c r="C890" s="461" t="s">
        <v>452</v>
      </c>
      <c r="D890" s="461" t="s">
        <v>452</v>
      </c>
      <c r="E890" s="461" t="s">
        <v>380</v>
      </c>
      <c r="F890" s="290" t="s">
        <v>185</v>
      </c>
      <c r="G890" s="290" t="s">
        <v>211</v>
      </c>
      <c r="H890" s="291"/>
      <c r="I890" s="291"/>
      <c r="J890" s="291"/>
      <c r="K890" s="291">
        <v>86</v>
      </c>
      <c r="L890" s="294">
        <v>43</v>
      </c>
      <c r="M890" s="294">
        <v>86</v>
      </c>
      <c r="N890" s="294">
        <v>43</v>
      </c>
      <c r="O890" s="294">
        <v>43</v>
      </c>
      <c r="P890" s="294">
        <v>43</v>
      </c>
      <c r="Q890" s="294">
        <v>43</v>
      </c>
      <c r="R890" s="294"/>
      <c r="S890" s="294"/>
      <c r="T890" s="294"/>
      <c r="U890" s="294"/>
      <c r="V890" s="431"/>
      <c r="W890" s="294"/>
      <c r="X890" s="294"/>
      <c r="Y890" s="294">
        <f>IF(NFI_Expiration=1,IF($A890&lt;VLOOKUP(H$5,NFI,5,0),1,0)*Table_NFI[[#This Row],[Hygiene Kit]],Table_NFI[Hygiene Kit])</f>
        <v>0</v>
      </c>
      <c r="Z890" s="294">
        <f>IF(NFI_Expiration=1,IF($A890&lt;VLOOKUP(I$5,NFI,5,0),1,0)*Table_NFI[[#This Row],[NFI Core Kit]],Table_NFI[NFI Core Kit])</f>
        <v>0</v>
      </c>
      <c r="AA890" s="294">
        <f>IF(NFI_Expiration=1,IF($A890&lt;VLOOKUP(J$5,NFI,5,0),1,0)*Table_NFI[[#This Row],[Sanitary Kit]],Table_NFI[Sanitary Kit])</f>
        <v>0</v>
      </c>
      <c r="AB890" s="294">
        <f>IF(NFI_Expiration=1,IF($A890&lt;VLOOKUP(K$5,NFI,5,0),1,0)*Table_NFI[[#This Row],[Mosquito net]],Table_NFI[Mosquito net])</f>
        <v>0</v>
      </c>
      <c r="AC890" s="294">
        <f>IF(NFI_Expiration=1,IF($A890&lt;VLOOKUP(L$5,NFI,5,0),1,0)*Table_NFI[[#This Row],[Tarpaulin]],Table_NFI[[#This Row],[Tarpaulin]])</f>
        <v>0</v>
      </c>
      <c r="AD890" s="294">
        <f>IF(NFI_Expiration=1,IF($A890&lt;VLOOKUP(M$5,NFI,5,0),1,0)*Table_NFI[[#This Row],[Blanket]],Table_NFI[[#This Row],[Blanket]])</f>
        <v>0</v>
      </c>
      <c r="AE890" s="294">
        <f>IF(NFI_Expiration=1,IF($A890&lt;VLOOKUP(N$5,NFI,5,0),1,0)*Table_NFI[[#This Row],[Kitchen Set]],Table_NFI[Kitchen Set])</f>
        <v>0</v>
      </c>
      <c r="AF890" s="294">
        <f>IF(NFI_Expiration=1,IF($A890&lt;VLOOKUP(O$5,NFI,5,0),1,0)*Table_NFI[[#This Row],[Clothes Kit]],Table_NFI[Clothes Kit])</f>
        <v>0</v>
      </c>
      <c r="AG890" s="294">
        <f>IF(NFI_Expiration=1,IF($A890&lt;VLOOKUP(P$5,NFI,5,0),1,0)*Table_NFI[[#This Row],[Plastic Bucket]],Table_NFI[Plastic Bucket])</f>
        <v>0</v>
      </c>
      <c r="AH890" s="294">
        <f>IF(NFI_Expiration=1,IF($A890&lt;VLOOKUP(Q$5,NFI,5,0),1,0)*Table_NFI[[#This Row],[Plastic Mat]],Table_NFI[Plastic Mat])*IF(Table_NFI[[#This Row],[Distribution Date]]&gt;"2014-04-01",1,2.5)</f>
        <v>0</v>
      </c>
      <c r="AI890" s="294">
        <f>IF(NFI_Expiration=1,IF($A890&lt;VLOOKUP(R$5,NFI,5,0),1,0)*Table_NFI[[#This Row],[Winter Clothes Adult]],Table_NFI[Winter Clothes Adult])</f>
        <v>0</v>
      </c>
      <c r="AJ890" s="294">
        <f>IF(NFI_Expiration=1,IF($A890&lt;VLOOKUP(S$5,NFI,5,0),1,0)*Table_NFI[[#This Row],[Winter Clothes Children]],Table_NFI[Winter Clothes Children])</f>
        <v>0</v>
      </c>
      <c r="AK890" s="294">
        <f>IF(NFI_Expiration=1,IF($A890&lt;VLOOKUP(T$5,NFI,5,0),1,0)*Table_NFI[[#This Row],[Winter Items Other]],Table_NFI[Winter Items Other])</f>
        <v>0</v>
      </c>
      <c r="AL890" s="294">
        <f>IF(NFI_Expiration=1,IF($A890&lt;VLOOKUP(M$5,NFI,5,0),1,0)*Table_NFI[[#This Row],[Winter Blanket]],Table_NFI[[#This Row],[Winter Blanket]])</f>
        <v>0</v>
      </c>
      <c r="AM890" s="294">
        <f>IF(Table_NFI[[#This Row],[Winter Clothes Adult]]+Table_NFI[[#This Row],[Winter Clothes Children]]+Table_NFI[[#This Row],[Winter Items Other]]+Table_NFI[[#This Row],[Winter Blanket]]&gt;0,1,0)</f>
        <v>0</v>
      </c>
      <c r="AN890" s="331">
        <f>IF(NFI_Expiration=1,IF($A890&lt;VLOOKUP(V$5,NFI,5,0),1,0)*Table_NFI[[#This Row],[Jerry Can]],Table_NFI[Jerry Can])</f>
        <v>0</v>
      </c>
      <c r="AO890" s="331">
        <f>IF(NFI_Expiration=1,IF($A890&lt;VLOOKUP(V$5,NFI,5,0),1,0)*Table_NFI[[#This Row],[Shelter Tool kit]],Table_NFI[Shelter Tool kit])</f>
        <v>0</v>
      </c>
      <c r="AP890" s="331">
        <f>IF(NFI_Expiration=1,IF($A890&lt;VLOOKUP(V$5,NFI,5,0),1,0)*Table_NFI[[#This Row],[Tent]],Table_NFI[Tent])</f>
        <v>0</v>
      </c>
      <c r="AQ890" s="467" t="str">
        <f>IFERROR(VLOOKUP(Table_NFI[[#This Row],[Camp Name]],CL,2,0),"")</f>
        <v>MMR001CMP057</v>
      </c>
      <c r="AR890" s="835">
        <f ca="1">IF(Table_NFI[[#This Row],[Pcode]]="","",IF(OFFSET(CampList[Opening Date],MATCH(Table_NFI[[#This Row],[Pcode]],CampList[CP_Pcode],0)-1,0,1,1)&gt;=NFI_Monitor_Date,1,0))</f>
        <v>0</v>
      </c>
      <c r="AS890" s="467" t="str">
        <f>IFERROR(VLOOKUP(Table_NFI[[#This Row],[Camp Name]],CL,3,0),"")</f>
        <v>Closed</v>
      </c>
      <c r="AT890" s="294" t="str">
        <f ca="1">IF(Table_NFI[[#This Row],[Pcode]]="","",OFFSET(CampList[Priority],MATCH(Table_NFI[[#This Row],[Pcode]],CampList[CP_Pcode],0)-1,0,1,1))</f>
        <v>P4</v>
      </c>
      <c r="AU890" s="293">
        <f>IFERROR(Table_NFI[[#This Row],[Kitchen Set]]/VLOOKUP(Table_NFI[[#This Row],[Camp Name]],CL,4,0),"")</f>
        <v>1.0550593777603299E-3</v>
      </c>
      <c r="AV890" s="461" t="s">
        <v>1092</v>
      </c>
      <c r="AW890" s="463"/>
    </row>
    <row r="891" spans="1:49" ht="14.45" customHeight="1" x14ac:dyDescent="0.25">
      <c r="A891" s="297">
        <f t="shared" si="13"/>
        <v>52.333333333333336</v>
      </c>
      <c r="B891" s="460">
        <v>41166</v>
      </c>
      <c r="C891" s="461" t="s">
        <v>452</v>
      </c>
      <c r="D891" s="461" t="s">
        <v>452</v>
      </c>
      <c r="E891" s="461" t="s">
        <v>380</v>
      </c>
      <c r="F891" s="290" t="s">
        <v>310</v>
      </c>
      <c r="G891" s="290" t="s">
        <v>330</v>
      </c>
      <c r="H891" s="291"/>
      <c r="I891" s="291"/>
      <c r="J891" s="291"/>
      <c r="K891" s="291">
        <v>94</v>
      </c>
      <c r="L891" s="292">
        <v>48</v>
      </c>
      <c r="M891" s="292">
        <v>94</v>
      </c>
      <c r="N891" s="292">
        <v>48</v>
      </c>
      <c r="O891" s="292">
        <v>48</v>
      </c>
      <c r="P891" s="294">
        <v>48</v>
      </c>
      <c r="Q891" s="294">
        <v>48</v>
      </c>
      <c r="R891" s="294"/>
      <c r="S891" s="294"/>
      <c r="T891" s="294"/>
      <c r="U891" s="294"/>
      <c r="V891" s="431"/>
      <c r="W891" s="294"/>
      <c r="X891" s="294"/>
      <c r="Y891" s="294">
        <f>IF(NFI_Expiration=1,IF($A891&lt;VLOOKUP(H$5,NFI,5,0),1,0)*Table_NFI[[#This Row],[Hygiene Kit]],Table_NFI[Hygiene Kit])</f>
        <v>0</v>
      </c>
      <c r="Z891" s="294">
        <f>IF(NFI_Expiration=1,IF($A891&lt;VLOOKUP(I$5,NFI,5,0),1,0)*Table_NFI[[#This Row],[NFI Core Kit]],Table_NFI[NFI Core Kit])</f>
        <v>0</v>
      </c>
      <c r="AA891" s="294">
        <f>IF(NFI_Expiration=1,IF($A891&lt;VLOOKUP(J$5,NFI,5,0),1,0)*Table_NFI[[#This Row],[Sanitary Kit]],Table_NFI[Sanitary Kit])</f>
        <v>0</v>
      </c>
      <c r="AB891" s="294">
        <f>IF(NFI_Expiration=1,IF($A891&lt;VLOOKUP(K$5,NFI,5,0),1,0)*Table_NFI[[#This Row],[Mosquito net]],Table_NFI[Mosquito net])</f>
        <v>0</v>
      </c>
      <c r="AC891" s="294">
        <f>IF(NFI_Expiration=1,IF($A891&lt;VLOOKUP(L$5,NFI,5,0),1,0)*Table_NFI[[#This Row],[Tarpaulin]],Table_NFI[[#This Row],[Tarpaulin]])</f>
        <v>0</v>
      </c>
      <c r="AD891" s="294">
        <f>IF(NFI_Expiration=1,IF($A891&lt;VLOOKUP(M$5,NFI,5,0),1,0)*Table_NFI[[#This Row],[Blanket]],Table_NFI[[#This Row],[Blanket]])</f>
        <v>0</v>
      </c>
      <c r="AE891" s="294">
        <f>IF(NFI_Expiration=1,IF($A891&lt;VLOOKUP(N$5,NFI,5,0),1,0)*Table_NFI[[#This Row],[Kitchen Set]],Table_NFI[Kitchen Set])</f>
        <v>0</v>
      </c>
      <c r="AF891" s="294">
        <f>IF(NFI_Expiration=1,IF($A891&lt;VLOOKUP(O$5,NFI,5,0),1,0)*Table_NFI[[#This Row],[Clothes Kit]],Table_NFI[Clothes Kit])</f>
        <v>0</v>
      </c>
      <c r="AG891" s="294">
        <f>IF(NFI_Expiration=1,IF($A891&lt;VLOOKUP(P$5,NFI,5,0),1,0)*Table_NFI[[#This Row],[Plastic Bucket]],Table_NFI[Plastic Bucket])</f>
        <v>0</v>
      </c>
      <c r="AH891" s="294">
        <f>IF(NFI_Expiration=1,IF($A891&lt;VLOOKUP(Q$5,NFI,5,0),1,0)*Table_NFI[[#This Row],[Plastic Mat]],Table_NFI[Plastic Mat])*IF(Table_NFI[[#This Row],[Distribution Date]]&gt;"2014-04-01",1,2.5)</f>
        <v>0</v>
      </c>
      <c r="AI891" s="294">
        <f>IF(NFI_Expiration=1,IF($A891&lt;VLOOKUP(R$5,NFI,5,0),1,0)*Table_NFI[[#This Row],[Winter Clothes Adult]],Table_NFI[Winter Clothes Adult])</f>
        <v>0</v>
      </c>
      <c r="AJ891" s="294">
        <f>IF(NFI_Expiration=1,IF($A891&lt;VLOOKUP(S$5,NFI,5,0),1,0)*Table_NFI[[#This Row],[Winter Clothes Children]],Table_NFI[Winter Clothes Children])</f>
        <v>0</v>
      </c>
      <c r="AK891" s="294">
        <f>IF(NFI_Expiration=1,IF($A891&lt;VLOOKUP(T$5,NFI,5,0),1,0)*Table_NFI[[#This Row],[Winter Items Other]],Table_NFI[Winter Items Other])</f>
        <v>0</v>
      </c>
      <c r="AL891" s="294">
        <f>IF(NFI_Expiration=1,IF($A891&lt;VLOOKUP(M$5,NFI,5,0),1,0)*Table_NFI[[#This Row],[Winter Blanket]],Table_NFI[[#This Row],[Winter Blanket]])</f>
        <v>0</v>
      </c>
      <c r="AM891" s="294">
        <f>IF(Table_NFI[[#This Row],[Winter Clothes Adult]]+Table_NFI[[#This Row],[Winter Clothes Children]]+Table_NFI[[#This Row],[Winter Items Other]]+Table_NFI[[#This Row],[Winter Blanket]]&gt;0,1,0)</f>
        <v>0</v>
      </c>
      <c r="AN891" s="331">
        <f>IF(NFI_Expiration=1,IF($A891&lt;VLOOKUP(V$5,NFI,5,0),1,0)*Table_NFI[[#This Row],[Jerry Can]],Table_NFI[Jerry Can])</f>
        <v>0</v>
      </c>
      <c r="AO891" s="331">
        <f>IF(NFI_Expiration=1,IF($A891&lt;VLOOKUP(V$5,NFI,5,0),1,0)*Table_NFI[[#This Row],[Shelter Tool kit]],Table_NFI[Shelter Tool kit])</f>
        <v>0</v>
      </c>
      <c r="AP891" s="331">
        <f>IF(NFI_Expiration=1,IF($A891&lt;VLOOKUP(V$5,NFI,5,0),1,0)*Table_NFI[[#This Row],[Tent]],Table_NFI[Tent])</f>
        <v>0</v>
      </c>
      <c r="AQ891" s="467" t="str">
        <f>IFERROR(VLOOKUP(Table_NFI[[#This Row],[Camp Name]],CL,2,0),"")</f>
        <v>MMR001CMP029</v>
      </c>
      <c r="AR891" s="835">
        <f ca="1">IF(Table_NFI[[#This Row],[Pcode]]="","",IF(OFFSET(CampList[Opening Date],MATCH(Table_NFI[[#This Row],[Pcode]],CampList[CP_Pcode],0)-1,0,1,1)&gt;=NFI_Monitor_Date,1,0))</f>
        <v>0</v>
      </c>
      <c r="AS891" s="467" t="str">
        <f>IFERROR(VLOOKUP(Table_NFI[[#This Row],[Camp Name]],CL,3,0),"")</f>
        <v>Open</v>
      </c>
      <c r="AT891" s="294" t="str">
        <f ca="1">IF(Table_NFI[[#This Row],[Pcode]]="","",OFFSET(CampList[Priority],MATCH(Table_NFI[[#This Row],[Pcode]],CampList[CP_Pcode],0)-1,0,1,1))</f>
        <v>P4</v>
      </c>
      <c r="AU891" s="293">
        <f>IFERROR(Table_NFI[[#This Row],[Kitchen Set]]/VLOOKUP(Table_NFI[[#This Row],[Camp Name]],CL,4,0),"")</f>
        <v>1.1586926085067348E-3</v>
      </c>
      <c r="AV891" s="461" t="s">
        <v>1092</v>
      </c>
      <c r="AW891" s="463"/>
    </row>
    <row r="892" spans="1:49" ht="14.45" customHeight="1" x14ac:dyDescent="0.25">
      <c r="A892" s="297">
        <f t="shared" si="13"/>
        <v>52.333333333333336</v>
      </c>
      <c r="B892" s="460">
        <v>41166</v>
      </c>
      <c r="C892" s="461" t="s">
        <v>452</v>
      </c>
      <c r="D892" s="461" t="s">
        <v>452</v>
      </c>
      <c r="E892" s="461" t="s">
        <v>380</v>
      </c>
      <c r="F892" s="461" t="s">
        <v>310</v>
      </c>
      <c r="G892" s="290" t="s">
        <v>316</v>
      </c>
      <c r="H892" s="291"/>
      <c r="I892" s="291"/>
      <c r="J892" s="291"/>
      <c r="K892" s="291">
        <v>14</v>
      </c>
      <c r="L892" s="292">
        <v>8</v>
      </c>
      <c r="M892" s="292">
        <v>14</v>
      </c>
      <c r="N892" s="292">
        <v>8</v>
      </c>
      <c r="O892" s="292">
        <v>8</v>
      </c>
      <c r="P892" s="294">
        <v>8</v>
      </c>
      <c r="Q892" s="294">
        <v>8</v>
      </c>
      <c r="R892" s="294"/>
      <c r="S892" s="294"/>
      <c r="T892" s="294"/>
      <c r="U892" s="294"/>
      <c r="V892" s="431"/>
      <c r="W892" s="294"/>
      <c r="X892" s="294"/>
      <c r="Y892" s="294">
        <f>IF(NFI_Expiration=1,IF($A892&lt;VLOOKUP(H$5,NFI,5,0),1,0)*Table_NFI[[#This Row],[Hygiene Kit]],Table_NFI[Hygiene Kit])</f>
        <v>0</v>
      </c>
      <c r="Z892" s="294">
        <f>IF(NFI_Expiration=1,IF($A892&lt;VLOOKUP(I$5,NFI,5,0),1,0)*Table_NFI[[#This Row],[NFI Core Kit]],Table_NFI[NFI Core Kit])</f>
        <v>0</v>
      </c>
      <c r="AA892" s="294">
        <f>IF(NFI_Expiration=1,IF($A892&lt;VLOOKUP(J$5,NFI,5,0),1,0)*Table_NFI[[#This Row],[Sanitary Kit]],Table_NFI[Sanitary Kit])</f>
        <v>0</v>
      </c>
      <c r="AB892" s="294">
        <f>IF(NFI_Expiration=1,IF($A892&lt;VLOOKUP(K$5,NFI,5,0),1,0)*Table_NFI[[#This Row],[Mosquito net]],Table_NFI[Mosquito net])</f>
        <v>0</v>
      </c>
      <c r="AC892" s="294">
        <f>IF(NFI_Expiration=1,IF($A892&lt;VLOOKUP(L$5,NFI,5,0),1,0)*Table_NFI[[#This Row],[Tarpaulin]],Table_NFI[[#This Row],[Tarpaulin]])</f>
        <v>0</v>
      </c>
      <c r="AD892" s="294">
        <f>IF(NFI_Expiration=1,IF($A892&lt;VLOOKUP(M$5,NFI,5,0),1,0)*Table_NFI[[#This Row],[Blanket]],Table_NFI[[#This Row],[Blanket]])</f>
        <v>0</v>
      </c>
      <c r="AE892" s="294">
        <f>IF(NFI_Expiration=1,IF($A892&lt;VLOOKUP(N$5,NFI,5,0),1,0)*Table_NFI[[#This Row],[Kitchen Set]],Table_NFI[Kitchen Set])</f>
        <v>0</v>
      </c>
      <c r="AF892" s="294">
        <f>IF(NFI_Expiration=1,IF($A892&lt;VLOOKUP(O$5,NFI,5,0),1,0)*Table_NFI[[#This Row],[Clothes Kit]],Table_NFI[Clothes Kit])</f>
        <v>0</v>
      </c>
      <c r="AG892" s="294">
        <f>IF(NFI_Expiration=1,IF($A892&lt;VLOOKUP(P$5,NFI,5,0),1,0)*Table_NFI[[#This Row],[Plastic Bucket]],Table_NFI[Plastic Bucket])</f>
        <v>0</v>
      </c>
      <c r="AH892" s="294">
        <f>IF(NFI_Expiration=1,IF($A892&lt;VLOOKUP(Q$5,NFI,5,0),1,0)*Table_NFI[[#This Row],[Plastic Mat]],Table_NFI[Plastic Mat])*IF(Table_NFI[[#This Row],[Distribution Date]]&gt;"2014-04-01",1,2.5)</f>
        <v>0</v>
      </c>
      <c r="AI892" s="294">
        <f>IF(NFI_Expiration=1,IF($A892&lt;VLOOKUP(R$5,NFI,5,0),1,0)*Table_NFI[[#This Row],[Winter Clothes Adult]],Table_NFI[Winter Clothes Adult])</f>
        <v>0</v>
      </c>
      <c r="AJ892" s="294">
        <f>IF(NFI_Expiration=1,IF($A892&lt;VLOOKUP(S$5,NFI,5,0),1,0)*Table_NFI[[#This Row],[Winter Clothes Children]],Table_NFI[Winter Clothes Children])</f>
        <v>0</v>
      </c>
      <c r="AK892" s="294">
        <f>IF(NFI_Expiration=1,IF($A892&lt;VLOOKUP(T$5,NFI,5,0),1,0)*Table_NFI[[#This Row],[Winter Items Other]],Table_NFI[Winter Items Other])</f>
        <v>0</v>
      </c>
      <c r="AL892" s="294">
        <f>IF(NFI_Expiration=1,IF($A892&lt;VLOOKUP(M$5,NFI,5,0),1,0)*Table_NFI[[#This Row],[Winter Blanket]],Table_NFI[[#This Row],[Winter Blanket]])</f>
        <v>0</v>
      </c>
      <c r="AM892" s="294">
        <f>IF(Table_NFI[[#This Row],[Winter Clothes Adult]]+Table_NFI[[#This Row],[Winter Clothes Children]]+Table_NFI[[#This Row],[Winter Items Other]]+Table_NFI[[#This Row],[Winter Blanket]]&gt;0,1,0)</f>
        <v>0</v>
      </c>
      <c r="AN892" s="331">
        <f>IF(NFI_Expiration=1,IF($A892&lt;VLOOKUP(V$5,NFI,5,0),1,0)*Table_NFI[[#This Row],[Jerry Can]],Table_NFI[Jerry Can])</f>
        <v>0</v>
      </c>
      <c r="AO892" s="331">
        <f>IF(NFI_Expiration=1,IF($A892&lt;VLOOKUP(V$5,NFI,5,0),1,0)*Table_NFI[[#This Row],[Shelter Tool kit]],Table_NFI[Shelter Tool kit])</f>
        <v>0</v>
      </c>
      <c r="AP892" s="331">
        <f>IF(NFI_Expiration=1,IF($A892&lt;VLOOKUP(V$5,NFI,5,0),1,0)*Table_NFI[[#This Row],[Tent]],Table_NFI[Tent])</f>
        <v>0</v>
      </c>
      <c r="AQ892" s="467" t="str">
        <f>IFERROR(VLOOKUP(Table_NFI[[#This Row],[Camp Name]],CL,2,0),"")</f>
        <v>MMR001CMP038</v>
      </c>
      <c r="AR892" s="835">
        <f ca="1">IF(Table_NFI[[#This Row],[Pcode]]="","",IF(OFFSET(CampList[Opening Date],MATCH(Table_NFI[[#This Row],[Pcode]],CampList[CP_Pcode],0)-1,0,1,1)&gt;=NFI_Monitor_Date,1,0))</f>
        <v>0</v>
      </c>
      <c r="AS892" s="467" t="str">
        <f>IFERROR(VLOOKUP(Table_NFI[[#This Row],[Camp Name]],CL,3,0),"")</f>
        <v>Open</v>
      </c>
      <c r="AT892" s="294" t="str">
        <f ca="1">IF(Table_NFI[[#This Row],[Pcode]]="","",OFFSET(CampList[Priority],MATCH(Table_NFI[[#This Row],[Pcode]],CampList[CP_Pcode],0)-1,0,1,1))</f>
        <v>P4</v>
      </c>
      <c r="AU892" s="293">
        <f>IFERROR(Table_NFI[[#This Row],[Kitchen Set]]/VLOOKUP(Table_NFI[[#This Row],[Camp Name]],CL,4,0),"")</f>
        <v>1.9584802193497845E-4</v>
      </c>
      <c r="AV892" s="461" t="s">
        <v>1092</v>
      </c>
      <c r="AW892" s="463"/>
    </row>
    <row r="893" spans="1:49" ht="14.45" customHeight="1" x14ac:dyDescent="0.25">
      <c r="A893" s="297">
        <f t="shared" si="13"/>
        <v>52.466666666666669</v>
      </c>
      <c r="B893" s="460">
        <v>41162</v>
      </c>
      <c r="C893" s="461" t="s">
        <v>452</v>
      </c>
      <c r="D893" s="462" t="s">
        <v>452</v>
      </c>
      <c r="E893" s="461" t="s">
        <v>380</v>
      </c>
      <c r="F893" s="290" t="s">
        <v>237</v>
      </c>
      <c r="G893" s="290" t="s">
        <v>267</v>
      </c>
      <c r="H893" s="291"/>
      <c r="I893" s="291"/>
      <c r="J893" s="291"/>
      <c r="K893" s="291">
        <v>10</v>
      </c>
      <c r="L893" s="292">
        <v>6</v>
      </c>
      <c r="M893" s="292">
        <v>10</v>
      </c>
      <c r="N893" s="292">
        <v>6</v>
      </c>
      <c r="O893" s="292">
        <v>6</v>
      </c>
      <c r="P893" s="294">
        <v>6</v>
      </c>
      <c r="Q893" s="294">
        <v>6</v>
      </c>
      <c r="R893" s="294"/>
      <c r="S893" s="294"/>
      <c r="T893" s="294"/>
      <c r="U893" s="294"/>
      <c r="V893" s="431"/>
      <c r="W893" s="294"/>
      <c r="X893" s="294"/>
      <c r="Y893" s="294">
        <f>IF(NFI_Expiration=1,IF($A893&lt;VLOOKUP(H$5,NFI,5,0),1,0)*Table_NFI[[#This Row],[Hygiene Kit]],Table_NFI[Hygiene Kit])</f>
        <v>0</v>
      </c>
      <c r="Z893" s="294">
        <f>IF(NFI_Expiration=1,IF($A893&lt;VLOOKUP(I$5,NFI,5,0),1,0)*Table_NFI[[#This Row],[NFI Core Kit]],Table_NFI[NFI Core Kit])</f>
        <v>0</v>
      </c>
      <c r="AA893" s="294">
        <f>IF(NFI_Expiration=1,IF($A893&lt;VLOOKUP(J$5,NFI,5,0),1,0)*Table_NFI[[#This Row],[Sanitary Kit]],Table_NFI[Sanitary Kit])</f>
        <v>0</v>
      </c>
      <c r="AB893" s="294">
        <f>IF(NFI_Expiration=1,IF($A893&lt;VLOOKUP(K$5,NFI,5,0),1,0)*Table_NFI[[#This Row],[Mosquito net]],Table_NFI[Mosquito net])</f>
        <v>0</v>
      </c>
      <c r="AC893" s="294">
        <f>IF(NFI_Expiration=1,IF($A893&lt;VLOOKUP(L$5,NFI,5,0),1,0)*Table_NFI[[#This Row],[Tarpaulin]],Table_NFI[[#This Row],[Tarpaulin]])</f>
        <v>0</v>
      </c>
      <c r="AD893" s="294">
        <f>IF(NFI_Expiration=1,IF($A893&lt;VLOOKUP(M$5,NFI,5,0),1,0)*Table_NFI[[#This Row],[Blanket]],Table_NFI[[#This Row],[Blanket]])</f>
        <v>0</v>
      </c>
      <c r="AE893" s="294">
        <f>IF(NFI_Expiration=1,IF($A893&lt;VLOOKUP(N$5,NFI,5,0),1,0)*Table_NFI[[#This Row],[Kitchen Set]],Table_NFI[Kitchen Set])</f>
        <v>0</v>
      </c>
      <c r="AF893" s="294">
        <f>IF(NFI_Expiration=1,IF($A893&lt;VLOOKUP(O$5,NFI,5,0),1,0)*Table_NFI[[#This Row],[Clothes Kit]],Table_NFI[Clothes Kit])</f>
        <v>0</v>
      </c>
      <c r="AG893" s="294">
        <f>IF(NFI_Expiration=1,IF($A893&lt;VLOOKUP(P$5,NFI,5,0),1,0)*Table_NFI[[#This Row],[Plastic Bucket]],Table_NFI[Plastic Bucket])</f>
        <v>0</v>
      </c>
      <c r="AH893" s="294">
        <f>IF(NFI_Expiration=1,IF($A893&lt;VLOOKUP(Q$5,NFI,5,0),1,0)*Table_NFI[[#This Row],[Plastic Mat]],Table_NFI[Plastic Mat])*IF(Table_NFI[[#This Row],[Distribution Date]]&gt;"2014-04-01",1,2.5)</f>
        <v>0</v>
      </c>
      <c r="AI893" s="294">
        <f>IF(NFI_Expiration=1,IF($A893&lt;VLOOKUP(R$5,NFI,5,0),1,0)*Table_NFI[[#This Row],[Winter Clothes Adult]],Table_NFI[Winter Clothes Adult])</f>
        <v>0</v>
      </c>
      <c r="AJ893" s="294">
        <f>IF(NFI_Expiration=1,IF($A893&lt;VLOOKUP(S$5,NFI,5,0),1,0)*Table_NFI[[#This Row],[Winter Clothes Children]],Table_NFI[Winter Clothes Children])</f>
        <v>0</v>
      </c>
      <c r="AK893" s="294">
        <f>IF(NFI_Expiration=1,IF($A893&lt;VLOOKUP(T$5,NFI,5,0),1,0)*Table_NFI[[#This Row],[Winter Items Other]],Table_NFI[Winter Items Other])</f>
        <v>0</v>
      </c>
      <c r="AL893" s="294">
        <f>IF(NFI_Expiration=1,IF($A893&lt;VLOOKUP(M$5,NFI,5,0),1,0)*Table_NFI[[#This Row],[Winter Blanket]],Table_NFI[[#This Row],[Winter Blanket]])</f>
        <v>0</v>
      </c>
      <c r="AM893" s="294">
        <f>IF(Table_NFI[[#This Row],[Winter Clothes Adult]]+Table_NFI[[#This Row],[Winter Clothes Children]]+Table_NFI[[#This Row],[Winter Items Other]]+Table_NFI[[#This Row],[Winter Blanket]]&gt;0,1,0)</f>
        <v>0</v>
      </c>
      <c r="AN893" s="331">
        <f>IF(NFI_Expiration=1,IF($A893&lt;VLOOKUP(V$5,NFI,5,0),1,0)*Table_NFI[[#This Row],[Jerry Can]],Table_NFI[Jerry Can])</f>
        <v>0</v>
      </c>
      <c r="AO893" s="331">
        <f>IF(NFI_Expiration=1,IF($A893&lt;VLOOKUP(V$5,NFI,5,0),1,0)*Table_NFI[[#This Row],[Shelter Tool kit]],Table_NFI[Shelter Tool kit])</f>
        <v>0</v>
      </c>
      <c r="AP893" s="331">
        <f>IF(NFI_Expiration=1,IF($A893&lt;VLOOKUP(V$5,NFI,5,0),1,0)*Table_NFI[[#This Row],[Tent]],Table_NFI[Tent])</f>
        <v>0</v>
      </c>
      <c r="AQ893" s="467" t="str">
        <f>IFERROR(VLOOKUP(Table_NFI[[#This Row],[Camp Name]],CL,2,0),"")</f>
        <v>MMR001CMP017</v>
      </c>
      <c r="AR893" s="835">
        <f ca="1">IF(Table_NFI[[#This Row],[Pcode]]="","",IF(OFFSET(CampList[Opening Date],MATCH(Table_NFI[[#This Row],[Pcode]],CampList[CP_Pcode],0)-1,0,1,1)&gt;=NFI_Monitor_Date,1,0))</f>
        <v>0</v>
      </c>
      <c r="AS893" s="467" t="str">
        <f>IFERROR(VLOOKUP(Table_NFI[[#This Row],[Camp Name]],CL,3,0),"")</f>
        <v>Closed</v>
      </c>
      <c r="AT893" s="294" t="str">
        <f ca="1">IF(Table_NFI[[#This Row],[Pcode]]="","",OFFSET(CampList[Priority],MATCH(Table_NFI[[#This Row],[Pcode]],CampList[CP_Pcode],0)-1,0,1,1))</f>
        <v>P4</v>
      </c>
      <c r="AU893" s="293">
        <f>IFERROR(Table_NFI[[#This Row],[Kitchen Set]]/VLOOKUP(Table_NFI[[#This Row],[Camp Name]],CL,4,0),"")</f>
        <v>1.4699757454002008E-4</v>
      </c>
      <c r="AV893" s="461" t="s">
        <v>1092</v>
      </c>
      <c r="AW893" s="463"/>
    </row>
    <row r="894" spans="1:49" ht="14.45" customHeight="1" x14ac:dyDescent="0.25">
      <c r="A894" s="297">
        <f t="shared" si="13"/>
        <v>52.633333333333333</v>
      </c>
      <c r="B894" s="460">
        <v>41157</v>
      </c>
      <c r="C894" s="461" t="s">
        <v>452</v>
      </c>
      <c r="D894" s="461" t="s">
        <v>452</v>
      </c>
      <c r="E894" s="461" t="s">
        <v>380</v>
      </c>
      <c r="F894" s="290" t="s">
        <v>185</v>
      </c>
      <c r="G894" s="290" t="s">
        <v>186</v>
      </c>
      <c r="H894" s="291"/>
      <c r="I894" s="291"/>
      <c r="J894" s="291"/>
      <c r="K894" s="291">
        <v>40</v>
      </c>
      <c r="L894" s="292">
        <v>17</v>
      </c>
      <c r="M894" s="292">
        <v>40</v>
      </c>
      <c r="N894" s="292">
        <v>17</v>
      </c>
      <c r="O894" s="292">
        <v>17</v>
      </c>
      <c r="P894" s="294">
        <v>17</v>
      </c>
      <c r="Q894" s="294">
        <v>17</v>
      </c>
      <c r="R894" s="294"/>
      <c r="S894" s="294"/>
      <c r="T894" s="294"/>
      <c r="U894" s="294"/>
      <c r="V894" s="431"/>
      <c r="W894" s="294"/>
      <c r="X894" s="294"/>
      <c r="Y894" s="294">
        <f>IF(NFI_Expiration=1,IF($A894&lt;VLOOKUP(H$5,NFI,5,0),1,0)*Table_NFI[[#This Row],[Hygiene Kit]],Table_NFI[Hygiene Kit])</f>
        <v>0</v>
      </c>
      <c r="Z894" s="294">
        <f>IF(NFI_Expiration=1,IF($A894&lt;VLOOKUP(I$5,NFI,5,0),1,0)*Table_NFI[[#This Row],[NFI Core Kit]],Table_NFI[NFI Core Kit])</f>
        <v>0</v>
      </c>
      <c r="AA894" s="294">
        <f>IF(NFI_Expiration=1,IF($A894&lt;VLOOKUP(J$5,NFI,5,0),1,0)*Table_NFI[[#This Row],[Sanitary Kit]],Table_NFI[Sanitary Kit])</f>
        <v>0</v>
      </c>
      <c r="AB894" s="294">
        <f>IF(NFI_Expiration=1,IF($A894&lt;VLOOKUP(K$5,NFI,5,0),1,0)*Table_NFI[[#This Row],[Mosquito net]],Table_NFI[Mosquito net])</f>
        <v>0</v>
      </c>
      <c r="AC894" s="294">
        <f>IF(NFI_Expiration=1,IF($A894&lt;VLOOKUP(L$5,NFI,5,0),1,0)*Table_NFI[[#This Row],[Tarpaulin]],Table_NFI[[#This Row],[Tarpaulin]])</f>
        <v>0</v>
      </c>
      <c r="AD894" s="294">
        <f>IF(NFI_Expiration=1,IF($A894&lt;VLOOKUP(M$5,NFI,5,0),1,0)*Table_NFI[[#This Row],[Blanket]],Table_NFI[[#This Row],[Blanket]])</f>
        <v>0</v>
      </c>
      <c r="AE894" s="294">
        <f>IF(NFI_Expiration=1,IF($A894&lt;VLOOKUP(N$5,NFI,5,0),1,0)*Table_NFI[[#This Row],[Kitchen Set]],Table_NFI[Kitchen Set])</f>
        <v>0</v>
      </c>
      <c r="AF894" s="294">
        <f>IF(NFI_Expiration=1,IF($A894&lt;VLOOKUP(O$5,NFI,5,0),1,0)*Table_NFI[[#This Row],[Clothes Kit]],Table_NFI[Clothes Kit])</f>
        <v>0</v>
      </c>
      <c r="AG894" s="294">
        <f>IF(NFI_Expiration=1,IF($A894&lt;VLOOKUP(P$5,NFI,5,0),1,0)*Table_NFI[[#This Row],[Plastic Bucket]],Table_NFI[Plastic Bucket])</f>
        <v>0</v>
      </c>
      <c r="AH894" s="294">
        <f>IF(NFI_Expiration=1,IF($A894&lt;VLOOKUP(Q$5,NFI,5,0),1,0)*Table_NFI[[#This Row],[Plastic Mat]],Table_NFI[Plastic Mat])*IF(Table_NFI[[#This Row],[Distribution Date]]&gt;"2014-04-01",1,2.5)</f>
        <v>0</v>
      </c>
      <c r="AI894" s="294">
        <f>IF(NFI_Expiration=1,IF($A894&lt;VLOOKUP(R$5,NFI,5,0),1,0)*Table_NFI[[#This Row],[Winter Clothes Adult]],Table_NFI[Winter Clothes Adult])</f>
        <v>0</v>
      </c>
      <c r="AJ894" s="294">
        <f>IF(NFI_Expiration=1,IF($A894&lt;VLOOKUP(S$5,NFI,5,0),1,0)*Table_NFI[[#This Row],[Winter Clothes Children]],Table_NFI[Winter Clothes Children])</f>
        <v>0</v>
      </c>
      <c r="AK894" s="294">
        <f>IF(NFI_Expiration=1,IF($A894&lt;VLOOKUP(T$5,NFI,5,0),1,0)*Table_NFI[[#This Row],[Winter Items Other]],Table_NFI[Winter Items Other])</f>
        <v>0</v>
      </c>
      <c r="AL894" s="294">
        <f>IF(NFI_Expiration=1,IF($A894&lt;VLOOKUP(M$5,NFI,5,0),1,0)*Table_NFI[[#This Row],[Winter Blanket]],Table_NFI[[#This Row],[Winter Blanket]])</f>
        <v>0</v>
      </c>
      <c r="AM894" s="294">
        <f>IF(Table_NFI[[#This Row],[Winter Clothes Adult]]+Table_NFI[[#This Row],[Winter Clothes Children]]+Table_NFI[[#This Row],[Winter Items Other]]+Table_NFI[[#This Row],[Winter Blanket]]&gt;0,1,0)</f>
        <v>0</v>
      </c>
      <c r="AN894" s="331">
        <f>IF(NFI_Expiration=1,IF($A894&lt;VLOOKUP(V$5,NFI,5,0),1,0)*Table_NFI[[#This Row],[Jerry Can]],Table_NFI[Jerry Can])</f>
        <v>0</v>
      </c>
      <c r="AO894" s="331">
        <f>IF(NFI_Expiration=1,IF($A894&lt;VLOOKUP(V$5,NFI,5,0),1,0)*Table_NFI[[#This Row],[Shelter Tool kit]],Table_NFI[Shelter Tool kit])</f>
        <v>0</v>
      </c>
      <c r="AP894" s="331">
        <f>IF(NFI_Expiration=1,IF($A894&lt;VLOOKUP(V$5,NFI,5,0),1,0)*Table_NFI[[#This Row],[Tent]],Table_NFI[Tent])</f>
        <v>0</v>
      </c>
      <c r="AQ894" s="467" t="str">
        <f>IFERROR(VLOOKUP(Table_NFI[[#This Row],[Camp Name]],CL,2,0),"")</f>
        <v>MMR001CMP071</v>
      </c>
      <c r="AR894" s="835">
        <f ca="1">IF(Table_NFI[[#This Row],[Pcode]]="","",IF(OFFSET(CampList[Opening Date],MATCH(Table_NFI[[#This Row],[Pcode]],CampList[CP_Pcode],0)-1,0,1,1)&gt;=NFI_Monitor_Date,1,0))</f>
        <v>0</v>
      </c>
      <c r="AS894" s="467" t="str">
        <f>IFERROR(VLOOKUP(Table_NFI[[#This Row],[Camp Name]],CL,3,0),"")</f>
        <v>Open</v>
      </c>
      <c r="AT894" s="294" t="str">
        <f ca="1">IF(Table_NFI[[#This Row],[Pcode]]="","",OFFSET(CampList[Priority],MATCH(Table_NFI[[#This Row],[Pcode]],CampList[CP_Pcode],0)-1,0,1,1))</f>
        <v>P3</v>
      </c>
      <c r="AU894" s="293">
        <f>IFERROR(Table_NFI[[#This Row],[Kitchen Set]]/VLOOKUP(Table_NFI[[#This Row],[Camp Name]],CL,4,0),"")</f>
        <v>4.1433097733365831E-4</v>
      </c>
      <c r="AV894" s="461" t="s">
        <v>1092</v>
      </c>
      <c r="AW894" s="463"/>
    </row>
    <row r="895" spans="1:49" ht="14.45" customHeight="1" x14ac:dyDescent="0.25">
      <c r="A895" s="297">
        <f t="shared" si="13"/>
        <v>52.633333333333333</v>
      </c>
      <c r="B895" s="460">
        <v>41157</v>
      </c>
      <c r="C895" s="461" t="s">
        <v>452</v>
      </c>
      <c r="D895" s="462" t="s">
        <v>452</v>
      </c>
      <c r="E895" s="461" t="s">
        <v>380</v>
      </c>
      <c r="F895" s="290" t="s">
        <v>185</v>
      </c>
      <c r="G895" s="290" t="s">
        <v>223</v>
      </c>
      <c r="H895" s="291"/>
      <c r="I895" s="291"/>
      <c r="J895" s="291"/>
      <c r="K895" s="291">
        <v>21</v>
      </c>
      <c r="L895" s="292">
        <v>10</v>
      </c>
      <c r="M895" s="292">
        <v>21</v>
      </c>
      <c r="N895" s="292">
        <v>10</v>
      </c>
      <c r="O895" s="292">
        <v>10</v>
      </c>
      <c r="P895" s="294">
        <v>10</v>
      </c>
      <c r="Q895" s="294">
        <v>10</v>
      </c>
      <c r="R895" s="294"/>
      <c r="S895" s="294"/>
      <c r="T895" s="294"/>
      <c r="U895" s="294"/>
      <c r="V895" s="431"/>
      <c r="W895" s="294"/>
      <c r="X895" s="294"/>
      <c r="Y895" s="294">
        <f>IF(NFI_Expiration=1,IF($A895&lt;VLOOKUP(H$5,NFI,5,0),1,0)*Table_NFI[[#This Row],[Hygiene Kit]],Table_NFI[Hygiene Kit])</f>
        <v>0</v>
      </c>
      <c r="Z895" s="294">
        <f>IF(NFI_Expiration=1,IF($A895&lt;VLOOKUP(I$5,NFI,5,0),1,0)*Table_NFI[[#This Row],[NFI Core Kit]],Table_NFI[NFI Core Kit])</f>
        <v>0</v>
      </c>
      <c r="AA895" s="294">
        <f>IF(NFI_Expiration=1,IF($A895&lt;VLOOKUP(J$5,NFI,5,0),1,0)*Table_NFI[[#This Row],[Sanitary Kit]],Table_NFI[Sanitary Kit])</f>
        <v>0</v>
      </c>
      <c r="AB895" s="294">
        <f>IF(NFI_Expiration=1,IF($A895&lt;VLOOKUP(K$5,NFI,5,0),1,0)*Table_NFI[[#This Row],[Mosquito net]],Table_NFI[Mosquito net])</f>
        <v>0</v>
      </c>
      <c r="AC895" s="294">
        <f>IF(NFI_Expiration=1,IF($A895&lt;VLOOKUP(L$5,NFI,5,0),1,0)*Table_NFI[[#This Row],[Tarpaulin]],Table_NFI[[#This Row],[Tarpaulin]])</f>
        <v>0</v>
      </c>
      <c r="AD895" s="294">
        <f>IF(NFI_Expiration=1,IF($A895&lt;VLOOKUP(M$5,NFI,5,0),1,0)*Table_NFI[[#This Row],[Blanket]],Table_NFI[[#This Row],[Blanket]])</f>
        <v>0</v>
      </c>
      <c r="AE895" s="294">
        <f>IF(NFI_Expiration=1,IF($A895&lt;VLOOKUP(N$5,NFI,5,0),1,0)*Table_NFI[[#This Row],[Kitchen Set]],Table_NFI[Kitchen Set])</f>
        <v>0</v>
      </c>
      <c r="AF895" s="294">
        <f>IF(NFI_Expiration=1,IF($A895&lt;VLOOKUP(O$5,NFI,5,0),1,0)*Table_NFI[[#This Row],[Clothes Kit]],Table_NFI[Clothes Kit])</f>
        <v>0</v>
      </c>
      <c r="AG895" s="294">
        <f>IF(NFI_Expiration=1,IF($A895&lt;VLOOKUP(P$5,NFI,5,0),1,0)*Table_NFI[[#This Row],[Plastic Bucket]],Table_NFI[Plastic Bucket])</f>
        <v>0</v>
      </c>
      <c r="AH895" s="294">
        <f>IF(NFI_Expiration=1,IF($A895&lt;VLOOKUP(Q$5,NFI,5,0),1,0)*Table_NFI[[#This Row],[Plastic Mat]],Table_NFI[Plastic Mat])*IF(Table_NFI[[#This Row],[Distribution Date]]&gt;"2014-04-01",1,2.5)</f>
        <v>0</v>
      </c>
      <c r="AI895" s="294">
        <f>IF(NFI_Expiration=1,IF($A895&lt;VLOOKUP(R$5,NFI,5,0),1,0)*Table_NFI[[#This Row],[Winter Clothes Adult]],Table_NFI[Winter Clothes Adult])</f>
        <v>0</v>
      </c>
      <c r="AJ895" s="294">
        <f>IF(NFI_Expiration=1,IF($A895&lt;VLOOKUP(S$5,NFI,5,0),1,0)*Table_NFI[[#This Row],[Winter Clothes Children]],Table_NFI[Winter Clothes Children])</f>
        <v>0</v>
      </c>
      <c r="AK895" s="294">
        <f>IF(NFI_Expiration=1,IF($A895&lt;VLOOKUP(T$5,NFI,5,0),1,0)*Table_NFI[[#This Row],[Winter Items Other]],Table_NFI[Winter Items Other])</f>
        <v>0</v>
      </c>
      <c r="AL895" s="294">
        <f>IF(NFI_Expiration=1,IF($A895&lt;VLOOKUP(M$5,NFI,5,0),1,0)*Table_NFI[[#This Row],[Winter Blanket]],Table_NFI[[#This Row],[Winter Blanket]])</f>
        <v>0</v>
      </c>
      <c r="AM895" s="294">
        <f>IF(Table_NFI[[#This Row],[Winter Clothes Adult]]+Table_NFI[[#This Row],[Winter Clothes Children]]+Table_NFI[[#This Row],[Winter Items Other]]+Table_NFI[[#This Row],[Winter Blanket]]&gt;0,1,0)</f>
        <v>0</v>
      </c>
      <c r="AN895" s="331">
        <f>IF(NFI_Expiration=1,IF($A895&lt;VLOOKUP(V$5,NFI,5,0),1,0)*Table_NFI[[#This Row],[Jerry Can]],Table_NFI[Jerry Can])</f>
        <v>0</v>
      </c>
      <c r="AO895" s="331">
        <f>IF(NFI_Expiration=1,IF($A895&lt;VLOOKUP(V$5,NFI,5,0),1,0)*Table_NFI[[#This Row],[Shelter Tool kit]],Table_NFI[Shelter Tool kit])</f>
        <v>0</v>
      </c>
      <c r="AP895" s="331">
        <f>IF(NFI_Expiration=1,IF($A895&lt;VLOOKUP(V$5,NFI,5,0),1,0)*Table_NFI[[#This Row],[Tent]],Table_NFI[Tent])</f>
        <v>0</v>
      </c>
      <c r="AQ895" s="467" t="str">
        <f>IFERROR(VLOOKUP(Table_NFI[[#This Row],[Camp Name]],CL,2,0),"")</f>
        <v>MMR001CMP069</v>
      </c>
      <c r="AR895" s="835">
        <f ca="1">IF(Table_NFI[[#This Row],[Pcode]]="","",IF(OFFSET(CampList[Opening Date],MATCH(Table_NFI[[#This Row],[Pcode]],CampList[CP_Pcode],0)-1,0,1,1)&gt;=NFI_Monitor_Date,1,0))</f>
        <v>0</v>
      </c>
      <c r="AS895" s="467" t="str">
        <f>IFERROR(VLOOKUP(Table_NFI[[#This Row],[Camp Name]],CL,3,0),"")</f>
        <v>Open</v>
      </c>
      <c r="AT895" s="294" t="str">
        <f ca="1">IF(Table_NFI[[#This Row],[Pcode]]="","",OFFSET(CampList[Priority],MATCH(Table_NFI[[#This Row],[Pcode]],CampList[CP_Pcode],0)-1,0,1,1))</f>
        <v>P3</v>
      </c>
      <c r="AU895" s="293">
        <f>IFERROR(Table_NFI[[#This Row],[Kitchen Set]]/VLOOKUP(Table_NFI[[#This Row],[Camp Name]],CL,4,0),"")</f>
        <v>2.4481002741872309E-4</v>
      </c>
      <c r="AV895" s="461" t="s">
        <v>1092</v>
      </c>
      <c r="AW895" s="463"/>
    </row>
    <row r="896" spans="1:49" ht="14.45" customHeight="1" x14ac:dyDescent="0.25">
      <c r="A896" s="297">
        <f t="shared" si="13"/>
        <v>52.633333333333333</v>
      </c>
      <c r="B896" s="460">
        <v>41157</v>
      </c>
      <c r="C896" s="461" t="s">
        <v>452</v>
      </c>
      <c r="D896" s="461" t="s">
        <v>452</v>
      </c>
      <c r="E896" s="461" t="s">
        <v>380</v>
      </c>
      <c r="F896" s="461" t="s">
        <v>185</v>
      </c>
      <c r="G896" s="290" t="s">
        <v>190</v>
      </c>
      <c r="H896" s="291"/>
      <c r="I896" s="291"/>
      <c r="J896" s="291"/>
      <c r="K896" s="291">
        <v>133</v>
      </c>
      <c r="L896" s="292">
        <v>62</v>
      </c>
      <c r="M896" s="292">
        <v>133</v>
      </c>
      <c r="N896" s="292">
        <v>62</v>
      </c>
      <c r="O896" s="292">
        <v>62</v>
      </c>
      <c r="P896" s="294">
        <v>62</v>
      </c>
      <c r="Q896" s="294">
        <v>62</v>
      </c>
      <c r="R896" s="294"/>
      <c r="S896" s="294"/>
      <c r="T896" s="294"/>
      <c r="U896" s="294"/>
      <c r="V896" s="431"/>
      <c r="W896" s="294"/>
      <c r="X896" s="294"/>
      <c r="Y896" s="294">
        <f>IF(NFI_Expiration=1,IF($A896&lt;VLOOKUP(H$5,NFI,5,0),1,0)*Table_NFI[[#This Row],[Hygiene Kit]],Table_NFI[Hygiene Kit])</f>
        <v>0</v>
      </c>
      <c r="Z896" s="294">
        <f>IF(NFI_Expiration=1,IF($A896&lt;VLOOKUP(I$5,NFI,5,0),1,0)*Table_NFI[[#This Row],[NFI Core Kit]],Table_NFI[NFI Core Kit])</f>
        <v>0</v>
      </c>
      <c r="AA896" s="294">
        <f>IF(NFI_Expiration=1,IF($A896&lt;VLOOKUP(J$5,NFI,5,0),1,0)*Table_NFI[[#This Row],[Sanitary Kit]],Table_NFI[Sanitary Kit])</f>
        <v>0</v>
      </c>
      <c r="AB896" s="294">
        <f>IF(NFI_Expiration=1,IF($A896&lt;VLOOKUP(K$5,NFI,5,0),1,0)*Table_NFI[[#This Row],[Mosquito net]],Table_NFI[Mosquito net])</f>
        <v>0</v>
      </c>
      <c r="AC896" s="294">
        <f>IF(NFI_Expiration=1,IF($A896&lt;VLOOKUP(L$5,NFI,5,0),1,0)*Table_NFI[[#This Row],[Tarpaulin]],Table_NFI[[#This Row],[Tarpaulin]])</f>
        <v>0</v>
      </c>
      <c r="AD896" s="294">
        <f>IF(NFI_Expiration=1,IF($A896&lt;VLOOKUP(M$5,NFI,5,0),1,0)*Table_NFI[[#This Row],[Blanket]],Table_NFI[[#This Row],[Blanket]])</f>
        <v>0</v>
      </c>
      <c r="AE896" s="294">
        <f>IF(NFI_Expiration=1,IF($A896&lt;VLOOKUP(N$5,NFI,5,0),1,0)*Table_NFI[[#This Row],[Kitchen Set]],Table_NFI[Kitchen Set])</f>
        <v>0</v>
      </c>
      <c r="AF896" s="294">
        <f>IF(NFI_Expiration=1,IF($A896&lt;VLOOKUP(O$5,NFI,5,0),1,0)*Table_NFI[[#This Row],[Clothes Kit]],Table_NFI[Clothes Kit])</f>
        <v>0</v>
      </c>
      <c r="AG896" s="294">
        <f>IF(NFI_Expiration=1,IF($A896&lt;VLOOKUP(P$5,NFI,5,0),1,0)*Table_NFI[[#This Row],[Plastic Bucket]],Table_NFI[Plastic Bucket])</f>
        <v>0</v>
      </c>
      <c r="AH896" s="294">
        <f>IF(NFI_Expiration=1,IF($A896&lt;VLOOKUP(Q$5,NFI,5,0),1,0)*Table_NFI[[#This Row],[Plastic Mat]],Table_NFI[Plastic Mat])*IF(Table_NFI[[#This Row],[Distribution Date]]&gt;"2014-04-01",1,2.5)</f>
        <v>0</v>
      </c>
      <c r="AI896" s="294">
        <f>IF(NFI_Expiration=1,IF($A896&lt;VLOOKUP(R$5,NFI,5,0),1,0)*Table_NFI[[#This Row],[Winter Clothes Adult]],Table_NFI[Winter Clothes Adult])</f>
        <v>0</v>
      </c>
      <c r="AJ896" s="294">
        <f>IF(NFI_Expiration=1,IF($A896&lt;VLOOKUP(S$5,NFI,5,0),1,0)*Table_NFI[[#This Row],[Winter Clothes Children]],Table_NFI[Winter Clothes Children])</f>
        <v>0</v>
      </c>
      <c r="AK896" s="294">
        <f>IF(NFI_Expiration=1,IF($A896&lt;VLOOKUP(T$5,NFI,5,0),1,0)*Table_NFI[[#This Row],[Winter Items Other]],Table_NFI[Winter Items Other])</f>
        <v>0</v>
      </c>
      <c r="AL896" s="294">
        <f>IF(NFI_Expiration=1,IF($A896&lt;VLOOKUP(M$5,NFI,5,0),1,0)*Table_NFI[[#This Row],[Winter Blanket]],Table_NFI[[#This Row],[Winter Blanket]])</f>
        <v>0</v>
      </c>
      <c r="AM896" s="294">
        <f>IF(Table_NFI[[#This Row],[Winter Clothes Adult]]+Table_NFI[[#This Row],[Winter Clothes Children]]+Table_NFI[[#This Row],[Winter Items Other]]+Table_NFI[[#This Row],[Winter Blanket]]&gt;0,1,0)</f>
        <v>0</v>
      </c>
      <c r="AN896" s="331">
        <f>IF(NFI_Expiration=1,IF($A896&lt;VLOOKUP(V$5,NFI,5,0),1,0)*Table_NFI[[#This Row],[Jerry Can]],Table_NFI[Jerry Can])</f>
        <v>0</v>
      </c>
      <c r="AO896" s="331">
        <f>IF(NFI_Expiration=1,IF($A896&lt;VLOOKUP(V$5,NFI,5,0),1,0)*Table_NFI[[#This Row],[Shelter Tool kit]],Table_NFI[Shelter Tool kit])</f>
        <v>0</v>
      </c>
      <c r="AP896" s="331">
        <f>IF(NFI_Expiration=1,IF($A896&lt;VLOOKUP(V$5,NFI,5,0),1,0)*Table_NFI[[#This Row],[Tent]],Table_NFI[Tent])</f>
        <v>0</v>
      </c>
      <c r="AQ896" s="467" t="str">
        <f>IFERROR(VLOOKUP(Table_NFI[[#This Row],[Camp Name]],CL,2,0),"")</f>
        <v>MMR001CMP070</v>
      </c>
      <c r="AR896" s="835">
        <f ca="1">IF(Table_NFI[[#This Row],[Pcode]]="","",IF(OFFSET(CampList[Opening Date],MATCH(Table_NFI[[#This Row],[Pcode]],CampList[CP_Pcode],0)-1,0,1,1)&gt;=NFI_Monitor_Date,1,0))</f>
        <v>0</v>
      </c>
      <c r="AS896" s="467" t="str">
        <f>IFERROR(VLOOKUP(Table_NFI[[#This Row],[Camp Name]],CL,3,0),"")</f>
        <v>Open</v>
      </c>
      <c r="AT896" s="294" t="str">
        <f ca="1">IF(Table_NFI[[#This Row],[Pcode]]="","",OFFSET(CampList[Priority],MATCH(Table_NFI[[#This Row],[Pcode]],CampList[CP_Pcode],0)-1,0,1,1))</f>
        <v>P3</v>
      </c>
      <c r="AU896" s="293">
        <f>IFERROR(Table_NFI[[#This Row],[Kitchen Set]]/VLOOKUP(Table_NFI[[#This Row],[Camp Name]],CL,4,0),"")</f>
        <v>1.5121951219512196E-3</v>
      </c>
      <c r="AV896" s="461" t="s">
        <v>1092</v>
      </c>
      <c r="AW896" s="463"/>
    </row>
    <row r="897" spans="1:49" ht="14.45" customHeight="1" x14ac:dyDescent="0.25">
      <c r="A897" s="297">
        <f t="shared" si="13"/>
        <v>52.633333333333333</v>
      </c>
      <c r="B897" s="460">
        <v>41157</v>
      </c>
      <c r="C897" s="461" t="s">
        <v>452</v>
      </c>
      <c r="D897" s="462" t="s">
        <v>452</v>
      </c>
      <c r="E897" s="461" t="s">
        <v>380</v>
      </c>
      <c r="F897" s="290" t="s">
        <v>185</v>
      </c>
      <c r="G897" s="290" t="s">
        <v>225</v>
      </c>
      <c r="H897" s="291"/>
      <c r="I897" s="291"/>
      <c r="J897" s="291"/>
      <c r="K897" s="291">
        <v>26</v>
      </c>
      <c r="L897" s="292">
        <v>11</v>
      </c>
      <c r="M897" s="292">
        <v>26</v>
      </c>
      <c r="N897" s="292">
        <v>11</v>
      </c>
      <c r="O897" s="292">
        <v>11</v>
      </c>
      <c r="P897" s="294">
        <v>11</v>
      </c>
      <c r="Q897" s="294">
        <v>11</v>
      </c>
      <c r="R897" s="294"/>
      <c r="S897" s="294"/>
      <c r="T897" s="294"/>
      <c r="U897" s="294"/>
      <c r="V897" s="431"/>
      <c r="W897" s="294"/>
      <c r="X897" s="294"/>
      <c r="Y897" s="294">
        <f>IF(NFI_Expiration=1,IF($A897&lt;VLOOKUP(H$5,NFI,5,0),1,0)*Table_NFI[[#This Row],[Hygiene Kit]],Table_NFI[Hygiene Kit])</f>
        <v>0</v>
      </c>
      <c r="Z897" s="294">
        <f>IF(NFI_Expiration=1,IF($A897&lt;VLOOKUP(I$5,NFI,5,0),1,0)*Table_NFI[[#This Row],[NFI Core Kit]],Table_NFI[NFI Core Kit])</f>
        <v>0</v>
      </c>
      <c r="AA897" s="294">
        <f>IF(NFI_Expiration=1,IF($A897&lt;VLOOKUP(J$5,NFI,5,0),1,0)*Table_NFI[[#This Row],[Sanitary Kit]],Table_NFI[Sanitary Kit])</f>
        <v>0</v>
      </c>
      <c r="AB897" s="294">
        <f>IF(NFI_Expiration=1,IF($A897&lt;VLOOKUP(K$5,NFI,5,0),1,0)*Table_NFI[[#This Row],[Mosquito net]],Table_NFI[Mosquito net])</f>
        <v>0</v>
      </c>
      <c r="AC897" s="294">
        <f>IF(NFI_Expiration=1,IF($A897&lt;VLOOKUP(L$5,NFI,5,0),1,0)*Table_NFI[[#This Row],[Tarpaulin]],Table_NFI[[#This Row],[Tarpaulin]])</f>
        <v>0</v>
      </c>
      <c r="AD897" s="294">
        <f>IF(NFI_Expiration=1,IF($A897&lt;VLOOKUP(M$5,NFI,5,0),1,0)*Table_NFI[[#This Row],[Blanket]],Table_NFI[[#This Row],[Blanket]])</f>
        <v>0</v>
      </c>
      <c r="AE897" s="294">
        <f>IF(NFI_Expiration=1,IF($A897&lt;VLOOKUP(N$5,NFI,5,0),1,0)*Table_NFI[[#This Row],[Kitchen Set]],Table_NFI[Kitchen Set])</f>
        <v>0</v>
      </c>
      <c r="AF897" s="294">
        <f>IF(NFI_Expiration=1,IF($A897&lt;VLOOKUP(O$5,NFI,5,0),1,0)*Table_NFI[[#This Row],[Clothes Kit]],Table_NFI[Clothes Kit])</f>
        <v>0</v>
      </c>
      <c r="AG897" s="294">
        <f>IF(NFI_Expiration=1,IF($A897&lt;VLOOKUP(P$5,NFI,5,0),1,0)*Table_NFI[[#This Row],[Plastic Bucket]],Table_NFI[Plastic Bucket])</f>
        <v>0</v>
      </c>
      <c r="AH897" s="294">
        <f>IF(NFI_Expiration=1,IF($A897&lt;VLOOKUP(Q$5,NFI,5,0),1,0)*Table_NFI[[#This Row],[Plastic Mat]],Table_NFI[Plastic Mat])*IF(Table_NFI[[#This Row],[Distribution Date]]&gt;"2014-04-01",1,2.5)</f>
        <v>0</v>
      </c>
      <c r="AI897" s="294">
        <f>IF(NFI_Expiration=1,IF($A897&lt;VLOOKUP(R$5,NFI,5,0),1,0)*Table_NFI[[#This Row],[Winter Clothes Adult]],Table_NFI[Winter Clothes Adult])</f>
        <v>0</v>
      </c>
      <c r="AJ897" s="294">
        <f>IF(NFI_Expiration=1,IF($A897&lt;VLOOKUP(S$5,NFI,5,0),1,0)*Table_NFI[[#This Row],[Winter Clothes Children]],Table_NFI[Winter Clothes Children])</f>
        <v>0</v>
      </c>
      <c r="AK897" s="294">
        <f>IF(NFI_Expiration=1,IF($A897&lt;VLOOKUP(T$5,NFI,5,0),1,0)*Table_NFI[[#This Row],[Winter Items Other]],Table_NFI[Winter Items Other])</f>
        <v>0</v>
      </c>
      <c r="AL897" s="294">
        <f>IF(NFI_Expiration=1,IF($A897&lt;VLOOKUP(M$5,NFI,5,0),1,0)*Table_NFI[[#This Row],[Winter Blanket]],Table_NFI[[#This Row],[Winter Blanket]])</f>
        <v>0</v>
      </c>
      <c r="AM897" s="294">
        <f>IF(Table_NFI[[#This Row],[Winter Clothes Adult]]+Table_NFI[[#This Row],[Winter Clothes Children]]+Table_NFI[[#This Row],[Winter Items Other]]+Table_NFI[[#This Row],[Winter Blanket]]&gt;0,1,0)</f>
        <v>0</v>
      </c>
      <c r="AN897" s="331">
        <f>IF(NFI_Expiration=1,IF($A897&lt;VLOOKUP(V$5,NFI,5,0),1,0)*Table_NFI[[#This Row],[Jerry Can]],Table_NFI[Jerry Can])</f>
        <v>0</v>
      </c>
      <c r="AO897" s="331">
        <f>IF(NFI_Expiration=1,IF($A897&lt;VLOOKUP(V$5,NFI,5,0),1,0)*Table_NFI[[#This Row],[Shelter Tool kit]],Table_NFI[Shelter Tool kit])</f>
        <v>0</v>
      </c>
      <c r="AP897" s="331">
        <f>IF(NFI_Expiration=1,IF($A897&lt;VLOOKUP(V$5,NFI,5,0),1,0)*Table_NFI[[#This Row],[Tent]],Table_NFI[Tent])</f>
        <v>0</v>
      </c>
      <c r="AQ897" s="467" t="str">
        <f>IFERROR(VLOOKUP(Table_NFI[[#This Row],[Camp Name]],CL,2,0),"")</f>
        <v>MMR001CMP073</v>
      </c>
      <c r="AR897" s="835">
        <f ca="1">IF(Table_NFI[[#This Row],[Pcode]]="","",IF(OFFSET(CampList[Opening Date],MATCH(Table_NFI[[#This Row],[Pcode]],CampList[CP_Pcode],0)-1,0,1,1)&gt;=NFI_Monitor_Date,1,0))</f>
        <v>0</v>
      </c>
      <c r="AS897" s="467" t="str">
        <f>IFERROR(VLOOKUP(Table_NFI[[#This Row],[Camp Name]],CL,3,0),"")</f>
        <v>Open</v>
      </c>
      <c r="AT897" s="294" t="str">
        <f ca="1">IF(Table_NFI[[#This Row],[Pcode]]="","",OFFSET(CampList[Priority],MATCH(Table_NFI[[#This Row],[Pcode]],CampList[CP_Pcode],0)-1,0,1,1))</f>
        <v>P3</v>
      </c>
      <c r="AU897" s="293">
        <f>IFERROR(Table_NFI[[#This Row],[Kitchen Set]]/VLOOKUP(Table_NFI[[#This Row],[Camp Name]],CL,4,0),"")</f>
        <v>2.6749671708574483E-4</v>
      </c>
      <c r="AV897" s="461" t="s">
        <v>1092</v>
      </c>
      <c r="AW897" s="463"/>
    </row>
    <row r="898" spans="1:49" ht="14.45" customHeight="1" x14ac:dyDescent="0.25">
      <c r="A898" s="297">
        <f t="shared" si="13"/>
        <v>52.866666666666667</v>
      </c>
      <c r="B898" s="460">
        <v>41150</v>
      </c>
      <c r="C898" s="461" t="s">
        <v>452</v>
      </c>
      <c r="D898" s="462" t="s">
        <v>452</v>
      </c>
      <c r="E898" s="461" t="s">
        <v>380</v>
      </c>
      <c r="F898" s="290" t="s">
        <v>185</v>
      </c>
      <c r="G898" s="290" t="s">
        <v>229</v>
      </c>
      <c r="H898" s="291"/>
      <c r="I898" s="291"/>
      <c r="J898" s="291"/>
      <c r="K898" s="291">
        <v>112</v>
      </c>
      <c r="L898" s="292">
        <v>41</v>
      </c>
      <c r="M898" s="292">
        <v>112</v>
      </c>
      <c r="N898" s="292">
        <v>41</v>
      </c>
      <c r="O898" s="292">
        <v>41</v>
      </c>
      <c r="P898" s="294">
        <v>41</v>
      </c>
      <c r="Q898" s="294">
        <v>41</v>
      </c>
      <c r="R898" s="294"/>
      <c r="S898" s="294"/>
      <c r="T898" s="294"/>
      <c r="U898" s="294"/>
      <c r="V898" s="431"/>
      <c r="W898" s="294"/>
      <c r="X898" s="294"/>
      <c r="Y898" s="294">
        <f>IF(NFI_Expiration=1,IF($A898&lt;VLOOKUP(H$5,NFI,5,0),1,0)*Table_NFI[[#This Row],[Hygiene Kit]],Table_NFI[Hygiene Kit])</f>
        <v>0</v>
      </c>
      <c r="Z898" s="294">
        <f>IF(NFI_Expiration=1,IF($A898&lt;VLOOKUP(I$5,NFI,5,0),1,0)*Table_NFI[[#This Row],[NFI Core Kit]],Table_NFI[NFI Core Kit])</f>
        <v>0</v>
      </c>
      <c r="AA898" s="294">
        <f>IF(NFI_Expiration=1,IF($A898&lt;VLOOKUP(J$5,NFI,5,0),1,0)*Table_NFI[[#This Row],[Sanitary Kit]],Table_NFI[Sanitary Kit])</f>
        <v>0</v>
      </c>
      <c r="AB898" s="294">
        <f>IF(NFI_Expiration=1,IF($A898&lt;VLOOKUP(K$5,NFI,5,0),1,0)*Table_NFI[[#This Row],[Mosquito net]],Table_NFI[Mosquito net])</f>
        <v>0</v>
      </c>
      <c r="AC898" s="294">
        <f>IF(NFI_Expiration=1,IF($A898&lt;VLOOKUP(L$5,NFI,5,0),1,0)*Table_NFI[[#This Row],[Tarpaulin]],Table_NFI[[#This Row],[Tarpaulin]])</f>
        <v>0</v>
      </c>
      <c r="AD898" s="294">
        <f>IF(NFI_Expiration=1,IF($A898&lt;VLOOKUP(M$5,NFI,5,0),1,0)*Table_NFI[[#This Row],[Blanket]],Table_NFI[[#This Row],[Blanket]])</f>
        <v>0</v>
      </c>
      <c r="AE898" s="294">
        <f>IF(NFI_Expiration=1,IF($A898&lt;VLOOKUP(N$5,NFI,5,0),1,0)*Table_NFI[[#This Row],[Kitchen Set]],Table_NFI[Kitchen Set])</f>
        <v>0</v>
      </c>
      <c r="AF898" s="294">
        <f>IF(NFI_Expiration=1,IF($A898&lt;VLOOKUP(O$5,NFI,5,0),1,0)*Table_NFI[[#This Row],[Clothes Kit]],Table_NFI[Clothes Kit])</f>
        <v>0</v>
      </c>
      <c r="AG898" s="294">
        <f>IF(NFI_Expiration=1,IF($A898&lt;VLOOKUP(P$5,NFI,5,0),1,0)*Table_NFI[[#This Row],[Plastic Bucket]],Table_NFI[Plastic Bucket])</f>
        <v>0</v>
      </c>
      <c r="AH898" s="294">
        <f>IF(NFI_Expiration=1,IF($A898&lt;VLOOKUP(Q$5,NFI,5,0),1,0)*Table_NFI[[#This Row],[Plastic Mat]],Table_NFI[Plastic Mat])*IF(Table_NFI[[#This Row],[Distribution Date]]&gt;"2014-04-01",1,2.5)</f>
        <v>0</v>
      </c>
      <c r="AI898" s="294">
        <f>IF(NFI_Expiration=1,IF($A898&lt;VLOOKUP(R$5,NFI,5,0),1,0)*Table_NFI[[#This Row],[Winter Clothes Adult]],Table_NFI[Winter Clothes Adult])</f>
        <v>0</v>
      </c>
      <c r="AJ898" s="294">
        <f>IF(NFI_Expiration=1,IF($A898&lt;VLOOKUP(S$5,NFI,5,0),1,0)*Table_NFI[[#This Row],[Winter Clothes Children]],Table_NFI[Winter Clothes Children])</f>
        <v>0</v>
      </c>
      <c r="AK898" s="294">
        <f>IF(NFI_Expiration=1,IF($A898&lt;VLOOKUP(T$5,NFI,5,0),1,0)*Table_NFI[[#This Row],[Winter Items Other]],Table_NFI[Winter Items Other])</f>
        <v>0</v>
      </c>
      <c r="AL898" s="294">
        <f>IF(NFI_Expiration=1,IF($A898&lt;VLOOKUP(M$5,NFI,5,0),1,0)*Table_NFI[[#This Row],[Winter Blanket]],Table_NFI[[#This Row],[Winter Blanket]])</f>
        <v>0</v>
      </c>
      <c r="AM898" s="294">
        <f>IF(Table_NFI[[#This Row],[Winter Clothes Adult]]+Table_NFI[[#This Row],[Winter Clothes Children]]+Table_NFI[[#This Row],[Winter Items Other]]+Table_NFI[[#This Row],[Winter Blanket]]&gt;0,1,0)</f>
        <v>0</v>
      </c>
      <c r="AN898" s="331">
        <f>IF(NFI_Expiration=1,IF($A898&lt;VLOOKUP(V$5,NFI,5,0),1,0)*Table_NFI[[#This Row],[Jerry Can]],Table_NFI[Jerry Can])</f>
        <v>0</v>
      </c>
      <c r="AO898" s="331">
        <f>IF(NFI_Expiration=1,IF($A898&lt;VLOOKUP(V$5,NFI,5,0),1,0)*Table_NFI[[#This Row],[Shelter Tool kit]],Table_NFI[Shelter Tool kit])</f>
        <v>0</v>
      </c>
      <c r="AP898" s="331">
        <f>IF(NFI_Expiration=1,IF($A898&lt;VLOOKUP(V$5,NFI,5,0),1,0)*Table_NFI[[#This Row],[Tent]],Table_NFI[Tent])</f>
        <v>0</v>
      </c>
      <c r="AQ898" s="467" t="str">
        <f>IFERROR(VLOOKUP(Table_NFI[[#This Row],[Camp Name]],CL,2,0),"")</f>
        <v>MMR001CMP072</v>
      </c>
      <c r="AR898" s="835">
        <f ca="1">IF(Table_NFI[[#This Row],[Pcode]]="","",IF(OFFSET(CampList[Opening Date],MATCH(Table_NFI[[#This Row],[Pcode]],CampList[CP_Pcode],0)-1,0,1,1)&gt;=NFI_Monitor_Date,1,0))</f>
        <v>0</v>
      </c>
      <c r="AS898" s="467" t="str">
        <f>IFERROR(VLOOKUP(Table_NFI[[#This Row],[Camp Name]],CL,3,0),"")</f>
        <v>Open</v>
      </c>
      <c r="AT898" s="294" t="str">
        <f ca="1">IF(Table_NFI[[#This Row],[Pcode]]="","",OFFSET(CampList[Priority],MATCH(Table_NFI[[#This Row],[Pcode]],CampList[CP_Pcode],0)-1,0,1,1))</f>
        <v>P3</v>
      </c>
      <c r="AU898" s="293">
        <f>IFERROR(Table_NFI[[#This Row],[Kitchen Set]]/VLOOKUP(Table_NFI[[#This Row],[Camp Name]],CL,4,0),"")</f>
        <v>9.9703321822868537E-4</v>
      </c>
      <c r="AV898" s="461" t="s">
        <v>1092</v>
      </c>
      <c r="AW898" s="463"/>
    </row>
    <row r="899" spans="1:49" ht="14.45" customHeight="1" x14ac:dyDescent="0.25">
      <c r="A899" s="297">
        <f t="shared" si="13"/>
        <v>52.93333333333333</v>
      </c>
      <c r="B899" s="460">
        <v>41148</v>
      </c>
      <c r="C899" s="461" t="s">
        <v>452</v>
      </c>
      <c r="D899" s="462" t="s">
        <v>452</v>
      </c>
      <c r="E899" s="461" t="s">
        <v>380</v>
      </c>
      <c r="F899" s="290" t="s">
        <v>237</v>
      </c>
      <c r="G899" s="290" t="s">
        <v>253</v>
      </c>
      <c r="H899" s="291"/>
      <c r="I899" s="291"/>
      <c r="J899" s="291"/>
      <c r="K899" s="291">
        <v>7</v>
      </c>
      <c r="L899" s="292">
        <v>4</v>
      </c>
      <c r="M899" s="292">
        <v>7</v>
      </c>
      <c r="N899" s="292">
        <v>3</v>
      </c>
      <c r="O899" s="292">
        <v>3</v>
      </c>
      <c r="P899" s="294">
        <v>3</v>
      </c>
      <c r="Q899" s="294">
        <v>3</v>
      </c>
      <c r="R899" s="294"/>
      <c r="S899" s="294"/>
      <c r="T899" s="294"/>
      <c r="U899" s="294"/>
      <c r="V899" s="431"/>
      <c r="W899" s="294"/>
      <c r="X899" s="294"/>
      <c r="Y899" s="294">
        <f>IF(NFI_Expiration=1,IF($A899&lt;VLOOKUP(H$5,NFI,5,0),1,0)*Table_NFI[[#This Row],[Hygiene Kit]],Table_NFI[Hygiene Kit])</f>
        <v>0</v>
      </c>
      <c r="Z899" s="294">
        <f>IF(NFI_Expiration=1,IF($A899&lt;VLOOKUP(I$5,NFI,5,0),1,0)*Table_NFI[[#This Row],[NFI Core Kit]],Table_NFI[NFI Core Kit])</f>
        <v>0</v>
      </c>
      <c r="AA899" s="294">
        <f>IF(NFI_Expiration=1,IF($A899&lt;VLOOKUP(J$5,NFI,5,0),1,0)*Table_NFI[[#This Row],[Sanitary Kit]],Table_NFI[Sanitary Kit])</f>
        <v>0</v>
      </c>
      <c r="AB899" s="294">
        <f>IF(NFI_Expiration=1,IF($A899&lt;VLOOKUP(K$5,NFI,5,0),1,0)*Table_NFI[[#This Row],[Mosquito net]],Table_NFI[Mosquito net])</f>
        <v>0</v>
      </c>
      <c r="AC899" s="294">
        <f>IF(NFI_Expiration=1,IF($A899&lt;VLOOKUP(L$5,NFI,5,0),1,0)*Table_NFI[[#This Row],[Tarpaulin]],Table_NFI[[#This Row],[Tarpaulin]])</f>
        <v>0</v>
      </c>
      <c r="AD899" s="294">
        <f>IF(NFI_Expiration=1,IF($A899&lt;VLOOKUP(M$5,NFI,5,0),1,0)*Table_NFI[[#This Row],[Blanket]],Table_NFI[[#This Row],[Blanket]])</f>
        <v>0</v>
      </c>
      <c r="AE899" s="294">
        <f>IF(NFI_Expiration=1,IF($A899&lt;VLOOKUP(N$5,NFI,5,0),1,0)*Table_NFI[[#This Row],[Kitchen Set]],Table_NFI[Kitchen Set])</f>
        <v>0</v>
      </c>
      <c r="AF899" s="294">
        <f>IF(NFI_Expiration=1,IF($A899&lt;VLOOKUP(O$5,NFI,5,0),1,0)*Table_NFI[[#This Row],[Clothes Kit]],Table_NFI[Clothes Kit])</f>
        <v>0</v>
      </c>
      <c r="AG899" s="294">
        <f>IF(NFI_Expiration=1,IF($A899&lt;VLOOKUP(P$5,NFI,5,0),1,0)*Table_NFI[[#This Row],[Plastic Bucket]],Table_NFI[Plastic Bucket])</f>
        <v>0</v>
      </c>
      <c r="AH899" s="294">
        <f>IF(NFI_Expiration=1,IF($A899&lt;VLOOKUP(Q$5,NFI,5,0),1,0)*Table_NFI[[#This Row],[Plastic Mat]],Table_NFI[Plastic Mat])*IF(Table_NFI[[#This Row],[Distribution Date]]&gt;"2014-04-01",1,2.5)</f>
        <v>0</v>
      </c>
      <c r="AI899" s="294">
        <f>IF(NFI_Expiration=1,IF($A899&lt;VLOOKUP(R$5,NFI,5,0),1,0)*Table_NFI[[#This Row],[Winter Clothes Adult]],Table_NFI[Winter Clothes Adult])</f>
        <v>0</v>
      </c>
      <c r="AJ899" s="294">
        <f>IF(NFI_Expiration=1,IF($A899&lt;VLOOKUP(S$5,NFI,5,0),1,0)*Table_NFI[[#This Row],[Winter Clothes Children]],Table_NFI[Winter Clothes Children])</f>
        <v>0</v>
      </c>
      <c r="AK899" s="294">
        <f>IF(NFI_Expiration=1,IF($A899&lt;VLOOKUP(T$5,NFI,5,0),1,0)*Table_NFI[[#This Row],[Winter Items Other]],Table_NFI[Winter Items Other])</f>
        <v>0</v>
      </c>
      <c r="AL899" s="294">
        <f>IF(NFI_Expiration=1,IF($A899&lt;VLOOKUP(M$5,NFI,5,0),1,0)*Table_NFI[[#This Row],[Winter Blanket]],Table_NFI[[#This Row],[Winter Blanket]])</f>
        <v>0</v>
      </c>
      <c r="AM899" s="294">
        <f>IF(Table_NFI[[#This Row],[Winter Clothes Adult]]+Table_NFI[[#This Row],[Winter Clothes Children]]+Table_NFI[[#This Row],[Winter Items Other]]+Table_NFI[[#This Row],[Winter Blanket]]&gt;0,1,0)</f>
        <v>0</v>
      </c>
      <c r="AN899" s="331">
        <f>IF(NFI_Expiration=1,IF($A899&lt;VLOOKUP(V$5,NFI,5,0),1,0)*Table_NFI[[#This Row],[Jerry Can]],Table_NFI[Jerry Can])</f>
        <v>0</v>
      </c>
      <c r="AO899" s="331">
        <f>IF(NFI_Expiration=1,IF($A899&lt;VLOOKUP(V$5,NFI,5,0),1,0)*Table_NFI[[#This Row],[Shelter Tool kit]],Table_NFI[Shelter Tool kit])</f>
        <v>0</v>
      </c>
      <c r="AP899" s="331">
        <f>IF(NFI_Expiration=1,IF($A899&lt;VLOOKUP(V$5,NFI,5,0),1,0)*Table_NFI[[#This Row],[Tent]],Table_NFI[Tent])</f>
        <v>0</v>
      </c>
      <c r="AQ899" s="467" t="str">
        <f>IFERROR(VLOOKUP(Table_NFI[[#This Row],[Camp Name]],CL,2,0),"")</f>
        <v>MMR001CMP018</v>
      </c>
      <c r="AR899" s="835">
        <f ca="1">IF(Table_NFI[[#This Row],[Pcode]]="","",IF(OFFSET(CampList[Opening Date],MATCH(Table_NFI[[#This Row],[Pcode]],CampList[CP_Pcode],0)-1,0,1,1)&gt;=NFI_Monitor_Date,1,0))</f>
        <v>0</v>
      </c>
      <c r="AS899" s="467" t="str">
        <f>IFERROR(VLOOKUP(Table_NFI[[#This Row],[Camp Name]],CL,3,0),"")</f>
        <v>Open</v>
      </c>
      <c r="AT899" s="294" t="str">
        <f ca="1">IF(Table_NFI[[#This Row],[Pcode]]="","",OFFSET(CampList[Priority],MATCH(Table_NFI[[#This Row],[Pcode]],CampList[CP_Pcode],0)-1,0,1,1))</f>
        <v>P4</v>
      </c>
      <c r="AU899" s="293">
        <f>IFERROR(Table_NFI[[#This Row],[Kitchen Set]]/VLOOKUP(Table_NFI[[#This Row],[Camp Name]],CL,4,0),"")</f>
        <v>7.3664825046040511E-5</v>
      </c>
      <c r="AV899" s="461" t="s">
        <v>1092</v>
      </c>
      <c r="AW899" s="463"/>
    </row>
    <row r="900" spans="1:49" ht="14.45" customHeight="1" x14ac:dyDescent="0.25">
      <c r="A900" s="297">
        <f t="shared" si="13"/>
        <v>52.93333333333333</v>
      </c>
      <c r="B900" s="460">
        <v>41148</v>
      </c>
      <c r="C900" s="461" t="s">
        <v>452</v>
      </c>
      <c r="D900" s="461" t="s">
        <v>452</v>
      </c>
      <c r="E900" s="461" t="s">
        <v>380</v>
      </c>
      <c r="F900" s="290" t="s">
        <v>237</v>
      </c>
      <c r="G900" s="290" t="s">
        <v>259</v>
      </c>
      <c r="H900" s="291"/>
      <c r="I900" s="291"/>
      <c r="J900" s="291"/>
      <c r="K900" s="291">
        <v>2</v>
      </c>
      <c r="L900" s="292">
        <v>1</v>
      </c>
      <c r="M900" s="292">
        <v>2</v>
      </c>
      <c r="N900" s="292">
        <v>1</v>
      </c>
      <c r="O900" s="292">
        <v>1</v>
      </c>
      <c r="P900" s="294">
        <v>1</v>
      </c>
      <c r="Q900" s="294">
        <v>1</v>
      </c>
      <c r="R900" s="294"/>
      <c r="S900" s="294"/>
      <c r="T900" s="294"/>
      <c r="U900" s="294"/>
      <c r="V900" s="431"/>
      <c r="W900" s="294"/>
      <c r="X900" s="294"/>
      <c r="Y900" s="294">
        <f>IF(NFI_Expiration=1,IF($A900&lt;VLOOKUP(H$5,NFI,5,0),1,0)*Table_NFI[[#This Row],[Hygiene Kit]],Table_NFI[Hygiene Kit])</f>
        <v>0</v>
      </c>
      <c r="Z900" s="294">
        <f>IF(NFI_Expiration=1,IF($A900&lt;VLOOKUP(I$5,NFI,5,0),1,0)*Table_NFI[[#This Row],[NFI Core Kit]],Table_NFI[NFI Core Kit])</f>
        <v>0</v>
      </c>
      <c r="AA900" s="294">
        <f>IF(NFI_Expiration=1,IF($A900&lt;VLOOKUP(J$5,NFI,5,0),1,0)*Table_NFI[[#This Row],[Sanitary Kit]],Table_NFI[Sanitary Kit])</f>
        <v>0</v>
      </c>
      <c r="AB900" s="294">
        <f>IF(NFI_Expiration=1,IF($A900&lt;VLOOKUP(K$5,NFI,5,0),1,0)*Table_NFI[[#This Row],[Mosquito net]],Table_NFI[Mosquito net])</f>
        <v>0</v>
      </c>
      <c r="AC900" s="294">
        <f>IF(NFI_Expiration=1,IF($A900&lt;VLOOKUP(L$5,NFI,5,0),1,0)*Table_NFI[[#This Row],[Tarpaulin]],Table_NFI[[#This Row],[Tarpaulin]])</f>
        <v>0</v>
      </c>
      <c r="AD900" s="294">
        <f>IF(NFI_Expiration=1,IF($A900&lt;VLOOKUP(M$5,NFI,5,0),1,0)*Table_NFI[[#This Row],[Blanket]],Table_NFI[[#This Row],[Blanket]])</f>
        <v>0</v>
      </c>
      <c r="AE900" s="294">
        <f>IF(NFI_Expiration=1,IF($A900&lt;VLOOKUP(N$5,NFI,5,0),1,0)*Table_NFI[[#This Row],[Kitchen Set]],Table_NFI[Kitchen Set])</f>
        <v>0</v>
      </c>
      <c r="AF900" s="294">
        <f>IF(NFI_Expiration=1,IF($A900&lt;VLOOKUP(O$5,NFI,5,0),1,0)*Table_NFI[[#This Row],[Clothes Kit]],Table_NFI[Clothes Kit])</f>
        <v>0</v>
      </c>
      <c r="AG900" s="294">
        <f>IF(NFI_Expiration=1,IF($A900&lt;VLOOKUP(P$5,NFI,5,0),1,0)*Table_NFI[[#This Row],[Plastic Bucket]],Table_NFI[Plastic Bucket])</f>
        <v>0</v>
      </c>
      <c r="AH900" s="294">
        <f>IF(NFI_Expiration=1,IF($A900&lt;VLOOKUP(Q$5,NFI,5,0),1,0)*Table_NFI[[#This Row],[Plastic Mat]],Table_NFI[Plastic Mat])*IF(Table_NFI[[#This Row],[Distribution Date]]&gt;"2014-04-01",1,2.5)</f>
        <v>0</v>
      </c>
      <c r="AI900" s="294">
        <f>IF(NFI_Expiration=1,IF($A900&lt;VLOOKUP(R$5,NFI,5,0),1,0)*Table_NFI[[#This Row],[Winter Clothes Adult]],Table_NFI[Winter Clothes Adult])</f>
        <v>0</v>
      </c>
      <c r="AJ900" s="294">
        <f>IF(NFI_Expiration=1,IF($A900&lt;VLOOKUP(S$5,NFI,5,0),1,0)*Table_NFI[[#This Row],[Winter Clothes Children]],Table_NFI[Winter Clothes Children])</f>
        <v>0</v>
      </c>
      <c r="AK900" s="294">
        <f>IF(NFI_Expiration=1,IF($A900&lt;VLOOKUP(T$5,NFI,5,0),1,0)*Table_NFI[[#This Row],[Winter Items Other]],Table_NFI[Winter Items Other])</f>
        <v>0</v>
      </c>
      <c r="AL900" s="294">
        <f>IF(NFI_Expiration=1,IF($A900&lt;VLOOKUP(M$5,NFI,5,0),1,0)*Table_NFI[[#This Row],[Winter Blanket]],Table_NFI[[#This Row],[Winter Blanket]])</f>
        <v>0</v>
      </c>
      <c r="AM900" s="294">
        <f>IF(Table_NFI[[#This Row],[Winter Clothes Adult]]+Table_NFI[[#This Row],[Winter Clothes Children]]+Table_NFI[[#This Row],[Winter Items Other]]+Table_NFI[[#This Row],[Winter Blanket]]&gt;0,1,0)</f>
        <v>0</v>
      </c>
      <c r="AN900" s="331">
        <f>IF(NFI_Expiration=1,IF($A900&lt;VLOOKUP(V$5,NFI,5,0),1,0)*Table_NFI[[#This Row],[Jerry Can]],Table_NFI[Jerry Can])</f>
        <v>0</v>
      </c>
      <c r="AO900" s="331">
        <f>IF(NFI_Expiration=1,IF($A900&lt;VLOOKUP(V$5,NFI,5,0),1,0)*Table_NFI[[#This Row],[Shelter Tool kit]],Table_NFI[Shelter Tool kit])</f>
        <v>0</v>
      </c>
      <c r="AP900" s="331">
        <f>IF(NFI_Expiration=1,IF($A900&lt;VLOOKUP(V$5,NFI,5,0),1,0)*Table_NFI[[#This Row],[Tent]],Table_NFI[Tent])</f>
        <v>0</v>
      </c>
      <c r="AQ900" s="467" t="str">
        <f>IFERROR(VLOOKUP(Table_NFI[[#This Row],[Camp Name]],CL,2,0),"")</f>
        <v>MMR001CMP016</v>
      </c>
      <c r="AR900" s="835">
        <f ca="1">IF(Table_NFI[[#This Row],[Pcode]]="","",IF(OFFSET(CampList[Opening Date],MATCH(Table_NFI[[#This Row],[Pcode]],CampList[CP_Pcode],0)-1,0,1,1)&gt;=NFI_Monitor_Date,1,0))</f>
        <v>0</v>
      </c>
      <c r="AS900" s="467" t="str">
        <f>IFERROR(VLOOKUP(Table_NFI[[#This Row],[Camp Name]],CL,3,0),"")</f>
        <v>Open</v>
      </c>
      <c r="AT900" s="294" t="str">
        <f ca="1">IF(Table_NFI[[#This Row],[Pcode]]="","",OFFSET(CampList[Priority],MATCH(Table_NFI[[#This Row],[Pcode]],CampList[CP_Pcode],0)-1,0,1,1))</f>
        <v>P4</v>
      </c>
      <c r="AU900" s="293">
        <f>IFERROR(Table_NFI[[#This Row],[Kitchen Set]]/VLOOKUP(Table_NFI[[#This Row],[Camp Name]],CL,4,0),"")</f>
        <v>2.4536264599077437E-5</v>
      </c>
      <c r="AV900" s="461" t="s">
        <v>1092</v>
      </c>
      <c r="AW900" s="463"/>
    </row>
    <row r="901" spans="1:49" ht="14.45" customHeight="1" x14ac:dyDescent="0.25">
      <c r="A901" s="297">
        <f t="shared" si="13"/>
        <v>52.93333333333333</v>
      </c>
      <c r="B901" s="460">
        <v>41148</v>
      </c>
      <c r="C901" s="461" t="s">
        <v>452</v>
      </c>
      <c r="D901" s="462" t="s">
        <v>452</v>
      </c>
      <c r="E901" s="461" t="s">
        <v>380</v>
      </c>
      <c r="F901" s="290" t="s">
        <v>237</v>
      </c>
      <c r="G901" s="290" t="s">
        <v>263</v>
      </c>
      <c r="H901" s="291"/>
      <c r="I901" s="291"/>
      <c r="J901" s="291"/>
      <c r="K901" s="291">
        <v>2</v>
      </c>
      <c r="L901" s="292">
        <v>1</v>
      </c>
      <c r="M901" s="292">
        <v>2</v>
      </c>
      <c r="N901" s="292">
        <v>1</v>
      </c>
      <c r="O901" s="292">
        <v>1</v>
      </c>
      <c r="P901" s="294">
        <v>1</v>
      </c>
      <c r="Q901" s="294">
        <v>1</v>
      </c>
      <c r="R901" s="294"/>
      <c r="S901" s="294"/>
      <c r="T901" s="294"/>
      <c r="U901" s="294"/>
      <c r="V901" s="431"/>
      <c r="W901" s="294"/>
      <c r="X901" s="294"/>
      <c r="Y901" s="294">
        <f>IF(NFI_Expiration=1,IF($A901&lt;VLOOKUP(H$5,NFI,5,0),1,0)*Table_NFI[[#This Row],[Hygiene Kit]],Table_NFI[Hygiene Kit])</f>
        <v>0</v>
      </c>
      <c r="Z901" s="294">
        <f>IF(NFI_Expiration=1,IF($A901&lt;VLOOKUP(I$5,NFI,5,0),1,0)*Table_NFI[[#This Row],[NFI Core Kit]],Table_NFI[NFI Core Kit])</f>
        <v>0</v>
      </c>
      <c r="AA901" s="294">
        <f>IF(NFI_Expiration=1,IF($A901&lt;VLOOKUP(J$5,NFI,5,0),1,0)*Table_NFI[[#This Row],[Sanitary Kit]],Table_NFI[Sanitary Kit])</f>
        <v>0</v>
      </c>
      <c r="AB901" s="294">
        <f>IF(NFI_Expiration=1,IF($A901&lt;VLOOKUP(K$5,NFI,5,0),1,0)*Table_NFI[[#This Row],[Mosquito net]],Table_NFI[Mosquito net])</f>
        <v>0</v>
      </c>
      <c r="AC901" s="294">
        <f>IF(NFI_Expiration=1,IF($A901&lt;VLOOKUP(L$5,NFI,5,0),1,0)*Table_NFI[[#This Row],[Tarpaulin]],Table_NFI[[#This Row],[Tarpaulin]])</f>
        <v>0</v>
      </c>
      <c r="AD901" s="294">
        <f>IF(NFI_Expiration=1,IF($A901&lt;VLOOKUP(M$5,NFI,5,0),1,0)*Table_NFI[[#This Row],[Blanket]],Table_NFI[[#This Row],[Blanket]])</f>
        <v>0</v>
      </c>
      <c r="AE901" s="294">
        <f>IF(NFI_Expiration=1,IF($A901&lt;VLOOKUP(N$5,NFI,5,0),1,0)*Table_NFI[[#This Row],[Kitchen Set]],Table_NFI[Kitchen Set])</f>
        <v>0</v>
      </c>
      <c r="AF901" s="294">
        <f>IF(NFI_Expiration=1,IF($A901&lt;VLOOKUP(O$5,NFI,5,0),1,0)*Table_NFI[[#This Row],[Clothes Kit]],Table_NFI[Clothes Kit])</f>
        <v>0</v>
      </c>
      <c r="AG901" s="294">
        <f>IF(NFI_Expiration=1,IF($A901&lt;VLOOKUP(P$5,NFI,5,0),1,0)*Table_NFI[[#This Row],[Plastic Bucket]],Table_NFI[Plastic Bucket])</f>
        <v>0</v>
      </c>
      <c r="AH901" s="294">
        <f>IF(NFI_Expiration=1,IF($A901&lt;VLOOKUP(Q$5,NFI,5,0),1,0)*Table_NFI[[#This Row],[Plastic Mat]],Table_NFI[Plastic Mat])*IF(Table_NFI[[#This Row],[Distribution Date]]&gt;"2014-04-01",1,2.5)</f>
        <v>0</v>
      </c>
      <c r="AI901" s="294">
        <f>IF(NFI_Expiration=1,IF($A901&lt;VLOOKUP(R$5,NFI,5,0),1,0)*Table_NFI[[#This Row],[Winter Clothes Adult]],Table_NFI[Winter Clothes Adult])</f>
        <v>0</v>
      </c>
      <c r="AJ901" s="294">
        <f>IF(NFI_Expiration=1,IF($A901&lt;VLOOKUP(S$5,NFI,5,0),1,0)*Table_NFI[[#This Row],[Winter Clothes Children]],Table_NFI[Winter Clothes Children])</f>
        <v>0</v>
      </c>
      <c r="AK901" s="294">
        <f>IF(NFI_Expiration=1,IF($A901&lt;VLOOKUP(T$5,NFI,5,0),1,0)*Table_NFI[[#This Row],[Winter Items Other]],Table_NFI[Winter Items Other])</f>
        <v>0</v>
      </c>
      <c r="AL901" s="294">
        <f>IF(NFI_Expiration=1,IF($A901&lt;VLOOKUP(M$5,NFI,5,0),1,0)*Table_NFI[[#This Row],[Winter Blanket]],Table_NFI[[#This Row],[Winter Blanket]])</f>
        <v>0</v>
      </c>
      <c r="AM901" s="294">
        <f>IF(Table_NFI[[#This Row],[Winter Clothes Adult]]+Table_NFI[[#This Row],[Winter Clothes Children]]+Table_NFI[[#This Row],[Winter Items Other]]+Table_NFI[[#This Row],[Winter Blanket]]&gt;0,1,0)</f>
        <v>0</v>
      </c>
      <c r="AN901" s="331">
        <f>IF(NFI_Expiration=1,IF($A901&lt;VLOOKUP(V$5,NFI,5,0),1,0)*Table_NFI[[#This Row],[Jerry Can]],Table_NFI[Jerry Can])</f>
        <v>0</v>
      </c>
      <c r="AO901" s="331">
        <f>IF(NFI_Expiration=1,IF($A901&lt;VLOOKUP(V$5,NFI,5,0),1,0)*Table_NFI[[#This Row],[Shelter Tool kit]],Table_NFI[Shelter Tool kit])</f>
        <v>0</v>
      </c>
      <c r="AP901" s="331">
        <f>IF(NFI_Expiration=1,IF($A901&lt;VLOOKUP(V$5,NFI,5,0),1,0)*Table_NFI[[#This Row],[Tent]],Table_NFI[Tent])</f>
        <v>0</v>
      </c>
      <c r="AQ901" s="467" t="str">
        <f>IFERROR(VLOOKUP(Table_NFI[[#This Row],[Camp Name]],CL,2,0),"")</f>
        <v>MMR001CMP020</v>
      </c>
      <c r="AR901" s="835">
        <f ca="1">IF(Table_NFI[[#This Row],[Pcode]]="","",IF(OFFSET(CampList[Opening Date],MATCH(Table_NFI[[#This Row],[Pcode]],CampList[CP_Pcode],0)-1,0,1,1)&gt;=NFI_Monitor_Date,1,0))</f>
        <v>0</v>
      </c>
      <c r="AS901" s="467" t="str">
        <f>IFERROR(VLOOKUP(Table_NFI[[#This Row],[Camp Name]],CL,3,0),"")</f>
        <v>Open</v>
      </c>
      <c r="AT901" s="294" t="str">
        <f ca="1">IF(Table_NFI[[#This Row],[Pcode]]="","",OFFSET(CampList[Priority],MATCH(Table_NFI[[#This Row],[Pcode]],CampList[CP_Pcode],0)-1,0,1,1))</f>
        <v>P4</v>
      </c>
      <c r="AU901" s="293">
        <f>IFERROR(Table_NFI[[#This Row],[Kitchen Set]]/VLOOKUP(Table_NFI[[#This Row],[Camp Name]],CL,4,0),"")</f>
        <v>2.4499595756670014E-5</v>
      </c>
      <c r="AV901" s="461" t="s">
        <v>1092</v>
      </c>
      <c r="AW901" s="463"/>
    </row>
    <row r="902" spans="1:49" ht="14.45" customHeight="1" x14ac:dyDescent="0.25">
      <c r="A902" s="297">
        <f t="shared" ref="A902:A965" si="14">IF(ISBLANK(B902),"",(Report_Date-B902)/30)</f>
        <v>52.93333333333333</v>
      </c>
      <c r="B902" s="460">
        <v>41148</v>
      </c>
      <c r="C902" s="461" t="s">
        <v>452</v>
      </c>
      <c r="D902" s="462" t="s">
        <v>452</v>
      </c>
      <c r="E902" s="461" t="s">
        <v>380</v>
      </c>
      <c r="F902" s="290" t="s">
        <v>237</v>
      </c>
      <c r="G902" s="290" t="s">
        <v>265</v>
      </c>
      <c r="H902" s="291"/>
      <c r="I902" s="291"/>
      <c r="J902" s="291"/>
      <c r="K902" s="291">
        <v>10</v>
      </c>
      <c r="L902" s="292">
        <v>5</v>
      </c>
      <c r="M902" s="292">
        <v>10</v>
      </c>
      <c r="N902" s="292">
        <v>5</v>
      </c>
      <c r="O902" s="292">
        <v>5</v>
      </c>
      <c r="P902" s="294">
        <v>5</v>
      </c>
      <c r="Q902" s="294">
        <v>5</v>
      </c>
      <c r="R902" s="294"/>
      <c r="S902" s="294"/>
      <c r="T902" s="294"/>
      <c r="U902" s="294"/>
      <c r="V902" s="431"/>
      <c r="W902" s="294"/>
      <c r="X902" s="294"/>
      <c r="Y902" s="294">
        <f>IF(NFI_Expiration=1,IF($A902&lt;VLOOKUP(H$5,NFI,5,0),1,0)*Table_NFI[[#This Row],[Hygiene Kit]],Table_NFI[Hygiene Kit])</f>
        <v>0</v>
      </c>
      <c r="Z902" s="294">
        <f>IF(NFI_Expiration=1,IF($A902&lt;VLOOKUP(I$5,NFI,5,0),1,0)*Table_NFI[[#This Row],[NFI Core Kit]],Table_NFI[NFI Core Kit])</f>
        <v>0</v>
      </c>
      <c r="AA902" s="294">
        <f>IF(NFI_Expiration=1,IF($A902&lt;VLOOKUP(J$5,NFI,5,0),1,0)*Table_NFI[[#This Row],[Sanitary Kit]],Table_NFI[Sanitary Kit])</f>
        <v>0</v>
      </c>
      <c r="AB902" s="294">
        <f>IF(NFI_Expiration=1,IF($A902&lt;VLOOKUP(K$5,NFI,5,0),1,0)*Table_NFI[[#This Row],[Mosquito net]],Table_NFI[Mosquito net])</f>
        <v>0</v>
      </c>
      <c r="AC902" s="294">
        <f>IF(NFI_Expiration=1,IF($A902&lt;VLOOKUP(L$5,NFI,5,0),1,0)*Table_NFI[[#This Row],[Tarpaulin]],Table_NFI[[#This Row],[Tarpaulin]])</f>
        <v>0</v>
      </c>
      <c r="AD902" s="294">
        <f>IF(NFI_Expiration=1,IF($A902&lt;VLOOKUP(M$5,NFI,5,0),1,0)*Table_NFI[[#This Row],[Blanket]],Table_NFI[[#This Row],[Blanket]])</f>
        <v>0</v>
      </c>
      <c r="AE902" s="294">
        <f>IF(NFI_Expiration=1,IF($A902&lt;VLOOKUP(N$5,NFI,5,0),1,0)*Table_NFI[[#This Row],[Kitchen Set]],Table_NFI[Kitchen Set])</f>
        <v>0</v>
      </c>
      <c r="AF902" s="294">
        <f>IF(NFI_Expiration=1,IF($A902&lt;VLOOKUP(O$5,NFI,5,0),1,0)*Table_NFI[[#This Row],[Clothes Kit]],Table_NFI[Clothes Kit])</f>
        <v>0</v>
      </c>
      <c r="AG902" s="294">
        <f>IF(NFI_Expiration=1,IF($A902&lt;VLOOKUP(P$5,NFI,5,0),1,0)*Table_NFI[[#This Row],[Plastic Bucket]],Table_NFI[Plastic Bucket])</f>
        <v>0</v>
      </c>
      <c r="AH902" s="294">
        <f>IF(NFI_Expiration=1,IF($A902&lt;VLOOKUP(Q$5,NFI,5,0),1,0)*Table_NFI[[#This Row],[Plastic Mat]],Table_NFI[Plastic Mat])*IF(Table_NFI[[#This Row],[Distribution Date]]&gt;"2014-04-01",1,2.5)</f>
        <v>0</v>
      </c>
      <c r="AI902" s="294">
        <f>IF(NFI_Expiration=1,IF($A902&lt;VLOOKUP(R$5,NFI,5,0),1,0)*Table_NFI[[#This Row],[Winter Clothes Adult]],Table_NFI[Winter Clothes Adult])</f>
        <v>0</v>
      </c>
      <c r="AJ902" s="294">
        <f>IF(NFI_Expiration=1,IF($A902&lt;VLOOKUP(S$5,NFI,5,0),1,0)*Table_NFI[[#This Row],[Winter Clothes Children]],Table_NFI[Winter Clothes Children])</f>
        <v>0</v>
      </c>
      <c r="AK902" s="294">
        <f>IF(NFI_Expiration=1,IF($A902&lt;VLOOKUP(T$5,NFI,5,0),1,0)*Table_NFI[[#This Row],[Winter Items Other]],Table_NFI[Winter Items Other])</f>
        <v>0</v>
      </c>
      <c r="AL902" s="294">
        <f>IF(NFI_Expiration=1,IF($A902&lt;VLOOKUP(M$5,NFI,5,0),1,0)*Table_NFI[[#This Row],[Winter Blanket]],Table_NFI[[#This Row],[Winter Blanket]])</f>
        <v>0</v>
      </c>
      <c r="AM902" s="294">
        <f>IF(Table_NFI[[#This Row],[Winter Clothes Adult]]+Table_NFI[[#This Row],[Winter Clothes Children]]+Table_NFI[[#This Row],[Winter Items Other]]+Table_NFI[[#This Row],[Winter Blanket]]&gt;0,1,0)</f>
        <v>0</v>
      </c>
      <c r="AN902" s="331">
        <f>IF(NFI_Expiration=1,IF($A902&lt;VLOOKUP(V$5,NFI,5,0),1,0)*Table_NFI[[#This Row],[Jerry Can]],Table_NFI[Jerry Can])</f>
        <v>0</v>
      </c>
      <c r="AO902" s="331">
        <f>IF(NFI_Expiration=1,IF($A902&lt;VLOOKUP(V$5,NFI,5,0),1,0)*Table_NFI[[#This Row],[Shelter Tool kit]],Table_NFI[Shelter Tool kit])</f>
        <v>0</v>
      </c>
      <c r="AP902" s="331">
        <f>IF(NFI_Expiration=1,IF($A902&lt;VLOOKUP(V$5,NFI,5,0),1,0)*Table_NFI[[#This Row],[Tent]],Table_NFI[Tent])</f>
        <v>0</v>
      </c>
      <c r="AQ902" s="467" t="str">
        <f>IFERROR(VLOOKUP(Table_NFI[[#This Row],[Camp Name]],CL,2,0),"")</f>
        <v>MMR001CMP021</v>
      </c>
      <c r="AR902" s="835">
        <f ca="1">IF(Table_NFI[[#This Row],[Pcode]]="","",IF(OFFSET(CampList[Opening Date],MATCH(Table_NFI[[#This Row],[Pcode]],CampList[CP_Pcode],0)-1,0,1,1)&gt;=NFI_Monitor_Date,1,0))</f>
        <v>0</v>
      </c>
      <c r="AS902" s="467" t="str">
        <f>IFERROR(VLOOKUP(Table_NFI[[#This Row],[Camp Name]],CL,3,0),"")</f>
        <v>Open</v>
      </c>
      <c r="AT902" s="294" t="str">
        <f ca="1">IF(Table_NFI[[#This Row],[Pcode]]="","",OFFSET(CampList[Priority],MATCH(Table_NFI[[#This Row],[Pcode]],CampList[CP_Pcode],0)-1,0,1,1))</f>
        <v>P4</v>
      </c>
      <c r="AU902" s="293">
        <f>IFERROR(Table_NFI[[#This Row],[Kitchen Set]]/VLOOKUP(Table_NFI[[#This Row],[Camp Name]],CL,4,0),"")</f>
        <v>1.2249797878335008E-4</v>
      </c>
      <c r="AV902" s="461" t="s">
        <v>1092</v>
      </c>
      <c r="AW902" s="463"/>
    </row>
    <row r="903" spans="1:49" ht="14.45" customHeight="1" x14ac:dyDescent="0.25">
      <c r="A903" s="297">
        <f t="shared" si="14"/>
        <v>52.93333333333333</v>
      </c>
      <c r="B903" s="460">
        <v>41148</v>
      </c>
      <c r="C903" s="461" t="s">
        <v>452</v>
      </c>
      <c r="D903" s="462" t="s">
        <v>452</v>
      </c>
      <c r="E903" s="461" t="s">
        <v>380</v>
      </c>
      <c r="F903" s="290" t="s">
        <v>237</v>
      </c>
      <c r="G903" s="290" t="s">
        <v>283</v>
      </c>
      <c r="H903" s="291"/>
      <c r="I903" s="291"/>
      <c r="J903" s="291"/>
      <c r="K903" s="291">
        <v>10</v>
      </c>
      <c r="L903" s="292">
        <v>5</v>
      </c>
      <c r="M903" s="292">
        <v>10</v>
      </c>
      <c r="N903" s="292">
        <v>5</v>
      </c>
      <c r="O903" s="292">
        <v>5</v>
      </c>
      <c r="P903" s="294">
        <v>5</v>
      </c>
      <c r="Q903" s="294">
        <v>5</v>
      </c>
      <c r="R903" s="294"/>
      <c r="S903" s="294"/>
      <c r="T903" s="294"/>
      <c r="U903" s="294"/>
      <c r="V903" s="431"/>
      <c r="W903" s="294"/>
      <c r="X903" s="294"/>
      <c r="Y903" s="294">
        <f>IF(NFI_Expiration=1,IF($A903&lt;VLOOKUP(H$5,NFI,5,0),1,0)*Table_NFI[[#This Row],[Hygiene Kit]],Table_NFI[Hygiene Kit])</f>
        <v>0</v>
      </c>
      <c r="Z903" s="294">
        <f>IF(NFI_Expiration=1,IF($A903&lt;VLOOKUP(I$5,NFI,5,0),1,0)*Table_NFI[[#This Row],[NFI Core Kit]],Table_NFI[NFI Core Kit])</f>
        <v>0</v>
      </c>
      <c r="AA903" s="294">
        <f>IF(NFI_Expiration=1,IF($A903&lt;VLOOKUP(J$5,NFI,5,0),1,0)*Table_NFI[[#This Row],[Sanitary Kit]],Table_NFI[Sanitary Kit])</f>
        <v>0</v>
      </c>
      <c r="AB903" s="294">
        <f>IF(NFI_Expiration=1,IF($A903&lt;VLOOKUP(K$5,NFI,5,0),1,0)*Table_NFI[[#This Row],[Mosquito net]],Table_NFI[Mosquito net])</f>
        <v>0</v>
      </c>
      <c r="AC903" s="294">
        <f>IF(NFI_Expiration=1,IF($A903&lt;VLOOKUP(L$5,NFI,5,0),1,0)*Table_NFI[[#This Row],[Tarpaulin]],Table_NFI[[#This Row],[Tarpaulin]])</f>
        <v>0</v>
      </c>
      <c r="AD903" s="294">
        <f>IF(NFI_Expiration=1,IF($A903&lt;VLOOKUP(M$5,NFI,5,0),1,0)*Table_NFI[[#This Row],[Blanket]],Table_NFI[[#This Row],[Blanket]])</f>
        <v>0</v>
      </c>
      <c r="AE903" s="294">
        <f>IF(NFI_Expiration=1,IF($A903&lt;VLOOKUP(N$5,NFI,5,0),1,0)*Table_NFI[[#This Row],[Kitchen Set]],Table_NFI[Kitchen Set])</f>
        <v>0</v>
      </c>
      <c r="AF903" s="294">
        <f>IF(NFI_Expiration=1,IF($A903&lt;VLOOKUP(O$5,NFI,5,0),1,0)*Table_NFI[[#This Row],[Clothes Kit]],Table_NFI[Clothes Kit])</f>
        <v>0</v>
      </c>
      <c r="AG903" s="294">
        <f>IF(NFI_Expiration=1,IF($A903&lt;VLOOKUP(P$5,NFI,5,0),1,0)*Table_NFI[[#This Row],[Plastic Bucket]],Table_NFI[Plastic Bucket])</f>
        <v>0</v>
      </c>
      <c r="AH903" s="294">
        <f>IF(NFI_Expiration=1,IF($A903&lt;VLOOKUP(Q$5,NFI,5,0),1,0)*Table_NFI[[#This Row],[Plastic Mat]],Table_NFI[Plastic Mat])*IF(Table_NFI[[#This Row],[Distribution Date]]&gt;"2014-04-01",1,2.5)</f>
        <v>0</v>
      </c>
      <c r="AI903" s="294">
        <f>IF(NFI_Expiration=1,IF($A903&lt;VLOOKUP(R$5,NFI,5,0),1,0)*Table_NFI[[#This Row],[Winter Clothes Adult]],Table_NFI[Winter Clothes Adult])</f>
        <v>0</v>
      </c>
      <c r="AJ903" s="294">
        <f>IF(NFI_Expiration=1,IF($A903&lt;VLOOKUP(S$5,NFI,5,0),1,0)*Table_NFI[[#This Row],[Winter Clothes Children]],Table_NFI[Winter Clothes Children])</f>
        <v>0</v>
      </c>
      <c r="AK903" s="294">
        <f>IF(NFI_Expiration=1,IF($A903&lt;VLOOKUP(T$5,NFI,5,0),1,0)*Table_NFI[[#This Row],[Winter Items Other]],Table_NFI[Winter Items Other])</f>
        <v>0</v>
      </c>
      <c r="AL903" s="294">
        <f>IF(NFI_Expiration=1,IF($A903&lt;VLOOKUP(M$5,NFI,5,0),1,0)*Table_NFI[[#This Row],[Winter Blanket]],Table_NFI[[#This Row],[Winter Blanket]])</f>
        <v>0</v>
      </c>
      <c r="AM903" s="294">
        <f>IF(Table_NFI[[#This Row],[Winter Clothes Adult]]+Table_NFI[[#This Row],[Winter Clothes Children]]+Table_NFI[[#This Row],[Winter Items Other]]+Table_NFI[[#This Row],[Winter Blanket]]&gt;0,1,0)</f>
        <v>0</v>
      </c>
      <c r="AN903" s="331">
        <f>IF(NFI_Expiration=1,IF($A903&lt;VLOOKUP(V$5,NFI,5,0),1,0)*Table_NFI[[#This Row],[Jerry Can]],Table_NFI[Jerry Can])</f>
        <v>0</v>
      </c>
      <c r="AO903" s="331">
        <f>IF(NFI_Expiration=1,IF($A903&lt;VLOOKUP(V$5,NFI,5,0),1,0)*Table_NFI[[#This Row],[Shelter Tool kit]],Table_NFI[Shelter Tool kit])</f>
        <v>0</v>
      </c>
      <c r="AP903" s="331">
        <f>IF(NFI_Expiration=1,IF($A903&lt;VLOOKUP(V$5,NFI,5,0),1,0)*Table_NFI[[#This Row],[Tent]],Table_NFI[Tent])</f>
        <v>0</v>
      </c>
      <c r="AQ903" s="467" t="str">
        <f>IFERROR(VLOOKUP(Table_NFI[[#This Row],[Camp Name]],CL,2,0),"")</f>
        <v>MMR001CMP022</v>
      </c>
      <c r="AR903" s="835">
        <f ca="1">IF(Table_NFI[[#This Row],[Pcode]]="","",IF(OFFSET(CampList[Opening Date],MATCH(Table_NFI[[#This Row],[Pcode]],CampList[CP_Pcode],0)-1,0,1,1)&gt;=NFI_Monitor_Date,1,0))</f>
        <v>0</v>
      </c>
      <c r="AS903" s="467" t="str">
        <f>IFERROR(VLOOKUP(Table_NFI[[#This Row],[Camp Name]],CL,3,0),"")</f>
        <v>Open</v>
      </c>
      <c r="AT903" s="294" t="str">
        <f ca="1">IF(Table_NFI[[#This Row],[Pcode]]="","",OFFSET(CampList[Priority],MATCH(Table_NFI[[#This Row],[Pcode]],CampList[CP_Pcode],0)-1,0,1,1))</f>
        <v>P4</v>
      </c>
      <c r="AU903" s="293">
        <f>IFERROR(Table_NFI[[#This Row],[Kitchen Set]]/VLOOKUP(Table_NFI[[#This Row],[Camp Name]],CL,4,0),"")</f>
        <v>1.2195121951219512E-4</v>
      </c>
      <c r="AV903" s="461" t="s">
        <v>1092</v>
      </c>
      <c r="AW903" s="463"/>
    </row>
    <row r="904" spans="1:49" ht="14.45" customHeight="1" x14ac:dyDescent="0.25">
      <c r="A904" s="297">
        <f t="shared" si="14"/>
        <v>53.333333333333336</v>
      </c>
      <c r="B904" s="460">
        <v>41136</v>
      </c>
      <c r="C904" s="461" t="s">
        <v>905</v>
      </c>
      <c r="D904" s="461" t="s">
        <v>905</v>
      </c>
      <c r="E904" s="461" t="s">
        <v>380</v>
      </c>
      <c r="F904" s="461" t="s">
        <v>185</v>
      </c>
      <c r="G904" s="290" t="s">
        <v>223</v>
      </c>
      <c r="H904" s="294">
        <v>73</v>
      </c>
      <c r="I904" s="291"/>
      <c r="J904" s="291"/>
      <c r="K904" s="291"/>
      <c r="L904" s="292"/>
      <c r="M904" s="292"/>
      <c r="N904" s="292"/>
      <c r="O904" s="292"/>
      <c r="P904" s="294"/>
      <c r="Q904" s="294"/>
      <c r="R904" s="294"/>
      <c r="S904" s="294"/>
      <c r="T904" s="294"/>
      <c r="U904" s="294"/>
      <c r="V904" s="431"/>
      <c r="W904" s="294"/>
      <c r="X904" s="294"/>
      <c r="Y904" s="294">
        <f>IF(NFI_Expiration=1,IF($A904&lt;VLOOKUP(H$5,NFI,5,0),1,0)*Table_NFI[[#This Row],[Hygiene Kit]],Table_NFI[Hygiene Kit])</f>
        <v>0</v>
      </c>
      <c r="Z904" s="294">
        <f>IF(NFI_Expiration=1,IF($A904&lt;VLOOKUP(I$5,NFI,5,0),1,0)*Table_NFI[[#This Row],[NFI Core Kit]],Table_NFI[NFI Core Kit])</f>
        <v>0</v>
      </c>
      <c r="AA904" s="294">
        <f>IF(NFI_Expiration=1,IF($A904&lt;VLOOKUP(J$5,NFI,5,0),1,0)*Table_NFI[[#This Row],[Sanitary Kit]],Table_NFI[Sanitary Kit])</f>
        <v>0</v>
      </c>
      <c r="AB904" s="294">
        <f>IF(NFI_Expiration=1,IF($A904&lt;VLOOKUP(K$5,NFI,5,0),1,0)*Table_NFI[[#This Row],[Mosquito net]],Table_NFI[Mosquito net])</f>
        <v>0</v>
      </c>
      <c r="AC904" s="294">
        <f>IF(NFI_Expiration=1,IF($A904&lt;VLOOKUP(L$5,NFI,5,0),1,0)*Table_NFI[[#This Row],[Tarpaulin]],Table_NFI[[#This Row],[Tarpaulin]])</f>
        <v>0</v>
      </c>
      <c r="AD904" s="294">
        <f>IF(NFI_Expiration=1,IF($A904&lt;VLOOKUP(M$5,NFI,5,0),1,0)*Table_NFI[[#This Row],[Blanket]],Table_NFI[[#This Row],[Blanket]])</f>
        <v>0</v>
      </c>
      <c r="AE904" s="294">
        <f>IF(NFI_Expiration=1,IF($A904&lt;VLOOKUP(N$5,NFI,5,0),1,0)*Table_NFI[[#This Row],[Kitchen Set]],Table_NFI[Kitchen Set])</f>
        <v>0</v>
      </c>
      <c r="AF904" s="294">
        <f>IF(NFI_Expiration=1,IF($A904&lt;VLOOKUP(O$5,NFI,5,0),1,0)*Table_NFI[[#This Row],[Clothes Kit]],Table_NFI[Clothes Kit])</f>
        <v>0</v>
      </c>
      <c r="AG904" s="294">
        <f>IF(NFI_Expiration=1,IF($A904&lt;VLOOKUP(P$5,NFI,5,0),1,0)*Table_NFI[[#This Row],[Plastic Bucket]],Table_NFI[Plastic Bucket])</f>
        <v>0</v>
      </c>
      <c r="AH904" s="294">
        <f>IF(NFI_Expiration=1,IF($A904&lt;VLOOKUP(Q$5,NFI,5,0),1,0)*Table_NFI[[#This Row],[Plastic Mat]],Table_NFI[Plastic Mat])*IF(Table_NFI[[#This Row],[Distribution Date]]&gt;"2014-04-01",1,2.5)</f>
        <v>0</v>
      </c>
      <c r="AI904" s="294">
        <f>IF(NFI_Expiration=1,IF($A904&lt;VLOOKUP(R$5,NFI,5,0),1,0)*Table_NFI[[#This Row],[Winter Clothes Adult]],Table_NFI[Winter Clothes Adult])</f>
        <v>0</v>
      </c>
      <c r="AJ904" s="294">
        <f>IF(NFI_Expiration=1,IF($A904&lt;VLOOKUP(S$5,NFI,5,0),1,0)*Table_NFI[[#This Row],[Winter Clothes Children]],Table_NFI[Winter Clothes Children])</f>
        <v>0</v>
      </c>
      <c r="AK904" s="294">
        <f>IF(NFI_Expiration=1,IF($A904&lt;VLOOKUP(T$5,NFI,5,0),1,0)*Table_NFI[[#This Row],[Winter Items Other]],Table_NFI[Winter Items Other])</f>
        <v>0</v>
      </c>
      <c r="AL904" s="294">
        <f>IF(NFI_Expiration=1,IF($A904&lt;VLOOKUP(M$5,NFI,5,0),1,0)*Table_NFI[[#This Row],[Winter Blanket]],Table_NFI[[#This Row],[Winter Blanket]])</f>
        <v>0</v>
      </c>
      <c r="AM904" s="294">
        <f>IF(Table_NFI[[#This Row],[Winter Clothes Adult]]+Table_NFI[[#This Row],[Winter Clothes Children]]+Table_NFI[[#This Row],[Winter Items Other]]+Table_NFI[[#This Row],[Winter Blanket]]&gt;0,1,0)</f>
        <v>0</v>
      </c>
      <c r="AN904" s="331">
        <f>IF(NFI_Expiration=1,IF($A904&lt;VLOOKUP(V$5,NFI,5,0),1,0)*Table_NFI[[#This Row],[Jerry Can]],Table_NFI[Jerry Can])</f>
        <v>0</v>
      </c>
      <c r="AO904" s="331">
        <f>IF(NFI_Expiration=1,IF($A904&lt;VLOOKUP(V$5,NFI,5,0),1,0)*Table_NFI[[#This Row],[Shelter Tool kit]],Table_NFI[Shelter Tool kit])</f>
        <v>0</v>
      </c>
      <c r="AP904" s="331">
        <f>IF(NFI_Expiration=1,IF($A904&lt;VLOOKUP(V$5,NFI,5,0),1,0)*Table_NFI[[#This Row],[Tent]],Table_NFI[Tent])</f>
        <v>0</v>
      </c>
      <c r="AQ904" s="467" t="str">
        <f>IFERROR(VLOOKUP(Table_NFI[[#This Row],[Camp Name]],CL,2,0),"")</f>
        <v>MMR001CMP069</v>
      </c>
      <c r="AR904" s="835">
        <f ca="1">IF(Table_NFI[[#This Row],[Pcode]]="","",IF(OFFSET(CampList[Opening Date],MATCH(Table_NFI[[#This Row],[Pcode]],CampList[CP_Pcode],0)-1,0,1,1)&gt;=NFI_Monitor_Date,1,0))</f>
        <v>0</v>
      </c>
      <c r="AS904" s="467" t="str">
        <f>IFERROR(VLOOKUP(Table_NFI[[#This Row],[Camp Name]],CL,3,0),"")</f>
        <v>Open</v>
      </c>
      <c r="AT904" s="294" t="str">
        <f ca="1">IF(Table_NFI[[#This Row],[Pcode]]="","",OFFSET(CampList[Priority],MATCH(Table_NFI[[#This Row],[Pcode]],CampList[CP_Pcode],0)-1,0,1,1))</f>
        <v>P3</v>
      </c>
      <c r="AU904" s="293">
        <f>IFERROR(Table_NFI[[#This Row],[Kitchen Set]]/VLOOKUP(Table_NFI[[#This Row],[Camp Name]],CL,4,0),"")</f>
        <v>0</v>
      </c>
      <c r="AV904" s="461"/>
      <c r="AW904" s="463"/>
    </row>
    <row r="905" spans="1:49" s="464" customFormat="1" ht="14.45" customHeight="1" x14ac:dyDescent="0.25">
      <c r="A905" s="297">
        <f t="shared" si="14"/>
        <v>53.4</v>
      </c>
      <c r="B905" s="460">
        <v>41134</v>
      </c>
      <c r="C905" s="461" t="s">
        <v>452</v>
      </c>
      <c r="D905" s="462" t="s">
        <v>573</v>
      </c>
      <c r="E905" s="461" t="s">
        <v>380</v>
      </c>
      <c r="F905" s="290" t="s">
        <v>5</v>
      </c>
      <c r="G905" s="290" t="s">
        <v>22</v>
      </c>
      <c r="H905" s="291"/>
      <c r="I905" s="291"/>
      <c r="J905" s="291"/>
      <c r="K905" s="291">
        <v>310</v>
      </c>
      <c r="L905" s="292">
        <v>151</v>
      </c>
      <c r="M905" s="292">
        <v>310</v>
      </c>
      <c r="N905" s="292">
        <v>151</v>
      </c>
      <c r="O905" s="292">
        <v>151</v>
      </c>
      <c r="P905" s="294">
        <v>151</v>
      </c>
      <c r="Q905" s="294">
        <v>151</v>
      </c>
      <c r="R905" s="294"/>
      <c r="S905" s="294"/>
      <c r="T905" s="294"/>
      <c r="U905" s="294"/>
      <c r="V905" s="431"/>
      <c r="W905" s="294"/>
      <c r="X905" s="294"/>
      <c r="Y905" s="294">
        <f>IF(NFI_Expiration=1,IF($A905&lt;VLOOKUP(H$5,NFI,5,0),1,0)*Table_NFI[[#This Row],[Hygiene Kit]],Table_NFI[Hygiene Kit])</f>
        <v>0</v>
      </c>
      <c r="Z905" s="294">
        <f>IF(NFI_Expiration=1,IF($A905&lt;VLOOKUP(I$5,NFI,5,0),1,0)*Table_NFI[[#This Row],[NFI Core Kit]],Table_NFI[NFI Core Kit])</f>
        <v>0</v>
      </c>
      <c r="AA905" s="294">
        <f>IF(NFI_Expiration=1,IF($A905&lt;VLOOKUP(J$5,NFI,5,0),1,0)*Table_NFI[[#This Row],[Sanitary Kit]],Table_NFI[Sanitary Kit])</f>
        <v>0</v>
      </c>
      <c r="AB905" s="294">
        <f>IF(NFI_Expiration=1,IF($A905&lt;VLOOKUP(K$5,NFI,5,0),1,0)*Table_NFI[[#This Row],[Mosquito net]],Table_NFI[Mosquito net])</f>
        <v>0</v>
      </c>
      <c r="AC905" s="294">
        <f>IF(NFI_Expiration=1,IF($A905&lt;VLOOKUP(L$5,NFI,5,0),1,0)*Table_NFI[[#This Row],[Tarpaulin]],Table_NFI[[#This Row],[Tarpaulin]])</f>
        <v>0</v>
      </c>
      <c r="AD905" s="294">
        <f>IF(NFI_Expiration=1,IF($A905&lt;VLOOKUP(M$5,NFI,5,0),1,0)*Table_NFI[[#This Row],[Blanket]],Table_NFI[[#This Row],[Blanket]])</f>
        <v>0</v>
      </c>
      <c r="AE905" s="294">
        <f>IF(NFI_Expiration=1,IF($A905&lt;VLOOKUP(N$5,NFI,5,0),1,0)*Table_NFI[[#This Row],[Kitchen Set]],Table_NFI[Kitchen Set])</f>
        <v>0</v>
      </c>
      <c r="AF905" s="294">
        <f>IF(NFI_Expiration=1,IF($A905&lt;VLOOKUP(O$5,NFI,5,0),1,0)*Table_NFI[[#This Row],[Clothes Kit]],Table_NFI[Clothes Kit])</f>
        <v>0</v>
      </c>
      <c r="AG905" s="294">
        <f>IF(NFI_Expiration=1,IF($A905&lt;VLOOKUP(P$5,NFI,5,0),1,0)*Table_NFI[[#This Row],[Plastic Bucket]],Table_NFI[Plastic Bucket])</f>
        <v>0</v>
      </c>
      <c r="AH905" s="294">
        <f>IF(NFI_Expiration=1,IF($A905&lt;VLOOKUP(Q$5,NFI,5,0),1,0)*Table_NFI[[#This Row],[Plastic Mat]],Table_NFI[Plastic Mat])*IF(Table_NFI[[#This Row],[Distribution Date]]&gt;"2014-04-01",1,2.5)</f>
        <v>0</v>
      </c>
      <c r="AI905" s="294">
        <f>IF(NFI_Expiration=1,IF($A905&lt;VLOOKUP(R$5,NFI,5,0),1,0)*Table_NFI[[#This Row],[Winter Clothes Adult]],Table_NFI[Winter Clothes Adult])</f>
        <v>0</v>
      </c>
      <c r="AJ905" s="294">
        <f>IF(NFI_Expiration=1,IF($A905&lt;VLOOKUP(S$5,NFI,5,0),1,0)*Table_NFI[[#This Row],[Winter Clothes Children]],Table_NFI[Winter Clothes Children])</f>
        <v>0</v>
      </c>
      <c r="AK905" s="294">
        <f>IF(NFI_Expiration=1,IF($A905&lt;VLOOKUP(T$5,NFI,5,0),1,0)*Table_NFI[[#This Row],[Winter Items Other]],Table_NFI[Winter Items Other])</f>
        <v>0</v>
      </c>
      <c r="AL905" s="294">
        <f>IF(NFI_Expiration=1,IF($A905&lt;VLOOKUP(M$5,NFI,5,0),1,0)*Table_NFI[[#This Row],[Winter Blanket]],Table_NFI[[#This Row],[Winter Blanket]])</f>
        <v>0</v>
      </c>
      <c r="AM905" s="294">
        <f>IF(Table_NFI[[#This Row],[Winter Clothes Adult]]+Table_NFI[[#This Row],[Winter Clothes Children]]+Table_NFI[[#This Row],[Winter Items Other]]+Table_NFI[[#This Row],[Winter Blanket]]&gt;0,1,0)</f>
        <v>0</v>
      </c>
      <c r="AN905" s="331">
        <f>IF(NFI_Expiration=1,IF($A905&lt;VLOOKUP(V$5,NFI,5,0),1,0)*Table_NFI[[#This Row],[Jerry Can]],Table_NFI[Jerry Can])</f>
        <v>0</v>
      </c>
      <c r="AO905" s="331">
        <f>IF(NFI_Expiration=1,IF($A905&lt;VLOOKUP(V$5,NFI,5,0),1,0)*Table_NFI[[#This Row],[Shelter Tool kit]],Table_NFI[Shelter Tool kit])</f>
        <v>0</v>
      </c>
      <c r="AP905" s="331">
        <f>IF(NFI_Expiration=1,IF($A905&lt;VLOOKUP(V$5,NFI,5,0),1,0)*Table_NFI[[#This Row],[Tent]],Table_NFI[Tent])</f>
        <v>0</v>
      </c>
      <c r="AQ905" s="467" t="str">
        <f>IFERROR(VLOOKUP(Table_NFI[[#This Row],[Camp Name]],CL,2,0),"")</f>
        <v>MMR001CMP047</v>
      </c>
      <c r="AR905" s="835">
        <f ca="1">IF(Table_NFI[[#This Row],[Pcode]]="","",IF(OFFSET(CampList[Opening Date],MATCH(Table_NFI[[#This Row],[Pcode]],CampList[CP_Pcode],0)-1,0,1,1)&gt;=NFI_Monitor_Date,1,0))</f>
        <v>0</v>
      </c>
      <c r="AS905" s="467" t="str">
        <f>IFERROR(VLOOKUP(Table_NFI[[#This Row],[Camp Name]],CL,3,0),"")</f>
        <v>Open</v>
      </c>
      <c r="AT905" s="294" t="str">
        <f ca="1">IF(Table_NFI[[#This Row],[Pcode]]="","",OFFSET(CampList[Priority],MATCH(Table_NFI[[#This Row],[Pcode]],CampList[CP_Pcode],0)-1,0,1,1))</f>
        <v>P4</v>
      </c>
      <c r="AU905" s="293">
        <f>IFERROR(Table_NFI[[#This Row],[Kitchen Set]]/VLOOKUP(Table_NFI[[#This Row],[Camp Name]],CL,4,0),"")</f>
        <v>3.7077961939840391E-3</v>
      </c>
      <c r="AV905" s="461" t="s">
        <v>1092</v>
      </c>
      <c r="AW905" s="463"/>
    </row>
    <row r="906" spans="1:49" s="464" customFormat="1" ht="15" customHeight="1" x14ac:dyDescent="0.25">
      <c r="A906" s="297">
        <f t="shared" si="14"/>
        <v>53.533333333333331</v>
      </c>
      <c r="B906" s="460">
        <v>41130</v>
      </c>
      <c r="C906" s="461" t="s">
        <v>452</v>
      </c>
      <c r="D906" s="462" t="s">
        <v>452</v>
      </c>
      <c r="E906" s="461" t="s">
        <v>380</v>
      </c>
      <c r="F906" s="290" t="s">
        <v>237</v>
      </c>
      <c r="G906" s="290" t="s">
        <v>253</v>
      </c>
      <c r="H906" s="291"/>
      <c r="I906" s="296"/>
      <c r="J906" s="289"/>
      <c r="K906" s="289">
        <v>7</v>
      </c>
      <c r="L906" s="289">
        <v>3</v>
      </c>
      <c r="M906" s="289">
        <v>7</v>
      </c>
      <c r="N906" s="289">
        <v>3</v>
      </c>
      <c r="O906" s="289">
        <v>3</v>
      </c>
      <c r="P906" s="294">
        <v>3</v>
      </c>
      <c r="Q906" s="294">
        <v>3</v>
      </c>
      <c r="R906" s="294"/>
      <c r="S906" s="294"/>
      <c r="T906" s="294"/>
      <c r="U906" s="294"/>
      <c r="V906" s="431"/>
      <c r="W906" s="294"/>
      <c r="X906" s="294"/>
      <c r="Y906" s="294">
        <f>IF(NFI_Expiration=1,IF($A906&lt;VLOOKUP(H$5,NFI,5,0),1,0)*Table_NFI[[#This Row],[Hygiene Kit]],Table_NFI[Hygiene Kit])</f>
        <v>0</v>
      </c>
      <c r="Z906" s="294">
        <f>IF(NFI_Expiration=1,IF($A906&lt;VLOOKUP(I$5,NFI,5,0),1,0)*Table_NFI[[#This Row],[NFI Core Kit]],Table_NFI[NFI Core Kit])</f>
        <v>0</v>
      </c>
      <c r="AA906" s="294">
        <f>IF(NFI_Expiration=1,IF($A906&lt;VLOOKUP(J$5,NFI,5,0),1,0)*Table_NFI[[#This Row],[Sanitary Kit]],Table_NFI[Sanitary Kit])</f>
        <v>0</v>
      </c>
      <c r="AB906" s="294">
        <f>IF(NFI_Expiration=1,IF($A906&lt;VLOOKUP(K$5,NFI,5,0),1,0)*Table_NFI[[#This Row],[Mosquito net]],Table_NFI[Mosquito net])</f>
        <v>0</v>
      </c>
      <c r="AC906" s="294">
        <f>IF(NFI_Expiration=1,IF($A906&lt;VLOOKUP(L$5,NFI,5,0),1,0)*Table_NFI[[#This Row],[Tarpaulin]],Table_NFI[[#This Row],[Tarpaulin]])</f>
        <v>0</v>
      </c>
      <c r="AD906" s="294">
        <f>IF(NFI_Expiration=1,IF($A906&lt;VLOOKUP(M$5,NFI,5,0),1,0)*Table_NFI[[#This Row],[Blanket]],Table_NFI[[#This Row],[Blanket]])</f>
        <v>0</v>
      </c>
      <c r="AE906" s="294">
        <f>IF(NFI_Expiration=1,IF($A906&lt;VLOOKUP(N$5,NFI,5,0),1,0)*Table_NFI[[#This Row],[Kitchen Set]],Table_NFI[Kitchen Set])</f>
        <v>0</v>
      </c>
      <c r="AF906" s="294">
        <f>IF(NFI_Expiration=1,IF($A906&lt;VLOOKUP(O$5,NFI,5,0),1,0)*Table_NFI[[#This Row],[Clothes Kit]],Table_NFI[Clothes Kit])</f>
        <v>0</v>
      </c>
      <c r="AG906" s="294">
        <f>IF(NFI_Expiration=1,IF($A906&lt;VLOOKUP(P$5,NFI,5,0),1,0)*Table_NFI[[#This Row],[Plastic Bucket]],Table_NFI[Plastic Bucket])</f>
        <v>0</v>
      </c>
      <c r="AH906" s="294">
        <f>IF(NFI_Expiration=1,IF($A906&lt;VLOOKUP(Q$5,NFI,5,0),1,0)*Table_NFI[[#This Row],[Plastic Mat]],Table_NFI[Plastic Mat])*IF(Table_NFI[[#This Row],[Distribution Date]]&gt;"2014-04-01",1,2.5)</f>
        <v>0</v>
      </c>
      <c r="AI906" s="294">
        <f>IF(NFI_Expiration=1,IF($A906&lt;VLOOKUP(R$5,NFI,5,0),1,0)*Table_NFI[[#This Row],[Winter Clothes Adult]],Table_NFI[Winter Clothes Adult])</f>
        <v>0</v>
      </c>
      <c r="AJ906" s="294">
        <f>IF(NFI_Expiration=1,IF($A906&lt;VLOOKUP(S$5,NFI,5,0),1,0)*Table_NFI[[#This Row],[Winter Clothes Children]],Table_NFI[Winter Clothes Children])</f>
        <v>0</v>
      </c>
      <c r="AK906" s="294">
        <f>IF(NFI_Expiration=1,IF($A906&lt;VLOOKUP(T$5,NFI,5,0),1,0)*Table_NFI[[#This Row],[Winter Items Other]],Table_NFI[Winter Items Other])</f>
        <v>0</v>
      </c>
      <c r="AL906" s="294">
        <f>IF(NFI_Expiration=1,IF($A906&lt;VLOOKUP(M$5,NFI,5,0),1,0)*Table_NFI[[#This Row],[Winter Blanket]],Table_NFI[[#This Row],[Winter Blanket]])</f>
        <v>0</v>
      </c>
      <c r="AM906" s="294">
        <f>IF(Table_NFI[[#This Row],[Winter Clothes Adult]]+Table_NFI[[#This Row],[Winter Clothes Children]]+Table_NFI[[#This Row],[Winter Items Other]]+Table_NFI[[#This Row],[Winter Blanket]]&gt;0,1,0)</f>
        <v>0</v>
      </c>
      <c r="AN906" s="331">
        <f>IF(NFI_Expiration=1,IF($A906&lt;VLOOKUP(V$5,NFI,5,0),1,0)*Table_NFI[[#This Row],[Jerry Can]],Table_NFI[Jerry Can])</f>
        <v>0</v>
      </c>
      <c r="AO906" s="331">
        <f>IF(NFI_Expiration=1,IF($A906&lt;VLOOKUP(V$5,NFI,5,0),1,0)*Table_NFI[[#This Row],[Shelter Tool kit]],Table_NFI[Shelter Tool kit])</f>
        <v>0</v>
      </c>
      <c r="AP906" s="331">
        <f>IF(NFI_Expiration=1,IF($A906&lt;VLOOKUP(V$5,NFI,5,0),1,0)*Table_NFI[[#This Row],[Tent]],Table_NFI[Tent])</f>
        <v>0</v>
      </c>
      <c r="AQ906" s="467" t="str">
        <f>IFERROR(VLOOKUP(Table_NFI[[#This Row],[Camp Name]],CL,2,0),"")</f>
        <v>MMR001CMP018</v>
      </c>
      <c r="AR906" s="835">
        <f ca="1">IF(Table_NFI[[#This Row],[Pcode]]="","",IF(OFFSET(CampList[Opening Date],MATCH(Table_NFI[[#This Row],[Pcode]],CampList[CP_Pcode],0)-1,0,1,1)&gt;=NFI_Monitor_Date,1,0))</f>
        <v>0</v>
      </c>
      <c r="AS906" s="467" t="str">
        <f>IFERROR(VLOOKUP(Table_NFI[[#This Row],[Camp Name]],CL,3,0),"")</f>
        <v>Open</v>
      </c>
      <c r="AT906" s="294" t="str">
        <f ca="1">IF(Table_NFI[[#This Row],[Pcode]]="","",OFFSET(CampList[Priority],MATCH(Table_NFI[[#This Row],[Pcode]],CampList[CP_Pcode],0)-1,0,1,1))</f>
        <v>P4</v>
      </c>
      <c r="AU906" s="293">
        <f>IFERROR(Table_NFI[[#This Row],[Kitchen Set]]/VLOOKUP(Table_NFI[[#This Row],[Camp Name]],CL,4,0),"")</f>
        <v>7.3664825046040511E-5</v>
      </c>
      <c r="AV906" s="461" t="s">
        <v>1092</v>
      </c>
      <c r="AW906" s="463"/>
    </row>
    <row r="907" spans="1:49" s="464" customFormat="1" ht="15" customHeight="1" x14ac:dyDescent="0.25">
      <c r="A907" s="297">
        <f t="shared" si="14"/>
        <v>53.533333333333331</v>
      </c>
      <c r="B907" s="460">
        <v>41130</v>
      </c>
      <c r="C907" s="461" t="s">
        <v>452</v>
      </c>
      <c r="D907" s="462" t="s">
        <v>452</v>
      </c>
      <c r="E907" s="461" t="s">
        <v>380</v>
      </c>
      <c r="F907" s="290" t="s">
        <v>237</v>
      </c>
      <c r="G907" s="290" t="s">
        <v>259</v>
      </c>
      <c r="H907" s="291"/>
      <c r="I907" s="291"/>
      <c r="J907" s="291"/>
      <c r="K907" s="291">
        <v>2</v>
      </c>
      <c r="L907" s="292">
        <v>1</v>
      </c>
      <c r="M907" s="292">
        <v>2</v>
      </c>
      <c r="N907" s="292">
        <v>1</v>
      </c>
      <c r="O907" s="292">
        <v>1</v>
      </c>
      <c r="P907" s="294">
        <v>1</v>
      </c>
      <c r="Q907" s="294">
        <v>1</v>
      </c>
      <c r="R907" s="294"/>
      <c r="S907" s="294"/>
      <c r="T907" s="294"/>
      <c r="U907" s="294"/>
      <c r="V907" s="431"/>
      <c r="W907" s="294"/>
      <c r="X907" s="294"/>
      <c r="Y907" s="294">
        <f>IF(NFI_Expiration=1,IF($A907&lt;VLOOKUP(H$5,NFI,5,0),1,0)*Table_NFI[[#This Row],[Hygiene Kit]],Table_NFI[Hygiene Kit])</f>
        <v>0</v>
      </c>
      <c r="Z907" s="294">
        <f>IF(NFI_Expiration=1,IF($A907&lt;VLOOKUP(I$5,NFI,5,0),1,0)*Table_NFI[[#This Row],[NFI Core Kit]],Table_NFI[NFI Core Kit])</f>
        <v>0</v>
      </c>
      <c r="AA907" s="294">
        <f>IF(NFI_Expiration=1,IF($A907&lt;VLOOKUP(J$5,NFI,5,0),1,0)*Table_NFI[[#This Row],[Sanitary Kit]],Table_NFI[Sanitary Kit])</f>
        <v>0</v>
      </c>
      <c r="AB907" s="294">
        <f>IF(NFI_Expiration=1,IF($A907&lt;VLOOKUP(K$5,NFI,5,0),1,0)*Table_NFI[[#This Row],[Mosquito net]],Table_NFI[Mosquito net])</f>
        <v>0</v>
      </c>
      <c r="AC907" s="294">
        <f>IF(NFI_Expiration=1,IF($A907&lt;VLOOKUP(L$5,NFI,5,0),1,0)*Table_NFI[[#This Row],[Tarpaulin]],Table_NFI[[#This Row],[Tarpaulin]])</f>
        <v>0</v>
      </c>
      <c r="AD907" s="294">
        <f>IF(NFI_Expiration=1,IF($A907&lt;VLOOKUP(M$5,NFI,5,0),1,0)*Table_NFI[[#This Row],[Blanket]],Table_NFI[[#This Row],[Blanket]])</f>
        <v>0</v>
      </c>
      <c r="AE907" s="294">
        <f>IF(NFI_Expiration=1,IF($A907&lt;VLOOKUP(N$5,NFI,5,0),1,0)*Table_NFI[[#This Row],[Kitchen Set]],Table_NFI[Kitchen Set])</f>
        <v>0</v>
      </c>
      <c r="AF907" s="294">
        <f>IF(NFI_Expiration=1,IF($A907&lt;VLOOKUP(O$5,NFI,5,0),1,0)*Table_NFI[[#This Row],[Clothes Kit]],Table_NFI[Clothes Kit])</f>
        <v>0</v>
      </c>
      <c r="AG907" s="294">
        <f>IF(NFI_Expiration=1,IF($A907&lt;VLOOKUP(P$5,NFI,5,0),1,0)*Table_NFI[[#This Row],[Plastic Bucket]],Table_NFI[Plastic Bucket])</f>
        <v>0</v>
      </c>
      <c r="AH907" s="294">
        <f>IF(NFI_Expiration=1,IF($A907&lt;VLOOKUP(Q$5,NFI,5,0),1,0)*Table_NFI[[#This Row],[Plastic Mat]],Table_NFI[Plastic Mat])*IF(Table_NFI[[#This Row],[Distribution Date]]&gt;"2014-04-01",1,2.5)</f>
        <v>0</v>
      </c>
      <c r="AI907" s="294">
        <f>IF(NFI_Expiration=1,IF($A907&lt;VLOOKUP(R$5,NFI,5,0),1,0)*Table_NFI[[#This Row],[Winter Clothes Adult]],Table_NFI[Winter Clothes Adult])</f>
        <v>0</v>
      </c>
      <c r="AJ907" s="294">
        <f>IF(NFI_Expiration=1,IF($A907&lt;VLOOKUP(S$5,NFI,5,0),1,0)*Table_NFI[[#This Row],[Winter Clothes Children]],Table_NFI[Winter Clothes Children])</f>
        <v>0</v>
      </c>
      <c r="AK907" s="294">
        <f>IF(NFI_Expiration=1,IF($A907&lt;VLOOKUP(T$5,NFI,5,0),1,0)*Table_NFI[[#This Row],[Winter Items Other]],Table_NFI[Winter Items Other])</f>
        <v>0</v>
      </c>
      <c r="AL907" s="294">
        <f>IF(NFI_Expiration=1,IF($A907&lt;VLOOKUP(M$5,NFI,5,0),1,0)*Table_NFI[[#This Row],[Winter Blanket]],Table_NFI[[#This Row],[Winter Blanket]])</f>
        <v>0</v>
      </c>
      <c r="AM907" s="294">
        <f>IF(Table_NFI[[#This Row],[Winter Clothes Adult]]+Table_NFI[[#This Row],[Winter Clothes Children]]+Table_NFI[[#This Row],[Winter Items Other]]+Table_NFI[[#This Row],[Winter Blanket]]&gt;0,1,0)</f>
        <v>0</v>
      </c>
      <c r="AN907" s="331">
        <f>IF(NFI_Expiration=1,IF($A907&lt;VLOOKUP(V$5,NFI,5,0),1,0)*Table_NFI[[#This Row],[Jerry Can]],Table_NFI[Jerry Can])</f>
        <v>0</v>
      </c>
      <c r="AO907" s="331">
        <f>IF(NFI_Expiration=1,IF($A907&lt;VLOOKUP(V$5,NFI,5,0),1,0)*Table_NFI[[#This Row],[Shelter Tool kit]],Table_NFI[Shelter Tool kit])</f>
        <v>0</v>
      </c>
      <c r="AP907" s="331">
        <f>IF(NFI_Expiration=1,IF($A907&lt;VLOOKUP(V$5,NFI,5,0),1,0)*Table_NFI[[#This Row],[Tent]],Table_NFI[Tent])</f>
        <v>0</v>
      </c>
      <c r="AQ907" s="467" t="str">
        <f>IFERROR(VLOOKUP(Table_NFI[[#This Row],[Camp Name]],CL,2,0),"")</f>
        <v>MMR001CMP016</v>
      </c>
      <c r="AR907" s="835">
        <f ca="1">IF(Table_NFI[[#This Row],[Pcode]]="","",IF(OFFSET(CampList[Opening Date],MATCH(Table_NFI[[#This Row],[Pcode]],CampList[CP_Pcode],0)-1,0,1,1)&gt;=NFI_Monitor_Date,1,0))</f>
        <v>0</v>
      </c>
      <c r="AS907" s="467" t="str">
        <f>IFERROR(VLOOKUP(Table_NFI[[#This Row],[Camp Name]],CL,3,0),"")</f>
        <v>Open</v>
      </c>
      <c r="AT907" s="294" t="str">
        <f ca="1">IF(Table_NFI[[#This Row],[Pcode]]="","",OFFSET(CampList[Priority],MATCH(Table_NFI[[#This Row],[Pcode]],CampList[CP_Pcode],0)-1,0,1,1))</f>
        <v>P4</v>
      </c>
      <c r="AU907" s="293">
        <f>IFERROR(Table_NFI[[#This Row],[Kitchen Set]]/VLOOKUP(Table_NFI[[#This Row],[Camp Name]],CL,4,0),"")</f>
        <v>2.4536264599077437E-5</v>
      </c>
      <c r="AV907" s="461" t="s">
        <v>1092</v>
      </c>
      <c r="AW907" s="463"/>
    </row>
    <row r="908" spans="1:49" s="464" customFormat="1" ht="14.45" customHeight="1" x14ac:dyDescent="0.25">
      <c r="A908" s="297">
        <f t="shared" si="14"/>
        <v>53.533333333333331</v>
      </c>
      <c r="B908" s="460">
        <v>41130</v>
      </c>
      <c r="C908" s="461" t="s">
        <v>452</v>
      </c>
      <c r="D908" s="461" t="s">
        <v>452</v>
      </c>
      <c r="E908" s="461" t="s">
        <v>380</v>
      </c>
      <c r="F908" s="290" t="s">
        <v>237</v>
      </c>
      <c r="G908" s="290" t="s">
        <v>263</v>
      </c>
      <c r="H908" s="291"/>
      <c r="I908" s="291"/>
      <c r="J908" s="291"/>
      <c r="K908" s="291">
        <v>2</v>
      </c>
      <c r="L908" s="292">
        <v>1</v>
      </c>
      <c r="M908" s="292">
        <v>2</v>
      </c>
      <c r="N908" s="292">
        <v>1</v>
      </c>
      <c r="O908" s="292">
        <v>1</v>
      </c>
      <c r="P908" s="294">
        <v>1</v>
      </c>
      <c r="Q908" s="294">
        <v>1</v>
      </c>
      <c r="R908" s="294"/>
      <c r="S908" s="294"/>
      <c r="T908" s="294"/>
      <c r="U908" s="294"/>
      <c r="V908" s="431"/>
      <c r="W908" s="294"/>
      <c r="X908" s="294"/>
      <c r="Y908" s="294">
        <f>IF(NFI_Expiration=1,IF($A908&lt;VLOOKUP(H$5,NFI,5,0),1,0)*Table_NFI[[#This Row],[Hygiene Kit]],Table_NFI[Hygiene Kit])</f>
        <v>0</v>
      </c>
      <c r="Z908" s="294">
        <f>IF(NFI_Expiration=1,IF($A908&lt;VLOOKUP(I$5,NFI,5,0),1,0)*Table_NFI[[#This Row],[NFI Core Kit]],Table_NFI[NFI Core Kit])</f>
        <v>0</v>
      </c>
      <c r="AA908" s="294">
        <f>IF(NFI_Expiration=1,IF($A908&lt;VLOOKUP(J$5,NFI,5,0),1,0)*Table_NFI[[#This Row],[Sanitary Kit]],Table_NFI[Sanitary Kit])</f>
        <v>0</v>
      </c>
      <c r="AB908" s="294">
        <f>IF(NFI_Expiration=1,IF($A908&lt;VLOOKUP(K$5,NFI,5,0),1,0)*Table_NFI[[#This Row],[Mosquito net]],Table_NFI[Mosquito net])</f>
        <v>0</v>
      </c>
      <c r="AC908" s="294">
        <f>IF(NFI_Expiration=1,IF($A908&lt;VLOOKUP(L$5,NFI,5,0),1,0)*Table_NFI[[#This Row],[Tarpaulin]],Table_NFI[[#This Row],[Tarpaulin]])</f>
        <v>0</v>
      </c>
      <c r="AD908" s="294">
        <f>IF(NFI_Expiration=1,IF($A908&lt;VLOOKUP(M$5,NFI,5,0),1,0)*Table_NFI[[#This Row],[Blanket]],Table_NFI[[#This Row],[Blanket]])</f>
        <v>0</v>
      </c>
      <c r="AE908" s="294">
        <f>IF(NFI_Expiration=1,IF($A908&lt;VLOOKUP(N$5,NFI,5,0),1,0)*Table_NFI[[#This Row],[Kitchen Set]],Table_NFI[Kitchen Set])</f>
        <v>0</v>
      </c>
      <c r="AF908" s="294">
        <f>IF(NFI_Expiration=1,IF($A908&lt;VLOOKUP(O$5,NFI,5,0),1,0)*Table_NFI[[#This Row],[Clothes Kit]],Table_NFI[Clothes Kit])</f>
        <v>0</v>
      </c>
      <c r="AG908" s="294">
        <f>IF(NFI_Expiration=1,IF($A908&lt;VLOOKUP(P$5,NFI,5,0),1,0)*Table_NFI[[#This Row],[Plastic Bucket]],Table_NFI[Plastic Bucket])</f>
        <v>0</v>
      </c>
      <c r="AH908" s="294">
        <f>IF(NFI_Expiration=1,IF($A908&lt;VLOOKUP(Q$5,NFI,5,0),1,0)*Table_NFI[[#This Row],[Plastic Mat]],Table_NFI[Plastic Mat])*IF(Table_NFI[[#This Row],[Distribution Date]]&gt;"2014-04-01",1,2.5)</f>
        <v>0</v>
      </c>
      <c r="AI908" s="294">
        <f>IF(NFI_Expiration=1,IF($A908&lt;VLOOKUP(R$5,NFI,5,0),1,0)*Table_NFI[[#This Row],[Winter Clothes Adult]],Table_NFI[Winter Clothes Adult])</f>
        <v>0</v>
      </c>
      <c r="AJ908" s="294">
        <f>IF(NFI_Expiration=1,IF($A908&lt;VLOOKUP(S$5,NFI,5,0),1,0)*Table_NFI[[#This Row],[Winter Clothes Children]],Table_NFI[Winter Clothes Children])</f>
        <v>0</v>
      </c>
      <c r="AK908" s="294">
        <f>IF(NFI_Expiration=1,IF($A908&lt;VLOOKUP(T$5,NFI,5,0),1,0)*Table_NFI[[#This Row],[Winter Items Other]],Table_NFI[Winter Items Other])</f>
        <v>0</v>
      </c>
      <c r="AL908" s="294">
        <f>IF(NFI_Expiration=1,IF($A908&lt;VLOOKUP(M$5,NFI,5,0),1,0)*Table_NFI[[#This Row],[Winter Blanket]],Table_NFI[[#This Row],[Winter Blanket]])</f>
        <v>0</v>
      </c>
      <c r="AM908" s="294">
        <f>IF(Table_NFI[[#This Row],[Winter Clothes Adult]]+Table_NFI[[#This Row],[Winter Clothes Children]]+Table_NFI[[#This Row],[Winter Items Other]]+Table_NFI[[#This Row],[Winter Blanket]]&gt;0,1,0)</f>
        <v>0</v>
      </c>
      <c r="AN908" s="331">
        <f>IF(NFI_Expiration=1,IF($A908&lt;VLOOKUP(V$5,NFI,5,0),1,0)*Table_NFI[[#This Row],[Jerry Can]],Table_NFI[Jerry Can])</f>
        <v>0</v>
      </c>
      <c r="AO908" s="331">
        <f>IF(NFI_Expiration=1,IF($A908&lt;VLOOKUP(V$5,NFI,5,0),1,0)*Table_NFI[[#This Row],[Shelter Tool kit]],Table_NFI[Shelter Tool kit])</f>
        <v>0</v>
      </c>
      <c r="AP908" s="331">
        <f>IF(NFI_Expiration=1,IF($A908&lt;VLOOKUP(V$5,NFI,5,0),1,0)*Table_NFI[[#This Row],[Tent]],Table_NFI[Tent])</f>
        <v>0</v>
      </c>
      <c r="AQ908" s="467" t="str">
        <f>IFERROR(VLOOKUP(Table_NFI[[#This Row],[Camp Name]],CL,2,0),"")</f>
        <v>MMR001CMP020</v>
      </c>
      <c r="AR908" s="835">
        <f ca="1">IF(Table_NFI[[#This Row],[Pcode]]="","",IF(OFFSET(CampList[Opening Date],MATCH(Table_NFI[[#This Row],[Pcode]],CampList[CP_Pcode],0)-1,0,1,1)&gt;=NFI_Monitor_Date,1,0))</f>
        <v>0</v>
      </c>
      <c r="AS908" s="467" t="str">
        <f>IFERROR(VLOOKUP(Table_NFI[[#This Row],[Camp Name]],CL,3,0),"")</f>
        <v>Open</v>
      </c>
      <c r="AT908" s="294" t="str">
        <f ca="1">IF(Table_NFI[[#This Row],[Pcode]]="","",OFFSET(CampList[Priority],MATCH(Table_NFI[[#This Row],[Pcode]],CampList[CP_Pcode],0)-1,0,1,1))</f>
        <v>P4</v>
      </c>
      <c r="AU908" s="293">
        <f>IFERROR(Table_NFI[[#This Row],[Kitchen Set]]/VLOOKUP(Table_NFI[[#This Row],[Camp Name]],CL,4,0),"")</f>
        <v>2.4499595756670014E-5</v>
      </c>
      <c r="AV908" s="461" t="s">
        <v>1092</v>
      </c>
      <c r="AW908" s="463"/>
    </row>
    <row r="909" spans="1:49" s="464" customFormat="1" ht="14.45" customHeight="1" x14ac:dyDescent="0.25">
      <c r="A909" s="297">
        <f t="shared" si="14"/>
        <v>53.533333333333331</v>
      </c>
      <c r="B909" s="460">
        <v>41130</v>
      </c>
      <c r="C909" s="461" t="s">
        <v>452</v>
      </c>
      <c r="D909" s="461" t="s">
        <v>452</v>
      </c>
      <c r="E909" s="461" t="s">
        <v>380</v>
      </c>
      <c r="F909" s="290" t="s">
        <v>237</v>
      </c>
      <c r="G909" s="290" t="s">
        <v>265</v>
      </c>
      <c r="H909" s="291"/>
      <c r="I909" s="291"/>
      <c r="J909" s="291"/>
      <c r="K909" s="291">
        <v>10</v>
      </c>
      <c r="L909" s="292">
        <v>5</v>
      </c>
      <c r="M909" s="292">
        <v>10</v>
      </c>
      <c r="N909" s="292">
        <v>5</v>
      </c>
      <c r="O909" s="292">
        <v>5</v>
      </c>
      <c r="P909" s="294">
        <v>5</v>
      </c>
      <c r="Q909" s="294">
        <v>5</v>
      </c>
      <c r="R909" s="294"/>
      <c r="S909" s="294"/>
      <c r="T909" s="294"/>
      <c r="U909" s="294"/>
      <c r="V909" s="431"/>
      <c r="W909" s="294"/>
      <c r="X909" s="294"/>
      <c r="Y909" s="294">
        <f>IF(NFI_Expiration=1,IF($A909&lt;VLOOKUP(H$5,NFI,5,0),1,0)*Table_NFI[[#This Row],[Hygiene Kit]],Table_NFI[Hygiene Kit])</f>
        <v>0</v>
      </c>
      <c r="Z909" s="294">
        <f>IF(NFI_Expiration=1,IF($A909&lt;VLOOKUP(I$5,NFI,5,0),1,0)*Table_NFI[[#This Row],[NFI Core Kit]],Table_NFI[NFI Core Kit])</f>
        <v>0</v>
      </c>
      <c r="AA909" s="294">
        <f>IF(NFI_Expiration=1,IF($A909&lt;VLOOKUP(J$5,NFI,5,0),1,0)*Table_NFI[[#This Row],[Sanitary Kit]],Table_NFI[Sanitary Kit])</f>
        <v>0</v>
      </c>
      <c r="AB909" s="294">
        <f>IF(NFI_Expiration=1,IF($A909&lt;VLOOKUP(K$5,NFI,5,0),1,0)*Table_NFI[[#This Row],[Mosquito net]],Table_NFI[Mosquito net])</f>
        <v>0</v>
      </c>
      <c r="AC909" s="294">
        <f>IF(NFI_Expiration=1,IF($A909&lt;VLOOKUP(L$5,NFI,5,0),1,0)*Table_NFI[[#This Row],[Tarpaulin]],Table_NFI[[#This Row],[Tarpaulin]])</f>
        <v>0</v>
      </c>
      <c r="AD909" s="294">
        <f>IF(NFI_Expiration=1,IF($A909&lt;VLOOKUP(M$5,NFI,5,0),1,0)*Table_NFI[[#This Row],[Blanket]],Table_NFI[[#This Row],[Blanket]])</f>
        <v>0</v>
      </c>
      <c r="AE909" s="294">
        <f>IF(NFI_Expiration=1,IF($A909&lt;VLOOKUP(N$5,NFI,5,0),1,0)*Table_NFI[[#This Row],[Kitchen Set]],Table_NFI[Kitchen Set])</f>
        <v>0</v>
      </c>
      <c r="AF909" s="294">
        <f>IF(NFI_Expiration=1,IF($A909&lt;VLOOKUP(O$5,NFI,5,0),1,0)*Table_NFI[[#This Row],[Clothes Kit]],Table_NFI[Clothes Kit])</f>
        <v>0</v>
      </c>
      <c r="AG909" s="294">
        <f>IF(NFI_Expiration=1,IF($A909&lt;VLOOKUP(P$5,NFI,5,0),1,0)*Table_NFI[[#This Row],[Plastic Bucket]],Table_NFI[Plastic Bucket])</f>
        <v>0</v>
      </c>
      <c r="AH909" s="294">
        <f>IF(NFI_Expiration=1,IF($A909&lt;VLOOKUP(Q$5,NFI,5,0),1,0)*Table_NFI[[#This Row],[Plastic Mat]],Table_NFI[Plastic Mat])*IF(Table_NFI[[#This Row],[Distribution Date]]&gt;"2014-04-01",1,2.5)</f>
        <v>0</v>
      </c>
      <c r="AI909" s="294">
        <f>IF(NFI_Expiration=1,IF($A909&lt;VLOOKUP(R$5,NFI,5,0),1,0)*Table_NFI[[#This Row],[Winter Clothes Adult]],Table_NFI[Winter Clothes Adult])</f>
        <v>0</v>
      </c>
      <c r="AJ909" s="294">
        <f>IF(NFI_Expiration=1,IF($A909&lt;VLOOKUP(S$5,NFI,5,0),1,0)*Table_NFI[[#This Row],[Winter Clothes Children]],Table_NFI[Winter Clothes Children])</f>
        <v>0</v>
      </c>
      <c r="AK909" s="294">
        <f>IF(NFI_Expiration=1,IF($A909&lt;VLOOKUP(T$5,NFI,5,0),1,0)*Table_NFI[[#This Row],[Winter Items Other]],Table_NFI[Winter Items Other])</f>
        <v>0</v>
      </c>
      <c r="AL909" s="294">
        <f>IF(NFI_Expiration=1,IF($A909&lt;VLOOKUP(M$5,NFI,5,0),1,0)*Table_NFI[[#This Row],[Winter Blanket]],Table_NFI[[#This Row],[Winter Blanket]])</f>
        <v>0</v>
      </c>
      <c r="AM909" s="294">
        <f>IF(Table_NFI[[#This Row],[Winter Clothes Adult]]+Table_NFI[[#This Row],[Winter Clothes Children]]+Table_NFI[[#This Row],[Winter Items Other]]+Table_NFI[[#This Row],[Winter Blanket]]&gt;0,1,0)</f>
        <v>0</v>
      </c>
      <c r="AN909" s="331">
        <f>IF(NFI_Expiration=1,IF($A909&lt;VLOOKUP(V$5,NFI,5,0),1,0)*Table_NFI[[#This Row],[Jerry Can]],Table_NFI[Jerry Can])</f>
        <v>0</v>
      </c>
      <c r="AO909" s="331">
        <f>IF(NFI_Expiration=1,IF($A909&lt;VLOOKUP(V$5,NFI,5,0),1,0)*Table_NFI[[#This Row],[Shelter Tool kit]],Table_NFI[Shelter Tool kit])</f>
        <v>0</v>
      </c>
      <c r="AP909" s="331">
        <f>IF(NFI_Expiration=1,IF($A909&lt;VLOOKUP(V$5,NFI,5,0),1,0)*Table_NFI[[#This Row],[Tent]],Table_NFI[Tent])</f>
        <v>0</v>
      </c>
      <c r="AQ909" s="467" t="str">
        <f>IFERROR(VLOOKUP(Table_NFI[[#This Row],[Camp Name]],CL,2,0),"")</f>
        <v>MMR001CMP021</v>
      </c>
      <c r="AR909" s="835">
        <f ca="1">IF(Table_NFI[[#This Row],[Pcode]]="","",IF(OFFSET(CampList[Opening Date],MATCH(Table_NFI[[#This Row],[Pcode]],CampList[CP_Pcode],0)-1,0,1,1)&gt;=NFI_Monitor_Date,1,0))</f>
        <v>0</v>
      </c>
      <c r="AS909" s="467" t="str">
        <f>IFERROR(VLOOKUP(Table_NFI[[#This Row],[Camp Name]],CL,3,0),"")</f>
        <v>Open</v>
      </c>
      <c r="AT909" s="294" t="str">
        <f ca="1">IF(Table_NFI[[#This Row],[Pcode]]="","",OFFSET(CampList[Priority],MATCH(Table_NFI[[#This Row],[Pcode]],CampList[CP_Pcode],0)-1,0,1,1))</f>
        <v>P4</v>
      </c>
      <c r="AU909" s="293">
        <f>IFERROR(Table_NFI[[#This Row],[Kitchen Set]]/VLOOKUP(Table_NFI[[#This Row],[Camp Name]],CL,4,0),"")</f>
        <v>1.2249797878335008E-4</v>
      </c>
      <c r="AV909" s="461" t="s">
        <v>1092</v>
      </c>
      <c r="AW909" s="463"/>
    </row>
    <row r="910" spans="1:49" ht="14.45" customHeight="1" x14ac:dyDescent="0.25">
      <c r="A910" s="297">
        <f t="shared" si="14"/>
        <v>53.533333333333331</v>
      </c>
      <c r="B910" s="460">
        <v>41130</v>
      </c>
      <c r="C910" s="461" t="s">
        <v>452</v>
      </c>
      <c r="D910" s="462" t="s">
        <v>452</v>
      </c>
      <c r="E910" s="461" t="s">
        <v>380</v>
      </c>
      <c r="F910" s="290" t="s">
        <v>237</v>
      </c>
      <c r="G910" s="290" t="s">
        <v>271</v>
      </c>
      <c r="H910" s="291"/>
      <c r="I910" s="291"/>
      <c r="J910" s="291"/>
      <c r="K910" s="291">
        <v>42</v>
      </c>
      <c r="L910" s="292">
        <v>20</v>
      </c>
      <c r="M910" s="292">
        <v>42</v>
      </c>
      <c r="N910" s="292">
        <v>20</v>
      </c>
      <c r="O910" s="292">
        <v>20</v>
      </c>
      <c r="P910" s="294">
        <v>20</v>
      </c>
      <c r="Q910" s="294">
        <v>20</v>
      </c>
      <c r="R910" s="294"/>
      <c r="S910" s="294"/>
      <c r="T910" s="294"/>
      <c r="U910" s="294"/>
      <c r="V910" s="431"/>
      <c r="W910" s="294"/>
      <c r="X910" s="294"/>
      <c r="Y910" s="294">
        <f>IF(NFI_Expiration=1,IF($A910&lt;VLOOKUP(H$5,NFI,5,0),1,0)*Table_NFI[[#This Row],[Hygiene Kit]],Table_NFI[Hygiene Kit])</f>
        <v>0</v>
      </c>
      <c r="Z910" s="294">
        <f>IF(NFI_Expiration=1,IF($A910&lt;VLOOKUP(I$5,NFI,5,0),1,0)*Table_NFI[[#This Row],[NFI Core Kit]],Table_NFI[NFI Core Kit])</f>
        <v>0</v>
      </c>
      <c r="AA910" s="294">
        <f>IF(NFI_Expiration=1,IF($A910&lt;VLOOKUP(J$5,NFI,5,0),1,0)*Table_NFI[[#This Row],[Sanitary Kit]],Table_NFI[Sanitary Kit])</f>
        <v>0</v>
      </c>
      <c r="AB910" s="294">
        <f>IF(NFI_Expiration=1,IF($A910&lt;VLOOKUP(K$5,NFI,5,0),1,0)*Table_NFI[[#This Row],[Mosquito net]],Table_NFI[Mosquito net])</f>
        <v>0</v>
      </c>
      <c r="AC910" s="294">
        <f>IF(NFI_Expiration=1,IF($A910&lt;VLOOKUP(L$5,NFI,5,0),1,0)*Table_NFI[[#This Row],[Tarpaulin]],Table_NFI[[#This Row],[Tarpaulin]])</f>
        <v>0</v>
      </c>
      <c r="AD910" s="294">
        <f>IF(NFI_Expiration=1,IF($A910&lt;VLOOKUP(M$5,NFI,5,0),1,0)*Table_NFI[[#This Row],[Blanket]],Table_NFI[[#This Row],[Blanket]])</f>
        <v>0</v>
      </c>
      <c r="AE910" s="294">
        <f>IF(NFI_Expiration=1,IF($A910&lt;VLOOKUP(N$5,NFI,5,0),1,0)*Table_NFI[[#This Row],[Kitchen Set]],Table_NFI[Kitchen Set])</f>
        <v>0</v>
      </c>
      <c r="AF910" s="294">
        <f>IF(NFI_Expiration=1,IF($A910&lt;VLOOKUP(O$5,NFI,5,0),1,0)*Table_NFI[[#This Row],[Clothes Kit]],Table_NFI[Clothes Kit])</f>
        <v>0</v>
      </c>
      <c r="AG910" s="294">
        <f>IF(NFI_Expiration=1,IF($A910&lt;VLOOKUP(P$5,NFI,5,0),1,0)*Table_NFI[[#This Row],[Plastic Bucket]],Table_NFI[Plastic Bucket])</f>
        <v>0</v>
      </c>
      <c r="AH910" s="294">
        <f>IF(NFI_Expiration=1,IF($A910&lt;VLOOKUP(Q$5,NFI,5,0),1,0)*Table_NFI[[#This Row],[Plastic Mat]],Table_NFI[Plastic Mat])*IF(Table_NFI[[#This Row],[Distribution Date]]&gt;"2014-04-01",1,2.5)</f>
        <v>0</v>
      </c>
      <c r="AI910" s="294">
        <f>IF(NFI_Expiration=1,IF($A910&lt;VLOOKUP(R$5,NFI,5,0),1,0)*Table_NFI[[#This Row],[Winter Clothes Adult]],Table_NFI[Winter Clothes Adult])</f>
        <v>0</v>
      </c>
      <c r="AJ910" s="294">
        <f>IF(NFI_Expiration=1,IF($A910&lt;VLOOKUP(S$5,NFI,5,0),1,0)*Table_NFI[[#This Row],[Winter Clothes Children]],Table_NFI[Winter Clothes Children])</f>
        <v>0</v>
      </c>
      <c r="AK910" s="294">
        <f>IF(NFI_Expiration=1,IF($A910&lt;VLOOKUP(T$5,NFI,5,0),1,0)*Table_NFI[[#This Row],[Winter Items Other]],Table_NFI[Winter Items Other])</f>
        <v>0</v>
      </c>
      <c r="AL910" s="294">
        <f>IF(NFI_Expiration=1,IF($A910&lt;VLOOKUP(M$5,NFI,5,0),1,0)*Table_NFI[[#This Row],[Winter Blanket]],Table_NFI[[#This Row],[Winter Blanket]])</f>
        <v>0</v>
      </c>
      <c r="AM910" s="294">
        <f>IF(Table_NFI[[#This Row],[Winter Clothes Adult]]+Table_NFI[[#This Row],[Winter Clothes Children]]+Table_NFI[[#This Row],[Winter Items Other]]+Table_NFI[[#This Row],[Winter Blanket]]&gt;0,1,0)</f>
        <v>0</v>
      </c>
      <c r="AN910" s="331">
        <f>IF(NFI_Expiration=1,IF($A910&lt;VLOOKUP(V$5,NFI,5,0),1,0)*Table_NFI[[#This Row],[Jerry Can]],Table_NFI[Jerry Can])</f>
        <v>0</v>
      </c>
      <c r="AO910" s="331">
        <f>IF(NFI_Expiration=1,IF($A910&lt;VLOOKUP(V$5,NFI,5,0),1,0)*Table_NFI[[#This Row],[Shelter Tool kit]],Table_NFI[Shelter Tool kit])</f>
        <v>0</v>
      </c>
      <c r="AP910" s="331">
        <f>IF(NFI_Expiration=1,IF($A910&lt;VLOOKUP(V$5,NFI,5,0),1,0)*Table_NFI[[#This Row],[Tent]],Table_NFI[Tent])</f>
        <v>0</v>
      </c>
      <c r="AQ910" s="467" t="str">
        <f>IFERROR(VLOOKUP(Table_NFI[[#This Row],[Camp Name]],CL,2,0),"")</f>
        <v>MMR001CMP024</v>
      </c>
      <c r="AR910" s="835">
        <f ca="1">IF(Table_NFI[[#This Row],[Pcode]]="","",IF(OFFSET(CampList[Opening Date],MATCH(Table_NFI[[#This Row],[Pcode]],CampList[CP_Pcode],0)-1,0,1,1)&gt;=NFI_Monitor_Date,1,0))</f>
        <v>0</v>
      </c>
      <c r="AS910" s="467" t="str">
        <f>IFERROR(VLOOKUP(Table_NFI[[#This Row],[Camp Name]],CL,3,0),"")</f>
        <v>Open</v>
      </c>
      <c r="AT910" s="294" t="str">
        <f ca="1">IF(Table_NFI[[#This Row],[Pcode]]="","",OFFSET(CampList[Priority],MATCH(Table_NFI[[#This Row],[Pcode]],CampList[CP_Pcode],0)-1,0,1,1))</f>
        <v>P4</v>
      </c>
      <c r="AU910" s="293">
        <f>IFERROR(Table_NFI[[#This Row],[Kitchen Set]]/VLOOKUP(Table_NFI[[#This Row],[Camp Name]],CL,4,0),"")</f>
        <v>4.8888997531105626E-4</v>
      </c>
      <c r="AV910" s="461" t="s">
        <v>1092</v>
      </c>
      <c r="AW910" s="463"/>
    </row>
    <row r="911" spans="1:49" ht="14.45" customHeight="1" x14ac:dyDescent="0.25">
      <c r="A911" s="297">
        <f t="shared" si="14"/>
        <v>53.533333333333331</v>
      </c>
      <c r="B911" s="460">
        <v>41130</v>
      </c>
      <c r="C911" s="461" t="s">
        <v>452</v>
      </c>
      <c r="D911" s="461" t="s">
        <v>452</v>
      </c>
      <c r="E911" s="461" t="s">
        <v>380</v>
      </c>
      <c r="F911" s="290" t="s">
        <v>237</v>
      </c>
      <c r="G911" s="290" t="s">
        <v>283</v>
      </c>
      <c r="H911" s="291"/>
      <c r="I911" s="291"/>
      <c r="J911" s="291"/>
      <c r="K911" s="291">
        <v>10</v>
      </c>
      <c r="L911" s="292">
        <v>5</v>
      </c>
      <c r="M911" s="292">
        <v>10</v>
      </c>
      <c r="N911" s="292">
        <v>5</v>
      </c>
      <c r="O911" s="292">
        <v>5</v>
      </c>
      <c r="P911" s="294">
        <v>5</v>
      </c>
      <c r="Q911" s="294">
        <v>5</v>
      </c>
      <c r="R911" s="294"/>
      <c r="S911" s="294"/>
      <c r="T911" s="294"/>
      <c r="U911" s="294"/>
      <c r="V911" s="431"/>
      <c r="W911" s="294"/>
      <c r="X911" s="294"/>
      <c r="Y911" s="294">
        <f>IF(NFI_Expiration=1,IF($A911&lt;VLOOKUP(H$5,NFI,5,0),1,0)*Table_NFI[[#This Row],[Hygiene Kit]],Table_NFI[Hygiene Kit])</f>
        <v>0</v>
      </c>
      <c r="Z911" s="294">
        <f>IF(NFI_Expiration=1,IF($A911&lt;VLOOKUP(I$5,NFI,5,0),1,0)*Table_NFI[[#This Row],[NFI Core Kit]],Table_NFI[NFI Core Kit])</f>
        <v>0</v>
      </c>
      <c r="AA911" s="294">
        <f>IF(NFI_Expiration=1,IF($A911&lt;VLOOKUP(J$5,NFI,5,0),1,0)*Table_NFI[[#This Row],[Sanitary Kit]],Table_NFI[Sanitary Kit])</f>
        <v>0</v>
      </c>
      <c r="AB911" s="294">
        <f>IF(NFI_Expiration=1,IF($A911&lt;VLOOKUP(K$5,NFI,5,0),1,0)*Table_NFI[[#This Row],[Mosquito net]],Table_NFI[Mosquito net])</f>
        <v>0</v>
      </c>
      <c r="AC911" s="294">
        <f>IF(NFI_Expiration=1,IF($A911&lt;VLOOKUP(L$5,NFI,5,0),1,0)*Table_NFI[[#This Row],[Tarpaulin]],Table_NFI[[#This Row],[Tarpaulin]])</f>
        <v>0</v>
      </c>
      <c r="AD911" s="294">
        <f>IF(NFI_Expiration=1,IF($A911&lt;VLOOKUP(M$5,NFI,5,0),1,0)*Table_NFI[[#This Row],[Blanket]],Table_NFI[[#This Row],[Blanket]])</f>
        <v>0</v>
      </c>
      <c r="AE911" s="294">
        <f>IF(NFI_Expiration=1,IF($A911&lt;VLOOKUP(N$5,NFI,5,0),1,0)*Table_NFI[[#This Row],[Kitchen Set]],Table_NFI[Kitchen Set])</f>
        <v>0</v>
      </c>
      <c r="AF911" s="294">
        <f>IF(NFI_Expiration=1,IF($A911&lt;VLOOKUP(O$5,NFI,5,0),1,0)*Table_NFI[[#This Row],[Clothes Kit]],Table_NFI[Clothes Kit])</f>
        <v>0</v>
      </c>
      <c r="AG911" s="294">
        <f>IF(NFI_Expiration=1,IF($A911&lt;VLOOKUP(P$5,NFI,5,0),1,0)*Table_NFI[[#This Row],[Plastic Bucket]],Table_NFI[Plastic Bucket])</f>
        <v>0</v>
      </c>
      <c r="AH911" s="294">
        <f>IF(NFI_Expiration=1,IF($A911&lt;VLOOKUP(Q$5,NFI,5,0),1,0)*Table_NFI[[#This Row],[Plastic Mat]],Table_NFI[Plastic Mat])*IF(Table_NFI[[#This Row],[Distribution Date]]&gt;"2014-04-01",1,2.5)</f>
        <v>0</v>
      </c>
      <c r="AI911" s="294">
        <f>IF(NFI_Expiration=1,IF($A911&lt;VLOOKUP(R$5,NFI,5,0),1,0)*Table_NFI[[#This Row],[Winter Clothes Adult]],Table_NFI[Winter Clothes Adult])</f>
        <v>0</v>
      </c>
      <c r="AJ911" s="294">
        <f>IF(NFI_Expiration=1,IF($A911&lt;VLOOKUP(S$5,NFI,5,0),1,0)*Table_NFI[[#This Row],[Winter Clothes Children]],Table_NFI[Winter Clothes Children])</f>
        <v>0</v>
      </c>
      <c r="AK911" s="294">
        <f>IF(NFI_Expiration=1,IF($A911&lt;VLOOKUP(T$5,NFI,5,0),1,0)*Table_NFI[[#This Row],[Winter Items Other]],Table_NFI[Winter Items Other])</f>
        <v>0</v>
      </c>
      <c r="AL911" s="294">
        <f>IF(NFI_Expiration=1,IF($A911&lt;VLOOKUP(M$5,NFI,5,0),1,0)*Table_NFI[[#This Row],[Winter Blanket]],Table_NFI[[#This Row],[Winter Blanket]])</f>
        <v>0</v>
      </c>
      <c r="AM911" s="294">
        <f>IF(Table_NFI[[#This Row],[Winter Clothes Adult]]+Table_NFI[[#This Row],[Winter Clothes Children]]+Table_NFI[[#This Row],[Winter Items Other]]+Table_NFI[[#This Row],[Winter Blanket]]&gt;0,1,0)</f>
        <v>0</v>
      </c>
      <c r="AN911" s="331">
        <f>IF(NFI_Expiration=1,IF($A911&lt;VLOOKUP(V$5,NFI,5,0),1,0)*Table_NFI[[#This Row],[Jerry Can]],Table_NFI[Jerry Can])</f>
        <v>0</v>
      </c>
      <c r="AO911" s="331">
        <f>IF(NFI_Expiration=1,IF($A911&lt;VLOOKUP(V$5,NFI,5,0),1,0)*Table_NFI[[#This Row],[Shelter Tool kit]],Table_NFI[Shelter Tool kit])</f>
        <v>0</v>
      </c>
      <c r="AP911" s="331">
        <f>IF(NFI_Expiration=1,IF($A911&lt;VLOOKUP(V$5,NFI,5,0),1,0)*Table_NFI[[#This Row],[Tent]],Table_NFI[Tent])</f>
        <v>0</v>
      </c>
      <c r="AQ911" s="467" t="str">
        <f>IFERROR(VLOOKUP(Table_NFI[[#This Row],[Camp Name]],CL,2,0),"")</f>
        <v>MMR001CMP022</v>
      </c>
      <c r="AR911" s="835">
        <f ca="1">IF(Table_NFI[[#This Row],[Pcode]]="","",IF(OFFSET(CampList[Opening Date],MATCH(Table_NFI[[#This Row],[Pcode]],CampList[CP_Pcode],0)-1,0,1,1)&gt;=NFI_Monitor_Date,1,0))</f>
        <v>0</v>
      </c>
      <c r="AS911" s="467" t="str">
        <f>IFERROR(VLOOKUP(Table_NFI[[#This Row],[Camp Name]],CL,3,0),"")</f>
        <v>Open</v>
      </c>
      <c r="AT911" s="294" t="str">
        <f ca="1">IF(Table_NFI[[#This Row],[Pcode]]="","",OFFSET(CampList[Priority],MATCH(Table_NFI[[#This Row],[Pcode]],CampList[CP_Pcode],0)-1,0,1,1))</f>
        <v>P4</v>
      </c>
      <c r="AU911" s="293">
        <f>IFERROR(Table_NFI[[#This Row],[Kitchen Set]]/VLOOKUP(Table_NFI[[#This Row],[Camp Name]],CL,4,0),"")</f>
        <v>1.2195121951219512E-4</v>
      </c>
      <c r="AV911" s="461" t="s">
        <v>1092</v>
      </c>
      <c r="AW911" s="463"/>
    </row>
    <row r="912" spans="1:49" ht="14.45" customHeight="1" x14ac:dyDescent="0.25">
      <c r="A912" s="297">
        <f t="shared" si="14"/>
        <v>53.6</v>
      </c>
      <c r="B912" s="460">
        <v>41128</v>
      </c>
      <c r="C912" s="461" t="s">
        <v>452</v>
      </c>
      <c r="D912" s="462" t="s">
        <v>573</v>
      </c>
      <c r="E912" s="461" t="s">
        <v>380</v>
      </c>
      <c r="F912" s="290" t="s">
        <v>151</v>
      </c>
      <c r="G912" s="290" t="s">
        <v>152</v>
      </c>
      <c r="H912" s="291"/>
      <c r="I912" s="291"/>
      <c r="J912" s="291"/>
      <c r="K912" s="291">
        <v>0</v>
      </c>
      <c r="L912" s="292">
        <v>73</v>
      </c>
      <c r="M912" s="292">
        <v>0</v>
      </c>
      <c r="N912" s="292">
        <v>73</v>
      </c>
      <c r="O912" s="292">
        <v>73</v>
      </c>
      <c r="P912" s="294">
        <v>73</v>
      </c>
      <c r="Q912" s="294">
        <v>73</v>
      </c>
      <c r="R912" s="294"/>
      <c r="S912" s="294"/>
      <c r="T912" s="294"/>
      <c r="U912" s="294"/>
      <c r="V912" s="431"/>
      <c r="W912" s="294"/>
      <c r="X912" s="294"/>
      <c r="Y912" s="294">
        <f>IF(NFI_Expiration=1,IF($A912&lt;VLOOKUP(H$5,NFI,5,0),1,0)*Table_NFI[[#This Row],[Hygiene Kit]],Table_NFI[Hygiene Kit])</f>
        <v>0</v>
      </c>
      <c r="Z912" s="294">
        <f>IF(NFI_Expiration=1,IF($A912&lt;VLOOKUP(I$5,NFI,5,0),1,0)*Table_NFI[[#This Row],[NFI Core Kit]],Table_NFI[NFI Core Kit])</f>
        <v>0</v>
      </c>
      <c r="AA912" s="294">
        <f>IF(NFI_Expiration=1,IF($A912&lt;VLOOKUP(J$5,NFI,5,0),1,0)*Table_NFI[[#This Row],[Sanitary Kit]],Table_NFI[Sanitary Kit])</f>
        <v>0</v>
      </c>
      <c r="AB912" s="294">
        <f>IF(NFI_Expiration=1,IF($A912&lt;VLOOKUP(K$5,NFI,5,0),1,0)*Table_NFI[[#This Row],[Mosquito net]],Table_NFI[Mosquito net])</f>
        <v>0</v>
      </c>
      <c r="AC912" s="294">
        <f>IF(NFI_Expiration=1,IF($A912&lt;VLOOKUP(L$5,NFI,5,0),1,0)*Table_NFI[[#This Row],[Tarpaulin]],Table_NFI[[#This Row],[Tarpaulin]])</f>
        <v>0</v>
      </c>
      <c r="AD912" s="294">
        <f>IF(NFI_Expiration=1,IF($A912&lt;VLOOKUP(M$5,NFI,5,0),1,0)*Table_NFI[[#This Row],[Blanket]],Table_NFI[[#This Row],[Blanket]])</f>
        <v>0</v>
      </c>
      <c r="AE912" s="294">
        <f>IF(NFI_Expiration=1,IF($A912&lt;VLOOKUP(N$5,NFI,5,0),1,0)*Table_NFI[[#This Row],[Kitchen Set]],Table_NFI[Kitchen Set])</f>
        <v>0</v>
      </c>
      <c r="AF912" s="294">
        <f>IF(NFI_Expiration=1,IF($A912&lt;VLOOKUP(O$5,NFI,5,0),1,0)*Table_NFI[[#This Row],[Clothes Kit]],Table_NFI[Clothes Kit])</f>
        <v>0</v>
      </c>
      <c r="AG912" s="294">
        <f>IF(NFI_Expiration=1,IF($A912&lt;VLOOKUP(P$5,NFI,5,0),1,0)*Table_NFI[[#This Row],[Plastic Bucket]],Table_NFI[Plastic Bucket])</f>
        <v>0</v>
      </c>
      <c r="AH912" s="294">
        <f>IF(NFI_Expiration=1,IF($A912&lt;VLOOKUP(Q$5,NFI,5,0),1,0)*Table_NFI[[#This Row],[Plastic Mat]],Table_NFI[Plastic Mat])*IF(Table_NFI[[#This Row],[Distribution Date]]&gt;"2014-04-01",1,2.5)</f>
        <v>0</v>
      </c>
      <c r="AI912" s="294">
        <f>IF(NFI_Expiration=1,IF($A912&lt;VLOOKUP(R$5,NFI,5,0),1,0)*Table_NFI[[#This Row],[Winter Clothes Adult]],Table_NFI[Winter Clothes Adult])</f>
        <v>0</v>
      </c>
      <c r="AJ912" s="294">
        <f>IF(NFI_Expiration=1,IF($A912&lt;VLOOKUP(S$5,NFI,5,0),1,0)*Table_NFI[[#This Row],[Winter Clothes Children]],Table_NFI[Winter Clothes Children])</f>
        <v>0</v>
      </c>
      <c r="AK912" s="294">
        <f>IF(NFI_Expiration=1,IF($A912&lt;VLOOKUP(T$5,NFI,5,0),1,0)*Table_NFI[[#This Row],[Winter Items Other]],Table_NFI[Winter Items Other])</f>
        <v>0</v>
      </c>
      <c r="AL912" s="294">
        <f>IF(NFI_Expiration=1,IF($A912&lt;VLOOKUP(M$5,NFI,5,0),1,0)*Table_NFI[[#This Row],[Winter Blanket]],Table_NFI[[#This Row],[Winter Blanket]])</f>
        <v>0</v>
      </c>
      <c r="AM912" s="294">
        <f>IF(Table_NFI[[#This Row],[Winter Clothes Adult]]+Table_NFI[[#This Row],[Winter Clothes Children]]+Table_NFI[[#This Row],[Winter Items Other]]+Table_NFI[[#This Row],[Winter Blanket]]&gt;0,1,0)</f>
        <v>0</v>
      </c>
      <c r="AN912" s="331">
        <f>IF(NFI_Expiration=1,IF($A912&lt;VLOOKUP(V$5,NFI,5,0),1,0)*Table_NFI[[#This Row],[Jerry Can]],Table_NFI[Jerry Can])</f>
        <v>0</v>
      </c>
      <c r="AO912" s="331">
        <f>IF(NFI_Expiration=1,IF($A912&lt;VLOOKUP(V$5,NFI,5,0),1,0)*Table_NFI[[#This Row],[Shelter Tool kit]],Table_NFI[Shelter Tool kit])</f>
        <v>0</v>
      </c>
      <c r="AP912" s="331">
        <f>IF(NFI_Expiration=1,IF($A912&lt;VLOOKUP(V$5,NFI,5,0),1,0)*Table_NFI[[#This Row],[Tent]],Table_NFI[Tent])</f>
        <v>0</v>
      </c>
      <c r="AQ912" s="467" t="str">
        <f>IFERROR(VLOOKUP(Table_NFI[[#This Row],[Camp Name]],CL,2,0),"")</f>
        <v>MMR001CMP066</v>
      </c>
      <c r="AR912" s="835">
        <f ca="1">IF(Table_NFI[[#This Row],[Pcode]]="","",IF(OFFSET(CampList[Opening Date],MATCH(Table_NFI[[#This Row],[Pcode]],CampList[CP_Pcode],0)-1,0,1,1)&gt;=NFI_Monitor_Date,1,0))</f>
        <v>0</v>
      </c>
      <c r="AS912" s="467" t="str">
        <f>IFERROR(VLOOKUP(Table_NFI[[#This Row],[Camp Name]],CL,3,0),"")</f>
        <v>Open</v>
      </c>
      <c r="AT912" s="294" t="str">
        <f ca="1">IF(Table_NFI[[#This Row],[Pcode]]="","",OFFSET(CampList[Priority],MATCH(Table_NFI[[#This Row],[Pcode]],CampList[CP_Pcode],0)-1,0,1,1))</f>
        <v>P4</v>
      </c>
      <c r="AU912" s="293">
        <f>IFERROR(Table_NFI[[#This Row],[Kitchen Set]]/VLOOKUP(Table_NFI[[#This Row],[Camp Name]],CL,4,0),"")</f>
        <v>1.7556939801342023E-3</v>
      </c>
      <c r="AV912" s="461" t="s">
        <v>1092</v>
      </c>
      <c r="AW912" s="463"/>
    </row>
    <row r="913" spans="1:49" ht="14.45" customHeight="1" x14ac:dyDescent="0.25">
      <c r="A913" s="297">
        <f t="shared" si="14"/>
        <v>53.966666666666669</v>
      </c>
      <c r="B913" s="460">
        <v>41117</v>
      </c>
      <c r="C913" s="461" t="s">
        <v>452</v>
      </c>
      <c r="D913" s="462" t="s">
        <v>452</v>
      </c>
      <c r="E913" s="461" t="s">
        <v>380</v>
      </c>
      <c r="F913" s="290" t="s">
        <v>173</v>
      </c>
      <c r="G913" s="290" t="s">
        <v>174</v>
      </c>
      <c r="H913" s="291"/>
      <c r="I913" s="291"/>
      <c r="J913" s="291"/>
      <c r="K913" s="291">
        <v>35</v>
      </c>
      <c r="L913" s="292">
        <v>14</v>
      </c>
      <c r="M913" s="292">
        <v>35</v>
      </c>
      <c r="N913" s="292">
        <v>14</v>
      </c>
      <c r="O913" s="292">
        <v>14</v>
      </c>
      <c r="P913" s="294">
        <v>14</v>
      </c>
      <c r="Q913" s="294">
        <v>14</v>
      </c>
      <c r="R913" s="294"/>
      <c r="S913" s="294"/>
      <c r="T913" s="294"/>
      <c r="U913" s="294"/>
      <c r="V913" s="431"/>
      <c r="W913" s="294"/>
      <c r="X913" s="294"/>
      <c r="Y913" s="294">
        <f>IF(NFI_Expiration=1,IF($A913&lt;VLOOKUP(H$5,NFI,5,0),1,0)*Table_NFI[[#This Row],[Hygiene Kit]],Table_NFI[Hygiene Kit])</f>
        <v>0</v>
      </c>
      <c r="Z913" s="294">
        <f>IF(NFI_Expiration=1,IF($A913&lt;VLOOKUP(I$5,NFI,5,0),1,0)*Table_NFI[[#This Row],[NFI Core Kit]],Table_NFI[NFI Core Kit])</f>
        <v>0</v>
      </c>
      <c r="AA913" s="294">
        <f>IF(NFI_Expiration=1,IF($A913&lt;VLOOKUP(J$5,NFI,5,0),1,0)*Table_NFI[[#This Row],[Sanitary Kit]],Table_NFI[Sanitary Kit])</f>
        <v>0</v>
      </c>
      <c r="AB913" s="294">
        <f>IF(NFI_Expiration=1,IF($A913&lt;VLOOKUP(K$5,NFI,5,0),1,0)*Table_NFI[[#This Row],[Mosquito net]],Table_NFI[Mosquito net])</f>
        <v>0</v>
      </c>
      <c r="AC913" s="294">
        <f>IF(NFI_Expiration=1,IF($A913&lt;VLOOKUP(L$5,NFI,5,0),1,0)*Table_NFI[[#This Row],[Tarpaulin]],Table_NFI[[#This Row],[Tarpaulin]])</f>
        <v>0</v>
      </c>
      <c r="AD913" s="294">
        <f>IF(NFI_Expiration=1,IF($A913&lt;VLOOKUP(M$5,NFI,5,0),1,0)*Table_NFI[[#This Row],[Blanket]],Table_NFI[[#This Row],[Blanket]])</f>
        <v>0</v>
      </c>
      <c r="AE913" s="294">
        <f>IF(NFI_Expiration=1,IF($A913&lt;VLOOKUP(N$5,NFI,5,0),1,0)*Table_NFI[[#This Row],[Kitchen Set]],Table_NFI[Kitchen Set])</f>
        <v>0</v>
      </c>
      <c r="AF913" s="294">
        <f>IF(NFI_Expiration=1,IF($A913&lt;VLOOKUP(O$5,NFI,5,0),1,0)*Table_NFI[[#This Row],[Clothes Kit]],Table_NFI[Clothes Kit])</f>
        <v>0</v>
      </c>
      <c r="AG913" s="294">
        <f>IF(NFI_Expiration=1,IF($A913&lt;VLOOKUP(P$5,NFI,5,0),1,0)*Table_NFI[[#This Row],[Plastic Bucket]],Table_NFI[Plastic Bucket])</f>
        <v>0</v>
      </c>
      <c r="AH913" s="294">
        <f>IF(NFI_Expiration=1,IF($A913&lt;VLOOKUP(Q$5,NFI,5,0),1,0)*Table_NFI[[#This Row],[Plastic Mat]],Table_NFI[Plastic Mat])*IF(Table_NFI[[#This Row],[Distribution Date]]&gt;"2014-04-01",1,2.5)</f>
        <v>0</v>
      </c>
      <c r="AI913" s="294">
        <f>IF(NFI_Expiration=1,IF($A913&lt;VLOOKUP(R$5,NFI,5,0),1,0)*Table_NFI[[#This Row],[Winter Clothes Adult]],Table_NFI[Winter Clothes Adult])</f>
        <v>0</v>
      </c>
      <c r="AJ913" s="294">
        <f>IF(NFI_Expiration=1,IF($A913&lt;VLOOKUP(S$5,NFI,5,0),1,0)*Table_NFI[[#This Row],[Winter Clothes Children]],Table_NFI[Winter Clothes Children])</f>
        <v>0</v>
      </c>
      <c r="AK913" s="294">
        <f>IF(NFI_Expiration=1,IF($A913&lt;VLOOKUP(T$5,NFI,5,0),1,0)*Table_NFI[[#This Row],[Winter Items Other]],Table_NFI[Winter Items Other])</f>
        <v>0</v>
      </c>
      <c r="AL913" s="294">
        <f>IF(NFI_Expiration=1,IF($A913&lt;VLOOKUP(M$5,NFI,5,0),1,0)*Table_NFI[[#This Row],[Winter Blanket]],Table_NFI[[#This Row],[Winter Blanket]])</f>
        <v>0</v>
      </c>
      <c r="AM913" s="294">
        <f>IF(Table_NFI[[#This Row],[Winter Clothes Adult]]+Table_NFI[[#This Row],[Winter Clothes Children]]+Table_NFI[[#This Row],[Winter Items Other]]+Table_NFI[[#This Row],[Winter Blanket]]&gt;0,1,0)</f>
        <v>0</v>
      </c>
      <c r="AN913" s="331">
        <f>IF(NFI_Expiration=1,IF($A913&lt;VLOOKUP(V$5,NFI,5,0),1,0)*Table_NFI[[#This Row],[Jerry Can]],Table_NFI[Jerry Can])</f>
        <v>0</v>
      </c>
      <c r="AO913" s="331">
        <f>IF(NFI_Expiration=1,IF($A913&lt;VLOOKUP(V$5,NFI,5,0),1,0)*Table_NFI[[#This Row],[Shelter Tool kit]],Table_NFI[Shelter Tool kit])</f>
        <v>0</v>
      </c>
      <c r="AP913" s="331">
        <f>IF(NFI_Expiration=1,IF($A913&lt;VLOOKUP(V$5,NFI,5,0),1,0)*Table_NFI[[#This Row],[Tent]],Table_NFI[Tent])</f>
        <v>0</v>
      </c>
      <c r="AQ913" s="467" t="str">
        <f>IFERROR(VLOOKUP(Table_NFI[[#This Row],[Camp Name]],CL,2,0),"")</f>
        <v>MMR001CMP078</v>
      </c>
      <c r="AR913" s="835">
        <f ca="1">IF(Table_NFI[[#This Row],[Pcode]]="","",IF(OFFSET(CampList[Opening Date],MATCH(Table_NFI[[#This Row],[Pcode]],CampList[CP_Pcode],0)-1,0,1,1)&gt;=NFI_Monitor_Date,1,0))</f>
        <v>0</v>
      </c>
      <c r="AS913" s="467" t="str">
        <f>IFERROR(VLOOKUP(Table_NFI[[#This Row],[Camp Name]],CL,3,0),"")</f>
        <v>Open</v>
      </c>
      <c r="AT913" s="294" t="str">
        <f ca="1">IF(Table_NFI[[#This Row],[Pcode]]="","",OFFSET(CampList[Priority],MATCH(Table_NFI[[#This Row],[Pcode]],CampList[CP_Pcode],0)-1,0,1,1))</f>
        <v>P4</v>
      </c>
      <c r="AU913" s="293">
        <f>IFERROR(Table_NFI[[#This Row],[Kitchen Set]]/VLOOKUP(Table_NFI[[#This Row],[Camp Name]],CL,4,0),"")</f>
        <v>3.4121374603948332E-4</v>
      </c>
      <c r="AV913" s="461" t="s">
        <v>1092</v>
      </c>
      <c r="AW913" s="463"/>
    </row>
    <row r="914" spans="1:49" x14ac:dyDescent="0.25">
      <c r="A914" s="297">
        <f t="shared" si="14"/>
        <v>53.966666666666669</v>
      </c>
      <c r="B914" s="460">
        <v>41117</v>
      </c>
      <c r="C914" s="461" t="s">
        <v>452</v>
      </c>
      <c r="D914" s="462" t="s">
        <v>452</v>
      </c>
      <c r="E914" s="461" t="s">
        <v>380</v>
      </c>
      <c r="F914" s="290" t="s">
        <v>180</v>
      </c>
      <c r="G914" s="290" t="s">
        <v>181</v>
      </c>
      <c r="H914" s="291"/>
      <c r="I914" s="291"/>
      <c r="J914" s="291"/>
      <c r="K914" s="291">
        <v>0</v>
      </c>
      <c r="L914" s="292">
        <v>8</v>
      </c>
      <c r="M914" s="292">
        <v>0</v>
      </c>
      <c r="N914" s="292">
        <v>8</v>
      </c>
      <c r="O914" s="292">
        <v>8</v>
      </c>
      <c r="P914" s="294">
        <v>8</v>
      </c>
      <c r="Q914" s="294">
        <v>8</v>
      </c>
      <c r="R914" s="294"/>
      <c r="S914" s="294"/>
      <c r="T914" s="294"/>
      <c r="U914" s="294"/>
      <c r="V914" s="431"/>
      <c r="W914" s="294"/>
      <c r="X914" s="294"/>
      <c r="Y914" s="294">
        <f>IF(NFI_Expiration=1,IF($A914&lt;VLOOKUP(H$5,NFI,5,0),1,0)*Table_NFI[[#This Row],[Hygiene Kit]],Table_NFI[Hygiene Kit])</f>
        <v>0</v>
      </c>
      <c r="Z914" s="294">
        <f>IF(NFI_Expiration=1,IF($A914&lt;VLOOKUP(I$5,NFI,5,0),1,0)*Table_NFI[[#This Row],[NFI Core Kit]],Table_NFI[NFI Core Kit])</f>
        <v>0</v>
      </c>
      <c r="AA914" s="294">
        <f>IF(NFI_Expiration=1,IF($A914&lt;VLOOKUP(J$5,NFI,5,0),1,0)*Table_NFI[[#This Row],[Sanitary Kit]],Table_NFI[Sanitary Kit])</f>
        <v>0</v>
      </c>
      <c r="AB914" s="294">
        <f>IF(NFI_Expiration=1,IF($A914&lt;VLOOKUP(K$5,NFI,5,0),1,0)*Table_NFI[[#This Row],[Mosquito net]],Table_NFI[Mosquito net])</f>
        <v>0</v>
      </c>
      <c r="AC914" s="294">
        <f>IF(NFI_Expiration=1,IF($A914&lt;VLOOKUP(L$5,NFI,5,0),1,0)*Table_NFI[[#This Row],[Tarpaulin]],Table_NFI[[#This Row],[Tarpaulin]])</f>
        <v>0</v>
      </c>
      <c r="AD914" s="294">
        <f>IF(NFI_Expiration=1,IF($A914&lt;VLOOKUP(M$5,NFI,5,0),1,0)*Table_NFI[[#This Row],[Blanket]],Table_NFI[[#This Row],[Blanket]])</f>
        <v>0</v>
      </c>
      <c r="AE914" s="294">
        <f>IF(NFI_Expiration=1,IF($A914&lt;VLOOKUP(N$5,NFI,5,0),1,0)*Table_NFI[[#This Row],[Kitchen Set]],Table_NFI[Kitchen Set])</f>
        <v>0</v>
      </c>
      <c r="AF914" s="294">
        <f>IF(NFI_Expiration=1,IF($A914&lt;VLOOKUP(O$5,NFI,5,0),1,0)*Table_NFI[[#This Row],[Clothes Kit]],Table_NFI[Clothes Kit])</f>
        <v>0</v>
      </c>
      <c r="AG914" s="294">
        <f>IF(NFI_Expiration=1,IF($A914&lt;VLOOKUP(P$5,NFI,5,0),1,0)*Table_NFI[[#This Row],[Plastic Bucket]],Table_NFI[Plastic Bucket])</f>
        <v>0</v>
      </c>
      <c r="AH914" s="294">
        <f>IF(NFI_Expiration=1,IF($A914&lt;VLOOKUP(Q$5,NFI,5,0),1,0)*Table_NFI[[#This Row],[Plastic Mat]],Table_NFI[Plastic Mat])*IF(Table_NFI[[#This Row],[Distribution Date]]&gt;"2014-04-01",1,2.5)</f>
        <v>0</v>
      </c>
      <c r="AI914" s="294">
        <f>IF(NFI_Expiration=1,IF($A914&lt;VLOOKUP(R$5,NFI,5,0),1,0)*Table_NFI[[#This Row],[Winter Clothes Adult]],Table_NFI[Winter Clothes Adult])</f>
        <v>0</v>
      </c>
      <c r="AJ914" s="294">
        <f>IF(NFI_Expiration=1,IF($A914&lt;VLOOKUP(S$5,NFI,5,0),1,0)*Table_NFI[[#This Row],[Winter Clothes Children]],Table_NFI[Winter Clothes Children])</f>
        <v>0</v>
      </c>
      <c r="AK914" s="294">
        <f>IF(NFI_Expiration=1,IF($A914&lt;VLOOKUP(T$5,NFI,5,0),1,0)*Table_NFI[[#This Row],[Winter Items Other]],Table_NFI[Winter Items Other])</f>
        <v>0</v>
      </c>
      <c r="AL914" s="294">
        <f>IF(NFI_Expiration=1,IF($A914&lt;VLOOKUP(M$5,NFI,5,0),1,0)*Table_NFI[[#This Row],[Winter Blanket]],Table_NFI[[#This Row],[Winter Blanket]])</f>
        <v>0</v>
      </c>
      <c r="AM914" s="294">
        <f>IF(Table_NFI[[#This Row],[Winter Clothes Adult]]+Table_NFI[[#This Row],[Winter Clothes Children]]+Table_NFI[[#This Row],[Winter Items Other]]+Table_NFI[[#This Row],[Winter Blanket]]&gt;0,1,0)</f>
        <v>0</v>
      </c>
      <c r="AN914" s="331">
        <f>IF(NFI_Expiration=1,IF($A914&lt;VLOOKUP(V$5,NFI,5,0),1,0)*Table_NFI[[#This Row],[Jerry Can]],Table_NFI[Jerry Can])</f>
        <v>0</v>
      </c>
      <c r="AO914" s="331">
        <f>IF(NFI_Expiration=1,IF($A914&lt;VLOOKUP(V$5,NFI,5,0),1,0)*Table_NFI[[#This Row],[Shelter Tool kit]],Table_NFI[Shelter Tool kit])</f>
        <v>0</v>
      </c>
      <c r="AP914" s="331">
        <f>IF(NFI_Expiration=1,IF($A914&lt;VLOOKUP(V$5,NFI,5,0),1,0)*Table_NFI[[#This Row],[Tent]],Table_NFI[Tent])</f>
        <v>0</v>
      </c>
      <c r="AQ914" s="467" t="str">
        <f>IFERROR(VLOOKUP(Table_NFI[[#This Row],[Camp Name]],CL,2,0),"")</f>
        <v>MMR001CMP080</v>
      </c>
      <c r="AR914" s="835">
        <f ca="1">IF(Table_NFI[[#This Row],[Pcode]]="","",IF(OFFSET(CampList[Opening Date],MATCH(Table_NFI[[#This Row],[Pcode]],CampList[CP_Pcode],0)-1,0,1,1)&gt;=NFI_Monitor_Date,1,0))</f>
        <v>0</v>
      </c>
      <c r="AS914" s="467" t="str">
        <f>IFERROR(VLOOKUP(Table_NFI[[#This Row],[Camp Name]],CL,3,0),"")</f>
        <v>Open</v>
      </c>
      <c r="AT914" s="294" t="str">
        <f ca="1">IF(Table_NFI[[#This Row],[Pcode]]="","",OFFSET(CampList[Priority],MATCH(Table_NFI[[#This Row],[Pcode]],CampList[CP_Pcode],0)-1,0,1,1))</f>
        <v>P4</v>
      </c>
      <c r="AU914" s="293">
        <f>IFERROR(Table_NFI[[#This Row],[Kitchen Set]]/VLOOKUP(Table_NFI[[#This Row],[Camp Name]],CL,4,0),"")</f>
        <v>1.9483207910182411E-4</v>
      </c>
      <c r="AV914" s="461" t="s">
        <v>1092</v>
      </c>
      <c r="AW914" s="463"/>
    </row>
    <row r="915" spans="1:49" ht="15" customHeight="1" x14ac:dyDescent="0.25">
      <c r="A915" s="297">
        <f t="shared" si="14"/>
        <v>54</v>
      </c>
      <c r="B915" s="460">
        <v>41116</v>
      </c>
      <c r="C915" s="461" t="s">
        <v>452</v>
      </c>
      <c r="D915" s="461" t="s">
        <v>452</v>
      </c>
      <c r="E915" s="461" t="s">
        <v>380</v>
      </c>
      <c r="F915" s="461" t="s">
        <v>173</v>
      </c>
      <c r="G915" s="290" t="s">
        <v>176</v>
      </c>
      <c r="H915" s="291"/>
      <c r="I915" s="291"/>
      <c r="J915" s="291"/>
      <c r="K915" s="291">
        <v>31</v>
      </c>
      <c r="L915" s="292">
        <v>15</v>
      </c>
      <c r="M915" s="292">
        <v>31</v>
      </c>
      <c r="N915" s="292">
        <v>15</v>
      </c>
      <c r="O915" s="292">
        <v>16</v>
      </c>
      <c r="P915" s="294">
        <v>16</v>
      </c>
      <c r="Q915" s="294">
        <v>16</v>
      </c>
      <c r="R915" s="294"/>
      <c r="S915" s="294"/>
      <c r="T915" s="294"/>
      <c r="U915" s="294"/>
      <c r="V915" s="431"/>
      <c r="W915" s="294"/>
      <c r="X915" s="294"/>
      <c r="Y915" s="294">
        <f>IF(NFI_Expiration=1,IF($A915&lt;VLOOKUP(H$5,NFI,5,0),1,0)*Table_NFI[[#This Row],[Hygiene Kit]],Table_NFI[Hygiene Kit])</f>
        <v>0</v>
      </c>
      <c r="Z915" s="294">
        <f>IF(NFI_Expiration=1,IF($A915&lt;VLOOKUP(I$5,NFI,5,0),1,0)*Table_NFI[[#This Row],[NFI Core Kit]],Table_NFI[NFI Core Kit])</f>
        <v>0</v>
      </c>
      <c r="AA915" s="294">
        <f>IF(NFI_Expiration=1,IF($A915&lt;VLOOKUP(J$5,NFI,5,0),1,0)*Table_NFI[[#This Row],[Sanitary Kit]],Table_NFI[Sanitary Kit])</f>
        <v>0</v>
      </c>
      <c r="AB915" s="294">
        <f>IF(NFI_Expiration=1,IF($A915&lt;VLOOKUP(K$5,NFI,5,0),1,0)*Table_NFI[[#This Row],[Mosquito net]],Table_NFI[Mosquito net])</f>
        <v>0</v>
      </c>
      <c r="AC915" s="294">
        <f>IF(NFI_Expiration=1,IF($A915&lt;VLOOKUP(L$5,NFI,5,0),1,0)*Table_NFI[[#This Row],[Tarpaulin]],Table_NFI[[#This Row],[Tarpaulin]])</f>
        <v>0</v>
      </c>
      <c r="AD915" s="294">
        <f>IF(NFI_Expiration=1,IF($A915&lt;VLOOKUP(M$5,NFI,5,0),1,0)*Table_NFI[[#This Row],[Blanket]],Table_NFI[[#This Row],[Blanket]])</f>
        <v>0</v>
      </c>
      <c r="AE915" s="294">
        <f>IF(NFI_Expiration=1,IF($A915&lt;VLOOKUP(N$5,NFI,5,0),1,0)*Table_NFI[[#This Row],[Kitchen Set]],Table_NFI[Kitchen Set])</f>
        <v>0</v>
      </c>
      <c r="AF915" s="294">
        <f>IF(NFI_Expiration=1,IF($A915&lt;VLOOKUP(O$5,NFI,5,0),1,0)*Table_NFI[[#This Row],[Clothes Kit]],Table_NFI[Clothes Kit])</f>
        <v>0</v>
      </c>
      <c r="AG915" s="294">
        <f>IF(NFI_Expiration=1,IF($A915&lt;VLOOKUP(P$5,NFI,5,0),1,0)*Table_NFI[[#This Row],[Plastic Bucket]],Table_NFI[Plastic Bucket])</f>
        <v>0</v>
      </c>
      <c r="AH915" s="294">
        <f>IF(NFI_Expiration=1,IF($A915&lt;VLOOKUP(Q$5,NFI,5,0),1,0)*Table_NFI[[#This Row],[Plastic Mat]],Table_NFI[Plastic Mat])*IF(Table_NFI[[#This Row],[Distribution Date]]&gt;"2014-04-01",1,2.5)</f>
        <v>0</v>
      </c>
      <c r="AI915" s="294">
        <f>IF(NFI_Expiration=1,IF($A915&lt;VLOOKUP(R$5,NFI,5,0),1,0)*Table_NFI[[#This Row],[Winter Clothes Adult]],Table_NFI[Winter Clothes Adult])</f>
        <v>0</v>
      </c>
      <c r="AJ915" s="294">
        <f>IF(NFI_Expiration=1,IF($A915&lt;VLOOKUP(S$5,NFI,5,0),1,0)*Table_NFI[[#This Row],[Winter Clothes Children]],Table_NFI[Winter Clothes Children])</f>
        <v>0</v>
      </c>
      <c r="AK915" s="294">
        <f>IF(NFI_Expiration=1,IF($A915&lt;VLOOKUP(T$5,NFI,5,0),1,0)*Table_NFI[[#This Row],[Winter Items Other]],Table_NFI[Winter Items Other])</f>
        <v>0</v>
      </c>
      <c r="AL915" s="294">
        <f>IF(NFI_Expiration=1,IF($A915&lt;VLOOKUP(M$5,NFI,5,0),1,0)*Table_NFI[[#This Row],[Winter Blanket]],Table_NFI[[#This Row],[Winter Blanket]])</f>
        <v>0</v>
      </c>
      <c r="AM915" s="294">
        <f>IF(Table_NFI[[#This Row],[Winter Clothes Adult]]+Table_NFI[[#This Row],[Winter Clothes Children]]+Table_NFI[[#This Row],[Winter Items Other]]+Table_NFI[[#This Row],[Winter Blanket]]&gt;0,1,0)</f>
        <v>0</v>
      </c>
      <c r="AN915" s="331">
        <f>IF(NFI_Expiration=1,IF($A915&lt;VLOOKUP(V$5,NFI,5,0),1,0)*Table_NFI[[#This Row],[Jerry Can]],Table_NFI[Jerry Can])</f>
        <v>0</v>
      </c>
      <c r="AO915" s="331">
        <f>IF(NFI_Expiration=1,IF($A915&lt;VLOOKUP(V$5,NFI,5,0),1,0)*Table_NFI[[#This Row],[Shelter Tool kit]],Table_NFI[Shelter Tool kit])</f>
        <v>0</v>
      </c>
      <c r="AP915" s="331">
        <f>IF(NFI_Expiration=1,IF($A915&lt;VLOOKUP(V$5,NFI,5,0),1,0)*Table_NFI[[#This Row],[Tent]],Table_NFI[Tent])</f>
        <v>0</v>
      </c>
      <c r="AQ915" s="467" t="str">
        <f>IFERROR(VLOOKUP(Table_NFI[[#This Row],[Camp Name]],CL,2,0),"")</f>
        <v>MMR001CMP077</v>
      </c>
      <c r="AR915" s="835">
        <f ca="1">IF(Table_NFI[[#This Row],[Pcode]]="","",IF(OFFSET(CampList[Opening Date],MATCH(Table_NFI[[#This Row],[Pcode]],CampList[CP_Pcode],0)-1,0,1,1)&gt;=NFI_Monitor_Date,1,0))</f>
        <v>0</v>
      </c>
      <c r="AS915" s="467" t="str">
        <f>IFERROR(VLOOKUP(Table_NFI[[#This Row],[Camp Name]],CL,3,0),"")</f>
        <v>Open</v>
      </c>
      <c r="AT915" s="294" t="str">
        <f ca="1">IF(Table_NFI[[#This Row],[Pcode]]="","",OFFSET(CampList[Priority],MATCH(Table_NFI[[#This Row],[Pcode]],CampList[CP_Pcode],0)-1,0,1,1))</f>
        <v>P4</v>
      </c>
      <c r="AU915" s="293">
        <f>IFERROR(Table_NFI[[#This Row],[Kitchen Set]]/VLOOKUP(Table_NFI[[#This Row],[Camp Name]],CL,4,0),"")</f>
        <v>3.6558615647087499E-4</v>
      </c>
      <c r="AV915" s="461" t="s">
        <v>1092</v>
      </c>
      <c r="AW915" s="463"/>
    </row>
    <row r="916" spans="1:49" x14ac:dyDescent="0.25">
      <c r="A916" s="297">
        <f t="shared" si="14"/>
        <v>54</v>
      </c>
      <c r="B916" s="460">
        <v>41116</v>
      </c>
      <c r="C916" s="461" t="s">
        <v>452</v>
      </c>
      <c r="D916" s="462" t="s">
        <v>452</v>
      </c>
      <c r="E916" s="461" t="s">
        <v>380</v>
      </c>
      <c r="F916" s="290" t="s">
        <v>173</v>
      </c>
      <c r="G916" s="290" t="s">
        <v>178</v>
      </c>
      <c r="H916" s="291"/>
      <c r="I916" s="291"/>
      <c r="J916" s="291"/>
      <c r="K916" s="291">
        <v>21</v>
      </c>
      <c r="L916" s="292">
        <v>17</v>
      </c>
      <c r="M916" s="292">
        <v>21</v>
      </c>
      <c r="N916" s="292">
        <v>17</v>
      </c>
      <c r="O916" s="292">
        <v>17</v>
      </c>
      <c r="P916" s="294">
        <v>17</v>
      </c>
      <c r="Q916" s="294">
        <v>17</v>
      </c>
      <c r="R916" s="294"/>
      <c r="S916" s="294"/>
      <c r="T916" s="294"/>
      <c r="U916" s="294"/>
      <c r="V916" s="431"/>
      <c r="W916" s="331"/>
      <c r="X916" s="331"/>
      <c r="Y916" s="294">
        <f>IF(NFI_Expiration=1,IF($A916&lt;VLOOKUP(H$5,NFI,5,0),1,0)*Table_NFI[[#This Row],[Hygiene Kit]],Table_NFI[Hygiene Kit])</f>
        <v>0</v>
      </c>
      <c r="Z916" s="294">
        <f>IF(NFI_Expiration=1,IF($A916&lt;VLOOKUP(I$5,NFI,5,0),1,0)*Table_NFI[[#This Row],[NFI Core Kit]],Table_NFI[NFI Core Kit])</f>
        <v>0</v>
      </c>
      <c r="AA916" s="294">
        <f>IF(NFI_Expiration=1,IF($A916&lt;VLOOKUP(J$5,NFI,5,0),1,0)*Table_NFI[[#This Row],[Sanitary Kit]],Table_NFI[Sanitary Kit])</f>
        <v>0</v>
      </c>
      <c r="AB916" s="294">
        <f>IF(NFI_Expiration=1,IF($A916&lt;VLOOKUP(K$5,NFI,5,0),1,0)*Table_NFI[[#This Row],[Mosquito net]],Table_NFI[Mosquito net])</f>
        <v>0</v>
      </c>
      <c r="AC916" s="294">
        <f>IF(NFI_Expiration=1,IF($A916&lt;VLOOKUP(L$5,NFI,5,0),1,0)*Table_NFI[[#This Row],[Tarpaulin]],Table_NFI[[#This Row],[Tarpaulin]])</f>
        <v>0</v>
      </c>
      <c r="AD916" s="294">
        <f>IF(NFI_Expiration=1,IF($A916&lt;VLOOKUP(M$5,NFI,5,0),1,0)*Table_NFI[[#This Row],[Blanket]],Table_NFI[[#This Row],[Blanket]])</f>
        <v>0</v>
      </c>
      <c r="AE916" s="294">
        <f>IF(NFI_Expiration=1,IF($A916&lt;VLOOKUP(N$5,NFI,5,0),1,0)*Table_NFI[[#This Row],[Kitchen Set]],Table_NFI[Kitchen Set])</f>
        <v>0</v>
      </c>
      <c r="AF916" s="294">
        <f>IF(NFI_Expiration=1,IF($A916&lt;VLOOKUP(O$5,NFI,5,0),1,0)*Table_NFI[[#This Row],[Clothes Kit]],Table_NFI[Clothes Kit])</f>
        <v>0</v>
      </c>
      <c r="AG916" s="294">
        <f>IF(NFI_Expiration=1,IF($A916&lt;VLOOKUP(P$5,NFI,5,0),1,0)*Table_NFI[[#This Row],[Plastic Bucket]],Table_NFI[Plastic Bucket])</f>
        <v>0</v>
      </c>
      <c r="AH916" s="294">
        <f>IF(NFI_Expiration=1,IF($A916&lt;VLOOKUP(Q$5,NFI,5,0),1,0)*Table_NFI[[#This Row],[Plastic Mat]],Table_NFI[Plastic Mat])*IF(Table_NFI[[#This Row],[Distribution Date]]&gt;"2014-04-01",1,2.5)</f>
        <v>0</v>
      </c>
      <c r="AI916" s="294">
        <f>IF(NFI_Expiration=1,IF($A916&lt;VLOOKUP(R$5,NFI,5,0),1,0)*Table_NFI[[#This Row],[Winter Clothes Adult]],Table_NFI[Winter Clothes Adult])</f>
        <v>0</v>
      </c>
      <c r="AJ916" s="294">
        <f>IF(NFI_Expiration=1,IF($A916&lt;VLOOKUP(S$5,NFI,5,0),1,0)*Table_NFI[[#This Row],[Winter Clothes Children]],Table_NFI[Winter Clothes Children])</f>
        <v>0</v>
      </c>
      <c r="AK916" s="294">
        <f>IF(NFI_Expiration=1,IF($A916&lt;VLOOKUP(T$5,NFI,5,0),1,0)*Table_NFI[[#This Row],[Winter Items Other]],Table_NFI[Winter Items Other])</f>
        <v>0</v>
      </c>
      <c r="AL916" s="294">
        <f>IF(NFI_Expiration=1,IF($A916&lt;VLOOKUP(M$5,NFI,5,0),1,0)*Table_NFI[[#This Row],[Winter Blanket]],Table_NFI[[#This Row],[Winter Blanket]])</f>
        <v>0</v>
      </c>
      <c r="AM916" s="294">
        <f>IF(Table_NFI[[#This Row],[Winter Clothes Adult]]+Table_NFI[[#This Row],[Winter Clothes Children]]+Table_NFI[[#This Row],[Winter Items Other]]+Table_NFI[[#This Row],[Winter Blanket]]&gt;0,1,0)</f>
        <v>0</v>
      </c>
      <c r="AN916" s="331">
        <f>IF(NFI_Expiration=1,IF($A916&lt;VLOOKUP(V$5,NFI,5,0),1,0)*Table_NFI[[#This Row],[Jerry Can]],Table_NFI[Jerry Can])</f>
        <v>0</v>
      </c>
      <c r="AO916" s="331">
        <f>IF(NFI_Expiration=1,IF($A916&lt;VLOOKUP(V$5,NFI,5,0),1,0)*Table_NFI[[#This Row],[Shelter Tool kit]],Table_NFI[Shelter Tool kit])</f>
        <v>0</v>
      </c>
      <c r="AP916" s="331">
        <f>IF(NFI_Expiration=1,IF($A916&lt;VLOOKUP(V$5,NFI,5,0),1,0)*Table_NFI[[#This Row],[Tent]],Table_NFI[Tent])</f>
        <v>0</v>
      </c>
      <c r="AQ916" s="467" t="str">
        <f>IFERROR(VLOOKUP(Table_NFI[[#This Row],[Camp Name]],CL,2,0),"")</f>
        <v>MMR001CMP079</v>
      </c>
      <c r="AR916" s="835">
        <f ca="1">IF(Table_NFI[[#This Row],[Pcode]]="","",IF(OFFSET(CampList[Opening Date],MATCH(Table_NFI[[#This Row],[Pcode]],CampList[CP_Pcode],0)-1,0,1,1)&gt;=NFI_Monitor_Date,1,0))</f>
        <v>0</v>
      </c>
      <c r="AS916" s="467" t="str">
        <f>IFERROR(VLOOKUP(Table_NFI[[#This Row],[Camp Name]],CL,3,0),"")</f>
        <v>Open</v>
      </c>
      <c r="AT916" s="294" t="str">
        <f ca="1">IF(Table_NFI[[#This Row],[Pcode]]="","",OFFSET(CampList[Priority],MATCH(Table_NFI[[#This Row],[Pcode]],CampList[CP_Pcode],0)-1,0,1,1))</f>
        <v>P4</v>
      </c>
      <c r="AU916" s="293">
        <f>IFERROR(Table_NFI[[#This Row],[Kitchen Set]]/VLOOKUP(Table_NFI[[#This Row],[Camp Name]],CL,4,0),"")</f>
        <v>4.1494788742707902E-4</v>
      </c>
      <c r="AV916" s="461" t="s">
        <v>1092</v>
      </c>
      <c r="AW916" s="463"/>
    </row>
    <row r="917" spans="1:49" x14ac:dyDescent="0.25">
      <c r="A917" s="297">
        <f t="shared" si="14"/>
        <v>54.1</v>
      </c>
      <c r="B917" s="460">
        <v>41113</v>
      </c>
      <c r="C917" s="461" t="s">
        <v>452</v>
      </c>
      <c r="D917" s="462" t="s">
        <v>452</v>
      </c>
      <c r="E917" s="461" t="s">
        <v>380</v>
      </c>
      <c r="F917" s="290" t="s">
        <v>237</v>
      </c>
      <c r="G917" s="290" t="s">
        <v>255</v>
      </c>
      <c r="H917" s="291"/>
      <c r="I917" s="291"/>
      <c r="J917" s="291"/>
      <c r="K917" s="291">
        <v>19</v>
      </c>
      <c r="L917" s="292">
        <v>10</v>
      </c>
      <c r="M917" s="292">
        <v>19</v>
      </c>
      <c r="N917" s="292">
        <v>10</v>
      </c>
      <c r="O917" s="292">
        <v>11</v>
      </c>
      <c r="P917" s="294">
        <v>11</v>
      </c>
      <c r="Q917" s="294">
        <v>11</v>
      </c>
      <c r="R917" s="294"/>
      <c r="S917" s="294"/>
      <c r="T917" s="294"/>
      <c r="U917" s="294"/>
      <c r="V917" s="431"/>
      <c r="W917" s="294"/>
      <c r="X917" s="294"/>
      <c r="Y917" s="294">
        <f>IF(NFI_Expiration=1,IF($A917&lt;VLOOKUP(H$5,NFI,5,0),1,0)*Table_NFI[[#This Row],[Hygiene Kit]],Table_NFI[Hygiene Kit])</f>
        <v>0</v>
      </c>
      <c r="Z917" s="294">
        <f>IF(NFI_Expiration=1,IF($A917&lt;VLOOKUP(I$5,NFI,5,0),1,0)*Table_NFI[[#This Row],[NFI Core Kit]],Table_NFI[NFI Core Kit])</f>
        <v>0</v>
      </c>
      <c r="AA917" s="294">
        <f>IF(NFI_Expiration=1,IF($A917&lt;VLOOKUP(J$5,NFI,5,0),1,0)*Table_NFI[[#This Row],[Sanitary Kit]],Table_NFI[Sanitary Kit])</f>
        <v>0</v>
      </c>
      <c r="AB917" s="294">
        <f>IF(NFI_Expiration=1,IF($A917&lt;VLOOKUP(K$5,NFI,5,0),1,0)*Table_NFI[[#This Row],[Mosquito net]],Table_NFI[Mosquito net])</f>
        <v>0</v>
      </c>
      <c r="AC917" s="294">
        <f>IF(NFI_Expiration=1,IF($A917&lt;VLOOKUP(L$5,NFI,5,0),1,0)*Table_NFI[[#This Row],[Tarpaulin]],Table_NFI[[#This Row],[Tarpaulin]])</f>
        <v>0</v>
      </c>
      <c r="AD917" s="294">
        <f>IF(NFI_Expiration=1,IF($A917&lt;VLOOKUP(M$5,NFI,5,0),1,0)*Table_NFI[[#This Row],[Blanket]],Table_NFI[[#This Row],[Blanket]])</f>
        <v>0</v>
      </c>
      <c r="AE917" s="294">
        <f>IF(NFI_Expiration=1,IF($A917&lt;VLOOKUP(N$5,NFI,5,0),1,0)*Table_NFI[[#This Row],[Kitchen Set]],Table_NFI[Kitchen Set])</f>
        <v>0</v>
      </c>
      <c r="AF917" s="294">
        <f>IF(NFI_Expiration=1,IF($A917&lt;VLOOKUP(O$5,NFI,5,0),1,0)*Table_NFI[[#This Row],[Clothes Kit]],Table_NFI[Clothes Kit])</f>
        <v>0</v>
      </c>
      <c r="AG917" s="294">
        <f>IF(NFI_Expiration=1,IF($A917&lt;VLOOKUP(P$5,NFI,5,0),1,0)*Table_NFI[[#This Row],[Plastic Bucket]],Table_NFI[Plastic Bucket])</f>
        <v>0</v>
      </c>
      <c r="AH917" s="294">
        <f>IF(NFI_Expiration=1,IF($A917&lt;VLOOKUP(Q$5,NFI,5,0),1,0)*Table_NFI[[#This Row],[Plastic Mat]],Table_NFI[Plastic Mat])*IF(Table_NFI[[#This Row],[Distribution Date]]&gt;"2014-04-01",1,2.5)</f>
        <v>0</v>
      </c>
      <c r="AI917" s="294">
        <f>IF(NFI_Expiration=1,IF($A917&lt;VLOOKUP(R$5,NFI,5,0),1,0)*Table_NFI[[#This Row],[Winter Clothes Adult]],Table_NFI[Winter Clothes Adult])</f>
        <v>0</v>
      </c>
      <c r="AJ917" s="294">
        <f>IF(NFI_Expiration=1,IF($A917&lt;VLOOKUP(S$5,NFI,5,0),1,0)*Table_NFI[[#This Row],[Winter Clothes Children]],Table_NFI[Winter Clothes Children])</f>
        <v>0</v>
      </c>
      <c r="AK917" s="294">
        <f>IF(NFI_Expiration=1,IF($A917&lt;VLOOKUP(T$5,NFI,5,0),1,0)*Table_NFI[[#This Row],[Winter Items Other]],Table_NFI[Winter Items Other])</f>
        <v>0</v>
      </c>
      <c r="AL917" s="294">
        <f>IF(NFI_Expiration=1,IF($A917&lt;VLOOKUP(M$5,NFI,5,0),1,0)*Table_NFI[[#This Row],[Winter Blanket]],Table_NFI[[#This Row],[Winter Blanket]])</f>
        <v>0</v>
      </c>
      <c r="AM917" s="294">
        <f>IF(Table_NFI[[#This Row],[Winter Clothes Adult]]+Table_NFI[[#This Row],[Winter Clothes Children]]+Table_NFI[[#This Row],[Winter Items Other]]+Table_NFI[[#This Row],[Winter Blanket]]&gt;0,1,0)</f>
        <v>0</v>
      </c>
      <c r="AN917" s="331">
        <f>IF(NFI_Expiration=1,IF($A917&lt;VLOOKUP(V$5,NFI,5,0),1,0)*Table_NFI[[#This Row],[Jerry Can]],Table_NFI[Jerry Can])</f>
        <v>0</v>
      </c>
      <c r="AO917" s="331">
        <f>IF(NFI_Expiration=1,IF($A917&lt;VLOOKUP(V$5,NFI,5,0),1,0)*Table_NFI[[#This Row],[Shelter Tool kit]],Table_NFI[Shelter Tool kit])</f>
        <v>0</v>
      </c>
      <c r="AP917" s="331">
        <f>IF(NFI_Expiration=1,IF($A917&lt;VLOOKUP(V$5,NFI,5,0),1,0)*Table_NFI[[#This Row],[Tent]],Table_NFI[Tent])</f>
        <v>0</v>
      </c>
      <c r="AQ917" s="467" t="str">
        <f>IFERROR(VLOOKUP(Table_NFI[[#This Row],[Camp Name]],CL,2,0),"")</f>
        <v>MMR001CMP019</v>
      </c>
      <c r="AR917" s="835">
        <f ca="1">IF(Table_NFI[[#This Row],[Pcode]]="","",IF(OFFSET(CampList[Opening Date],MATCH(Table_NFI[[#This Row],[Pcode]],CampList[CP_Pcode],0)-1,0,1,1)&gt;=NFI_Monitor_Date,1,0))</f>
        <v>0</v>
      </c>
      <c r="AS917" s="467" t="str">
        <f>IFERROR(VLOOKUP(Table_NFI[[#This Row],[Camp Name]],CL,3,0),"")</f>
        <v>Open</v>
      </c>
      <c r="AT917" s="294" t="str">
        <f ca="1">IF(Table_NFI[[#This Row],[Pcode]]="","",OFFSET(CampList[Priority],MATCH(Table_NFI[[#This Row],[Pcode]],CampList[CP_Pcode],0)-1,0,1,1))</f>
        <v>P4</v>
      </c>
      <c r="AU917" s="293">
        <f>IFERROR(Table_NFI[[#This Row],[Kitchen Set]]/VLOOKUP(Table_NFI[[#This Row],[Camp Name]],CL,4,0),"")</f>
        <v>2.4554941682013506E-4</v>
      </c>
      <c r="AV917" s="461" t="s">
        <v>1092</v>
      </c>
      <c r="AW917" s="463"/>
    </row>
    <row r="918" spans="1:49" ht="14.45" customHeight="1" x14ac:dyDescent="0.25">
      <c r="A918" s="297">
        <f t="shared" si="14"/>
        <v>54.1</v>
      </c>
      <c r="B918" s="460">
        <v>41113</v>
      </c>
      <c r="C918" s="461" t="s">
        <v>452</v>
      </c>
      <c r="D918" s="462" t="s">
        <v>452</v>
      </c>
      <c r="E918" s="461" t="s">
        <v>380</v>
      </c>
      <c r="F918" s="290" t="s">
        <v>237</v>
      </c>
      <c r="G918" s="290" t="s">
        <v>259</v>
      </c>
      <c r="H918" s="291"/>
      <c r="I918" s="291"/>
      <c r="J918" s="291"/>
      <c r="K918" s="291">
        <v>72</v>
      </c>
      <c r="L918" s="292">
        <v>39</v>
      </c>
      <c r="M918" s="292">
        <v>72</v>
      </c>
      <c r="N918" s="292">
        <v>39</v>
      </c>
      <c r="O918" s="292">
        <v>39</v>
      </c>
      <c r="P918" s="294">
        <v>39</v>
      </c>
      <c r="Q918" s="294">
        <v>39</v>
      </c>
      <c r="R918" s="294"/>
      <c r="S918" s="294"/>
      <c r="T918" s="294"/>
      <c r="U918" s="294"/>
      <c r="V918" s="431"/>
      <c r="W918" s="294"/>
      <c r="X918" s="294"/>
      <c r="Y918" s="294">
        <f>IF(NFI_Expiration=1,IF($A918&lt;VLOOKUP(H$5,NFI,5,0),1,0)*Table_NFI[[#This Row],[Hygiene Kit]],Table_NFI[Hygiene Kit])</f>
        <v>0</v>
      </c>
      <c r="Z918" s="294">
        <f>IF(NFI_Expiration=1,IF($A918&lt;VLOOKUP(I$5,NFI,5,0),1,0)*Table_NFI[[#This Row],[NFI Core Kit]],Table_NFI[NFI Core Kit])</f>
        <v>0</v>
      </c>
      <c r="AA918" s="294">
        <f>IF(NFI_Expiration=1,IF($A918&lt;VLOOKUP(J$5,NFI,5,0),1,0)*Table_NFI[[#This Row],[Sanitary Kit]],Table_NFI[Sanitary Kit])</f>
        <v>0</v>
      </c>
      <c r="AB918" s="294">
        <f>IF(NFI_Expiration=1,IF($A918&lt;VLOOKUP(K$5,NFI,5,0),1,0)*Table_NFI[[#This Row],[Mosquito net]],Table_NFI[Mosquito net])</f>
        <v>0</v>
      </c>
      <c r="AC918" s="294">
        <f>IF(NFI_Expiration=1,IF($A918&lt;VLOOKUP(L$5,NFI,5,0),1,0)*Table_NFI[[#This Row],[Tarpaulin]],Table_NFI[[#This Row],[Tarpaulin]])</f>
        <v>0</v>
      </c>
      <c r="AD918" s="294">
        <f>IF(NFI_Expiration=1,IF($A918&lt;VLOOKUP(M$5,NFI,5,0),1,0)*Table_NFI[[#This Row],[Blanket]],Table_NFI[[#This Row],[Blanket]])</f>
        <v>0</v>
      </c>
      <c r="AE918" s="294">
        <f>IF(NFI_Expiration=1,IF($A918&lt;VLOOKUP(N$5,NFI,5,0),1,0)*Table_NFI[[#This Row],[Kitchen Set]],Table_NFI[Kitchen Set])</f>
        <v>0</v>
      </c>
      <c r="AF918" s="294">
        <f>IF(NFI_Expiration=1,IF($A918&lt;VLOOKUP(O$5,NFI,5,0),1,0)*Table_NFI[[#This Row],[Clothes Kit]],Table_NFI[Clothes Kit])</f>
        <v>0</v>
      </c>
      <c r="AG918" s="294">
        <f>IF(NFI_Expiration=1,IF($A918&lt;VLOOKUP(P$5,NFI,5,0),1,0)*Table_NFI[[#This Row],[Plastic Bucket]],Table_NFI[Plastic Bucket])</f>
        <v>0</v>
      </c>
      <c r="AH918" s="294">
        <f>IF(NFI_Expiration=1,IF($A918&lt;VLOOKUP(Q$5,NFI,5,0),1,0)*Table_NFI[[#This Row],[Plastic Mat]],Table_NFI[Plastic Mat])*IF(Table_NFI[[#This Row],[Distribution Date]]&gt;"2014-04-01",1,2.5)</f>
        <v>0</v>
      </c>
      <c r="AI918" s="294">
        <f>IF(NFI_Expiration=1,IF($A918&lt;VLOOKUP(R$5,NFI,5,0),1,0)*Table_NFI[[#This Row],[Winter Clothes Adult]],Table_NFI[Winter Clothes Adult])</f>
        <v>0</v>
      </c>
      <c r="AJ918" s="294">
        <f>IF(NFI_Expiration=1,IF($A918&lt;VLOOKUP(S$5,NFI,5,0),1,0)*Table_NFI[[#This Row],[Winter Clothes Children]],Table_NFI[Winter Clothes Children])</f>
        <v>0</v>
      </c>
      <c r="AK918" s="294">
        <f>IF(NFI_Expiration=1,IF($A918&lt;VLOOKUP(T$5,NFI,5,0),1,0)*Table_NFI[[#This Row],[Winter Items Other]],Table_NFI[Winter Items Other])</f>
        <v>0</v>
      </c>
      <c r="AL918" s="294">
        <f>IF(NFI_Expiration=1,IF($A918&lt;VLOOKUP(M$5,NFI,5,0),1,0)*Table_NFI[[#This Row],[Winter Blanket]],Table_NFI[[#This Row],[Winter Blanket]])</f>
        <v>0</v>
      </c>
      <c r="AM918" s="294">
        <f>IF(Table_NFI[[#This Row],[Winter Clothes Adult]]+Table_NFI[[#This Row],[Winter Clothes Children]]+Table_NFI[[#This Row],[Winter Items Other]]+Table_NFI[[#This Row],[Winter Blanket]]&gt;0,1,0)</f>
        <v>0</v>
      </c>
      <c r="AN918" s="331">
        <f>IF(NFI_Expiration=1,IF($A918&lt;VLOOKUP(V$5,NFI,5,0),1,0)*Table_NFI[[#This Row],[Jerry Can]],Table_NFI[Jerry Can])</f>
        <v>0</v>
      </c>
      <c r="AO918" s="331">
        <f>IF(NFI_Expiration=1,IF($A918&lt;VLOOKUP(V$5,NFI,5,0),1,0)*Table_NFI[[#This Row],[Shelter Tool kit]],Table_NFI[Shelter Tool kit])</f>
        <v>0</v>
      </c>
      <c r="AP918" s="331">
        <f>IF(NFI_Expiration=1,IF($A918&lt;VLOOKUP(V$5,NFI,5,0),1,0)*Table_NFI[[#This Row],[Tent]],Table_NFI[Tent])</f>
        <v>0</v>
      </c>
      <c r="AQ918" s="467" t="str">
        <f>IFERROR(VLOOKUP(Table_NFI[[#This Row],[Camp Name]],CL,2,0),"")</f>
        <v>MMR001CMP016</v>
      </c>
      <c r="AR918" s="835">
        <f ca="1">IF(Table_NFI[[#This Row],[Pcode]]="","",IF(OFFSET(CampList[Opening Date],MATCH(Table_NFI[[#This Row],[Pcode]],CampList[CP_Pcode],0)-1,0,1,1)&gt;=NFI_Monitor_Date,1,0))</f>
        <v>0</v>
      </c>
      <c r="AS918" s="467" t="str">
        <f>IFERROR(VLOOKUP(Table_NFI[[#This Row],[Camp Name]],CL,3,0),"")</f>
        <v>Open</v>
      </c>
      <c r="AT918" s="294" t="str">
        <f ca="1">IF(Table_NFI[[#This Row],[Pcode]]="","",OFFSET(CampList[Priority],MATCH(Table_NFI[[#This Row],[Pcode]],CampList[CP_Pcode],0)-1,0,1,1))</f>
        <v>P4</v>
      </c>
      <c r="AU918" s="293">
        <f>IFERROR(Table_NFI[[#This Row],[Kitchen Set]]/VLOOKUP(Table_NFI[[#This Row],[Camp Name]],CL,4,0),"")</f>
        <v>9.5691431936402005E-4</v>
      </c>
      <c r="AV918" s="461" t="s">
        <v>1092</v>
      </c>
      <c r="AW918" s="463"/>
    </row>
    <row r="919" spans="1:49" ht="14.45" customHeight="1" x14ac:dyDescent="0.25">
      <c r="A919" s="297">
        <f t="shared" si="14"/>
        <v>54.1</v>
      </c>
      <c r="B919" s="460">
        <v>41113</v>
      </c>
      <c r="C919" s="461" t="s">
        <v>452</v>
      </c>
      <c r="D919" s="462" t="s">
        <v>452</v>
      </c>
      <c r="E919" s="461" t="s">
        <v>380</v>
      </c>
      <c r="F919" s="290" t="s">
        <v>237</v>
      </c>
      <c r="G919" s="290" t="s">
        <v>279</v>
      </c>
      <c r="H919" s="291"/>
      <c r="I919" s="296"/>
      <c r="J919" s="289"/>
      <c r="K919" s="289">
        <v>30</v>
      </c>
      <c r="L919" s="289">
        <v>12</v>
      </c>
      <c r="M919" s="289">
        <v>30</v>
      </c>
      <c r="N919" s="289">
        <v>12</v>
      </c>
      <c r="O919" s="289">
        <v>14</v>
      </c>
      <c r="P919" s="294">
        <v>14</v>
      </c>
      <c r="Q919" s="294">
        <v>14</v>
      </c>
      <c r="R919" s="294"/>
      <c r="S919" s="294"/>
      <c r="T919" s="294"/>
      <c r="U919" s="294"/>
      <c r="V919" s="431"/>
      <c r="W919" s="294"/>
      <c r="X919" s="294"/>
      <c r="Y919" s="294">
        <f>IF(NFI_Expiration=1,IF($A919&lt;VLOOKUP(H$5,NFI,5,0),1,0)*Table_NFI[[#This Row],[Hygiene Kit]],Table_NFI[Hygiene Kit])</f>
        <v>0</v>
      </c>
      <c r="Z919" s="294">
        <f>IF(NFI_Expiration=1,IF($A919&lt;VLOOKUP(I$5,NFI,5,0),1,0)*Table_NFI[[#This Row],[NFI Core Kit]],Table_NFI[NFI Core Kit])</f>
        <v>0</v>
      </c>
      <c r="AA919" s="294">
        <f>IF(NFI_Expiration=1,IF($A919&lt;VLOOKUP(J$5,NFI,5,0),1,0)*Table_NFI[[#This Row],[Sanitary Kit]],Table_NFI[Sanitary Kit])</f>
        <v>0</v>
      </c>
      <c r="AB919" s="294">
        <f>IF(NFI_Expiration=1,IF($A919&lt;VLOOKUP(K$5,NFI,5,0),1,0)*Table_NFI[[#This Row],[Mosquito net]],Table_NFI[Mosquito net])</f>
        <v>0</v>
      </c>
      <c r="AC919" s="294">
        <f>IF(NFI_Expiration=1,IF($A919&lt;VLOOKUP(L$5,NFI,5,0),1,0)*Table_NFI[[#This Row],[Tarpaulin]],Table_NFI[[#This Row],[Tarpaulin]])</f>
        <v>0</v>
      </c>
      <c r="AD919" s="294">
        <f>IF(NFI_Expiration=1,IF($A919&lt;VLOOKUP(M$5,NFI,5,0),1,0)*Table_NFI[[#This Row],[Blanket]],Table_NFI[[#This Row],[Blanket]])</f>
        <v>0</v>
      </c>
      <c r="AE919" s="294">
        <f>IF(NFI_Expiration=1,IF($A919&lt;VLOOKUP(N$5,NFI,5,0),1,0)*Table_NFI[[#This Row],[Kitchen Set]],Table_NFI[Kitchen Set])</f>
        <v>0</v>
      </c>
      <c r="AF919" s="294">
        <f>IF(NFI_Expiration=1,IF($A919&lt;VLOOKUP(O$5,NFI,5,0),1,0)*Table_NFI[[#This Row],[Clothes Kit]],Table_NFI[Clothes Kit])</f>
        <v>0</v>
      </c>
      <c r="AG919" s="294">
        <f>IF(NFI_Expiration=1,IF($A919&lt;VLOOKUP(P$5,NFI,5,0),1,0)*Table_NFI[[#This Row],[Plastic Bucket]],Table_NFI[Plastic Bucket])</f>
        <v>0</v>
      </c>
      <c r="AH919" s="294">
        <f>IF(NFI_Expiration=1,IF($A919&lt;VLOOKUP(Q$5,NFI,5,0),1,0)*Table_NFI[[#This Row],[Plastic Mat]],Table_NFI[Plastic Mat])*IF(Table_NFI[[#This Row],[Distribution Date]]&gt;"2014-04-01",1,2.5)</f>
        <v>0</v>
      </c>
      <c r="AI919" s="294">
        <f>IF(NFI_Expiration=1,IF($A919&lt;VLOOKUP(R$5,NFI,5,0),1,0)*Table_NFI[[#This Row],[Winter Clothes Adult]],Table_NFI[Winter Clothes Adult])</f>
        <v>0</v>
      </c>
      <c r="AJ919" s="294">
        <f>IF(NFI_Expiration=1,IF($A919&lt;VLOOKUP(S$5,NFI,5,0),1,0)*Table_NFI[[#This Row],[Winter Clothes Children]],Table_NFI[Winter Clothes Children])</f>
        <v>0</v>
      </c>
      <c r="AK919" s="294">
        <f>IF(NFI_Expiration=1,IF($A919&lt;VLOOKUP(T$5,NFI,5,0),1,0)*Table_NFI[[#This Row],[Winter Items Other]],Table_NFI[Winter Items Other])</f>
        <v>0</v>
      </c>
      <c r="AL919" s="294">
        <f>IF(NFI_Expiration=1,IF($A919&lt;VLOOKUP(M$5,NFI,5,0),1,0)*Table_NFI[[#This Row],[Winter Blanket]],Table_NFI[[#This Row],[Winter Blanket]])</f>
        <v>0</v>
      </c>
      <c r="AM919" s="294">
        <f>IF(Table_NFI[[#This Row],[Winter Clothes Adult]]+Table_NFI[[#This Row],[Winter Clothes Children]]+Table_NFI[[#This Row],[Winter Items Other]]+Table_NFI[[#This Row],[Winter Blanket]]&gt;0,1,0)</f>
        <v>0</v>
      </c>
      <c r="AN919" s="331">
        <f>IF(NFI_Expiration=1,IF($A919&lt;VLOOKUP(V$5,NFI,5,0),1,0)*Table_NFI[[#This Row],[Jerry Can]],Table_NFI[Jerry Can])</f>
        <v>0</v>
      </c>
      <c r="AO919" s="331">
        <f>IF(NFI_Expiration=1,IF($A919&lt;VLOOKUP(V$5,NFI,5,0),1,0)*Table_NFI[[#This Row],[Shelter Tool kit]],Table_NFI[Shelter Tool kit])</f>
        <v>0</v>
      </c>
      <c r="AP919" s="331">
        <f>IF(NFI_Expiration=1,IF($A919&lt;VLOOKUP(V$5,NFI,5,0),1,0)*Table_NFI[[#This Row],[Tent]],Table_NFI[Tent])</f>
        <v>0</v>
      </c>
      <c r="AQ919" s="467" t="str">
        <f>IFERROR(VLOOKUP(Table_NFI[[#This Row],[Camp Name]],CL,2,0),"")</f>
        <v>MMR001CMP007</v>
      </c>
      <c r="AR919" s="835">
        <f ca="1">IF(Table_NFI[[#This Row],[Pcode]]="","",IF(OFFSET(CampList[Opening Date],MATCH(Table_NFI[[#This Row],[Pcode]],CampList[CP_Pcode],0)-1,0,1,1)&gt;=NFI_Monitor_Date,1,0))</f>
        <v>0</v>
      </c>
      <c r="AS919" s="467" t="str">
        <f>IFERROR(VLOOKUP(Table_NFI[[#This Row],[Camp Name]],CL,3,0),"")</f>
        <v>Open</v>
      </c>
      <c r="AT919" s="294" t="str">
        <f ca="1">IF(Table_NFI[[#This Row],[Pcode]]="","",OFFSET(CampList[Priority],MATCH(Table_NFI[[#This Row],[Pcode]],CampList[CP_Pcode],0)-1,0,1,1))</f>
        <v>P4</v>
      </c>
      <c r="AU919" s="293">
        <f>IFERROR(Table_NFI[[#This Row],[Kitchen Set]]/VLOOKUP(Table_NFI[[#This Row],[Camp Name]],CL,4,0),"")</f>
        <v>2.9333398518663372E-4</v>
      </c>
      <c r="AV919" s="461" t="s">
        <v>1092</v>
      </c>
      <c r="AW919" s="463"/>
    </row>
    <row r="920" spans="1:49" ht="14.45" customHeight="1" x14ac:dyDescent="0.25">
      <c r="A920" s="297">
        <f t="shared" si="14"/>
        <v>54.1</v>
      </c>
      <c r="B920" s="460">
        <v>41113</v>
      </c>
      <c r="C920" s="461" t="s">
        <v>452</v>
      </c>
      <c r="D920" s="461" t="s">
        <v>452</v>
      </c>
      <c r="E920" s="461" t="s">
        <v>380</v>
      </c>
      <c r="F920" s="290" t="s">
        <v>237</v>
      </c>
      <c r="G920" s="290" t="s">
        <v>275</v>
      </c>
      <c r="H920" s="291"/>
      <c r="I920" s="291"/>
      <c r="J920" s="291"/>
      <c r="K920" s="291">
        <v>24</v>
      </c>
      <c r="L920" s="292">
        <v>8</v>
      </c>
      <c r="M920" s="292">
        <v>24</v>
      </c>
      <c r="N920" s="292">
        <v>8</v>
      </c>
      <c r="O920" s="292">
        <v>13</v>
      </c>
      <c r="P920" s="294">
        <v>13</v>
      </c>
      <c r="Q920" s="294">
        <v>13</v>
      </c>
      <c r="R920" s="294"/>
      <c r="S920" s="294"/>
      <c r="T920" s="294"/>
      <c r="U920" s="294"/>
      <c r="V920" s="431"/>
      <c r="W920" s="294"/>
      <c r="X920" s="294"/>
      <c r="Y920" s="294">
        <f>IF(NFI_Expiration=1,IF($A920&lt;VLOOKUP(H$5,NFI,5,0),1,0)*Table_NFI[[#This Row],[Hygiene Kit]],Table_NFI[Hygiene Kit])</f>
        <v>0</v>
      </c>
      <c r="Z920" s="294">
        <f>IF(NFI_Expiration=1,IF($A920&lt;VLOOKUP(I$5,NFI,5,0),1,0)*Table_NFI[[#This Row],[NFI Core Kit]],Table_NFI[NFI Core Kit])</f>
        <v>0</v>
      </c>
      <c r="AA920" s="294">
        <f>IF(NFI_Expiration=1,IF($A920&lt;VLOOKUP(J$5,NFI,5,0),1,0)*Table_NFI[[#This Row],[Sanitary Kit]],Table_NFI[Sanitary Kit])</f>
        <v>0</v>
      </c>
      <c r="AB920" s="294">
        <f>IF(NFI_Expiration=1,IF($A920&lt;VLOOKUP(K$5,NFI,5,0),1,0)*Table_NFI[[#This Row],[Mosquito net]],Table_NFI[Mosquito net])</f>
        <v>0</v>
      </c>
      <c r="AC920" s="294">
        <f>IF(NFI_Expiration=1,IF($A920&lt;VLOOKUP(L$5,NFI,5,0),1,0)*Table_NFI[[#This Row],[Tarpaulin]],Table_NFI[[#This Row],[Tarpaulin]])</f>
        <v>0</v>
      </c>
      <c r="AD920" s="294">
        <f>IF(NFI_Expiration=1,IF($A920&lt;VLOOKUP(M$5,NFI,5,0),1,0)*Table_NFI[[#This Row],[Blanket]],Table_NFI[[#This Row],[Blanket]])</f>
        <v>0</v>
      </c>
      <c r="AE920" s="294">
        <f>IF(NFI_Expiration=1,IF($A920&lt;VLOOKUP(N$5,NFI,5,0),1,0)*Table_NFI[[#This Row],[Kitchen Set]],Table_NFI[Kitchen Set])</f>
        <v>0</v>
      </c>
      <c r="AF920" s="294">
        <f>IF(NFI_Expiration=1,IF($A920&lt;VLOOKUP(O$5,NFI,5,0),1,0)*Table_NFI[[#This Row],[Clothes Kit]],Table_NFI[Clothes Kit])</f>
        <v>0</v>
      </c>
      <c r="AG920" s="294">
        <f>IF(NFI_Expiration=1,IF($A920&lt;VLOOKUP(P$5,NFI,5,0),1,0)*Table_NFI[[#This Row],[Plastic Bucket]],Table_NFI[Plastic Bucket])</f>
        <v>0</v>
      </c>
      <c r="AH920" s="294">
        <f>IF(NFI_Expiration=1,IF($A920&lt;VLOOKUP(Q$5,NFI,5,0),1,0)*Table_NFI[[#This Row],[Plastic Mat]],Table_NFI[Plastic Mat])*IF(Table_NFI[[#This Row],[Distribution Date]]&gt;"2014-04-01",1,2.5)</f>
        <v>0</v>
      </c>
      <c r="AI920" s="294">
        <f>IF(NFI_Expiration=1,IF($A920&lt;VLOOKUP(R$5,NFI,5,0),1,0)*Table_NFI[[#This Row],[Winter Clothes Adult]],Table_NFI[Winter Clothes Adult])</f>
        <v>0</v>
      </c>
      <c r="AJ920" s="294">
        <f>IF(NFI_Expiration=1,IF($A920&lt;VLOOKUP(S$5,NFI,5,0),1,0)*Table_NFI[[#This Row],[Winter Clothes Children]],Table_NFI[Winter Clothes Children])</f>
        <v>0</v>
      </c>
      <c r="AK920" s="294">
        <f>IF(NFI_Expiration=1,IF($A920&lt;VLOOKUP(T$5,NFI,5,0),1,0)*Table_NFI[[#This Row],[Winter Items Other]],Table_NFI[Winter Items Other])</f>
        <v>0</v>
      </c>
      <c r="AL920" s="294">
        <f>IF(NFI_Expiration=1,IF($A920&lt;VLOOKUP(M$5,NFI,5,0),1,0)*Table_NFI[[#This Row],[Winter Blanket]],Table_NFI[[#This Row],[Winter Blanket]])</f>
        <v>0</v>
      </c>
      <c r="AM920" s="294">
        <f>IF(Table_NFI[[#This Row],[Winter Clothes Adult]]+Table_NFI[[#This Row],[Winter Clothes Children]]+Table_NFI[[#This Row],[Winter Items Other]]+Table_NFI[[#This Row],[Winter Blanket]]&gt;0,1,0)</f>
        <v>0</v>
      </c>
      <c r="AN920" s="331">
        <f>IF(NFI_Expiration=1,IF($A920&lt;VLOOKUP(V$5,NFI,5,0),1,0)*Table_NFI[[#This Row],[Jerry Can]],Table_NFI[Jerry Can])</f>
        <v>0</v>
      </c>
      <c r="AO920" s="331">
        <f>IF(NFI_Expiration=1,IF($A920&lt;VLOOKUP(V$5,NFI,5,0),1,0)*Table_NFI[[#This Row],[Shelter Tool kit]],Table_NFI[Shelter Tool kit])</f>
        <v>0</v>
      </c>
      <c r="AP920" s="331">
        <f>IF(NFI_Expiration=1,IF($A920&lt;VLOOKUP(V$5,NFI,5,0),1,0)*Table_NFI[[#This Row],[Tent]],Table_NFI[Tent])</f>
        <v>0</v>
      </c>
      <c r="AQ920" s="467" t="str">
        <f>IFERROR(VLOOKUP(Table_NFI[[#This Row],[Camp Name]],CL,2,0),"")</f>
        <v>MMR001CMP005</v>
      </c>
      <c r="AR920" s="835">
        <f ca="1">IF(Table_NFI[[#This Row],[Pcode]]="","",IF(OFFSET(CampList[Opening Date],MATCH(Table_NFI[[#This Row],[Pcode]],CampList[CP_Pcode],0)-1,0,1,1)&gt;=NFI_Monitor_Date,1,0))</f>
        <v>0</v>
      </c>
      <c r="AS920" s="467" t="str">
        <f>IFERROR(VLOOKUP(Table_NFI[[#This Row],[Camp Name]],CL,3,0),"")</f>
        <v>Open</v>
      </c>
      <c r="AT920" s="294" t="str">
        <f ca="1">IF(Table_NFI[[#This Row],[Pcode]]="","",OFFSET(CampList[Priority],MATCH(Table_NFI[[#This Row],[Pcode]],CampList[CP_Pcode],0)-1,0,1,1))</f>
        <v>P4</v>
      </c>
      <c r="AU920" s="293">
        <f>IFERROR(Table_NFI[[#This Row],[Kitchen Set]]/VLOOKUP(Table_NFI[[#This Row],[Camp Name]],CL,4,0),"")</f>
        <v>1.9599676605336011E-4</v>
      </c>
      <c r="AV920" s="461" t="s">
        <v>1092</v>
      </c>
      <c r="AW920" s="463"/>
    </row>
    <row r="921" spans="1:49" ht="14.45" customHeight="1" x14ac:dyDescent="0.25">
      <c r="A921" s="297">
        <f t="shared" si="14"/>
        <v>54.233333333333334</v>
      </c>
      <c r="B921" s="460">
        <v>41109</v>
      </c>
      <c r="C921" s="461" t="s">
        <v>452</v>
      </c>
      <c r="D921" s="462" t="s">
        <v>452</v>
      </c>
      <c r="E921" s="461" t="s">
        <v>380</v>
      </c>
      <c r="F921" s="290" t="s">
        <v>237</v>
      </c>
      <c r="G921" s="290" t="s">
        <v>257</v>
      </c>
      <c r="H921" s="291"/>
      <c r="I921" s="291"/>
      <c r="J921" s="291"/>
      <c r="K921" s="291">
        <v>6</v>
      </c>
      <c r="L921" s="292">
        <v>4</v>
      </c>
      <c r="M921" s="292">
        <v>6</v>
      </c>
      <c r="N921" s="292">
        <v>4</v>
      </c>
      <c r="O921" s="292">
        <v>4</v>
      </c>
      <c r="P921" s="294">
        <v>4</v>
      </c>
      <c r="Q921" s="294">
        <v>4</v>
      </c>
      <c r="R921" s="294"/>
      <c r="S921" s="294"/>
      <c r="T921" s="294"/>
      <c r="U921" s="294"/>
      <c r="V921" s="431"/>
      <c r="W921" s="294"/>
      <c r="X921" s="294"/>
      <c r="Y921" s="294">
        <f>IF(NFI_Expiration=1,IF($A921&lt;VLOOKUP(H$5,NFI,5,0),1,0)*Table_NFI[[#This Row],[Hygiene Kit]],Table_NFI[Hygiene Kit])</f>
        <v>0</v>
      </c>
      <c r="Z921" s="294">
        <f>IF(NFI_Expiration=1,IF($A921&lt;VLOOKUP(I$5,NFI,5,0),1,0)*Table_NFI[[#This Row],[NFI Core Kit]],Table_NFI[NFI Core Kit])</f>
        <v>0</v>
      </c>
      <c r="AA921" s="294">
        <f>IF(NFI_Expiration=1,IF($A921&lt;VLOOKUP(J$5,NFI,5,0),1,0)*Table_NFI[[#This Row],[Sanitary Kit]],Table_NFI[Sanitary Kit])</f>
        <v>0</v>
      </c>
      <c r="AB921" s="294">
        <f>IF(NFI_Expiration=1,IF($A921&lt;VLOOKUP(K$5,NFI,5,0),1,0)*Table_NFI[[#This Row],[Mosquito net]],Table_NFI[Mosquito net])</f>
        <v>0</v>
      </c>
      <c r="AC921" s="294">
        <f>IF(NFI_Expiration=1,IF($A921&lt;VLOOKUP(L$5,NFI,5,0),1,0)*Table_NFI[[#This Row],[Tarpaulin]],Table_NFI[[#This Row],[Tarpaulin]])</f>
        <v>0</v>
      </c>
      <c r="AD921" s="294">
        <f>IF(NFI_Expiration=1,IF($A921&lt;VLOOKUP(M$5,NFI,5,0),1,0)*Table_NFI[[#This Row],[Blanket]],Table_NFI[[#This Row],[Blanket]])</f>
        <v>0</v>
      </c>
      <c r="AE921" s="294">
        <f>IF(NFI_Expiration=1,IF($A921&lt;VLOOKUP(N$5,NFI,5,0),1,0)*Table_NFI[[#This Row],[Kitchen Set]],Table_NFI[Kitchen Set])</f>
        <v>0</v>
      </c>
      <c r="AF921" s="294">
        <f>IF(NFI_Expiration=1,IF($A921&lt;VLOOKUP(O$5,NFI,5,0),1,0)*Table_NFI[[#This Row],[Clothes Kit]],Table_NFI[Clothes Kit])</f>
        <v>0</v>
      </c>
      <c r="AG921" s="294">
        <f>IF(NFI_Expiration=1,IF($A921&lt;VLOOKUP(P$5,NFI,5,0),1,0)*Table_NFI[[#This Row],[Plastic Bucket]],Table_NFI[Plastic Bucket])</f>
        <v>0</v>
      </c>
      <c r="AH921" s="294">
        <f>IF(NFI_Expiration=1,IF($A921&lt;VLOOKUP(Q$5,NFI,5,0),1,0)*Table_NFI[[#This Row],[Plastic Mat]],Table_NFI[Plastic Mat])*IF(Table_NFI[[#This Row],[Distribution Date]]&gt;"2014-04-01",1,2.5)</f>
        <v>0</v>
      </c>
      <c r="AI921" s="294">
        <f>IF(NFI_Expiration=1,IF($A921&lt;VLOOKUP(R$5,NFI,5,0),1,0)*Table_NFI[[#This Row],[Winter Clothes Adult]],Table_NFI[Winter Clothes Adult])</f>
        <v>0</v>
      </c>
      <c r="AJ921" s="294">
        <f>IF(NFI_Expiration=1,IF($A921&lt;VLOOKUP(S$5,NFI,5,0),1,0)*Table_NFI[[#This Row],[Winter Clothes Children]],Table_NFI[Winter Clothes Children])</f>
        <v>0</v>
      </c>
      <c r="AK921" s="294">
        <f>IF(NFI_Expiration=1,IF($A921&lt;VLOOKUP(T$5,NFI,5,0),1,0)*Table_NFI[[#This Row],[Winter Items Other]],Table_NFI[Winter Items Other])</f>
        <v>0</v>
      </c>
      <c r="AL921" s="294">
        <f>IF(NFI_Expiration=1,IF($A921&lt;VLOOKUP(M$5,NFI,5,0),1,0)*Table_NFI[[#This Row],[Winter Blanket]],Table_NFI[[#This Row],[Winter Blanket]])</f>
        <v>0</v>
      </c>
      <c r="AM921" s="294">
        <f>IF(Table_NFI[[#This Row],[Winter Clothes Adult]]+Table_NFI[[#This Row],[Winter Clothes Children]]+Table_NFI[[#This Row],[Winter Items Other]]+Table_NFI[[#This Row],[Winter Blanket]]&gt;0,1,0)</f>
        <v>0</v>
      </c>
      <c r="AN921" s="331">
        <f>IF(NFI_Expiration=1,IF($A921&lt;VLOOKUP(V$5,NFI,5,0),1,0)*Table_NFI[[#This Row],[Jerry Can]],Table_NFI[Jerry Can])</f>
        <v>0</v>
      </c>
      <c r="AO921" s="331">
        <f>IF(NFI_Expiration=1,IF($A921&lt;VLOOKUP(V$5,NFI,5,0),1,0)*Table_NFI[[#This Row],[Shelter Tool kit]],Table_NFI[Shelter Tool kit])</f>
        <v>0</v>
      </c>
      <c r="AP921" s="331">
        <f>IF(NFI_Expiration=1,IF($A921&lt;VLOOKUP(V$5,NFI,5,0),1,0)*Table_NFI[[#This Row],[Tent]],Table_NFI[Tent])</f>
        <v>0</v>
      </c>
      <c r="AQ921" s="467" t="str">
        <f>IFERROR(VLOOKUP(Table_NFI[[#This Row],[Camp Name]],CL,2,0),"")</f>
        <v>MMR001CMP013</v>
      </c>
      <c r="AR921" s="835">
        <f ca="1">IF(Table_NFI[[#This Row],[Pcode]]="","",IF(OFFSET(CampList[Opening Date],MATCH(Table_NFI[[#This Row],[Pcode]],CampList[CP_Pcode],0)-1,0,1,1)&gt;=NFI_Monitor_Date,1,0))</f>
        <v>0</v>
      </c>
      <c r="AS921" s="467" t="str">
        <f>IFERROR(VLOOKUP(Table_NFI[[#This Row],[Camp Name]],CL,3,0),"")</f>
        <v>Open</v>
      </c>
      <c r="AT921" s="294" t="str">
        <f ca="1">IF(Table_NFI[[#This Row],[Pcode]]="","",OFFSET(CampList[Priority],MATCH(Table_NFI[[#This Row],[Pcode]],CampList[CP_Pcode],0)-1,0,1,1))</f>
        <v>P4</v>
      </c>
      <c r="AU921" s="293">
        <f>IFERROR(Table_NFI[[#This Row],[Kitchen Set]]/VLOOKUP(Table_NFI[[#This Row],[Camp Name]],CL,4,0),"")</f>
        <v>9.7777995062211254E-5</v>
      </c>
      <c r="AV921" s="461" t="s">
        <v>1092</v>
      </c>
      <c r="AW921" s="463"/>
    </row>
    <row r="922" spans="1:49" ht="14.45" customHeight="1" x14ac:dyDescent="0.25">
      <c r="A922" s="297">
        <f t="shared" si="14"/>
        <v>54.233333333333334</v>
      </c>
      <c r="B922" s="460">
        <v>41109</v>
      </c>
      <c r="C922" s="461" t="s">
        <v>452</v>
      </c>
      <c r="D922" s="461" t="s">
        <v>452</v>
      </c>
      <c r="E922" s="461" t="s">
        <v>380</v>
      </c>
      <c r="F922" s="290" t="s">
        <v>237</v>
      </c>
      <c r="G922" s="290" t="s">
        <v>1244</v>
      </c>
      <c r="H922" s="291"/>
      <c r="I922" s="291"/>
      <c r="J922" s="291"/>
      <c r="K922" s="291">
        <v>3</v>
      </c>
      <c r="L922" s="292">
        <v>2</v>
      </c>
      <c r="M922" s="292">
        <v>3</v>
      </c>
      <c r="N922" s="292">
        <v>2</v>
      </c>
      <c r="O922" s="292">
        <v>2</v>
      </c>
      <c r="P922" s="294">
        <v>2</v>
      </c>
      <c r="Q922" s="294">
        <v>2</v>
      </c>
      <c r="R922" s="294"/>
      <c r="S922" s="294"/>
      <c r="T922" s="294"/>
      <c r="U922" s="294"/>
      <c r="V922" s="431"/>
      <c r="W922" s="294"/>
      <c r="X922" s="294"/>
      <c r="Y922" s="294">
        <f>IF(NFI_Expiration=1,IF($A922&lt;VLOOKUP(H$5,NFI,5,0),1,0)*Table_NFI[[#This Row],[Hygiene Kit]],Table_NFI[Hygiene Kit])</f>
        <v>0</v>
      </c>
      <c r="Z922" s="294">
        <f>IF(NFI_Expiration=1,IF($A922&lt;VLOOKUP(I$5,NFI,5,0),1,0)*Table_NFI[[#This Row],[NFI Core Kit]],Table_NFI[NFI Core Kit])</f>
        <v>0</v>
      </c>
      <c r="AA922" s="294">
        <f>IF(NFI_Expiration=1,IF($A922&lt;VLOOKUP(J$5,NFI,5,0),1,0)*Table_NFI[[#This Row],[Sanitary Kit]],Table_NFI[Sanitary Kit])</f>
        <v>0</v>
      </c>
      <c r="AB922" s="294">
        <f>IF(NFI_Expiration=1,IF($A922&lt;VLOOKUP(K$5,NFI,5,0),1,0)*Table_NFI[[#This Row],[Mosquito net]],Table_NFI[Mosquito net])</f>
        <v>0</v>
      </c>
      <c r="AC922" s="294">
        <f>IF(NFI_Expiration=1,IF($A922&lt;VLOOKUP(L$5,NFI,5,0),1,0)*Table_NFI[[#This Row],[Tarpaulin]],Table_NFI[[#This Row],[Tarpaulin]])</f>
        <v>0</v>
      </c>
      <c r="AD922" s="294">
        <f>IF(NFI_Expiration=1,IF($A922&lt;VLOOKUP(M$5,NFI,5,0),1,0)*Table_NFI[[#This Row],[Blanket]],Table_NFI[[#This Row],[Blanket]])</f>
        <v>0</v>
      </c>
      <c r="AE922" s="294">
        <f>IF(NFI_Expiration=1,IF($A922&lt;VLOOKUP(N$5,NFI,5,0),1,0)*Table_NFI[[#This Row],[Kitchen Set]],Table_NFI[Kitchen Set])</f>
        <v>0</v>
      </c>
      <c r="AF922" s="294">
        <f>IF(NFI_Expiration=1,IF($A922&lt;VLOOKUP(O$5,NFI,5,0),1,0)*Table_NFI[[#This Row],[Clothes Kit]],Table_NFI[Clothes Kit])</f>
        <v>0</v>
      </c>
      <c r="AG922" s="294">
        <f>IF(NFI_Expiration=1,IF($A922&lt;VLOOKUP(P$5,NFI,5,0),1,0)*Table_NFI[[#This Row],[Plastic Bucket]],Table_NFI[Plastic Bucket])</f>
        <v>0</v>
      </c>
      <c r="AH922" s="294">
        <f>IF(NFI_Expiration=1,IF($A922&lt;VLOOKUP(Q$5,NFI,5,0),1,0)*Table_NFI[[#This Row],[Plastic Mat]],Table_NFI[Plastic Mat])*IF(Table_NFI[[#This Row],[Distribution Date]]&gt;"2014-04-01",1,2.5)</f>
        <v>0</v>
      </c>
      <c r="AI922" s="294">
        <f>IF(NFI_Expiration=1,IF($A922&lt;VLOOKUP(R$5,NFI,5,0),1,0)*Table_NFI[[#This Row],[Winter Clothes Adult]],Table_NFI[Winter Clothes Adult])</f>
        <v>0</v>
      </c>
      <c r="AJ922" s="294">
        <f>IF(NFI_Expiration=1,IF($A922&lt;VLOOKUP(S$5,NFI,5,0),1,0)*Table_NFI[[#This Row],[Winter Clothes Children]],Table_NFI[Winter Clothes Children])</f>
        <v>0</v>
      </c>
      <c r="AK922" s="294">
        <f>IF(NFI_Expiration=1,IF($A922&lt;VLOOKUP(T$5,NFI,5,0),1,0)*Table_NFI[[#This Row],[Winter Items Other]],Table_NFI[Winter Items Other])</f>
        <v>0</v>
      </c>
      <c r="AL922" s="294">
        <f>IF(NFI_Expiration=1,IF($A922&lt;VLOOKUP(M$5,NFI,5,0),1,0)*Table_NFI[[#This Row],[Winter Blanket]],Table_NFI[[#This Row],[Winter Blanket]])</f>
        <v>0</v>
      </c>
      <c r="AM922" s="294">
        <f>IF(Table_NFI[[#This Row],[Winter Clothes Adult]]+Table_NFI[[#This Row],[Winter Clothes Children]]+Table_NFI[[#This Row],[Winter Items Other]]+Table_NFI[[#This Row],[Winter Blanket]]&gt;0,1,0)</f>
        <v>0</v>
      </c>
      <c r="AN922" s="331">
        <f>IF(NFI_Expiration=1,IF($A922&lt;VLOOKUP(V$5,NFI,5,0),1,0)*Table_NFI[[#This Row],[Jerry Can]],Table_NFI[Jerry Can])</f>
        <v>0</v>
      </c>
      <c r="AO922" s="331">
        <f>IF(NFI_Expiration=1,IF($A922&lt;VLOOKUP(V$5,NFI,5,0),1,0)*Table_NFI[[#This Row],[Shelter Tool kit]],Table_NFI[Shelter Tool kit])</f>
        <v>0</v>
      </c>
      <c r="AP922" s="331">
        <f>IF(NFI_Expiration=1,IF($A922&lt;VLOOKUP(V$5,NFI,5,0),1,0)*Table_NFI[[#This Row],[Tent]],Table_NFI[Tent])</f>
        <v>0</v>
      </c>
      <c r="AQ922" s="467" t="str">
        <f>IFERROR(VLOOKUP(Table_NFI[[#This Row],[Camp Name]],CL,2,0),"")</f>
        <v>MMR001CMP023</v>
      </c>
      <c r="AR922" s="835">
        <f ca="1">IF(Table_NFI[[#This Row],[Pcode]]="","",IF(OFFSET(CampList[Opening Date],MATCH(Table_NFI[[#This Row],[Pcode]],CampList[CP_Pcode],0)-1,0,1,1)&gt;=NFI_Monitor_Date,1,0))</f>
        <v>0</v>
      </c>
      <c r="AS922" s="467" t="str">
        <f>IFERROR(VLOOKUP(Table_NFI[[#This Row],[Camp Name]],CL,3,0),"")</f>
        <v>Open</v>
      </c>
      <c r="AT922" s="294" t="str">
        <f ca="1">IF(Table_NFI[[#This Row],[Pcode]]="","",OFFSET(CampList[Priority],MATCH(Table_NFI[[#This Row],[Pcode]],CampList[CP_Pcode],0)-1,0,1,1))</f>
        <v>P4</v>
      </c>
      <c r="AU922" s="293">
        <f>IFERROR(Table_NFI[[#This Row],[Kitchen Set]]/VLOOKUP(Table_NFI[[#This Row],[Camp Name]],CL,4,0),"")</f>
        <v>4.8780487804878051E-5</v>
      </c>
      <c r="AV922" s="461" t="s">
        <v>1092</v>
      </c>
      <c r="AW922" s="463"/>
    </row>
    <row r="923" spans="1:49" ht="14.45" customHeight="1" x14ac:dyDescent="0.25">
      <c r="A923" s="297">
        <f t="shared" si="14"/>
        <v>54.233333333333334</v>
      </c>
      <c r="B923" s="460">
        <v>41109</v>
      </c>
      <c r="C923" s="461" t="s">
        <v>452</v>
      </c>
      <c r="D923" s="461" t="s">
        <v>452</v>
      </c>
      <c r="E923" s="461" t="s">
        <v>380</v>
      </c>
      <c r="F923" s="290" t="s">
        <v>237</v>
      </c>
      <c r="G923" s="290" t="s">
        <v>283</v>
      </c>
      <c r="H923" s="291"/>
      <c r="I923" s="291"/>
      <c r="J923" s="291"/>
      <c r="K923" s="291">
        <v>9</v>
      </c>
      <c r="L923" s="292">
        <v>5</v>
      </c>
      <c r="M923" s="292">
        <v>9</v>
      </c>
      <c r="N923" s="292">
        <v>5</v>
      </c>
      <c r="O923" s="292">
        <v>5</v>
      </c>
      <c r="P923" s="294">
        <v>5</v>
      </c>
      <c r="Q923" s="294">
        <v>5</v>
      </c>
      <c r="R923" s="294"/>
      <c r="S923" s="294"/>
      <c r="T923" s="294"/>
      <c r="U923" s="294"/>
      <c r="V923" s="431"/>
      <c r="W923" s="294"/>
      <c r="X923" s="294"/>
      <c r="Y923" s="294">
        <f>IF(NFI_Expiration=1,IF($A923&lt;VLOOKUP(H$5,NFI,5,0),1,0)*Table_NFI[[#This Row],[Hygiene Kit]],Table_NFI[Hygiene Kit])</f>
        <v>0</v>
      </c>
      <c r="Z923" s="294">
        <f>IF(NFI_Expiration=1,IF($A923&lt;VLOOKUP(I$5,NFI,5,0),1,0)*Table_NFI[[#This Row],[NFI Core Kit]],Table_NFI[NFI Core Kit])</f>
        <v>0</v>
      </c>
      <c r="AA923" s="294">
        <f>IF(NFI_Expiration=1,IF($A923&lt;VLOOKUP(J$5,NFI,5,0),1,0)*Table_NFI[[#This Row],[Sanitary Kit]],Table_NFI[Sanitary Kit])</f>
        <v>0</v>
      </c>
      <c r="AB923" s="294">
        <f>IF(NFI_Expiration=1,IF($A923&lt;VLOOKUP(K$5,NFI,5,0),1,0)*Table_NFI[[#This Row],[Mosquito net]],Table_NFI[Mosquito net])</f>
        <v>0</v>
      </c>
      <c r="AC923" s="294">
        <f>IF(NFI_Expiration=1,IF($A923&lt;VLOOKUP(L$5,NFI,5,0),1,0)*Table_NFI[[#This Row],[Tarpaulin]],Table_NFI[[#This Row],[Tarpaulin]])</f>
        <v>0</v>
      </c>
      <c r="AD923" s="294">
        <f>IF(NFI_Expiration=1,IF($A923&lt;VLOOKUP(M$5,NFI,5,0),1,0)*Table_NFI[[#This Row],[Blanket]],Table_NFI[[#This Row],[Blanket]])</f>
        <v>0</v>
      </c>
      <c r="AE923" s="294">
        <f>IF(NFI_Expiration=1,IF($A923&lt;VLOOKUP(N$5,NFI,5,0),1,0)*Table_NFI[[#This Row],[Kitchen Set]],Table_NFI[Kitchen Set])</f>
        <v>0</v>
      </c>
      <c r="AF923" s="294">
        <f>IF(NFI_Expiration=1,IF($A923&lt;VLOOKUP(O$5,NFI,5,0),1,0)*Table_NFI[[#This Row],[Clothes Kit]],Table_NFI[Clothes Kit])</f>
        <v>0</v>
      </c>
      <c r="AG923" s="294">
        <f>IF(NFI_Expiration=1,IF($A923&lt;VLOOKUP(P$5,NFI,5,0),1,0)*Table_NFI[[#This Row],[Plastic Bucket]],Table_NFI[Plastic Bucket])</f>
        <v>0</v>
      </c>
      <c r="AH923" s="294">
        <f>IF(NFI_Expiration=1,IF($A923&lt;VLOOKUP(Q$5,NFI,5,0),1,0)*Table_NFI[[#This Row],[Plastic Mat]],Table_NFI[Plastic Mat])*IF(Table_NFI[[#This Row],[Distribution Date]]&gt;"2014-04-01",1,2.5)</f>
        <v>0</v>
      </c>
      <c r="AI923" s="294">
        <f>IF(NFI_Expiration=1,IF($A923&lt;VLOOKUP(R$5,NFI,5,0),1,0)*Table_NFI[[#This Row],[Winter Clothes Adult]],Table_NFI[Winter Clothes Adult])</f>
        <v>0</v>
      </c>
      <c r="AJ923" s="294">
        <f>IF(NFI_Expiration=1,IF($A923&lt;VLOOKUP(S$5,NFI,5,0),1,0)*Table_NFI[[#This Row],[Winter Clothes Children]],Table_NFI[Winter Clothes Children])</f>
        <v>0</v>
      </c>
      <c r="AK923" s="294">
        <f>IF(NFI_Expiration=1,IF($A923&lt;VLOOKUP(T$5,NFI,5,0),1,0)*Table_NFI[[#This Row],[Winter Items Other]],Table_NFI[Winter Items Other])</f>
        <v>0</v>
      </c>
      <c r="AL923" s="294">
        <f>IF(NFI_Expiration=1,IF($A923&lt;VLOOKUP(M$5,NFI,5,0),1,0)*Table_NFI[[#This Row],[Winter Blanket]],Table_NFI[[#This Row],[Winter Blanket]])</f>
        <v>0</v>
      </c>
      <c r="AM923" s="294">
        <f>IF(Table_NFI[[#This Row],[Winter Clothes Adult]]+Table_NFI[[#This Row],[Winter Clothes Children]]+Table_NFI[[#This Row],[Winter Items Other]]+Table_NFI[[#This Row],[Winter Blanket]]&gt;0,1,0)</f>
        <v>0</v>
      </c>
      <c r="AN923" s="331">
        <f>IF(NFI_Expiration=1,IF($A923&lt;VLOOKUP(V$5,NFI,5,0),1,0)*Table_NFI[[#This Row],[Jerry Can]],Table_NFI[Jerry Can])</f>
        <v>0</v>
      </c>
      <c r="AO923" s="331">
        <f>IF(NFI_Expiration=1,IF($A923&lt;VLOOKUP(V$5,NFI,5,0),1,0)*Table_NFI[[#This Row],[Shelter Tool kit]],Table_NFI[Shelter Tool kit])</f>
        <v>0</v>
      </c>
      <c r="AP923" s="331">
        <f>IF(NFI_Expiration=1,IF($A923&lt;VLOOKUP(V$5,NFI,5,0),1,0)*Table_NFI[[#This Row],[Tent]],Table_NFI[Tent])</f>
        <v>0</v>
      </c>
      <c r="AQ923" s="467" t="str">
        <f>IFERROR(VLOOKUP(Table_NFI[[#This Row],[Camp Name]],CL,2,0),"")</f>
        <v>MMR001CMP022</v>
      </c>
      <c r="AR923" s="835">
        <f ca="1">IF(Table_NFI[[#This Row],[Pcode]]="","",IF(OFFSET(CampList[Opening Date],MATCH(Table_NFI[[#This Row],[Pcode]],CampList[CP_Pcode],0)-1,0,1,1)&gt;=NFI_Monitor_Date,1,0))</f>
        <v>0</v>
      </c>
      <c r="AS923" s="467" t="str">
        <f>IFERROR(VLOOKUP(Table_NFI[[#This Row],[Camp Name]],CL,3,0),"")</f>
        <v>Open</v>
      </c>
      <c r="AT923" s="294" t="str">
        <f ca="1">IF(Table_NFI[[#This Row],[Pcode]]="","",OFFSET(CampList[Priority],MATCH(Table_NFI[[#This Row],[Pcode]],CampList[CP_Pcode],0)-1,0,1,1))</f>
        <v>P4</v>
      </c>
      <c r="AU923" s="293">
        <f>IFERROR(Table_NFI[[#This Row],[Kitchen Set]]/VLOOKUP(Table_NFI[[#This Row],[Camp Name]],CL,4,0),"")</f>
        <v>1.2195121951219512E-4</v>
      </c>
      <c r="AV923" s="461" t="s">
        <v>1092</v>
      </c>
      <c r="AW923" s="463"/>
    </row>
    <row r="924" spans="1:49" ht="15" customHeight="1" x14ac:dyDescent="0.25">
      <c r="A924" s="297">
        <f t="shared" si="14"/>
        <v>54.266666666666666</v>
      </c>
      <c r="B924" s="460">
        <v>41108</v>
      </c>
      <c r="C924" s="461" t="s">
        <v>905</v>
      </c>
      <c r="D924" s="461" t="s">
        <v>1002</v>
      </c>
      <c r="E924" s="461" t="s">
        <v>380</v>
      </c>
      <c r="F924" s="461" t="s">
        <v>185</v>
      </c>
      <c r="G924" s="461" t="s">
        <v>192</v>
      </c>
      <c r="H924" s="294">
        <v>33</v>
      </c>
      <c r="I924" s="291"/>
      <c r="J924" s="291"/>
      <c r="K924" s="291"/>
      <c r="L924" s="292"/>
      <c r="M924" s="292"/>
      <c r="N924" s="292"/>
      <c r="O924" s="292"/>
      <c r="P924" s="294"/>
      <c r="Q924" s="294"/>
      <c r="R924" s="294"/>
      <c r="S924" s="294"/>
      <c r="T924" s="294"/>
      <c r="U924" s="294"/>
      <c r="V924" s="431"/>
      <c r="W924" s="294"/>
      <c r="X924" s="294"/>
      <c r="Y924" s="294">
        <f>IF(NFI_Expiration=1,IF($A924&lt;VLOOKUP(H$5,NFI,5,0),1,0)*Table_NFI[[#This Row],[Hygiene Kit]],Table_NFI[Hygiene Kit])</f>
        <v>0</v>
      </c>
      <c r="Z924" s="294">
        <f>IF(NFI_Expiration=1,IF($A924&lt;VLOOKUP(I$5,NFI,5,0),1,0)*Table_NFI[[#This Row],[NFI Core Kit]],Table_NFI[NFI Core Kit])</f>
        <v>0</v>
      </c>
      <c r="AA924" s="294">
        <f>IF(NFI_Expiration=1,IF($A924&lt;VLOOKUP(J$5,NFI,5,0),1,0)*Table_NFI[[#This Row],[Sanitary Kit]],Table_NFI[Sanitary Kit])</f>
        <v>0</v>
      </c>
      <c r="AB924" s="294">
        <f>IF(NFI_Expiration=1,IF($A924&lt;VLOOKUP(K$5,NFI,5,0),1,0)*Table_NFI[[#This Row],[Mosquito net]],Table_NFI[Mosquito net])</f>
        <v>0</v>
      </c>
      <c r="AC924" s="294">
        <f>IF(NFI_Expiration=1,IF($A924&lt;VLOOKUP(L$5,NFI,5,0),1,0)*Table_NFI[[#This Row],[Tarpaulin]],Table_NFI[[#This Row],[Tarpaulin]])</f>
        <v>0</v>
      </c>
      <c r="AD924" s="294">
        <f>IF(NFI_Expiration=1,IF($A924&lt;VLOOKUP(M$5,NFI,5,0),1,0)*Table_NFI[[#This Row],[Blanket]],Table_NFI[[#This Row],[Blanket]])</f>
        <v>0</v>
      </c>
      <c r="AE924" s="294">
        <f>IF(NFI_Expiration=1,IF($A924&lt;VLOOKUP(N$5,NFI,5,0),1,0)*Table_NFI[[#This Row],[Kitchen Set]],Table_NFI[Kitchen Set])</f>
        <v>0</v>
      </c>
      <c r="AF924" s="294">
        <f>IF(NFI_Expiration=1,IF($A924&lt;VLOOKUP(O$5,NFI,5,0),1,0)*Table_NFI[[#This Row],[Clothes Kit]],Table_NFI[Clothes Kit])</f>
        <v>0</v>
      </c>
      <c r="AG924" s="294">
        <f>IF(NFI_Expiration=1,IF($A924&lt;VLOOKUP(P$5,NFI,5,0),1,0)*Table_NFI[[#This Row],[Plastic Bucket]],Table_NFI[Plastic Bucket])</f>
        <v>0</v>
      </c>
      <c r="AH924" s="294">
        <f>IF(NFI_Expiration=1,IF($A924&lt;VLOOKUP(Q$5,NFI,5,0),1,0)*Table_NFI[[#This Row],[Plastic Mat]],Table_NFI[Plastic Mat])*IF(Table_NFI[[#This Row],[Distribution Date]]&gt;"2014-04-01",1,2.5)</f>
        <v>0</v>
      </c>
      <c r="AI924" s="294">
        <f>IF(NFI_Expiration=1,IF($A924&lt;VLOOKUP(R$5,NFI,5,0),1,0)*Table_NFI[[#This Row],[Winter Clothes Adult]],Table_NFI[Winter Clothes Adult])</f>
        <v>0</v>
      </c>
      <c r="AJ924" s="294">
        <f>IF(NFI_Expiration=1,IF($A924&lt;VLOOKUP(S$5,NFI,5,0),1,0)*Table_NFI[[#This Row],[Winter Clothes Children]],Table_NFI[Winter Clothes Children])</f>
        <v>0</v>
      </c>
      <c r="AK924" s="294">
        <f>IF(NFI_Expiration=1,IF($A924&lt;VLOOKUP(T$5,NFI,5,0),1,0)*Table_NFI[[#This Row],[Winter Items Other]],Table_NFI[Winter Items Other])</f>
        <v>0</v>
      </c>
      <c r="AL924" s="294">
        <f>IF(NFI_Expiration=1,IF($A924&lt;VLOOKUP(M$5,NFI,5,0),1,0)*Table_NFI[[#This Row],[Winter Blanket]],Table_NFI[[#This Row],[Winter Blanket]])</f>
        <v>0</v>
      </c>
      <c r="AM924" s="294">
        <f>IF(Table_NFI[[#This Row],[Winter Clothes Adult]]+Table_NFI[[#This Row],[Winter Clothes Children]]+Table_NFI[[#This Row],[Winter Items Other]]+Table_NFI[[#This Row],[Winter Blanket]]&gt;0,1,0)</f>
        <v>0</v>
      </c>
      <c r="AN924" s="331">
        <f>IF(NFI_Expiration=1,IF($A924&lt;VLOOKUP(V$5,NFI,5,0),1,0)*Table_NFI[[#This Row],[Jerry Can]],Table_NFI[Jerry Can])</f>
        <v>0</v>
      </c>
      <c r="AO924" s="331">
        <f>IF(NFI_Expiration=1,IF($A924&lt;VLOOKUP(V$5,NFI,5,0),1,0)*Table_NFI[[#This Row],[Shelter Tool kit]],Table_NFI[Shelter Tool kit])</f>
        <v>0</v>
      </c>
      <c r="AP924" s="331">
        <f>IF(NFI_Expiration=1,IF($A924&lt;VLOOKUP(V$5,NFI,5,0),1,0)*Table_NFI[[#This Row],[Tent]],Table_NFI[Tent])</f>
        <v>0</v>
      </c>
      <c r="AQ924" s="467" t="str">
        <f>IFERROR(VLOOKUP(Table_NFI[[#This Row],[Camp Name]],CL,2,0),"")</f>
        <v>MMR001CMP123</v>
      </c>
      <c r="AR924" s="835">
        <f ca="1">IF(Table_NFI[[#This Row],[Pcode]]="","",IF(OFFSET(CampList[Opening Date],MATCH(Table_NFI[[#This Row],[Pcode]],CampList[CP_Pcode],0)-1,0,1,1)&gt;=NFI_Monitor_Date,1,0))</f>
        <v>0</v>
      </c>
      <c r="AS924" s="467" t="str">
        <f>IFERROR(VLOOKUP(Table_NFI[[#This Row],[Camp Name]],CL,3,0),"")</f>
        <v>Open</v>
      </c>
      <c r="AT924" s="294" t="str">
        <f ca="1">IF(Table_NFI[[#This Row],[Pcode]]="","",OFFSET(CampList[Priority],MATCH(Table_NFI[[#This Row],[Pcode]],CampList[CP_Pcode],0)-1,0,1,1))</f>
        <v>P2</v>
      </c>
      <c r="AU924" s="293">
        <f>IFERROR(Table_NFI[[#This Row],[Kitchen Set]]/VLOOKUP(Table_NFI[[#This Row],[Camp Name]],CL,4,0),"")</f>
        <v>0</v>
      </c>
      <c r="AV924" s="461"/>
      <c r="AW924" s="463"/>
    </row>
    <row r="925" spans="1:49" x14ac:dyDescent="0.25">
      <c r="A925" s="297">
        <f t="shared" si="14"/>
        <v>54.266666666666666</v>
      </c>
      <c r="B925" s="460">
        <v>41108</v>
      </c>
      <c r="C925" s="461" t="s">
        <v>452</v>
      </c>
      <c r="D925" s="462" t="s">
        <v>452</v>
      </c>
      <c r="E925" s="461" t="s">
        <v>380</v>
      </c>
      <c r="F925" s="290" t="s">
        <v>151</v>
      </c>
      <c r="G925" s="290" t="s">
        <v>518</v>
      </c>
      <c r="H925" s="291"/>
      <c r="I925" s="291"/>
      <c r="J925" s="291"/>
      <c r="K925" s="291">
        <v>170</v>
      </c>
      <c r="L925" s="292">
        <v>16</v>
      </c>
      <c r="M925" s="292">
        <v>170</v>
      </c>
      <c r="N925" s="292">
        <v>85</v>
      </c>
      <c r="O925" s="292">
        <v>85</v>
      </c>
      <c r="P925" s="294">
        <v>85</v>
      </c>
      <c r="Q925" s="294">
        <v>85</v>
      </c>
      <c r="R925" s="294"/>
      <c r="S925" s="294"/>
      <c r="T925" s="294"/>
      <c r="U925" s="294"/>
      <c r="V925" s="431"/>
      <c r="W925" s="294"/>
      <c r="X925" s="294"/>
      <c r="Y925" s="294">
        <f>IF(NFI_Expiration=1,IF($A925&lt;VLOOKUP(H$5,NFI,5,0),1,0)*Table_NFI[[#This Row],[Hygiene Kit]],Table_NFI[Hygiene Kit])</f>
        <v>0</v>
      </c>
      <c r="Z925" s="294">
        <f>IF(NFI_Expiration=1,IF($A925&lt;VLOOKUP(I$5,NFI,5,0),1,0)*Table_NFI[[#This Row],[NFI Core Kit]],Table_NFI[NFI Core Kit])</f>
        <v>0</v>
      </c>
      <c r="AA925" s="294">
        <f>IF(NFI_Expiration=1,IF($A925&lt;VLOOKUP(J$5,NFI,5,0),1,0)*Table_NFI[[#This Row],[Sanitary Kit]],Table_NFI[Sanitary Kit])</f>
        <v>0</v>
      </c>
      <c r="AB925" s="294">
        <f>IF(NFI_Expiration=1,IF($A925&lt;VLOOKUP(K$5,NFI,5,0),1,0)*Table_NFI[[#This Row],[Mosquito net]],Table_NFI[Mosquito net])</f>
        <v>0</v>
      </c>
      <c r="AC925" s="294">
        <f>IF(NFI_Expiration=1,IF($A925&lt;VLOOKUP(L$5,NFI,5,0),1,0)*Table_NFI[[#This Row],[Tarpaulin]],Table_NFI[[#This Row],[Tarpaulin]])</f>
        <v>0</v>
      </c>
      <c r="AD925" s="294">
        <f>IF(NFI_Expiration=1,IF($A925&lt;VLOOKUP(M$5,NFI,5,0),1,0)*Table_NFI[[#This Row],[Blanket]],Table_NFI[[#This Row],[Blanket]])</f>
        <v>0</v>
      </c>
      <c r="AE925" s="294">
        <f>IF(NFI_Expiration=1,IF($A925&lt;VLOOKUP(N$5,NFI,5,0),1,0)*Table_NFI[[#This Row],[Kitchen Set]],Table_NFI[Kitchen Set])</f>
        <v>0</v>
      </c>
      <c r="AF925" s="294">
        <f>IF(NFI_Expiration=1,IF($A925&lt;VLOOKUP(O$5,NFI,5,0),1,0)*Table_NFI[[#This Row],[Clothes Kit]],Table_NFI[Clothes Kit])</f>
        <v>0</v>
      </c>
      <c r="AG925" s="294">
        <f>IF(NFI_Expiration=1,IF($A925&lt;VLOOKUP(P$5,NFI,5,0),1,0)*Table_NFI[[#This Row],[Plastic Bucket]],Table_NFI[Plastic Bucket])</f>
        <v>0</v>
      </c>
      <c r="AH925" s="294">
        <f>IF(NFI_Expiration=1,IF($A925&lt;VLOOKUP(Q$5,NFI,5,0),1,0)*Table_NFI[[#This Row],[Plastic Mat]],Table_NFI[Plastic Mat])*IF(Table_NFI[[#This Row],[Distribution Date]]&gt;"2014-04-01",1,2.5)</f>
        <v>0</v>
      </c>
      <c r="AI925" s="294">
        <f>IF(NFI_Expiration=1,IF($A925&lt;VLOOKUP(R$5,NFI,5,0),1,0)*Table_NFI[[#This Row],[Winter Clothes Adult]],Table_NFI[Winter Clothes Adult])</f>
        <v>0</v>
      </c>
      <c r="AJ925" s="294">
        <f>IF(NFI_Expiration=1,IF($A925&lt;VLOOKUP(S$5,NFI,5,0),1,0)*Table_NFI[[#This Row],[Winter Clothes Children]],Table_NFI[Winter Clothes Children])</f>
        <v>0</v>
      </c>
      <c r="AK925" s="294">
        <f>IF(NFI_Expiration=1,IF($A925&lt;VLOOKUP(T$5,NFI,5,0),1,0)*Table_NFI[[#This Row],[Winter Items Other]],Table_NFI[Winter Items Other])</f>
        <v>0</v>
      </c>
      <c r="AL925" s="294">
        <f>IF(NFI_Expiration=1,IF($A925&lt;VLOOKUP(M$5,NFI,5,0),1,0)*Table_NFI[[#This Row],[Winter Blanket]],Table_NFI[[#This Row],[Winter Blanket]])</f>
        <v>0</v>
      </c>
      <c r="AM925" s="294">
        <f>IF(Table_NFI[[#This Row],[Winter Clothes Adult]]+Table_NFI[[#This Row],[Winter Clothes Children]]+Table_NFI[[#This Row],[Winter Items Other]]+Table_NFI[[#This Row],[Winter Blanket]]&gt;0,1,0)</f>
        <v>0</v>
      </c>
      <c r="AN925" s="331">
        <f>IF(NFI_Expiration=1,IF($A925&lt;VLOOKUP(V$5,NFI,5,0),1,0)*Table_NFI[[#This Row],[Jerry Can]],Table_NFI[Jerry Can])</f>
        <v>0</v>
      </c>
      <c r="AO925" s="331">
        <f>IF(NFI_Expiration=1,IF($A925&lt;VLOOKUP(V$5,NFI,5,0),1,0)*Table_NFI[[#This Row],[Shelter Tool kit]],Table_NFI[Shelter Tool kit])</f>
        <v>0</v>
      </c>
      <c r="AP925" s="331">
        <f>IF(NFI_Expiration=1,IF($A925&lt;VLOOKUP(V$5,NFI,5,0),1,0)*Table_NFI[[#This Row],[Tent]],Table_NFI[Tent])</f>
        <v>0</v>
      </c>
      <c r="AQ925" s="467" t="str">
        <f>IFERROR(VLOOKUP(Table_NFI[[#This Row],[Camp Name]],CL,2,0),"")</f>
        <v>MMR001CMP203</v>
      </c>
      <c r="AR925" s="835">
        <f ca="1">IF(Table_NFI[[#This Row],[Pcode]]="","",IF(OFFSET(CampList[Opening Date],MATCH(Table_NFI[[#This Row],[Pcode]],CampList[CP_Pcode],0)-1,0,1,1)&gt;=NFI_Monitor_Date,1,0))</f>
        <v>0</v>
      </c>
      <c r="AS925" s="467" t="str">
        <f>IFERROR(VLOOKUP(Table_NFI[[#This Row],[Camp Name]],CL,3,0),"")</f>
        <v>Closed</v>
      </c>
      <c r="AT925" s="294" t="str">
        <f ca="1">IF(Table_NFI[[#This Row],[Pcode]]="","",OFFSET(CampList[Priority],MATCH(Table_NFI[[#This Row],[Pcode]],CampList[CP_Pcode],0)-1,0,1,1))</f>
        <v/>
      </c>
      <c r="AU925" s="293">
        <f>IFERROR(Table_NFI[[#This Row],[Kitchen Set]]/VLOOKUP(Table_NFI[[#This Row],[Camp Name]],CL,4,0),"")</f>
        <v>2.0685794942931542E-3</v>
      </c>
      <c r="AV925" s="461" t="s">
        <v>1092</v>
      </c>
      <c r="AW925" s="463"/>
    </row>
    <row r="926" spans="1:49" x14ac:dyDescent="0.25">
      <c r="A926" s="297">
        <f t="shared" si="14"/>
        <v>54.266666666666666</v>
      </c>
      <c r="B926" s="460">
        <v>41108</v>
      </c>
      <c r="C926" s="461" t="s">
        <v>452</v>
      </c>
      <c r="D926" s="462" t="s">
        <v>452</v>
      </c>
      <c r="E926" s="461" t="s">
        <v>380</v>
      </c>
      <c r="F926" s="290" t="s">
        <v>151</v>
      </c>
      <c r="G926" s="290" t="s">
        <v>164</v>
      </c>
      <c r="H926" s="291"/>
      <c r="I926" s="291"/>
      <c r="J926" s="291"/>
      <c r="K926" s="291">
        <v>206</v>
      </c>
      <c r="L926" s="292">
        <v>78</v>
      </c>
      <c r="M926" s="292">
        <v>206</v>
      </c>
      <c r="N926" s="292">
        <v>103</v>
      </c>
      <c r="O926" s="292">
        <v>103</v>
      </c>
      <c r="P926" s="294">
        <v>103</v>
      </c>
      <c r="Q926" s="294">
        <v>103</v>
      </c>
      <c r="R926" s="294"/>
      <c r="S926" s="294"/>
      <c r="T926" s="294"/>
      <c r="U926" s="294"/>
      <c r="V926" s="431"/>
      <c r="W926" s="331"/>
      <c r="X926" s="331"/>
      <c r="Y926" s="294">
        <f>IF(NFI_Expiration=1,IF($A926&lt;VLOOKUP(H$5,NFI,5,0),1,0)*Table_NFI[[#This Row],[Hygiene Kit]],Table_NFI[Hygiene Kit])</f>
        <v>0</v>
      </c>
      <c r="Z926" s="294">
        <f>IF(NFI_Expiration=1,IF($A926&lt;VLOOKUP(I$5,NFI,5,0),1,0)*Table_NFI[[#This Row],[NFI Core Kit]],Table_NFI[NFI Core Kit])</f>
        <v>0</v>
      </c>
      <c r="AA926" s="294">
        <f>IF(NFI_Expiration=1,IF($A926&lt;VLOOKUP(J$5,NFI,5,0),1,0)*Table_NFI[[#This Row],[Sanitary Kit]],Table_NFI[Sanitary Kit])</f>
        <v>0</v>
      </c>
      <c r="AB926" s="294">
        <f>IF(NFI_Expiration=1,IF($A926&lt;VLOOKUP(K$5,NFI,5,0),1,0)*Table_NFI[[#This Row],[Mosquito net]],Table_NFI[Mosquito net])</f>
        <v>0</v>
      </c>
      <c r="AC926" s="294">
        <f>IF(NFI_Expiration=1,IF($A926&lt;VLOOKUP(L$5,NFI,5,0),1,0)*Table_NFI[[#This Row],[Tarpaulin]],Table_NFI[[#This Row],[Tarpaulin]])</f>
        <v>0</v>
      </c>
      <c r="AD926" s="294">
        <f>IF(NFI_Expiration=1,IF($A926&lt;VLOOKUP(M$5,NFI,5,0),1,0)*Table_NFI[[#This Row],[Blanket]],Table_NFI[[#This Row],[Blanket]])</f>
        <v>0</v>
      </c>
      <c r="AE926" s="294">
        <f>IF(NFI_Expiration=1,IF($A926&lt;VLOOKUP(N$5,NFI,5,0),1,0)*Table_NFI[[#This Row],[Kitchen Set]],Table_NFI[Kitchen Set])</f>
        <v>0</v>
      </c>
      <c r="AF926" s="294">
        <f>IF(NFI_Expiration=1,IF($A926&lt;VLOOKUP(O$5,NFI,5,0),1,0)*Table_NFI[[#This Row],[Clothes Kit]],Table_NFI[Clothes Kit])</f>
        <v>0</v>
      </c>
      <c r="AG926" s="294">
        <f>IF(NFI_Expiration=1,IF($A926&lt;VLOOKUP(P$5,NFI,5,0),1,0)*Table_NFI[[#This Row],[Plastic Bucket]],Table_NFI[Plastic Bucket])</f>
        <v>0</v>
      </c>
      <c r="AH926" s="294">
        <f>IF(NFI_Expiration=1,IF($A926&lt;VLOOKUP(Q$5,NFI,5,0),1,0)*Table_NFI[[#This Row],[Plastic Mat]],Table_NFI[Plastic Mat])*IF(Table_NFI[[#This Row],[Distribution Date]]&gt;"2014-04-01",1,2.5)</f>
        <v>0</v>
      </c>
      <c r="AI926" s="294">
        <f>IF(NFI_Expiration=1,IF($A926&lt;VLOOKUP(R$5,NFI,5,0),1,0)*Table_NFI[[#This Row],[Winter Clothes Adult]],Table_NFI[Winter Clothes Adult])</f>
        <v>0</v>
      </c>
      <c r="AJ926" s="294">
        <f>IF(NFI_Expiration=1,IF($A926&lt;VLOOKUP(S$5,NFI,5,0),1,0)*Table_NFI[[#This Row],[Winter Clothes Children]],Table_NFI[Winter Clothes Children])</f>
        <v>0</v>
      </c>
      <c r="AK926" s="294">
        <f>IF(NFI_Expiration=1,IF($A926&lt;VLOOKUP(T$5,NFI,5,0),1,0)*Table_NFI[[#This Row],[Winter Items Other]],Table_NFI[Winter Items Other])</f>
        <v>0</v>
      </c>
      <c r="AL926" s="294">
        <f>IF(NFI_Expiration=1,IF($A926&lt;VLOOKUP(M$5,NFI,5,0),1,0)*Table_NFI[[#This Row],[Winter Blanket]],Table_NFI[[#This Row],[Winter Blanket]])</f>
        <v>0</v>
      </c>
      <c r="AM926" s="294">
        <f>IF(Table_NFI[[#This Row],[Winter Clothes Adult]]+Table_NFI[[#This Row],[Winter Clothes Children]]+Table_NFI[[#This Row],[Winter Items Other]]+Table_NFI[[#This Row],[Winter Blanket]]&gt;0,1,0)</f>
        <v>0</v>
      </c>
      <c r="AN926" s="331">
        <f>IF(NFI_Expiration=1,IF($A926&lt;VLOOKUP(V$5,NFI,5,0),1,0)*Table_NFI[[#This Row],[Jerry Can]],Table_NFI[Jerry Can])</f>
        <v>0</v>
      </c>
      <c r="AO926" s="331">
        <f>IF(NFI_Expiration=1,IF($A926&lt;VLOOKUP(V$5,NFI,5,0),1,0)*Table_NFI[[#This Row],[Shelter Tool kit]],Table_NFI[Shelter Tool kit])</f>
        <v>0</v>
      </c>
      <c r="AP926" s="331">
        <f>IF(NFI_Expiration=1,IF($A926&lt;VLOOKUP(V$5,NFI,5,0),1,0)*Table_NFI[[#This Row],[Tent]],Table_NFI[Tent])</f>
        <v>0</v>
      </c>
      <c r="AQ926" s="467" t="str">
        <f>IFERROR(VLOOKUP(Table_NFI[[#This Row],[Camp Name]],CL,2,0),"")</f>
        <v>MMR001CMP137</v>
      </c>
      <c r="AR926" s="835">
        <f ca="1">IF(Table_NFI[[#This Row],[Pcode]]="","",IF(OFFSET(CampList[Opening Date],MATCH(Table_NFI[[#This Row],[Pcode]],CampList[CP_Pcode],0)-1,0,1,1)&gt;=NFI_Monitor_Date,1,0))</f>
        <v>0</v>
      </c>
      <c r="AS926" s="467" t="str">
        <f>IFERROR(VLOOKUP(Table_NFI[[#This Row],[Camp Name]],CL,3,0),"")</f>
        <v>Closed</v>
      </c>
      <c r="AT926" s="294" t="str">
        <f ca="1">IF(Table_NFI[[#This Row],[Pcode]]="","",OFFSET(CampList[Priority],MATCH(Table_NFI[[#This Row],[Pcode]],CampList[CP_Pcode],0)-1,0,1,1))</f>
        <v/>
      </c>
      <c r="AU926" s="293" t="str">
        <f>IFERROR(Table_NFI[[#This Row],[Kitchen Set]]/VLOOKUP(Table_NFI[[#This Row],[Camp Name]],CL,4,0),"")</f>
        <v/>
      </c>
      <c r="AV926" s="461" t="s">
        <v>1092</v>
      </c>
      <c r="AW926" s="463"/>
    </row>
    <row r="927" spans="1:49" x14ac:dyDescent="0.25">
      <c r="A927" s="297">
        <f t="shared" si="14"/>
        <v>54.3</v>
      </c>
      <c r="B927" s="460">
        <v>41107</v>
      </c>
      <c r="C927" s="461" t="s">
        <v>452</v>
      </c>
      <c r="D927" s="461" t="s">
        <v>452</v>
      </c>
      <c r="E927" s="461" t="s">
        <v>380</v>
      </c>
      <c r="F927" s="461" t="s">
        <v>310</v>
      </c>
      <c r="G927" s="290" t="s">
        <v>334</v>
      </c>
      <c r="H927" s="291"/>
      <c r="I927" s="291"/>
      <c r="J927" s="291"/>
      <c r="K927" s="291">
        <v>19</v>
      </c>
      <c r="L927" s="292">
        <v>19</v>
      </c>
      <c r="M927" s="292">
        <v>19</v>
      </c>
      <c r="N927" s="292">
        <v>19</v>
      </c>
      <c r="O927" s="292">
        <v>19</v>
      </c>
      <c r="P927" s="294">
        <v>19</v>
      </c>
      <c r="Q927" s="294">
        <v>19</v>
      </c>
      <c r="R927" s="294"/>
      <c r="S927" s="294"/>
      <c r="T927" s="294"/>
      <c r="U927" s="294"/>
      <c r="V927" s="431"/>
      <c r="W927" s="294"/>
      <c r="X927" s="294"/>
      <c r="Y927" s="294">
        <f>IF(NFI_Expiration=1,IF($A927&lt;VLOOKUP(H$5,NFI,5,0),1,0)*Table_NFI[[#This Row],[Hygiene Kit]],Table_NFI[Hygiene Kit])</f>
        <v>0</v>
      </c>
      <c r="Z927" s="294">
        <f>IF(NFI_Expiration=1,IF($A927&lt;VLOOKUP(I$5,NFI,5,0),1,0)*Table_NFI[[#This Row],[NFI Core Kit]],Table_NFI[NFI Core Kit])</f>
        <v>0</v>
      </c>
      <c r="AA927" s="294">
        <f>IF(NFI_Expiration=1,IF($A927&lt;VLOOKUP(J$5,NFI,5,0),1,0)*Table_NFI[[#This Row],[Sanitary Kit]],Table_NFI[Sanitary Kit])</f>
        <v>0</v>
      </c>
      <c r="AB927" s="294">
        <f>IF(NFI_Expiration=1,IF($A927&lt;VLOOKUP(K$5,NFI,5,0),1,0)*Table_NFI[[#This Row],[Mosquito net]],Table_NFI[Mosquito net])</f>
        <v>0</v>
      </c>
      <c r="AC927" s="294">
        <f>IF(NFI_Expiration=1,IF($A927&lt;VLOOKUP(L$5,NFI,5,0),1,0)*Table_NFI[[#This Row],[Tarpaulin]],Table_NFI[[#This Row],[Tarpaulin]])</f>
        <v>0</v>
      </c>
      <c r="AD927" s="294">
        <f>IF(NFI_Expiration=1,IF($A927&lt;VLOOKUP(M$5,NFI,5,0),1,0)*Table_NFI[[#This Row],[Blanket]],Table_NFI[[#This Row],[Blanket]])</f>
        <v>0</v>
      </c>
      <c r="AE927" s="294">
        <f>IF(NFI_Expiration=1,IF($A927&lt;VLOOKUP(N$5,NFI,5,0),1,0)*Table_NFI[[#This Row],[Kitchen Set]],Table_NFI[Kitchen Set])</f>
        <v>0</v>
      </c>
      <c r="AF927" s="294">
        <f>IF(NFI_Expiration=1,IF($A927&lt;VLOOKUP(O$5,NFI,5,0),1,0)*Table_NFI[[#This Row],[Clothes Kit]],Table_NFI[Clothes Kit])</f>
        <v>0</v>
      </c>
      <c r="AG927" s="294">
        <f>IF(NFI_Expiration=1,IF($A927&lt;VLOOKUP(P$5,NFI,5,0),1,0)*Table_NFI[[#This Row],[Plastic Bucket]],Table_NFI[Plastic Bucket])</f>
        <v>0</v>
      </c>
      <c r="AH927" s="294">
        <f>IF(NFI_Expiration=1,IF($A927&lt;VLOOKUP(Q$5,NFI,5,0),1,0)*Table_NFI[[#This Row],[Plastic Mat]],Table_NFI[Plastic Mat])*IF(Table_NFI[[#This Row],[Distribution Date]]&gt;"2014-04-01",1,2.5)</f>
        <v>0</v>
      </c>
      <c r="AI927" s="294">
        <f>IF(NFI_Expiration=1,IF($A927&lt;VLOOKUP(R$5,NFI,5,0),1,0)*Table_NFI[[#This Row],[Winter Clothes Adult]],Table_NFI[Winter Clothes Adult])</f>
        <v>0</v>
      </c>
      <c r="AJ927" s="294">
        <f>IF(NFI_Expiration=1,IF($A927&lt;VLOOKUP(S$5,NFI,5,0),1,0)*Table_NFI[[#This Row],[Winter Clothes Children]],Table_NFI[Winter Clothes Children])</f>
        <v>0</v>
      </c>
      <c r="AK927" s="294">
        <f>IF(NFI_Expiration=1,IF($A927&lt;VLOOKUP(T$5,NFI,5,0),1,0)*Table_NFI[[#This Row],[Winter Items Other]],Table_NFI[Winter Items Other])</f>
        <v>0</v>
      </c>
      <c r="AL927" s="294">
        <f>IF(NFI_Expiration=1,IF($A927&lt;VLOOKUP(M$5,NFI,5,0),1,0)*Table_NFI[[#This Row],[Winter Blanket]],Table_NFI[[#This Row],[Winter Blanket]])</f>
        <v>0</v>
      </c>
      <c r="AM927" s="294">
        <f>IF(Table_NFI[[#This Row],[Winter Clothes Adult]]+Table_NFI[[#This Row],[Winter Clothes Children]]+Table_NFI[[#This Row],[Winter Items Other]]+Table_NFI[[#This Row],[Winter Blanket]]&gt;0,1,0)</f>
        <v>0</v>
      </c>
      <c r="AN927" s="331">
        <f>IF(NFI_Expiration=1,IF($A927&lt;VLOOKUP(V$5,NFI,5,0),1,0)*Table_NFI[[#This Row],[Jerry Can]],Table_NFI[Jerry Can])</f>
        <v>0</v>
      </c>
      <c r="AO927" s="331">
        <f>IF(NFI_Expiration=1,IF($A927&lt;VLOOKUP(V$5,NFI,5,0),1,0)*Table_NFI[[#This Row],[Shelter Tool kit]],Table_NFI[Shelter Tool kit])</f>
        <v>0</v>
      </c>
      <c r="AP927" s="331">
        <f>IF(NFI_Expiration=1,IF($A927&lt;VLOOKUP(V$5,NFI,5,0),1,0)*Table_NFI[[#This Row],[Tent]],Table_NFI[Tent])</f>
        <v>0</v>
      </c>
      <c r="AQ927" s="467" t="str">
        <f>IFERROR(VLOOKUP(Table_NFI[[#This Row],[Camp Name]],CL,2,0),"")</f>
        <v>MMR001CMP113</v>
      </c>
      <c r="AR927" s="835">
        <f ca="1">IF(Table_NFI[[#This Row],[Pcode]]="","",IF(OFFSET(CampList[Opening Date],MATCH(Table_NFI[[#This Row],[Pcode]],CampList[CP_Pcode],0)-1,0,1,1)&gt;=NFI_Monitor_Date,1,0))</f>
        <v>0</v>
      </c>
      <c r="AS927" s="467" t="str">
        <f>IFERROR(VLOOKUP(Table_NFI[[#This Row],[Camp Name]],CL,3,0),"")</f>
        <v>Open</v>
      </c>
      <c r="AT927" s="294" t="str">
        <f ca="1">IF(Table_NFI[[#This Row],[Pcode]]="","",OFFSET(CampList[Priority],MATCH(Table_NFI[[#This Row],[Pcode]],CampList[CP_Pcode],0)-1,0,1,1))</f>
        <v>P1</v>
      </c>
      <c r="AU927" s="293">
        <f>IFERROR(Table_NFI[[#This Row],[Kitchen Set]]/VLOOKUP(Table_NFI[[#This Row],[Camp Name]],CL,4,0),"")</f>
        <v>4.6513905209557383E-4</v>
      </c>
      <c r="AV927" s="461" t="s">
        <v>1092</v>
      </c>
      <c r="AW927" s="463"/>
    </row>
    <row r="928" spans="1:49" ht="14.45" customHeight="1" x14ac:dyDescent="0.25">
      <c r="A928" s="297">
        <f t="shared" si="14"/>
        <v>54.3</v>
      </c>
      <c r="B928" s="460">
        <v>41107</v>
      </c>
      <c r="C928" s="461" t="s">
        <v>452</v>
      </c>
      <c r="D928" s="462" t="s">
        <v>452</v>
      </c>
      <c r="E928" s="461" t="s">
        <v>380</v>
      </c>
      <c r="F928" s="290" t="s">
        <v>237</v>
      </c>
      <c r="G928" s="290" t="s">
        <v>243</v>
      </c>
      <c r="H928" s="291"/>
      <c r="I928" s="291"/>
      <c r="J928" s="291"/>
      <c r="K928" s="291">
        <v>5</v>
      </c>
      <c r="L928" s="292">
        <v>5</v>
      </c>
      <c r="M928" s="292">
        <v>5</v>
      </c>
      <c r="N928" s="292">
        <v>5</v>
      </c>
      <c r="O928" s="292">
        <v>5</v>
      </c>
      <c r="P928" s="294">
        <v>5</v>
      </c>
      <c r="Q928" s="294">
        <v>5</v>
      </c>
      <c r="R928" s="294"/>
      <c r="S928" s="294"/>
      <c r="T928" s="294"/>
      <c r="U928" s="294"/>
      <c r="V928" s="431"/>
      <c r="W928" s="294"/>
      <c r="X928" s="294"/>
      <c r="Y928" s="294">
        <f>IF(NFI_Expiration=1,IF($A928&lt;VLOOKUP(H$5,NFI,5,0),1,0)*Table_NFI[[#This Row],[Hygiene Kit]],Table_NFI[Hygiene Kit])</f>
        <v>0</v>
      </c>
      <c r="Z928" s="294">
        <f>IF(NFI_Expiration=1,IF($A928&lt;VLOOKUP(I$5,NFI,5,0),1,0)*Table_NFI[[#This Row],[NFI Core Kit]],Table_NFI[NFI Core Kit])</f>
        <v>0</v>
      </c>
      <c r="AA928" s="294">
        <f>IF(NFI_Expiration=1,IF($A928&lt;VLOOKUP(J$5,NFI,5,0),1,0)*Table_NFI[[#This Row],[Sanitary Kit]],Table_NFI[Sanitary Kit])</f>
        <v>0</v>
      </c>
      <c r="AB928" s="294">
        <f>IF(NFI_Expiration=1,IF($A928&lt;VLOOKUP(K$5,NFI,5,0),1,0)*Table_NFI[[#This Row],[Mosquito net]],Table_NFI[Mosquito net])</f>
        <v>0</v>
      </c>
      <c r="AC928" s="294">
        <f>IF(NFI_Expiration=1,IF($A928&lt;VLOOKUP(L$5,NFI,5,0),1,0)*Table_NFI[[#This Row],[Tarpaulin]],Table_NFI[[#This Row],[Tarpaulin]])</f>
        <v>0</v>
      </c>
      <c r="AD928" s="294">
        <f>IF(NFI_Expiration=1,IF($A928&lt;VLOOKUP(M$5,NFI,5,0),1,0)*Table_NFI[[#This Row],[Blanket]],Table_NFI[[#This Row],[Blanket]])</f>
        <v>0</v>
      </c>
      <c r="AE928" s="294">
        <f>IF(NFI_Expiration=1,IF($A928&lt;VLOOKUP(N$5,NFI,5,0),1,0)*Table_NFI[[#This Row],[Kitchen Set]],Table_NFI[Kitchen Set])</f>
        <v>0</v>
      </c>
      <c r="AF928" s="294">
        <f>IF(NFI_Expiration=1,IF($A928&lt;VLOOKUP(O$5,NFI,5,0),1,0)*Table_NFI[[#This Row],[Clothes Kit]],Table_NFI[Clothes Kit])</f>
        <v>0</v>
      </c>
      <c r="AG928" s="294">
        <f>IF(NFI_Expiration=1,IF($A928&lt;VLOOKUP(P$5,NFI,5,0),1,0)*Table_NFI[[#This Row],[Plastic Bucket]],Table_NFI[Plastic Bucket])</f>
        <v>0</v>
      </c>
      <c r="AH928" s="294">
        <f>IF(NFI_Expiration=1,IF($A928&lt;VLOOKUP(Q$5,NFI,5,0),1,0)*Table_NFI[[#This Row],[Plastic Mat]],Table_NFI[Plastic Mat])*IF(Table_NFI[[#This Row],[Distribution Date]]&gt;"2014-04-01",1,2.5)</f>
        <v>0</v>
      </c>
      <c r="AI928" s="294">
        <f>IF(NFI_Expiration=1,IF($A928&lt;VLOOKUP(R$5,NFI,5,0),1,0)*Table_NFI[[#This Row],[Winter Clothes Adult]],Table_NFI[Winter Clothes Adult])</f>
        <v>0</v>
      </c>
      <c r="AJ928" s="294">
        <f>IF(NFI_Expiration=1,IF($A928&lt;VLOOKUP(S$5,NFI,5,0),1,0)*Table_NFI[[#This Row],[Winter Clothes Children]],Table_NFI[Winter Clothes Children])</f>
        <v>0</v>
      </c>
      <c r="AK928" s="294">
        <f>IF(NFI_Expiration=1,IF($A928&lt;VLOOKUP(T$5,NFI,5,0),1,0)*Table_NFI[[#This Row],[Winter Items Other]],Table_NFI[Winter Items Other])</f>
        <v>0</v>
      </c>
      <c r="AL928" s="294">
        <f>IF(NFI_Expiration=1,IF($A928&lt;VLOOKUP(M$5,NFI,5,0),1,0)*Table_NFI[[#This Row],[Winter Blanket]],Table_NFI[[#This Row],[Winter Blanket]])</f>
        <v>0</v>
      </c>
      <c r="AM928" s="294">
        <f>IF(Table_NFI[[#This Row],[Winter Clothes Adult]]+Table_NFI[[#This Row],[Winter Clothes Children]]+Table_NFI[[#This Row],[Winter Items Other]]+Table_NFI[[#This Row],[Winter Blanket]]&gt;0,1,0)</f>
        <v>0</v>
      </c>
      <c r="AN928" s="331">
        <f>IF(NFI_Expiration=1,IF($A928&lt;VLOOKUP(V$5,NFI,5,0),1,0)*Table_NFI[[#This Row],[Jerry Can]],Table_NFI[Jerry Can])</f>
        <v>0</v>
      </c>
      <c r="AO928" s="331">
        <f>IF(NFI_Expiration=1,IF($A928&lt;VLOOKUP(V$5,NFI,5,0),1,0)*Table_NFI[[#This Row],[Shelter Tool kit]],Table_NFI[Shelter Tool kit])</f>
        <v>0</v>
      </c>
      <c r="AP928" s="331">
        <f>IF(NFI_Expiration=1,IF($A928&lt;VLOOKUP(V$5,NFI,5,0),1,0)*Table_NFI[[#This Row],[Tent]],Table_NFI[Tent])</f>
        <v>0</v>
      </c>
      <c r="AQ928" s="467" t="str">
        <f>IFERROR(VLOOKUP(Table_NFI[[#This Row],[Camp Name]],CL,2,0),"")</f>
        <v>MMR001CMP012</v>
      </c>
      <c r="AR928" s="835">
        <f ca="1">IF(Table_NFI[[#This Row],[Pcode]]="","",IF(OFFSET(CampList[Opening Date],MATCH(Table_NFI[[#This Row],[Pcode]],CampList[CP_Pcode],0)-1,0,1,1)&gt;=NFI_Monitor_Date,1,0))</f>
        <v>0</v>
      </c>
      <c r="AS928" s="467" t="str">
        <f>IFERROR(VLOOKUP(Table_NFI[[#This Row],[Camp Name]],CL,3,0),"")</f>
        <v>Open</v>
      </c>
      <c r="AT928" s="294" t="str">
        <f ca="1">IF(Table_NFI[[#This Row],[Pcode]]="","",OFFSET(CampList[Priority],MATCH(Table_NFI[[#This Row],[Pcode]],CampList[CP_Pcode],0)-1,0,1,1))</f>
        <v>P4</v>
      </c>
      <c r="AU928" s="293">
        <f>IFERROR(Table_NFI[[#This Row],[Kitchen Set]]/VLOOKUP(Table_NFI[[#This Row],[Camp Name]],CL,4,0),"")</f>
        <v>1.2286521685710776E-4</v>
      </c>
      <c r="AV928" s="461" t="s">
        <v>1092</v>
      </c>
      <c r="AW928" s="463"/>
    </row>
    <row r="929" spans="1:49" ht="14.45" customHeight="1" x14ac:dyDescent="0.25">
      <c r="A929" s="297">
        <f t="shared" si="14"/>
        <v>54.3</v>
      </c>
      <c r="B929" s="460">
        <v>41107</v>
      </c>
      <c r="C929" s="461" t="s">
        <v>452</v>
      </c>
      <c r="D929" s="461" t="s">
        <v>452</v>
      </c>
      <c r="E929" s="461" t="s">
        <v>380</v>
      </c>
      <c r="F929" s="290" t="s">
        <v>237</v>
      </c>
      <c r="G929" s="290" t="s">
        <v>245</v>
      </c>
      <c r="H929" s="291"/>
      <c r="I929" s="291"/>
      <c r="J929" s="291"/>
      <c r="K929" s="291">
        <v>6</v>
      </c>
      <c r="L929" s="292">
        <v>6</v>
      </c>
      <c r="M929" s="292">
        <v>6</v>
      </c>
      <c r="N929" s="292">
        <v>6</v>
      </c>
      <c r="O929" s="292">
        <v>6</v>
      </c>
      <c r="P929" s="294">
        <v>6</v>
      </c>
      <c r="Q929" s="294">
        <v>6</v>
      </c>
      <c r="R929" s="294"/>
      <c r="S929" s="294"/>
      <c r="T929" s="294"/>
      <c r="U929" s="294"/>
      <c r="V929" s="431"/>
      <c r="W929" s="294"/>
      <c r="X929" s="294"/>
      <c r="Y929" s="294">
        <f>IF(NFI_Expiration=1,IF($A929&lt;VLOOKUP(H$5,NFI,5,0),1,0)*Table_NFI[[#This Row],[Hygiene Kit]],Table_NFI[Hygiene Kit])</f>
        <v>0</v>
      </c>
      <c r="Z929" s="294">
        <f>IF(NFI_Expiration=1,IF($A929&lt;VLOOKUP(I$5,NFI,5,0),1,0)*Table_NFI[[#This Row],[NFI Core Kit]],Table_NFI[NFI Core Kit])</f>
        <v>0</v>
      </c>
      <c r="AA929" s="294">
        <f>IF(NFI_Expiration=1,IF($A929&lt;VLOOKUP(J$5,NFI,5,0),1,0)*Table_NFI[[#This Row],[Sanitary Kit]],Table_NFI[Sanitary Kit])</f>
        <v>0</v>
      </c>
      <c r="AB929" s="294">
        <f>IF(NFI_Expiration=1,IF($A929&lt;VLOOKUP(K$5,NFI,5,0),1,0)*Table_NFI[[#This Row],[Mosquito net]],Table_NFI[Mosquito net])</f>
        <v>0</v>
      </c>
      <c r="AC929" s="294">
        <f>IF(NFI_Expiration=1,IF($A929&lt;VLOOKUP(L$5,NFI,5,0),1,0)*Table_NFI[[#This Row],[Tarpaulin]],Table_NFI[[#This Row],[Tarpaulin]])</f>
        <v>0</v>
      </c>
      <c r="AD929" s="294">
        <f>IF(NFI_Expiration=1,IF($A929&lt;VLOOKUP(M$5,NFI,5,0),1,0)*Table_NFI[[#This Row],[Blanket]],Table_NFI[[#This Row],[Blanket]])</f>
        <v>0</v>
      </c>
      <c r="AE929" s="294">
        <f>IF(NFI_Expiration=1,IF($A929&lt;VLOOKUP(N$5,NFI,5,0),1,0)*Table_NFI[[#This Row],[Kitchen Set]],Table_NFI[Kitchen Set])</f>
        <v>0</v>
      </c>
      <c r="AF929" s="294">
        <f>IF(NFI_Expiration=1,IF($A929&lt;VLOOKUP(O$5,NFI,5,0),1,0)*Table_NFI[[#This Row],[Clothes Kit]],Table_NFI[Clothes Kit])</f>
        <v>0</v>
      </c>
      <c r="AG929" s="294">
        <f>IF(NFI_Expiration=1,IF($A929&lt;VLOOKUP(P$5,NFI,5,0),1,0)*Table_NFI[[#This Row],[Plastic Bucket]],Table_NFI[Plastic Bucket])</f>
        <v>0</v>
      </c>
      <c r="AH929" s="294">
        <f>IF(NFI_Expiration=1,IF($A929&lt;VLOOKUP(Q$5,NFI,5,0),1,0)*Table_NFI[[#This Row],[Plastic Mat]],Table_NFI[Plastic Mat])*IF(Table_NFI[[#This Row],[Distribution Date]]&gt;"2014-04-01",1,2.5)</f>
        <v>0</v>
      </c>
      <c r="AI929" s="294">
        <f>IF(NFI_Expiration=1,IF($A929&lt;VLOOKUP(R$5,NFI,5,0),1,0)*Table_NFI[[#This Row],[Winter Clothes Adult]],Table_NFI[Winter Clothes Adult])</f>
        <v>0</v>
      </c>
      <c r="AJ929" s="294">
        <f>IF(NFI_Expiration=1,IF($A929&lt;VLOOKUP(S$5,NFI,5,0),1,0)*Table_NFI[[#This Row],[Winter Clothes Children]],Table_NFI[Winter Clothes Children])</f>
        <v>0</v>
      </c>
      <c r="AK929" s="294">
        <f>IF(NFI_Expiration=1,IF($A929&lt;VLOOKUP(T$5,NFI,5,0),1,0)*Table_NFI[[#This Row],[Winter Items Other]],Table_NFI[Winter Items Other])</f>
        <v>0</v>
      </c>
      <c r="AL929" s="294">
        <f>IF(NFI_Expiration=1,IF($A929&lt;VLOOKUP(M$5,NFI,5,0),1,0)*Table_NFI[[#This Row],[Winter Blanket]],Table_NFI[[#This Row],[Winter Blanket]])</f>
        <v>0</v>
      </c>
      <c r="AM929" s="294">
        <f>IF(Table_NFI[[#This Row],[Winter Clothes Adult]]+Table_NFI[[#This Row],[Winter Clothes Children]]+Table_NFI[[#This Row],[Winter Items Other]]+Table_NFI[[#This Row],[Winter Blanket]]&gt;0,1,0)</f>
        <v>0</v>
      </c>
      <c r="AN929" s="331">
        <f>IF(NFI_Expiration=1,IF($A929&lt;VLOOKUP(V$5,NFI,5,0),1,0)*Table_NFI[[#This Row],[Jerry Can]],Table_NFI[Jerry Can])</f>
        <v>0</v>
      </c>
      <c r="AO929" s="331">
        <f>IF(NFI_Expiration=1,IF($A929&lt;VLOOKUP(V$5,NFI,5,0),1,0)*Table_NFI[[#This Row],[Shelter Tool kit]],Table_NFI[Shelter Tool kit])</f>
        <v>0</v>
      </c>
      <c r="AP929" s="331">
        <f>IF(NFI_Expiration=1,IF($A929&lt;VLOOKUP(V$5,NFI,5,0),1,0)*Table_NFI[[#This Row],[Tent]],Table_NFI[Tent])</f>
        <v>0</v>
      </c>
      <c r="AQ929" s="467" t="str">
        <f>IFERROR(VLOOKUP(Table_NFI[[#This Row],[Camp Name]],CL,2,0),"")</f>
        <v>MMR001CMP010</v>
      </c>
      <c r="AR929" s="835">
        <f ca="1">IF(Table_NFI[[#This Row],[Pcode]]="","",IF(OFFSET(CampList[Opening Date],MATCH(Table_NFI[[#This Row],[Pcode]],CampList[CP_Pcode],0)-1,0,1,1)&gt;=NFI_Monitor_Date,1,0))</f>
        <v>0</v>
      </c>
      <c r="AS929" s="467" t="str">
        <f>IFERROR(VLOOKUP(Table_NFI[[#This Row],[Camp Name]],CL,3,0),"")</f>
        <v>Open</v>
      </c>
      <c r="AT929" s="294" t="str">
        <f ca="1">IF(Table_NFI[[#This Row],[Pcode]]="","",OFFSET(CampList[Priority],MATCH(Table_NFI[[#This Row],[Pcode]],CampList[CP_Pcode],0)-1,0,1,1))</f>
        <v>P4</v>
      </c>
      <c r="AU929" s="293">
        <f>IFERROR(Table_NFI[[#This Row],[Kitchen Set]]/VLOOKUP(Table_NFI[[#This Row],[Camp Name]],CL,4,0),"")</f>
        <v>1.474382602285293E-4</v>
      </c>
      <c r="AV929" s="461" t="s">
        <v>1092</v>
      </c>
      <c r="AW929" s="463"/>
    </row>
    <row r="930" spans="1:49" ht="14.45" customHeight="1" x14ac:dyDescent="0.25">
      <c r="A930" s="297">
        <f t="shared" si="14"/>
        <v>54.3</v>
      </c>
      <c r="B930" s="460">
        <v>41107</v>
      </c>
      <c r="C930" s="461" t="s">
        <v>452</v>
      </c>
      <c r="D930" s="461" t="s">
        <v>452</v>
      </c>
      <c r="E930" s="461" t="s">
        <v>380</v>
      </c>
      <c r="F930" s="290" t="s">
        <v>237</v>
      </c>
      <c r="G930" s="290" t="s">
        <v>247</v>
      </c>
      <c r="H930" s="291"/>
      <c r="I930" s="291"/>
      <c r="J930" s="291"/>
      <c r="K930" s="291">
        <v>6</v>
      </c>
      <c r="L930" s="292">
        <v>6</v>
      </c>
      <c r="M930" s="292">
        <v>6</v>
      </c>
      <c r="N930" s="292">
        <v>6</v>
      </c>
      <c r="O930" s="292">
        <v>6</v>
      </c>
      <c r="P930" s="294">
        <v>6</v>
      </c>
      <c r="Q930" s="294">
        <v>6</v>
      </c>
      <c r="R930" s="294"/>
      <c r="S930" s="294"/>
      <c r="T930" s="294"/>
      <c r="U930" s="294"/>
      <c r="V930" s="431"/>
      <c r="W930" s="294"/>
      <c r="X930" s="294"/>
      <c r="Y930" s="294">
        <f>IF(NFI_Expiration=1,IF($A930&lt;VLOOKUP(H$5,NFI,5,0),1,0)*Table_NFI[[#This Row],[Hygiene Kit]],Table_NFI[Hygiene Kit])</f>
        <v>0</v>
      </c>
      <c r="Z930" s="294">
        <f>IF(NFI_Expiration=1,IF($A930&lt;VLOOKUP(I$5,NFI,5,0),1,0)*Table_NFI[[#This Row],[NFI Core Kit]],Table_NFI[NFI Core Kit])</f>
        <v>0</v>
      </c>
      <c r="AA930" s="294">
        <f>IF(NFI_Expiration=1,IF($A930&lt;VLOOKUP(J$5,NFI,5,0),1,0)*Table_NFI[[#This Row],[Sanitary Kit]],Table_NFI[Sanitary Kit])</f>
        <v>0</v>
      </c>
      <c r="AB930" s="294">
        <f>IF(NFI_Expiration=1,IF($A930&lt;VLOOKUP(K$5,NFI,5,0),1,0)*Table_NFI[[#This Row],[Mosquito net]],Table_NFI[Mosquito net])</f>
        <v>0</v>
      </c>
      <c r="AC930" s="294">
        <f>IF(NFI_Expiration=1,IF($A930&lt;VLOOKUP(L$5,NFI,5,0),1,0)*Table_NFI[[#This Row],[Tarpaulin]],Table_NFI[[#This Row],[Tarpaulin]])</f>
        <v>0</v>
      </c>
      <c r="AD930" s="294">
        <f>IF(NFI_Expiration=1,IF($A930&lt;VLOOKUP(M$5,NFI,5,0),1,0)*Table_NFI[[#This Row],[Blanket]],Table_NFI[[#This Row],[Blanket]])</f>
        <v>0</v>
      </c>
      <c r="AE930" s="294">
        <f>IF(NFI_Expiration=1,IF($A930&lt;VLOOKUP(N$5,NFI,5,0),1,0)*Table_NFI[[#This Row],[Kitchen Set]],Table_NFI[Kitchen Set])</f>
        <v>0</v>
      </c>
      <c r="AF930" s="294">
        <f>IF(NFI_Expiration=1,IF($A930&lt;VLOOKUP(O$5,NFI,5,0),1,0)*Table_NFI[[#This Row],[Clothes Kit]],Table_NFI[Clothes Kit])</f>
        <v>0</v>
      </c>
      <c r="AG930" s="294">
        <f>IF(NFI_Expiration=1,IF($A930&lt;VLOOKUP(P$5,NFI,5,0),1,0)*Table_NFI[[#This Row],[Plastic Bucket]],Table_NFI[Plastic Bucket])</f>
        <v>0</v>
      </c>
      <c r="AH930" s="294">
        <f>IF(NFI_Expiration=1,IF($A930&lt;VLOOKUP(Q$5,NFI,5,0),1,0)*Table_NFI[[#This Row],[Plastic Mat]],Table_NFI[Plastic Mat])*IF(Table_NFI[[#This Row],[Distribution Date]]&gt;"2014-04-01",1,2.5)</f>
        <v>0</v>
      </c>
      <c r="AI930" s="294">
        <f>IF(NFI_Expiration=1,IF($A930&lt;VLOOKUP(R$5,NFI,5,0),1,0)*Table_NFI[[#This Row],[Winter Clothes Adult]],Table_NFI[Winter Clothes Adult])</f>
        <v>0</v>
      </c>
      <c r="AJ930" s="294">
        <f>IF(NFI_Expiration=1,IF($A930&lt;VLOOKUP(S$5,NFI,5,0),1,0)*Table_NFI[[#This Row],[Winter Clothes Children]],Table_NFI[Winter Clothes Children])</f>
        <v>0</v>
      </c>
      <c r="AK930" s="294">
        <f>IF(NFI_Expiration=1,IF($A930&lt;VLOOKUP(T$5,NFI,5,0),1,0)*Table_NFI[[#This Row],[Winter Items Other]],Table_NFI[Winter Items Other])</f>
        <v>0</v>
      </c>
      <c r="AL930" s="294">
        <f>IF(NFI_Expiration=1,IF($A930&lt;VLOOKUP(M$5,NFI,5,0),1,0)*Table_NFI[[#This Row],[Winter Blanket]],Table_NFI[[#This Row],[Winter Blanket]])</f>
        <v>0</v>
      </c>
      <c r="AM930" s="294">
        <f>IF(Table_NFI[[#This Row],[Winter Clothes Adult]]+Table_NFI[[#This Row],[Winter Clothes Children]]+Table_NFI[[#This Row],[Winter Items Other]]+Table_NFI[[#This Row],[Winter Blanket]]&gt;0,1,0)</f>
        <v>0</v>
      </c>
      <c r="AN930" s="331">
        <f>IF(NFI_Expiration=1,IF($A930&lt;VLOOKUP(V$5,NFI,5,0),1,0)*Table_NFI[[#This Row],[Jerry Can]],Table_NFI[Jerry Can])</f>
        <v>0</v>
      </c>
      <c r="AO930" s="331">
        <f>IF(NFI_Expiration=1,IF($A930&lt;VLOOKUP(V$5,NFI,5,0),1,0)*Table_NFI[[#This Row],[Shelter Tool kit]],Table_NFI[Shelter Tool kit])</f>
        <v>0</v>
      </c>
      <c r="AP930" s="331">
        <f>IF(NFI_Expiration=1,IF($A930&lt;VLOOKUP(V$5,NFI,5,0),1,0)*Table_NFI[[#This Row],[Tent]],Table_NFI[Tent])</f>
        <v>0</v>
      </c>
      <c r="AQ930" s="467" t="str">
        <f>IFERROR(VLOOKUP(Table_NFI[[#This Row],[Camp Name]],CL,2,0),"")</f>
        <v>MMR001CMP011</v>
      </c>
      <c r="AR930" s="835">
        <f ca="1">IF(Table_NFI[[#This Row],[Pcode]]="","",IF(OFFSET(CampList[Opening Date],MATCH(Table_NFI[[#This Row],[Pcode]],CampList[CP_Pcode],0)-1,0,1,1)&gt;=NFI_Monitor_Date,1,0))</f>
        <v>0</v>
      </c>
      <c r="AS930" s="467" t="str">
        <f>IFERROR(VLOOKUP(Table_NFI[[#This Row],[Camp Name]],CL,3,0),"")</f>
        <v>Open</v>
      </c>
      <c r="AT930" s="294" t="str">
        <f ca="1">IF(Table_NFI[[#This Row],[Pcode]]="","",OFFSET(CampList[Priority],MATCH(Table_NFI[[#This Row],[Pcode]],CampList[CP_Pcode],0)-1,0,1,1))</f>
        <v>P4</v>
      </c>
      <c r="AU930" s="293">
        <f>IFERROR(Table_NFI[[#This Row],[Kitchen Set]]/VLOOKUP(Table_NFI[[#This Row],[Camp Name]],CL,4,0),"")</f>
        <v>1.474382602285293E-4</v>
      </c>
      <c r="AV930" s="461" t="s">
        <v>1092</v>
      </c>
      <c r="AW930" s="463"/>
    </row>
    <row r="931" spans="1:49" ht="14.45" customHeight="1" x14ac:dyDescent="0.25">
      <c r="A931" s="297">
        <f t="shared" si="14"/>
        <v>54.3</v>
      </c>
      <c r="B931" s="460">
        <v>41107</v>
      </c>
      <c r="C931" s="461" t="s">
        <v>452</v>
      </c>
      <c r="D931" s="462" t="s">
        <v>452</v>
      </c>
      <c r="E931" s="461" t="s">
        <v>380</v>
      </c>
      <c r="F931" s="290" t="s">
        <v>185</v>
      </c>
      <c r="G931" s="290" t="s">
        <v>192</v>
      </c>
      <c r="H931" s="291"/>
      <c r="I931" s="296"/>
      <c r="J931" s="289"/>
      <c r="K931" s="289">
        <v>380</v>
      </c>
      <c r="L931" s="289">
        <v>156</v>
      </c>
      <c r="M931" s="289">
        <v>380</v>
      </c>
      <c r="N931" s="289">
        <v>156</v>
      </c>
      <c r="O931" s="289">
        <v>156</v>
      </c>
      <c r="P931" s="294">
        <v>156</v>
      </c>
      <c r="Q931" s="294">
        <v>156</v>
      </c>
      <c r="R931" s="294"/>
      <c r="S931" s="294"/>
      <c r="T931" s="294"/>
      <c r="U931" s="294"/>
      <c r="V931" s="431"/>
      <c r="W931" s="294"/>
      <c r="X931" s="294"/>
      <c r="Y931" s="294">
        <f>IF(NFI_Expiration=1,IF($A931&lt;VLOOKUP(H$5,NFI,5,0),1,0)*Table_NFI[[#This Row],[Hygiene Kit]],Table_NFI[Hygiene Kit])</f>
        <v>0</v>
      </c>
      <c r="Z931" s="294">
        <f>IF(NFI_Expiration=1,IF($A931&lt;VLOOKUP(I$5,NFI,5,0),1,0)*Table_NFI[[#This Row],[NFI Core Kit]],Table_NFI[NFI Core Kit])</f>
        <v>0</v>
      </c>
      <c r="AA931" s="294">
        <f>IF(NFI_Expiration=1,IF($A931&lt;VLOOKUP(J$5,NFI,5,0),1,0)*Table_NFI[[#This Row],[Sanitary Kit]],Table_NFI[Sanitary Kit])</f>
        <v>0</v>
      </c>
      <c r="AB931" s="294">
        <f>IF(NFI_Expiration=1,IF($A931&lt;VLOOKUP(K$5,NFI,5,0),1,0)*Table_NFI[[#This Row],[Mosquito net]],Table_NFI[Mosquito net])</f>
        <v>0</v>
      </c>
      <c r="AC931" s="294">
        <f>IF(NFI_Expiration=1,IF($A931&lt;VLOOKUP(L$5,NFI,5,0),1,0)*Table_NFI[[#This Row],[Tarpaulin]],Table_NFI[[#This Row],[Tarpaulin]])</f>
        <v>0</v>
      </c>
      <c r="AD931" s="294">
        <f>IF(NFI_Expiration=1,IF($A931&lt;VLOOKUP(M$5,NFI,5,0),1,0)*Table_NFI[[#This Row],[Blanket]],Table_NFI[[#This Row],[Blanket]])</f>
        <v>0</v>
      </c>
      <c r="AE931" s="294">
        <f>IF(NFI_Expiration=1,IF($A931&lt;VLOOKUP(N$5,NFI,5,0),1,0)*Table_NFI[[#This Row],[Kitchen Set]],Table_NFI[Kitchen Set])</f>
        <v>0</v>
      </c>
      <c r="AF931" s="294">
        <f>IF(NFI_Expiration=1,IF($A931&lt;VLOOKUP(O$5,NFI,5,0),1,0)*Table_NFI[[#This Row],[Clothes Kit]],Table_NFI[Clothes Kit])</f>
        <v>0</v>
      </c>
      <c r="AG931" s="294">
        <f>IF(NFI_Expiration=1,IF($A931&lt;VLOOKUP(P$5,NFI,5,0),1,0)*Table_NFI[[#This Row],[Plastic Bucket]],Table_NFI[Plastic Bucket])</f>
        <v>0</v>
      </c>
      <c r="AH931" s="294">
        <f>IF(NFI_Expiration=1,IF($A931&lt;VLOOKUP(Q$5,NFI,5,0),1,0)*Table_NFI[[#This Row],[Plastic Mat]],Table_NFI[Plastic Mat])*IF(Table_NFI[[#This Row],[Distribution Date]]&gt;"2014-04-01",1,2.5)</f>
        <v>0</v>
      </c>
      <c r="AI931" s="294">
        <f>IF(NFI_Expiration=1,IF($A931&lt;VLOOKUP(R$5,NFI,5,0),1,0)*Table_NFI[[#This Row],[Winter Clothes Adult]],Table_NFI[Winter Clothes Adult])</f>
        <v>0</v>
      </c>
      <c r="AJ931" s="294">
        <f>IF(NFI_Expiration=1,IF($A931&lt;VLOOKUP(S$5,NFI,5,0),1,0)*Table_NFI[[#This Row],[Winter Clothes Children]],Table_NFI[Winter Clothes Children])</f>
        <v>0</v>
      </c>
      <c r="AK931" s="294">
        <f>IF(NFI_Expiration=1,IF($A931&lt;VLOOKUP(T$5,NFI,5,0),1,0)*Table_NFI[[#This Row],[Winter Items Other]],Table_NFI[Winter Items Other])</f>
        <v>0</v>
      </c>
      <c r="AL931" s="294">
        <f>IF(NFI_Expiration=1,IF($A931&lt;VLOOKUP(M$5,NFI,5,0),1,0)*Table_NFI[[#This Row],[Winter Blanket]],Table_NFI[[#This Row],[Winter Blanket]])</f>
        <v>0</v>
      </c>
      <c r="AM931" s="294">
        <f>IF(Table_NFI[[#This Row],[Winter Clothes Adult]]+Table_NFI[[#This Row],[Winter Clothes Children]]+Table_NFI[[#This Row],[Winter Items Other]]+Table_NFI[[#This Row],[Winter Blanket]]&gt;0,1,0)</f>
        <v>0</v>
      </c>
      <c r="AN931" s="331">
        <f>IF(NFI_Expiration=1,IF($A931&lt;VLOOKUP(V$5,NFI,5,0),1,0)*Table_NFI[[#This Row],[Jerry Can]],Table_NFI[Jerry Can])</f>
        <v>0</v>
      </c>
      <c r="AO931" s="331">
        <f>IF(NFI_Expiration=1,IF($A931&lt;VLOOKUP(V$5,NFI,5,0),1,0)*Table_NFI[[#This Row],[Shelter Tool kit]],Table_NFI[Shelter Tool kit])</f>
        <v>0</v>
      </c>
      <c r="AP931" s="331">
        <f>IF(NFI_Expiration=1,IF($A931&lt;VLOOKUP(V$5,NFI,5,0),1,0)*Table_NFI[[#This Row],[Tent]],Table_NFI[Tent])</f>
        <v>0</v>
      </c>
      <c r="AQ931" s="467" t="str">
        <f>IFERROR(VLOOKUP(Table_NFI[[#This Row],[Camp Name]],CL,2,0),"")</f>
        <v>MMR001CMP123</v>
      </c>
      <c r="AR931" s="835">
        <f ca="1">IF(Table_NFI[[#This Row],[Pcode]]="","",IF(OFFSET(CampList[Opening Date],MATCH(Table_NFI[[#This Row],[Pcode]],CampList[CP_Pcode],0)-1,0,1,1)&gt;=NFI_Monitor_Date,1,0))</f>
        <v>0</v>
      </c>
      <c r="AS931" s="467" t="str">
        <f>IFERROR(VLOOKUP(Table_NFI[[#This Row],[Camp Name]],CL,3,0),"")</f>
        <v>Open</v>
      </c>
      <c r="AT931" s="294" t="str">
        <f ca="1">IF(Table_NFI[[#This Row],[Pcode]]="","",OFFSET(CampList[Priority],MATCH(Table_NFI[[#This Row],[Pcode]],CampList[CP_Pcode],0)-1,0,1,1))</f>
        <v>P2</v>
      </c>
      <c r="AU931" s="293">
        <f>IFERROR(Table_NFI[[#This Row],[Kitchen Set]]/VLOOKUP(Table_NFI[[#This Row],[Camp Name]],CL,4,0),"")</f>
        <v>3.8276572774560802E-3</v>
      </c>
      <c r="AV931" s="461" t="s">
        <v>1092</v>
      </c>
      <c r="AW931" s="463"/>
    </row>
    <row r="932" spans="1:49" ht="14.45" customHeight="1" x14ac:dyDescent="0.25">
      <c r="A932" s="297">
        <f t="shared" si="14"/>
        <v>54.3</v>
      </c>
      <c r="B932" s="460">
        <v>41107</v>
      </c>
      <c r="C932" s="461" t="s">
        <v>452</v>
      </c>
      <c r="D932" s="462" t="s">
        <v>452</v>
      </c>
      <c r="E932" s="461" t="s">
        <v>380</v>
      </c>
      <c r="F932" s="290" t="s">
        <v>185</v>
      </c>
      <c r="G932" s="290" t="s">
        <v>194</v>
      </c>
      <c r="H932" s="291"/>
      <c r="I932" s="296"/>
      <c r="J932" s="289"/>
      <c r="K932" s="289">
        <v>0</v>
      </c>
      <c r="L932" s="289">
        <v>0</v>
      </c>
      <c r="M932" s="289">
        <v>0</v>
      </c>
      <c r="N932" s="289">
        <v>0</v>
      </c>
      <c r="O932" s="289">
        <v>0</v>
      </c>
      <c r="P932" s="294"/>
      <c r="Q932" s="294"/>
      <c r="R932" s="294"/>
      <c r="S932" s="294"/>
      <c r="T932" s="294"/>
      <c r="U932" s="294"/>
      <c r="V932" s="431"/>
      <c r="W932" s="294"/>
      <c r="X932" s="294"/>
      <c r="Y932" s="294">
        <f>IF(NFI_Expiration=1,IF($A932&lt;VLOOKUP(H$5,NFI,5,0),1,0)*Table_NFI[[#This Row],[Hygiene Kit]],Table_NFI[Hygiene Kit])</f>
        <v>0</v>
      </c>
      <c r="Z932" s="294">
        <f>IF(NFI_Expiration=1,IF($A932&lt;VLOOKUP(I$5,NFI,5,0),1,0)*Table_NFI[[#This Row],[NFI Core Kit]],Table_NFI[NFI Core Kit])</f>
        <v>0</v>
      </c>
      <c r="AA932" s="294">
        <f>IF(NFI_Expiration=1,IF($A932&lt;VLOOKUP(J$5,NFI,5,0),1,0)*Table_NFI[[#This Row],[Sanitary Kit]],Table_NFI[Sanitary Kit])</f>
        <v>0</v>
      </c>
      <c r="AB932" s="294">
        <f>IF(NFI_Expiration=1,IF($A932&lt;VLOOKUP(K$5,NFI,5,0),1,0)*Table_NFI[[#This Row],[Mosquito net]],Table_NFI[Mosquito net])</f>
        <v>0</v>
      </c>
      <c r="AC932" s="294">
        <f>IF(NFI_Expiration=1,IF($A932&lt;VLOOKUP(L$5,NFI,5,0),1,0)*Table_NFI[[#This Row],[Tarpaulin]],Table_NFI[[#This Row],[Tarpaulin]])</f>
        <v>0</v>
      </c>
      <c r="AD932" s="294">
        <f>IF(NFI_Expiration=1,IF($A932&lt;VLOOKUP(M$5,NFI,5,0),1,0)*Table_NFI[[#This Row],[Blanket]],Table_NFI[[#This Row],[Blanket]])</f>
        <v>0</v>
      </c>
      <c r="AE932" s="294">
        <f>IF(NFI_Expiration=1,IF($A932&lt;VLOOKUP(N$5,NFI,5,0),1,0)*Table_NFI[[#This Row],[Kitchen Set]],Table_NFI[Kitchen Set])</f>
        <v>0</v>
      </c>
      <c r="AF932" s="294">
        <f>IF(NFI_Expiration=1,IF($A932&lt;VLOOKUP(O$5,NFI,5,0),1,0)*Table_NFI[[#This Row],[Clothes Kit]],Table_NFI[Clothes Kit])</f>
        <v>0</v>
      </c>
      <c r="AG932" s="294">
        <f>IF(NFI_Expiration=1,IF($A932&lt;VLOOKUP(P$5,NFI,5,0),1,0)*Table_NFI[[#This Row],[Plastic Bucket]],Table_NFI[Plastic Bucket])</f>
        <v>0</v>
      </c>
      <c r="AH932" s="294">
        <f>IF(NFI_Expiration=1,IF($A932&lt;VLOOKUP(Q$5,NFI,5,0),1,0)*Table_NFI[[#This Row],[Plastic Mat]],Table_NFI[Plastic Mat])*IF(Table_NFI[[#This Row],[Distribution Date]]&gt;"2014-04-01",1,2.5)</f>
        <v>0</v>
      </c>
      <c r="AI932" s="294">
        <f>IF(NFI_Expiration=1,IF($A932&lt;VLOOKUP(R$5,NFI,5,0),1,0)*Table_NFI[[#This Row],[Winter Clothes Adult]],Table_NFI[Winter Clothes Adult])</f>
        <v>0</v>
      </c>
      <c r="AJ932" s="294">
        <f>IF(NFI_Expiration=1,IF($A932&lt;VLOOKUP(S$5,NFI,5,0),1,0)*Table_NFI[[#This Row],[Winter Clothes Children]],Table_NFI[Winter Clothes Children])</f>
        <v>0</v>
      </c>
      <c r="AK932" s="294">
        <f>IF(NFI_Expiration=1,IF($A932&lt;VLOOKUP(T$5,NFI,5,0),1,0)*Table_NFI[[#This Row],[Winter Items Other]],Table_NFI[Winter Items Other])</f>
        <v>0</v>
      </c>
      <c r="AL932" s="294">
        <f>IF(NFI_Expiration=1,IF($A932&lt;VLOOKUP(M$5,NFI,5,0),1,0)*Table_NFI[[#This Row],[Winter Blanket]],Table_NFI[[#This Row],[Winter Blanket]])</f>
        <v>0</v>
      </c>
      <c r="AM932" s="294">
        <f>IF(Table_NFI[[#This Row],[Winter Clothes Adult]]+Table_NFI[[#This Row],[Winter Clothes Children]]+Table_NFI[[#This Row],[Winter Items Other]]+Table_NFI[[#This Row],[Winter Blanket]]&gt;0,1,0)</f>
        <v>0</v>
      </c>
      <c r="AN932" s="331">
        <f>IF(NFI_Expiration=1,IF($A932&lt;VLOOKUP(V$5,NFI,5,0),1,0)*Table_NFI[[#This Row],[Jerry Can]],Table_NFI[Jerry Can])</f>
        <v>0</v>
      </c>
      <c r="AO932" s="331">
        <f>IF(NFI_Expiration=1,IF($A932&lt;VLOOKUP(V$5,NFI,5,0),1,0)*Table_NFI[[#This Row],[Shelter Tool kit]],Table_NFI[Shelter Tool kit])</f>
        <v>0</v>
      </c>
      <c r="AP932" s="331">
        <f>IF(NFI_Expiration=1,IF($A932&lt;VLOOKUP(V$5,NFI,5,0),1,0)*Table_NFI[[#This Row],[Tent]],Table_NFI[Tent])</f>
        <v>0</v>
      </c>
      <c r="AQ932" s="467" t="str">
        <f>IFERROR(VLOOKUP(Table_NFI[[#This Row],[Camp Name]],CL,2,0),"")</f>
        <v>MMR001CMP122</v>
      </c>
      <c r="AR932" s="835">
        <f ca="1">IF(Table_NFI[[#This Row],[Pcode]]="","",IF(OFFSET(CampList[Opening Date],MATCH(Table_NFI[[#This Row],[Pcode]],CampList[CP_Pcode],0)-1,0,1,1)&gt;=NFI_Monitor_Date,1,0))</f>
        <v>0</v>
      </c>
      <c r="AS932" s="467" t="str">
        <f>IFERROR(VLOOKUP(Table_NFI[[#This Row],[Camp Name]],CL,3,0),"")</f>
        <v>Open</v>
      </c>
      <c r="AT932" s="294" t="str">
        <f ca="1">IF(Table_NFI[[#This Row],[Pcode]]="","",OFFSET(CampList[Priority],MATCH(Table_NFI[[#This Row],[Pcode]],CampList[CP_Pcode],0)-1,0,1,1))</f>
        <v>P2</v>
      </c>
      <c r="AU932" s="293">
        <f>IFERROR(Table_NFI[[#This Row],[Kitchen Set]]/VLOOKUP(Table_NFI[[#This Row],[Camp Name]],CL,4,0),"")</f>
        <v>0</v>
      </c>
      <c r="AV932" s="461" t="s">
        <v>1092</v>
      </c>
      <c r="AW932" s="463"/>
    </row>
    <row r="933" spans="1:49" ht="14.45" customHeight="1" x14ac:dyDescent="0.25">
      <c r="A933" s="297">
        <f t="shared" si="14"/>
        <v>54.3</v>
      </c>
      <c r="B933" s="460">
        <v>41107</v>
      </c>
      <c r="C933" s="461" t="s">
        <v>452</v>
      </c>
      <c r="D933" s="462" t="s">
        <v>452</v>
      </c>
      <c r="E933" s="461" t="s">
        <v>380</v>
      </c>
      <c r="F933" s="290" t="s">
        <v>237</v>
      </c>
      <c r="G933" s="290" t="s">
        <v>253</v>
      </c>
      <c r="H933" s="291"/>
      <c r="I933" s="291"/>
      <c r="J933" s="291"/>
      <c r="K933" s="291">
        <v>21</v>
      </c>
      <c r="L933" s="292">
        <v>21</v>
      </c>
      <c r="M933" s="292">
        <v>21</v>
      </c>
      <c r="N933" s="292">
        <v>21</v>
      </c>
      <c r="O933" s="292">
        <v>21</v>
      </c>
      <c r="P933" s="294">
        <v>21</v>
      </c>
      <c r="Q933" s="294">
        <v>21</v>
      </c>
      <c r="R933" s="294"/>
      <c r="S933" s="294"/>
      <c r="T933" s="294"/>
      <c r="U933" s="294"/>
      <c r="V933" s="431"/>
      <c r="W933" s="294"/>
      <c r="X933" s="294"/>
      <c r="Y933" s="294">
        <f>IF(NFI_Expiration=1,IF($A933&lt;VLOOKUP(H$5,NFI,5,0),1,0)*Table_NFI[[#This Row],[Hygiene Kit]],Table_NFI[Hygiene Kit])</f>
        <v>0</v>
      </c>
      <c r="Z933" s="294">
        <f>IF(NFI_Expiration=1,IF($A933&lt;VLOOKUP(I$5,NFI,5,0),1,0)*Table_NFI[[#This Row],[NFI Core Kit]],Table_NFI[NFI Core Kit])</f>
        <v>0</v>
      </c>
      <c r="AA933" s="294">
        <f>IF(NFI_Expiration=1,IF($A933&lt;VLOOKUP(J$5,NFI,5,0),1,0)*Table_NFI[[#This Row],[Sanitary Kit]],Table_NFI[Sanitary Kit])</f>
        <v>0</v>
      </c>
      <c r="AB933" s="294">
        <f>IF(NFI_Expiration=1,IF($A933&lt;VLOOKUP(K$5,NFI,5,0),1,0)*Table_NFI[[#This Row],[Mosquito net]],Table_NFI[Mosquito net])</f>
        <v>0</v>
      </c>
      <c r="AC933" s="294">
        <f>IF(NFI_Expiration=1,IF($A933&lt;VLOOKUP(L$5,NFI,5,0),1,0)*Table_NFI[[#This Row],[Tarpaulin]],Table_NFI[[#This Row],[Tarpaulin]])</f>
        <v>0</v>
      </c>
      <c r="AD933" s="294">
        <f>IF(NFI_Expiration=1,IF($A933&lt;VLOOKUP(M$5,NFI,5,0),1,0)*Table_NFI[[#This Row],[Blanket]],Table_NFI[[#This Row],[Blanket]])</f>
        <v>0</v>
      </c>
      <c r="AE933" s="294">
        <f>IF(NFI_Expiration=1,IF($A933&lt;VLOOKUP(N$5,NFI,5,0),1,0)*Table_NFI[[#This Row],[Kitchen Set]],Table_NFI[Kitchen Set])</f>
        <v>0</v>
      </c>
      <c r="AF933" s="294">
        <f>IF(NFI_Expiration=1,IF($A933&lt;VLOOKUP(O$5,NFI,5,0),1,0)*Table_NFI[[#This Row],[Clothes Kit]],Table_NFI[Clothes Kit])</f>
        <v>0</v>
      </c>
      <c r="AG933" s="294">
        <f>IF(NFI_Expiration=1,IF($A933&lt;VLOOKUP(P$5,NFI,5,0),1,0)*Table_NFI[[#This Row],[Plastic Bucket]],Table_NFI[Plastic Bucket])</f>
        <v>0</v>
      </c>
      <c r="AH933" s="294">
        <f>IF(NFI_Expiration=1,IF($A933&lt;VLOOKUP(Q$5,NFI,5,0),1,0)*Table_NFI[[#This Row],[Plastic Mat]],Table_NFI[Plastic Mat])*IF(Table_NFI[[#This Row],[Distribution Date]]&gt;"2014-04-01",1,2.5)</f>
        <v>0</v>
      </c>
      <c r="AI933" s="294">
        <f>IF(NFI_Expiration=1,IF($A933&lt;VLOOKUP(R$5,NFI,5,0),1,0)*Table_NFI[[#This Row],[Winter Clothes Adult]],Table_NFI[Winter Clothes Adult])</f>
        <v>0</v>
      </c>
      <c r="AJ933" s="294">
        <f>IF(NFI_Expiration=1,IF($A933&lt;VLOOKUP(S$5,NFI,5,0),1,0)*Table_NFI[[#This Row],[Winter Clothes Children]],Table_NFI[Winter Clothes Children])</f>
        <v>0</v>
      </c>
      <c r="AK933" s="294">
        <f>IF(NFI_Expiration=1,IF($A933&lt;VLOOKUP(T$5,NFI,5,0),1,0)*Table_NFI[[#This Row],[Winter Items Other]],Table_NFI[Winter Items Other])</f>
        <v>0</v>
      </c>
      <c r="AL933" s="294">
        <f>IF(NFI_Expiration=1,IF($A933&lt;VLOOKUP(M$5,NFI,5,0),1,0)*Table_NFI[[#This Row],[Winter Blanket]],Table_NFI[[#This Row],[Winter Blanket]])</f>
        <v>0</v>
      </c>
      <c r="AM933" s="294">
        <f>IF(Table_NFI[[#This Row],[Winter Clothes Adult]]+Table_NFI[[#This Row],[Winter Clothes Children]]+Table_NFI[[#This Row],[Winter Items Other]]+Table_NFI[[#This Row],[Winter Blanket]]&gt;0,1,0)</f>
        <v>0</v>
      </c>
      <c r="AN933" s="331">
        <f>IF(NFI_Expiration=1,IF($A933&lt;VLOOKUP(V$5,NFI,5,0),1,0)*Table_NFI[[#This Row],[Jerry Can]],Table_NFI[Jerry Can])</f>
        <v>0</v>
      </c>
      <c r="AO933" s="331">
        <f>IF(NFI_Expiration=1,IF($A933&lt;VLOOKUP(V$5,NFI,5,0),1,0)*Table_NFI[[#This Row],[Shelter Tool kit]],Table_NFI[Shelter Tool kit])</f>
        <v>0</v>
      </c>
      <c r="AP933" s="331">
        <f>IF(NFI_Expiration=1,IF($A933&lt;VLOOKUP(V$5,NFI,5,0),1,0)*Table_NFI[[#This Row],[Tent]],Table_NFI[Tent])</f>
        <v>0</v>
      </c>
      <c r="AQ933" s="467" t="str">
        <f>IFERROR(VLOOKUP(Table_NFI[[#This Row],[Camp Name]],CL,2,0),"")</f>
        <v>MMR001CMP018</v>
      </c>
      <c r="AR933" s="835">
        <f ca="1">IF(Table_NFI[[#This Row],[Pcode]]="","",IF(OFFSET(CampList[Opening Date],MATCH(Table_NFI[[#This Row],[Pcode]],CampList[CP_Pcode],0)-1,0,1,1)&gt;=NFI_Monitor_Date,1,0))</f>
        <v>0</v>
      </c>
      <c r="AS933" s="467" t="str">
        <f>IFERROR(VLOOKUP(Table_NFI[[#This Row],[Camp Name]],CL,3,0),"")</f>
        <v>Open</v>
      </c>
      <c r="AT933" s="294" t="str">
        <f ca="1">IF(Table_NFI[[#This Row],[Pcode]]="","",OFFSET(CampList[Priority],MATCH(Table_NFI[[#This Row],[Pcode]],CampList[CP_Pcode],0)-1,0,1,1))</f>
        <v>P4</v>
      </c>
      <c r="AU933" s="293">
        <f>IFERROR(Table_NFI[[#This Row],[Kitchen Set]]/VLOOKUP(Table_NFI[[#This Row],[Camp Name]],CL,4,0),"")</f>
        <v>5.1565377532228362E-4</v>
      </c>
      <c r="AV933" s="461" t="s">
        <v>1092</v>
      </c>
      <c r="AW933" s="463"/>
    </row>
    <row r="934" spans="1:49" ht="14.45" customHeight="1" x14ac:dyDescent="0.25">
      <c r="A934" s="297">
        <f t="shared" si="14"/>
        <v>54.3</v>
      </c>
      <c r="B934" s="460">
        <v>41107</v>
      </c>
      <c r="C934" s="461" t="s">
        <v>452</v>
      </c>
      <c r="D934" s="462" t="s">
        <v>452</v>
      </c>
      <c r="E934" s="461" t="s">
        <v>380</v>
      </c>
      <c r="F934" s="290" t="s">
        <v>185</v>
      </c>
      <c r="G934" s="290" t="s">
        <v>190</v>
      </c>
      <c r="H934" s="291"/>
      <c r="I934" s="291"/>
      <c r="J934" s="291"/>
      <c r="K934" s="291">
        <v>0</v>
      </c>
      <c r="L934" s="292">
        <v>0</v>
      </c>
      <c r="M934" s="292">
        <v>0</v>
      </c>
      <c r="N934" s="292">
        <v>0</v>
      </c>
      <c r="O934" s="292">
        <v>0</v>
      </c>
      <c r="P934" s="294"/>
      <c r="Q934" s="294"/>
      <c r="R934" s="294"/>
      <c r="S934" s="294"/>
      <c r="T934" s="294"/>
      <c r="U934" s="294"/>
      <c r="V934" s="431"/>
      <c r="W934" s="294"/>
      <c r="X934" s="294"/>
      <c r="Y934" s="294">
        <f>IF(NFI_Expiration=1,IF($A934&lt;VLOOKUP(H$5,NFI,5,0),1,0)*Table_NFI[[#This Row],[Hygiene Kit]],Table_NFI[Hygiene Kit])</f>
        <v>0</v>
      </c>
      <c r="Z934" s="294">
        <f>IF(NFI_Expiration=1,IF($A934&lt;VLOOKUP(I$5,NFI,5,0),1,0)*Table_NFI[[#This Row],[NFI Core Kit]],Table_NFI[NFI Core Kit])</f>
        <v>0</v>
      </c>
      <c r="AA934" s="294">
        <f>IF(NFI_Expiration=1,IF($A934&lt;VLOOKUP(J$5,NFI,5,0),1,0)*Table_NFI[[#This Row],[Sanitary Kit]],Table_NFI[Sanitary Kit])</f>
        <v>0</v>
      </c>
      <c r="AB934" s="294">
        <f>IF(NFI_Expiration=1,IF($A934&lt;VLOOKUP(K$5,NFI,5,0),1,0)*Table_NFI[[#This Row],[Mosquito net]],Table_NFI[Mosquito net])</f>
        <v>0</v>
      </c>
      <c r="AC934" s="294">
        <f>IF(NFI_Expiration=1,IF($A934&lt;VLOOKUP(L$5,NFI,5,0),1,0)*Table_NFI[[#This Row],[Tarpaulin]],Table_NFI[[#This Row],[Tarpaulin]])</f>
        <v>0</v>
      </c>
      <c r="AD934" s="294">
        <f>IF(NFI_Expiration=1,IF($A934&lt;VLOOKUP(M$5,NFI,5,0),1,0)*Table_NFI[[#This Row],[Blanket]],Table_NFI[[#This Row],[Blanket]])</f>
        <v>0</v>
      </c>
      <c r="AE934" s="294">
        <f>IF(NFI_Expiration=1,IF($A934&lt;VLOOKUP(N$5,NFI,5,0),1,0)*Table_NFI[[#This Row],[Kitchen Set]],Table_NFI[Kitchen Set])</f>
        <v>0</v>
      </c>
      <c r="AF934" s="294">
        <f>IF(NFI_Expiration=1,IF($A934&lt;VLOOKUP(O$5,NFI,5,0),1,0)*Table_NFI[[#This Row],[Clothes Kit]],Table_NFI[Clothes Kit])</f>
        <v>0</v>
      </c>
      <c r="AG934" s="294">
        <f>IF(NFI_Expiration=1,IF($A934&lt;VLOOKUP(P$5,NFI,5,0),1,0)*Table_NFI[[#This Row],[Plastic Bucket]],Table_NFI[Plastic Bucket])</f>
        <v>0</v>
      </c>
      <c r="AH934" s="294">
        <f>IF(NFI_Expiration=1,IF($A934&lt;VLOOKUP(Q$5,NFI,5,0),1,0)*Table_NFI[[#This Row],[Plastic Mat]],Table_NFI[Plastic Mat])*IF(Table_NFI[[#This Row],[Distribution Date]]&gt;"2014-04-01",1,2.5)</f>
        <v>0</v>
      </c>
      <c r="AI934" s="294">
        <f>IF(NFI_Expiration=1,IF($A934&lt;VLOOKUP(R$5,NFI,5,0),1,0)*Table_NFI[[#This Row],[Winter Clothes Adult]],Table_NFI[Winter Clothes Adult])</f>
        <v>0</v>
      </c>
      <c r="AJ934" s="294">
        <f>IF(NFI_Expiration=1,IF($A934&lt;VLOOKUP(S$5,NFI,5,0),1,0)*Table_NFI[[#This Row],[Winter Clothes Children]],Table_NFI[Winter Clothes Children])</f>
        <v>0</v>
      </c>
      <c r="AK934" s="294">
        <f>IF(NFI_Expiration=1,IF($A934&lt;VLOOKUP(T$5,NFI,5,0),1,0)*Table_NFI[[#This Row],[Winter Items Other]],Table_NFI[Winter Items Other])</f>
        <v>0</v>
      </c>
      <c r="AL934" s="294">
        <f>IF(NFI_Expiration=1,IF($A934&lt;VLOOKUP(M$5,NFI,5,0),1,0)*Table_NFI[[#This Row],[Winter Blanket]],Table_NFI[[#This Row],[Winter Blanket]])</f>
        <v>0</v>
      </c>
      <c r="AM934" s="294">
        <f>IF(Table_NFI[[#This Row],[Winter Clothes Adult]]+Table_NFI[[#This Row],[Winter Clothes Children]]+Table_NFI[[#This Row],[Winter Items Other]]+Table_NFI[[#This Row],[Winter Blanket]]&gt;0,1,0)</f>
        <v>0</v>
      </c>
      <c r="AN934" s="331">
        <f>IF(NFI_Expiration=1,IF($A934&lt;VLOOKUP(V$5,NFI,5,0),1,0)*Table_NFI[[#This Row],[Jerry Can]],Table_NFI[Jerry Can])</f>
        <v>0</v>
      </c>
      <c r="AO934" s="331">
        <f>IF(NFI_Expiration=1,IF($A934&lt;VLOOKUP(V$5,NFI,5,0),1,0)*Table_NFI[[#This Row],[Shelter Tool kit]],Table_NFI[Shelter Tool kit])</f>
        <v>0</v>
      </c>
      <c r="AP934" s="331">
        <f>IF(NFI_Expiration=1,IF($A934&lt;VLOOKUP(V$5,NFI,5,0),1,0)*Table_NFI[[#This Row],[Tent]],Table_NFI[Tent])</f>
        <v>0</v>
      </c>
      <c r="AQ934" s="467" t="str">
        <f>IFERROR(VLOOKUP(Table_NFI[[#This Row],[Camp Name]],CL,2,0),"")</f>
        <v>MMR001CMP070</v>
      </c>
      <c r="AR934" s="835">
        <f ca="1">IF(Table_NFI[[#This Row],[Pcode]]="","",IF(OFFSET(CampList[Opening Date],MATCH(Table_NFI[[#This Row],[Pcode]],CampList[CP_Pcode],0)-1,0,1,1)&gt;=NFI_Monitor_Date,1,0))</f>
        <v>0</v>
      </c>
      <c r="AS934" s="467" t="str">
        <f>IFERROR(VLOOKUP(Table_NFI[[#This Row],[Camp Name]],CL,3,0),"")</f>
        <v>Open</v>
      </c>
      <c r="AT934" s="294" t="str">
        <f ca="1">IF(Table_NFI[[#This Row],[Pcode]]="","",OFFSET(CampList[Priority],MATCH(Table_NFI[[#This Row],[Pcode]],CampList[CP_Pcode],0)-1,0,1,1))</f>
        <v>P3</v>
      </c>
      <c r="AU934" s="293">
        <f>IFERROR(Table_NFI[[#This Row],[Kitchen Set]]/VLOOKUP(Table_NFI[[#This Row],[Camp Name]],CL,4,0),"")</f>
        <v>0</v>
      </c>
      <c r="AV934" s="461" t="s">
        <v>1092</v>
      </c>
      <c r="AW934" s="463"/>
    </row>
    <row r="935" spans="1:49" ht="14.45" customHeight="1" x14ac:dyDescent="0.25">
      <c r="A935" s="297">
        <f t="shared" si="14"/>
        <v>54.3</v>
      </c>
      <c r="B935" s="460">
        <v>41107</v>
      </c>
      <c r="C935" s="461" t="s">
        <v>452</v>
      </c>
      <c r="D935" s="461" t="s">
        <v>452</v>
      </c>
      <c r="E935" s="461" t="s">
        <v>380</v>
      </c>
      <c r="F935" s="290" t="s">
        <v>185</v>
      </c>
      <c r="G935" s="290" t="s">
        <v>200</v>
      </c>
      <c r="H935" s="291"/>
      <c r="I935" s="291"/>
      <c r="J935" s="291"/>
      <c r="K935" s="291">
        <v>0</v>
      </c>
      <c r="L935" s="292">
        <v>0</v>
      </c>
      <c r="M935" s="292">
        <v>0</v>
      </c>
      <c r="N935" s="292">
        <v>0</v>
      </c>
      <c r="O935" s="292">
        <v>0</v>
      </c>
      <c r="P935" s="294"/>
      <c r="Q935" s="294"/>
      <c r="R935" s="294"/>
      <c r="S935" s="294"/>
      <c r="T935" s="294"/>
      <c r="U935" s="294"/>
      <c r="V935" s="431"/>
      <c r="W935" s="294"/>
      <c r="X935" s="294"/>
      <c r="Y935" s="294">
        <f>IF(NFI_Expiration=1,IF($A935&lt;VLOOKUP(H$5,NFI,5,0),1,0)*Table_NFI[[#This Row],[Hygiene Kit]],Table_NFI[Hygiene Kit])</f>
        <v>0</v>
      </c>
      <c r="Z935" s="294">
        <f>IF(NFI_Expiration=1,IF($A935&lt;VLOOKUP(I$5,NFI,5,0),1,0)*Table_NFI[[#This Row],[NFI Core Kit]],Table_NFI[NFI Core Kit])</f>
        <v>0</v>
      </c>
      <c r="AA935" s="294">
        <f>IF(NFI_Expiration=1,IF($A935&lt;VLOOKUP(J$5,NFI,5,0),1,0)*Table_NFI[[#This Row],[Sanitary Kit]],Table_NFI[Sanitary Kit])</f>
        <v>0</v>
      </c>
      <c r="AB935" s="294">
        <f>IF(NFI_Expiration=1,IF($A935&lt;VLOOKUP(K$5,NFI,5,0),1,0)*Table_NFI[[#This Row],[Mosquito net]],Table_NFI[Mosquito net])</f>
        <v>0</v>
      </c>
      <c r="AC935" s="294">
        <f>IF(NFI_Expiration=1,IF($A935&lt;VLOOKUP(L$5,NFI,5,0),1,0)*Table_NFI[[#This Row],[Tarpaulin]],Table_NFI[[#This Row],[Tarpaulin]])</f>
        <v>0</v>
      </c>
      <c r="AD935" s="294">
        <f>IF(NFI_Expiration=1,IF($A935&lt;VLOOKUP(M$5,NFI,5,0),1,0)*Table_NFI[[#This Row],[Blanket]],Table_NFI[[#This Row],[Blanket]])</f>
        <v>0</v>
      </c>
      <c r="AE935" s="294">
        <f>IF(NFI_Expiration=1,IF($A935&lt;VLOOKUP(N$5,NFI,5,0),1,0)*Table_NFI[[#This Row],[Kitchen Set]],Table_NFI[Kitchen Set])</f>
        <v>0</v>
      </c>
      <c r="AF935" s="294">
        <f>IF(NFI_Expiration=1,IF($A935&lt;VLOOKUP(O$5,NFI,5,0),1,0)*Table_NFI[[#This Row],[Clothes Kit]],Table_NFI[Clothes Kit])</f>
        <v>0</v>
      </c>
      <c r="AG935" s="294">
        <f>IF(NFI_Expiration=1,IF($A935&lt;VLOOKUP(P$5,NFI,5,0),1,0)*Table_NFI[[#This Row],[Plastic Bucket]],Table_NFI[Plastic Bucket])</f>
        <v>0</v>
      </c>
      <c r="AH935" s="294">
        <f>IF(NFI_Expiration=1,IF($A935&lt;VLOOKUP(Q$5,NFI,5,0),1,0)*Table_NFI[[#This Row],[Plastic Mat]],Table_NFI[Plastic Mat])*IF(Table_NFI[[#This Row],[Distribution Date]]&gt;"2014-04-01",1,2.5)</f>
        <v>0</v>
      </c>
      <c r="AI935" s="294">
        <f>IF(NFI_Expiration=1,IF($A935&lt;VLOOKUP(R$5,NFI,5,0),1,0)*Table_NFI[[#This Row],[Winter Clothes Adult]],Table_NFI[Winter Clothes Adult])</f>
        <v>0</v>
      </c>
      <c r="AJ935" s="294">
        <f>IF(NFI_Expiration=1,IF($A935&lt;VLOOKUP(S$5,NFI,5,0),1,0)*Table_NFI[[#This Row],[Winter Clothes Children]],Table_NFI[Winter Clothes Children])</f>
        <v>0</v>
      </c>
      <c r="AK935" s="294">
        <f>IF(NFI_Expiration=1,IF($A935&lt;VLOOKUP(T$5,NFI,5,0),1,0)*Table_NFI[[#This Row],[Winter Items Other]],Table_NFI[Winter Items Other])</f>
        <v>0</v>
      </c>
      <c r="AL935" s="294">
        <f>IF(NFI_Expiration=1,IF($A935&lt;VLOOKUP(M$5,NFI,5,0),1,0)*Table_NFI[[#This Row],[Winter Blanket]],Table_NFI[[#This Row],[Winter Blanket]])</f>
        <v>0</v>
      </c>
      <c r="AM935" s="294">
        <f>IF(Table_NFI[[#This Row],[Winter Clothes Adult]]+Table_NFI[[#This Row],[Winter Clothes Children]]+Table_NFI[[#This Row],[Winter Items Other]]+Table_NFI[[#This Row],[Winter Blanket]]&gt;0,1,0)</f>
        <v>0</v>
      </c>
      <c r="AN935" s="331">
        <f>IF(NFI_Expiration=1,IF($A935&lt;VLOOKUP(V$5,NFI,5,0),1,0)*Table_NFI[[#This Row],[Jerry Can]],Table_NFI[Jerry Can])</f>
        <v>0</v>
      </c>
      <c r="AO935" s="331">
        <f>IF(NFI_Expiration=1,IF($A935&lt;VLOOKUP(V$5,NFI,5,0),1,0)*Table_NFI[[#This Row],[Shelter Tool kit]],Table_NFI[Shelter Tool kit])</f>
        <v>0</v>
      </c>
      <c r="AP935" s="331">
        <f>IF(NFI_Expiration=1,IF($A935&lt;VLOOKUP(V$5,NFI,5,0),1,0)*Table_NFI[[#This Row],[Tent]],Table_NFI[Tent])</f>
        <v>0</v>
      </c>
      <c r="AQ935" s="467" t="str">
        <f>IFERROR(VLOOKUP(Table_NFI[[#This Row],[Camp Name]],CL,2,0),"")</f>
        <v>MMR001CMP064</v>
      </c>
      <c r="AR935" s="835">
        <f ca="1">IF(Table_NFI[[#This Row],[Pcode]]="","",IF(OFFSET(CampList[Opening Date],MATCH(Table_NFI[[#This Row],[Pcode]],CampList[CP_Pcode],0)-1,0,1,1)&gt;=NFI_Monitor_Date,1,0))</f>
        <v>0</v>
      </c>
      <c r="AS935" s="467" t="str">
        <f>IFERROR(VLOOKUP(Table_NFI[[#This Row],[Camp Name]],CL,3,0),"")</f>
        <v>Open</v>
      </c>
      <c r="AT935" s="294" t="str">
        <f ca="1">IF(Table_NFI[[#This Row],[Pcode]]="","",OFFSET(CampList[Priority],MATCH(Table_NFI[[#This Row],[Pcode]],CampList[CP_Pcode],0)-1,0,1,1))</f>
        <v>P4</v>
      </c>
      <c r="AU935" s="293" t="str">
        <f>IFERROR(Table_NFI[[#This Row],[Kitchen Set]]/VLOOKUP(Table_NFI[[#This Row],[Camp Name]],CL,4,0),"")</f>
        <v/>
      </c>
      <c r="AV935" s="461" t="s">
        <v>1092</v>
      </c>
      <c r="AW935" s="463"/>
    </row>
    <row r="936" spans="1:49" ht="14.45" customHeight="1" x14ac:dyDescent="0.25">
      <c r="A936" s="297">
        <f t="shared" si="14"/>
        <v>54.3</v>
      </c>
      <c r="B936" s="460">
        <v>41107</v>
      </c>
      <c r="C936" s="461" t="s">
        <v>452</v>
      </c>
      <c r="D936" s="462" t="s">
        <v>452</v>
      </c>
      <c r="E936" s="461" t="s">
        <v>380</v>
      </c>
      <c r="F936" s="290" t="s">
        <v>185</v>
      </c>
      <c r="G936" s="290" t="s">
        <v>200</v>
      </c>
      <c r="H936" s="291"/>
      <c r="I936" s="291"/>
      <c r="J936" s="291"/>
      <c r="K936" s="291">
        <v>0</v>
      </c>
      <c r="L936" s="292">
        <v>0</v>
      </c>
      <c r="M936" s="292">
        <v>0</v>
      </c>
      <c r="N936" s="292">
        <v>0</v>
      </c>
      <c r="O936" s="292">
        <v>0</v>
      </c>
      <c r="P936" s="294"/>
      <c r="Q936" s="294"/>
      <c r="R936" s="294"/>
      <c r="S936" s="294"/>
      <c r="T936" s="294"/>
      <c r="U936" s="294"/>
      <c r="V936" s="431"/>
      <c r="W936" s="294"/>
      <c r="X936" s="294"/>
      <c r="Y936" s="294">
        <f>IF(NFI_Expiration=1,IF($A936&lt;VLOOKUP(H$5,NFI,5,0),1,0)*Table_NFI[[#This Row],[Hygiene Kit]],Table_NFI[Hygiene Kit])</f>
        <v>0</v>
      </c>
      <c r="Z936" s="294">
        <f>IF(NFI_Expiration=1,IF($A936&lt;VLOOKUP(I$5,NFI,5,0),1,0)*Table_NFI[[#This Row],[NFI Core Kit]],Table_NFI[NFI Core Kit])</f>
        <v>0</v>
      </c>
      <c r="AA936" s="294">
        <f>IF(NFI_Expiration=1,IF($A936&lt;VLOOKUP(J$5,NFI,5,0),1,0)*Table_NFI[[#This Row],[Sanitary Kit]],Table_NFI[Sanitary Kit])</f>
        <v>0</v>
      </c>
      <c r="AB936" s="294">
        <f>IF(NFI_Expiration=1,IF($A936&lt;VLOOKUP(K$5,NFI,5,0),1,0)*Table_NFI[[#This Row],[Mosquito net]],Table_NFI[Mosquito net])</f>
        <v>0</v>
      </c>
      <c r="AC936" s="294">
        <f>IF(NFI_Expiration=1,IF($A936&lt;VLOOKUP(L$5,NFI,5,0),1,0)*Table_NFI[[#This Row],[Tarpaulin]],Table_NFI[[#This Row],[Tarpaulin]])</f>
        <v>0</v>
      </c>
      <c r="AD936" s="294">
        <f>IF(NFI_Expiration=1,IF($A936&lt;VLOOKUP(M$5,NFI,5,0),1,0)*Table_NFI[[#This Row],[Blanket]],Table_NFI[[#This Row],[Blanket]])</f>
        <v>0</v>
      </c>
      <c r="AE936" s="294">
        <f>IF(NFI_Expiration=1,IF($A936&lt;VLOOKUP(N$5,NFI,5,0),1,0)*Table_NFI[[#This Row],[Kitchen Set]],Table_NFI[Kitchen Set])</f>
        <v>0</v>
      </c>
      <c r="AF936" s="294">
        <f>IF(NFI_Expiration=1,IF($A936&lt;VLOOKUP(O$5,NFI,5,0),1,0)*Table_NFI[[#This Row],[Clothes Kit]],Table_NFI[Clothes Kit])</f>
        <v>0</v>
      </c>
      <c r="AG936" s="294">
        <f>IF(NFI_Expiration=1,IF($A936&lt;VLOOKUP(P$5,NFI,5,0),1,0)*Table_NFI[[#This Row],[Plastic Bucket]],Table_NFI[Plastic Bucket])</f>
        <v>0</v>
      </c>
      <c r="AH936" s="294">
        <f>IF(NFI_Expiration=1,IF($A936&lt;VLOOKUP(Q$5,NFI,5,0),1,0)*Table_NFI[[#This Row],[Plastic Mat]],Table_NFI[Plastic Mat])*IF(Table_NFI[[#This Row],[Distribution Date]]&gt;"2014-04-01",1,2.5)</f>
        <v>0</v>
      </c>
      <c r="AI936" s="294">
        <f>IF(NFI_Expiration=1,IF($A936&lt;VLOOKUP(R$5,NFI,5,0),1,0)*Table_NFI[[#This Row],[Winter Clothes Adult]],Table_NFI[Winter Clothes Adult])</f>
        <v>0</v>
      </c>
      <c r="AJ936" s="294">
        <f>IF(NFI_Expiration=1,IF($A936&lt;VLOOKUP(S$5,NFI,5,0),1,0)*Table_NFI[[#This Row],[Winter Clothes Children]],Table_NFI[Winter Clothes Children])</f>
        <v>0</v>
      </c>
      <c r="AK936" s="294">
        <f>IF(NFI_Expiration=1,IF($A936&lt;VLOOKUP(T$5,NFI,5,0),1,0)*Table_NFI[[#This Row],[Winter Items Other]],Table_NFI[Winter Items Other])</f>
        <v>0</v>
      </c>
      <c r="AL936" s="294">
        <f>IF(NFI_Expiration=1,IF($A936&lt;VLOOKUP(M$5,NFI,5,0),1,0)*Table_NFI[[#This Row],[Winter Blanket]],Table_NFI[[#This Row],[Winter Blanket]])</f>
        <v>0</v>
      </c>
      <c r="AM936" s="294">
        <f>IF(Table_NFI[[#This Row],[Winter Clothes Adult]]+Table_NFI[[#This Row],[Winter Clothes Children]]+Table_NFI[[#This Row],[Winter Items Other]]+Table_NFI[[#This Row],[Winter Blanket]]&gt;0,1,0)</f>
        <v>0</v>
      </c>
      <c r="AN936" s="331">
        <f>IF(NFI_Expiration=1,IF($A936&lt;VLOOKUP(V$5,NFI,5,0),1,0)*Table_NFI[[#This Row],[Jerry Can]],Table_NFI[Jerry Can])</f>
        <v>0</v>
      </c>
      <c r="AO936" s="331">
        <f>IF(NFI_Expiration=1,IF($A936&lt;VLOOKUP(V$5,NFI,5,0),1,0)*Table_NFI[[#This Row],[Shelter Tool kit]],Table_NFI[Shelter Tool kit])</f>
        <v>0</v>
      </c>
      <c r="AP936" s="331">
        <f>IF(NFI_Expiration=1,IF($A936&lt;VLOOKUP(V$5,NFI,5,0),1,0)*Table_NFI[[#This Row],[Tent]],Table_NFI[Tent])</f>
        <v>0</v>
      </c>
      <c r="AQ936" s="467" t="str">
        <f>IFERROR(VLOOKUP(Table_NFI[[#This Row],[Camp Name]],CL,2,0),"")</f>
        <v>MMR001CMP064</v>
      </c>
      <c r="AR936" s="835">
        <f ca="1">IF(Table_NFI[[#This Row],[Pcode]]="","",IF(OFFSET(CampList[Opening Date],MATCH(Table_NFI[[#This Row],[Pcode]],CampList[CP_Pcode],0)-1,0,1,1)&gt;=NFI_Monitor_Date,1,0))</f>
        <v>0</v>
      </c>
      <c r="AS936" s="467" t="str">
        <f>IFERROR(VLOOKUP(Table_NFI[[#This Row],[Camp Name]],CL,3,0),"")</f>
        <v>Open</v>
      </c>
      <c r="AT936" s="294" t="str">
        <f ca="1">IF(Table_NFI[[#This Row],[Pcode]]="","",OFFSET(CampList[Priority],MATCH(Table_NFI[[#This Row],[Pcode]],CampList[CP_Pcode],0)-1,0,1,1))</f>
        <v>P4</v>
      </c>
      <c r="AU936" s="293" t="str">
        <f>IFERROR(Table_NFI[[#This Row],[Kitchen Set]]/VLOOKUP(Table_NFI[[#This Row],[Camp Name]],CL,4,0),"")</f>
        <v/>
      </c>
      <c r="AV936" s="461" t="s">
        <v>1092</v>
      </c>
      <c r="AW936" s="463"/>
    </row>
    <row r="937" spans="1:49" ht="14.45" customHeight="1" x14ac:dyDescent="0.25">
      <c r="A937" s="297">
        <f t="shared" si="14"/>
        <v>54.3</v>
      </c>
      <c r="B937" s="460">
        <v>41107</v>
      </c>
      <c r="C937" s="461" t="s">
        <v>452</v>
      </c>
      <c r="D937" s="462" t="s">
        <v>452</v>
      </c>
      <c r="E937" s="461" t="s">
        <v>380</v>
      </c>
      <c r="F937" s="290" t="s">
        <v>151</v>
      </c>
      <c r="G937" s="290" t="s">
        <v>160</v>
      </c>
      <c r="H937" s="291"/>
      <c r="I937" s="291"/>
      <c r="J937" s="291"/>
      <c r="K937" s="291">
        <v>0</v>
      </c>
      <c r="L937" s="292">
        <v>0</v>
      </c>
      <c r="M937" s="292">
        <v>0</v>
      </c>
      <c r="N937" s="292">
        <v>0</v>
      </c>
      <c r="O937" s="292">
        <v>0</v>
      </c>
      <c r="P937" s="294"/>
      <c r="Q937" s="294"/>
      <c r="R937" s="294"/>
      <c r="S937" s="294"/>
      <c r="T937" s="294"/>
      <c r="U937" s="294"/>
      <c r="V937" s="431"/>
      <c r="W937" s="294"/>
      <c r="X937" s="294"/>
      <c r="Y937" s="294">
        <f>IF(NFI_Expiration=1,IF($A937&lt;VLOOKUP(H$5,NFI,5,0),1,0)*Table_NFI[[#This Row],[Hygiene Kit]],Table_NFI[Hygiene Kit])</f>
        <v>0</v>
      </c>
      <c r="Z937" s="294">
        <f>IF(NFI_Expiration=1,IF($A937&lt;VLOOKUP(I$5,NFI,5,0),1,0)*Table_NFI[[#This Row],[NFI Core Kit]],Table_NFI[NFI Core Kit])</f>
        <v>0</v>
      </c>
      <c r="AA937" s="294">
        <f>IF(NFI_Expiration=1,IF($A937&lt;VLOOKUP(J$5,NFI,5,0),1,0)*Table_NFI[[#This Row],[Sanitary Kit]],Table_NFI[Sanitary Kit])</f>
        <v>0</v>
      </c>
      <c r="AB937" s="294">
        <f>IF(NFI_Expiration=1,IF($A937&lt;VLOOKUP(K$5,NFI,5,0),1,0)*Table_NFI[[#This Row],[Mosquito net]],Table_NFI[Mosquito net])</f>
        <v>0</v>
      </c>
      <c r="AC937" s="294">
        <f>IF(NFI_Expiration=1,IF($A937&lt;VLOOKUP(L$5,NFI,5,0),1,0)*Table_NFI[[#This Row],[Tarpaulin]],Table_NFI[[#This Row],[Tarpaulin]])</f>
        <v>0</v>
      </c>
      <c r="AD937" s="294">
        <f>IF(NFI_Expiration=1,IF($A937&lt;VLOOKUP(M$5,NFI,5,0),1,0)*Table_NFI[[#This Row],[Blanket]],Table_NFI[[#This Row],[Blanket]])</f>
        <v>0</v>
      </c>
      <c r="AE937" s="294">
        <f>IF(NFI_Expiration=1,IF($A937&lt;VLOOKUP(N$5,NFI,5,0),1,0)*Table_NFI[[#This Row],[Kitchen Set]],Table_NFI[Kitchen Set])</f>
        <v>0</v>
      </c>
      <c r="AF937" s="294">
        <f>IF(NFI_Expiration=1,IF($A937&lt;VLOOKUP(O$5,NFI,5,0),1,0)*Table_NFI[[#This Row],[Clothes Kit]],Table_NFI[Clothes Kit])</f>
        <v>0</v>
      </c>
      <c r="AG937" s="294">
        <f>IF(NFI_Expiration=1,IF($A937&lt;VLOOKUP(P$5,NFI,5,0),1,0)*Table_NFI[[#This Row],[Plastic Bucket]],Table_NFI[Plastic Bucket])</f>
        <v>0</v>
      </c>
      <c r="AH937" s="294">
        <f>IF(NFI_Expiration=1,IF($A937&lt;VLOOKUP(Q$5,NFI,5,0),1,0)*Table_NFI[[#This Row],[Plastic Mat]],Table_NFI[Plastic Mat])*IF(Table_NFI[[#This Row],[Distribution Date]]&gt;"2014-04-01",1,2.5)</f>
        <v>0</v>
      </c>
      <c r="AI937" s="294">
        <f>IF(NFI_Expiration=1,IF($A937&lt;VLOOKUP(R$5,NFI,5,0),1,0)*Table_NFI[[#This Row],[Winter Clothes Adult]],Table_NFI[Winter Clothes Adult])</f>
        <v>0</v>
      </c>
      <c r="AJ937" s="294">
        <f>IF(NFI_Expiration=1,IF($A937&lt;VLOOKUP(S$5,NFI,5,0),1,0)*Table_NFI[[#This Row],[Winter Clothes Children]],Table_NFI[Winter Clothes Children])</f>
        <v>0</v>
      </c>
      <c r="AK937" s="294">
        <f>IF(NFI_Expiration=1,IF($A937&lt;VLOOKUP(T$5,NFI,5,0),1,0)*Table_NFI[[#This Row],[Winter Items Other]],Table_NFI[Winter Items Other])</f>
        <v>0</v>
      </c>
      <c r="AL937" s="294">
        <f>IF(NFI_Expiration=1,IF($A937&lt;VLOOKUP(M$5,NFI,5,0),1,0)*Table_NFI[[#This Row],[Winter Blanket]],Table_NFI[[#This Row],[Winter Blanket]])</f>
        <v>0</v>
      </c>
      <c r="AM937" s="294">
        <f>IF(Table_NFI[[#This Row],[Winter Clothes Adult]]+Table_NFI[[#This Row],[Winter Clothes Children]]+Table_NFI[[#This Row],[Winter Items Other]]+Table_NFI[[#This Row],[Winter Blanket]]&gt;0,1,0)</f>
        <v>0</v>
      </c>
      <c r="AN937" s="331">
        <f>IF(NFI_Expiration=1,IF($A937&lt;VLOOKUP(V$5,NFI,5,0),1,0)*Table_NFI[[#This Row],[Jerry Can]],Table_NFI[Jerry Can])</f>
        <v>0</v>
      </c>
      <c r="AO937" s="331">
        <f>IF(NFI_Expiration=1,IF($A937&lt;VLOOKUP(V$5,NFI,5,0),1,0)*Table_NFI[[#This Row],[Shelter Tool kit]],Table_NFI[Shelter Tool kit])</f>
        <v>0</v>
      </c>
      <c r="AP937" s="331">
        <f>IF(NFI_Expiration=1,IF($A937&lt;VLOOKUP(V$5,NFI,5,0),1,0)*Table_NFI[[#This Row],[Tent]],Table_NFI[Tent])</f>
        <v>0</v>
      </c>
      <c r="AQ937" s="467" t="str">
        <f>IFERROR(VLOOKUP(Table_NFI[[#This Row],[Camp Name]],CL,2,0),"")</f>
        <v>MMR001CMP133</v>
      </c>
      <c r="AR937" s="835">
        <f ca="1">IF(Table_NFI[[#This Row],[Pcode]]="","",IF(OFFSET(CampList[Opening Date],MATCH(Table_NFI[[#This Row],[Pcode]],CampList[CP_Pcode],0)-1,0,1,1)&gt;=NFI_Monitor_Date,1,0))</f>
        <v>0</v>
      </c>
      <c r="AS937" s="467" t="str">
        <f>IFERROR(VLOOKUP(Table_NFI[[#This Row],[Camp Name]],CL,3,0),"")</f>
        <v>Open</v>
      </c>
      <c r="AT937" s="294" t="str">
        <f ca="1">IF(Table_NFI[[#This Row],[Pcode]]="","",OFFSET(CampList[Priority],MATCH(Table_NFI[[#This Row],[Pcode]],CampList[CP_Pcode],0)-1,0,1,1))</f>
        <v>P4</v>
      </c>
      <c r="AU937" s="293">
        <f>IFERROR(Table_NFI[[#This Row],[Kitchen Set]]/VLOOKUP(Table_NFI[[#This Row],[Camp Name]],CL,4,0),"")</f>
        <v>0</v>
      </c>
      <c r="AV937" s="461" t="s">
        <v>1092</v>
      </c>
      <c r="AW937" s="463"/>
    </row>
    <row r="938" spans="1:49" ht="14.45" customHeight="1" x14ac:dyDescent="0.25">
      <c r="A938" s="297">
        <f t="shared" si="14"/>
        <v>54.3</v>
      </c>
      <c r="B938" s="460">
        <v>41107</v>
      </c>
      <c r="C938" s="461" t="s">
        <v>452</v>
      </c>
      <c r="D938" s="462" t="s">
        <v>452</v>
      </c>
      <c r="E938" s="461" t="s">
        <v>380</v>
      </c>
      <c r="F938" s="290" t="s">
        <v>237</v>
      </c>
      <c r="G938" s="290" t="s">
        <v>263</v>
      </c>
      <c r="H938" s="291"/>
      <c r="I938" s="291"/>
      <c r="J938" s="291"/>
      <c r="K938" s="291">
        <v>0</v>
      </c>
      <c r="L938" s="292">
        <v>0</v>
      </c>
      <c r="M938" s="292">
        <v>0</v>
      </c>
      <c r="N938" s="292">
        <v>0</v>
      </c>
      <c r="O938" s="292">
        <v>0</v>
      </c>
      <c r="P938" s="294"/>
      <c r="Q938" s="294"/>
      <c r="R938" s="294"/>
      <c r="S938" s="294"/>
      <c r="T938" s="294"/>
      <c r="U938" s="294"/>
      <c r="V938" s="431"/>
      <c r="W938" s="294"/>
      <c r="X938" s="294"/>
      <c r="Y938" s="294">
        <f>IF(NFI_Expiration=1,IF($A938&lt;VLOOKUP(H$5,NFI,5,0),1,0)*Table_NFI[[#This Row],[Hygiene Kit]],Table_NFI[Hygiene Kit])</f>
        <v>0</v>
      </c>
      <c r="Z938" s="294">
        <f>IF(NFI_Expiration=1,IF($A938&lt;VLOOKUP(I$5,NFI,5,0),1,0)*Table_NFI[[#This Row],[NFI Core Kit]],Table_NFI[NFI Core Kit])</f>
        <v>0</v>
      </c>
      <c r="AA938" s="294">
        <f>IF(NFI_Expiration=1,IF($A938&lt;VLOOKUP(J$5,NFI,5,0),1,0)*Table_NFI[[#This Row],[Sanitary Kit]],Table_NFI[Sanitary Kit])</f>
        <v>0</v>
      </c>
      <c r="AB938" s="294">
        <f>IF(NFI_Expiration=1,IF($A938&lt;VLOOKUP(K$5,NFI,5,0),1,0)*Table_NFI[[#This Row],[Mosquito net]],Table_NFI[Mosquito net])</f>
        <v>0</v>
      </c>
      <c r="AC938" s="294">
        <f>IF(NFI_Expiration=1,IF($A938&lt;VLOOKUP(L$5,NFI,5,0),1,0)*Table_NFI[[#This Row],[Tarpaulin]],Table_NFI[[#This Row],[Tarpaulin]])</f>
        <v>0</v>
      </c>
      <c r="AD938" s="294">
        <f>IF(NFI_Expiration=1,IF($A938&lt;VLOOKUP(M$5,NFI,5,0),1,0)*Table_NFI[[#This Row],[Blanket]],Table_NFI[[#This Row],[Blanket]])</f>
        <v>0</v>
      </c>
      <c r="AE938" s="294">
        <f>IF(NFI_Expiration=1,IF($A938&lt;VLOOKUP(N$5,NFI,5,0),1,0)*Table_NFI[[#This Row],[Kitchen Set]],Table_NFI[Kitchen Set])</f>
        <v>0</v>
      </c>
      <c r="AF938" s="294">
        <f>IF(NFI_Expiration=1,IF($A938&lt;VLOOKUP(O$5,NFI,5,0),1,0)*Table_NFI[[#This Row],[Clothes Kit]],Table_NFI[Clothes Kit])</f>
        <v>0</v>
      </c>
      <c r="AG938" s="294">
        <f>IF(NFI_Expiration=1,IF($A938&lt;VLOOKUP(P$5,NFI,5,0),1,0)*Table_NFI[[#This Row],[Plastic Bucket]],Table_NFI[Plastic Bucket])</f>
        <v>0</v>
      </c>
      <c r="AH938" s="294">
        <f>IF(NFI_Expiration=1,IF($A938&lt;VLOOKUP(Q$5,NFI,5,0),1,0)*Table_NFI[[#This Row],[Plastic Mat]],Table_NFI[Plastic Mat])*IF(Table_NFI[[#This Row],[Distribution Date]]&gt;"2014-04-01",1,2.5)</f>
        <v>0</v>
      </c>
      <c r="AI938" s="294">
        <f>IF(NFI_Expiration=1,IF($A938&lt;VLOOKUP(R$5,NFI,5,0),1,0)*Table_NFI[[#This Row],[Winter Clothes Adult]],Table_NFI[Winter Clothes Adult])</f>
        <v>0</v>
      </c>
      <c r="AJ938" s="294">
        <f>IF(NFI_Expiration=1,IF($A938&lt;VLOOKUP(S$5,NFI,5,0),1,0)*Table_NFI[[#This Row],[Winter Clothes Children]],Table_NFI[Winter Clothes Children])</f>
        <v>0</v>
      </c>
      <c r="AK938" s="294">
        <f>IF(NFI_Expiration=1,IF($A938&lt;VLOOKUP(T$5,NFI,5,0),1,0)*Table_NFI[[#This Row],[Winter Items Other]],Table_NFI[Winter Items Other])</f>
        <v>0</v>
      </c>
      <c r="AL938" s="294">
        <f>IF(NFI_Expiration=1,IF($A938&lt;VLOOKUP(M$5,NFI,5,0),1,0)*Table_NFI[[#This Row],[Winter Blanket]],Table_NFI[[#This Row],[Winter Blanket]])</f>
        <v>0</v>
      </c>
      <c r="AM938" s="294">
        <f>IF(Table_NFI[[#This Row],[Winter Clothes Adult]]+Table_NFI[[#This Row],[Winter Clothes Children]]+Table_NFI[[#This Row],[Winter Items Other]]+Table_NFI[[#This Row],[Winter Blanket]]&gt;0,1,0)</f>
        <v>0</v>
      </c>
      <c r="AN938" s="331">
        <f>IF(NFI_Expiration=1,IF($A938&lt;VLOOKUP(V$5,NFI,5,0),1,0)*Table_NFI[[#This Row],[Jerry Can]],Table_NFI[Jerry Can])</f>
        <v>0</v>
      </c>
      <c r="AO938" s="331">
        <f>IF(NFI_Expiration=1,IF($A938&lt;VLOOKUP(V$5,NFI,5,0),1,0)*Table_NFI[[#This Row],[Shelter Tool kit]],Table_NFI[Shelter Tool kit])</f>
        <v>0</v>
      </c>
      <c r="AP938" s="331">
        <f>IF(NFI_Expiration=1,IF($A938&lt;VLOOKUP(V$5,NFI,5,0),1,0)*Table_NFI[[#This Row],[Tent]],Table_NFI[Tent])</f>
        <v>0</v>
      </c>
      <c r="AQ938" s="467" t="str">
        <f>IFERROR(VLOOKUP(Table_NFI[[#This Row],[Camp Name]],CL,2,0),"")</f>
        <v>MMR001CMP020</v>
      </c>
      <c r="AR938" s="835">
        <f ca="1">IF(Table_NFI[[#This Row],[Pcode]]="","",IF(OFFSET(CampList[Opening Date],MATCH(Table_NFI[[#This Row],[Pcode]],CampList[CP_Pcode],0)-1,0,1,1)&gt;=NFI_Monitor_Date,1,0))</f>
        <v>0</v>
      </c>
      <c r="AS938" s="467" t="str">
        <f>IFERROR(VLOOKUP(Table_NFI[[#This Row],[Camp Name]],CL,3,0),"")</f>
        <v>Open</v>
      </c>
      <c r="AT938" s="294" t="str">
        <f ca="1">IF(Table_NFI[[#This Row],[Pcode]]="","",OFFSET(CampList[Priority],MATCH(Table_NFI[[#This Row],[Pcode]],CampList[CP_Pcode],0)-1,0,1,1))</f>
        <v>P4</v>
      </c>
      <c r="AU938" s="293">
        <f>IFERROR(Table_NFI[[#This Row],[Kitchen Set]]/VLOOKUP(Table_NFI[[#This Row],[Camp Name]],CL,4,0),"")</f>
        <v>0</v>
      </c>
      <c r="AV938" s="461" t="s">
        <v>1092</v>
      </c>
      <c r="AW938" s="463"/>
    </row>
    <row r="939" spans="1:49" ht="14.45" customHeight="1" x14ac:dyDescent="0.25">
      <c r="A939" s="297">
        <f t="shared" si="14"/>
        <v>54.3</v>
      </c>
      <c r="B939" s="460">
        <v>41107</v>
      </c>
      <c r="C939" s="461" t="s">
        <v>452</v>
      </c>
      <c r="D939" s="462" t="s">
        <v>452</v>
      </c>
      <c r="E939" s="461" t="s">
        <v>380</v>
      </c>
      <c r="F939" s="290" t="s">
        <v>237</v>
      </c>
      <c r="G939" s="290" t="s">
        <v>263</v>
      </c>
      <c r="H939" s="291"/>
      <c r="I939" s="291"/>
      <c r="J939" s="291"/>
      <c r="K939" s="291">
        <v>19</v>
      </c>
      <c r="L939" s="292">
        <v>19</v>
      </c>
      <c r="M939" s="292">
        <v>19</v>
      </c>
      <c r="N939" s="292">
        <v>19</v>
      </c>
      <c r="O939" s="292">
        <v>19</v>
      </c>
      <c r="P939" s="294">
        <v>19</v>
      </c>
      <c r="Q939" s="294">
        <v>19</v>
      </c>
      <c r="R939" s="294"/>
      <c r="S939" s="294"/>
      <c r="T939" s="294"/>
      <c r="U939" s="294"/>
      <c r="V939" s="431"/>
      <c r="W939" s="294"/>
      <c r="X939" s="294"/>
      <c r="Y939" s="294">
        <f>IF(NFI_Expiration=1,IF($A939&lt;VLOOKUP(H$5,NFI,5,0),1,0)*Table_NFI[[#This Row],[Hygiene Kit]],Table_NFI[Hygiene Kit])</f>
        <v>0</v>
      </c>
      <c r="Z939" s="294">
        <f>IF(NFI_Expiration=1,IF($A939&lt;VLOOKUP(I$5,NFI,5,0),1,0)*Table_NFI[[#This Row],[NFI Core Kit]],Table_NFI[NFI Core Kit])</f>
        <v>0</v>
      </c>
      <c r="AA939" s="294">
        <f>IF(NFI_Expiration=1,IF($A939&lt;VLOOKUP(J$5,NFI,5,0),1,0)*Table_NFI[[#This Row],[Sanitary Kit]],Table_NFI[Sanitary Kit])</f>
        <v>0</v>
      </c>
      <c r="AB939" s="294">
        <f>IF(NFI_Expiration=1,IF($A939&lt;VLOOKUP(K$5,NFI,5,0),1,0)*Table_NFI[[#This Row],[Mosquito net]],Table_NFI[Mosquito net])</f>
        <v>0</v>
      </c>
      <c r="AC939" s="294">
        <f>IF(NFI_Expiration=1,IF($A939&lt;VLOOKUP(L$5,NFI,5,0),1,0)*Table_NFI[[#This Row],[Tarpaulin]],Table_NFI[[#This Row],[Tarpaulin]])</f>
        <v>0</v>
      </c>
      <c r="AD939" s="294">
        <f>IF(NFI_Expiration=1,IF($A939&lt;VLOOKUP(M$5,NFI,5,0),1,0)*Table_NFI[[#This Row],[Blanket]],Table_NFI[[#This Row],[Blanket]])</f>
        <v>0</v>
      </c>
      <c r="AE939" s="294">
        <f>IF(NFI_Expiration=1,IF($A939&lt;VLOOKUP(N$5,NFI,5,0),1,0)*Table_NFI[[#This Row],[Kitchen Set]],Table_NFI[Kitchen Set])</f>
        <v>0</v>
      </c>
      <c r="AF939" s="294">
        <f>IF(NFI_Expiration=1,IF($A939&lt;VLOOKUP(O$5,NFI,5,0),1,0)*Table_NFI[[#This Row],[Clothes Kit]],Table_NFI[Clothes Kit])</f>
        <v>0</v>
      </c>
      <c r="AG939" s="294">
        <f>IF(NFI_Expiration=1,IF($A939&lt;VLOOKUP(P$5,NFI,5,0),1,0)*Table_NFI[[#This Row],[Plastic Bucket]],Table_NFI[Plastic Bucket])</f>
        <v>0</v>
      </c>
      <c r="AH939" s="294">
        <f>IF(NFI_Expiration=1,IF($A939&lt;VLOOKUP(Q$5,NFI,5,0),1,0)*Table_NFI[[#This Row],[Plastic Mat]],Table_NFI[Plastic Mat])*IF(Table_NFI[[#This Row],[Distribution Date]]&gt;"2014-04-01",1,2.5)</f>
        <v>0</v>
      </c>
      <c r="AI939" s="294">
        <f>IF(NFI_Expiration=1,IF($A939&lt;VLOOKUP(R$5,NFI,5,0),1,0)*Table_NFI[[#This Row],[Winter Clothes Adult]],Table_NFI[Winter Clothes Adult])</f>
        <v>0</v>
      </c>
      <c r="AJ939" s="294">
        <f>IF(NFI_Expiration=1,IF($A939&lt;VLOOKUP(S$5,NFI,5,0),1,0)*Table_NFI[[#This Row],[Winter Clothes Children]],Table_NFI[Winter Clothes Children])</f>
        <v>0</v>
      </c>
      <c r="AK939" s="294">
        <f>IF(NFI_Expiration=1,IF($A939&lt;VLOOKUP(T$5,NFI,5,0),1,0)*Table_NFI[[#This Row],[Winter Items Other]],Table_NFI[Winter Items Other])</f>
        <v>0</v>
      </c>
      <c r="AL939" s="294">
        <f>IF(NFI_Expiration=1,IF($A939&lt;VLOOKUP(M$5,NFI,5,0),1,0)*Table_NFI[[#This Row],[Winter Blanket]],Table_NFI[[#This Row],[Winter Blanket]])</f>
        <v>0</v>
      </c>
      <c r="AM939" s="294">
        <f>IF(Table_NFI[[#This Row],[Winter Clothes Adult]]+Table_NFI[[#This Row],[Winter Clothes Children]]+Table_NFI[[#This Row],[Winter Items Other]]+Table_NFI[[#This Row],[Winter Blanket]]&gt;0,1,0)</f>
        <v>0</v>
      </c>
      <c r="AN939" s="331">
        <f>IF(NFI_Expiration=1,IF($A939&lt;VLOOKUP(V$5,NFI,5,0),1,0)*Table_NFI[[#This Row],[Jerry Can]],Table_NFI[Jerry Can])</f>
        <v>0</v>
      </c>
      <c r="AO939" s="331">
        <f>IF(NFI_Expiration=1,IF($A939&lt;VLOOKUP(V$5,NFI,5,0),1,0)*Table_NFI[[#This Row],[Shelter Tool kit]],Table_NFI[Shelter Tool kit])</f>
        <v>0</v>
      </c>
      <c r="AP939" s="331">
        <f>IF(NFI_Expiration=1,IF($A939&lt;VLOOKUP(V$5,NFI,5,0),1,0)*Table_NFI[[#This Row],[Tent]],Table_NFI[Tent])</f>
        <v>0</v>
      </c>
      <c r="AQ939" s="467" t="str">
        <f>IFERROR(VLOOKUP(Table_NFI[[#This Row],[Camp Name]],CL,2,0),"")</f>
        <v>MMR001CMP020</v>
      </c>
      <c r="AR939" s="835">
        <f ca="1">IF(Table_NFI[[#This Row],[Pcode]]="","",IF(OFFSET(CampList[Opening Date],MATCH(Table_NFI[[#This Row],[Pcode]],CampList[CP_Pcode],0)-1,0,1,1)&gt;=NFI_Monitor_Date,1,0))</f>
        <v>0</v>
      </c>
      <c r="AS939" s="467" t="str">
        <f>IFERROR(VLOOKUP(Table_NFI[[#This Row],[Camp Name]],CL,3,0),"")</f>
        <v>Open</v>
      </c>
      <c r="AT939" s="294" t="str">
        <f ca="1">IF(Table_NFI[[#This Row],[Pcode]]="","",OFFSET(CampList[Priority],MATCH(Table_NFI[[#This Row],[Pcode]],CampList[CP_Pcode],0)-1,0,1,1))</f>
        <v>P4</v>
      </c>
      <c r="AU939" s="293">
        <f>IFERROR(Table_NFI[[#This Row],[Kitchen Set]]/VLOOKUP(Table_NFI[[#This Row],[Camp Name]],CL,4,0),"")</f>
        <v>4.6549231937673027E-4</v>
      </c>
      <c r="AV939" s="461" t="s">
        <v>1092</v>
      </c>
      <c r="AW939" s="463"/>
    </row>
    <row r="940" spans="1:49" ht="14.45" customHeight="1" x14ac:dyDescent="0.25">
      <c r="A940" s="297">
        <f t="shared" si="14"/>
        <v>54.3</v>
      </c>
      <c r="B940" s="460">
        <v>41107</v>
      </c>
      <c r="C940" s="461" t="s">
        <v>452</v>
      </c>
      <c r="D940" s="462" t="s">
        <v>452</v>
      </c>
      <c r="E940" s="461" t="s">
        <v>380</v>
      </c>
      <c r="F940" s="290" t="s">
        <v>237</v>
      </c>
      <c r="G940" s="290" t="s">
        <v>271</v>
      </c>
      <c r="H940" s="291"/>
      <c r="I940" s="291"/>
      <c r="J940" s="291"/>
      <c r="K940" s="291">
        <v>6</v>
      </c>
      <c r="L940" s="292">
        <v>6</v>
      </c>
      <c r="M940" s="292">
        <v>6</v>
      </c>
      <c r="N940" s="292">
        <v>6</v>
      </c>
      <c r="O940" s="292">
        <v>6</v>
      </c>
      <c r="P940" s="294">
        <v>6</v>
      </c>
      <c r="Q940" s="294">
        <v>6</v>
      </c>
      <c r="R940" s="294"/>
      <c r="S940" s="294"/>
      <c r="T940" s="294"/>
      <c r="U940" s="294"/>
      <c r="V940" s="431"/>
      <c r="W940" s="294"/>
      <c r="X940" s="294"/>
      <c r="Y940" s="294">
        <f>IF(NFI_Expiration=1,IF($A940&lt;VLOOKUP(H$5,NFI,5,0),1,0)*Table_NFI[[#This Row],[Hygiene Kit]],Table_NFI[Hygiene Kit])</f>
        <v>0</v>
      </c>
      <c r="Z940" s="294">
        <f>IF(NFI_Expiration=1,IF($A940&lt;VLOOKUP(I$5,NFI,5,0),1,0)*Table_NFI[[#This Row],[NFI Core Kit]],Table_NFI[NFI Core Kit])</f>
        <v>0</v>
      </c>
      <c r="AA940" s="294">
        <f>IF(NFI_Expiration=1,IF($A940&lt;VLOOKUP(J$5,NFI,5,0),1,0)*Table_NFI[[#This Row],[Sanitary Kit]],Table_NFI[Sanitary Kit])</f>
        <v>0</v>
      </c>
      <c r="AB940" s="294">
        <f>IF(NFI_Expiration=1,IF($A940&lt;VLOOKUP(K$5,NFI,5,0),1,0)*Table_NFI[[#This Row],[Mosquito net]],Table_NFI[Mosquito net])</f>
        <v>0</v>
      </c>
      <c r="AC940" s="294">
        <f>IF(NFI_Expiration=1,IF($A940&lt;VLOOKUP(L$5,NFI,5,0),1,0)*Table_NFI[[#This Row],[Tarpaulin]],Table_NFI[[#This Row],[Tarpaulin]])</f>
        <v>0</v>
      </c>
      <c r="AD940" s="294">
        <f>IF(NFI_Expiration=1,IF($A940&lt;VLOOKUP(M$5,NFI,5,0),1,0)*Table_NFI[[#This Row],[Blanket]],Table_NFI[[#This Row],[Blanket]])</f>
        <v>0</v>
      </c>
      <c r="AE940" s="294">
        <f>IF(NFI_Expiration=1,IF($A940&lt;VLOOKUP(N$5,NFI,5,0),1,0)*Table_NFI[[#This Row],[Kitchen Set]],Table_NFI[Kitchen Set])</f>
        <v>0</v>
      </c>
      <c r="AF940" s="294">
        <f>IF(NFI_Expiration=1,IF($A940&lt;VLOOKUP(O$5,NFI,5,0),1,0)*Table_NFI[[#This Row],[Clothes Kit]],Table_NFI[Clothes Kit])</f>
        <v>0</v>
      </c>
      <c r="AG940" s="294">
        <f>IF(NFI_Expiration=1,IF($A940&lt;VLOOKUP(P$5,NFI,5,0),1,0)*Table_NFI[[#This Row],[Plastic Bucket]],Table_NFI[Plastic Bucket])</f>
        <v>0</v>
      </c>
      <c r="AH940" s="294">
        <f>IF(NFI_Expiration=1,IF($A940&lt;VLOOKUP(Q$5,NFI,5,0),1,0)*Table_NFI[[#This Row],[Plastic Mat]],Table_NFI[Plastic Mat])*IF(Table_NFI[[#This Row],[Distribution Date]]&gt;"2014-04-01",1,2.5)</f>
        <v>0</v>
      </c>
      <c r="AI940" s="294">
        <f>IF(NFI_Expiration=1,IF($A940&lt;VLOOKUP(R$5,NFI,5,0),1,0)*Table_NFI[[#This Row],[Winter Clothes Adult]],Table_NFI[Winter Clothes Adult])</f>
        <v>0</v>
      </c>
      <c r="AJ940" s="294">
        <f>IF(NFI_Expiration=1,IF($A940&lt;VLOOKUP(S$5,NFI,5,0),1,0)*Table_NFI[[#This Row],[Winter Clothes Children]],Table_NFI[Winter Clothes Children])</f>
        <v>0</v>
      </c>
      <c r="AK940" s="294">
        <f>IF(NFI_Expiration=1,IF($A940&lt;VLOOKUP(T$5,NFI,5,0),1,0)*Table_NFI[[#This Row],[Winter Items Other]],Table_NFI[Winter Items Other])</f>
        <v>0</v>
      </c>
      <c r="AL940" s="294">
        <f>IF(NFI_Expiration=1,IF($A940&lt;VLOOKUP(M$5,NFI,5,0),1,0)*Table_NFI[[#This Row],[Winter Blanket]],Table_NFI[[#This Row],[Winter Blanket]])</f>
        <v>0</v>
      </c>
      <c r="AM940" s="294">
        <f>IF(Table_NFI[[#This Row],[Winter Clothes Adult]]+Table_NFI[[#This Row],[Winter Clothes Children]]+Table_NFI[[#This Row],[Winter Items Other]]+Table_NFI[[#This Row],[Winter Blanket]]&gt;0,1,0)</f>
        <v>0</v>
      </c>
      <c r="AN940" s="331">
        <f>IF(NFI_Expiration=1,IF($A940&lt;VLOOKUP(V$5,NFI,5,0),1,0)*Table_NFI[[#This Row],[Jerry Can]],Table_NFI[Jerry Can])</f>
        <v>0</v>
      </c>
      <c r="AO940" s="331">
        <f>IF(NFI_Expiration=1,IF($A940&lt;VLOOKUP(V$5,NFI,5,0),1,0)*Table_NFI[[#This Row],[Shelter Tool kit]],Table_NFI[Shelter Tool kit])</f>
        <v>0</v>
      </c>
      <c r="AP940" s="331">
        <f>IF(NFI_Expiration=1,IF($A940&lt;VLOOKUP(V$5,NFI,5,0),1,0)*Table_NFI[[#This Row],[Tent]],Table_NFI[Tent])</f>
        <v>0</v>
      </c>
      <c r="AQ940" s="467" t="str">
        <f>IFERROR(VLOOKUP(Table_NFI[[#This Row],[Camp Name]],CL,2,0),"")</f>
        <v>MMR001CMP024</v>
      </c>
      <c r="AR940" s="835">
        <f ca="1">IF(Table_NFI[[#This Row],[Pcode]]="","",IF(OFFSET(CampList[Opening Date],MATCH(Table_NFI[[#This Row],[Pcode]],CampList[CP_Pcode],0)-1,0,1,1)&gt;=NFI_Monitor_Date,1,0))</f>
        <v>0</v>
      </c>
      <c r="AS940" s="467" t="str">
        <f>IFERROR(VLOOKUP(Table_NFI[[#This Row],[Camp Name]],CL,3,0),"")</f>
        <v>Open</v>
      </c>
      <c r="AT940" s="294" t="str">
        <f ca="1">IF(Table_NFI[[#This Row],[Pcode]]="","",OFFSET(CampList[Priority],MATCH(Table_NFI[[#This Row],[Pcode]],CampList[CP_Pcode],0)-1,0,1,1))</f>
        <v>P4</v>
      </c>
      <c r="AU940" s="293">
        <f>IFERROR(Table_NFI[[#This Row],[Kitchen Set]]/VLOOKUP(Table_NFI[[#This Row],[Camp Name]],CL,4,0),"")</f>
        <v>1.4666699259331686E-4</v>
      </c>
      <c r="AV940" s="461" t="s">
        <v>1092</v>
      </c>
      <c r="AW940" s="463"/>
    </row>
    <row r="941" spans="1:49" ht="14.45" customHeight="1" x14ac:dyDescent="0.25">
      <c r="A941" s="297">
        <f t="shared" si="14"/>
        <v>54.3</v>
      </c>
      <c r="B941" s="460">
        <v>41107</v>
      </c>
      <c r="C941" s="461" t="s">
        <v>452</v>
      </c>
      <c r="D941" s="462" t="s">
        <v>452</v>
      </c>
      <c r="E941" s="461" t="s">
        <v>380</v>
      </c>
      <c r="F941" s="290" t="s">
        <v>185</v>
      </c>
      <c r="G941" s="290" t="s">
        <v>219</v>
      </c>
      <c r="H941" s="291"/>
      <c r="I941" s="291"/>
      <c r="J941" s="291"/>
      <c r="K941" s="291">
        <v>0</v>
      </c>
      <c r="L941" s="292">
        <v>0</v>
      </c>
      <c r="M941" s="292">
        <v>0</v>
      </c>
      <c r="N941" s="292">
        <v>0</v>
      </c>
      <c r="O941" s="292">
        <v>0</v>
      </c>
      <c r="P941" s="294"/>
      <c r="Q941" s="294"/>
      <c r="R941" s="294"/>
      <c r="S941" s="294"/>
      <c r="T941" s="294"/>
      <c r="U941" s="294"/>
      <c r="V941" s="431"/>
      <c r="W941" s="294"/>
      <c r="X941" s="294"/>
      <c r="Y941" s="294">
        <f>IF(NFI_Expiration=1,IF($A941&lt;VLOOKUP(H$5,NFI,5,0),1,0)*Table_NFI[[#This Row],[Hygiene Kit]],Table_NFI[Hygiene Kit])</f>
        <v>0</v>
      </c>
      <c r="Z941" s="294">
        <f>IF(NFI_Expiration=1,IF($A941&lt;VLOOKUP(I$5,NFI,5,0),1,0)*Table_NFI[[#This Row],[NFI Core Kit]],Table_NFI[NFI Core Kit])</f>
        <v>0</v>
      </c>
      <c r="AA941" s="294">
        <f>IF(NFI_Expiration=1,IF($A941&lt;VLOOKUP(J$5,NFI,5,0),1,0)*Table_NFI[[#This Row],[Sanitary Kit]],Table_NFI[Sanitary Kit])</f>
        <v>0</v>
      </c>
      <c r="AB941" s="294">
        <f>IF(NFI_Expiration=1,IF($A941&lt;VLOOKUP(K$5,NFI,5,0),1,0)*Table_NFI[[#This Row],[Mosquito net]],Table_NFI[Mosquito net])</f>
        <v>0</v>
      </c>
      <c r="AC941" s="294">
        <f>IF(NFI_Expiration=1,IF($A941&lt;VLOOKUP(L$5,NFI,5,0),1,0)*Table_NFI[[#This Row],[Tarpaulin]],Table_NFI[[#This Row],[Tarpaulin]])</f>
        <v>0</v>
      </c>
      <c r="AD941" s="294">
        <f>IF(NFI_Expiration=1,IF($A941&lt;VLOOKUP(M$5,NFI,5,0),1,0)*Table_NFI[[#This Row],[Blanket]],Table_NFI[[#This Row],[Blanket]])</f>
        <v>0</v>
      </c>
      <c r="AE941" s="294">
        <f>IF(NFI_Expiration=1,IF($A941&lt;VLOOKUP(N$5,NFI,5,0),1,0)*Table_NFI[[#This Row],[Kitchen Set]],Table_NFI[Kitchen Set])</f>
        <v>0</v>
      </c>
      <c r="AF941" s="294">
        <f>IF(NFI_Expiration=1,IF($A941&lt;VLOOKUP(O$5,NFI,5,0),1,0)*Table_NFI[[#This Row],[Clothes Kit]],Table_NFI[Clothes Kit])</f>
        <v>0</v>
      </c>
      <c r="AG941" s="294">
        <f>IF(NFI_Expiration=1,IF($A941&lt;VLOOKUP(P$5,NFI,5,0),1,0)*Table_NFI[[#This Row],[Plastic Bucket]],Table_NFI[Plastic Bucket])</f>
        <v>0</v>
      </c>
      <c r="AH941" s="294">
        <f>IF(NFI_Expiration=1,IF($A941&lt;VLOOKUP(Q$5,NFI,5,0),1,0)*Table_NFI[[#This Row],[Plastic Mat]],Table_NFI[Plastic Mat])*IF(Table_NFI[[#This Row],[Distribution Date]]&gt;"2014-04-01",1,2.5)</f>
        <v>0</v>
      </c>
      <c r="AI941" s="294">
        <f>IF(NFI_Expiration=1,IF($A941&lt;VLOOKUP(R$5,NFI,5,0),1,0)*Table_NFI[[#This Row],[Winter Clothes Adult]],Table_NFI[Winter Clothes Adult])</f>
        <v>0</v>
      </c>
      <c r="AJ941" s="294">
        <f>IF(NFI_Expiration=1,IF($A941&lt;VLOOKUP(S$5,NFI,5,0),1,0)*Table_NFI[[#This Row],[Winter Clothes Children]],Table_NFI[Winter Clothes Children])</f>
        <v>0</v>
      </c>
      <c r="AK941" s="294">
        <f>IF(NFI_Expiration=1,IF($A941&lt;VLOOKUP(T$5,NFI,5,0),1,0)*Table_NFI[[#This Row],[Winter Items Other]],Table_NFI[Winter Items Other])</f>
        <v>0</v>
      </c>
      <c r="AL941" s="294">
        <f>IF(NFI_Expiration=1,IF($A941&lt;VLOOKUP(M$5,NFI,5,0),1,0)*Table_NFI[[#This Row],[Winter Blanket]],Table_NFI[[#This Row],[Winter Blanket]])</f>
        <v>0</v>
      </c>
      <c r="AM941" s="294">
        <f>IF(Table_NFI[[#This Row],[Winter Clothes Adult]]+Table_NFI[[#This Row],[Winter Clothes Children]]+Table_NFI[[#This Row],[Winter Items Other]]+Table_NFI[[#This Row],[Winter Blanket]]&gt;0,1,0)</f>
        <v>0</v>
      </c>
      <c r="AN941" s="331">
        <f>IF(NFI_Expiration=1,IF($A941&lt;VLOOKUP(V$5,NFI,5,0),1,0)*Table_NFI[[#This Row],[Jerry Can]],Table_NFI[Jerry Can])</f>
        <v>0</v>
      </c>
      <c r="AO941" s="331">
        <f>IF(NFI_Expiration=1,IF($A941&lt;VLOOKUP(V$5,NFI,5,0),1,0)*Table_NFI[[#This Row],[Shelter Tool kit]],Table_NFI[Shelter Tool kit])</f>
        <v>0</v>
      </c>
      <c r="AP941" s="331">
        <f>IF(NFI_Expiration=1,IF($A941&lt;VLOOKUP(V$5,NFI,5,0),1,0)*Table_NFI[[#This Row],[Tent]],Table_NFI[Tent])</f>
        <v>0</v>
      </c>
      <c r="AQ941" s="467" t="str">
        <f>IFERROR(VLOOKUP(Table_NFI[[#This Row],[Camp Name]],CL,2,0),"")</f>
        <v>MMR001CMP126</v>
      </c>
      <c r="AR941" s="835">
        <f ca="1">IF(Table_NFI[[#This Row],[Pcode]]="","",IF(OFFSET(CampList[Opening Date],MATCH(Table_NFI[[#This Row],[Pcode]],CampList[CP_Pcode],0)-1,0,1,1)&gt;=NFI_Monitor_Date,1,0))</f>
        <v>0</v>
      </c>
      <c r="AS941" s="467" t="str">
        <f>IFERROR(VLOOKUP(Table_NFI[[#This Row],[Camp Name]],CL,3,0),"")</f>
        <v>Open</v>
      </c>
      <c r="AT941" s="294" t="str">
        <f ca="1">IF(Table_NFI[[#This Row],[Pcode]]="","",OFFSET(CampList[Priority],MATCH(Table_NFI[[#This Row],[Pcode]],CampList[CP_Pcode],0)-1,0,1,1))</f>
        <v>P2</v>
      </c>
      <c r="AU941" s="293">
        <f>IFERROR(Table_NFI[[#This Row],[Kitchen Set]]/VLOOKUP(Table_NFI[[#This Row],[Camp Name]],CL,4,0),"")</f>
        <v>0</v>
      </c>
      <c r="AV941" s="461" t="s">
        <v>1092</v>
      </c>
      <c r="AW941" s="463"/>
    </row>
    <row r="942" spans="1:49" ht="14.45" customHeight="1" x14ac:dyDescent="0.25">
      <c r="A942" s="297">
        <f t="shared" si="14"/>
        <v>54.3</v>
      </c>
      <c r="B942" s="460">
        <v>41107</v>
      </c>
      <c r="C942" s="461" t="s">
        <v>452</v>
      </c>
      <c r="D942" s="462" t="s">
        <v>452</v>
      </c>
      <c r="E942" s="461" t="s">
        <v>380</v>
      </c>
      <c r="F942" s="290" t="s">
        <v>185</v>
      </c>
      <c r="G942" s="290" t="s">
        <v>219</v>
      </c>
      <c r="H942" s="291"/>
      <c r="I942" s="291"/>
      <c r="J942" s="291"/>
      <c r="K942" s="291">
        <v>0</v>
      </c>
      <c r="L942" s="292">
        <v>0</v>
      </c>
      <c r="M942" s="292">
        <v>0</v>
      </c>
      <c r="N942" s="292">
        <v>0</v>
      </c>
      <c r="O942" s="292">
        <v>0</v>
      </c>
      <c r="P942" s="294"/>
      <c r="Q942" s="294"/>
      <c r="R942" s="294"/>
      <c r="S942" s="294"/>
      <c r="T942" s="294"/>
      <c r="U942" s="294"/>
      <c r="V942" s="431"/>
      <c r="W942" s="294"/>
      <c r="X942" s="294"/>
      <c r="Y942" s="294">
        <f>IF(NFI_Expiration=1,IF($A942&lt;VLOOKUP(H$5,NFI,5,0),1,0)*Table_NFI[[#This Row],[Hygiene Kit]],Table_NFI[Hygiene Kit])</f>
        <v>0</v>
      </c>
      <c r="Z942" s="294">
        <f>IF(NFI_Expiration=1,IF($A942&lt;VLOOKUP(I$5,NFI,5,0),1,0)*Table_NFI[[#This Row],[NFI Core Kit]],Table_NFI[NFI Core Kit])</f>
        <v>0</v>
      </c>
      <c r="AA942" s="294">
        <f>IF(NFI_Expiration=1,IF($A942&lt;VLOOKUP(J$5,NFI,5,0),1,0)*Table_NFI[[#This Row],[Sanitary Kit]],Table_NFI[Sanitary Kit])</f>
        <v>0</v>
      </c>
      <c r="AB942" s="294">
        <f>IF(NFI_Expiration=1,IF($A942&lt;VLOOKUP(K$5,NFI,5,0),1,0)*Table_NFI[[#This Row],[Mosquito net]],Table_NFI[Mosquito net])</f>
        <v>0</v>
      </c>
      <c r="AC942" s="294">
        <f>IF(NFI_Expiration=1,IF($A942&lt;VLOOKUP(L$5,NFI,5,0),1,0)*Table_NFI[[#This Row],[Tarpaulin]],Table_NFI[[#This Row],[Tarpaulin]])</f>
        <v>0</v>
      </c>
      <c r="AD942" s="294">
        <f>IF(NFI_Expiration=1,IF($A942&lt;VLOOKUP(M$5,NFI,5,0),1,0)*Table_NFI[[#This Row],[Blanket]],Table_NFI[[#This Row],[Blanket]])</f>
        <v>0</v>
      </c>
      <c r="AE942" s="294">
        <f>IF(NFI_Expiration=1,IF($A942&lt;VLOOKUP(N$5,NFI,5,0),1,0)*Table_NFI[[#This Row],[Kitchen Set]],Table_NFI[Kitchen Set])</f>
        <v>0</v>
      </c>
      <c r="AF942" s="294">
        <f>IF(NFI_Expiration=1,IF($A942&lt;VLOOKUP(O$5,NFI,5,0),1,0)*Table_NFI[[#This Row],[Clothes Kit]],Table_NFI[Clothes Kit])</f>
        <v>0</v>
      </c>
      <c r="AG942" s="294">
        <f>IF(NFI_Expiration=1,IF($A942&lt;VLOOKUP(P$5,NFI,5,0),1,0)*Table_NFI[[#This Row],[Plastic Bucket]],Table_NFI[Plastic Bucket])</f>
        <v>0</v>
      </c>
      <c r="AH942" s="294">
        <f>IF(NFI_Expiration=1,IF($A942&lt;VLOOKUP(Q$5,NFI,5,0),1,0)*Table_NFI[[#This Row],[Plastic Mat]],Table_NFI[Plastic Mat])*IF(Table_NFI[[#This Row],[Distribution Date]]&gt;"2014-04-01",1,2.5)</f>
        <v>0</v>
      </c>
      <c r="AI942" s="294">
        <f>IF(NFI_Expiration=1,IF($A942&lt;VLOOKUP(R$5,NFI,5,0),1,0)*Table_NFI[[#This Row],[Winter Clothes Adult]],Table_NFI[Winter Clothes Adult])</f>
        <v>0</v>
      </c>
      <c r="AJ942" s="294">
        <f>IF(NFI_Expiration=1,IF($A942&lt;VLOOKUP(S$5,NFI,5,0),1,0)*Table_NFI[[#This Row],[Winter Clothes Children]],Table_NFI[Winter Clothes Children])</f>
        <v>0</v>
      </c>
      <c r="AK942" s="294">
        <f>IF(NFI_Expiration=1,IF($A942&lt;VLOOKUP(T$5,NFI,5,0),1,0)*Table_NFI[[#This Row],[Winter Items Other]],Table_NFI[Winter Items Other])</f>
        <v>0</v>
      </c>
      <c r="AL942" s="294">
        <f>IF(NFI_Expiration=1,IF($A942&lt;VLOOKUP(M$5,NFI,5,0),1,0)*Table_NFI[[#This Row],[Winter Blanket]],Table_NFI[[#This Row],[Winter Blanket]])</f>
        <v>0</v>
      </c>
      <c r="AM942" s="294">
        <f>IF(Table_NFI[[#This Row],[Winter Clothes Adult]]+Table_NFI[[#This Row],[Winter Clothes Children]]+Table_NFI[[#This Row],[Winter Items Other]]+Table_NFI[[#This Row],[Winter Blanket]]&gt;0,1,0)</f>
        <v>0</v>
      </c>
      <c r="AN942" s="331">
        <f>IF(NFI_Expiration=1,IF($A942&lt;VLOOKUP(V$5,NFI,5,0),1,0)*Table_NFI[[#This Row],[Jerry Can]],Table_NFI[Jerry Can])</f>
        <v>0</v>
      </c>
      <c r="AO942" s="331">
        <f>IF(NFI_Expiration=1,IF($A942&lt;VLOOKUP(V$5,NFI,5,0),1,0)*Table_NFI[[#This Row],[Shelter Tool kit]],Table_NFI[Shelter Tool kit])</f>
        <v>0</v>
      </c>
      <c r="AP942" s="331">
        <f>IF(NFI_Expiration=1,IF($A942&lt;VLOOKUP(V$5,NFI,5,0),1,0)*Table_NFI[[#This Row],[Tent]],Table_NFI[Tent])</f>
        <v>0</v>
      </c>
      <c r="AQ942" s="467" t="str">
        <f>IFERROR(VLOOKUP(Table_NFI[[#This Row],[Camp Name]],CL,2,0),"")</f>
        <v>MMR001CMP126</v>
      </c>
      <c r="AR942" s="835">
        <f ca="1">IF(Table_NFI[[#This Row],[Pcode]]="","",IF(OFFSET(CampList[Opening Date],MATCH(Table_NFI[[#This Row],[Pcode]],CampList[CP_Pcode],0)-1,0,1,1)&gt;=NFI_Monitor_Date,1,0))</f>
        <v>0</v>
      </c>
      <c r="AS942" s="467" t="str">
        <f>IFERROR(VLOOKUP(Table_NFI[[#This Row],[Camp Name]],CL,3,0),"")</f>
        <v>Open</v>
      </c>
      <c r="AT942" s="294" t="str">
        <f ca="1">IF(Table_NFI[[#This Row],[Pcode]]="","",OFFSET(CampList[Priority],MATCH(Table_NFI[[#This Row],[Pcode]],CampList[CP_Pcode],0)-1,0,1,1))</f>
        <v>P2</v>
      </c>
      <c r="AU942" s="293">
        <f>IFERROR(Table_NFI[[#This Row],[Kitchen Set]]/VLOOKUP(Table_NFI[[#This Row],[Camp Name]],CL,4,0),"")</f>
        <v>0</v>
      </c>
      <c r="AV942" s="461" t="s">
        <v>1092</v>
      </c>
      <c r="AW942" s="463"/>
    </row>
    <row r="943" spans="1:49" ht="14.45" customHeight="1" x14ac:dyDescent="0.25">
      <c r="A943" s="297">
        <f t="shared" si="14"/>
        <v>54.3</v>
      </c>
      <c r="B943" s="460">
        <v>41107</v>
      </c>
      <c r="C943" s="461" t="s">
        <v>452</v>
      </c>
      <c r="D943" s="461" t="s">
        <v>452</v>
      </c>
      <c r="E943" s="461" t="s">
        <v>380</v>
      </c>
      <c r="F943" s="461" t="s">
        <v>237</v>
      </c>
      <c r="G943" s="290" t="s">
        <v>279</v>
      </c>
      <c r="H943" s="291"/>
      <c r="I943" s="291"/>
      <c r="J943" s="291"/>
      <c r="K943" s="291">
        <v>3</v>
      </c>
      <c r="L943" s="292">
        <v>3</v>
      </c>
      <c r="M943" s="292">
        <v>3</v>
      </c>
      <c r="N943" s="292">
        <v>3</v>
      </c>
      <c r="O943" s="292">
        <v>3</v>
      </c>
      <c r="P943" s="294">
        <v>3</v>
      </c>
      <c r="Q943" s="294">
        <v>3</v>
      </c>
      <c r="R943" s="294"/>
      <c r="S943" s="294"/>
      <c r="T943" s="294"/>
      <c r="U943" s="294"/>
      <c r="V943" s="431"/>
      <c r="W943" s="294"/>
      <c r="X943" s="294"/>
      <c r="Y943" s="294">
        <f>IF(NFI_Expiration=1,IF($A943&lt;VLOOKUP(H$5,NFI,5,0),1,0)*Table_NFI[[#This Row],[Hygiene Kit]],Table_NFI[Hygiene Kit])</f>
        <v>0</v>
      </c>
      <c r="Z943" s="294">
        <f>IF(NFI_Expiration=1,IF($A943&lt;VLOOKUP(I$5,NFI,5,0),1,0)*Table_NFI[[#This Row],[NFI Core Kit]],Table_NFI[NFI Core Kit])</f>
        <v>0</v>
      </c>
      <c r="AA943" s="294">
        <f>IF(NFI_Expiration=1,IF($A943&lt;VLOOKUP(J$5,NFI,5,0),1,0)*Table_NFI[[#This Row],[Sanitary Kit]],Table_NFI[Sanitary Kit])</f>
        <v>0</v>
      </c>
      <c r="AB943" s="294">
        <f>IF(NFI_Expiration=1,IF($A943&lt;VLOOKUP(K$5,NFI,5,0),1,0)*Table_NFI[[#This Row],[Mosquito net]],Table_NFI[Mosquito net])</f>
        <v>0</v>
      </c>
      <c r="AC943" s="294">
        <f>IF(NFI_Expiration=1,IF($A943&lt;VLOOKUP(L$5,NFI,5,0),1,0)*Table_NFI[[#This Row],[Tarpaulin]],Table_NFI[[#This Row],[Tarpaulin]])</f>
        <v>0</v>
      </c>
      <c r="AD943" s="294">
        <f>IF(NFI_Expiration=1,IF($A943&lt;VLOOKUP(M$5,NFI,5,0),1,0)*Table_NFI[[#This Row],[Blanket]],Table_NFI[[#This Row],[Blanket]])</f>
        <v>0</v>
      </c>
      <c r="AE943" s="294">
        <f>IF(NFI_Expiration=1,IF($A943&lt;VLOOKUP(N$5,NFI,5,0),1,0)*Table_NFI[[#This Row],[Kitchen Set]],Table_NFI[Kitchen Set])</f>
        <v>0</v>
      </c>
      <c r="AF943" s="294">
        <f>IF(NFI_Expiration=1,IF($A943&lt;VLOOKUP(O$5,NFI,5,0),1,0)*Table_NFI[[#This Row],[Clothes Kit]],Table_NFI[Clothes Kit])</f>
        <v>0</v>
      </c>
      <c r="AG943" s="294">
        <f>IF(NFI_Expiration=1,IF($A943&lt;VLOOKUP(P$5,NFI,5,0),1,0)*Table_NFI[[#This Row],[Plastic Bucket]],Table_NFI[Plastic Bucket])</f>
        <v>0</v>
      </c>
      <c r="AH943" s="294">
        <f>IF(NFI_Expiration=1,IF($A943&lt;VLOOKUP(Q$5,NFI,5,0),1,0)*Table_NFI[[#This Row],[Plastic Mat]],Table_NFI[Plastic Mat])*IF(Table_NFI[[#This Row],[Distribution Date]]&gt;"2014-04-01",1,2.5)</f>
        <v>0</v>
      </c>
      <c r="AI943" s="294">
        <f>IF(NFI_Expiration=1,IF($A943&lt;VLOOKUP(R$5,NFI,5,0),1,0)*Table_NFI[[#This Row],[Winter Clothes Adult]],Table_NFI[Winter Clothes Adult])</f>
        <v>0</v>
      </c>
      <c r="AJ943" s="294">
        <f>IF(NFI_Expiration=1,IF($A943&lt;VLOOKUP(S$5,NFI,5,0),1,0)*Table_NFI[[#This Row],[Winter Clothes Children]],Table_NFI[Winter Clothes Children])</f>
        <v>0</v>
      </c>
      <c r="AK943" s="294">
        <f>IF(NFI_Expiration=1,IF($A943&lt;VLOOKUP(T$5,NFI,5,0),1,0)*Table_NFI[[#This Row],[Winter Items Other]],Table_NFI[Winter Items Other])</f>
        <v>0</v>
      </c>
      <c r="AL943" s="294">
        <f>IF(NFI_Expiration=1,IF($A943&lt;VLOOKUP(M$5,NFI,5,0),1,0)*Table_NFI[[#This Row],[Winter Blanket]],Table_NFI[[#This Row],[Winter Blanket]])</f>
        <v>0</v>
      </c>
      <c r="AM943" s="294">
        <f>IF(Table_NFI[[#This Row],[Winter Clothes Adult]]+Table_NFI[[#This Row],[Winter Clothes Children]]+Table_NFI[[#This Row],[Winter Items Other]]+Table_NFI[[#This Row],[Winter Blanket]]&gt;0,1,0)</f>
        <v>0</v>
      </c>
      <c r="AN943" s="331">
        <f>IF(NFI_Expiration=1,IF($A943&lt;VLOOKUP(V$5,NFI,5,0),1,0)*Table_NFI[[#This Row],[Jerry Can]],Table_NFI[Jerry Can])</f>
        <v>0</v>
      </c>
      <c r="AO943" s="331">
        <f>IF(NFI_Expiration=1,IF($A943&lt;VLOOKUP(V$5,NFI,5,0),1,0)*Table_NFI[[#This Row],[Shelter Tool kit]],Table_NFI[Shelter Tool kit])</f>
        <v>0</v>
      </c>
      <c r="AP943" s="331">
        <f>IF(NFI_Expiration=1,IF($A943&lt;VLOOKUP(V$5,NFI,5,0),1,0)*Table_NFI[[#This Row],[Tent]],Table_NFI[Tent])</f>
        <v>0</v>
      </c>
      <c r="AQ943" s="467" t="str">
        <f>IFERROR(VLOOKUP(Table_NFI[[#This Row],[Camp Name]],CL,2,0),"")</f>
        <v>MMR001CMP007</v>
      </c>
      <c r="AR943" s="835">
        <f ca="1">IF(Table_NFI[[#This Row],[Pcode]]="","",IF(OFFSET(CampList[Opening Date],MATCH(Table_NFI[[#This Row],[Pcode]],CampList[CP_Pcode],0)-1,0,1,1)&gt;=NFI_Monitor_Date,1,0))</f>
        <v>0</v>
      </c>
      <c r="AS943" s="467" t="str">
        <f>IFERROR(VLOOKUP(Table_NFI[[#This Row],[Camp Name]],CL,3,0),"")</f>
        <v>Open</v>
      </c>
      <c r="AT943" s="294" t="str">
        <f ca="1">IF(Table_NFI[[#This Row],[Pcode]]="","",OFFSET(CampList[Priority],MATCH(Table_NFI[[#This Row],[Pcode]],CampList[CP_Pcode],0)-1,0,1,1))</f>
        <v>P4</v>
      </c>
      <c r="AU943" s="293">
        <f>IFERROR(Table_NFI[[#This Row],[Kitchen Set]]/VLOOKUP(Table_NFI[[#This Row],[Camp Name]],CL,4,0),"")</f>
        <v>7.333349629665843E-5</v>
      </c>
      <c r="AV943" s="461" t="s">
        <v>1092</v>
      </c>
      <c r="AW943" s="463"/>
    </row>
    <row r="944" spans="1:49" ht="14.45" customHeight="1" x14ac:dyDescent="0.25">
      <c r="A944" s="297">
        <f t="shared" si="14"/>
        <v>54.3</v>
      </c>
      <c r="B944" s="460">
        <v>41107</v>
      </c>
      <c r="C944" s="461" t="s">
        <v>452</v>
      </c>
      <c r="D944" s="462" t="s">
        <v>452</v>
      </c>
      <c r="E944" s="461" t="s">
        <v>380</v>
      </c>
      <c r="F944" s="290" t="s">
        <v>151</v>
      </c>
      <c r="G944" s="290" t="s">
        <v>158</v>
      </c>
      <c r="H944" s="291"/>
      <c r="I944" s="291"/>
      <c r="J944" s="291"/>
      <c r="K944" s="291">
        <v>0</v>
      </c>
      <c r="L944" s="292">
        <v>0</v>
      </c>
      <c r="M944" s="292">
        <v>0</v>
      </c>
      <c r="N944" s="292">
        <v>0</v>
      </c>
      <c r="O944" s="292">
        <v>0</v>
      </c>
      <c r="P944" s="294"/>
      <c r="Q944" s="294"/>
      <c r="R944" s="294"/>
      <c r="S944" s="294"/>
      <c r="T944" s="294"/>
      <c r="U944" s="294"/>
      <c r="V944" s="431"/>
      <c r="W944" s="294"/>
      <c r="X944" s="294"/>
      <c r="Y944" s="294">
        <f>IF(NFI_Expiration=1,IF($A944&lt;VLOOKUP(H$5,NFI,5,0),1,0)*Table_NFI[[#This Row],[Hygiene Kit]],Table_NFI[Hygiene Kit])</f>
        <v>0</v>
      </c>
      <c r="Z944" s="294">
        <f>IF(NFI_Expiration=1,IF($A944&lt;VLOOKUP(I$5,NFI,5,0),1,0)*Table_NFI[[#This Row],[NFI Core Kit]],Table_NFI[NFI Core Kit])</f>
        <v>0</v>
      </c>
      <c r="AA944" s="294">
        <f>IF(NFI_Expiration=1,IF($A944&lt;VLOOKUP(J$5,NFI,5,0),1,0)*Table_NFI[[#This Row],[Sanitary Kit]],Table_NFI[Sanitary Kit])</f>
        <v>0</v>
      </c>
      <c r="AB944" s="294">
        <f>IF(NFI_Expiration=1,IF($A944&lt;VLOOKUP(K$5,NFI,5,0),1,0)*Table_NFI[[#This Row],[Mosquito net]],Table_NFI[Mosquito net])</f>
        <v>0</v>
      </c>
      <c r="AC944" s="294">
        <f>IF(NFI_Expiration=1,IF($A944&lt;VLOOKUP(L$5,NFI,5,0),1,0)*Table_NFI[[#This Row],[Tarpaulin]],Table_NFI[[#This Row],[Tarpaulin]])</f>
        <v>0</v>
      </c>
      <c r="AD944" s="294">
        <f>IF(NFI_Expiration=1,IF($A944&lt;VLOOKUP(M$5,NFI,5,0),1,0)*Table_NFI[[#This Row],[Blanket]],Table_NFI[[#This Row],[Blanket]])</f>
        <v>0</v>
      </c>
      <c r="AE944" s="294">
        <f>IF(NFI_Expiration=1,IF($A944&lt;VLOOKUP(N$5,NFI,5,0),1,0)*Table_NFI[[#This Row],[Kitchen Set]],Table_NFI[Kitchen Set])</f>
        <v>0</v>
      </c>
      <c r="AF944" s="294">
        <f>IF(NFI_Expiration=1,IF($A944&lt;VLOOKUP(O$5,NFI,5,0),1,0)*Table_NFI[[#This Row],[Clothes Kit]],Table_NFI[Clothes Kit])</f>
        <v>0</v>
      </c>
      <c r="AG944" s="294">
        <f>IF(NFI_Expiration=1,IF($A944&lt;VLOOKUP(P$5,NFI,5,0),1,0)*Table_NFI[[#This Row],[Plastic Bucket]],Table_NFI[Plastic Bucket])</f>
        <v>0</v>
      </c>
      <c r="AH944" s="294">
        <f>IF(NFI_Expiration=1,IF($A944&lt;VLOOKUP(Q$5,NFI,5,0),1,0)*Table_NFI[[#This Row],[Plastic Mat]],Table_NFI[Plastic Mat])*IF(Table_NFI[[#This Row],[Distribution Date]]&gt;"2014-04-01",1,2.5)</f>
        <v>0</v>
      </c>
      <c r="AI944" s="294">
        <f>IF(NFI_Expiration=1,IF($A944&lt;VLOOKUP(R$5,NFI,5,0),1,0)*Table_NFI[[#This Row],[Winter Clothes Adult]],Table_NFI[Winter Clothes Adult])</f>
        <v>0</v>
      </c>
      <c r="AJ944" s="294">
        <f>IF(NFI_Expiration=1,IF($A944&lt;VLOOKUP(S$5,NFI,5,0),1,0)*Table_NFI[[#This Row],[Winter Clothes Children]],Table_NFI[Winter Clothes Children])</f>
        <v>0</v>
      </c>
      <c r="AK944" s="294">
        <f>IF(NFI_Expiration=1,IF($A944&lt;VLOOKUP(T$5,NFI,5,0),1,0)*Table_NFI[[#This Row],[Winter Items Other]],Table_NFI[Winter Items Other])</f>
        <v>0</v>
      </c>
      <c r="AL944" s="294">
        <f>IF(NFI_Expiration=1,IF($A944&lt;VLOOKUP(M$5,NFI,5,0),1,0)*Table_NFI[[#This Row],[Winter Blanket]],Table_NFI[[#This Row],[Winter Blanket]])</f>
        <v>0</v>
      </c>
      <c r="AM944" s="294">
        <f>IF(Table_NFI[[#This Row],[Winter Clothes Adult]]+Table_NFI[[#This Row],[Winter Clothes Children]]+Table_NFI[[#This Row],[Winter Items Other]]+Table_NFI[[#This Row],[Winter Blanket]]&gt;0,1,0)</f>
        <v>0</v>
      </c>
      <c r="AN944" s="331">
        <f>IF(NFI_Expiration=1,IF($A944&lt;VLOOKUP(V$5,NFI,5,0),1,0)*Table_NFI[[#This Row],[Jerry Can]],Table_NFI[Jerry Can])</f>
        <v>0</v>
      </c>
      <c r="AO944" s="331">
        <f>IF(NFI_Expiration=1,IF($A944&lt;VLOOKUP(V$5,NFI,5,0),1,0)*Table_NFI[[#This Row],[Shelter Tool kit]],Table_NFI[Shelter Tool kit])</f>
        <v>0</v>
      </c>
      <c r="AP944" s="331">
        <f>IF(NFI_Expiration=1,IF($A944&lt;VLOOKUP(V$5,NFI,5,0),1,0)*Table_NFI[[#This Row],[Tent]],Table_NFI[Tent])</f>
        <v>0</v>
      </c>
      <c r="AQ944" s="467" t="str">
        <f>IFERROR(VLOOKUP(Table_NFI[[#This Row],[Camp Name]],CL,2,0),"")</f>
        <v>MMR001CMP135</v>
      </c>
      <c r="AR944" s="835">
        <f ca="1">IF(Table_NFI[[#This Row],[Pcode]]="","",IF(OFFSET(CampList[Opening Date],MATCH(Table_NFI[[#This Row],[Pcode]],CampList[CP_Pcode],0)-1,0,1,1)&gt;=NFI_Monitor_Date,1,0))</f>
        <v>0</v>
      </c>
      <c r="AS944" s="467" t="str">
        <f>IFERROR(VLOOKUP(Table_NFI[[#This Row],[Camp Name]],CL,3,0),"")</f>
        <v>Closed</v>
      </c>
      <c r="AT944" s="294" t="str">
        <f ca="1">IF(Table_NFI[[#This Row],[Pcode]]="","",OFFSET(CampList[Priority],MATCH(Table_NFI[[#This Row],[Pcode]],CampList[CP_Pcode],0)-1,0,1,1))</f>
        <v>P2</v>
      </c>
      <c r="AU944" s="293">
        <f>IFERROR(Table_NFI[[#This Row],[Kitchen Set]]/VLOOKUP(Table_NFI[[#This Row],[Camp Name]],CL,4,0),"")</f>
        <v>0</v>
      </c>
      <c r="AV944" s="461" t="s">
        <v>1092</v>
      </c>
      <c r="AW944" s="463"/>
    </row>
    <row r="945" spans="1:49" ht="14.45" customHeight="1" x14ac:dyDescent="0.25">
      <c r="A945" s="297">
        <f t="shared" si="14"/>
        <v>54.3</v>
      </c>
      <c r="B945" s="460">
        <v>41107</v>
      </c>
      <c r="C945" s="461" t="s">
        <v>452</v>
      </c>
      <c r="D945" s="462" t="s">
        <v>452</v>
      </c>
      <c r="E945" s="461" t="s">
        <v>380</v>
      </c>
      <c r="F945" s="290" t="s">
        <v>310</v>
      </c>
      <c r="G945" s="290" t="s">
        <v>1246</v>
      </c>
      <c r="H945" s="291"/>
      <c r="I945" s="291"/>
      <c r="J945" s="291"/>
      <c r="K945" s="291">
        <v>0</v>
      </c>
      <c r="L945" s="292">
        <v>0</v>
      </c>
      <c r="M945" s="292">
        <v>0</v>
      </c>
      <c r="N945" s="292">
        <v>0</v>
      </c>
      <c r="O945" s="292">
        <v>0</v>
      </c>
      <c r="P945" s="294"/>
      <c r="Q945" s="294"/>
      <c r="R945" s="294"/>
      <c r="S945" s="294"/>
      <c r="T945" s="294"/>
      <c r="U945" s="294"/>
      <c r="V945" s="431"/>
      <c r="W945" s="294"/>
      <c r="X945" s="294"/>
      <c r="Y945" s="294">
        <f>IF(NFI_Expiration=1,IF($A945&lt;VLOOKUP(H$5,NFI,5,0),1,0)*Table_NFI[[#This Row],[Hygiene Kit]],Table_NFI[Hygiene Kit])</f>
        <v>0</v>
      </c>
      <c r="Z945" s="294">
        <f>IF(NFI_Expiration=1,IF($A945&lt;VLOOKUP(I$5,NFI,5,0),1,0)*Table_NFI[[#This Row],[NFI Core Kit]],Table_NFI[NFI Core Kit])</f>
        <v>0</v>
      </c>
      <c r="AA945" s="294">
        <f>IF(NFI_Expiration=1,IF($A945&lt;VLOOKUP(J$5,NFI,5,0),1,0)*Table_NFI[[#This Row],[Sanitary Kit]],Table_NFI[Sanitary Kit])</f>
        <v>0</v>
      </c>
      <c r="AB945" s="294">
        <f>IF(NFI_Expiration=1,IF($A945&lt;VLOOKUP(K$5,NFI,5,0),1,0)*Table_NFI[[#This Row],[Mosquito net]],Table_NFI[Mosquito net])</f>
        <v>0</v>
      </c>
      <c r="AC945" s="294">
        <f>IF(NFI_Expiration=1,IF($A945&lt;VLOOKUP(L$5,NFI,5,0),1,0)*Table_NFI[[#This Row],[Tarpaulin]],Table_NFI[[#This Row],[Tarpaulin]])</f>
        <v>0</v>
      </c>
      <c r="AD945" s="294">
        <f>IF(NFI_Expiration=1,IF($A945&lt;VLOOKUP(M$5,NFI,5,0),1,0)*Table_NFI[[#This Row],[Blanket]],Table_NFI[[#This Row],[Blanket]])</f>
        <v>0</v>
      </c>
      <c r="AE945" s="294">
        <f>IF(NFI_Expiration=1,IF($A945&lt;VLOOKUP(N$5,NFI,5,0),1,0)*Table_NFI[[#This Row],[Kitchen Set]],Table_NFI[Kitchen Set])</f>
        <v>0</v>
      </c>
      <c r="AF945" s="294">
        <f>IF(NFI_Expiration=1,IF($A945&lt;VLOOKUP(O$5,NFI,5,0),1,0)*Table_NFI[[#This Row],[Clothes Kit]],Table_NFI[Clothes Kit])</f>
        <v>0</v>
      </c>
      <c r="AG945" s="294">
        <f>IF(NFI_Expiration=1,IF($A945&lt;VLOOKUP(P$5,NFI,5,0),1,0)*Table_NFI[[#This Row],[Plastic Bucket]],Table_NFI[Plastic Bucket])</f>
        <v>0</v>
      </c>
      <c r="AH945" s="294">
        <f>IF(NFI_Expiration=1,IF($A945&lt;VLOOKUP(Q$5,NFI,5,0),1,0)*Table_NFI[[#This Row],[Plastic Mat]],Table_NFI[Plastic Mat])*IF(Table_NFI[[#This Row],[Distribution Date]]&gt;"2014-04-01",1,2.5)</f>
        <v>0</v>
      </c>
      <c r="AI945" s="294">
        <f>IF(NFI_Expiration=1,IF($A945&lt;VLOOKUP(R$5,NFI,5,0),1,0)*Table_NFI[[#This Row],[Winter Clothes Adult]],Table_NFI[Winter Clothes Adult])</f>
        <v>0</v>
      </c>
      <c r="AJ945" s="294">
        <f>IF(NFI_Expiration=1,IF($A945&lt;VLOOKUP(S$5,NFI,5,0),1,0)*Table_NFI[[#This Row],[Winter Clothes Children]],Table_NFI[Winter Clothes Children])</f>
        <v>0</v>
      </c>
      <c r="AK945" s="294">
        <f>IF(NFI_Expiration=1,IF($A945&lt;VLOOKUP(T$5,NFI,5,0),1,0)*Table_NFI[[#This Row],[Winter Items Other]],Table_NFI[Winter Items Other])</f>
        <v>0</v>
      </c>
      <c r="AL945" s="294">
        <f>IF(NFI_Expiration=1,IF($A945&lt;VLOOKUP(M$5,NFI,5,0),1,0)*Table_NFI[[#This Row],[Winter Blanket]],Table_NFI[[#This Row],[Winter Blanket]])</f>
        <v>0</v>
      </c>
      <c r="AM945" s="294">
        <f>IF(Table_NFI[[#This Row],[Winter Clothes Adult]]+Table_NFI[[#This Row],[Winter Clothes Children]]+Table_NFI[[#This Row],[Winter Items Other]]+Table_NFI[[#This Row],[Winter Blanket]]&gt;0,1,0)</f>
        <v>0</v>
      </c>
      <c r="AN945" s="331">
        <f>IF(NFI_Expiration=1,IF($A945&lt;VLOOKUP(V$5,NFI,5,0),1,0)*Table_NFI[[#This Row],[Jerry Can]],Table_NFI[Jerry Can])</f>
        <v>0</v>
      </c>
      <c r="AO945" s="331">
        <f>IF(NFI_Expiration=1,IF($A945&lt;VLOOKUP(V$5,NFI,5,0),1,0)*Table_NFI[[#This Row],[Shelter Tool kit]],Table_NFI[Shelter Tool kit])</f>
        <v>0</v>
      </c>
      <c r="AP945" s="331">
        <f>IF(NFI_Expiration=1,IF($A945&lt;VLOOKUP(V$5,NFI,5,0),1,0)*Table_NFI[[#This Row],[Tent]],Table_NFI[Tent])</f>
        <v>0</v>
      </c>
      <c r="AQ945" s="467" t="str">
        <f>IFERROR(VLOOKUP(Table_NFI[[#This Row],[Camp Name]],CL,2,0),"")</f>
        <v>MMR001CMP035</v>
      </c>
      <c r="AR945" s="835">
        <f ca="1">IF(Table_NFI[[#This Row],[Pcode]]="","",IF(OFFSET(CampList[Opening Date],MATCH(Table_NFI[[#This Row],[Pcode]],CampList[CP_Pcode],0)-1,0,1,1)&gt;=NFI_Monitor_Date,1,0))</f>
        <v>0</v>
      </c>
      <c r="AS945" s="467" t="str">
        <f>IFERROR(VLOOKUP(Table_NFI[[#This Row],[Camp Name]],CL,3,0),"")</f>
        <v>Closed</v>
      </c>
      <c r="AT945" s="294" t="str">
        <f ca="1">IF(Table_NFI[[#This Row],[Pcode]]="","",OFFSET(CampList[Priority],MATCH(Table_NFI[[#This Row],[Pcode]],CampList[CP_Pcode],0)-1,0,1,1))</f>
        <v/>
      </c>
      <c r="AU945" s="293" t="str">
        <f>IFERROR(Table_NFI[[#This Row],[Kitchen Set]]/VLOOKUP(Table_NFI[[#This Row],[Camp Name]],CL,4,0),"")</f>
        <v/>
      </c>
      <c r="AV945" s="461" t="s">
        <v>1092</v>
      </c>
      <c r="AW945" s="463"/>
    </row>
    <row r="946" spans="1:49" ht="14.45" customHeight="1" x14ac:dyDescent="0.25">
      <c r="A946" s="297">
        <f t="shared" si="14"/>
        <v>54.3</v>
      </c>
      <c r="B946" s="460">
        <v>41107</v>
      </c>
      <c r="C946" s="461" t="s">
        <v>452</v>
      </c>
      <c r="D946" s="462" t="s">
        <v>452</v>
      </c>
      <c r="E946" s="461" t="s">
        <v>380</v>
      </c>
      <c r="F946" s="290" t="s">
        <v>237</v>
      </c>
      <c r="G946" s="290" t="s">
        <v>251</v>
      </c>
      <c r="H946" s="291"/>
      <c r="I946" s="291"/>
      <c r="J946" s="291"/>
      <c r="K946" s="291">
        <v>7</v>
      </c>
      <c r="L946" s="292">
        <v>7</v>
      </c>
      <c r="M946" s="292">
        <v>7</v>
      </c>
      <c r="N946" s="292">
        <v>7</v>
      </c>
      <c r="O946" s="292">
        <v>7</v>
      </c>
      <c r="P946" s="294">
        <v>7</v>
      </c>
      <c r="Q946" s="294">
        <v>7</v>
      </c>
      <c r="R946" s="294"/>
      <c r="S946" s="294"/>
      <c r="T946" s="294"/>
      <c r="U946" s="294"/>
      <c r="V946" s="431"/>
      <c r="W946" s="294"/>
      <c r="X946" s="294"/>
      <c r="Y946" s="294">
        <f>IF(NFI_Expiration=1,IF($A946&lt;VLOOKUP(H$5,NFI,5,0),1,0)*Table_NFI[[#This Row],[Hygiene Kit]],Table_NFI[Hygiene Kit])</f>
        <v>0</v>
      </c>
      <c r="Z946" s="294">
        <f>IF(NFI_Expiration=1,IF($A946&lt;VLOOKUP(I$5,NFI,5,0),1,0)*Table_NFI[[#This Row],[NFI Core Kit]],Table_NFI[NFI Core Kit])</f>
        <v>0</v>
      </c>
      <c r="AA946" s="294">
        <f>IF(NFI_Expiration=1,IF($A946&lt;VLOOKUP(J$5,NFI,5,0),1,0)*Table_NFI[[#This Row],[Sanitary Kit]],Table_NFI[Sanitary Kit])</f>
        <v>0</v>
      </c>
      <c r="AB946" s="294">
        <f>IF(NFI_Expiration=1,IF($A946&lt;VLOOKUP(K$5,NFI,5,0),1,0)*Table_NFI[[#This Row],[Mosquito net]],Table_NFI[Mosquito net])</f>
        <v>0</v>
      </c>
      <c r="AC946" s="294">
        <f>IF(NFI_Expiration=1,IF($A946&lt;VLOOKUP(L$5,NFI,5,0),1,0)*Table_NFI[[#This Row],[Tarpaulin]],Table_NFI[[#This Row],[Tarpaulin]])</f>
        <v>0</v>
      </c>
      <c r="AD946" s="294">
        <f>IF(NFI_Expiration=1,IF($A946&lt;VLOOKUP(M$5,NFI,5,0),1,0)*Table_NFI[[#This Row],[Blanket]],Table_NFI[[#This Row],[Blanket]])</f>
        <v>0</v>
      </c>
      <c r="AE946" s="294">
        <f>IF(NFI_Expiration=1,IF($A946&lt;VLOOKUP(N$5,NFI,5,0),1,0)*Table_NFI[[#This Row],[Kitchen Set]],Table_NFI[Kitchen Set])</f>
        <v>0</v>
      </c>
      <c r="AF946" s="294">
        <f>IF(NFI_Expiration=1,IF($A946&lt;VLOOKUP(O$5,NFI,5,0),1,0)*Table_NFI[[#This Row],[Clothes Kit]],Table_NFI[Clothes Kit])</f>
        <v>0</v>
      </c>
      <c r="AG946" s="294">
        <f>IF(NFI_Expiration=1,IF($A946&lt;VLOOKUP(P$5,NFI,5,0),1,0)*Table_NFI[[#This Row],[Plastic Bucket]],Table_NFI[Plastic Bucket])</f>
        <v>0</v>
      </c>
      <c r="AH946" s="294">
        <f>IF(NFI_Expiration=1,IF($A946&lt;VLOOKUP(Q$5,NFI,5,0),1,0)*Table_NFI[[#This Row],[Plastic Mat]],Table_NFI[Plastic Mat])*IF(Table_NFI[[#This Row],[Distribution Date]]&gt;"2014-04-01",1,2.5)</f>
        <v>0</v>
      </c>
      <c r="AI946" s="294">
        <f>IF(NFI_Expiration=1,IF($A946&lt;VLOOKUP(R$5,NFI,5,0),1,0)*Table_NFI[[#This Row],[Winter Clothes Adult]],Table_NFI[Winter Clothes Adult])</f>
        <v>0</v>
      </c>
      <c r="AJ946" s="294">
        <f>IF(NFI_Expiration=1,IF($A946&lt;VLOOKUP(S$5,NFI,5,0),1,0)*Table_NFI[[#This Row],[Winter Clothes Children]],Table_NFI[Winter Clothes Children])</f>
        <v>0</v>
      </c>
      <c r="AK946" s="294">
        <f>IF(NFI_Expiration=1,IF($A946&lt;VLOOKUP(T$5,NFI,5,0),1,0)*Table_NFI[[#This Row],[Winter Items Other]],Table_NFI[Winter Items Other])</f>
        <v>0</v>
      </c>
      <c r="AL946" s="294">
        <f>IF(NFI_Expiration=1,IF($A946&lt;VLOOKUP(M$5,NFI,5,0),1,0)*Table_NFI[[#This Row],[Winter Blanket]],Table_NFI[[#This Row],[Winter Blanket]])</f>
        <v>0</v>
      </c>
      <c r="AM946" s="294">
        <f>IF(Table_NFI[[#This Row],[Winter Clothes Adult]]+Table_NFI[[#This Row],[Winter Clothes Children]]+Table_NFI[[#This Row],[Winter Items Other]]+Table_NFI[[#This Row],[Winter Blanket]]&gt;0,1,0)</f>
        <v>0</v>
      </c>
      <c r="AN946" s="331">
        <f>IF(NFI_Expiration=1,IF($A946&lt;VLOOKUP(V$5,NFI,5,0),1,0)*Table_NFI[[#This Row],[Jerry Can]],Table_NFI[Jerry Can])</f>
        <v>0</v>
      </c>
      <c r="AO946" s="331">
        <f>IF(NFI_Expiration=1,IF($A946&lt;VLOOKUP(V$5,NFI,5,0),1,0)*Table_NFI[[#This Row],[Shelter Tool kit]],Table_NFI[Shelter Tool kit])</f>
        <v>0</v>
      </c>
      <c r="AP946" s="331">
        <f>IF(NFI_Expiration=1,IF($A946&lt;VLOOKUP(V$5,NFI,5,0),1,0)*Table_NFI[[#This Row],[Tent]],Table_NFI[Tent])</f>
        <v>0</v>
      </c>
      <c r="AQ946" s="467" t="str">
        <f>IFERROR(VLOOKUP(Table_NFI[[#This Row],[Camp Name]],CL,2,0),"")</f>
        <v>MMR001CMP003</v>
      </c>
      <c r="AR946" s="835">
        <f ca="1">IF(Table_NFI[[#This Row],[Pcode]]="","",IF(OFFSET(CampList[Opening Date],MATCH(Table_NFI[[#This Row],[Pcode]],CampList[CP_Pcode],0)-1,0,1,1)&gt;=NFI_Monitor_Date,1,0))</f>
        <v>0</v>
      </c>
      <c r="AS946" s="467" t="str">
        <f>IFERROR(VLOOKUP(Table_NFI[[#This Row],[Camp Name]],CL,3,0),"")</f>
        <v>Open</v>
      </c>
      <c r="AT946" s="294" t="str">
        <f ca="1">IF(Table_NFI[[#This Row],[Pcode]]="","",OFFSET(CampList[Priority],MATCH(Table_NFI[[#This Row],[Pcode]],CampList[CP_Pcode],0)-1,0,1,1))</f>
        <v>P4</v>
      </c>
      <c r="AU946" s="293">
        <f>IFERROR(Table_NFI[[#This Row],[Kitchen Set]]/VLOOKUP(Table_NFI[[#This Row],[Camp Name]],CL,4,0),"")</f>
        <v>1.7188459177409454E-4</v>
      </c>
      <c r="AV946" s="461" t="s">
        <v>1092</v>
      </c>
      <c r="AW946" s="463"/>
    </row>
    <row r="947" spans="1:49" x14ac:dyDescent="0.25">
      <c r="A947" s="297">
        <f t="shared" si="14"/>
        <v>54.333333333333336</v>
      </c>
      <c r="B947" s="460">
        <v>41106</v>
      </c>
      <c r="C947" s="461" t="s">
        <v>452</v>
      </c>
      <c r="D947" s="462" t="s">
        <v>452</v>
      </c>
      <c r="E947" s="461" t="s">
        <v>380</v>
      </c>
      <c r="F947" s="290" t="s">
        <v>237</v>
      </c>
      <c r="G947" s="290" t="s">
        <v>257</v>
      </c>
      <c r="H947" s="291"/>
      <c r="I947" s="291"/>
      <c r="J947" s="291"/>
      <c r="K947" s="291">
        <v>33</v>
      </c>
      <c r="L947" s="292">
        <v>33</v>
      </c>
      <c r="M947" s="292">
        <v>33</v>
      </c>
      <c r="N947" s="292">
        <v>33</v>
      </c>
      <c r="O947" s="292">
        <v>33</v>
      </c>
      <c r="P947" s="294">
        <v>33</v>
      </c>
      <c r="Q947" s="294">
        <v>33</v>
      </c>
      <c r="R947" s="294"/>
      <c r="S947" s="294"/>
      <c r="T947" s="294"/>
      <c r="U947" s="294"/>
      <c r="V947" s="431"/>
      <c r="W947" s="331"/>
      <c r="X947" s="331"/>
      <c r="Y947" s="294">
        <f>IF(NFI_Expiration=1,IF($A947&lt;VLOOKUP(H$5,NFI,5,0),1,0)*Table_NFI[[#This Row],[Hygiene Kit]],Table_NFI[Hygiene Kit])</f>
        <v>0</v>
      </c>
      <c r="Z947" s="294">
        <f>IF(NFI_Expiration=1,IF($A947&lt;VLOOKUP(I$5,NFI,5,0),1,0)*Table_NFI[[#This Row],[NFI Core Kit]],Table_NFI[NFI Core Kit])</f>
        <v>0</v>
      </c>
      <c r="AA947" s="294">
        <f>IF(NFI_Expiration=1,IF($A947&lt;VLOOKUP(J$5,NFI,5,0),1,0)*Table_NFI[[#This Row],[Sanitary Kit]],Table_NFI[Sanitary Kit])</f>
        <v>0</v>
      </c>
      <c r="AB947" s="294">
        <f>IF(NFI_Expiration=1,IF($A947&lt;VLOOKUP(K$5,NFI,5,0),1,0)*Table_NFI[[#This Row],[Mosquito net]],Table_NFI[Mosquito net])</f>
        <v>0</v>
      </c>
      <c r="AC947" s="294">
        <f>IF(NFI_Expiration=1,IF($A947&lt;VLOOKUP(L$5,NFI,5,0),1,0)*Table_NFI[[#This Row],[Tarpaulin]],Table_NFI[[#This Row],[Tarpaulin]])</f>
        <v>0</v>
      </c>
      <c r="AD947" s="294">
        <f>IF(NFI_Expiration=1,IF($A947&lt;VLOOKUP(M$5,NFI,5,0),1,0)*Table_NFI[[#This Row],[Blanket]],Table_NFI[[#This Row],[Blanket]])</f>
        <v>0</v>
      </c>
      <c r="AE947" s="294">
        <f>IF(NFI_Expiration=1,IF($A947&lt;VLOOKUP(N$5,NFI,5,0),1,0)*Table_NFI[[#This Row],[Kitchen Set]],Table_NFI[Kitchen Set])</f>
        <v>0</v>
      </c>
      <c r="AF947" s="294">
        <f>IF(NFI_Expiration=1,IF($A947&lt;VLOOKUP(O$5,NFI,5,0),1,0)*Table_NFI[[#This Row],[Clothes Kit]],Table_NFI[Clothes Kit])</f>
        <v>0</v>
      </c>
      <c r="AG947" s="294">
        <f>IF(NFI_Expiration=1,IF($A947&lt;VLOOKUP(P$5,NFI,5,0),1,0)*Table_NFI[[#This Row],[Plastic Bucket]],Table_NFI[Plastic Bucket])</f>
        <v>0</v>
      </c>
      <c r="AH947" s="294">
        <f>IF(NFI_Expiration=1,IF($A947&lt;VLOOKUP(Q$5,NFI,5,0),1,0)*Table_NFI[[#This Row],[Plastic Mat]],Table_NFI[Plastic Mat])*IF(Table_NFI[[#This Row],[Distribution Date]]&gt;"2014-04-01",1,2.5)</f>
        <v>0</v>
      </c>
      <c r="AI947" s="294">
        <f>IF(NFI_Expiration=1,IF($A947&lt;VLOOKUP(R$5,NFI,5,0),1,0)*Table_NFI[[#This Row],[Winter Clothes Adult]],Table_NFI[Winter Clothes Adult])</f>
        <v>0</v>
      </c>
      <c r="AJ947" s="294">
        <f>IF(NFI_Expiration=1,IF($A947&lt;VLOOKUP(S$5,NFI,5,0),1,0)*Table_NFI[[#This Row],[Winter Clothes Children]],Table_NFI[Winter Clothes Children])</f>
        <v>0</v>
      </c>
      <c r="AK947" s="294">
        <f>IF(NFI_Expiration=1,IF($A947&lt;VLOOKUP(T$5,NFI,5,0),1,0)*Table_NFI[[#This Row],[Winter Items Other]],Table_NFI[Winter Items Other])</f>
        <v>0</v>
      </c>
      <c r="AL947" s="294">
        <f>IF(NFI_Expiration=1,IF($A947&lt;VLOOKUP(M$5,NFI,5,0),1,0)*Table_NFI[[#This Row],[Winter Blanket]],Table_NFI[[#This Row],[Winter Blanket]])</f>
        <v>0</v>
      </c>
      <c r="AM947" s="294">
        <f>IF(Table_NFI[[#This Row],[Winter Clothes Adult]]+Table_NFI[[#This Row],[Winter Clothes Children]]+Table_NFI[[#This Row],[Winter Items Other]]+Table_NFI[[#This Row],[Winter Blanket]]&gt;0,1,0)</f>
        <v>0</v>
      </c>
      <c r="AN947" s="331">
        <f>IF(NFI_Expiration=1,IF($A947&lt;VLOOKUP(V$5,NFI,5,0),1,0)*Table_NFI[[#This Row],[Jerry Can]],Table_NFI[Jerry Can])</f>
        <v>0</v>
      </c>
      <c r="AO947" s="331">
        <f>IF(NFI_Expiration=1,IF($A947&lt;VLOOKUP(V$5,NFI,5,0),1,0)*Table_NFI[[#This Row],[Shelter Tool kit]],Table_NFI[Shelter Tool kit])</f>
        <v>0</v>
      </c>
      <c r="AP947" s="331">
        <f>IF(NFI_Expiration=1,IF($A947&lt;VLOOKUP(V$5,NFI,5,0),1,0)*Table_NFI[[#This Row],[Tent]],Table_NFI[Tent])</f>
        <v>0</v>
      </c>
      <c r="AQ947" s="467" t="str">
        <f>IFERROR(VLOOKUP(Table_NFI[[#This Row],[Camp Name]],CL,2,0),"")</f>
        <v>MMR001CMP013</v>
      </c>
      <c r="AR947" s="835">
        <f ca="1">IF(Table_NFI[[#This Row],[Pcode]]="","",IF(OFFSET(CampList[Opening Date],MATCH(Table_NFI[[#This Row],[Pcode]],CampList[CP_Pcode],0)-1,0,1,1)&gt;=NFI_Monitor_Date,1,0))</f>
        <v>0</v>
      </c>
      <c r="AS947" s="467" t="str">
        <f>IFERROR(VLOOKUP(Table_NFI[[#This Row],[Camp Name]],CL,3,0),"")</f>
        <v>Open</v>
      </c>
      <c r="AT947" s="294" t="str">
        <f ca="1">IF(Table_NFI[[#This Row],[Pcode]]="","",OFFSET(CampList[Priority],MATCH(Table_NFI[[#This Row],[Pcode]],CampList[CP_Pcode],0)-1,0,1,1))</f>
        <v>P4</v>
      </c>
      <c r="AU947" s="293">
        <f>IFERROR(Table_NFI[[#This Row],[Kitchen Set]]/VLOOKUP(Table_NFI[[#This Row],[Camp Name]],CL,4,0),"")</f>
        <v>8.0666845926324286E-4</v>
      </c>
      <c r="AV947" s="461" t="s">
        <v>1092</v>
      </c>
      <c r="AW947" s="463"/>
    </row>
    <row r="948" spans="1:49" ht="14.45" customHeight="1" x14ac:dyDescent="0.25">
      <c r="A948" s="297">
        <f t="shared" si="14"/>
        <v>54.333333333333336</v>
      </c>
      <c r="B948" s="460">
        <v>41106</v>
      </c>
      <c r="C948" s="461" t="s">
        <v>452</v>
      </c>
      <c r="D948" s="462" t="s">
        <v>452</v>
      </c>
      <c r="E948" s="461" t="s">
        <v>380</v>
      </c>
      <c r="F948" s="290" t="s">
        <v>237</v>
      </c>
      <c r="G948" s="290" t="s">
        <v>240</v>
      </c>
      <c r="H948" s="291"/>
      <c r="I948" s="291"/>
      <c r="J948" s="291"/>
      <c r="K948" s="291">
        <v>6</v>
      </c>
      <c r="L948" s="292">
        <v>6</v>
      </c>
      <c r="M948" s="292">
        <v>6</v>
      </c>
      <c r="N948" s="292">
        <v>6</v>
      </c>
      <c r="O948" s="292">
        <v>6</v>
      </c>
      <c r="P948" s="294">
        <v>6</v>
      </c>
      <c r="Q948" s="294">
        <v>6</v>
      </c>
      <c r="R948" s="294"/>
      <c r="S948" s="294"/>
      <c r="T948" s="294"/>
      <c r="U948" s="294"/>
      <c r="V948" s="431"/>
      <c r="W948" s="294"/>
      <c r="X948" s="294"/>
      <c r="Y948" s="294">
        <f>IF(NFI_Expiration=1,IF($A948&lt;VLOOKUP(H$5,NFI,5,0),1,0)*Table_NFI[[#This Row],[Hygiene Kit]],Table_NFI[Hygiene Kit])</f>
        <v>0</v>
      </c>
      <c r="Z948" s="294">
        <f>IF(NFI_Expiration=1,IF($A948&lt;VLOOKUP(I$5,NFI,5,0),1,0)*Table_NFI[[#This Row],[NFI Core Kit]],Table_NFI[NFI Core Kit])</f>
        <v>0</v>
      </c>
      <c r="AA948" s="294">
        <f>IF(NFI_Expiration=1,IF($A948&lt;VLOOKUP(J$5,NFI,5,0),1,0)*Table_NFI[[#This Row],[Sanitary Kit]],Table_NFI[Sanitary Kit])</f>
        <v>0</v>
      </c>
      <c r="AB948" s="294">
        <f>IF(NFI_Expiration=1,IF($A948&lt;VLOOKUP(K$5,NFI,5,0),1,0)*Table_NFI[[#This Row],[Mosquito net]],Table_NFI[Mosquito net])</f>
        <v>0</v>
      </c>
      <c r="AC948" s="294">
        <f>IF(NFI_Expiration=1,IF($A948&lt;VLOOKUP(L$5,NFI,5,0),1,0)*Table_NFI[[#This Row],[Tarpaulin]],Table_NFI[[#This Row],[Tarpaulin]])</f>
        <v>0</v>
      </c>
      <c r="AD948" s="294">
        <f>IF(NFI_Expiration=1,IF($A948&lt;VLOOKUP(M$5,NFI,5,0),1,0)*Table_NFI[[#This Row],[Blanket]],Table_NFI[[#This Row],[Blanket]])</f>
        <v>0</v>
      </c>
      <c r="AE948" s="294">
        <f>IF(NFI_Expiration=1,IF($A948&lt;VLOOKUP(N$5,NFI,5,0),1,0)*Table_NFI[[#This Row],[Kitchen Set]],Table_NFI[Kitchen Set])</f>
        <v>0</v>
      </c>
      <c r="AF948" s="294">
        <f>IF(NFI_Expiration=1,IF($A948&lt;VLOOKUP(O$5,NFI,5,0),1,0)*Table_NFI[[#This Row],[Clothes Kit]],Table_NFI[Clothes Kit])</f>
        <v>0</v>
      </c>
      <c r="AG948" s="294">
        <f>IF(NFI_Expiration=1,IF($A948&lt;VLOOKUP(P$5,NFI,5,0),1,0)*Table_NFI[[#This Row],[Plastic Bucket]],Table_NFI[Plastic Bucket])</f>
        <v>0</v>
      </c>
      <c r="AH948" s="294">
        <f>IF(NFI_Expiration=1,IF($A948&lt;VLOOKUP(Q$5,NFI,5,0),1,0)*Table_NFI[[#This Row],[Plastic Mat]],Table_NFI[Plastic Mat])*IF(Table_NFI[[#This Row],[Distribution Date]]&gt;"2014-04-01",1,2.5)</f>
        <v>0</v>
      </c>
      <c r="AI948" s="294">
        <f>IF(NFI_Expiration=1,IF($A948&lt;VLOOKUP(R$5,NFI,5,0),1,0)*Table_NFI[[#This Row],[Winter Clothes Adult]],Table_NFI[Winter Clothes Adult])</f>
        <v>0</v>
      </c>
      <c r="AJ948" s="294">
        <f>IF(NFI_Expiration=1,IF($A948&lt;VLOOKUP(S$5,NFI,5,0),1,0)*Table_NFI[[#This Row],[Winter Clothes Children]],Table_NFI[Winter Clothes Children])</f>
        <v>0</v>
      </c>
      <c r="AK948" s="294">
        <f>IF(NFI_Expiration=1,IF($A948&lt;VLOOKUP(T$5,NFI,5,0),1,0)*Table_NFI[[#This Row],[Winter Items Other]],Table_NFI[Winter Items Other])</f>
        <v>0</v>
      </c>
      <c r="AL948" s="294">
        <f>IF(NFI_Expiration=1,IF($A948&lt;VLOOKUP(M$5,NFI,5,0),1,0)*Table_NFI[[#This Row],[Winter Blanket]],Table_NFI[[#This Row],[Winter Blanket]])</f>
        <v>0</v>
      </c>
      <c r="AM948" s="294">
        <f>IF(Table_NFI[[#This Row],[Winter Clothes Adult]]+Table_NFI[[#This Row],[Winter Clothes Children]]+Table_NFI[[#This Row],[Winter Items Other]]+Table_NFI[[#This Row],[Winter Blanket]]&gt;0,1,0)</f>
        <v>0</v>
      </c>
      <c r="AN948" s="331">
        <f>IF(NFI_Expiration=1,IF($A948&lt;VLOOKUP(V$5,NFI,5,0),1,0)*Table_NFI[[#This Row],[Jerry Can]],Table_NFI[Jerry Can])</f>
        <v>0</v>
      </c>
      <c r="AO948" s="331">
        <f>IF(NFI_Expiration=1,IF($A948&lt;VLOOKUP(V$5,NFI,5,0),1,0)*Table_NFI[[#This Row],[Shelter Tool kit]],Table_NFI[Shelter Tool kit])</f>
        <v>0</v>
      </c>
      <c r="AP948" s="331">
        <f>IF(NFI_Expiration=1,IF($A948&lt;VLOOKUP(V$5,NFI,5,0),1,0)*Table_NFI[[#This Row],[Tent]],Table_NFI[Tent])</f>
        <v>0</v>
      </c>
      <c r="AQ948" s="467" t="str">
        <f>IFERROR(VLOOKUP(Table_NFI[[#This Row],[Camp Name]],CL,2,0),"")</f>
        <v>MMR001CMP015</v>
      </c>
      <c r="AR948" s="835">
        <f ca="1">IF(Table_NFI[[#This Row],[Pcode]]="","",IF(OFFSET(CampList[Opening Date],MATCH(Table_NFI[[#This Row],[Pcode]],CampList[CP_Pcode],0)-1,0,1,1)&gt;=NFI_Monitor_Date,1,0))</f>
        <v>0</v>
      </c>
      <c r="AS948" s="467" t="str">
        <f>IFERROR(VLOOKUP(Table_NFI[[#This Row],[Camp Name]],CL,3,0),"")</f>
        <v>Open</v>
      </c>
      <c r="AT948" s="294" t="str">
        <f ca="1">IF(Table_NFI[[#This Row],[Pcode]]="","",OFFSET(CampList[Priority],MATCH(Table_NFI[[#This Row],[Pcode]],CampList[CP_Pcode],0)-1,0,1,1))</f>
        <v>P4</v>
      </c>
      <c r="AU948" s="293">
        <f>IFERROR(Table_NFI[[#This Row],[Kitchen Set]]/VLOOKUP(Table_NFI[[#This Row],[Camp Name]],CL,4,0),"")</f>
        <v>1.4777233209368765E-4</v>
      </c>
      <c r="AV948" s="461" t="s">
        <v>1092</v>
      </c>
      <c r="AW948" s="463"/>
    </row>
    <row r="949" spans="1:49" x14ac:dyDescent="0.25">
      <c r="A949" s="297">
        <f t="shared" si="14"/>
        <v>54.333333333333336</v>
      </c>
      <c r="B949" s="460">
        <v>41106</v>
      </c>
      <c r="C949" s="461" t="s">
        <v>452</v>
      </c>
      <c r="D949" s="461" t="s">
        <v>452</v>
      </c>
      <c r="E949" s="461" t="s">
        <v>380</v>
      </c>
      <c r="F949" s="290" t="s">
        <v>237</v>
      </c>
      <c r="G949" s="290" t="s">
        <v>240</v>
      </c>
      <c r="H949" s="291"/>
      <c r="I949" s="291"/>
      <c r="J949" s="291"/>
      <c r="K949" s="291">
        <v>13</v>
      </c>
      <c r="L949" s="292">
        <v>13</v>
      </c>
      <c r="M949" s="292">
        <v>13</v>
      </c>
      <c r="N949" s="292">
        <v>13</v>
      </c>
      <c r="O949" s="292">
        <v>13</v>
      </c>
      <c r="P949" s="294">
        <v>13</v>
      </c>
      <c r="Q949" s="294">
        <v>13</v>
      </c>
      <c r="R949" s="294"/>
      <c r="S949" s="294"/>
      <c r="T949" s="294"/>
      <c r="U949" s="294"/>
      <c r="V949" s="431"/>
      <c r="W949" s="294"/>
      <c r="X949" s="294"/>
      <c r="Y949" s="294">
        <f>IF(NFI_Expiration=1,IF($A949&lt;VLOOKUP(H$5,NFI,5,0),1,0)*Table_NFI[[#This Row],[Hygiene Kit]],Table_NFI[Hygiene Kit])</f>
        <v>0</v>
      </c>
      <c r="Z949" s="294">
        <f>IF(NFI_Expiration=1,IF($A949&lt;VLOOKUP(I$5,NFI,5,0),1,0)*Table_NFI[[#This Row],[NFI Core Kit]],Table_NFI[NFI Core Kit])</f>
        <v>0</v>
      </c>
      <c r="AA949" s="294">
        <f>IF(NFI_Expiration=1,IF($A949&lt;VLOOKUP(J$5,NFI,5,0),1,0)*Table_NFI[[#This Row],[Sanitary Kit]],Table_NFI[Sanitary Kit])</f>
        <v>0</v>
      </c>
      <c r="AB949" s="294">
        <f>IF(NFI_Expiration=1,IF($A949&lt;VLOOKUP(K$5,NFI,5,0),1,0)*Table_NFI[[#This Row],[Mosquito net]],Table_NFI[Mosquito net])</f>
        <v>0</v>
      </c>
      <c r="AC949" s="294">
        <f>IF(NFI_Expiration=1,IF($A949&lt;VLOOKUP(L$5,NFI,5,0),1,0)*Table_NFI[[#This Row],[Tarpaulin]],Table_NFI[[#This Row],[Tarpaulin]])</f>
        <v>0</v>
      </c>
      <c r="AD949" s="294">
        <f>IF(NFI_Expiration=1,IF($A949&lt;VLOOKUP(M$5,NFI,5,0),1,0)*Table_NFI[[#This Row],[Blanket]],Table_NFI[[#This Row],[Blanket]])</f>
        <v>0</v>
      </c>
      <c r="AE949" s="294">
        <f>IF(NFI_Expiration=1,IF($A949&lt;VLOOKUP(N$5,NFI,5,0),1,0)*Table_NFI[[#This Row],[Kitchen Set]],Table_NFI[Kitchen Set])</f>
        <v>0</v>
      </c>
      <c r="AF949" s="294">
        <f>IF(NFI_Expiration=1,IF($A949&lt;VLOOKUP(O$5,NFI,5,0),1,0)*Table_NFI[[#This Row],[Clothes Kit]],Table_NFI[Clothes Kit])</f>
        <v>0</v>
      </c>
      <c r="AG949" s="294">
        <f>IF(NFI_Expiration=1,IF($A949&lt;VLOOKUP(P$5,NFI,5,0),1,0)*Table_NFI[[#This Row],[Plastic Bucket]],Table_NFI[Plastic Bucket])</f>
        <v>0</v>
      </c>
      <c r="AH949" s="294">
        <f>IF(NFI_Expiration=1,IF($A949&lt;VLOOKUP(Q$5,NFI,5,0),1,0)*Table_NFI[[#This Row],[Plastic Mat]],Table_NFI[Plastic Mat])*IF(Table_NFI[[#This Row],[Distribution Date]]&gt;"2014-04-01",1,2.5)</f>
        <v>0</v>
      </c>
      <c r="AI949" s="294">
        <f>IF(NFI_Expiration=1,IF($A949&lt;VLOOKUP(R$5,NFI,5,0),1,0)*Table_NFI[[#This Row],[Winter Clothes Adult]],Table_NFI[Winter Clothes Adult])</f>
        <v>0</v>
      </c>
      <c r="AJ949" s="294">
        <f>IF(NFI_Expiration=1,IF($A949&lt;VLOOKUP(S$5,NFI,5,0),1,0)*Table_NFI[[#This Row],[Winter Clothes Children]],Table_NFI[Winter Clothes Children])</f>
        <v>0</v>
      </c>
      <c r="AK949" s="294">
        <f>IF(NFI_Expiration=1,IF($A949&lt;VLOOKUP(T$5,NFI,5,0),1,0)*Table_NFI[[#This Row],[Winter Items Other]],Table_NFI[Winter Items Other])</f>
        <v>0</v>
      </c>
      <c r="AL949" s="294">
        <f>IF(NFI_Expiration=1,IF($A949&lt;VLOOKUP(M$5,NFI,5,0),1,0)*Table_NFI[[#This Row],[Winter Blanket]],Table_NFI[[#This Row],[Winter Blanket]])</f>
        <v>0</v>
      </c>
      <c r="AM949" s="294">
        <f>IF(Table_NFI[[#This Row],[Winter Clothes Adult]]+Table_NFI[[#This Row],[Winter Clothes Children]]+Table_NFI[[#This Row],[Winter Items Other]]+Table_NFI[[#This Row],[Winter Blanket]]&gt;0,1,0)</f>
        <v>0</v>
      </c>
      <c r="AN949" s="331">
        <f>IF(NFI_Expiration=1,IF($A949&lt;VLOOKUP(V$5,NFI,5,0),1,0)*Table_NFI[[#This Row],[Jerry Can]],Table_NFI[Jerry Can])</f>
        <v>0</v>
      </c>
      <c r="AO949" s="331">
        <f>IF(NFI_Expiration=1,IF($A949&lt;VLOOKUP(V$5,NFI,5,0),1,0)*Table_NFI[[#This Row],[Shelter Tool kit]],Table_NFI[Shelter Tool kit])</f>
        <v>0</v>
      </c>
      <c r="AP949" s="331">
        <f>IF(NFI_Expiration=1,IF($A949&lt;VLOOKUP(V$5,NFI,5,0),1,0)*Table_NFI[[#This Row],[Tent]],Table_NFI[Tent])</f>
        <v>0</v>
      </c>
      <c r="AQ949" s="467" t="str">
        <f>IFERROR(VLOOKUP(Table_NFI[[#This Row],[Camp Name]],CL,2,0),"")</f>
        <v>MMR001CMP015</v>
      </c>
      <c r="AR949" s="835">
        <f ca="1">IF(Table_NFI[[#This Row],[Pcode]]="","",IF(OFFSET(CampList[Opening Date],MATCH(Table_NFI[[#This Row],[Pcode]],CampList[CP_Pcode],0)-1,0,1,1)&gt;=NFI_Monitor_Date,1,0))</f>
        <v>0</v>
      </c>
      <c r="AS949" s="467" t="str">
        <f>IFERROR(VLOOKUP(Table_NFI[[#This Row],[Camp Name]],CL,3,0),"")</f>
        <v>Open</v>
      </c>
      <c r="AT949" s="294" t="str">
        <f ca="1">IF(Table_NFI[[#This Row],[Pcode]]="","",OFFSET(CampList[Priority],MATCH(Table_NFI[[#This Row],[Pcode]],CampList[CP_Pcode],0)-1,0,1,1))</f>
        <v>P4</v>
      </c>
      <c r="AU949" s="293">
        <f>IFERROR(Table_NFI[[#This Row],[Kitchen Set]]/VLOOKUP(Table_NFI[[#This Row],[Camp Name]],CL,4,0),"")</f>
        <v>3.2017338620298993E-4</v>
      </c>
      <c r="AV949" s="461" t="s">
        <v>1092</v>
      </c>
      <c r="AW949" s="463"/>
    </row>
    <row r="950" spans="1:49" x14ac:dyDescent="0.25">
      <c r="A950" s="297">
        <f t="shared" si="14"/>
        <v>54.333333333333336</v>
      </c>
      <c r="B950" s="460">
        <v>41106</v>
      </c>
      <c r="C950" s="461" t="s">
        <v>452</v>
      </c>
      <c r="D950" s="462" t="s">
        <v>452</v>
      </c>
      <c r="E950" s="461" t="s">
        <v>380</v>
      </c>
      <c r="F950" s="290" t="s">
        <v>237</v>
      </c>
      <c r="G950" s="290" t="s">
        <v>285</v>
      </c>
      <c r="H950" s="291"/>
      <c r="I950" s="291"/>
      <c r="J950" s="291"/>
      <c r="K950" s="291">
        <v>50</v>
      </c>
      <c r="L950" s="292">
        <v>50</v>
      </c>
      <c r="M950" s="292">
        <v>50</v>
      </c>
      <c r="N950" s="292">
        <v>50</v>
      </c>
      <c r="O950" s="292">
        <v>50</v>
      </c>
      <c r="P950" s="294">
        <v>50</v>
      </c>
      <c r="Q950" s="294">
        <v>50</v>
      </c>
      <c r="R950" s="294"/>
      <c r="S950" s="294"/>
      <c r="T950" s="294"/>
      <c r="U950" s="294"/>
      <c r="V950" s="431"/>
      <c r="W950" s="331"/>
      <c r="X950" s="331"/>
      <c r="Y950" s="294">
        <f>IF(NFI_Expiration=1,IF($A950&lt;VLOOKUP(H$5,NFI,5,0),1,0)*Table_NFI[[#This Row],[Hygiene Kit]],Table_NFI[Hygiene Kit])</f>
        <v>0</v>
      </c>
      <c r="Z950" s="294">
        <f>IF(NFI_Expiration=1,IF($A950&lt;VLOOKUP(I$5,NFI,5,0),1,0)*Table_NFI[[#This Row],[NFI Core Kit]],Table_NFI[NFI Core Kit])</f>
        <v>0</v>
      </c>
      <c r="AA950" s="294">
        <f>IF(NFI_Expiration=1,IF($A950&lt;VLOOKUP(J$5,NFI,5,0),1,0)*Table_NFI[[#This Row],[Sanitary Kit]],Table_NFI[Sanitary Kit])</f>
        <v>0</v>
      </c>
      <c r="AB950" s="294">
        <f>IF(NFI_Expiration=1,IF($A950&lt;VLOOKUP(K$5,NFI,5,0),1,0)*Table_NFI[[#This Row],[Mosquito net]],Table_NFI[Mosquito net])</f>
        <v>0</v>
      </c>
      <c r="AC950" s="294">
        <f>IF(NFI_Expiration=1,IF($A950&lt;VLOOKUP(L$5,NFI,5,0),1,0)*Table_NFI[[#This Row],[Tarpaulin]],Table_NFI[[#This Row],[Tarpaulin]])</f>
        <v>0</v>
      </c>
      <c r="AD950" s="294">
        <f>IF(NFI_Expiration=1,IF($A950&lt;VLOOKUP(M$5,NFI,5,0),1,0)*Table_NFI[[#This Row],[Blanket]],Table_NFI[[#This Row],[Blanket]])</f>
        <v>0</v>
      </c>
      <c r="AE950" s="294">
        <f>IF(NFI_Expiration=1,IF($A950&lt;VLOOKUP(N$5,NFI,5,0),1,0)*Table_NFI[[#This Row],[Kitchen Set]],Table_NFI[Kitchen Set])</f>
        <v>0</v>
      </c>
      <c r="AF950" s="294">
        <f>IF(NFI_Expiration=1,IF($A950&lt;VLOOKUP(O$5,NFI,5,0),1,0)*Table_NFI[[#This Row],[Clothes Kit]],Table_NFI[Clothes Kit])</f>
        <v>0</v>
      </c>
      <c r="AG950" s="294">
        <f>IF(NFI_Expiration=1,IF($A950&lt;VLOOKUP(P$5,NFI,5,0),1,0)*Table_NFI[[#This Row],[Plastic Bucket]],Table_NFI[Plastic Bucket])</f>
        <v>0</v>
      </c>
      <c r="AH950" s="294">
        <f>IF(NFI_Expiration=1,IF($A950&lt;VLOOKUP(Q$5,NFI,5,0),1,0)*Table_NFI[[#This Row],[Plastic Mat]],Table_NFI[Plastic Mat])*IF(Table_NFI[[#This Row],[Distribution Date]]&gt;"2014-04-01",1,2.5)</f>
        <v>0</v>
      </c>
      <c r="AI950" s="294">
        <f>IF(NFI_Expiration=1,IF($A950&lt;VLOOKUP(R$5,NFI,5,0),1,0)*Table_NFI[[#This Row],[Winter Clothes Adult]],Table_NFI[Winter Clothes Adult])</f>
        <v>0</v>
      </c>
      <c r="AJ950" s="294">
        <f>IF(NFI_Expiration=1,IF($A950&lt;VLOOKUP(S$5,NFI,5,0),1,0)*Table_NFI[[#This Row],[Winter Clothes Children]],Table_NFI[Winter Clothes Children])</f>
        <v>0</v>
      </c>
      <c r="AK950" s="294">
        <f>IF(NFI_Expiration=1,IF($A950&lt;VLOOKUP(T$5,NFI,5,0),1,0)*Table_NFI[[#This Row],[Winter Items Other]],Table_NFI[Winter Items Other])</f>
        <v>0</v>
      </c>
      <c r="AL950" s="294">
        <f>IF(NFI_Expiration=1,IF($A950&lt;VLOOKUP(M$5,NFI,5,0),1,0)*Table_NFI[[#This Row],[Winter Blanket]],Table_NFI[[#This Row],[Winter Blanket]])</f>
        <v>0</v>
      </c>
      <c r="AM950" s="294">
        <f>IF(Table_NFI[[#This Row],[Winter Clothes Adult]]+Table_NFI[[#This Row],[Winter Clothes Children]]+Table_NFI[[#This Row],[Winter Items Other]]+Table_NFI[[#This Row],[Winter Blanket]]&gt;0,1,0)</f>
        <v>0</v>
      </c>
      <c r="AN950" s="331">
        <f>IF(NFI_Expiration=1,IF($A950&lt;VLOOKUP(V$5,NFI,5,0),1,0)*Table_NFI[[#This Row],[Jerry Can]],Table_NFI[Jerry Can])</f>
        <v>0</v>
      </c>
      <c r="AO950" s="331">
        <f>IF(NFI_Expiration=1,IF($A950&lt;VLOOKUP(V$5,NFI,5,0),1,0)*Table_NFI[[#This Row],[Shelter Tool kit]],Table_NFI[Shelter Tool kit])</f>
        <v>0</v>
      </c>
      <c r="AP950" s="331">
        <f>IF(NFI_Expiration=1,IF($A950&lt;VLOOKUP(V$5,NFI,5,0),1,0)*Table_NFI[[#This Row],[Tent]],Table_NFI[Tent])</f>
        <v>0</v>
      </c>
      <c r="AQ950" s="467" t="str">
        <f>IFERROR(VLOOKUP(Table_NFI[[#This Row],[Camp Name]],CL,2,0),"")</f>
        <v>MMR001CMP014</v>
      </c>
      <c r="AR950" s="835">
        <f ca="1">IF(Table_NFI[[#This Row],[Pcode]]="","",IF(OFFSET(CampList[Opening Date],MATCH(Table_NFI[[#This Row],[Pcode]],CampList[CP_Pcode],0)-1,0,1,1)&gt;=NFI_Monitor_Date,1,0))</f>
        <v>0</v>
      </c>
      <c r="AS950" s="467" t="str">
        <f>IFERROR(VLOOKUP(Table_NFI[[#This Row],[Camp Name]],CL,3,0),"")</f>
        <v>Open</v>
      </c>
      <c r="AT950" s="294" t="str">
        <f ca="1">IF(Table_NFI[[#This Row],[Pcode]]="","",OFFSET(CampList[Priority],MATCH(Table_NFI[[#This Row],[Pcode]],CampList[CP_Pcode],0)-1,0,1,1))</f>
        <v>P4</v>
      </c>
      <c r="AU950" s="293">
        <f>IFERROR(Table_NFI[[#This Row],[Kitchen Set]]/VLOOKUP(Table_NFI[[#This Row],[Camp Name]],CL,4,0),"")</f>
        <v>1.2286521685710775E-3</v>
      </c>
      <c r="AV950" s="461" t="s">
        <v>1092</v>
      </c>
      <c r="AW950" s="463"/>
    </row>
    <row r="951" spans="1:49" x14ac:dyDescent="0.25">
      <c r="A951" s="297">
        <f t="shared" si="14"/>
        <v>54.333333333333336</v>
      </c>
      <c r="B951" s="460">
        <v>41106</v>
      </c>
      <c r="C951" s="461" t="s">
        <v>452</v>
      </c>
      <c r="D951" s="461" t="s">
        <v>452</v>
      </c>
      <c r="E951" s="461" t="s">
        <v>380</v>
      </c>
      <c r="F951" s="290" t="s">
        <v>237</v>
      </c>
      <c r="G951" s="290" t="s">
        <v>259</v>
      </c>
      <c r="H951" s="291"/>
      <c r="I951" s="291"/>
      <c r="J951" s="291"/>
      <c r="K951" s="291">
        <v>3</v>
      </c>
      <c r="L951" s="292">
        <v>3</v>
      </c>
      <c r="M951" s="292">
        <v>3</v>
      </c>
      <c r="N951" s="292">
        <v>3</v>
      </c>
      <c r="O951" s="292">
        <v>3</v>
      </c>
      <c r="P951" s="294">
        <v>3</v>
      </c>
      <c r="Q951" s="294">
        <v>3</v>
      </c>
      <c r="R951" s="294"/>
      <c r="S951" s="294"/>
      <c r="T951" s="294"/>
      <c r="U951" s="294"/>
      <c r="V951" s="431"/>
      <c r="W951" s="331"/>
      <c r="X951" s="331"/>
      <c r="Y951" s="294">
        <f>IF(NFI_Expiration=1,IF($A951&lt;VLOOKUP(H$5,NFI,5,0),1,0)*Table_NFI[[#This Row],[Hygiene Kit]],Table_NFI[Hygiene Kit])</f>
        <v>0</v>
      </c>
      <c r="Z951" s="294">
        <f>IF(NFI_Expiration=1,IF($A951&lt;VLOOKUP(I$5,NFI,5,0),1,0)*Table_NFI[[#This Row],[NFI Core Kit]],Table_NFI[NFI Core Kit])</f>
        <v>0</v>
      </c>
      <c r="AA951" s="294">
        <f>IF(NFI_Expiration=1,IF($A951&lt;VLOOKUP(J$5,NFI,5,0),1,0)*Table_NFI[[#This Row],[Sanitary Kit]],Table_NFI[Sanitary Kit])</f>
        <v>0</v>
      </c>
      <c r="AB951" s="294">
        <f>IF(NFI_Expiration=1,IF($A951&lt;VLOOKUP(K$5,NFI,5,0),1,0)*Table_NFI[[#This Row],[Mosquito net]],Table_NFI[Mosquito net])</f>
        <v>0</v>
      </c>
      <c r="AC951" s="294">
        <f>IF(NFI_Expiration=1,IF($A951&lt;VLOOKUP(L$5,NFI,5,0),1,0)*Table_NFI[[#This Row],[Tarpaulin]],Table_NFI[[#This Row],[Tarpaulin]])</f>
        <v>0</v>
      </c>
      <c r="AD951" s="294">
        <f>IF(NFI_Expiration=1,IF($A951&lt;VLOOKUP(M$5,NFI,5,0),1,0)*Table_NFI[[#This Row],[Blanket]],Table_NFI[[#This Row],[Blanket]])</f>
        <v>0</v>
      </c>
      <c r="AE951" s="294">
        <f>IF(NFI_Expiration=1,IF($A951&lt;VLOOKUP(N$5,NFI,5,0),1,0)*Table_NFI[[#This Row],[Kitchen Set]],Table_NFI[Kitchen Set])</f>
        <v>0</v>
      </c>
      <c r="AF951" s="294">
        <f>IF(NFI_Expiration=1,IF($A951&lt;VLOOKUP(O$5,NFI,5,0),1,0)*Table_NFI[[#This Row],[Clothes Kit]],Table_NFI[Clothes Kit])</f>
        <v>0</v>
      </c>
      <c r="AG951" s="294">
        <f>IF(NFI_Expiration=1,IF($A951&lt;VLOOKUP(P$5,NFI,5,0),1,0)*Table_NFI[[#This Row],[Plastic Bucket]],Table_NFI[Plastic Bucket])</f>
        <v>0</v>
      </c>
      <c r="AH951" s="294">
        <f>IF(NFI_Expiration=1,IF($A951&lt;VLOOKUP(Q$5,NFI,5,0),1,0)*Table_NFI[[#This Row],[Plastic Mat]],Table_NFI[Plastic Mat])*IF(Table_NFI[[#This Row],[Distribution Date]]&gt;"2014-04-01",1,2.5)</f>
        <v>0</v>
      </c>
      <c r="AI951" s="294">
        <f>IF(NFI_Expiration=1,IF($A951&lt;VLOOKUP(R$5,NFI,5,0),1,0)*Table_NFI[[#This Row],[Winter Clothes Adult]],Table_NFI[Winter Clothes Adult])</f>
        <v>0</v>
      </c>
      <c r="AJ951" s="294">
        <f>IF(NFI_Expiration=1,IF($A951&lt;VLOOKUP(S$5,NFI,5,0),1,0)*Table_NFI[[#This Row],[Winter Clothes Children]],Table_NFI[Winter Clothes Children])</f>
        <v>0</v>
      </c>
      <c r="AK951" s="294">
        <f>IF(NFI_Expiration=1,IF($A951&lt;VLOOKUP(T$5,NFI,5,0),1,0)*Table_NFI[[#This Row],[Winter Items Other]],Table_NFI[Winter Items Other])</f>
        <v>0</v>
      </c>
      <c r="AL951" s="294">
        <f>IF(NFI_Expiration=1,IF($A951&lt;VLOOKUP(M$5,NFI,5,0),1,0)*Table_NFI[[#This Row],[Winter Blanket]],Table_NFI[[#This Row],[Winter Blanket]])</f>
        <v>0</v>
      </c>
      <c r="AM951" s="294">
        <f>IF(Table_NFI[[#This Row],[Winter Clothes Adult]]+Table_NFI[[#This Row],[Winter Clothes Children]]+Table_NFI[[#This Row],[Winter Items Other]]+Table_NFI[[#This Row],[Winter Blanket]]&gt;0,1,0)</f>
        <v>0</v>
      </c>
      <c r="AN951" s="331">
        <f>IF(NFI_Expiration=1,IF($A951&lt;VLOOKUP(V$5,NFI,5,0),1,0)*Table_NFI[[#This Row],[Jerry Can]],Table_NFI[Jerry Can])</f>
        <v>0</v>
      </c>
      <c r="AO951" s="331">
        <f>IF(NFI_Expiration=1,IF($A951&lt;VLOOKUP(V$5,NFI,5,0),1,0)*Table_NFI[[#This Row],[Shelter Tool kit]],Table_NFI[Shelter Tool kit])</f>
        <v>0</v>
      </c>
      <c r="AP951" s="331">
        <f>IF(NFI_Expiration=1,IF($A951&lt;VLOOKUP(V$5,NFI,5,0),1,0)*Table_NFI[[#This Row],[Tent]],Table_NFI[Tent])</f>
        <v>0</v>
      </c>
      <c r="AQ951" s="467" t="str">
        <f>IFERROR(VLOOKUP(Table_NFI[[#This Row],[Camp Name]],CL,2,0),"")</f>
        <v>MMR001CMP016</v>
      </c>
      <c r="AR951" s="835">
        <f ca="1">IF(Table_NFI[[#This Row],[Pcode]]="","",IF(OFFSET(CampList[Opening Date],MATCH(Table_NFI[[#This Row],[Pcode]],CampList[CP_Pcode],0)-1,0,1,1)&gt;=NFI_Monitor_Date,1,0))</f>
        <v>0</v>
      </c>
      <c r="AS951" s="467" t="str">
        <f>IFERROR(VLOOKUP(Table_NFI[[#This Row],[Camp Name]],CL,3,0),"")</f>
        <v>Open</v>
      </c>
      <c r="AT951" s="294" t="str">
        <f ca="1">IF(Table_NFI[[#This Row],[Pcode]]="","",OFFSET(CampList[Priority],MATCH(Table_NFI[[#This Row],[Pcode]],CampList[CP_Pcode],0)-1,0,1,1))</f>
        <v>P4</v>
      </c>
      <c r="AU951" s="293">
        <f>IFERROR(Table_NFI[[#This Row],[Kitchen Set]]/VLOOKUP(Table_NFI[[#This Row],[Camp Name]],CL,4,0),"")</f>
        <v>7.3608793797232309E-5</v>
      </c>
      <c r="AV951" s="461" t="s">
        <v>1092</v>
      </c>
      <c r="AW951" s="463"/>
    </row>
    <row r="952" spans="1:49" x14ac:dyDescent="0.25">
      <c r="A952" s="297">
        <f t="shared" si="14"/>
        <v>54.333333333333336</v>
      </c>
      <c r="B952" s="460">
        <v>41106</v>
      </c>
      <c r="C952" s="461" t="s">
        <v>452</v>
      </c>
      <c r="D952" s="461" t="s">
        <v>452</v>
      </c>
      <c r="E952" s="461" t="s">
        <v>380</v>
      </c>
      <c r="F952" s="461" t="s">
        <v>237</v>
      </c>
      <c r="G952" s="290" t="s">
        <v>269</v>
      </c>
      <c r="H952" s="291"/>
      <c r="I952" s="291"/>
      <c r="J952" s="291"/>
      <c r="K952" s="291">
        <v>25</v>
      </c>
      <c r="L952" s="292">
        <v>25</v>
      </c>
      <c r="M952" s="292">
        <v>25</v>
      </c>
      <c r="N952" s="292">
        <v>25</v>
      </c>
      <c r="O952" s="292">
        <v>25</v>
      </c>
      <c r="P952" s="294">
        <v>25</v>
      </c>
      <c r="Q952" s="294">
        <v>25</v>
      </c>
      <c r="R952" s="294"/>
      <c r="S952" s="294"/>
      <c r="T952" s="294"/>
      <c r="U952" s="294"/>
      <c r="V952" s="431"/>
      <c r="W952" s="331"/>
      <c r="X952" s="331"/>
      <c r="Y952" s="294">
        <f>IF(NFI_Expiration=1,IF($A952&lt;VLOOKUP(H$5,NFI,5,0),1,0)*Table_NFI[[#This Row],[Hygiene Kit]],Table_NFI[Hygiene Kit])</f>
        <v>0</v>
      </c>
      <c r="Z952" s="294">
        <f>IF(NFI_Expiration=1,IF($A952&lt;VLOOKUP(I$5,NFI,5,0),1,0)*Table_NFI[[#This Row],[NFI Core Kit]],Table_NFI[NFI Core Kit])</f>
        <v>0</v>
      </c>
      <c r="AA952" s="294">
        <f>IF(NFI_Expiration=1,IF($A952&lt;VLOOKUP(J$5,NFI,5,0),1,0)*Table_NFI[[#This Row],[Sanitary Kit]],Table_NFI[Sanitary Kit])</f>
        <v>0</v>
      </c>
      <c r="AB952" s="294">
        <f>IF(NFI_Expiration=1,IF($A952&lt;VLOOKUP(K$5,NFI,5,0),1,0)*Table_NFI[[#This Row],[Mosquito net]],Table_NFI[Mosquito net])</f>
        <v>0</v>
      </c>
      <c r="AC952" s="294">
        <f>IF(NFI_Expiration=1,IF($A952&lt;VLOOKUP(L$5,NFI,5,0),1,0)*Table_NFI[[#This Row],[Tarpaulin]],Table_NFI[[#This Row],[Tarpaulin]])</f>
        <v>0</v>
      </c>
      <c r="AD952" s="294">
        <f>IF(NFI_Expiration=1,IF($A952&lt;VLOOKUP(M$5,NFI,5,0),1,0)*Table_NFI[[#This Row],[Blanket]],Table_NFI[[#This Row],[Blanket]])</f>
        <v>0</v>
      </c>
      <c r="AE952" s="294">
        <f>IF(NFI_Expiration=1,IF($A952&lt;VLOOKUP(N$5,NFI,5,0),1,0)*Table_NFI[[#This Row],[Kitchen Set]],Table_NFI[Kitchen Set])</f>
        <v>0</v>
      </c>
      <c r="AF952" s="294">
        <f>IF(NFI_Expiration=1,IF($A952&lt;VLOOKUP(O$5,NFI,5,0),1,0)*Table_NFI[[#This Row],[Clothes Kit]],Table_NFI[Clothes Kit])</f>
        <v>0</v>
      </c>
      <c r="AG952" s="294">
        <f>IF(NFI_Expiration=1,IF($A952&lt;VLOOKUP(P$5,NFI,5,0),1,0)*Table_NFI[[#This Row],[Plastic Bucket]],Table_NFI[Plastic Bucket])</f>
        <v>0</v>
      </c>
      <c r="AH952" s="294">
        <f>IF(NFI_Expiration=1,IF($A952&lt;VLOOKUP(Q$5,NFI,5,0),1,0)*Table_NFI[[#This Row],[Plastic Mat]],Table_NFI[Plastic Mat])*IF(Table_NFI[[#This Row],[Distribution Date]]&gt;"2014-04-01",1,2.5)</f>
        <v>0</v>
      </c>
      <c r="AI952" s="294">
        <f>IF(NFI_Expiration=1,IF($A952&lt;VLOOKUP(R$5,NFI,5,0),1,0)*Table_NFI[[#This Row],[Winter Clothes Adult]],Table_NFI[Winter Clothes Adult])</f>
        <v>0</v>
      </c>
      <c r="AJ952" s="294">
        <f>IF(NFI_Expiration=1,IF($A952&lt;VLOOKUP(S$5,NFI,5,0),1,0)*Table_NFI[[#This Row],[Winter Clothes Children]],Table_NFI[Winter Clothes Children])</f>
        <v>0</v>
      </c>
      <c r="AK952" s="294">
        <f>IF(NFI_Expiration=1,IF($A952&lt;VLOOKUP(T$5,NFI,5,0),1,0)*Table_NFI[[#This Row],[Winter Items Other]],Table_NFI[Winter Items Other])</f>
        <v>0</v>
      </c>
      <c r="AL952" s="294">
        <f>IF(NFI_Expiration=1,IF($A952&lt;VLOOKUP(M$5,NFI,5,0),1,0)*Table_NFI[[#This Row],[Winter Blanket]],Table_NFI[[#This Row],[Winter Blanket]])</f>
        <v>0</v>
      </c>
      <c r="AM952" s="294">
        <f>IF(Table_NFI[[#This Row],[Winter Clothes Adult]]+Table_NFI[[#This Row],[Winter Clothes Children]]+Table_NFI[[#This Row],[Winter Items Other]]+Table_NFI[[#This Row],[Winter Blanket]]&gt;0,1,0)</f>
        <v>0</v>
      </c>
      <c r="AN952" s="331">
        <f>IF(NFI_Expiration=1,IF($A952&lt;VLOOKUP(V$5,NFI,5,0),1,0)*Table_NFI[[#This Row],[Jerry Can]],Table_NFI[Jerry Can])</f>
        <v>0</v>
      </c>
      <c r="AO952" s="331">
        <f>IF(NFI_Expiration=1,IF($A952&lt;VLOOKUP(V$5,NFI,5,0),1,0)*Table_NFI[[#This Row],[Shelter Tool kit]],Table_NFI[Shelter Tool kit])</f>
        <v>0</v>
      </c>
      <c r="AP952" s="331">
        <f>IF(NFI_Expiration=1,IF($A952&lt;VLOOKUP(V$5,NFI,5,0),1,0)*Table_NFI[[#This Row],[Tent]],Table_NFI[Tent])</f>
        <v>0</v>
      </c>
      <c r="AQ952" s="467" t="str">
        <f>IFERROR(VLOOKUP(Table_NFI[[#This Row],[Camp Name]],CL,2,0),"")</f>
        <v>MMR001CMP002</v>
      </c>
      <c r="AR952" s="835">
        <f ca="1">IF(Table_NFI[[#This Row],[Pcode]]="","",IF(OFFSET(CampList[Opening Date],MATCH(Table_NFI[[#This Row],[Pcode]],CampList[CP_Pcode],0)-1,0,1,1)&gt;=NFI_Monitor_Date,1,0))</f>
        <v>0</v>
      </c>
      <c r="AS952" s="467" t="str">
        <f>IFERROR(VLOOKUP(Table_NFI[[#This Row],[Camp Name]],CL,3,0),"")</f>
        <v>Open</v>
      </c>
      <c r="AT952" s="294" t="str">
        <f ca="1">IF(Table_NFI[[#This Row],[Pcode]]="","",OFFSET(CampList[Priority],MATCH(Table_NFI[[#This Row],[Pcode]],CampList[CP_Pcode],0)-1,0,1,1))</f>
        <v>P4</v>
      </c>
      <c r="AU952" s="293">
        <f>IFERROR(Table_NFI[[#This Row],[Kitchen Set]]/VLOOKUP(Table_NFI[[#This Row],[Camp Name]],CL,4,0),"")</f>
        <v>6.1432608428553873E-4</v>
      </c>
      <c r="AV952" s="461" t="s">
        <v>1092</v>
      </c>
      <c r="AW952" s="463"/>
    </row>
    <row r="953" spans="1:49" x14ac:dyDescent="0.25">
      <c r="A953" s="297">
        <f t="shared" si="14"/>
        <v>54.43333333333333</v>
      </c>
      <c r="B953" s="460">
        <v>41103</v>
      </c>
      <c r="C953" s="461" t="s">
        <v>452</v>
      </c>
      <c r="D953" s="461" t="s">
        <v>452</v>
      </c>
      <c r="E953" s="461" t="s">
        <v>380</v>
      </c>
      <c r="F953" s="461" t="s">
        <v>310</v>
      </c>
      <c r="G953" s="290" t="s">
        <v>313</v>
      </c>
      <c r="H953" s="291"/>
      <c r="I953" s="291"/>
      <c r="J953" s="291"/>
      <c r="K953" s="291">
        <v>9</v>
      </c>
      <c r="L953" s="292">
        <v>9</v>
      </c>
      <c r="M953" s="292">
        <v>9</v>
      </c>
      <c r="N953" s="292">
        <v>9</v>
      </c>
      <c r="O953" s="292">
        <v>9</v>
      </c>
      <c r="P953" s="294">
        <v>9</v>
      </c>
      <c r="Q953" s="294">
        <v>9</v>
      </c>
      <c r="R953" s="294"/>
      <c r="S953" s="294"/>
      <c r="T953" s="294"/>
      <c r="U953" s="294"/>
      <c r="V953" s="431"/>
      <c r="W953" s="331"/>
      <c r="X953" s="331"/>
      <c r="Y953" s="294">
        <f>IF(NFI_Expiration=1,IF($A953&lt;VLOOKUP(H$5,NFI,5,0),1,0)*Table_NFI[[#This Row],[Hygiene Kit]],Table_NFI[Hygiene Kit])</f>
        <v>0</v>
      </c>
      <c r="Z953" s="294">
        <f>IF(NFI_Expiration=1,IF($A953&lt;VLOOKUP(I$5,NFI,5,0),1,0)*Table_NFI[[#This Row],[NFI Core Kit]],Table_NFI[NFI Core Kit])</f>
        <v>0</v>
      </c>
      <c r="AA953" s="294">
        <f>IF(NFI_Expiration=1,IF($A953&lt;VLOOKUP(J$5,NFI,5,0),1,0)*Table_NFI[[#This Row],[Sanitary Kit]],Table_NFI[Sanitary Kit])</f>
        <v>0</v>
      </c>
      <c r="AB953" s="294">
        <f>IF(NFI_Expiration=1,IF($A953&lt;VLOOKUP(K$5,NFI,5,0),1,0)*Table_NFI[[#This Row],[Mosquito net]],Table_NFI[Mosquito net])</f>
        <v>0</v>
      </c>
      <c r="AC953" s="294">
        <f>IF(NFI_Expiration=1,IF($A953&lt;VLOOKUP(L$5,NFI,5,0),1,0)*Table_NFI[[#This Row],[Tarpaulin]],Table_NFI[[#This Row],[Tarpaulin]])</f>
        <v>0</v>
      </c>
      <c r="AD953" s="294">
        <f>IF(NFI_Expiration=1,IF($A953&lt;VLOOKUP(M$5,NFI,5,0),1,0)*Table_NFI[[#This Row],[Blanket]],Table_NFI[[#This Row],[Blanket]])</f>
        <v>0</v>
      </c>
      <c r="AE953" s="294">
        <f>IF(NFI_Expiration=1,IF($A953&lt;VLOOKUP(N$5,NFI,5,0),1,0)*Table_NFI[[#This Row],[Kitchen Set]],Table_NFI[Kitchen Set])</f>
        <v>0</v>
      </c>
      <c r="AF953" s="294">
        <f>IF(NFI_Expiration=1,IF($A953&lt;VLOOKUP(O$5,NFI,5,0),1,0)*Table_NFI[[#This Row],[Clothes Kit]],Table_NFI[Clothes Kit])</f>
        <v>0</v>
      </c>
      <c r="AG953" s="294">
        <f>IF(NFI_Expiration=1,IF($A953&lt;VLOOKUP(P$5,NFI,5,0),1,0)*Table_NFI[[#This Row],[Plastic Bucket]],Table_NFI[Plastic Bucket])</f>
        <v>0</v>
      </c>
      <c r="AH953" s="294">
        <f>IF(NFI_Expiration=1,IF($A953&lt;VLOOKUP(Q$5,NFI,5,0),1,0)*Table_NFI[[#This Row],[Plastic Mat]],Table_NFI[Plastic Mat])*IF(Table_NFI[[#This Row],[Distribution Date]]&gt;"2014-04-01",1,2.5)</f>
        <v>0</v>
      </c>
      <c r="AI953" s="294">
        <f>IF(NFI_Expiration=1,IF($A953&lt;VLOOKUP(R$5,NFI,5,0),1,0)*Table_NFI[[#This Row],[Winter Clothes Adult]],Table_NFI[Winter Clothes Adult])</f>
        <v>0</v>
      </c>
      <c r="AJ953" s="294">
        <f>IF(NFI_Expiration=1,IF($A953&lt;VLOOKUP(S$5,NFI,5,0),1,0)*Table_NFI[[#This Row],[Winter Clothes Children]],Table_NFI[Winter Clothes Children])</f>
        <v>0</v>
      </c>
      <c r="AK953" s="294">
        <f>IF(NFI_Expiration=1,IF($A953&lt;VLOOKUP(T$5,NFI,5,0),1,0)*Table_NFI[[#This Row],[Winter Items Other]],Table_NFI[Winter Items Other])</f>
        <v>0</v>
      </c>
      <c r="AL953" s="294">
        <f>IF(NFI_Expiration=1,IF($A953&lt;VLOOKUP(M$5,NFI,5,0),1,0)*Table_NFI[[#This Row],[Winter Blanket]],Table_NFI[[#This Row],[Winter Blanket]])</f>
        <v>0</v>
      </c>
      <c r="AM953" s="294">
        <f>IF(Table_NFI[[#This Row],[Winter Clothes Adult]]+Table_NFI[[#This Row],[Winter Clothes Children]]+Table_NFI[[#This Row],[Winter Items Other]]+Table_NFI[[#This Row],[Winter Blanket]]&gt;0,1,0)</f>
        <v>0</v>
      </c>
      <c r="AN953" s="331">
        <f>IF(NFI_Expiration=1,IF($A953&lt;VLOOKUP(V$5,NFI,5,0),1,0)*Table_NFI[[#This Row],[Jerry Can]],Table_NFI[Jerry Can])</f>
        <v>0</v>
      </c>
      <c r="AO953" s="331">
        <f>IF(NFI_Expiration=1,IF($A953&lt;VLOOKUP(V$5,NFI,5,0),1,0)*Table_NFI[[#This Row],[Shelter Tool kit]],Table_NFI[Shelter Tool kit])</f>
        <v>0</v>
      </c>
      <c r="AP953" s="331">
        <f>IF(NFI_Expiration=1,IF($A953&lt;VLOOKUP(V$5,NFI,5,0),1,0)*Table_NFI[[#This Row],[Tent]],Table_NFI[Tent])</f>
        <v>0</v>
      </c>
      <c r="AQ953" s="467" t="str">
        <f>IFERROR(VLOOKUP(Table_NFI[[#This Row],[Camp Name]],CL,2,0),"")</f>
        <v>MMR001CMP028</v>
      </c>
      <c r="AR953" s="835">
        <f ca="1">IF(Table_NFI[[#This Row],[Pcode]]="","",IF(OFFSET(CampList[Opening Date],MATCH(Table_NFI[[#This Row],[Pcode]],CampList[CP_Pcode],0)-1,0,1,1)&gt;=NFI_Monitor_Date,1,0))</f>
        <v>0</v>
      </c>
      <c r="AS953" s="467" t="str">
        <f>IFERROR(VLOOKUP(Table_NFI[[#This Row],[Camp Name]],CL,3,0),"")</f>
        <v>Open</v>
      </c>
      <c r="AT953" s="294" t="str">
        <f ca="1">IF(Table_NFI[[#This Row],[Pcode]]="","",OFFSET(CampList[Priority],MATCH(Table_NFI[[#This Row],[Pcode]],CampList[CP_Pcode],0)-1,0,1,1))</f>
        <v>P4</v>
      </c>
      <c r="AU953" s="293">
        <f>IFERROR(Table_NFI[[#This Row],[Kitchen Set]]/VLOOKUP(Table_NFI[[#This Row],[Camp Name]],CL,4,0),"")</f>
        <v>2.2115739034279396E-4</v>
      </c>
      <c r="AV953" s="461" t="s">
        <v>1092</v>
      </c>
      <c r="AW953" s="463"/>
    </row>
    <row r="954" spans="1:49" x14ac:dyDescent="0.25">
      <c r="A954" s="297">
        <f t="shared" si="14"/>
        <v>54.43333333333333</v>
      </c>
      <c r="B954" s="460">
        <v>41103</v>
      </c>
      <c r="C954" s="461" t="s">
        <v>452</v>
      </c>
      <c r="D954" s="462" t="s">
        <v>452</v>
      </c>
      <c r="E954" s="461" t="s">
        <v>380</v>
      </c>
      <c r="F954" s="290" t="s">
        <v>310</v>
      </c>
      <c r="G954" s="290" t="s">
        <v>326</v>
      </c>
      <c r="H954" s="291"/>
      <c r="I954" s="291"/>
      <c r="J954" s="291"/>
      <c r="K954" s="291">
        <v>6</v>
      </c>
      <c r="L954" s="292">
        <v>6</v>
      </c>
      <c r="M954" s="292">
        <v>6</v>
      </c>
      <c r="N954" s="292">
        <v>6</v>
      </c>
      <c r="O954" s="292">
        <v>6</v>
      </c>
      <c r="P954" s="294">
        <v>6</v>
      </c>
      <c r="Q954" s="294">
        <v>6</v>
      </c>
      <c r="R954" s="294"/>
      <c r="S954" s="294"/>
      <c r="T954" s="294"/>
      <c r="U954" s="294"/>
      <c r="V954" s="431"/>
      <c r="W954" s="331"/>
      <c r="X954" s="331"/>
      <c r="Y954" s="294">
        <f>IF(NFI_Expiration=1,IF($A954&lt;VLOOKUP(H$5,NFI,5,0),1,0)*Table_NFI[[#This Row],[Hygiene Kit]],Table_NFI[Hygiene Kit])</f>
        <v>0</v>
      </c>
      <c r="Z954" s="294">
        <f>IF(NFI_Expiration=1,IF($A954&lt;VLOOKUP(I$5,NFI,5,0),1,0)*Table_NFI[[#This Row],[NFI Core Kit]],Table_NFI[NFI Core Kit])</f>
        <v>0</v>
      </c>
      <c r="AA954" s="294">
        <f>IF(NFI_Expiration=1,IF($A954&lt;VLOOKUP(J$5,NFI,5,0),1,0)*Table_NFI[[#This Row],[Sanitary Kit]],Table_NFI[Sanitary Kit])</f>
        <v>0</v>
      </c>
      <c r="AB954" s="294">
        <f>IF(NFI_Expiration=1,IF($A954&lt;VLOOKUP(K$5,NFI,5,0),1,0)*Table_NFI[[#This Row],[Mosquito net]],Table_NFI[Mosquito net])</f>
        <v>0</v>
      </c>
      <c r="AC954" s="294">
        <f>IF(NFI_Expiration=1,IF($A954&lt;VLOOKUP(L$5,NFI,5,0),1,0)*Table_NFI[[#This Row],[Tarpaulin]],Table_NFI[[#This Row],[Tarpaulin]])</f>
        <v>0</v>
      </c>
      <c r="AD954" s="294">
        <f>IF(NFI_Expiration=1,IF($A954&lt;VLOOKUP(M$5,NFI,5,0),1,0)*Table_NFI[[#This Row],[Blanket]],Table_NFI[[#This Row],[Blanket]])</f>
        <v>0</v>
      </c>
      <c r="AE954" s="294">
        <f>IF(NFI_Expiration=1,IF($A954&lt;VLOOKUP(N$5,NFI,5,0),1,0)*Table_NFI[[#This Row],[Kitchen Set]],Table_NFI[Kitchen Set])</f>
        <v>0</v>
      </c>
      <c r="AF954" s="294">
        <f>IF(NFI_Expiration=1,IF($A954&lt;VLOOKUP(O$5,NFI,5,0),1,0)*Table_NFI[[#This Row],[Clothes Kit]],Table_NFI[Clothes Kit])</f>
        <v>0</v>
      </c>
      <c r="AG954" s="294">
        <f>IF(NFI_Expiration=1,IF($A954&lt;VLOOKUP(P$5,NFI,5,0),1,0)*Table_NFI[[#This Row],[Plastic Bucket]],Table_NFI[Plastic Bucket])</f>
        <v>0</v>
      </c>
      <c r="AH954" s="294">
        <f>IF(NFI_Expiration=1,IF($A954&lt;VLOOKUP(Q$5,NFI,5,0),1,0)*Table_NFI[[#This Row],[Plastic Mat]],Table_NFI[Plastic Mat])*IF(Table_NFI[[#This Row],[Distribution Date]]&gt;"2014-04-01",1,2.5)</f>
        <v>0</v>
      </c>
      <c r="AI954" s="294">
        <f>IF(NFI_Expiration=1,IF($A954&lt;VLOOKUP(R$5,NFI,5,0),1,0)*Table_NFI[[#This Row],[Winter Clothes Adult]],Table_NFI[Winter Clothes Adult])</f>
        <v>0</v>
      </c>
      <c r="AJ954" s="294">
        <f>IF(NFI_Expiration=1,IF($A954&lt;VLOOKUP(S$5,NFI,5,0),1,0)*Table_NFI[[#This Row],[Winter Clothes Children]],Table_NFI[Winter Clothes Children])</f>
        <v>0</v>
      </c>
      <c r="AK954" s="294">
        <f>IF(NFI_Expiration=1,IF($A954&lt;VLOOKUP(T$5,NFI,5,0),1,0)*Table_NFI[[#This Row],[Winter Items Other]],Table_NFI[Winter Items Other])</f>
        <v>0</v>
      </c>
      <c r="AL954" s="294">
        <f>IF(NFI_Expiration=1,IF($A954&lt;VLOOKUP(M$5,NFI,5,0),1,0)*Table_NFI[[#This Row],[Winter Blanket]],Table_NFI[[#This Row],[Winter Blanket]])</f>
        <v>0</v>
      </c>
      <c r="AM954" s="294">
        <f>IF(Table_NFI[[#This Row],[Winter Clothes Adult]]+Table_NFI[[#This Row],[Winter Clothes Children]]+Table_NFI[[#This Row],[Winter Items Other]]+Table_NFI[[#This Row],[Winter Blanket]]&gt;0,1,0)</f>
        <v>0</v>
      </c>
      <c r="AN954" s="331">
        <f>IF(NFI_Expiration=1,IF($A954&lt;VLOOKUP(V$5,NFI,5,0),1,0)*Table_NFI[[#This Row],[Jerry Can]],Table_NFI[Jerry Can])</f>
        <v>0</v>
      </c>
      <c r="AO954" s="331">
        <f>IF(NFI_Expiration=1,IF($A954&lt;VLOOKUP(V$5,NFI,5,0),1,0)*Table_NFI[[#This Row],[Shelter Tool kit]],Table_NFI[Shelter Tool kit])</f>
        <v>0</v>
      </c>
      <c r="AP954" s="331">
        <f>IF(NFI_Expiration=1,IF($A954&lt;VLOOKUP(V$5,NFI,5,0),1,0)*Table_NFI[[#This Row],[Tent]],Table_NFI[Tent])</f>
        <v>0</v>
      </c>
      <c r="AQ954" s="467" t="str">
        <f>IFERROR(VLOOKUP(Table_NFI[[#This Row],[Camp Name]],CL,2,0),"")</f>
        <v>MMR001CMP039</v>
      </c>
      <c r="AR954" s="835">
        <f ca="1">IF(Table_NFI[[#This Row],[Pcode]]="","",IF(OFFSET(CampList[Opening Date],MATCH(Table_NFI[[#This Row],[Pcode]],CampList[CP_Pcode],0)-1,0,1,1)&gt;=NFI_Monitor_Date,1,0))</f>
        <v>0</v>
      </c>
      <c r="AS954" s="467" t="str">
        <f>IFERROR(VLOOKUP(Table_NFI[[#This Row],[Camp Name]],CL,3,0),"")</f>
        <v>Open</v>
      </c>
      <c r="AT954" s="294" t="str">
        <f ca="1">IF(Table_NFI[[#This Row],[Pcode]]="","",OFFSET(CampList[Priority],MATCH(Table_NFI[[#This Row],[Pcode]],CampList[CP_Pcode],0)-1,0,1,1))</f>
        <v>P4</v>
      </c>
      <c r="AU954" s="293">
        <f>IFERROR(Table_NFI[[#This Row],[Kitchen Set]]/VLOOKUP(Table_NFI[[#This Row],[Camp Name]],CL,4,0),"")</f>
        <v>1.4677821811243211E-4</v>
      </c>
      <c r="AV954" s="461" t="s">
        <v>1092</v>
      </c>
      <c r="AW954" s="463"/>
    </row>
    <row r="955" spans="1:49" x14ac:dyDescent="0.25">
      <c r="A955" s="297">
        <f t="shared" si="14"/>
        <v>54.43333333333333</v>
      </c>
      <c r="B955" s="460">
        <v>41103</v>
      </c>
      <c r="C955" s="461" t="s">
        <v>452</v>
      </c>
      <c r="D955" s="462" t="s">
        <v>452</v>
      </c>
      <c r="E955" s="461" t="s">
        <v>380</v>
      </c>
      <c r="F955" s="290" t="s">
        <v>310</v>
      </c>
      <c r="G955" s="290" t="s">
        <v>318</v>
      </c>
      <c r="H955" s="291"/>
      <c r="I955" s="291"/>
      <c r="J955" s="291"/>
      <c r="K955" s="291">
        <v>13</v>
      </c>
      <c r="L955" s="292">
        <v>13</v>
      </c>
      <c r="M955" s="292">
        <v>13</v>
      </c>
      <c r="N955" s="292">
        <v>13</v>
      </c>
      <c r="O955" s="292">
        <v>13</v>
      </c>
      <c r="P955" s="294">
        <v>13</v>
      </c>
      <c r="Q955" s="294">
        <v>13</v>
      </c>
      <c r="R955" s="294"/>
      <c r="S955" s="294"/>
      <c r="T955" s="294"/>
      <c r="U955" s="294"/>
      <c r="V955" s="431"/>
      <c r="W955" s="331"/>
      <c r="X955" s="331"/>
      <c r="Y955" s="294">
        <f>IF(NFI_Expiration=1,IF($A955&lt;VLOOKUP(H$5,NFI,5,0),1,0)*Table_NFI[[#This Row],[Hygiene Kit]],Table_NFI[Hygiene Kit])</f>
        <v>0</v>
      </c>
      <c r="Z955" s="294">
        <f>IF(NFI_Expiration=1,IF($A955&lt;VLOOKUP(I$5,NFI,5,0),1,0)*Table_NFI[[#This Row],[NFI Core Kit]],Table_NFI[NFI Core Kit])</f>
        <v>0</v>
      </c>
      <c r="AA955" s="294">
        <f>IF(NFI_Expiration=1,IF($A955&lt;VLOOKUP(J$5,NFI,5,0),1,0)*Table_NFI[[#This Row],[Sanitary Kit]],Table_NFI[Sanitary Kit])</f>
        <v>0</v>
      </c>
      <c r="AB955" s="294">
        <f>IF(NFI_Expiration=1,IF($A955&lt;VLOOKUP(K$5,NFI,5,0),1,0)*Table_NFI[[#This Row],[Mosquito net]],Table_NFI[Mosquito net])</f>
        <v>0</v>
      </c>
      <c r="AC955" s="294">
        <f>IF(NFI_Expiration=1,IF($A955&lt;VLOOKUP(L$5,NFI,5,0),1,0)*Table_NFI[[#This Row],[Tarpaulin]],Table_NFI[[#This Row],[Tarpaulin]])</f>
        <v>0</v>
      </c>
      <c r="AD955" s="294">
        <f>IF(NFI_Expiration=1,IF($A955&lt;VLOOKUP(M$5,NFI,5,0),1,0)*Table_NFI[[#This Row],[Blanket]],Table_NFI[[#This Row],[Blanket]])</f>
        <v>0</v>
      </c>
      <c r="AE955" s="294">
        <f>IF(NFI_Expiration=1,IF($A955&lt;VLOOKUP(N$5,NFI,5,0),1,0)*Table_NFI[[#This Row],[Kitchen Set]],Table_NFI[Kitchen Set])</f>
        <v>0</v>
      </c>
      <c r="AF955" s="294">
        <f>IF(NFI_Expiration=1,IF($A955&lt;VLOOKUP(O$5,NFI,5,0),1,0)*Table_NFI[[#This Row],[Clothes Kit]],Table_NFI[Clothes Kit])</f>
        <v>0</v>
      </c>
      <c r="AG955" s="294">
        <f>IF(NFI_Expiration=1,IF($A955&lt;VLOOKUP(P$5,NFI,5,0),1,0)*Table_NFI[[#This Row],[Plastic Bucket]],Table_NFI[Plastic Bucket])</f>
        <v>0</v>
      </c>
      <c r="AH955" s="294">
        <f>IF(NFI_Expiration=1,IF($A955&lt;VLOOKUP(Q$5,NFI,5,0),1,0)*Table_NFI[[#This Row],[Plastic Mat]],Table_NFI[Plastic Mat])*IF(Table_NFI[[#This Row],[Distribution Date]]&gt;"2014-04-01",1,2.5)</f>
        <v>0</v>
      </c>
      <c r="AI955" s="294">
        <f>IF(NFI_Expiration=1,IF($A955&lt;VLOOKUP(R$5,NFI,5,0),1,0)*Table_NFI[[#This Row],[Winter Clothes Adult]],Table_NFI[Winter Clothes Adult])</f>
        <v>0</v>
      </c>
      <c r="AJ955" s="294">
        <f>IF(NFI_Expiration=1,IF($A955&lt;VLOOKUP(S$5,NFI,5,0),1,0)*Table_NFI[[#This Row],[Winter Clothes Children]],Table_NFI[Winter Clothes Children])</f>
        <v>0</v>
      </c>
      <c r="AK955" s="294">
        <f>IF(NFI_Expiration=1,IF($A955&lt;VLOOKUP(T$5,NFI,5,0),1,0)*Table_NFI[[#This Row],[Winter Items Other]],Table_NFI[Winter Items Other])</f>
        <v>0</v>
      </c>
      <c r="AL955" s="294">
        <f>IF(NFI_Expiration=1,IF($A955&lt;VLOOKUP(M$5,NFI,5,0),1,0)*Table_NFI[[#This Row],[Winter Blanket]],Table_NFI[[#This Row],[Winter Blanket]])</f>
        <v>0</v>
      </c>
      <c r="AM955" s="294">
        <f>IF(Table_NFI[[#This Row],[Winter Clothes Adult]]+Table_NFI[[#This Row],[Winter Clothes Children]]+Table_NFI[[#This Row],[Winter Items Other]]+Table_NFI[[#This Row],[Winter Blanket]]&gt;0,1,0)</f>
        <v>0</v>
      </c>
      <c r="AN955" s="331">
        <f>IF(NFI_Expiration=1,IF($A955&lt;VLOOKUP(V$5,NFI,5,0),1,0)*Table_NFI[[#This Row],[Jerry Can]],Table_NFI[Jerry Can])</f>
        <v>0</v>
      </c>
      <c r="AO955" s="331">
        <f>IF(NFI_Expiration=1,IF($A955&lt;VLOOKUP(V$5,NFI,5,0),1,0)*Table_NFI[[#This Row],[Shelter Tool kit]],Table_NFI[Shelter Tool kit])</f>
        <v>0</v>
      </c>
      <c r="AP955" s="331">
        <f>IF(NFI_Expiration=1,IF($A955&lt;VLOOKUP(V$5,NFI,5,0),1,0)*Table_NFI[[#This Row],[Tent]],Table_NFI[Tent])</f>
        <v>0</v>
      </c>
      <c r="AQ955" s="467" t="str">
        <f>IFERROR(VLOOKUP(Table_NFI[[#This Row],[Camp Name]],CL,2,0),"")</f>
        <v>MMR001CMP032</v>
      </c>
      <c r="AR955" s="835">
        <f ca="1">IF(Table_NFI[[#This Row],[Pcode]]="","",IF(OFFSET(CampList[Opening Date],MATCH(Table_NFI[[#This Row],[Pcode]],CampList[CP_Pcode],0)-1,0,1,1)&gt;=NFI_Monitor_Date,1,0))</f>
        <v>0</v>
      </c>
      <c r="AS955" s="467" t="str">
        <f>IFERROR(VLOOKUP(Table_NFI[[#This Row],[Camp Name]],CL,3,0),"")</f>
        <v>Open</v>
      </c>
      <c r="AT955" s="294" t="str">
        <f ca="1">IF(Table_NFI[[#This Row],[Pcode]]="","",OFFSET(CampList[Priority],MATCH(Table_NFI[[#This Row],[Pcode]],CampList[CP_Pcode],0)-1,0,1,1))</f>
        <v>P4</v>
      </c>
      <c r="AU955" s="293">
        <f>IFERROR(Table_NFI[[#This Row],[Kitchen Set]]/VLOOKUP(Table_NFI[[#This Row],[Camp Name]],CL,4,0),"")</f>
        <v>3.1921424186617559E-4</v>
      </c>
      <c r="AV955" s="461" t="s">
        <v>1092</v>
      </c>
      <c r="AW955" s="463"/>
    </row>
    <row r="956" spans="1:49" x14ac:dyDescent="0.25">
      <c r="A956" s="297">
        <f t="shared" si="14"/>
        <v>54.43333333333333</v>
      </c>
      <c r="B956" s="460">
        <v>41103</v>
      </c>
      <c r="C956" s="461" t="s">
        <v>452</v>
      </c>
      <c r="D956" s="462" t="s">
        <v>452</v>
      </c>
      <c r="E956" s="461" t="s">
        <v>380</v>
      </c>
      <c r="F956" s="290" t="s">
        <v>310</v>
      </c>
      <c r="G956" s="290" t="s">
        <v>351</v>
      </c>
      <c r="H956" s="291"/>
      <c r="I956" s="291"/>
      <c r="J956" s="291"/>
      <c r="K956" s="291">
        <v>3</v>
      </c>
      <c r="L956" s="292">
        <v>3</v>
      </c>
      <c r="M956" s="292">
        <v>3</v>
      </c>
      <c r="N956" s="292">
        <v>3</v>
      </c>
      <c r="O956" s="292">
        <v>3</v>
      </c>
      <c r="P956" s="294">
        <v>3</v>
      </c>
      <c r="Q956" s="294">
        <v>3</v>
      </c>
      <c r="R956" s="294"/>
      <c r="S956" s="294"/>
      <c r="T956" s="294"/>
      <c r="U956" s="294"/>
      <c r="V956" s="431"/>
      <c r="W956" s="331"/>
      <c r="X956" s="331"/>
      <c r="Y956" s="294">
        <f>IF(NFI_Expiration=1,IF($A956&lt;VLOOKUP(H$5,NFI,5,0),1,0)*Table_NFI[[#This Row],[Hygiene Kit]],Table_NFI[Hygiene Kit])</f>
        <v>0</v>
      </c>
      <c r="Z956" s="294">
        <f>IF(NFI_Expiration=1,IF($A956&lt;VLOOKUP(I$5,NFI,5,0),1,0)*Table_NFI[[#This Row],[NFI Core Kit]],Table_NFI[NFI Core Kit])</f>
        <v>0</v>
      </c>
      <c r="AA956" s="294">
        <f>IF(NFI_Expiration=1,IF($A956&lt;VLOOKUP(J$5,NFI,5,0),1,0)*Table_NFI[[#This Row],[Sanitary Kit]],Table_NFI[Sanitary Kit])</f>
        <v>0</v>
      </c>
      <c r="AB956" s="294">
        <f>IF(NFI_Expiration=1,IF($A956&lt;VLOOKUP(K$5,NFI,5,0),1,0)*Table_NFI[[#This Row],[Mosquito net]],Table_NFI[Mosquito net])</f>
        <v>0</v>
      </c>
      <c r="AC956" s="294">
        <f>IF(NFI_Expiration=1,IF($A956&lt;VLOOKUP(L$5,NFI,5,0),1,0)*Table_NFI[[#This Row],[Tarpaulin]],Table_NFI[[#This Row],[Tarpaulin]])</f>
        <v>0</v>
      </c>
      <c r="AD956" s="294">
        <f>IF(NFI_Expiration=1,IF($A956&lt;VLOOKUP(M$5,NFI,5,0),1,0)*Table_NFI[[#This Row],[Blanket]],Table_NFI[[#This Row],[Blanket]])</f>
        <v>0</v>
      </c>
      <c r="AE956" s="294">
        <f>IF(NFI_Expiration=1,IF($A956&lt;VLOOKUP(N$5,NFI,5,0),1,0)*Table_NFI[[#This Row],[Kitchen Set]],Table_NFI[Kitchen Set])</f>
        <v>0</v>
      </c>
      <c r="AF956" s="294">
        <f>IF(NFI_Expiration=1,IF($A956&lt;VLOOKUP(O$5,NFI,5,0),1,0)*Table_NFI[[#This Row],[Clothes Kit]],Table_NFI[Clothes Kit])</f>
        <v>0</v>
      </c>
      <c r="AG956" s="294">
        <f>IF(NFI_Expiration=1,IF($A956&lt;VLOOKUP(P$5,NFI,5,0),1,0)*Table_NFI[[#This Row],[Plastic Bucket]],Table_NFI[Plastic Bucket])</f>
        <v>0</v>
      </c>
      <c r="AH956" s="294">
        <f>IF(NFI_Expiration=1,IF($A956&lt;VLOOKUP(Q$5,NFI,5,0),1,0)*Table_NFI[[#This Row],[Plastic Mat]],Table_NFI[Plastic Mat])*IF(Table_NFI[[#This Row],[Distribution Date]]&gt;"2014-04-01",1,2.5)</f>
        <v>0</v>
      </c>
      <c r="AI956" s="294">
        <f>IF(NFI_Expiration=1,IF($A956&lt;VLOOKUP(R$5,NFI,5,0),1,0)*Table_NFI[[#This Row],[Winter Clothes Adult]],Table_NFI[Winter Clothes Adult])</f>
        <v>0</v>
      </c>
      <c r="AJ956" s="294">
        <f>IF(NFI_Expiration=1,IF($A956&lt;VLOOKUP(S$5,NFI,5,0),1,0)*Table_NFI[[#This Row],[Winter Clothes Children]],Table_NFI[Winter Clothes Children])</f>
        <v>0</v>
      </c>
      <c r="AK956" s="294">
        <f>IF(NFI_Expiration=1,IF($A956&lt;VLOOKUP(T$5,NFI,5,0),1,0)*Table_NFI[[#This Row],[Winter Items Other]],Table_NFI[Winter Items Other])</f>
        <v>0</v>
      </c>
      <c r="AL956" s="294">
        <f>IF(NFI_Expiration=1,IF($A956&lt;VLOOKUP(M$5,NFI,5,0),1,0)*Table_NFI[[#This Row],[Winter Blanket]],Table_NFI[[#This Row],[Winter Blanket]])</f>
        <v>0</v>
      </c>
      <c r="AM956" s="294">
        <f>IF(Table_NFI[[#This Row],[Winter Clothes Adult]]+Table_NFI[[#This Row],[Winter Clothes Children]]+Table_NFI[[#This Row],[Winter Items Other]]+Table_NFI[[#This Row],[Winter Blanket]]&gt;0,1,0)</f>
        <v>0</v>
      </c>
      <c r="AN956" s="331">
        <f>IF(NFI_Expiration=1,IF($A956&lt;VLOOKUP(V$5,NFI,5,0),1,0)*Table_NFI[[#This Row],[Jerry Can]],Table_NFI[Jerry Can])</f>
        <v>0</v>
      </c>
      <c r="AO956" s="331">
        <f>IF(NFI_Expiration=1,IF($A956&lt;VLOOKUP(V$5,NFI,5,0),1,0)*Table_NFI[[#This Row],[Shelter Tool kit]],Table_NFI[Shelter Tool kit])</f>
        <v>0</v>
      </c>
      <c r="AP956" s="331">
        <f>IF(NFI_Expiration=1,IF($A956&lt;VLOOKUP(V$5,NFI,5,0),1,0)*Table_NFI[[#This Row],[Tent]],Table_NFI[Tent])</f>
        <v>0</v>
      </c>
      <c r="AQ956" s="467" t="str">
        <f>IFERROR(VLOOKUP(Table_NFI[[#This Row],[Camp Name]],CL,2,0),"")</f>
        <v>MMR001CMP026</v>
      </c>
      <c r="AR956" s="835">
        <f ca="1">IF(Table_NFI[[#This Row],[Pcode]]="","",IF(OFFSET(CampList[Opening Date],MATCH(Table_NFI[[#This Row],[Pcode]],CampList[CP_Pcode],0)-1,0,1,1)&gt;=NFI_Monitor_Date,1,0))</f>
        <v>0</v>
      </c>
      <c r="AS956" s="467" t="str">
        <f>IFERROR(VLOOKUP(Table_NFI[[#This Row],[Camp Name]],CL,3,0),"")</f>
        <v>Open</v>
      </c>
      <c r="AT956" s="294" t="str">
        <f ca="1">IF(Table_NFI[[#This Row],[Pcode]]="","",OFFSET(CampList[Priority],MATCH(Table_NFI[[#This Row],[Pcode]],CampList[CP_Pcode],0)-1,0,1,1))</f>
        <v>P4</v>
      </c>
      <c r="AU956" s="293">
        <f>IFERROR(Table_NFI[[#This Row],[Kitchen Set]]/VLOOKUP(Table_NFI[[#This Row],[Camp Name]],CL,4,0),"")</f>
        <v>7.3277967757694182E-5</v>
      </c>
      <c r="AV956" s="461" t="s">
        <v>1092</v>
      </c>
      <c r="AW956" s="463"/>
    </row>
    <row r="957" spans="1:49" x14ac:dyDescent="0.25">
      <c r="A957" s="297">
        <f t="shared" si="14"/>
        <v>54.43333333333333</v>
      </c>
      <c r="B957" s="460">
        <v>41103</v>
      </c>
      <c r="C957" s="461" t="s">
        <v>452</v>
      </c>
      <c r="D957" s="462" t="s">
        <v>452</v>
      </c>
      <c r="E957" s="461" t="s">
        <v>380</v>
      </c>
      <c r="F957" s="290" t="s">
        <v>310</v>
      </c>
      <c r="G957" s="290" t="s">
        <v>311</v>
      </c>
      <c r="H957" s="291"/>
      <c r="I957" s="291"/>
      <c r="J957" s="291"/>
      <c r="K957" s="291">
        <v>2</v>
      </c>
      <c r="L957" s="292">
        <v>2</v>
      </c>
      <c r="M957" s="292">
        <v>2</v>
      </c>
      <c r="N957" s="292">
        <v>2</v>
      </c>
      <c r="O957" s="292">
        <v>2</v>
      </c>
      <c r="P957" s="294">
        <v>2</v>
      </c>
      <c r="Q957" s="294">
        <v>2</v>
      </c>
      <c r="R957" s="294"/>
      <c r="S957" s="294"/>
      <c r="T957" s="294"/>
      <c r="U957" s="294"/>
      <c r="V957" s="431"/>
      <c r="W957" s="331"/>
      <c r="X957" s="331"/>
      <c r="Y957" s="294">
        <f>IF(NFI_Expiration=1,IF($A957&lt;VLOOKUP(H$5,NFI,5,0),1,0)*Table_NFI[[#This Row],[Hygiene Kit]],Table_NFI[Hygiene Kit])</f>
        <v>0</v>
      </c>
      <c r="Z957" s="294">
        <f>IF(NFI_Expiration=1,IF($A957&lt;VLOOKUP(I$5,NFI,5,0),1,0)*Table_NFI[[#This Row],[NFI Core Kit]],Table_NFI[NFI Core Kit])</f>
        <v>0</v>
      </c>
      <c r="AA957" s="294">
        <f>IF(NFI_Expiration=1,IF($A957&lt;VLOOKUP(J$5,NFI,5,0),1,0)*Table_NFI[[#This Row],[Sanitary Kit]],Table_NFI[Sanitary Kit])</f>
        <v>0</v>
      </c>
      <c r="AB957" s="294">
        <f>IF(NFI_Expiration=1,IF($A957&lt;VLOOKUP(K$5,NFI,5,0),1,0)*Table_NFI[[#This Row],[Mosquito net]],Table_NFI[Mosquito net])</f>
        <v>0</v>
      </c>
      <c r="AC957" s="294">
        <f>IF(NFI_Expiration=1,IF($A957&lt;VLOOKUP(L$5,NFI,5,0),1,0)*Table_NFI[[#This Row],[Tarpaulin]],Table_NFI[[#This Row],[Tarpaulin]])</f>
        <v>0</v>
      </c>
      <c r="AD957" s="294">
        <f>IF(NFI_Expiration=1,IF($A957&lt;VLOOKUP(M$5,NFI,5,0),1,0)*Table_NFI[[#This Row],[Blanket]],Table_NFI[[#This Row],[Blanket]])</f>
        <v>0</v>
      </c>
      <c r="AE957" s="294">
        <f>IF(NFI_Expiration=1,IF($A957&lt;VLOOKUP(N$5,NFI,5,0),1,0)*Table_NFI[[#This Row],[Kitchen Set]],Table_NFI[Kitchen Set])</f>
        <v>0</v>
      </c>
      <c r="AF957" s="294">
        <f>IF(NFI_Expiration=1,IF($A957&lt;VLOOKUP(O$5,NFI,5,0),1,0)*Table_NFI[[#This Row],[Clothes Kit]],Table_NFI[Clothes Kit])</f>
        <v>0</v>
      </c>
      <c r="AG957" s="294">
        <f>IF(NFI_Expiration=1,IF($A957&lt;VLOOKUP(P$5,NFI,5,0),1,0)*Table_NFI[[#This Row],[Plastic Bucket]],Table_NFI[Plastic Bucket])</f>
        <v>0</v>
      </c>
      <c r="AH957" s="294">
        <f>IF(NFI_Expiration=1,IF($A957&lt;VLOOKUP(Q$5,NFI,5,0),1,0)*Table_NFI[[#This Row],[Plastic Mat]],Table_NFI[Plastic Mat])*IF(Table_NFI[[#This Row],[Distribution Date]]&gt;"2014-04-01",1,2.5)</f>
        <v>0</v>
      </c>
      <c r="AI957" s="294">
        <f>IF(NFI_Expiration=1,IF($A957&lt;VLOOKUP(R$5,NFI,5,0),1,0)*Table_NFI[[#This Row],[Winter Clothes Adult]],Table_NFI[Winter Clothes Adult])</f>
        <v>0</v>
      </c>
      <c r="AJ957" s="294">
        <f>IF(NFI_Expiration=1,IF($A957&lt;VLOOKUP(S$5,NFI,5,0),1,0)*Table_NFI[[#This Row],[Winter Clothes Children]],Table_NFI[Winter Clothes Children])</f>
        <v>0</v>
      </c>
      <c r="AK957" s="294">
        <f>IF(NFI_Expiration=1,IF($A957&lt;VLOOKUP(T$5,NFI,5,0),1,0)*Table_NFI[[#This Row],[Winter Items Other]],Table_NFI[Winter Items Other])</f>
        <v>0</v>
      </c>
      <c r="AL957" s="294">
        <f>IF(NFI_Expiration=1,IF($A957&lt;VLOOKUP(M$5,NFI,5,0),1,0)*Table_NFI[[#This Row],[Winter Blanket]],Table_NFI[[#This Row],[Winter Blanket]])</f>
        <v>0</v>
      </c>
      <c r="AM957" s="294">
        <f>IF(Table_NFI[[#This Row],[Winter Clothes Adult]]+Table_NFI[[#This Row],[Winter Clothes Children]]+Table_NFI[[#This Row],[Winter Items Other]]+Table_NFI[[#This Row],[Winter Blanket]]&gt;0,1,0)</f>
        <v>0</v>
      </c>
      <c r="AN957" s="331">
        <f>IF(NFI_Expiration=1,IF($A957&lt;VLOOKUP(V$5,NFI,5,0),1,0)*Table_NFI[[#This Row],[Jerry Can]],Table_NFI[Jerry Can])</f>
        <v>0</v>
      </c>
      <c r="AO957" s="331">
        <f>IF(NFI_Expiration=1,IF($A957&lt;VLOOKUP(V$5,NFI,5,0),1,0)*Table_NFI[[#This Row],[Shelter Tool kit]],Table_NFI[Shelter Tool kit])</f>
        <v>0</v>
      </c>
      <c r="AP957" s="331">
        <f>IF(NFI_Expiration=1,IF($A957&lt;VLOOKUP(V$5,NFI,5,0),1,0)*Table_NFI[[#This Row],[Tent]],Table_NFI[Tent])</f>
        <v>0</v>
      </c>
      <c r="AQ957" s="467" t="str">
        <f>IFERROR(VLOOKUP(Table_NFI[[#This Row],[Camp Name]],CL,2,0),"")</f>
        <v>MMR001CMP036</v>
      </c>
      <c r="AR957" s="835">
        <f ca="1">IF(Table_NFI[[#This Row],[Pcode]]="","",IF(OFFSET(CampList[Opening Date],MATCH(Table_NFI[[#This Row],[Pcode]],CampList[CP_Pcode],0)-1,0,1,1)&gt;=NFI_Monitor_Date,1,0))</f>
        <v>0</v>
      </c>
      <c r="AS957" s="467" t="str">
        <f>IFERROR(VLOOKUP(Table_NFI[[#This Row],[Camp Name]],CL,3,0),"")</f>
        <v>Closed</v>
      </c>
      <c r="AT957" s="294" t="str">
        <f ca="1">IF(Table_NFI[[#This Row],[Pcode]]="","",OFFSET(CampList[Priority],MATCH(Table_NFI[[#This Row],[Pcode]],CampList[CP_Pcode],0)-1,0,1,1))</f>
        <v>P4</v>
      </c>
      <c r="AU957" s="293">
        <f>IFERROR(Table_NFI[[#This Row],[Kitchen Set]]/VLOOKUP(Table_NFI[[#This Row],[Camp Name]],CL,4,0),"")</f>
        <v>4.8962005483744613E-5</v>
      </c>
      <c r="AV957" s="461" t="s">
        <v>1092</v>
      </c>
      <c r="AW957" s="463"/>
    </row>
    <row r="958" spans="1:49" x14ac:dyDescent="0.25">
      <c r="A958" s="297">
        <f t="shared" si="14"/>
        <v>54.43333333333333</v>
      </c>
      <c r="B958" s="460">
        <v>41103</v>
      </c>
      <c r="C958" s="461" t="s">
        <v>452</v>
      </c>
      <c r="D958" s="461" t="s">
        <v>452</v>
      </c>
      <c r="E958" s="461" t="s">
        <v>380</v>
      </c>
      <c r="F958" s="290" t="s">
        <v>310</v>
      </c>
      <c r="G958" s="290" t="s">
        <v>349</v>
      </c>
      <c r="H958" s="291"/>
      <c r="I958" s="291"/>
      <c r="J958" s="291"/>
      <c r="K958" s="291">
        <v>8</v>
      </c>
      <c r="L958" s="292">
        <v>8</v>
      </c>
      <c r="M958" s="292">
        <v>8</v>
      </c>
      <c r="N958" s="292">
        <v>8</v>
      </c>
      <c r="O958" s="292">
        <v>8</v>
      </c>
      <c r="P958" s="294">
        <v>8</v>
      </c>
      <c r="Q958" s="294">
        <v>8</v>
      </c>
      <c r="R958" s="294"/>
      <c r="S958" s="294"/>
      <c r="T958" s="294"/>
      <c r="U958" s="294"/>
      <c r="V958" s="431"/>
      <c r="W958" s="331"/>
      <c r="X958" s="331"/>
      <c r="Y958" s="294">
        <f>IF(NFI_Expiration=1,IF($A958&lt;VLOOKUP(H$5,NFI,5,0),1,0)*Table_NFI[[#This Row],[Hygiene Kit]],Table_NFI[Hygiene Kit])</f>
        <v>0</v>
      </c>
      <c r="Z958" s="294">
        <f>IF(NFI_Expiration=1,IF($A958&lt;VLOOKUP(I$5,NFI,5,0),1,0)*Table_NFI[[#This Row],[NFI Core Kit]],Table_NFI[NFI Core Kit])</f>
        <v>0</v>
      </c>
      <c r="AA958" s="294">
        <f>IF(NFI_Expiration=1,IF($A958&lt;VLOOKUP(J$5,NFI,5,0),1,0)*Table_NFI[[#This Row],[Sanitary Kit]],Table_NFI[Sanitary Kit])</f>
        <v>0</v>
      </c>
      <c r="AB958" s="294">
        <f>IF(NFI_Expiration=1,IF($A958&lt;VLOOKUP(K$5,NFI,5,0),1,0)*Table_NFI[[#This Row],[Mosquito net]],Table_NFI[Mosquito net])</f>
        <v>0</v>
      </c>
      <c r="AC958" s="294">
        <f>IF(NFI_Expiration=1,IF($A958&lt;VLOOKUP(L$5,NFI,5,0),1,0)*Table_NFI[[#This Row],[Tarpaulin]],Table_NFI[[#This Row],[Tarpaulin]])</f>
        <v>0</v>
      </c>
      <c r="AD958" s="294">
        <f>IF(NFI_Expiration=1,IF($A958&lt;VLOOKUP(M$5,NFI,5,0),1,0)*Table_NFI[[#This Row],[Blanket]],Table_NFI[[#This Row],[Blanket]])</f>
        <v>0</v>
      </c>
      <c r="AE958" s="294">
        <f>IF(NFI_Expiration=1,IF($A958&lt;VLOOKUP(N$5,NFI,5,0),1,0)*Table_NFI[[#This Row],[Kitchen Set]],Table_NFI[Kitchen Set])</f>
        <v>0</v>
      </c>
      <c r="AF958" s="294">
        <f>IF(NFI_Expiration=1,IF($A958&lt;VLOOKUP(O$5,NFI,5,0),1,0)*Table_NFI[[#This Row],[Clothes Kit]],Table_NFI[Clothes Kit])</f>
        <v>0</v>
      </c>
      <c r="AG958" s="294">
        <f>IF(NFI_Expiration=1,IF($A958&lt;VLOOKUP(P$5,NFI,5,0),1,0)*Table_NFI[[#This Row],[Plastic Bucket]],Table_NFI[Plastic Bucket])</f>
        <v>0</v>
      </c>
      <c r="AH958" s="294">
        <f>IF(NFI_Expiration=1,IF($A958&lt;VLOOKUP(Q$5,NFI,5,0),1,0)*Table_NFI[[#This Row],[Plastic Mat]],Table_NFI[Plastic Mat])*IF(Table_NFI[[#This Row],[Distribution Date]]&gt;"2014-04-01",1,2.5)</f>
        <v>0</v>
      </c>
      <c r="AI958" s="294">
        <f>IF(NFI_Expiration=1,IF($A958&lt;VLOOKUP(R$5,NFI,5,0),1,0)*Table_NFI[[#This Row],[Winter Clothes Adult]],Table_NFI[Winter Clothes Adult])</f>
        <v>0</v>
      </c>
      <c r="AJ958" s="294">
        <f>IF(NFI_Expiration=1,IF($A958&lt;VLOOKUP(S$5,NFI,5,0),1,0)*Table_NFI[[#This Row],[Winter Clothes Children]],Table_NFI[Winter Clothes Children])</f>
        <v>0</v>
      </c>
      <c r="AK958" s="294">
        <f>IF(NFI_Expiration=1,IF($A958&lt;VLOOKUP(T$5,NFI,5,0),1,0)*Table_NFI[[#This Row],[Winter Items Other]],Table_NFI[Winter Items Other])</f>
        <v>0</v>
      </c>
      <c r="AL958" s="294">
        <f>IF(NFI_Expiration=1,IF($A958&lt;VLOOKUP(M$5,NFI,5,0),1,0)*Table_NFI[[#This Row],[Winter Blanket]],Table_NFI[[#This Row],[Winter Blanket]])</f>
        <v>0</v>
      </c>
      <c r="AM958" s="294">
        <f>IF(Table_NFI[[#This Row],[Winter Clothes Adult]]+Table_NFI[[#This Row],[Winter Clothes Children]]+Table_NFI[[#This Row],[Winter Items Other]]+Table_NFI[[#This Row],[Winter Blanket]]&gt;0,1,0)</f>
        <v>0</v>
      </c>
      <c r="AN958" s="331">
        <f>IF(NFI_Expiration=1,IF($A958&lt;VLOOKUP(V$5,NFI,5,0),1,0)*Table_NFI[[#This Row],[Jerry Can]],Table_NFI[Jerry Can])</f>
        <v>0</v>
      </c>
      <c r="AO958" s="331">
        <f>IF(NFI_Expiration=1,IF($A958&lt;VLOOKUP(V$5,NFI,5,0),1,0)*Table_NFI[[#This Row],[Shelter Tool kit]],Table_NFI[Shelter Tool kit])</f>
        <v>0</v>
      </c>
      <c r="AP958" s="331">
        <f>IF(NFI_Expiration=1,IF($A958&lt;VLOOKUP(V$5,NFI,5,0),1,0)*Table_NFI[[#This Row],[Tent]],Table_NFI[Tent])</f>
        <v>0</v>
      </c>
      <c r="AQ958" s="467" t="str">
        <f>IFERROR(VLOOKUP(Table_NFI[[#This Row],[Camp Name]],CL,2,0),"")</f>
        <v>MMR001CMP037</v>
      </c>
      <c r="AR958" s="835">
        <f ca="1">IF(Table_NFI[[#This Row],[Pcode]]="","",IF(OFFSET(CampList[Opening Date],MATCH(Table_NFI[[#This Row],[Pcode]],CampList[CP_Pcode],0)-1,0,1,1)&gt;=NFI_Monitor_Date,1,0))</f>
        <v>0</v>
      </c>
      <c r="AS958" s="467" t="str">
        <f>IFERROR(VLOOKUP(Table_NFI[[#This Row],[Camp Name]],CL,3,0),"")</f>
        <v>Open</v>
      </c>
      <c r="AT958" s="294" t="str">
        <f ca="1">IF(Table_NFI[[#This Row],[Pcode]]="","",OFFSET(CampList[Priority],MATCH(Table_NFI[[#This Row],[Pcode]],CampList[CP_Pcode],0)-1,0,1,1))</f>
        <v>P4</v>
      </c>
      <c r="AU958" s="293">
        <f>IFERROR(Table_NFI[[#This Row],[Kitchen Set]]/VLOOKUP(Table_NFI[[#This Row],[Camp Name]],CL,4,0),"")</f>
        <v>1.9584802193497845E-4</v>
      </c>
      <c r="AV958" s="461" t="s">
        <v>1092</v>
      </c>
      <c r="AW958" s="463"/>
    </row>
    <row r="959" spans="1:49" x14ac:dyDescent="0.25">
      <c r="A959" s="297">
        <f t="shared" si="14"/>
        <v>54.533333333333331</v>
      </c>
      <c r="B959" s="460">
        <v>41100</v>
      </c>
      <c r="C959" s="461" t="s">
        <v>452</v>
      </c>
      <c r="D959" s="462" t="s">
        <v>506</v>
      </c>
      <c r="E959" s="461" t="s">
        <v>380</v>
      </c>
      <c r="F959" s="290" t="s">
        <v>310</v>
      </c>
      <c r="G959" s="290" t="s">
        <v>322</v>
      </c>
      <c r="H959" s="291"/>
      <c r="I959" s="291"/>
      <c r="J959" s="291"/>
      <c r="K959" s="291">
        <v>0</v>
      </c>
      <c r="L959" s="292">
        <v>599</v>
      </c>
      <c r="M959" s="292">
        <v>675</v>
      </c>
      <c r="N959" s="292">
        <v>599</v>
      </c>
      <c r="O959" s="292">
        <v>0</v>
      </c>
      <c r="P959" s="294"/>
      <c r="Q959" s="294"/>
      <c r="R959" s="294"/>
      <c r="S959" s="294"/>
      <c r="T959" s="294"/>
      <c r="U959" s="294"/>
      <c r="V959" s="431"/>
      <c r="W959" s="331"/>
      <c r="X959" s="331"/>
      <c r="Y959" s="294">
        <f>IF(NFI_Expiration=1,IF($A959&lt;VLOOKUP(H$5,NFI,5,0),1,0)*Table_NFI[[#This Row],[Hygiene Kit]],Table_NFI[Hygiene Kit])</f>
        <v>0</v>
      </c>
      <c r="Z959" s="294">
        <f>IF(NFI_Expiration=1,IF($A959&lt;VLOOKUP(I$5,NFI,5,0),1,0)*Table_NFI[[#This Row],[NFI Core Kit]],Table_NFI[NFI Core Kit])</f>
        <v>0</v>
      </c>
      <c r="AA959" s="294">
        <f>IF(NFI_Expiration=1,IF($A959&lt;VLOOKUP(J$5,NFI,5,0),1,0)*Table_NFI[[#This Row],[Sanitary Kit]],Table_NFI[Sanitary Kit])</f>
        <v>0</v>
      </c>
      <c r="AB959" s="294">
        <f>IF(NFI_Expiration=1,IF($A959&lt;VLOOKUP(K$5,NFI,5,0),1,0)*Table_NFI[[#This Row],[Mosquito net]],Table_NFI[Mosquito net])</f>
        <v>0</v>
      </c>
      <c r="AC959" s="294">
        <f>IF(NFI_Expiration=1,IF($A959&lt;VLOOKUP(L$5,NFI,5,0),1,0)*Table_NFI[[#This Row],[Tarpaulin]],Table_NFI[[#This Row],[Tarpaulin]])</f>
        <v>0</v>
      </c>
      <c r="AD959" s="294">
        <f>IF(NFI_Expiration=1,IF($A959&lt;VLOOKUP(M$5,NFI,5,0),1,0)*Table_NFI[[#This Row],[Blanket]],Table_NFI[[#This Row],[Blanket]])</f>
        <v>0</v>
      </c>
      <c r="AE959" s="294">
        <f>IF(NFI_Expiration=1,IF($A959&lt;VLOOKUP(N$5,NFI,5,0),1,0)*Table_NFI[[#This Row],[Kitchen Set]],Table_NFI[Kitchen Set])</f>
        <v>0</v>
      </c>
      <c r="AF959" s="294">
        <f>IF(NFI_Expiration=1,IF($A959&lt;VLOOKUP(O$5,NFI,5,0),1,0)*Table_NFI[[#This Row],[Clothes Kit]],Table_NFI[Clothes Kit])</f>
        <v>0</v>
      </c>
      <c r="AG959" s="294">
        <f>IF(NFI_Expiration=1,IF($A959&lt;VLOOKUP(P$5,NFI,5,0),1,0)*Table_NFI[[#This Row],[Plastic Bucket]],Table_NFI[Plastic Bucket])</f>
        <v>0</v>
      </c>
      <c r="AH959" s="294">
        <f>IF(NFI_Expiration=1,IF($A959&lt;VLOOKUP(Q$5,NFI,5,0),1,0)*Table_NFI[[#This Row],[Plastic Mat]],Table_NFI[Plastic Mat])*IF(Table_NFI[[#This Row],[Distribution Date]]&gt;"2014-04-01",1,2.5)</f>
        <v>0</v>
      </c>
      <c r="AI959" s="294">
        <f>IF(NFI_Expiration=1,IF($A959&lt;VLOOKUP(R$5,NFI,5,0),1,0)*Table_NFI[[#This Row],[Winter Clothes Adult]],Table_NFI[Winter Clothes Adult])</f>
        <v>0</v>
      </c>
      <c r="AJ959" s="294">
        <f>IF(NFI_Expiration=1,IF($A959&lt;VLOOKUP(S$5,NFI,5,0),1,0)*Table_NFI[[#This Row],[Winter Clothes Children]],Table_NFI[Winter Clothes Children])</f>
        <v>0</v>
      </c>
      <c r="AK959" s="294">
        <f>IF(NFI_Expiration=1,IF($A959&lt;VLOOKUP(T$5,NFI,5,0),1,0)*Table_NFI[[#This Row],[Winter Items Other]],Table_NFI[Winter Items Other])</f>
        <v>0</v>
      </c>
      <c r="AL959" s="294">
        <f>IF(NFI_Expiration=1,IF($A959&lt;VLOOKUP(M$5,NFI,5,0),1,0)*Table_NFI[[#This Row],[Winter Blanket]],Table_NFI[[#This Row],[Winter Blanket]])</f>
        <v>0</v>
      </c>
      <c r="AM959" s="294">
        <f>IF(Table_NFI[[#This Row],[Winter Clothes Adult]]+Table_NFI[[#This Row],[Winter Clothes Children]]+Table_NFI[[#This Row],[Winter Items Other]]+Table_NFI[[#This Row],[Winter Blanket]]&gt;0,1,0)</f>
        <v>0</v>
      </c>
      <c r="AN959" s="331">
        <f>IF(NFI_Expiration=1,IF($A959&lt;VLOOKUP(V$5,NFI,5,0),1,0)*Table_NFI[[#This Row],[Jerry Can]],Table_NFI[Jerry Can])</f>
        <v>0</v>
      </c>
      <c r="AO959" s="331">
        <f>IF(NFI_Expiration=1,IF($A959&lt;VLOOKUP(V$5,NFI,5,0),1,0)*Table_NFI[[#This Row],[Shelter Tool kit]],Table_NFI[Shelter Tool kit])</f>
        <v>0</v>
      </c>
      <c r="AP959" s="331">
        <f>IF(NFI_Expiration=1,IF($A959&lt;VLOOKUP(V$5,NFI,5,0),1,0)*Table_NFI[[#This Row],[Tent]],Table_NFI[Tent])</f>
        <v>0</v>
      </c>
      <c r="AQ959" s="467" t="str">
        <f>IFERROR(VLOOKUP(Table_NFI[[#This Row],[Camp Name]],CL,2,0),"")</f>
        <v>MMR001CMP119</v>
      </c>
      <c r="AR959" s="835">
        <f ca="1">IF(Table_NFI[[#This Row],[Pcode]]="","",IF(OFFSET(CampList[Opening Date],MATCH(Table_NFI[[#This Row],[Pcode]],CampList[CP_Pcode],0)-1,0,1,1)&gt;=NFI_Monitor_Date,1,0))</f>
        <v>0</v>
      </c>
      <c r="AS959" s="467" t="str">
        <f>IFERROR(VLOOKUP(Table_NFI[[#This Row],[Camp Name]],CL,3,0),"")</f>
        <v>Open</v>
      </c>
      <c r="AT959" s="294" t="str">
        <f ca="1">IF(Table_NFI[[#This Row],[Pcode]]="","",OFFSET(CampList[Priority],MATCH(Table_NFI[[#This Row],[Pcode]],CampList[CP_Pcode],0)-1,0,1,1))</f>
        <v>P2</v>
      </c>
      <c r="AU959" s="293">
        <f>IFERROR(Table_NFI[[#This Row],[Kitchen Set]]/VLOOKUP(Table_NFI[[#This Row],[Camp Name]],CL,4,0),"")</f>
        <v>1.4719252979481508E-2</v>
      </c>
      <c r="AV959" s="461" t="s">
        <v>1092</v>
      </c>
      <c r="AW959" s="463"/>
    </row>
    <row r="960" spans="1:49" x14ac:dyDescent="0.25">
      <c r="A960" s="297">
        <f t="shared" si="14"/>
        <v>54.56666666666667</v>
      </c>
      <c r="B960" s="460">
        <v>41099</v>
      </c>
      <c r="C960" s="461" t="s">
        <v>452</v>
      </c>
      <c r="D960" s="461" t="s">
        <v>452</v>
      </c>
      <c r="E960" s="461" t="s">
        <v>380</v>
      </c>
      <c r="F960" s="461" t="s">
        <v>310</v>
      </c>
      <c r="G960" s="290" t="s">
        <v>318</v>
      </c>
      <c r="H960" s="291"/>
      <c r="I960" s="291"/>
      <c r="J960" s="291"/>
      <c r="K960" s="291">
        <v>77</v>
      </c>
      <c r="L960" s="292">
        <v>34</v>
      </c>
      <c r="M960" s="292">
        <v>77</v>
      </c>
      <c r="N960" s="292">
        <v>35</v>
      </c>
      <c r="O960" s="292">
        <v>52</v>
      </c>
      <c r="P960" s="294">
        <v>52</v>
      </c>
      <c r="Q960" s="294">
        <v>52</v>
      </c>
      <c r="R960" s="294"/>
      <c r="S960" s="294"/>
      <c r="T960" s="294"/>
      <c r="U960" s="294"/>
      <c r="V960" s="431"/>
      <c r="W960" s="331"/>
      <c r="X960" s="331"/>
      <c r="Y960" s="294">
        <f>IF(NFI_Expiration=1,IF($A960&lt;VLOOKUP(H$5,NFI,5,0),1,0)*Table_NFI[[#This Row],[Hygiene Kit]],Table_NFI[Hygiene Kit])</f>
        <v>0</v>
      </c>
      <c r="Z960" s="294">
        <f>IF(NFI_Expiration=1,IF($A960&lt;VLOOKUP(I$5,NFI,5,0),1,0)*Table_NFI[[#This Row],[NFI Core Kit]],Table_NFI[NFI Core Kit])</f>
        <v>0</v>
      </c>
      <c r="AA960" s="294">
        <f>IF(NFI_Expiration=1,IF($A960&lt;VLOOKUP(J$5,NFI,5,0),1,0)*Table_NFI[[#This Row],[Sanitary Kit]],Table_NFI[Sanitary Kit])</f>
        <v>0</v>
      </c>
      <c r="AB960" s="294">
        <f>IF(NFI_Expiration=1,IF($A960&lt;VLOOKUP(K$5,NFI,5,0),1,0)*Table_NFI[[#This Row],[Mosquito net]],Table_NFI[Mosquito net])</f>
        <v>0</v>
      </c>
      <c r="AC960" s="294">
        <f>IF(NFI_Expiration=1,IF($A960&lt;VLOOKUP(L$5,NFI,5,0),1,0)*Table_NFI[[#This Row],[Tarpaulin]],Table_NFI[[#This Row],[Tarpaulin]])</f>
        <v>0</v>
      </c>
      <c r="AD960" s="294">
        <f>IF(NFI_Expiration=1,IF($A960&lt;VLOOKUP(M$5,NFI,5,0),1,0)*Table_NFI[[#This Row],[Blanket]],Table_NFI[[#This Row],[Blanket]])</f>
        <v>0</v>
      </c>
      <c r="AE960" s="294">
        <f>IF(NFI_Expiration=1,IF($A960&lt;VLOOKUP(N$5,NFI,5,0),1,0)*Table_NFI[[#This Row],[Kitchen Set]],Table_NFI[Kitchen Set])</f>
        <v>0</v>
      </c>
      <c r="AF960" s="294">
        <f>IF(NFI_Expiration=1,IF($A960&lt;VLOOKUP(O$5,NFI,5,0),1,0)*Table_NFI[[#This Row],[Clothes Kit]],Table_NFI[Clothes Kit])</f>
        <v>0</v>
      </c>
      <c r="AG960" s="294">
        <f>IF(NFI_Expiration=1,IF($A960&lt;VLOOKUP(P$5,NFI,5,0),1,0)*Table_NFI[[#This Row],[Plastic Bucket]],Table_NFI[Plastic Bucket])</f>
        <v>0</v>
      </c>
      <c r="AH960" s="294">
        <f>IF(NFI_Expiration=1,IF($A960&lt;VLOOKUP(Q$5,NFI,5,0),1,0)*Table_NFI[[#This Row],[Plastic Mat]],Table_NFI[Plastic Mat])*IF(Table_NFI[[#This Row],[Distribution Date]]&gt;"2014-04-01",1,2.5)</f>
        <v>0</v>
      </c>
      <c r="AI960" s="294">
        <f>IF(NFI_Expiration=1,IF($A960&lt;VLOOKUP(R$5,NFI,5,0),1,0)*Table_NFI[[#This Row],[Winter Clothes Adult]],Table_NFI[Winter Clothes Adult])</f>
        <v>0</v>
      </c>
      <c r="AJ960" s="294">
        <f>IF(NFI_Expiration=1,IF($A960&lt;VLOOKUP(S$5,NFI,5,0),1,0)*Table_NFI[[#This Row],[Winter Clothes Children]],Table_NFI[Winter Clothes Children])</f>
        <v>0</v>
      </c>
      <c r="AK960" s="294">
        <f>IF(NFI_Expiration=1,IF($A960&lt;VLOOKUP(T$5,NFI,5,0),1,0)*Table_NFI[[#This Row],[Winter Items Other]],Table_NFI[Winter Items Other])</f>
        <v>0</v>
      </c>
      <c r="AL960" s="294">
        <f>IF(NFI_Expiration=1,IF($A960&lt;VLOOKUP(M$5,NFI,5,0),1,0)*Table_NFI[[#This Row],[Winter Blanket]],Table_NFI[[#This Row],[Winter Blanket]])</f>
        <v>0</v>
      </c>
      <c r="AM960" s="294">
        <f>IF(Table_NFI[[#This Row],[Winter Clothes Adult]]+Table_NFI[[#This Row],[Winter Clothes Children]]+Table_NFI[[#This Row],[Winter Items Other]]+Table_NFI[[#This Row],[Winter Blanket]]&gt;0,1,0)</f>
        <v>0</v>
      </c>
      <c r="AN960" s="331">
        <f>IF(NFI_Expiration=1,IF($A960&lt;VLOOKUP(V$5,NFI,5,0),1,0)*Table_NFI[[#This Row],[Jerry Can]],Table_NFI[Jerry Can])</f>
        <v>0</v>
      </c>
      <c r="AO960" s="331">
        <f>IF(NFI_Expiration=1,IF($A960&lt;VLOOKUP(V$5,NFI,5,0),1,0)*Table_NFI[[#This Row],[Shelter Tool kit]],Table_NFI[Shelter Tool kit])</f>
        <v>0</v>
      </c>
      <c r="AP960" s="331">
        <f>IF(NFI_Expiration=1,IF($A960&lt;VLOOKUP(V$5,NFI,5,0),1,0)*Table_NFI[[#This Row],[Tent]],Table_NFI[Tent])</f>
        <v>0</v>
      </c>
      <c r="AQ960" s="467" t="str">
        <f>IFERROR(VLOOKUP(Table_NFI[[#This Row],[Camp Name]],CL,2,0),"")</f>
        <v>MMR001CMP032</v>
      </c>
      <c r="AR960" s="835">
        <f ca="1">IF(Table_NFI[[#This Row],[Pcode]]="","",IF(OFFSET(CampList[Opening Date],MATCH(Table_NFI[[#This Row],[Pcode]],CampList[CP_Pcode],0)-1,0,1,1)&gt;=NFI_Monitor_Date,1,0))</f>
        <v>0</v>
      </c>
      <c r="AS960" s="467" t="str">
        <f>IFERROR(VLOOKUP(Table_NFI[[#This Row],[Camp Name]],CL,3,0),"")</f>
        <v>Open</v>
      </c>
      <c r="AT960" s="294" t="str">
        <f ca="1">IF(Table_NFI[[#This Row],[Pcode]]="","",OFFSET(CampList[Priority],MATCH(Table_NFI[[#This Row],[Pcode]],CampList[CP_Pcode],0)-1,0,1,1))</f>
        <v>P4</v>
      </c>
      <c r="AU960" s="293">
        <f>IFERROR(Table_NFI[[#This Row],[Kitchen Set]]/VLOOKUP(Table_NFI[[#This Row],[Camp Name]],CL,4,0),"")</f>
        <v>8.594229588704727E-4</v>
      </c>
      <c r="AV960" s="461" t="s">
        <v>1092</v>
      </c>
      <c r="AW960" s="463"/>
    </row>
    <row r="961" spans="1:49" x14ac:dyDescent="0.25">
      <c r="A961" s="297">
        <f t="shared" si="14"/>
        <v>54.6</v>
      </c>
      <c r="B961" s="460">
        <v>41098</v>
      </c>
      <c r="C961" s="461" t="s">
        <v>905</v>
      </c>
      <c r="D961" s="461" t="s">
        <v>905</v>
      </c>
      <c r="E961" s="461" t="s">
        <v>380</v>
      </c>
      <c r="F961" s="461" t="s">
        <v>185</v>
      </c>
      <c r="G961" s="461" t="s">
        <v>209</v>
      </c>
      <c r="H961" s="294">
        <v>64</v>
      </c>
      <c r="I961" s="291"/>
      <c r="J961" s="291"/>
      <c r="K961" s="291"/>
      <c r="L961" s="292"/>
      <c r="M961" s="292"/>
      <c r="N961" s="292"/>
      <c r="O961" s="292"/>
      <c r="P961" s="294"/>
      <c r="Q961" s="294"/>
      <c r="R961" s="294"/>
      <c r="S961" s="294"/>
      <c r="T961" s="294"/>
      <c r="U961" s="294"/>
      <c r="V961" s="431"/>
      <c r="W961" s="331"/>
      <c r="X961" s="331"/>
      <c r="Y961" s="294">
        <f>IF(NFI_Expiration=1,IF($A961&lt;VLOOKUP(H$5,NFI,5,0),1,0)*Table_NFI[[#This Row],[Hygiene Kit]],Table_NFI[Hygiene Kit])</f>
        <v>0</v>
      </c>
      <c r="Z961" s="294">
        <f>IF(NFI_Expiration=1,IF($A961&lt;VLOOKUP(I$5,NFI,5,0),1,0)*Table_NFI[[#This Row],[NFI Core Kit]],Table_NFI[NFI Core Kit])</f>
        <v>0</v>
      </c>
      <c r="AA961" s="294">
        <f>IF(NFI_Expiration=1,IF($A961&lt;VLOOKUP(J$5,NFI,5,0),1,0)*Table_NFI[[#This Row],[Sanitary Kit]],Table_NFI[Sanitary Kit])</f>
        <v>0</v>
      </c>
      <c r="AB961" s="294">
        <f>IF(NFI_Expiration=1,IF($A961&lt;VLOOKUP(K$5,NFI,5,0),1,0)*Table_NFI[[#This Row],[Mosquito net]],Table_NFI[Mosquito net])</f>
        <v>0</v>
      </c>
      <c r="AC961" s="294">
        <f>IF(NFI_Expiration=1,IF($A961&lt;VLOOKUP(L$5,NFI,5,0),1,0)*Table_NFI[[#This Row],[Tarpaulin]],Table_NFI[[#This Row],[Tarpaulin]])</f>
        <v>0</v>
      </c>
      <c r="AD961" s="294">
        <f>IF(NFI_Expiration=1,IF($A961&lt;VLOOKUP(M$5,NFI,5,0),1,0)*Table_NFI[[#This Row],[Blanket]],Table_NFI[[#This Row],[Blanket]])</f>
        <v>0</v>
      </c>
      <c r="AE961" s="294">
        <f>IF(NFI_Expiration=1,IF($A961&lt;VLOOKUP(N$5,NFI,5,0),1,0)*Table_NFI[[#This Row],[Kitchen Set]],Table_NFI[Kitchen Set])</f>
        <v>0</v>
      </c>
      <c r="AF961" s="294">
        <f>IF(NFI_Expiration=1,IF($A961&lt;VLOOKUP(O$5,NFI,5,0),1,0)*Table_NFI[[#This Row],[Clothes Kit]],Table_NFI[Clothes Kit])</f>
        <v>0</v>
      </c>
      <c r="AG961" s="294">
        <f>IF(NFI_Expiration=1,IF($A961&lt;VLOOKUP(P$5,NFI,5,0),1,0)*Table_NFI[[#This Row],[Plastic Bucket]],Table_NFI[Plastic Bucket])</f>
        <v>0</v>
      </c>
      <c r="AH961" s="294">
        <f>IF(NFI_Expiration=1,IF($A961&lt;VLOOKUP(Q$5,NFI,5,0),1,0)*Table_NFI[[#This Row],[Plastic Mat]],Table_NFI[Plastic Mat])*IF(Table_NFI[[#This Row],[Distribution Date]]&gt;"2014-04-01",1,2.5)</f>
        <v>0</v>
      </c>
      <c r="AI961" s="294">
        <f>IF(NFI_Expiration=1,IF($A961&lt;VLOOKUP(R$5,NFI,5,0),1,0)*Table_NFI[[#This Row],[Winter Clothes Adult]],Table_NFI[Winter Clothes Adult])</f>
        <v>0</v>
      </c>
      <c r="AJ961" s="294">
        <f>IF(NFI_Expiration=1,IF($A961&lt;VLOOKUP(S$5,NFI,5,0),1,0)*Table_NFI[[#This Row],[Winter Clothes Children]],Table_NFI[Winter Clothes Children])</f>
        <v>0</v>
      </c>
      <c r="AK961" s="294">
        <f>IF(NFI_Expiration=1,IF($A961&lt;VLOOKUP(T$5,NFI,5,0),1,0)*Table_NFI[[#This Row],[Winter Items Other]],Table_NFI[Winter Items Other])</f>
        <v>0</v>
      </c>
      <c r="AL961" s="294">
        <f>IF(NFI_Expiration=1,IF($A961&lt;VLOOKUP(M$5,NFI,5,0),1,0)*Table_NFI[[#This Row],[Winter Blanket]],Table_NFI[[#This Row],[Winter Blanket]])</f>
        <v>0</v>
      </c>
      <c r="AM961" s="294">
        <f>IF(Table_NFI[[#This Row],[Winter Clothes Adult]]+Table_NFI[[#This Row],[Winter Clothes Children]]+Table_NFI[[#This Row],[Winter Items Other]]+Table_NFI[[#This Row],[Winter Blanket]]&gt;0,1,0)</f>
        <v>0</v>
      </c>
      <c r="AN961" s="331">
        <f>IF(NFI_Expiration=1,IF($A961&lt;VLOOKUP(V$5,NFI,5,0),1,0)*Table_NFI[[#This Row],[Jerry Can]],Table_NFI[Jerry Can])</f>
        <v>0</v>
      </c>
      <c r="AO961" s="331">
        <f>IF(NFI_Expiration=1,IF($A961&lt;VLOOKUP(V$5,NFI,5,0),1,0)*Table_NFI[[#This Row],[Shelter Tool kit]],Table_NFI[Shelter Tool kit])</f>
        <v>0</v>
      </c>
      <c r="AP961" s="331">
        <f>IF(NFI_Expiration=1,IF($A961&lt;VLOOKUP(V$5,NFI,5,0),1,0)*Table_NFI[[#This Row],[Tent]],Table_NFI[Tent])</f>
        <v>0</v>
      </c>
      <c r="AQ961" s="467" t="str">
        <f>IFERROR(VLOOKUP(Table_NFI[[#This Row],[Camp Name]],CL,2,0),"")</f>
        <v>MMR001CMP056</v>
      </c>
      <c r="AR961" s="835">
        <f ca="1">IF(Table_NFI[[#This Row],[Pcode]]="","",IF(OFFSET(CampList[Opening Date],MATCH(Table_NFI[[#This Row],[Pcode]],CampList[CP_Pcode],0)-1,0,1,1)&gt;=NFI_Monitor_Date,1,0))</f>
        <v>0</v>
      </c>
      <c r="AS961" s="467" t="str">
        <f>IFERROR(VLOOKUP(Table_NFI[[#This Row],[Camp Name]],CL,3,0),"")</f>
        <v>Open</v>
      </c>
      <c r="AT961" s="294" t="str">
        <f ca="1">IF(Table_NFI[[#This Row],[Pcode]]="","",OFFSET(CampList[Priority],MATCH(Table_NFI[[#This Row],[Pcode]],CampList[CP_Pcode],0)-1,0,1,1))</f>
        <v>P4</v>
      </c>
      <c r="AU961" s="293">
        <f>IFERROR(Table_NFI[[#This Row],[Kitchen Set]]/VLOOKUP(Table_NFI[[#This Row],[Camp Name]],CL,4,0),"")</f>
        <v>0</v>
      </c>
      <c r="AV961" s="461"/>
      <c r="AW961" s="463"/>
    </row>
    <row r="962" spans="1:49" x14ac:dyDescent="0.25">
      <c r="A962" s="297">
        <f t="shared" si="14"/>
        <v>54.6</v>
      </c>
      <c r="B962" s="460">
        <v>41098</v>
      </c>
      <c r="C962" s="461" t="s">
        <v>905</v>
      </c>
      <c r="D962" s="461" t="s">
        <v>905</v>
      </c>
      <c r="E962" s="461" t="s">
        <v>380</v>
      </c>
      <c r="F962" s="461" t="s">
        <v>5</v>
      </c>
      <c r="G962" s="461" t="s">
        <v>1425</v>
      </c>
      <c r="H962" s="294">
        <v>3</v>
      </c>
      <c r="I962" s="291"/>
      <c r="J962" s="292"/>
      <c r="K962" s="291"/>
      <c r="L962" s="292"/>
      <c r="M962" s="292"/>
      <c r="N962" s="292"/>
      <c r="O962" s="292"/>
      <c r="P962" s="294"/>
      <c r="Q962" s="294"/>
      <c r="R962" s="294"/>
      <c r="S962" s="294"/>
      <c r="T962" s="294"/>
      <c r="U962" s="294"/>
      <c r="V962" s="431"/>
      <c r="W962" s="331"/>
      <c r="X962" s="331"/>
      <c r="Y962" s="294">
        <f>IF(NFI_Expiration=1,IF($A962&lt;VLOOKUP(H$5,NFI,5,0),1,0)*Table_NFI[[#This Row],[Hygiene Kit]],Table_NFI[Hygiene Kit])</f>
        <v>0</v>
      </c>
      <c r="Z962" s="294">
        <f>IF(NFI_Expiration=1,IF($A962&lt;VLOOKUP(I$5,NFI,5,0),1,0)*Table_NFI[[#This Row],[NFI Core Kit]],Table_NFI[NFI Core Kit])</f>
        <v>0</v>
      </c>
      <c r="AA962" s="294">
        <f>IF(NFI_Expiration=1,IF($A962&lt;VLOOKUP(J$5,NFI,5,0),1,0)*Table_NFI[[#This Row],[Sanitary Kit]],Table_NFI[Sanitary Kit])</f>
        <v>0</v>
      </c>
      <c r="AB962" s="294">
        <f>IF(NFI_Expiration=1,IF($A962&lt;VLOOKUP(K$5,NFI,5,0),1,0)*Table_NFI[[#This Row],[Mosquito net]],Table_NFI[Mosquito net])</f>
        <v>0</v>
      </c>
      <c r="AC962" s="294">
        <f>IF(NFI_Expiration=1,IF($A962&lt;VLOOKUP(L$5,NFI,5,0),1,0)*Table_NFI[[#This Row],[Tarpaulin]],Table_NFI[[#This Row],[Tarpaulin]])</f>
        <v>0</v>
      </c>
      <c r="AD962" s="294">
        <f>IF(NFI_Expiration=1,IF($A962&lt;VLOOKUP(M$5,NFI,5,0),1,0)*Table_NFI[[#This Row],[Blanket]],Table_NFI[[#This Row],[Blanket]])</f>
        <v>0</v>
      </c>
      <c r="AE962" s="294">
        <f>IF(NFI_Expiration=1,IF($A962&lt;VLOOKUP(N$5,NFI,5,0),1,0)*Table_NFI[[#This Row],[Kitchen Set]],Table_NFI[Kitchen Set])</f>
        <v>0</v>
      </c>
      <c r="AF962" s="294">
        <f>IF(NFI_Expiration=1,IF($A962&lt;VLOOKUP(O$5,NFI,5,0),1,0)*Table_NFI[[#This Row],[Clothes Kit]],Table_NFI[Clothes Kit])</f>
        <v>0</v>
      </c>
      <c r="AG962" s="294">
        <f>IF(NFI_Expiration=1,IF($A962&lt;VLOOKUP(P$5,NFI,5,0),1,0)*Table_NFI[[#This Row],[Plastic Bucket]],Table_NFI[Plastic Bucket])</f>
        <v>0</v>
      </c>
      <c r="AH962" s="294">
        <f>IF(NFI_Expiration=1,IF($A962&lt;VLOOKUP(Q$5,NFI,5,0),1,0)*Table_NFI[[#This Row],[Plastic Mat]],Table_NFI[Plastic Mat])*IF(Table_NFI[[#This Row],[Distribution Date]]&gt;"2014-04-01",1,2.5)</f>
        <v>0</v>
      </c>
      <c r="AI962" s="294">
        <f>IF(NFI_Expiration=1,IF($A962&lt;VLOOKUP(R$5,NFI,5,0),1,0)*Table_NFI[[#This Row],[Winter Clothes Adult]],Table_NFI[Winter Clothes Adult])</f>
        <v>0</v>
      </c>
      <c r="AJ962" s="294">
        <f>IF(NFI_Expiration=1,IF($A962&lt;VLOOKUP(S$5,NFI,5,0),1,0)*Table_NFI[[#This Row],[Winter Clothes Children]],Table_NFI[Winter Clothes Children])</f>
        <v>0</v>
      </c>
      <c r="AK962" s="294">
        <f>IF(NFI_Expiration=1,IF($A962&lt;VLOOKUP(T$5,NFI,5,0),1,0)*Table_NFI[[#This Row],[Winter Items Other]],Table_NFI[Winter Items Other])</f>
        <v>0</v>
      </c>
      <c r="AL962" s="294">
        <f>IF(NFI_Expiration=1,IF($A962&lt;VLOOKUP(M$5,NFI,5,0),1,0)*Table_NFI[[#This Row],[Winter Blanket]],Table_NFI[[#This Row],[Winter Blanket]])</f>
        <v>0</v>
      </c>
      <c r="AM962" s="294">
        <f>IF(Table_NFI[[#This Row],[Winter Clothes Adult]]+Table_NFI[[#This Row],[Winter Clothes Children]]+Table_NFI[[#This Row],[Winter Items Other]]+Table_NFI[[#This Row],[Winter Blanket]]&gt;0,1,0)</f>
        <v>0</v>
      </c>
      <c r="AN962" s="331">
        <f>IF(NFI_Expiration=1,IF($A962&lt;VLOOKUP(V$5,NFI,5,0),1,0)*Table_NFI[[#This Row],[Jerry Can]],Table_NFI[Jerry Can])</f>
        <v>0</v>
      </c>
      <c r="AO962" s="331">
        <f>IF(NFI_Expiration=1,IF($A962&lt;VLOOKUP(V$5,NFI,5,0),1,0)*Table_NFI[[#This Row],[Shelter Tool kit]],Table_NFI[Shelter Tool kit])</f>
        <v>0</v>
      </c>
      <c r="AP962" s="331">
        <f>IF(NFI_Expiration=1,IF($A962&lt;VLOOKUP(V$5,NFI,5,0),1,0)*Table_NFI[[#This Row],[Tent]],Table_NFI[Tent])</f>
        <v>0</v>
      </c>
      <c r="AQ962" s="467" t="str">
        <f>IFERROR(VLOOKUP(Table_NFI[[#This Row],[Camp Name]],CL,2,0),"")</f>
        <v/>
      </c>
      <c r="AR962" s="835" t="str">
        <f ca="1">IF(Table_NFI[[#This Row],[Pcode]]="","",IF(OFFSET(CampList[Opening Date],MATCH(Table_NFI[[#This Row],[Pcode]],CampList[CP_Pcode],0)-1,0,1,1)&gt;=NFI_Monitor_Date,1,0))</f>
        <v/>
      </c>
      <c r="AS962" s="467" t="str">
        <f>IFERROR(VLOOKUP(Table_NFI[[#This Row],[Camp Name]],CL,3,0),"")</f>
        <v/>
      </c>
      <c r="AT962" s="294" t="str">
        <f ca="1">IF(Table_NFI[[#This Row],[Pcode]]="","",OFFSET(CampList[Priority],MATCH(Table_NFI[[#This Row],[Pcode]],CampList[CP_Pcode],0)-1,0,1,1))</f>
        <v/>
      </c>
      <c r="AU962" s="293" t="str">
        <f>IFERROR(Table_NFI[[#This Row],[Kitchen Set]]/VLOOKUP(Table_NFI[[#This Row],[Camp Name]],CL,4,0),"")</f>
        <v/>
      </c>
      <c r="AV962" s="461"/>
      <c r="AW962" s="463"/>
    </row>
    <row r="963" spans="1:49" x14ac:dyDescent="0.25">
      <c r="A963" s="297">
        <f t="shared" si="14"/>
        <v>54.6</v>
      </c>
      <c r="B963" s="460">
        <v>41098</v>
      </c>
      <c r="C963" s="461" t="s">
        <v>452</v>
      </c>
      <c r="D963" s="461" t="s">
        <v>505</v>
      </c>
      <c r="E963" s="461" t="s">
        <v>380</v>
      </c>
      <c r="F963" s="461" t="s">
        <v>185</v>
      </c>
      <c r="G963" s="461" t="s">
        <v>217</v>
      </c>
      <c r="H963" s="294">
        <v>16</v>
      </c>
      <c r="I963" s="294"/>
      <c r="J963" s="294"/>
      <c r="K963" s="294"/>
      <c r="L963" s="292"/>
      <c r="M963" s="292"/>
      <c r="N963" s="292"/>
      <c r="O963" s="292"/>
      <c r="P963" s="294"/>
      <c r="Q963" s="294"/>
      <c r="R963" s="294"/>
      <c r="S963" s="294"/>
      <c r="T963" s="294"/>
      <c r="U963" s="294"/>
      <c r="V963" s="431"/>
      <c r="W963" s="331"/>
      <c r="X963" s="331"/>
      <c r="Y963" s="294">
        <f>IF(NFI_Expiration=1,IF($A963&lt;VLOOKUP(H$5,NFI,5,0),1,0)*Table_NFI[[#This Row],[Hygiene Kit]],Table_NFI[Hygiene Kit])</f>
        <v>0</v>
      </c>
      <c r="Z963" s="294">
        <f>IF(NFI_Expiration=1,IF($A963&lt;VLOOKUP(I$5,NFI,5,0),1,0)*Table_NFI[[#This Row],[NFI Core Kit]],Table_NFI[NFI Core Kit])</f>
        <v>0</v>
      </c>
      <c r="AA963" s="294">
        <f>IF(NFI_Expiration=1,IF($A963&lt;VLOOKUP(J$5,NFI,5,0),1,0)*Table_NFI[[#This Row],[Sanitary Kit]],Table_NFI[Sanitary Kit])</f>
        <v>0</v>
      </c>
      <c r="AB963" s="294">
        <f>IF(NFI_Expiration=1,IF($A963&lt;VLOOKUP(K$5,NFI,5,0),1,0)*Table_NFI[[#This Row],[Mosquito net]],Table_NFI[Mosquito net])</f>
        <v>0</v>
      </c>
      <c r="AC963" s="294">
        <f>IF(NFI_Expiration=1,IF($A963&lt;VLOOKUP(L$5,NFI,5,0),1,0)*Table_NFI[[#This Row],[Tarpaulin]],Table_NFI[[#This Row],[Tarpaulin]])</f>
        <v>0</v>
      </c>
      <c r="AD963" s="294">
        <f>IF(NFI_Expiration=1,IF($A963&lt;VLOOKUP(M$5,NFI,5,0),1,0)*Table_NFI[[#This Row],[Blanket]],Table_NFI[[#This Row],[Blanket]])</f>
        <v>0</v>
      </c>
      <c r="AE963" s="294">
        <f>IF(NFI_Expiration=1,IF($A963&lt;VLOOKUP(N$5,NFI,5,0),1,0)*Table_NFI[[#This Row],[Kitchen Set]],Table_NFI[Kitchen Set])</f>
        <v>0</v>
      </c>
      <c r="AF963" s="294">
        <f>IF(NFI_Expiration=1,IF($A963&lt;VLOOKUP(O$5,NFI,5,0),1,0)*Table_NFI[[#This Row],[Clothes Kit]],Table_NFI[Clothes Kit])</f>
        <v>0</v>
      </c>
      <c r="AG963" s="294">
        <f>IF(NFI_Expiration=1,IF($A963&lt;VLOOKUP(P$5,NFI,5,0),1,0)*Table_NFI[[#This Row],[Plastic Bucket]],Table_NFI[Plastic Bucket])</f>
        <v>0</v>
      </c>
      <c r="AH963" s="294">
        <f>IF(NFI_Expiration=1,IF($A963&lt;VLOOKUP(Q$5,NFI,5,0),1,0)*Table_NFI[[#This Row],[Plastic Mat]],Table_NFI[Plastic Mat])*IF(Table_NFI[[#This Row],[Distribution Date]]&gt;"2014-04-01",1,2.5)</f>
        <v>0</v>
      </c>
      <c r="AI963" s="294">
        <f>IF(NFI_Expiration=1,IF($A963&lt;VLOOKUP(R$5,NFI,5,0),1,0)*Table_NFI[[#This Row],[Winter Clothes Adult]],Table_NFI[Winter Clothes Adult])</f>
        <v>0</v>
      </c>
      <c r="AJ963" s="294">
        <f>IF(NFI_Expiration=1,IF($A963&lt;VLOOKUP(S$5,NFI,5,0),1,0)*Table_NFI[[#This Row],[Winter Clothes Children]],Table_NFI[Winter Clothes Children])</f>
        <v>0</v>
      </c>
      <c r="AK963" s="294">
        <f>IF(NFI_Expiration=1,IF($A963&lt;VLOOKUP(T$5,NFI,5,0),1,0)*Table_NFI[[#This Row],[Winter Items Other]],Table_NFI[Winter Items Other])</f>
        <v>0</v>
      </c>
      <c r="AL963" s="294">
        <f>IF(NFI_Expiration=1,IF($A963&lt;VLOOKUP(M$5,NFI,5,0),1,0)*Table_NFI[[#This Row],[Winter Blanket]],Table_NFI[[#This Row],[Winter Blanket]])</f>
        <v>0</v>
      </c>
      <c r="AM963" s="294">
        <f>IF(Table_NFI[[#This Row],[Winter Clothes Adult]]+Table_NFI[[#This Row],[Winter Clothes Children]]+Table_NFI[[#This Row],[Winter Items Other]]+Table_NFI[[#This Row],[Winter Blanket]]&gt;0,1,0)</f>
        <v>0</v>
      </c>
      <c r="AN963" s="331">
        <f>IF(NFI_Expiration=1,IF($A963&lt;VLOOKUP(V$5,NFI,5,0),1,0)*Table_NFI[[#This Row],[Jerry Can]],Table_NFI[Jerry Can])</f>
        <v>0</v>
      </c>
      <c r="AO963" s="331">
        <f>IF(NFI_Expiration=1,IF($A963&lt;VLOOKUP(V$5,NFI,5,0),1,0)*Table_NFI[[#This Row],[Shelter Tool kit]],Table_NFI[Shelter Tool kit])</f>
        <v>0</v>
      </c>
      <c r="AP963" s="331">
        <f>IF(NFI_Expiration=1,IF($A963&lt;VLOOKUP(V$5,NFI,5,0),1,0)*Table_NFI[[#This Row],[Tent]],Table_NFI[Tent])</f>
        <v>0</v>
      </c>
      <c r="AQ963" s="467" t="str">
        <f>IFERROR(VLOOKUP(Table_NFI[[#This Row],[Camp Name]],CL,2,0),"")</f>
        <v>MMR001CMP059</v>
      </c>
      <c r="AR963" s="835">
        <f ca="1">IF(Table_NFI[[#This Row],[Pcode]]="","",IF(OFFSET(CampList[Opening Date],MATCH(Table_NFI[[#This Row],[Pcode]],CampList[CP_Pcode],0)-1,0,1,1)&gt;=NFI_Monitor_Date,1,0))</f>
        <v>0</v>
      </c>
      <c r="AS963" s="467" t="str">
        <f>IFERROR(VLOOKUP(Table_NFI[[#This Row],[Camp Name]],CL,3,0),"")</f>
        <v>Closed</v>
      </c>
      <c r="AT963" s="294" t="str">
        <f ca="1">IF(Table_NFI[[#This Row],[Pcode]]="","",OFFSET(CampList[Priority],MATCH(Table_NFI[[#This Row],[Pcode]],CampList[CP_Pcode],0)-1,0,1,1))</f>
        <v>P4</v>
      </c>
      <c r="AU963" s="293">
        <f>IFERROR(Table_NFI[[#This Row],[Kitchen Set]]/VLOOKUP(Table_NFI[[#This Row],[Camp Name]],CL,4,0),"")</f>
        <v>0</v>
      </c>
      <c r="AV963" s="461"/>
      <c r="AW963" s="463"/>
    </row>
    <row r="964" spans="1:49" ht="15" customHeight="1" x14ac:dyDescent="0.25">
      <c r="A964" s="297">
        <f t="shared" si="14"/>
        <v>54.6</v>
      </c>
      <c r="B964" s="460">
        <v>41098</v>
      </c>
      <c r="C964" s="461" t="s">
        <v>905</v>
      </c>
      <c r="D964" s="461" t="s">
        <v>905</v>
      </c>
      <c r="E964" s="461" t="s">
        <v>380</v>
      </c>
      <c r="F964" s="461" t="s">
        <v>185</v>
      </c>
      <c r="G964" s="290" t="s">
        <v>217</v>
      </c>
      <c r="H964" s="294">
        <v>16</v>
      </c>
      <c r="I964" s="291"/>
      <c r="J964" s="292"/>
      <c r="K964" s="291"/>
      <c r="L964" s="292"/>
      <c r="M964" s="292"/>
      <c r="N964" s="292"/>
      <c r="O964" s="292"/>
      <c r="P964" s="294"/>
      <c r="Q964" s="294"/>
      <c r="R964" s="294"/>
      <c r="S964" s="294"/>
      <c r="T964" s="294"/>
      <c r="U964" s="294"/>
      <c r="V964" s="431"/>
      <c r="W964" s="294"/>
      <c r="X964" s="294"/>
      <c r="Y964" s="294">
        <f>IF(NFI_Expiration=1,IF($A964&lt;VLOOKUP(H$5,NFI,5,0),1,0)*Table_NFI[[#This Row],[Hygiene Kit]],Table_NFI[Hygiene Kit])</f>
        <v>0</v>
      </c>
      <c r="Z964" s="294">
        <f>IF(NFI_Expiration=1,IF($A964&lt;VLOOKUP(I$5,NFI,5,0),1,0)*Table_NFI[[#This Row],[NFI Core Kit]],Table_NFI[NFI Core Kit])</f>
        <v>0</v>
      </c>
      <c r="AA964" s="294">
        <f>IF(NFI_Expiration=1,IF($A964&lt;VLOOKUP(J$5,NFI,5,0),1,0)*Table_NFI[[#This Row],[Sanitary Kit]],Table_NFI[Sanitary Kit])</f>
        <v>0</v>
      </c>
      <c r="AB964" s="294">
        <f>IF(NFI_Expiration=1,IF($A964&lt;VLOOKUP(K$5,NFI,5,0),1,0)*Table_NFI[[#This Row],[Mosquito net]],Table_NFI[Mosquito net])</f>
        <v>0</v>
      </c>
      <c r="AC964" s="294">
        <f>IF(NFI_Expiration=1,IF($A964&lt;VLOOKUP(L$5,NFI,5,0),1,0)*Table_NFI[[#This Row],[Tarpaulin]],Table_NFI[[#This Row],[Tarpaulin]])</f>
        <v>0</v>
      </c>
      <c r="AD964" s="294">
        <f>IF(NFI_Expiration=1,IF($A964&lt;VLOOKUP(M$5,NFI,5,0),1,0)*Table_NFI[[#This Row],[Blanket]],Table_NFI[[#This Row],[Blanket]])</f>
        <v>0</v>
      </c>
      <c r="AE964" s="294">
        <f>IF(NFI_Expiration=1,IF($A964&lt;VLOOKUP(N$5,NFI,5,0),1,0)*Table_NFI[[#This Row],[Kitchen Set]],Table_NFI[Kitchen Set])</f>
        <v>0</v>
      </c>
      <c r="AF964" s="294">
        <f>IF(NFI_Expiration=1,IF($A964&lt;VLOOKUP(O$5,NFI,5,0),1,0)*Table_NFI[[#This Row],[Clothes Kit]],Table_NFI[Clothes Kit])</f>
        <v>0</v>
      </c>
      <c r="AG964" s="294">
        <f>IF(NFI_Expiration=1,IF($A964&lt;VLOOKUP(P$5,NFI,5,0),1,0)*Table_NFI[[#This Row],[Plastic Bucket]],Table_NFI[Plastic Bucket])</f>
        <v>0</v>
      </c>
      <c r="AH964" s="294">
        <f>IF(NFI_Expiration=1,IF($A964&lt;VLOOKUP(Q$5,NFI,5,0),1,0)*Table_NFI[[#This Row],[Plastic Mat]],Table_NFI[Plastic Mat])*IF(Table_NFI[[#This Row],[Distribution Date]]&gt;"2014-04-01",1,2.5)</f>
        <v>0</v>
      </c>
      <c r="AI964" s="294">
        <f>IF(NFI_Expiration=1,IF($A964&lt;VLOOKUP(R$5,NFI,5,0),1,0)*Table_NFI[[#This Row],[Winter Clothes Adult]],Table_NFI[Winter Clothes Adult])</f>
        <v>0</v>
      </c>
      <c r="AJ964" s="294">
        <f>IF(NFI_Expiration=1,IF($A964&lt;VLOOKUP(S$5,NFI,5,0),1,0)*Table_NFI[[#This Row],[Winter Clothes Children]],Table_NFI[Winter Clothes Children])</f>
        <v>0</v>
      </c>
      <c r="AK964" s="294">
        <f>IF(NFI_Expiration=1,IF($A964&lt;VLOOKUP(T$5,NFI,5,0),1,0)*Table_NFI[[#This Row],[Winter Items Other]],Table_NFI[Winter Items Other])</f>
        <v>0</v>
      </c>
      <c r="AL964" s="294">
        <f>IF(NFI_Expiration=1,IF($A964&lt;VLOOKUP(M$5,NFI,5,0),1,0)*Table_NFI[[#This Row],[Winter Blanket]],Table_NFI[[#This Row],[Winter Blanket]])</f>
        <v>0</v>
      </c>
      <c r="AM964" s="294">
        <f>IF(Table_NFI[[#This Row],[Winter Clothes Adult]]+Table_NFI[[#This Row],[Winter Clothes Children]]+Table_NFI[[#This Row],[Winter Items Other]]+Table_NFI[[#This Row],[Winter Blanket]]&gt;0,1,0)</f>
        <v>0</v>
      </c>
      <c r="AN964" s="331">
        <f>IF(NFI_Expiration=1,IF($A964&lt;VLOOKUP(V$5,NFI,5,0),1,0)*Table_NFI[[#This Row],[Jerry Can]],Table_NFI[Jerry Can])</f>
        <v>0</v>
      </c>
      <c r="AO964" s="331">
        <f>IF(NFI_Expiration=1,IF($A964&lt;VLOOKUP(V$5,NFI,5,0),1,0)*Table_NFI[[#This Row],[Shelter Tool kit]],Table_NFI[Shelter Tool kit])</f>
        <v>0</v>
      </c>
      <c r="AP964" s="331">
        <f>IF(NFI_Expiration=1,IF($A964&lt;VLOOKUP(V$5,NFI,5,0),1,0)*Table_NFI[[#This Row],[Tent]],Table_NFI[Tent])</f>
        <v>0</v>
      </c>
      <c r="AQ964" s="467" t="str">
        <f>IFERROR(VLOOKUP(Table_NFI[[#This Row],[Camp Name]],CL,2,0),"")</f>
        <v>MMR001CMP059</v>
      </c>
      <c r="AR964" s="835">
        <f ca="1">IF(Table_NFI[[#This Row],[Pcode]]="","",IF(OFFSET(CampList[Opening Date],MATCH(Table_NFI[[#This Row],[Pcode]],CampList[CP_Pcode],0)-1,0,1,1)&gt;=NFI_Monitor_Date,1,0))</f>
        <v>0</v>
      </c>
      <c r="AS964" s="467" t="str">
        <f>IFERROR(VLOOKUP(Table_NFI[[#This Row],[Camp Name]],CL,3,0),"")</f>
        <v>Closed</v>
      </c>
      <c r="AT964" s="294" t="str">
        <f ca="1">IF(Table_NFI[[#This Row],[Pcode]]="","",OFFSET(CampList[Priority],MATCH(Table_NFI[[#This Row],[Pcode]],CampList[CP_Pcode],0)-1,0,1,1))</f>
        <v>P4</v>
      </c>
      <c r="AU964" s="293">
        <f>IFERROR(Table_NFI[[#This Row],[Kitchen Set]]/VLOOKUP(Table_NFI[[#This Row],[Camp Name]],CL,4,0),"")</f>
        <v>0</v>
      </c>
      <c r="AV964" s="461"/>
      <c r="AW964" s="463"/>
    </row>
    <row r="965" spans="1:49" x14ac:dyDescent="0.25">
      <c r="A965" s="297">
        <f t="shared" si="14"/>
        <v>54.666666666666664</v>
      </c>
      <c r="B965" s="460">
        <v>41096</v>
      </c>
      <c r="C965" s="461" t="s">
        <v>452</v>
      </c>
      <c r="D965" s="461" t="s">
        <v>452</v>
      </c>
      <c r="E965" s="461" t="s">
        <v>380</v>
      </c>
      <c r="F965" s="461" t="s">
        <v>310</v>
      </c>
      <c r="G965" s="290" t="s">
        <v>316</v>
      </c>
      <c r="H965" s="291"/>
      <c r="I965" s="291"/>
      <c r="J965" s="291"/>
      <c r="K965" s="291">
        <v>17</v>
      </c>
      <c r="L965" s="292">
        <v>17</v>
      </c>
      <c r="M965" s="292">
        <v>17</v>
      </c>
      <c r="N965" s="292">
        <v>17</v>
      </c>
      <c r="O965" s="292">
        <v>17</v>
      </c>
      <c r="P965" s="294">
        <v>17</v>
      </c>
      <c r="Q965" s="294">
        <v>17</v>
      </c>
      <c r="R965" s="294"/>
      <c r="S965" s="294"/>
      <c r="T965" s="294"/>
      <c r="U965" s="294"/>
      <c r="V965" s="431"/>
      <c r="W965" s="294"/>
      <c r="X965" s="294"/>
      <c r="Y965" s="294">
        <f>IF(NFI_Expiration=1,IF($A965&lt;VLOOKUP(H$5,NFI,5,0),1,0)*Table_NFI[[#This Row],[Hygiene Kit]],Table_NFI[Hygiene Kit])</f>
        <v>0</v>
      </c>
      <c r="Z965" s="294">
        <f>IF(NFI_Expiration=1,IF($A965&lt;VLOOKUP(I$5,NFI,5,0),1,0)*Table_NFI[[#This Row],[NFI Core Kit]],Table_NFI[NFI Core Kit])</f>
        <v>0</v>
      </c>
      <c r="AA965" s="294">
        <f>IF(NFI_Expiration=1,IF($A965&lt;VLOOKUP(J$5,NFI,5,0),1,0)*Table_NFI[[#This Row],[Sanitary Kit]],Table_NFI[Sanitary Kit])</f>
        <v>0</v>
      </c>
      <c r="AB965" s="294">
        <f>IF(NFI_Expiration=1,IF($A965&lt;VLOOKUP(K$5,NFI,5,0),1,0)*Table_NFI[[#This Row],[Mosquito net]],Table_NFI[Mosquito net])</f>
        <v>0</v>
      </c>
      <c r="AC965" s="294">
        <f>IF(NFI_Expiration=1,IF($A965&lt;VLOOKUP(L$5,NFI,5,0),1,0)*Table_NFI[[#This Row],[Tarpaulin]],Table_NFI[[#This Row],[Tarpaulin]])</f>
        <v>0</v>
      </c>
      <c r="AD965" s="294">
        <f>IF(NFI_Expiration=1,IF($A965&lt;VLOOKUP(M$5,NFI,5,0),1,0)*Table_NFI[[#This Row],[Blanket]],Table_NFI[[#This Row],[Blanket]])</f>
        <v>0</v>
      </c>
      <c r="AE965" s="294">
        <f>IF(NFI_Expiration=1,IF($A965&lt;VLOOKUP(N$5,NFI,5,0),1,0)*Table_NFI[[#This Row],[Kitchen Set]],Table_NFI[Kitchen Set])</f>
        <v>0</v>
      </c>
      <c r="AF965" s="294">
        <f>IF(NFI_Expiration=1,IF($A965&lt;VLOOKUP(O$5,NFI,5,0),1,0)*Table_NFI[[#This Row],[Clothes Kit]],Table_NFI[Clothes Kit])</f>
        <v>0</v>
      </c>
      <c r="AG965" s="294">
        <f>IF(NFI_Expiration=1,IF($A965&lt;VLOOKUP(P$5,NFI,5,0),1,0)*Table_NFI[[#This Row],[Plastic Bucket]],Table_NFI[Plastic Bucket])</f>
        <v>0</v>
      </c>
      <c r="AH965" s="294">
        <f>IF(NFI_Expiration=1,IF($A965&lt;VLOOKUP(Q$5,NFI,5,0),1,0)*Table_NFI[[#This Row],[Plastic Mat]],Table_NFI[Plastic Mat])*IF(Table_NFI[[#This Row],[Distribution Date]]&gt;"2014-04-01",1,2.5)</f>
        <v>0</v>
      </c>
      <c r="AI965" s="294">
        <f>IF(NFI_Expiration=1,IF($A965&lt;VLOOKUP(R$5,NFI,5,0),1,0)*Table_NFI[[#This Row],[Winter Clothes Adult]],Table_NFI[Winter Clothes Adult])</f>
        <v>0</v>
      </c>
      <c r="AJ965" s="294">
        <f>IF(NFI_Expiration=1,IF($A965&lt;VLOOKUP(S$5,NFI,5,0),1,0)*Table_NFI[[#This Row],[Winter Clothes Children]],Table_NFI[Winter Clothes Children])</f>
        <v>0</v>
      </c>
      <c r="AK965" s="294">
        <f>IF(NFI_Expiration=1,IF($A965&lt;VLOOKUP(T$5,NFI,5,0),1,0)*Table_NFI[[#This Row],[Winter Items Other]],Table_NFI[Winter Items Other])</f>
        <v>0</v>
      </c>
      <c r="AL965" s="294">
        <f>IF(NFI_Expiration=1,IF($A965&lt;VLOOKUP(M$5,NFI,5,0),1,0)*Table_NFI[[#This Row],[Winter Blanket]],Table_NFI[[#This Row],[Winter Blanket]])</f>
        <v>0</v>
      </c>
      <c r="AM965" s="294">
        <f>IF(Table_NFI[[#This Row],[Winter Clothes Adult]]+Table_NFI[[#This Row],[Winter Clothes Children]]+Table_NFI[[#This Row],[Winter Items Other]]+Table_NFI[[#This Row],[Winter Blanket]]&gt;0,1,0)</f>
        <v>0</v>
      </c>
      <c r="AN965" s="331">
        <f>IF(NFI_Expiration=1,IF($A965&lt;VLOOKUP(V$5,NFI,5,0),1,0)*Table_NFI[[#This Row],[Jerry Can]],Table_NFI[Jerry Can])</f>
        <v>0</v>
      </c>
      <c r="AO965" s="331">
        <f>IF(NFI_Expiration=1,IF($A965&lt;VLOOKUP(V$5,NFI,5,0),1,0)*Table_NFI[[#This Row],[Shelter Tool kit]],Table_NFI[Shelter Tool kit])</f>
        <v>0</v>
      </c>
      <c r="AP965" s="331">
        <f>IF(NFI_Expiration=1,IF($A965&lt;VLOOKUP(V$5,NFI,5,0),1,0)*Table_NFI[[#This Row],[Tent]],Table_NFI[Tent])</f>
        <v>0</v>
      </c>
      <c r="AQ965" s="467" t="str">
        <f>IFERROR(VLOOKUP(Table_NFI[[#This Row],[Camp Name]],CL,2,0),"")</f>
        <v>MMR001CMP038</v>
      </c>
      <c r="AR965" s="835">
        <f ca="1">IF(Table_NFI[[#This Row],[Pcode]]="","",IF(OFFSET(CampList[Opening Date],MATCH(Table_NFI[[#This Row],[Pcode]],CampList[CP_Pcode],0)-1,0,1,1)&gt;=NFI_Monitor_Date,1,0))</f>
        <v>0</v>
      </c>
      <c r="AS965" s="467" t="str">
        <f>IFERROR(VLOOKUP(Table_NFI[[#This Row],[Camp Name]],CL,3,0),"")</f>
        <v>Open</v>
      </c>
      <c r="AT965" s="294" t="str">
        <f ca="1">IF(Table_NFI[[#This Row],[Pcode]]="","",OFFSET(CampList[Priority],MATCH(Table_NFI[[#This Row],[Pcode]],CampList[CP_Pcode],0)-1,0,1,1))</f>
        <v>P4</v>
      </c>
      <c r="AU965" s="293">
        <f>IFERROR(Table_NFI[[#This Row],[Kitchen Set]]/VLOOKUP(Table_NFI[[#This Row],[Camp Name]],CL,4,0),"")</f>
        <v>4.1617704661182925E-4</v>
      </c>
      <c r="AV965" s="461" t="s">
        <v>1092</v>
      </c>
      <c r="AW965" s="463"/>
    </row>
    <row r="966" spans="1:49" ht="14.45" customHeight="1" x14ac:dyDescent="0.25">
      <c r="A966" s="297">
        <f t="shared" ref="A966:A1029" si="15">IF(ISBLANK(B966),"",(Report_Date-B966)/30)</f>
        <v>54.7</v>
      </c>
      <c r="B966" s="460">
        <v>41095</v>
      </c>
      <c r="C966" s="461" t="s">
        <v>452</v>
      </c>
      <c r="D966" s="461" t="s">
        <v>452</v>
      </c>
      <c r="E966" s="461" t="s">
        <v>380</v>
      </c>
      <c r="F966" s="290" t="s">
        <v>5</v>
      </c>
      <c r="G966" s="290" t="s">
        <v>24</v>
      </c>
      <c r="H966" s="291"/>
      <c r="I966" s="291"/>
      <c r="J966" s="291"/>
      <c r="K966" s="291">
        <v>36</v>
      </c>
      <c r="L966" s="292">
        <v>14</v>
      </c>
      <c r="M966" s="292">
        <v>36</v>
      </c>
      <c r="N966" s="292">
        <v>14</v>
      </c>
      <c r="O966" s="292">
        <v>14</v>
      </c>
      <c r="P966" s="294">
        <v>14</v>
      </c>
      <c r="Q966" s="294">
        <v>14</v>
      </c>
      <c r="R966" s="294"/>
      <c r="S966" s="294"/>
      <c r="T966" s="294"/>
      <c r="U966" s="294"/>
      <c r="V966" s="431"/>
      <c r="W966" s="294"/>
      <c r="X966" s="294"/>
      <c r="Y966" s="294">
        <f>IF(NFI_Expiration=1,IF($A966&lt;VLOOKUP(H$5,NFI,5,0),1,0)*Table_NFI[[#This Row],[Hygiene Kit]],Table_NFI[Hygiene Kit])</f>
        <v>0</v>
      </c>
      <c r="Z966" s="294">
        <f>IF(NFI_Expiration=1,IF($A966&lt;VLOOKUP(I$5,NFI,5,0),1,0)*Table_NFI[[#This Row],[NFI Core Kit]],Table_NFI[NFI Core Kit])</f>
        <v>0</v>
      </c>
      <c r="AA966" s="294">
        <f>IF(NFI_Expiration=1,IF($A966&lt;VLOOKUP(J$5,NFI,5,0),1,0)*Table_NFI[[#This Row],[Sanitary Kit]],Table_NFI[Sanitary Kit])</f>
        <v>0</v>
      </c>
      <c r="AB966" s="294">
        <f>IF(NFI_Expiration=1,IF($A966&lt;VLOOKUP(K$5,NFI,5,0),1,0)*Table_NFI[[#This Row],[Mosquito net]],Table_NFI[Mosquito net])</f>
        <v>0</v>
      </c>
      <c r="AC966" s="294">
        <f>IF(NFI_Expiration=1,IF($A966&lt;VLOOKUP(L$5,NFI,5,0),1,0)*Table_NFI[[#This Row],[Tarpaulin]],Table_NFI[[#This Row],[Tarpaulin]])</f>
        <v>0</v>
      </c>
      <c r="AD966" s="294">
        <f>IF(NFI_Expiration=1,IF($A966&lt;VLOOKUP(M$5,NFI,5,0),1,0)*Table_NFI[[#This Row],[Blanket]],Table_NFI[[#This Row],[Blanket]])</f>
        <v>0</v>
      </c>
      <c r="AE966" s="294">
        <f>IF(NFI_Expiration=1,IF($A966&lt;VLOOKUP(N$5,NFI,5,0),1,0)*Table_NFI[[#This Row],[Kitchen Set]],Table_NFI[Kitchen Set])</f>
        <v>0</v>
      </c>
      <c r="AF966" s="294">
        <f>IF(NFI_Expiration=1,IF($A966&lt;VLOOKUP(O$5,NFI,5,0),1,0)*Table_NFI[[#This Row],[Clothes Kit]],Table_NFI[Clothes Kit])</f>
        <v>0</v>
      </c>
      <c r="AG966" s="294">
        <f>IF(NFI_Expiration=1,IF($A966&lt;VLOOKUP(P$5,NFI,5,0),1,0)*Table_NFI[[#This Row],[Plastic Bucket]],Table_NFI[Plastic Bucket])</f>
        <v>0</v>
      </c>
      <c r="AH966" s="294">
        <f>IF(NFI_Expiration=1,IF($A966&lt;VLOOKUP(Q$5,NFI,5,0),1,0)*Table_NFI[[#This Row],[Plastic Mat]],Table_NFI[Plastic Mat])*IF(Table_NFI[[#This Row],[Distribution Date]]&gt;"2014-04-01",1,2.5)</f>
        <v>0</v>
      </c>
      <c r="AI966" s="294">
        <f>IF(NFI_Expiration=1,IF($A966&lt;VLOOKUP(R$5,NFI,5,0),1,0)*Table_NFI[[#This Row],[Winter Clothes Adult]],Table_NFI[Winter Clothes Adult])</f>
        <v>0</v>
      </c>
      <c r="AJ966" s="294">
        <f>IF(NFI_Expiration=1,IF($A966&lt;VLOOKUP(S$5,NFI,5,0),1,0)*Table_NFI[[#This Row],[Winter Clothes Children]],Table_NFI[Winter Clothes Children])</f>
        <v>0</v>
      </c>
      <c r="AK966" s="294">
        <f>IF(NFI_Expiration=1,IF($A966&lt;VLOOKUP(T$5,NFI,5,0),1,0)*Table_NFI[[#This Row],[Winter Items Other]],Table_NFI[Winter Items Other])</f>
        <v>0</v>
      </c>
      <c r="AL966" s="294">
        <f>IF(NFI_Expiration=1,IF($A966&lt;VLOOKUP(M$5,NFI,5,0),1,0)*Table_NFI[[#This Row],[Winter Blanket]],Table_NFI[[#This Row],[Winter Blanket]])</f>
        <v>0</v>
      </c>
      <c r="AM966" s="294">
        <f>IF(Table_NFI[[#This Row],[Winter Clothes Adult]]+Table_NFI[[#This Row],[Winter Clothes Children]]+Table_NFI[[#This Row],[Winter Items Other]]+Table_NFI[[#This Row],[Winter Blanket]]&gt;0,1,0)</f>
        <v>0</v>
      </c>
      <c r="AN966" s="331">
        <f>IF(NFI_Expiration=1,IF($A966&lt;VLOOKUP(V$5,NFI,5,0),1,0)*Table_NFI[[#This Row],[Jerry Can]],Table_NFI[Jerry Can])</f>
        <v>0</v>
      </c>
      <c r="AO966" s="331">
        <f>IF(NFI_Expiration=1,IF($A966&lt;VLOOKUP(V$5,NFI,5,0),1,0)*Table_NFI[[#This Row],[Shelter Tool kit]],Table_NFI[Shelter Tool kit])</f>
        <v>0</v>
      </c>
      <c r="AP966" s="331">
        <f>IF(NFI_Expiration=1,IF($A966&lt;VLOOKUP(V$5,NFI,5,0),1,0)*Table_NFI[[#This Row],[Tent]],Table_NFI[Tent])</f>
        <v>0</v>
      </c>
      <c r="AQ966" s="467" t="str">
        <f>IFERROR(VLOOKUP(Table_NFI[[#This Row],[Camp Name]],CL,2,0),"")</f>
        <v>MMR001CMP055</v>
      </c>
      <c r="AR966" s="835">
        <f ca="1">IF(Table_NFI[[#This Row],[Pcode]]="","",IF(OFFSET(CampList[Opening Date],MATCH(Table_NFI[[#This Row],[Pcode]],CampList[CP_Pcode],0)-1,0,1,1)&gt;=NFI_Monitor_Date,1,0))</f>
        <v>0</v>
      </c>
      <c r="AS966" s="467" t="str">
        <f>IFERROR(VLOOKUP(Table_NFI[[#This Row],[Camp Name]],CL,3,0),"")</f>
        <v>Open</v>
      </c>
      <c r="AT966" s="294" t="str">
        <f ca="1">IF(Table_NFI[[#This Row],[Pcode]]="","",OFFSET(CampList[Priority],MATCH(Table_NFI[[#This Row],[Pcode]],CampList[CP_Pcode],0)-1,0,1,1))</f>
        <v>P4</v>
      </c>
      <c r="AU966" s="293">
        <f>IFERROR(Table_NFI[[#This Row],[Kitchen Set]]/VLOOKUP(Table_NFI[[#This Row],[Camp Name]],CL,4,0),"")</f>
        <v>3.4121374603948332E-4</v>
      </c>
      <c r="AV966" s="461" t="s">
        <v>1092</v>
      </c>
      <c r="AW966" s="463"/>
    </row>
    <row r="967" spans="1:49" ht="14.45" customHeight="1" x14ac:dyDescent="0.25">
      <c r="A967" s="297">
        <f t="shared" si="15"/>
        <v>55.033333333333331</v>
      </c>
      <c r="B967" s="460">
        <v>41085</v>
      </c>
      <c r="C967" s="461" t="s">
        <v>452</v>
      </c>
      <c r="D967" s="462" t="s">
        <v>452</v>
      </c>
      <c r="E967" s="461" t="s">
        <v>380</v>
      </c>
      <c r="F967" s="290" t="s">
        <v>185</v>
      </c>
      <c r="G967" s="290" t="s">
        <v>209</v>
      </c>
      <c r="H967" s="291"/>
      <c r="I967" s="296"/>
      <c r="J967" s="289"/>
      <c r="K967" s="289">
        <v>290</v>
      </c>
      <c r="L967" s="289">
        <v>145</v>
      </c>
      <c r="M967" s="289">
        <v>290</v>
      </c>
      <c r="N967" s="289">
        <v>145</v>
      </c>
      <c r="O967" s="289">
        <v>145</v>
      </c>
      <c r="P967" s="294">
        <v>145</v>
      </c>
      <c r="Q967" s="294">
        <v>145</v>
      </c>
      <c r="R967" s="294"/>
      <c r="S967" s="294"/>
      <c r="T967" s="294"/>
      <c r="U967" s="294"/>
      <c r="V967" s="431"/>
      <c r="W967" s="294"/>
      <c r="X967" s="294"/>
      <c r="Y967" s="294">
        <f>IF(NFI_Expiration=1,IF($A967&lt;VLOOKUP(H$5,NFI,5,0),1,0)*Table_NFI[[#This Row],[Hygiene Kit]],Table_NFI[Hygiene Kit])</f>
        <v>0</v>
      </c>
      <c r="Z967" s="294">
        <f>IF(NFI_Expiration=1,IF($A967&lt;VLOOKUP(I$5,NFI,5,0),1,0)*Table_NFI[[#This Row],[NFI Core Kit]],Table_NFI[NFI Core Kit])</f>
        <v>0</v>
      </c>
      <c r="AA967" s="294">
        <f>IF(NFI_Expiration=1,IF($A967&lt;VLOOKUP(J$5,NFI,5,0),1,0)*Table_NFI[[#This Row],[Sanitary Kit]],Table_NFI[Sanitary Kit])</f>
        <v>0</v>
      </c>
      <c r="AB967" s="294">
        <f>IF(NFI_Expiration=1,IF($A967&lt;VLOOKUP(K$5,NFI,5,0),1,0)*Table_NFI[[#This Row],[Mosquito net]],Table_NFI[Mosquito net])</f>
        <v>0</v>
      </c>
      <c r="AC967" s="294">
        <f>IF(NFI_Expiration=1,IF($A967&lt;VLOOKUP(L$5,NFI,5,0),1,0)*Table_NFI[[#This Row],[Tarpaulin]],Table_NFI[[#This Row],[Tarpaulin]])</f>
        <v>0</v>
      </c>
      <c r="AD967" s="294">
        <f>IF(NFI_Expiration=1,IF($A967&lt;VLOOKUP(M$5,NFI,5,0),1,0)*Table_NFI[[#This Row],[Blanket]],Table_NFI[[#This Row],[Blanket]])</f>
        <v>0</v>
      </c>
      <c r="AE967" s="294">
        <f>IF(NFI_Expiration=1,IF($A967&lt;VLOOKUP(N$5,NFI,5,0),1,0)*Table_NFI[[#This Row],[Kitchen Set]],Table_NFI[Kitchen Set])</f>
        <v>0</v>
      </c>
      <c r="AF967" s="294">
        <f>IF(NFI_Expiration=1,IF($A967&lt;VLOOKUP(O$5,NFI,5,0),1,0)*Table_NFI[[#This Row],[Clothes Kit]],Table_NFI[Clothes Kit])</f>
        <v>0</v>
      </c>
      <c r="AG967" s="294">
        <f>IF(NFI_Expiration=1,IF($A967&lt;VLOOKUP(P$5,NFI,5,0),1,0)*Table_NFI[[#This Row],[Plastic Bucket]],Table_NFI[Plastic Bucket])</f>
        <v>0</v>
      </c>
      <c r="AH967" s="294">
        <f>IF(NFI_Expiration=1,IF($A967&lt;VLOOKUP(Q$5,NFI,5,0),1,0)*Table_NFI[[#This Row],[Plastic Mat]],Table_NFI[Plastic Mat])*IF(Table_NFI[[#This Row],[Distribution Date]]&gt;"2014-04-01",1,2.5)</f>
        <v>0</v>
      </c>
      <c r="AI967" s="294">
        <f>IF(NFI_Expiration=1,IF($A967&lt;VLOOKUP(R$5,NFI,5,0),1,0)*Table_NFI[[#This Row],[Winter Clothes Adult]],Table_NFI[Winter Clothes Adult])</f>
        <v>0</v>
      </c>
      <c r="AJ967" s="294">
        <f>IF(NFI_Expiration=1,IF($A967&lt;VLOOKUP(S$5,NFI,5,0),1,0)*Table_NFI[[#This Row],[Winter Clothes Children]],Table_NFI[Winter Clothes Children])</f>
        <v>0</v>
      </c>
      <c r="AK967" s="294">
        <f>IF(NFI_Expiration=1,IF($A967&lt;VLOOKUP(T$5,NFI,5,0),1,0)*Table_NFI[[#This Row],[Winter Items Other]],Table_NFI[Winter Items Other])</f>
        <v>0</v>
      </c>
      <c r="AL967" s="294">
        <f>IF(NFI_Expiration=1,IF($A967&lt;VLOOKUP(M$5,NFI,5,0),1,0)*Table_NFI[[#This Row],[Winter Blanket]],Table_NFI[[#This Row],[Winter Blanket]])</f>
        <v>0</v>
      </c>
      <c r="AM967" s="294">
        <f>IF(Table_NFI[[#This Row],[Winter Clothes Adult]]+Table_NFI[[#This Row],[Winter Clothes Children]]+Table_NFI[[#This Row],[Winter Items Other]]+Table_NFI[[#This Row],[Winter Blanket]]&gt;0,1,0)</f>
        <v>0</v>
      </c>
      <c r="AN967" s="331">
        <f>IF(NFI_Expiration=1,IF($A967&lt;VLOOKUP(V$5,NFI,5,0),1,0)*Table_NFI[[#This Row],[Jerry Can]],Table_NFI[Jerry Can])</f>
        <v>0</v>
      </c>
      <c r="AO967" s="331">
        <f>IF(NFI_Expiration=1,IF($A967&lt;VLOOKUP(V$5,NFI,5,0),1,0)*Table_NFI[[#This Row],[Shelter Tool kit]],Table_NFI[Shelter Tool kit])</f>
        <v>0</v>
      </c>
      <c r="AP967" s="331">
        <f>IF(NFI_Expiration=1,IF($A967&lt;VLOOKUP(V$5,NFI,5,0),1,0)*Table_NFI[[#This Row],[Tent]],Table_NFI[Tent])</f>
        <v>0</v>
      </c>
      <c r="AQ967" s="467" t="str">
        <f>IFERROR(VLOOKUP(Table_NFI[[#This Row],[Camp Name]],CL,2,0),"")</f>
        <v>MMR001CMP056</v>
      </c>
      <c r="AR967" s="835">
        <f ca="1">IF(Table_NFI[[#This Row],[Pcode]]="","",IF(OFFSET(CampList[Opening Date],MATCH(Table_NFI[[#This Row],[Pcode]],CampList[CP_Pcode],0)-1,0,1,1)&gt;=NFI_Monitor_Date,1,0))</f>
        <v>0</v>
      </c>
      <c r="AS967" s="467" t="str">
        <f>IFERROR(VLOOKUP(Table_NFI[[#This Row],[Camp Name]],CL,3,0),"")</f>
        <v>Open</v>
      </c>
      <c r="AT967" s="294" t="str">
        <f ca="1">IF(Table_NFI[[#This Row],[Pcode]]="","",OFFSET(CampList[Priority],MATCH(Table_NFI[[#This Row],[Pcode]],CampList[CP_Pcode],0)-1,0,1,1))</f>
        <v>P4</v>
      </c>
      <c r="AU967" s="293">
        <f>IFERROR(Table_NFI[[#This Row],[Kitchen Set]]/VLOOKUP(Table_NFI[[#This Row],[Camp Name]],CL,4,0),"")</f>
        <v>3.5630912888561248E-3</v>
      </c>
      <c r="AV967" s="461" t="s">
        <v>1092</v>
      </c>
      <c r="AW967" s="463"/>
    </row>
    <row r="968" spans="1:49" ht="14.45" customHeight="1" x14ac:dyDescent="0.25">
      <c r="A968" s="297">
        <f t="shared" si="15"/>
        <v>55.1</v>
      </c>
      <c r="B968" s="460">
        <v>41083</v>
      </c>
      <c r="C968" s="461" t="s">
        <v>452</v>
      </c>
      <c r="D968" s="462" t="s">
        <v>452</v>
      </c>
      <c r="E968" s="461" t="s">
        <v>380</v>
      </c>
      <c r="F968" s="290" t="s">
        <v>185</v>
      </c>
      <c r="G968" s="290" t="s">
        <v>192</v>
      </c>
      <c r="H968" s="291"/>
      <c r="I968" s="296"/>
      <c r="J968" s="289"/>
      <c r="K968" s="289">
        <v>24</v>
      </c>
      <c r="L968" s="289">
        <v>13</v>
      </c>
      <c r="M968" s="289">
        <v>24</v>
      </c>
      <c r="N968" s="289">
        <v>13</v>
      </c>
      <c r="O968" s="289">
        <v>13</v>
      </c>
      <c r="P968" s="294">
        <v>13</v>
      </c>
      <c r="Q968" s="294">
        <v>13</v>
      </c>
      <c r="R968" s="294"/>
      <c r="S968" s="294"/>
      <c r="T968" s="294"/>
      <c r="U968" s="294"/>
      <c r="V968" s="431"/>
      <c r="W968" s="294"/>
      <c r="X968" s="294"/>
      <c r="Y968" s="294">
        <f>IF(NFI_Expiration=1,IF($A968&lt;VLOOKUP(H$5,NFI,5,0),1,0)*Table_NFI[[#This Row],[Hygiene Kit]],Table_NFI[Hygiene Kit])</f>
        <v>0</v>
      </c>
      <c r="Z968" s="294">
        <f>IF(NFI_Expiration=1,IF($A968&lt;VLOOKUP(I$5,NFI,5,0),1,0)*Table_NFI[[#This Row],[NFI Core Kit]],Table_NFI[NFI Core Kit])</f>
        <v>0</v>
      </c>
      <c r="AA968" s="294">
        <f>IF(NFI_Expiration=1,IF($A968&lt;VLOOKUP(J$5,NFI,5,0),1,0)*Table_NFI[[#This Row],[Sanitary Kit]],Table_NFI[Sanitary Kit])</f>
        <v>0</v>
      </c>
      <c r="AB968" s="294">
        <f>IF(NFI_Expiration=1,IF($A968&lt;VLOOKUP(K$5,NFI,5,0),1,0)*Table_NFI[[#This Row],[Mosquito net]],Table_NFI[Mosquito net])</f>
        <v>0</v>
      </c>
      <c r="AC968" s="294">
        <f>IF(NFI_Expiration=1,IF($A968&lt;VLOOKUP(L$5,NFI,5,0),1,0)*Table_NFI[[#This Row],[Tarpaulin]],Table_NFI[[#This Row],[Tarpaulin]])</f>
        <v>0</v>
      </c>
      <c r="AD968" s="294">
        <f>IF(NFI_Expiration=1,IF($A968&lt;VLOOKUP(M$5,NFI,5,0),1,0)*Table_NFI[[#This Row],[Blanket]],Table_NFI[[#This Row],[Blanket]])</f>
        <v>0</v>
      </c>
      <c r="AE968" s="294">
        <f>IF(NFI_Expiration=1,IF($A968&lt;VLOOKUP(N$5,NFI,5,0),1,0)*Table_NFI[[#This Row],[Kitchen Set]],Table_NFI[Kitchen Set])</f>
        <v>0</v>
      </c>
      <c r="AF968" s="294">
        <f>IF(NFI_Expiration=1,IF($A968&lt;VLOOKUP(O$5,NFI,5,0),1,0)*Table_NFI[[#This Row],[Clothes Kit]],Table_NFI[Clothes Kit])</f>
        <v>0</v>
      </c>
      <c r="AG968" s="294">
        <f>IF(NFI_Expiration=1,IF($A968&lt;VLOOKUP(P$5,NFI,5,0),1,0)*Table_NFI[[#This Row],[Plastic Bucket]],Table_NFI[Plastic Bucket])</f>
        <v>0</v>
      </c>
      <c r="AH968" s="294">
        <f>IF(NFI_Expiration=1,IF($A968&lt;VLOOKUP(Q$5,NFI,5,0),1,0)*Table_NFI[[#This Row],[Plastic Mat]],Table_NFI[Plastic Mat])*IF(Table_NFI[[#This Row],[Distribution Date]]&gt;"2014-04-01",1,2.5)</f>
        <v>0</v>
      </c>
      <c r="AI968" s="294">
        <f>IF(NFI_Expiration=1,IF($A968&lt;VLOOKUP(R$5,NFI,5,0),1,0)*Table_NFI[[#This Row],[Winter Clothes Adult]],Table_NFI[Winter Clothes Adult])</f>
        <v>0</v>
      </c>
      <c r="AJ968" s="294">
        <f>IF(NFI_Expiration=1,IF($A968&lt;VLOOKUP(S$5,NFI,5,0),1,0)*Table_NFI[[#This Row],[Winter Clothes Children]],Table_NFI[Winter Clothes Children])</f>
        <v>0</v>
      </c>
      <c r="AK968" s="294">
        <f>IF(NFI_Expiration=1,IF($A968&lt;VLOOKUP(T$5,NFI,5,0),1,0)*Table_NFI[[#This Row],[Winter Items Other]],Table_NFI[Winter Items Other])</f>
        <v>0</v>
      </c>
      <c r="AL968" s="294">
        <f>IF(NFI_Expiration=1,IF($A968&lt;VLOOKUP(M$5,NFI,5,0),1,0)*Table_NFI[[#This Row],[Winter Blanket]],Table_NFI[[#This Row],[Winter Blanket]])</f>
        <v>0</v>
      </c>
      <c r="AM968" s="294">
        <f>IF(Table_NFI[[#This Row],[Winter Clothes Adult]]+Table_NFI[[#This Row],[Winter Clothes Children]]+Table_NFI[[#This Row],[Winter Items Other]]+Table_NFI[[#This Row],[Winter Blanket]]&gt;0,1,0)</f>
        <v>0</v>
      </c>
      <c r="AN968" s="331">
        <f>IF(NFI_Expiration=1,IF($A968&lt;VLOOKUP(V$5,NFI,5,0),1,0)*Table_NFI[[#This Row],[Jerry Can]],Table_NFI[Jerry Can])</f>
        <v>0</v>
      </c>
      <c r="AO968" s="331">
        <f>IF(NFI_Expiration=1,IF($A968&lt;VLOOKUP(V$5,NFI,5,0),1,0)*Table_NFI[[#This Row],[Shelter Tool kit]],Table_NFI[Shelter Tool kit])</f>
        <v>0</v>
      </c>
      <c r="AP968" s="331">
        <f>IF(NFI_Expiration=1,IF($A968&lt;VLOOKUP(V$5,NFI,5,0),1,0)*Table_NFI[[#This Row],[Tent]],Table_NFI[Tent])</f>
        <v>0</v>
      </c>
      <c r="AQ968" s="467" t="str">
        <f>IFERROR(VLOOKUP(Table_NFI[[#This Row],[Camp Name]],CL,2,0),"")</f>
        <v>MMR001CMP123</v>
      </c>
      <c r="AR968" s="835">
        <f ca="1">IF(Table_NFI[[#This Row],[Pcode]]="","",IF(OFFSET(CampList[Opening Date],MATCH(Table_NFI[[#This Row],[Pcode]],CampList[CP_Pcode],0)-1,0,1,1)&gt;=NFI_Monitor_Date,1,0))</f>
        <v>0</v>
      </c>
      <c r="AS968" s="467" t="str">
        <f>IFERROR(VLOOKUP(Table_NFI[[#This Row],[Camp Name]],CL,3,0),"")</f>
        <v>Open</v>
      </c>
      <c r="AT968" s="294" t="str">
        <f ca="1">IF(Table_NFI[[#This Row],[Pcode]]="","",OFFSET(CampList[Priority],MATCH(Table_NFI[[#This Row],[Pcode]],CampList[CP_Pcode],0)-1,0,1,1))</f>
        <v>P2</v>
      </c>
      <c r="AU968" s="293">
        <f>IFERROR(Table_NFI[[#This Row],[Kitchen Set]]/VLOOKUP(Table_NFI[[#This Row],[Camp Name]],CL,4,0),"")</f>
        <v>3.1897143978800666E-4</v>
      </c>
      <c r="AV968" s="461" t="s">
        <v>1092</v>
      </c>
      <c r="AW968" s="463"/>
    </row>
    <row r="969" spans="1:49" ht="14.45" customHeight="1" x14ac:dyDescent="0.25">
      <c r="A969" s="297">
        <f t="shared" si="15"/>
        <v>55.133333333333333</v>
      </c>
      <c r="B969" s="460">
        <v>41082</v>
      </c>
      <c r="C969" s="461" t="s">
        <v>452</v>
      </c>
      <c r="D969" s="461" t="s">
        <v>452</v>
      </c>
      <c r="E969" s="461" t="s">
        <v>380</v>
      </c>
      <c r="F969" s="290" t="s">
        <v>185</v>
      </c>
      <c r="G969" s="290" t="s">
        <v>215</v>
      </c>
      <c r="H969" s="291"/>
      <c r="I969" s="291"/>
      <c r="J969" s="291"/>
      <c r="K969" s="291">
        <v>140</v>
      </c>
      <c r="L969" s="292">
        <v>70</v>
      </c>
      <c r="M969" s="292">
        <v>140</v>
      </c>
      <c r="N969" s="292">
        <v>70</v>
      </c>
      <c r="O969" s="292">
        <v>70</v>
      </c>
      <c r="P969" s="294">
        <v>70</v>
      </c>
      <c r="Q969" s="294">
        <v>70</v>
      </c>
      <c r="R969" s="294"/>
      <c r="S969" s="294"/>
      <c r="T969" s="294"/>
      <c r="U969" s="294"/>
      <c r="V969" s="431"/>
      <c r="W969" s="294"/>
      <c r="X969" s="294"/>
      <c r="Y969" s="294">
        <f>IF(NFI_Expiration=1,IF($A969&lt;VLOOKUP(H$5,NFI,5,0),1,0)*Table_NFI[[#This Row],[Hygiene Kit]],Table_NFI[Hygiene Kit])</f>
        <v>0</v>
      </c>
      <c r="Z969" s="294">
        <f>IF(NFI_Expiration=1,IF($A969&lt;VLOOKUP(I$5,NFI,5,0),1,0)*Table_NFI[[#This Row],[NFI Core Kit]],Table_NFI[NFI Core Kit])</f>
        <v>0</v>
      </c>
      <c r="AA969" s="294">
        <f>IF(NFI_Expiration=1,IF($A969&lt;VLOOKUP(J$5,NFI,5,0),1,0)*Table_NFI[[#This Row],[Sanitary Kit]],Table_NFI[Sanitary Kit])</f>
        <v>0</v>
      </c>
      <c r="AB969" s="294">
        <f>IF(NFI_Expiration=1,IF($A969&lt;VLOOKUP(K$5,NFI,5,0),1,0)*Table_NFI[[#This Row],[Mosquito net]],Table_NFI[Mosquito net])</f>
        <v>0</v>
      </c>
      <c r="AC969" s="294">
        <f>IF(NFI_Expiration=1,IF($A969&lt;VLOOKUP(L$5,NFI,5,0),1,0)*Table_NFI[[#This Row],[Tarpaulin]],Table_NFI[[#This Row],[Tarpaulin]])</f>
        <v>0</v>
      </c>
      <c r="AD969" s="294">
        <f>IF(NFI_Expiration=1,IF($A969&lt;VLOOKUP(M$5,NFI,5,0),1,0)*Table_NFI[[#This Row],[Blanket]],Table_NFI[[#This Row],[Blanket]])</f>
        <v>0</v>
      </c>
      <c r="AE969" s="294">
        <f>IF(NFI_Expiration=1,IF($A969&lt;VLOOKUP(N$5,NFI,5,0),1,0)*Table_NFI[[#This Row],[Kitchen Set]],Table_NFI[Kitchen Set])</f>
        <v>0</v>
      </c>
      <c r="AF969" s="294">
        <f>IF(NFI_Expiration=1,IF($A969&lt;VLOOKUP(O$5,NFI,5,0),1,0)*Table_NFI[[#This Row],[Clothes Kit]],Table_NFI[Clothes Kit])</f>
        <v>0</v>
      </c>
      <c r="AG969" s="294">
        <f>IF(NFI_Expiration=1,IF($A969&lt;VLOOKUP(P$5,NFI,5,0),1,0)*Table_NFI[[#This Row],[Plastic Bucket]],Table_NFI[Plastic Bucket])</f>
        <v>0</v>
      </c>
      <c r="AH969" s="294">
        <f>IF(NFI_Expiration=1,IF($A969&lt;VLOOKUP(Q$5,NFI,5,0),1,0)*Table_NFI[[#This Row],[Plastic Mat]],Table_NFI[Plastic Mat])*IF(Table_NFI[[#This Row],[Distribution Date]]&gt;"2014-04-01",1,2.5)</f>
        <v>0</v>
      </c>
      <c r="AI969" s="294">
        <f>IF(NFI_Expiration=1,IF($A969&lt;VLOOKUP(R$5,NFI,5,0),1,0)*Table_NFI[[#This Row],[Winter Clothes Adult]],Table_NFI[Winter Clothes Adult])</f>
        <v>0</v>
      </c>
      <c r="AJ969" s="294">
        <f>IF(NFI_Expiration=1,IF($A969&lt;VLOOKUP(S$5,NFI,5,0),1,0)*Table_NFI[[#This Row],[Winter Clothes Children]],Table_NFI[Winter Clothes Children])</f>
        <v>0</v>
      </c>
      <c r="AK969" s="294">
        <f>IF(NFI_Expiration=1,IF($A969&lt;VLOOKUP(T$5,NFI,5,0),1,0)*Table_NFI[[#This Row],[Winter Items Other]],Table_NFI[Winter Items Other])</f>
        <v>0</v>
      </c>
      <c r="AL969" s="294">
        <f>IF(NFI_Expiration=1,IF($A969&lt;VLOOKUP(M$5,NFI,5,0),1,0)*Table_NFI[[#This Row],[Winter Blanket]],Table_NFI[[#This Row],[Winter Blanket]])</f>
        <v>0</v>
      </c>
      <c r="AM969" s="294">
        <f>IF(Table_NFI[[#This Row],[Winter Clothes Adult]]+Table_NFI[[#This Row],[Winter Clothes Children]]+Table_NFI[[#This Row],[Winter Items Other]]+Table_NFI[[#This Row],[Winter Blanket]]&gt;0,1,0)</f>
        <v>0</v>
      </c>
      <c r="AN969" s="331">
        <f>IF(NFI_Expiration=1,IF($A969&lt;VLOOKUP(V$5,NFI,5,0),1,0)*Table_NFI[[#This Row],[Jerry Can]],Table_NFI[Jerry Can])</f>
        <v>0</v>
      </c>
      <c r="AO969" s="331">
        <f>IF(NFI_Expiration=1,IF($A969&lt;VLOOKUP(V$5,NFI,5,0),1,0)*Table_NFI[[#This Row],[Shelter Tool kit]],Table_NFI[Shelter Tool kit])</f>
        <v>0</v>
      </c>
      <c r="AP969" s="331">
        <f>IF(NFI_Expiration=1,IF($A969&lt;VLOOKUP(V$5,NFI,5,0),1,0)*Table_NFI[[#This Row],[Tent]],Table_NFI[Tent])</f>
        <v>0</v>
      </c>
      <c r="AQ969" s="467" t="str">
        <f>IFERROR(VLOOKUP(Table_NFI[[#This Row],[Camp Name]],CL,2,0),"")</f>
        <v>MMR001CMP131</v>
      </c>
      <c r="AR969" s="835">
        <f ca="1">IF(Table_NFI[[#This Row],[Pcode]]="","",IF(OFFSET(CampList[Opening Date],MATCH(Table_NFI[[#This Row],[Pcode]],CampList[CP_Pcode],0)-1,0,1,1)&gt;=NFI_Monitor_Date,1,0))</f>
        <v>0</v>
      </c>
      <c r="AS969" s="467" t="str">
        <f>IFERROR(VLOOKUP(Table_NFI[[#This Row],[Camp Name]],CL,3,0),"")</f>
        <v>Open</v>
      </c>
      <c r="AT969" s="294" t="str">
        <f ca="1">IF(Table_NFI[[#This Row],[Pcode]]="","",OFFSET(CampList[Priority],MATCH(Table_NFI[[#This Row],[Pcode]],CampList[CP_Pcode],0)-1,0,1,1))</f>
        <v>P1</v>
      </c>
      <c r="AU969" s="293">
        <f>IFERROR(Table_NFI[[#This Row],[Kitchen Set]]/VLOOKUP(Table_NFI[[#This Row],[Camp Name]],CL,4,0),"")</f>
        <v>1.7073170731707317E-3</v>
      </c>
      <c r="AV969" s="461" t="s">
        <v>1092</v>
      </c>
      <c r="AW969" s="463"/>
    </row>
    <row r="970" spans="1:49" ht="14.45" customHeight="1" x14ac:dyDescent="0.25">
      <c r="A970" s="297">
        <f t="shared" si="15"/>
        <v>55.2</v>
      </c>
      <c r="B970" s="460">
        <v>41080</v>
      </c>
      <c r="C970" s="461" t="s">
        <v>452</v>
      </c>
      <c r="D970" s="462" t="s">
        <v>452</v>
      </c>
      <c r="E970" s="461" t="s">
        <v>380</v>
      </c>
      <c r="F970" s="290" t="s">
        <v>310</v>
      </c>
      <c r="G970" s="290" t="s">
        <v>311</v>
      </c>
      <c r="H970" s="291"/>
      <c r="I970" s="291"/>
      <c r="J970" s="291"/>
      <c r="K970" s="291">
        <v>141</v>
      </c>
      <c r="L970" s="292">
        <v>81</v>
      </c>
      <c r="M970" s="292">
        <v>148</v>
      </c>
      <c r="N970" s="292">
        <v>84</v>
      </c>
      <c r="O970" s="292">
        <v>78</v>
      </c>
      <c r="P970" s="294">
        <v>78</v>
      </c>
      <c r="Q970" s="294">
        <v>78</v>
      </c>
      <c r="R970" s="294"/>
      <c r="S970" s="294"/>
      <c r="T970" s="294"/>
      <c r="U970" s="294"/>
      <c r="V970" s="431"/>
      <c r="W970" s="294"/>
      <c r="X970" s="294"/>
      <c r="Y970" s="294">
        <f>IF(NFI_Expiration=1,IF($A970&lt;VLOOKUP(H$5,NFI,5,0),1,0)*Table_NFI[[#This Row],[Hygiene Kit]],Table_NFI[Hygiene Kit])</f>
        <v>0</v>
      </c>
      <c r="Z970" s="294">
        <f>IF(NFI_Expiration=1,IF($A970&lt;VLOOKUP(I$5,NFI,5,0),1,0)*Table_NFI[[#This Row],[NFI Core Kit]],Table_NFI[NFI Core Kit])</f>
        <v>0</v>
      </c>
      <c r="AA970" s="294">
        <f>IF(NFI_Expiration=1,IF($A970&lt;VLOOKUP(J$5,NFI,5,0),1,0)*Table_NFI[[#This Row],[Sanitary Kit]],Table_NFI[Sanitary Kit])</f>
        <v>0</v>
      </c>
      <c r="AB970" s="294">
        <f>IF(NFI_Expiration=1,IF($A970&lt;VLOOKUP(K$5,NFI,5,0),1,0)*Table_NFI[[#This Row],[Mosquito net]],Table_NFI[Mosquito net])</f>
        <v>0</v>
      </c>
      <c r="AC970" s="294">
        <f>IF(NFI_Expiration=1,IF($A970&lt;VLOOKUP(L$5,NFI,5,0),1,0)*Table_NFI[[#This Row],[Tarpaulin]],Table_NFI[[#This Row],[Tarpaulin]])</f>
        <v>0</v>
      </c>
      <c r="AD970" s="294">
        <f>IF(NFI_Expiration=1,IF($A970&lt;VLOOKUP(M$5,NFI,5,0),1,0)*Table_NFI[[#This Row],[Blanket]],Table_NFI[[#This Row],[Blanket]])</f>
        <v>0</v>
      </c>
      <c r="AE970" s="294">
        <f>IF(NFI_Expiration=1,IF($A970&lt;VLOOKUP(N$5,NFI,5,0),1,0)*Table_NFI[[#This Row],[Kitchen Set]],Table_NFI[Kitchen Set])</f>
        <v>0</v>
      </c>
      <c r="AF970" s="294">
        <f>IF(NFI_Expiration=1,IF($A970&lt;VLOOKUP(O$5,NFI,5,0),1,0)*Table_NFI[[#This Row],[Clothes Kit]],Table_NFI[Clothes Kit])</f>
        <v>0</v>
      </c>
      <c r="AG970" s="294">
        <f>IF(NFI_Expiration=1,IF($A970&lt;VLOOKUP(P$5,NFI,5,0),1,0)*Table_NFI[[#This Row],[Plastic Bucket]],Table_NFI[Plastic Bucket])</f>
        <v>0</v>
      </c>
      <c r="AH970" s="294">
        <f>IF(NFI_Expiration=1,IF($A970&lt;VLOOKUP(Q$5,NFI,5,0),1,0)*Table_NFI[[#This Row],[Plastic Mat]],Table_NFI[Plastic Mat])*IF(Table_NFI[[#This Row],[Distribution Date]]&gt;"2014-04-01",1,2.5)</f>
        <v>0</v>
      </c>
      <c r="AI970" s="294">
        <f>IF(NFI_Expiration=1,IF($A970&lt;VLOOKUP(R$5,NFI,5,0),1,0)*Table_NFI[[#This Row],[Winter Clothes Adult]],Table_NFI[Winter Clothes Adult])</f>
        <v>0</v>
      </c>
      <c r="AJ970" s="294">
        <f>IF(NFI_Expiration=1,IF($A970&lt;VLOOKUP(S$5,NFI,5,0),1,0)*Table_NFI[[#This Row],[Winter Clothes Children]],Table_NFI[Winter Clothes Children])</f>
        <v>0</v>
      </c>
      <c r="AK970" s="294">
        <f>IF(NFI_Expiration=1,IF($A970&lt;VLOOKUP(T$5,NFI,5,0),1,0)*Table_NFI[[#This Row],[Winter Items Other]],Table_NFI[Winter Items Other])</f>
        <v>0</v>
      </c>
      <c r="AL970" s="294">
        <f>IF(NFI_Expiration=1,IF($A970&lt;VLOOKUP(M$5,NFI,5,0),1,0)*Table_NFI[[#This Row],[Winter Blanket]],Table_NFI[[#This Row],[Winter Blanket]])</f>
        <v>0</v>
      </c>
      <c r="AM970" s="294">
        <f>IF(Table_NFI[[#This Row],[Winter Clothes Adult]]+Table_NFI[[#This Row],[Winter Clothes Children]]+Table_NFI[[#This Row],[Winter Items Other]]+Table_NFI[[#This Row],[Winter Blanket]]&gt;0,1,0)</f>
        <v>0</v>
      </c>
      <c r="AN970" s="331">
        <f>IF(NFI_Expiration=1,IF($A970&lt;VLOOKUP(V$5,NFI,5,0),1,0)*Table_NFI[[#This Row],[Jerry Can]],Table_NFI[Jerry Can])</f>
        <v>0</v>
      </c>
      <c r="AO970" s="331">
        <f>IF(NFI_Expiration=1,IF($A970&lt;VLOOKUP(V$5,NFI,5,0),1,0)*Table_NFI[[#This Row],[Shelter Tool kit]],Table_NFI[Shelter Tool kit])</f>
        <v>0</v>
      </c>
      <c r="AP970" s="331">
        <f>IF(NFI_Expiration=1,IF($A970&lt;VLOOKUP(V$5,NFI,5,0),1,0)*Table_NFI[[#This Row],[Tent]],Table_NFI[Tent])</f>
        <v>0</v>
      </c>
      <c r="AQ970" s="467" t="str">
        <f>IFERROR(VLOOKUP(Table_NFI[[#This Row],[Camp Name]],CL,2,0),"")</f>
        <v>MMR001CMP036</v>
      </c>
      <c r="AR970" s="835">
        <f ca="1">IF(Table_NFI[[#This Row],[Pcode]]="","",IF(OFFSET(CampList[Opening Date],MATCH(Table_NFI[[#This Row],[Pcode]],CampList[CP_Pcode],0)-1,0,1,1)&gt;=NFI_Monitor_Date,1,0))</f>
        <v>0</v>
      </c>
      <c r="AS970" s="467" t="str">
        <f>IFERROR(VLOOKUP(Table_NFI[[#This Row],[Camp Name]],CL,3,0),"")</f>
        <v>Closed</v>
      </c>
      <c r="AT970" s="294" t="str">
        <f ca="1">IF(Table_NFI[[#This Row],[Pcode]]="","",OFFSET(CampList[Priority],MATCH(Table_NFI[[#This Row],[Pcode]],CampList[CP_Pcode],0)-1,0,1,1))</f>
        <v>P4</v>
      </c>
      <c r="AU970" s="293">
        <f>IFERROR(Table_NFI[[#This Row],[Kitchen Set]]/VLOOKUP(Table_NFI[[#This Row],[Camp Name]],CL,4,0),"")</f>
        <v>2.0564042303172739E-3</v>
      </c>
      <c r="AV970" s="461" t="s">
        <v>1092</v>
      </c>
      <c r="AW970" s="463"/>
    </row>
    <row r="971" spans="1:49" ht="14.45" customHeight="1" x14ac:dyDescent="0.25">
      <c r="A971" s="297">
        <f t="shared" si="15"/>
        <v>55.233333333333334</v>
      </c>
      <c r="B971" s="460">
        <v>41079</v>
      </c>
      <c r="C971" s="461" t="s">
        <v>452</v>
      </c>
      <c r="D971" s="462" t="s">
        <v>452</v>
      </c>
      <c r="E971" s="461" t="s">
        <v>380</v>
      </c>
      <c r="F971" s="290" t="s">
        <v>310</v>
      </c>
      <c r="G971" s="290" t="s">
        <v>324</v>
      </c>
      <c r="H971" s="291"/>
      <c r="I971" s="291"/>
      <c r="J971" s="291"/>
      <c r="K971" s="291">
        <v>32</v>
      </c>
      <c r="L971" s="292">
        <v>17</v>
      </c>
      <c r="M971" s="292">
        <v>32</v>
      </c>
      <c r="N971" s="292">
        <v>17</v>
      </c>
      <c r="O971" s="292">
        <v>17</v>
      </c>
      <c r="P971" s="294">
        <v>17</v>
      </c>
      <c r="Q971" s="294">
        <v>17</v>
      </c>
      <c r="R971" s="294"/>
      <c r="S971" s="294"/>
      <c r="T971" s="294"/>
      <c r="U971" s="294"/>
      <c r="V971" s="431"/>
      <c r="W971" s="294"/>
      <c r="X971" s="294"/>
      <c r="Y971" s="294">
        <f>IF(NFI_Expiration=1,IF($A971&lt;VLOOKUP(H$5,NFI,5,0),1,0)*Table_NFI[[#This Row],[Hygiene Kit]],Table_NFI[Hygiene Kit])</f>
        <v>0</v>
      </c>
      <c r="Z971" s="294">
        <f>IF(NFI_Expiration=1,IF($A971&lt;VLOOKUP(I$5,NFI,5,0),1,0)*Table_NFI[[#This Row],[NFI Core Kit]],Table_NFI[NFI Core Kit])</f>
        <v>0</v>
      </c>
      <c r="AA971" s="294">
        <f>IF(NFI_Expiration=1,IF($A971&lt;VLOOKUP(J$5,NFI,5,0),1,0)*Table_NFI[[#This Row],[Sanitary Kit]],Table_NFI[Sanitary Kit])</f>
        <v>0</v>
      </c>
      <c r="AB971" s="294">
        <f>IF(NFI_Expiration=1,IF($A971&lt;VLOOKUP(K$5,NFI,5,0),1,0)*Table_NFI[[#This Row],[Mosquito net]],Table_NFI[Mosquito net])</f>
        <v>0</v>
      </c>
      <c r="AC971" s="294">
        <f>IF(NFI_Expiration=1,IF($A971&lt;VLOOKUP(L$5,NFI,5,0),1,0)*Table_NFI[[#This Row],[Tarpaulin]],Table_NFI[[#This Row],[Tarpaulin]])</f>
        <v>0</v>
      </c>
      <c r="AD971" s="294">
        <f>IF(NFI_Expiration=1,IF($A971&lt;VLOOKUP(M$5,NFI,5,0),1,0)*Table_NFI[[#This Row],[Blanket]],Table_NFI[[#This Row],[Blanket]])</f>
        <v>0</v>
      </c>
      <c r="AE971" s="294">
        <f>IF(NFI_Expiration=1,IF($A971&lt;VLOOKUP(N$5,NFI,5,0),1,0)*Table_NFI[[#This Row],[Kitchen Set]],Table_NFI[Kitchen Set])</f>
        <v>0</v>
      </c>
      <c r="AF971" s="294">
        <f>IF(NFI_Expiration=1,IF($A971&lt;VLOOKUP(O$5,NFI,5,0),1,0)*Table_NFI[[#This Row],[Clothes Kit]],Table_NFI[Clothes Kit])</f>
        <v>0</v>
      </c>
      <c r="AG971" s="294">
        <f>IF(NFI_Expiration=1,IF($A971&lt;VLOOKUP(P$5,NFI,5,0),1,0)*Table_NFI[[#This Row],[Plastic Bucket]],Table_NFI[Plastic Bucket])</f>
        <v>0</v>
      </c>
      <c r="AH971" s="294">
        <f>IF(NFI_Expiration=1,IF($A971&lt;VLOOKUP(Q$5,NFI,5,0),1,0)*Table_NFI[[#This Row],[Plastic Mat]],Table_NFI[Plastic Mat])*IF(Table_NFI[[#This Row],[Distribution Date]]&gt;"2014-04-01",1,2.5)</f>
        <v>0</v>
      </c>
      <c r="AI971" s="294">
        <f>IF(NFI_Expiration=1,IF($A971&lt;VLOOKUP(R$5,NFI,5,0),1,0)*Table_NFI[[#This Row],[Winter Clothes Adult]],Table_NFI[Winter Clothes Adult])</f>
        <v>0</v>
      </c>
      <c r="AJ971" s="294">
        <f>IF(NFI_Expiration=1,IF($A971&lt;VLOOKUP(S$5,NFI,5,0),1,0)*Table_NFI[[#This Row],[Winter Clothes Children]],Table_NFI[Winter Clothes Children])</f>
        <v>0</v>
      </c>
      <c r="AK971" s="294">
        <f>IF(NFI_Expiration=1,IF($A971&lt;VLOOKUP(T$5,NFI,5,0),1,0)*Table_NFI[[#This Row],[Winter Items Other]],Table_NFI[Winter Items Other])</f>
        <v>0</v>
      </c>
      <c r="AL971" s="294">
        <f>IF(NFI_Expiration=1,IF($A971&lt;VLOOKUP(M$5,NFI,5,0),1,0)*Table_NFI[[#This Row],[Winter Blanket]],Table_NFI[[#This Row],[Winter Blanket]])</f>
        <v>0</v>
      </c>
      <c r="AM971" s="294">
        <f>IF(Table_NFI[[#This Row],[Winter Clothes Adult]]+Table_NFI[[#This Row],[Winter Clothes Children]]+Table_NFI[[#This Row],[Winter Items Other]]+Table_NFI[[#This Row],[Winter Blanket]]&gt;0,1,0)</f>
        <v>0</v>
      </c>
      <c r="AN971" s="331">
        <f>IF(NFI_Expiration=1,IF($A971&lt;VLOOKUP(V$5,NFI,5,0),1,0)*Table_NFI[[#This Row],[Jerry Can]],Table_NFI[Jerry Can])</f>
        <v>0</v>
      </c>
      <c r="AO971" s="331">
        <f>IF(NFI_Expiration=1,IF($A971&lt;VLOOKUP(V$5,NFI,5,0),1,0)*Table_NFI[[#This Row],[Shelter Tool kit]],Table_NFI[Shelter Tool kit])</f>
        <v>0</v>
      </c>
      <c r="AP971" s="331">
        <f>IF(NFI_Expiration=1,IF($A971&lt;VLOOKUP(V$5,NFI,5,0),1,0)*Table_NFI[[#This Row],[Tent]],Table_NFI[Tent])</f>
        <v>0</v>
      </c>
      <c r="AQ971" s="467" t="str">
        <f>IFERROR(VLOOKUP(Table_NFI[[#This Row],[Camp Name]],CL,2,0),"")</f>
        <v>MMR001CMP040</v>
      </c>
      <c r="AR971" s="835">
        <f ca="1">IF(Table_NFI[[#This Row],[Pcode]]="","",IF(OFFSET(CampList[Opening Date],MATCH(Table_NFI[[#This Row],[Pcode]],CampList[CP_Pcode],0)-1,0,1,1)&gt;=NFI_Monitor_Date,1,0))</f>
        <v>0</v>
      </c>
      <c r="AS971" s="467" t="str">
        <f>IFERROR(VLOOKUP(Table_NFI[[#This Row],[Camp Name]],CL,3,0),"")</f>
        <v>Open</v>
      </c>
      <c r="AT971" s="294" t="str">
        <f ca="1">IF(Table_NFI[[#This Row],[Pcode]]="","",OFFSET(CampList[Priority],MATCH(Table_NFI[[#This Row],[Pcode]],CampList[CP_Pcode],0)-1,0,1,1))</f>
        <v>P4</v>
      </c>
      <c r="AU971" s="293">
        <f>IFERROR(Table_NFI[[#This Row],[Kitchen Set]]/VLOOKUP(Table_NFI[[#This Row],[Camp Name]],CL,4,0),"")</f>
        <v>4.1401816809137626E-4</v>
      </c>
      <c r="AV971" s="461" t="s">
        <v>1092</v>
      </c>
      <c r="AW971" s="463"/>
    </row>
    <row r="972" spans="1:49" ht="14.45" customHeight="1" x14ac:dyDescent="0.25">
      <c r="A972" s="297">
        <f t="shared" si="15"/>
        <v>55.233333333333334</v>
      </c>
      <c r="B972" s="460">
        <v>41079</v>
      </c>
      <c r="C972" s="461" t="s">
        <v>452</v>
      </c>
      <c r="D972" s="462" t="s">
        <v>452</v>
      </c>
      <c r="E972" s="461" t="s">
        <v>380</v>
      </c>
      <c r="F972" s="290" t="s">
        <v>310</v>
      </c>
      <c r="G972" s="290" t="s">
        <v>349</v>
      </c>
      <c r="H972" s="291"/>
      <c r="I972" s="291"/>
      <c r="J972" s="291"/>
      <c r="K972" s="291">
        <v>31</v>
      </c>
      <c r="L972" s="292">
        <v>15</v>
      </c>
      <c r="M972" s="292">
        <v>31</v>
      </c>
      <c r="N972" s="292">
        <v>15</v>
      </c>
      <c r="O972" s="292">
        <v>15</v>
      </c>
      <c r="P972" s="294">
        <v>15</v>
      </c>
      <c r="Q972" s="294">
        <v>15</v>
      </c>
      <c r="R972" s="294"/>
      <c r="S972" s="294"/>
      <c r="T972" s="294"/>
      <c r="U972" s="294"/>
      <c r="V972" s="431"/>
      <c r="W972" s="294"/>
      <c r="X972" s="294"/>
      <c r="Y972" s="294">
        <f>IF(NFI_Expiration=1,IF($A972&lt;VLOOKUP(H$5,NFI,5,0),1,0)*Table_NFI[[#This Row],[Hygiene Kit]],Table_NFI[Hygiene Kit])</f>
        <v>0</v>
      </c>
      <c r="Z972" s="294">
        <f>IF(NFI_Expiration=1,IF($A972&lt;VLOOKUP(I$5,NFI,5,0),1,0)*Table_NFI[[#This Row],[NFI Core Kit]],Table_NFI[NFI Core Kit])</f>
        <v>0</v>
      </c>
      <c r="AA972" s="294">
        <f>IF(NFI_Expiration=1,IF($A972&lt;VLOOKUP(J$5,NFI,5,0),1,0)*Table_NFI[[#This Row],[Sanitary Kit]],Table_NFI[Sanitary Kit])</f>
        <v>0</v>
      </c>
      <c r="AB972" s="294">
        <f>IF(NFI_Expiration=1,IF($A972&lt;VLOOKUP(K$5,NFI,5,0),1,0)*Table_NFI[[#This Row],[Mosquito net]],Table_NFI[Mosquito net])</f>
        <v>0</v>
      </c>
      <c r="AC972" s="294">
        <f>IF(NFI_Expiration=1,IF($A972&lt;VLOOKUP(L$5,NFI,5,0),1,0)*Table_NFI[[#This Row],[Tarpaulin]],Table_NFI[[#This Row],[Tarpaulin]])</f>
        <v>0</v>
      </c>
      <c r="AD972" s="294">
        <f>IF(NFI_Expiration=1,IF($A972&lt;VLOOKUP(M$5,NFI,5,0),1,0)*Table_NFI[[#This Row],[Blanket]],Table_NFI[[#This Row],[Blanket]])</f>
        <v>0</v>
      </c>
      <c r="AE972" s="294">
        <f>IF(NFI_Expiration=1,IF($A972&lt;VLOOKUP(N$5,NFI,5,0),1,0)*Table_NFI[[#This Row],[Kitchen Set]],Table_NFI[Kitchen Set])</f>
        <v>0</v>
      </c>
      <c r="AF972" s="294">
        <f>IF(NFI_Expiration=1,IF($A972&lt;VLOOKUP(O$5,NFI,5,0),1,0)*Table_NFI[[#This Row],[Clothes Kit]],Table_NFI[Clothes Kit])</f>
        <v>0</v>
      </c>
      <c r="AG972" s="294">
        <f>IF(NFI_Expiration=1,IF($A972&lt;VLOOKUP(P$5,NFI,5,0),1,0)*Table_NFI[[#This Row],[Plastic Bucket]],Table_NFI[Plastic Bucket])</f>
        <v>0</v>
      </c>
      <c r="AH972" s="294">
        <f>IF(NFI_Expiration=1,IF($A972&lt;VLOOKUP(Q$5,NFI,5,0),1,0)*Table_NFI[[#This Row],[Plastic Mat]],Table_NFI[Plastic Mat])*IF(Table_NFI[[#This Row],[Distribution Date]]&gt;"2014-04-01",1,2.5)</f>
        <v>0</v>
      </c>
      <c r="AI972" s="294">
        <f>IF(NFI_Expiration=1,IF($A972&lt;VLOOKUP(R$5,NFI,5,0),1,0)*Table_NFI[[#This Row],[Winter Clothes Adult]],Table_NFI[Winter Clothes Adult])</f>
        <v>0</v>
      </c>
      <c r="AJ972" s="294">
        <f>IF(NFI_Expiration=1,IF($A972&lt;VLOOKUP(S$5,NFI,5,0),1,0)*Table_NFI[[#This Row],[Winter Clothes Children]],Table_NFI[Winter Clothes Children])</f>
        <v>0</v>
      </c>
      <c r="AK972" s="294">
        <f>IF(NFI_Expiration=1,IF($A972&lt;VLOOKUP(T$5,NFI,5,0),1,0)*Table_NFI[[#This Row],[Winter Items Other]],Table_NFI[Winter Items Other])</f>
        <v>0</v>
      </c>
      <c r="AL972" s="294">
        <f>IF(NFI_Expiration=1,IF($A972&lt;VLOOKUP(M$5,NFI,5,0),1,0)*Table_NFI[[#This Row],[Winter Blanket]],Table_NFI[[#This Row],[Winter Blanket]])</f>
        <v>0</v>
      </c>
      <c r="AM972" s="294">
        <f>IF(Table_NFI[[#This Row],[Winter Clothes Adult]]+Table_NFI[[#This Row],[Winter Clothes Children]]+Table_NFI[[#This Row],[Winter Items Other]]+Table_NFI[[#This Row],[Winter Blanket]]&gt;0,1,0)</f>
        <v>0</v>
      </c>
      <c r="AN972" s="331">
        <f>IF(NFI_Expiration=1,IF($A972&lt;VLOOKUP(V$5,NFI,5,0),1,0)*Table_NFI[[#This Row],[Jerry Can]],Table_NFI[Jerry Can])</f>
        <v>0</v>
      </c>
      <c r="AO972" s="331">
        <f>IF(NFI_Expiration=1,IF($A972&lt;VLOOKUP(V$5,NFI,5,0),1,0)*Table_NFI[[#This Row],[Shelter Tool kit]],Table_NFI[Shelter Tool kit])</f>
        <v>0</v>
      </c>
      <c r="AP972" s="331">
        <f>IF(NFI_Expiration=1,IF($A972&lt;VLOOKUP(V$5,NFI,5,0),1,0)*Table_NFI[[#This Row],[Tent]],Table_NFI[Tent])</f>
        <v>0</v>
      </c>
      <c r="AQ972" s="467" t="str">
        <f>IFERROR(VLOOKUP(Table_NFI[[#This Row],[Camp Name]],CL,2,0),"")</f>
        <v>MMR001CMP037</v>
      </c>
      <c r="AR972" s="835">
        <f ca="1">IF(Table_NFI[[#This Row],[Pcode]]="","",IF(OFFSET(CampList[Opening Date],MATCH(Table_NFI[[#This Row],[Pcode]],CampList[CP_Pcode],0)-1,0,1,1)&gt;=NFI_Monitor_Date,1,0))</f>
        <v>0</v>
      </c>
      <c r="AS972" s="467" t="str">
        <f>IFERROR(VLOOKUP(Table_NFI[[#This Row],[Camp Name]],CL,3,0),"")</f>
        <v>Open</v>
      </c>
      <c r="AT972" s="294" t="str">
        <f ca="1">IF(Table_NFI[[#This Row],[Pcode]]="","",OFFSET(CampList[Priority],MATCH(Table_NFI[[#This Row],[Pcode]],CampList[CP_Pcode],0)-1,0,1,1))</f>
        <v>P4</v>
      </c>
      <c r="AU972" s="293">
        <f>IFERROR(Table_NFI[[#This Row],[Kitchen Set]]/VLOOKUP(Table_NFI[[#This Row],[Camp Name]],CL,4,0),"")</f>
        <v>3.6721504112808461E-4</v>
      </c>
      <c r="AV972" s="461" t="s">
        <v>1092</v>
      </c>
      <c r="AW972" s="463"/>
    </row>
    <row r="973" spans="1:49" ht="14.45" customHeight="1" x14ac:dyDescent="0.25">
      <c r="A973" s="297">
        <f t="shared" si="15"/>
        <v>55.233333333333334</v>
      </c>
      <c r="B973" s="460">
        <v>41079</v>
      </c>
      <c r="C973" s="461" t="s">
        <v>452</v>
      </c>
      <c r="D973" s="462" t="s">
        <v>452</v>
      </c>
      <c r="E973" s="461" t="s">
        <v>380</v>
      </c>
      <c r="F973" s="290" t="s">
        <v>310</v>
      </c>
      <c r="G973" s="290" t="s">
        <v>316</v>
      </c>
      <c r="H973" s="291"/>
      <c r="I973" s="291"/>
      <c r="J973" s="291"/>
      <c r="K973" s="291">
        <v>28</v>
      </c>
      <c r="L973" s="292">
        <v>15</v>
      </c>
      <c r="M973" s="292">
        <v>28</v>
      </c>
      <c r="N973" s="292">
        <v>15</v>
      </c>
      <c r="O973" s="292">
        <v>15</v>
      </c>
      <c r="P973" s="294">
        <v>15</v>
      </c>
      <c r="Q973" s="294">
        <v>15</v>
      </c>
      <c r="R973" s="294"/>
      <c r="S973" s="294"/>
      <c r="T973" s="294"/>
      <c r="U973" s="294"/>
      <c r="V973" s="431"/>
      <c r="W973" s="294"/>
      <c r="X973" s="294"/>
      <c r="Y973" s="294">
        <f>IF(NFI_Expiration=1,IF($A973&lt;VLOOKUP(H$5,NFI,5,0),1,0)*Table_NFI[[#This Row],[Hygiene Kit]],Table_NFI[Hygiene Kit])</f>
        <v>0</v>
      </c>
      <c r="Z973" s="294">
        <f>IF(NFI_Expiration=1,IF($A973&lt;VLOOKUP(I$5,NFI,5,0),1,0)*Table_NFI[[#This Row],[NFI Core Kit]],Table_NFI[NFI Core Kit])</f>
        <v>0</v>
      </c>
      <c r="AA973" s="294">
        <f>IF(NFI_Expiration=1,IF($A973&lt;VLOOKUP(J$5,NFI,5,0),1,0)*Table_NFI[[#This Row],[Sanitary Kit]],Table_NFI[Sanitary Kit])</f>
        <v>0</v>
      </c>
      <c r="AB973" s="294">
        <f>IF(NFI_Expiration=1,IF($A973&lt;VLOOKUP(K$5,NFI,5,0),1,0)*Table_NFI[[#This Row],[Mosquito net]],Table_NFI[Mosquito net])</f>
        <v>0</v>
      </c>
      <c r="AC973" s="294">
        <f>IF(NFI_Expiration=1,IF($A973&lt;VLOOKUP(L$5,NFI,5,0),1,0)*Table_NFI[[#This Row],[Tarpaulin]],Table_NFI[[#This Row],[Tarpaulin]])</f>
        <v>0</v>
      </c>
      <c r="AD973" s="294">
        <f>IF(NFI_Expiration=1,IF($A973&lt;VLOOKUP(M$5,NFI,5,0),1,0)*Table_NFI[[#This Row],[Blanket]],Table_NFI[[#This Row],[Blanket]])</f>
        <v>0</v>
      </c>
      <c r="AE973" s="294">
        <f>IF(NFI_Expiration=1,IF($A973&lt;VLOOKUP(N$5,NFI,5,0),1,0)*Table_NFI[[#This Row],[Kitchen Set]],Table_NFI[Kitchen Set])</f>
        <v>0</v>
      </c>
      <c r="AF973" s="294">
        <f>IF(NFI_Expiration=1,IF($A973&lt;VLOOKUP(O$5,NFI,5,0),1,0)*Table_NFI[[#This Row],[Clothes Kit]],Table_NFI[Clothes Kit])</f>
        <v>0</v>
      </c>
      <c r="AG973" s="294">
        <f>IF(NFI_Expiration=1,IF($A973&lt;VLOOKUP(P$5,NFI,5,0),1,0)*Table_NFI[[#This Row],[Plastic Bucket]],Table_NFI[Plastic Bucket])</f>
        <v>0</v>
      </c>
      <c r="AH973" s="294">
        <f>IF(NFI_Expiration=1,IF($A973&lt;VLOOKUP(Q$5,NFI,5,0),1,0)*Table_NFI[[#This Row],[Plastic Mat]],Table_NFI[Plastic Mat])*IF(Table_NFI[[#This Row],[Distribution Date]]&gt;"2014-04-01",1,2.5)</f>
        <v>0</v>
      </c>
      <c r="AI973" s="294">
        <f>IF(NFI_Expiration=1,IF($A973&lt;VLOOKUP(R$5,NFI,5,0),1,0)*Table_NFI[[#This Row],[Winter Clothes Adult]],Table_NFI[Winter Clothes Adult])</f>
        <v>0</v>
      </c>
      <c r="AJ973" s="294">
        <f>IF(NFI_Expiration=1,IF($A973&lt;VLOOKUP(S$5,NFI,5,0),1,0)*Table_NFI[[#This Row],[Winter Clothes Children]],Table_NFI[Winter Clothes Children])</f>
        <v>0</v>
      </c>
      <c r="AK973" s="294">
        <f>IF(NFI_Expiration=1,IF($A973&lt;VLOOKUP(T$5,NFI,5,0),1,0)*Table_NFI[[#This Row],[Winter Items Other]],Table_NFI[Winter Items Other])</f>
        <v>0</v>
      </c>
      <c r="AL973" s="294">
        <f>IF(NFI_Expiration=1,IF($A973&lt;VLOOKUP(M$5,NFI,5,0),1,0)*Table_NFI[[#This Row],[Winter Blanket]],Table_NFI[[#This Row],[Winter Blanket]])</f>
        <v>0</v>
      </c>
      <c r="AM973" s="294">
        <f>IF(Table_NFI[[#This Row],[Winter Clothes Adult]]+Table_NFI[[#This Row],[Winter Clothes Children]]+Table_NFI[[#This Row],[Winter Items Other]]+Table_NFI[[#This Row],[Winter Blanket]]&gt;0,1,0)</f>
        <v>0</v>
      </c>
      <c r="AN973" s="331">
        <f>IF(NFI_Expiration=1,IF($A973&lt;VLOOKUP(V$5,NFI,5,0),1,0)*Table_NFI[[#This Row],[Jerry Can]],Table_NFI[Jerry Can])</f>
        <v>0</v>
      </c>
      <c r="AO973" s="331">
        <f>IF(NFI_Expiration=1,IF($A973&lt;VLOOKUP(V$5,NFI,5,0),1,0)*Table_NFI[[#This Row],[Shelter Tool kit]],Table_NFI[Shelter Tool kit])</f>
        <v>0</v>
      </c>
      <c r="AP973" s="331">
        <f>IF(NFI_Expiration=1,IF($A973&lt;VLOOKUP(V$5,NFI,5,0),1,0)*Table_NFI[[#This Row],[Tent]],Table_NFI[Tent])</f>
        <v>0</v>
      </c>
      <c r="AQ973" s="467" t="str">
        <f>IFERROR(VLOOKUP(Table_NFI[[#This Row],[Camp Name]],CL,2,0),"")</f>
        <v>MMR001CMP038</v>
      </c>
      <c r="AR973" s="835">
        <f ca="1">IF(Table_NFI[[#This Row],[Pcode]]="","",IF(OFFSET(CampList[Opening Date],MATCH(Table_NFI[[#This Row],[Pcode]],CampList[CP_Pcode],0)-1,0,1,1)&gt;=NFI_Monitor_Date,1,0))</f>
        <v>0</v>
      </c>
      <c r="AS973" s="467" t="str">
        <f>IFERROR(VLOOKUP(Table_NFI[[#This Row],[Camp Name]],CL,3,0),"")</f>
        <v>Open</v>
      </c>
      <c r="AT973" s="294" t="str">
        <f ca="1">IF(Table_NFI[[#This Row],[Pcode]]="","",OFFSET(CampList[Priority],MATCH(Table_NFI[[#This Row],[Pcode]],CampList[CP_Pcode],0)-1,0,1,1))</f>
        <v>P4</v>
      </c>
      <c r="AU973" s="293">
        <f>IFERROR(Table_NFI[[#This Row],[Kitchen Set]]/VLOOKUP(Table_NFI[[#This Row],[Camp Name]],CL,4,0),"")</f>
        <v>3.6721504112808461E-4</v>
      </c>
      <c r="AV973" s="461" t="s">
        <v>1092</v>
      </c>
      <c r="AW973" s="463"/>
    </row>
    <row r="974" spans="1:49" ht="14.45" customHeight="1" x14ac:dyDescent="0.25">
      <c r="A974" s="297">
        <f t="shared" si="15"/>
        <v>55.533333333333331</v>
      </c>
      <c r="B974" s="460">
        <v>41070</v>
      </c>
      <c r="C974" s="461" t="s">
        <v>452</v>
      </c>
      <c r="D974" s="462" t="s">
        <v>452</v>
      </c>
      <c r="E974" s="461" t="s">
        <v>380</v>
      </c>
      <c r="F974" s="290" t="s">
        <v>27</v>
      </c>
      <c r="G974" s="290" t="s">
        <v>365</v>
      </c>
      <c r="H974" s="291"/>
      <c r="I974" s="291"/>
      <c r="J974" s="291"/>
      <c r="K974" s="291">
        <v>200</v>
      </c>
      <c r="L974" s="292">
        <v>100</v>
      </c>
      <c r="M974" s="292">
        <v>150</v>
      </c>
      <c r="N974" s="292">
        <v>100</v>
      </c>
      <c r="O974" s="292">
        <v>100</v>
      </c>
      <c r="P974" s="294">
        <v>100</v>
      </c>
      <c r="Q974" s="294">
        <v>100</v>
      </c>
      <c r="R974" s="294"/>
      <c r="S974" s="294"/>
      <c r="T974" s="294"/>
      <c r="U974" s="294"/>
      <c r="V974" s="431"/>
      <c r="W974" s="294"/>
      <c r="X974" s="294"/>
      <c r="Y974" s="294">
        <f>IF(NFI_Expiration=1,IF($A974&lt;VLOOKUP(H$5,NFI,5,0),1,0)*Table_NFI[[#This Row],[Hygiene Kit]],Table_NFI[Hygiene Kit])</f>
        <v>0</v>
      </c>
      <c r="Z974" s="294">
        <f>IF(NFI_Expiration=1,IF($A974&lt;VLOOKUP(I$5,NFI,5,0),1,0)*Table_NFI[[#This Row],[NFI Core Kit]],Table_NFI[NFI Core Kit])</f>
        <v>0</v>
      </c>
      <c r="AA974" s="294">
        <f>IF(NFI_Expiration=1,IF($A974&lt;VLOOKUP(J$5,NFI,5,0),1,0)*Table_NFI[[#This Row],[Sanitary Kit]],Table_NFI[Sanitary Kit])</f>
        <v>0</v>
      </c>
      <c r="AB974" s="294">
        <f>IF(NFI_Expiration=1,IF($A974&lt;VLOOKUP(K$5,NFI,5,0),1,0)*Table_NFI[[#This Row],[Mosquito net]],Table_NFI[Mosquito net])</f>
        <v>0</v>
      </c>
      <c r="AC974" s="294">
        <f>IF(NFI_Expiration=1,IF($A974&lt;VLOOKUP(L$5,NFI,5,0),1,0)*Table_NFI[[#This Row],[Tarpaulin]],Table_NFI[[#This Row],[Tarpaulin]])</f>
        <v>0</v>
      </c>
      <c r="AD974" s="294">
        <f>IF(NFI_Expiration=1,IF($A974&lt;VLOOKUP(M$5,NFI,5,0),1,0)*Table_NFI[[#This Row],[Blanket]],Table_NFI[[#This Row],[Blanket]])</f>
        <v>0</v>
      </c>
      <c r="AE974" s="294">
        <f>IF(NFI_Expiration=1,IF($A974&lt;VLOOKUP(N$5,NFI,5,0),1,0)*Table_NFI[[#This Row],[Kitchen Set]],Table_NFI[Kitchen Set])</f>
        <v>0</v>
      </c>
      <c r="AF974" s="294">
        <f>IF(NFI_Expiration=1,IF($A974&lt;VLOOKUP(O$5,NFI,5,0),1,0)*Table_NFI[[#This Row],[Clothes Kit]],Table_NFI[Clothes Kit])</f>
        <v>0</v>
      </c>
      <c r="AG974" s="294">
        <f>IF(NFI_Expiration=1,IF($A974&lt;VLOOKUP(P$5,NFI,5,0),1,0)*Table_NFI[[#This Row],[Plastic Bucket]],Table_NFI[Plastic Bucket])</f>
        <v>0</v>
      </c>
      <c r="AH974" s="294">
        <f>IF(NFI_Expiration=1,IF($A974&lt;VLOOKUP(Q$5,NFI,5,0),1,0)*Table_NFI[[#This Row],[Plastic Mat]],Table_NFI[Plastic Mat])*IF(Table_NFI[[#This Row],[Distribution Date]]&gt;"2014-04-01",1,2.5)</f>
        <v>0</v>
      </c>
      <c r="AI974" s="294">
        <f>IF(NFI_Expiration=1,IF($A974&lt;VLOOKUP(R$5,NFI,5,0),1,0)*Table_NFI[[#This Row],[Winter Clothes Adult]],Table_NFI[Winter Clothes Adult])</f>
        <v>0</v>
      </c>
      <c r="AJ974" s="294">
        <f>IF(NFI_Expiration=1,IF($A974&lt;VLOOKUP(S$5,NFI,5,0),1,0)*Table_NFI[[#This Row],[Winter Clothes Children]],Table_NFI[Winter Clothes Children])</f>
        <v>0</v>
      </c>
      <c r="AK974" s="294">
        <f>IF(NFI_Expiration=1,IF($A974&lt;VLOOKUP(T$5,NFI,5,0),1,0)*Table_NFI[[#This Row],[Winter Items Other]],Table_NFI[Winter Items Other])</f>
        <v>0</v>
      </c>
      <c r="AL974" s="294">
        <f>IF(NFI_Expiration=1,IF($A974&lt;VLOOKUP(M$5,NFI,5,0),1,0)*Table_NFI[[#This Row],[Winter Blanket]],Table_NFI[[#This Row],[Winter Blanket]])</f>
        <v>0</v>
      </c>
      <c r="AM974" s="294">
        <f>IF(Table_NFI[[#This Row],[Winter Clothes Adult]]+Table_NFI[[#This Row],[Winter Clothes Children]]+Table_NFI[[#This Row],[Winter Items Other]]+Table_NFI[[#This Row],[Winter Blanket]]&gt;0,1,0)</f>
        <v>0</v>
      </c>
      <c r="AN974" s="331">
        <f>IF(NFI_Expiration=1,IF($A974&lt;VLOOKUP(V$5,NFI,5,0),1,0)*Table_NFI[[#This Row],[Jerry Can]],Table_NFI[Jerry Can])</f>
        <v>0</v>
      </c>
      <c r="AO974" s="331">
        <f>IF(NFI_Expiration=1,IF($A974&lt;VLOOKUP(V$5,NFI,5,0),1,0)*Table_NFI[[#This Row],[Shelter Tool kit]],Table_NFI[Shelter Tool kit])</f>
        <v>0</v>
      </c>
      <c r="AP974" s="331">
        <f>IF(NFI_Expiration=1,IF($A974&lt;VLOOKUP(V$5,NFI,5,0),1,0)*Table_NFI[[#This Row],[Tent]],Table_NFI[Tent])</f>
        <v>0</v>
      </c>
      <c r="AQ974" s="467" t="str">
        <f>IFERROR(VLOOKUP(Table_NFI[[#This Row],[Camp Name]],CL,2,0),"")</f>
        <v>MMR001CMP195</v>
      </c>
      <c r="AR974" s="835">
        <f ca="1">IF(Table_NFI[[#This Row],[Pcode]]="","",IF(OFFSET(CampList[Opening Date],MATCH(Table_NFI[[#This Row],[Pcode]],CampList[CP_Pcode],0)-1,0,1,1)&gt;=NFI_Monitor_Date,1,0))</f>
        <v>0</v>
      </c>
      <c r="AS974" s="467" t="str">
        <f>IFERROR(VLOOKUP(Table_NFI[[#This Row],[Camp Name]],CL,3,0),"")</f>
        <v>Open</v>
      </c>
      <c r="AT974" s="294" t="str">
        <f ca="1">IF(Table_NFI[[#This Row],[Pcode]]="","",OFFSET(CampList[Priority],MATCH(Table_NFI[[#This Row],[Pcode]],CampList[CP_Pcode],0)-1,0,1,1))</f>
        <v>P1</v>
      </c>
      <c r="AU974" s="293">
        <f>IFERROR(Table_NFI[[#This Row],[Kitchen Set]]/VLOOKUP(Table_NFI[[#This Row],[Camp Name]],CL,4,0),"")</f>
        <v>2.4425989252564728E-3</v>
      </c>
      <c r="AV974" s="461" t="s">
        <v>1092</v>
      </c>
      <c r="AW974" s="463"/>
    </row>
    <row r="975" spans="1:49" ht="14.45" customHeight="1" x14ac:dyDescent="0.25">
      <c r="A975" s="297">
        <f t="shared" si="15"/>
        <v>55.6</v>
      </c>
      <c r="B975" s="460">
        <v>41068</v>
      </c>
      <c r="C975" s="461" t="s">
        <v>905</v>
      </c>
      <c r="D975" s="462" t="s">
        <v>905</v>
      </c>
      <c r="E975" s="461" t="s">
        <v>380</v>
      </c>
      <c r="F975" s="290" t="s">
        <v>5</v>
      </c>
      <c r="G975" s="290" t="s">
        <v>14</v>
      </c>
      <c r="H975" s="294">
        <v>22</v>
      </c>
      <c r="I975" s="291"/>
      <c r="J975" s="291"/>
      <c r="K975" s="291"/>
      <c r="L975" s="292"/>
      <c r="M975" s="292"/>
      <c r="N975" s="292"/>
      <c r="O975" s="292"/>
      <c r="P975" s="294"/>
      <c r="Q975" s="294"/>
      <c r="R975" s="294"/>
      <c r="S975" s="294"/>
      <c r="T975" s="294"/>
      <c r="U975" s="294"/>
      <c r="V975" s="431"/>
      <c r="W975" s="294"/>
      <c r="X975" s="294"/>
      <c r="Y975" s="294">
        <f>IF(NFI_Expiration=1,IF($A975&lt;VLOOKUP(H$5,NFI,5,0),1,0)*Table_NFI[[#This Row],[Hygiene Kit]],Table_NFI[Hygiene Kit])</f>
        <v>0</v>
      </c>
      <c r="Z975" s="294">
        <f>IF(NFI_Expiration=1,IF($A975&lt;VLOOKUP(I$5,NFI,5,0),1,0)*Table_NFI[[#This Row],[NFI Core Kit]],Table_NFI[NFI Core Kit])</f>
        <v>0</v>
      </c>
      <c r="AA975" s="294">
        <f>IF(NFI_Expiration=1,IF($A975&lt;VLOOKUP(J$5,NFI,5,0),1,0)*Table_NFI[[#This Row],[Sanitary Kit]],Table_NFI[Sanitary Kit])</f>
        <v>0</v>
      </c>
      <c r="AB975" s="294">
        <f>IF(NFI_Expiration=1,IF($A975&lt;VLOOKUP(K$5,NFI,5,0),1,0)*Table_NFI[[#This Row],[Mosquito net]],Table_NFI[Mosquito net])</f>
        <v>0</v>
      </c>
      <c r="AC975" s="294">
        <f>IF(NFI_Expiration=1,IF($A975&lt;VLOOKUP(L$5,NFI,5,0),1,0)*Table_NFI[[#This Row],[Tarpaulin]],Table_NFI[[#This Row],[Tarpaulin]])</f>
        <v>0</v>
      </c>
      <c r="AD975" s="294">
        <f>IF(NFI_Expiration=1,IF($A975&lt;VLOOKUP(M$5,NFI,5,0),1,0)*Table_NFI[[#This Row],[Blanket]],Table_NFI[[#This Row],[Blanket]])</f>
        <v>0</v>
      </c>
      <c r="AE975" s="294">
        <f>IF(NFI_Expiration=1,IF($A975&lt;VLOOKUP(N$5,NFI,5,0),1,0)*Table_NFI[[#This Row],[Kitchen Set]],Table_NFI[Kitchen Set])</f>
        <v>0</v>
      </c>
      <c r="AF975" s="294">
        <f>IF(NFI_Expiration=1,IF($A975&lt;VLOOKUP(O$5,NFI,5,0),1,0)*Table_NFI[[#This Row],[Clothes Kit]],Table_NFI[Clothes Kit])</f>
        <v>0</v>
      </c>
      <c r="AG975" s="294">
        <f>IF(NFI_Expiration=1,IF($A975&lt;VLOOKUP(P$5,NFI,5,0),1,0)*Table_NFI[[#This Row],[Plastic Bucket]],Table_NFI[Plastic Bucket])</f>
        <v>0</v>
      </c>
      <c r="AH975" s="294">
        <f>IF(NFI_Expiration=1,IF($A975&lt;VLOOKUP(Q$5,NFI,5,0),1,0)*Table_NFI[[#This Row],[Plastic Mat]],Table_NFI[Plastic Mat])*IF(Table_NFI[[#This Row],[Distribution Date]]&gt;"2014-04-01",1,2.5)</f>
        <v>0</v>
      </c>
      <c r="AI975" s="294">
        <f>IF(NFI_Expiration=1,IF($A975&lt;VLOOKUP(R$5,NFI,5,0),1,0)*Table_NFI[[#This Row],[Winter Clothes Adult]],Table_NFI[Winter Clothes Adult])</f>
        <v>0</v>
      </c>
      <c r="AJ975" s="294">
        <f>IF(NFI_Expiration=1,IF($A975&lt;VLOOKUP(S$5,NFI,5,0),1,0)*Table_NFI[[#This Row],[Winter Clothes Children]],Table_NFI[Winter Clothes Children])</f>
        <v>0</v>
      </c>
      <c r="AK975" s="294">
        <f>IF(NFI_Expiration=1,IF($A975&lt;VLOOKUP(T$5,NFI,5,0),1,0)*Table_NFI[[#This Row],[Winter Items Other]],Table_NFI[Winter Items Other])</f>
        <v>0</v>
      </c>
      <c r="AL975" s="294">
        <f>IF(NFI_Expiration=1,IF($A975&lt;VLOOKUP(M$5,NFI,5,0),1,0)*Table_NFI[[#This Row],[Winter Blanket]],Table_NFI[[#This Row],[Winter Blanket]])</f>
        <v>0</v>
      </c>
      <c r="AM975" s="294">
        <f>IF(Table_NFI[[#This Row],[Winter Clothes Adult]]+Table_NFI[[#This Row],[Winter Clothes Children]]+Table_NFI[[#This Row],[Winter Items Other]]+Table_NFI[[#This Row],[Winter Blanket]]&gt;0,1,0)</f>
        <v>0</v>
      </c>
      <c r="AN975" s="331">
        <f>IF(NFI_Expiration=1,IF($A975&lt;VLOOKUP(V$5,NFI,5,0),1,0)*Table_NFI[[#This Row],[Jerry Can]],Table_NFI[Jerry Can])</f>
        <v>0</v>
      </c>
      <c r="AO975" s="331">
        <f>IF(NFI_Expiration=1,IF($A975&lt;VLOOKUP(V$5,NFI,5,0),1,0)*Table_NFI[[#This Row],[Shelter Tool kit]],Table_NFI[Shelter Tool kit])</f>
        <v>0</v>
      </c>
      <c r="AP975" s="331">
        <f>IF(NFI_Expiration=1,IF($A975&lt;VLOOKUP(V$5,NFI,5,0),1,0)*Table_NFI[[#This Row],[Tent]],Table_NFI[Tent])</f>
        <v>0</v>
      </c>
      <c r="AQ975" s="467" t="str">
        <f>IFERROR(VLOOKUP(Table_NFI[[#This Row],[Camp Name]],CL,2,0),"")</f>
        <v>MMR001CMP052</v>
      </c>
      <c r="AR975" s="835">
        <f ca="1">IF(Table_NFI[[#This Row],[Pcode]]="","",IF(OFFSET(CampList[Opening Date],MATCH(Table_NFI[[#This Row],[Pcode]],CampList[CP_Pcode],0)-1,0,1,1)&gt;=NFI_Monitor_Date,1,0))</f>
        <v>0</v>
      </c>
      <c r="AS975" s="467" t="str">
        <f>IFERROR(VLOOKUP(Table_NFI[[#This Row],[Camp Name]],CL,3,0),"")</f>
        <v>Open</v>
      </c>
      <c r="AT975" s="294" t="str">
        <f ca="1">IF(Table_NFI[[#This Row],[Pcode]]="","",OFFSET(CampList[Priority],MATCH(Table_NFI[[#This Row],[Pcode]],CampList[CP_Pcode],0)-1,0,1,1))</f>
        <v>P4</v>
      </c>
      <c r="AU975" s="293">
        <f>IFERROR(Table_NFI[[#This Row],[Kitchen Set]]/VLOOKUP(Table_NFI[[#This Row],[Camp Name]],CL,4,0),"")</f>
        <v>0</v>
      </c>
      <c r="AV975" s="461"/>
      <c r="AW975" s="463"/>
    </row>
    <row r="976" spans="1:49" ht="14.45" customHeight="1" x14ac:dyDescent="0.25">
      <c r="A976" s="297">
        <f t="shared" si="15"/>
        <v>55.6</v>
      </c>
      <c r="B976" s="460">
        <v>41068</v>
      </c>
      <c r="C976" s="461" t="s">
        <v>905</v>
      </c>
      <c r="D976" s="461" t="s">
        <v>905</v>
      </c>
      <c r="E976" s="461" t="s">
        <v>380</v>
      </c>
      <c r="F976" s="290" t="s">
        <v>5</v>
      </c>
      <c r="G976" s="290" t="s">
        <v>20</v>
      </c>
      <c r="H976" s="294">
        <v>21</v>
      </c>
      <c r="I976" s="291"/>
      <c r="J976" s="291"/>
      <c r="K976" s="291"/>
      <c r="L976" s="292"/>
      <c r="M976" s="292"/>
      <c r="N976" s="292"/>
      <c r="O976" s="292"/>
      <c r="P976" s="294"/>
      <c r="Q976" s="294"/>
      <c r="R976" s="294"/>
      <c r="S976" s="294"/>
      <c r="T976" s="294"/>
      <c r="U976" s="294"/>
      <c r="V976" s="431"/>
      <c r="W976" s="294"/>
      <c r="X976" s="294"/>
      <c r="Y976" s="294">
        <f>IF(NFI_Expiration=1,IF($A976&lt;VLOOKUP(H$5,NFI,5,0),1,0)*Table_NFI[[#This Row],[Hygiene Kit]],Table_NFI[Hygiene Kit])</f>
        <v>0</v>
      </c>
      <c r="Z976" s="294">
        <f>IF(NFI_Expiration=1,IF($A976&lt;VLOOKUP(I$5,NFI,5,0),1,0)*Table_NFI[[#This Row],[NFI Core Kit]],Table_NFI[NFI Core Kit])</f>
        <v>0</v>
      </c>
      <c r="AA976" s="294">
        <f>IF(NFI_Expiration=1,IF($A976&lt;VLOOKUP(J$5,NFI,5,0),1,0)*Table_NFI[[#This Row],[Sanitary Kit]],Table_NFI[Sanitary Kit])</f>
        <v>0</v>
      </c>
      <c r="AB976" s="294">
        <f>IF(NFI_Expiration=1,IF($A976&lt;VLOOKUP(K$5,NFI,5,0),1,0)*Table_NFI[[#This Row],[Mosquito net]],Table_NFI[Mosquito net])</f>
        <v>0</v>
      </c>
      <c r="AC976" s="294">
        <f>IF(NFI_Expiration=1,IF($A976&lt;VLOOKUP(L$5,NFI,5,0),1,0)*Table_NFI[[#This Row],[Tarpaulin]],Table_NFI[[#This Row],[Tarpaulin]])</f>
        <v>0</v>
      </c>
      <c r="AD976" s="294">
        <f>IF(NFI_Expiration=1,IF($A976&lt;VLOOKUP(M$5,NFI,5,0),1,0)*Table_NFI[[#This Row],[Blanket]],Table_NFI[[#This Row],[Blanket]])</f>
        <v>0</v>
      </c>
      <c r="AE976" s="294">
        <f>IF(NFI_Expiration=1,IF($A976&lt;VLOOKUP(N$5,NFI,5,0),1,0)*Table_NFI[[#This Row],[Kitchen Set]],Table_NFI[Kitchen Set])</f>
        <v>0</v>
      </c>
      <c r="AF976" s="294">
        <f>IF(NFI_Expiration=1,IF($A976&lt;VLOOKUP(O$5,NFI,5,0),1,0)*Table_NFI[[#This Row],[Clothes Kit]],Table_NFI[Clothes Kit])</f>
        <v>0</v>
      </c>
      <c r="AG976" s="294">
        <f>IF(NFI_Expiration=1,IF($A976&lt;VLOOKUP(P$5,NFI,5,0),1,0)*Table_NFI[[#This Row],[Plastic Bucket]],Table_NFI[Plastic Bucket])</f>
        <v>0</v>
      </c>
      <c r="AH976" s="294">
        <f>IF(NFI_Expiration=1,IF($A976&lt;VLOOKUP(Q$5,NFI,5,0),1,0)*Table_NFI[[#This Row],[Plastic Mat]],Table_NFI[Plastic Mat])*IF(Table_NFI[[#This Row],[Distribution Date]]&gt;"2014-04-01",1,2.5)</f>
        <v>0</v>
      </c>
      <c r="AI976" s="294">
        <f>IF(NFI_Expiration=1,IF($A976&lt;VLOOKUP(R$5,NFI,5,0),1,0)*Table_NFI[[#This Row],[Winter Clothes Adult]],Table_NFI[Winter Clothes Adult])</f>
        <v>0</v>
      </c>
      <c r="AJ976" s="294">
        <f>IF(NFI_Expiration=1,IF($A976&lt;VLOOKUP(S$5,NFI,5,0),1,0)*Table_NFI[[#This Row],[Winter Clothes Children]],Table_NFI[Winter Clothes Children])</f>
        <v>0</v>
      </c>
      <c r="AK976" s="294">
        <f>IF(NFI_Expiration=1,IF($A976&lt;VLOOKUP(T$5,NFI,5,0),1,0)*Table_NFI[[#This Row],[Winter Items Other]],Table_NFI[Winter Items Other])</f>
        <v>0</v>
      </c>
      <c r="AL976" s="294">
        <f>IF(NFI_Expiration=1,IF($A976&lt;VLOOKUP(M$5,NFI,5,0),1,0)*Table_NFI[[#This Row],[Winter Blanket]],Table_NFI[[#This Row],[Winter Blanket]])</f>
        <v>0</v>
      </c>
      <c r="AM976" s="294">
        <f>IF(Table_NFI[[#This Row],[Winter Clothes Adult]]+Table_NFI[[#This Row],[Winter Clothes Children]]+Table_NFI[[#This Row],[Winter Items Other]]+Table_NFI[[#This Row],[Winter Blanket]]&gt;0,1,0)</f>
        <v>0</v>
      </c>
      <c r="AN976" s="331">
        <f>IF(NFI_Expiration=1,IF($A976&lt;VLOOKUP(V$5,NFI,5,0),1,0)*Table_NFI[[#This Row],[Jerry Can]],Table_NFI[Jerry Can])</f>
        <v>0</v>
      </c>
      <c r="AO976" s="331">
        <f>IF(NFI_Expiration=1,IF($A976&lt;VLOOKUP(V$5,NFI,5,0),1,0)*Table_NFI[[#This Row],[Shelter Tool kit]],Table_NFI[Shelter Tool kit])</f>
        <v>0</v>
      </c>
      <c r="AP976" s="331">
        <f>IF(NFI_Expiration=1,IF($A976&lt;VLOOKUP(V$5,NFI,5,0),1,0)*Table_NFI[[#This Row],[Tent]],Table_NFI[Tent])</f>
        <v>0</v>
      </c>
      <c r="AQ976" s="467" t="str">
        <f>IFERROR(VLOOKUP(Table_NFI[[#This Row],[Camp Name]],CL,2,0),"")</f>
        <v>MMR001CMP054</v>
      </c>
      <c r="AR976" s="835">
        <f ca="1">IF(Table_NFI[[#This Row],[Pcode]]="","",IF(OFFSET(CampList[Opening Date],MATCH(Table_NFI[[#This Row],[Pcode]],CampList[CP_Pcode],0)-1,0,1,1)&gt;=NFI_Monitor_Date,1,0))</f>
        <v>0</v>
      </c>
      <c r="AS976" s="467" t="str">
        <f>IFERROR(VLOOKUP(Table_NFI[[#This Row],[Camp Name]],CL,3,0),"")</f>
        <v>Open</v>
      </c>
      <c r="AT976" s="294" t="str">
        <f ca="1">IF(Table_NFI[[#This Row],[Pcode]]="","",OFFSET(CampList[Priority],MATCH(Table_NFI[[#This Row],[Pcode]],CampList[CP_Pcode],0)-1,0,1,1))</f>
        <v>P4</v>
      </c>
      <c r="AU976" s="293">
        <f>IFERROR(Table_NFI[[#This Row],[Kitchen Set]]/VLOOKUP(Table_NFI[[#This Row],[Camp Name]],CL,4,0),"")</f>
        <v>0</v>
      </c>
      <c r="AV976" s="461"/>
      <c r="AW976" s="463"/>
    </row>
    <row r="977" spans="1:49" ht="14.45" customHeight="1" x14ac:dyDescent="0.25">
      <c r="A977" s="297">
        <f t="shared" si="15"/>
        <v>55.6</v>
      </c>
      <c r="B977" s="460">
        <v>41068</v>
      </c>
      <c r="C977" s="461" t="s">
        <v>452</v>
      </c>
      <c r="D977" s="461" t="s">
        <v>452</v>
      </c>
      <c r="E977" s="461" t="s">
        <v>380</v>
      </c>
      <c r="F977" s="290" t="s">
        <v>5</v>
      </c>
      <c r="G977" s="290" t="s">
        <v>20</v>
      </c>
      <c r="H977" s="291"/>
      <c r="I977" s="291"/>
      <c r="J977" s="291"/>
      <c r="K977" s="291">
        <v>12</v>
      </c>
      <c r="L977" s="292">
        <v>6</v>
      </c>
      <c r="M977" s="292">
        <v>12</v>
      </c>
      <c r="N977" s="292">
        <v>6</v>
      </c>
      <c r="O977" s="292">
        <v>6</v>
      </c>
      <c r="P977" s="294">
        <v>6</v>
      </c>
      <c r="Q977" s="294">
        <v>6</v>
      </c>
      <c r="R977" s="294"/>
      <c r="S977" s="294"/>
      <c r="T977" s="294"/>
      <c r="U977" s="294"/>
      <c r="V977" s="431"/>
      <c r="W977" s="294"/>
      <c r="X977" s="294"/>
      <c r="Y977" s="294">
        <f>IF(NFI_Expiration=1,IF($A977&lt;VLOOKUP(H$5,NFI,5,0),1,0)*Table_NFI[[#This Row],[Hygiene Kit]],Table_NFI[Hygiene Kit])</f>
        <v>0</v>
      </c>
      <c r="Z977" s="294">
        <f>IF(NFI_Expiration=1,IF($A977&lt;VLOOKUP(I$5,NFI,5,0),1,0)*Table_NFI[[#This Row],[NFI Core Kit]],Table_NFI[NFI Core Kit])</f>
        <v>0</v>
      </c>
      <c r="AA977" s="294">
        <f>IF(NFI_Expiration=1,IF($A977&lt;VLOOKUP(J$5,NFI,5,0),1,0)*Table_NFI[[#This Row],[Sanitary Kit]],Table_NFI[Sanitary Kit])</f>
        <v>0</v>
      </c>
      <c r="AB977" s="294">
        <f>IF(NFI_Expiration=1,IF($A977&lt;VLOOKUP(K$5,NFI,5,0),1,0)*Table_NFI[[#This Row],[Mosquito net]],Table_NFI[Mosquito net])</f>
        <v>0</v>
      </c>
      <c r="AC977" s="294">
        <f>IF(NFI_Expiration=1,IF($A977&lt;VLOOKUP(L$5,NFI,5,0),1,0)*Table_NFI[[#This Row],[Tarpaulin]],Table_NFI[[#This Row],[Tarpaulin]])</f>
        <v>0</v>
      </c>
      <c r="AD977" s="294">
        <f>IF(NFI_Expiration=1,IF($A977&lt;VLOOKUP(M$5,NFI,5,0),1,0)*Table_NFI[[#This Row],[Blanket]],Table_NFI[[#This Row],[Blanket]])</f>
        <v>0</v>
      </c>
      <c r="AE977" s="294">
        <f>IF(NFI_Expiration=1,IF($A977&lt;VLOOKUP(N$5,NFI,5,0),1,0)*Table_NFI[[#This Row],[Kitchen Set]],Table_NFI[Kitchen Set])</f>
        <v>0</v>
      </c>
      <c r="AF977" s="294">
        <f>IF(NFI_Expiration=1,IF($A977&lt;VLOOKUP(O$5,NFI,5,0),1,0)*Table_NFI[[#This Row],[Clothes Kit]],Table_NFI[Clothes Kit])</f>
        <v>0</v>
      </c>
      <c r="AG977" s="294">
        <f>IF(NFI_Expiration=1,IF($A977&lt;VLOOKUP(P$5,NFI,5,0),1,0)*Table_NFI[[#This Row],[Plastic Bucket]],Table_NFI[Plastic Bucket])</f>
        <v>0</v>
      </c>
      <c r="AH977" s="294">
        <f>IF(NFI_Expiration=1,IF($A977&lt;VLOOKUP(Q$5,NFI,5,0),1,0)*Table_NFI[[#This Row],[Plastic Mat]],Table_NFI[Plastic Mat])*IF(Table_NFI[[#This Row],[Distribution Date]]&gt;"2014-04-01",1,2.5)</f>
        <v>0</v>
      </c>
      <c r="AI977" s="294">
        <f>IF(NFI_Expiration=1,IF($A977&lt;VLOOKUP(R$5,NFI,5,0),1,0)*Table_NFI[[#This Row],[Winter Clothes Adult]],Table_NFI[Winter Clothes Adult])</f>
        <v>0</v>
      </c>
      <c r="AJ977" s="294">
        <f>IF(NFI_Expiration=1,IF($A977&lt;VLOOKUP(S$5,NFI,5,0),1,0)*Table_NFI[[#This Row],[Winter Clothes Children]],Table_NFI[Winter Clothes Children])</f>
        <v>0</v>
      </c>
      <c r="AK977" s="294">
        <f>IF(NFI_Expiration=1,IF($A977&lt;VLOOKUP(T$5,NFI,5,0),1,0)*Table_NFI[[#This Row],[Winter Items Other]],Table_NFI[Winter Items Other])</f>
        <v>0</v>
      </c>
      <c r="AL977" s="294">
        <f>IF(NFI_Expiration=1,IF($A977&lt;VLOOKUP(M$5,NFI,5,0),1,0)*Table_NFI[[#This Row],[Winter Blanket]],Table_NFI[[#This Row],[Winter Blanket]])</f>
        <v>0</v>
      </c>
      <c r="AM977" s="294">
        <f>IF(Table_NFI[[#This Row],[Winter Clothes Adult]]+Table_NFI[[#This Row],[Winter Clothes Children]]+Table_NFI[[#This Row],[Winter Items Other]]+Table_NFI[[#This Row],[Winter Blanket]]&gt;0,1,0)</f>
        <v>0</v>
      </c>
      <c r="AN977" s="331">
        <f>IF(NFI_Expiration=1,IF($A977&lt;VLOOKUP(V$5,NFI,5,0),1,0)*Table_NFI[[#This Row],[Jerry Can]],Table_NFI[Jerry Can])</f>
        <v>0</v>
      </c>
      <c r="AO977" s="331">
        <f>IF(NFI_Expiration=1,IF($A977&lt;VLOOKUP(V$5,NFI,5,0),1,0)*Table_NFI[[#This Row],[Shelter Tool kit]],Table_NFI[Shelter Tool kit])</f>
        <v>0</v>
      </c>
      <c r="AP977" s="331">
        <f>IF(NFI_Expiration=1,IF($A977&lt;VLOOKUP(V$5,NFI,5,0),1,0)*Table_NFI[[#This Row],[Tent]],Table_NFI[Tent])</f>
        <v>0</v>
      </c>
      <c r="AQ977" s="467" t="str">
        <f>IFERROR(VLOOKUP(Table_NFI[[#This Row],[Camp Name]],CL,2,0),"")</f>
        <v>MMR001CMP054</v>
      </c>
      <c r="AR977" s="835">
        <f ca="1">IF(Table_NFI[[#This Row],[Pcode]]="","",IF(OFFSET(CampList[Opening Date],MATCH(Table_NFI[[#This Row],[Pcode]],CampList[CP_Pcode],0)-1,0,1,1)&gt;=NFI_Monitor_Date,1,0))</f>
        <v>0</v>
      </c>
      <c r="AS977" s="467" t="str">
        <f>IFERROR(VLOOKUP(Table_NFI[[#This Row],[Camp Name]],CL,3,0),"")</f>
        <v>Open</v>
      </c>
      <c r="AT977" s="294" t="str">
        <f ca="1">IF(Table_NFI[[#This Row],[Pcode]]="","",OFFSET(CampList[Priority],MATCH(Table_NFI[[#This Row],[Pcode]],CampList[CP_Pcode],0)-1,0,1,1))</f>
        <v>P4</v>
      </c>
      <c r="AU977" s="293">
        <f>IFERROR(Table_NFI[[#This Row],[Kitchen Set]]/VLOOKUP(Table_NFI[[#This Row],[Camp Name]],CL,4,0),"")</f>
        <v>1.4688601645123384E-4</v>
      </c>
      <c r="AV977" s="461" t="s">
        <v>1092</v>
      </c>
      <c r="AW977" s="463"/>
    </row>
    <row r="978" spans="1:49" ht="14.45" customHeight="1" x14ac:dyDescent="0.25">
      <c r="A978" s="297">
        <f t="shared" si="15"/>
        <v>55.666666666666664</v>
      </c>
      <c r="B978" s="460">
        <v>41066</v>
      </c>
      <c r="C978" s="461" t="s">
        <v>452</v>
      </c>
      <c r="D978" s="462" t="s">
        <v>573</v>
      </c>
      <c r="E978" s="461" t="s">
        <v>380</v>
      </c>
      <c r="F978" s="290" t="s">
        <v>185</v>
      </c>
      <c r="G978" s="290" t="s">
        <v>194</v>
      </c>
      <c r="H978" s="291"/>
      <c r="I978" s="291"/>
      <c r="J978" s="291"/>
      <c r="K978" s="291">
        <v>0</v>
      </c>
      <c r="L978" s="292">
        <v>200</v>
      </c>
      <c r="M978" s="292">
        <v>0</v>
      </c>
      <c r="N978" s="292">
        <v>0</v>
      </c>
      <c r="O978" s="292">
        <v>0</v>
      </c>
      <c r="P978" s="294"/>
      <c r="Q978" s="294"/>
      <c r="R978" s="294"/>
      <c r="S978" s="294"/>
      <c r="T978" s="294"/>
      <c r="U978" s="294"/>
      <c r="V978" s="431"/>
      <c r="W978" s="294"/>
      <c r="X978" s="294"/>
      <c r="Y978" s="294">
        <f>IF(NFI_Expiration=1,IF($A978&lt;VLOOKUP(H$5,NFI,5,0),1,0)*Table_NFI[[#This Row],[Hygiene Kit]],Table_NFI[Hygiene Kit])</f>
        <v>0</v>
      </c>
      <c r="Z978" s="294">
        <f>IF(NFI_Expiration=1,IF($A978&lt;VLOOKUP(I$5,NFI,5,0),1,0)*Table_NFI[[#This Row],[NFI Core Kit]],Table_NFI[NFI Core Kit])</f>
        <v>0</v>
      </c>
      <c r="AA978" s="294">
        <f>IF(NFI_Expiration=1,IF($A978&lt;VLOOKUP(J$5,NFI,5,0),1,0)*Table_NFI[[#This Row],[Sanitary Kit]],Table_NFI[Sanitary Kit])</f>
        <v>0</v>
      </c>
      <c r="AB978" s="294">
        <f>IF(NFI_Expiration=1,IF($A978&lt;VLOOKUP(K$5,NFI,5,0),1,0)*Table_NFI[[#This Row],[Mosquito net]],Table_NFI[Mosquito net])</f>
        <v>0</v>
      </c>
      <c r="AC978" s="294">
        <f>IF(NFI_Expiration=1,IF($A978&lt;VLOOKUP(L$5,NFI,5,0),1,0)*Table_NFI[[#This Row],[Tarpaulin]],Table_NFI[[#This Row],[Tarpaulin]])</f>
        <v>0</v>
      </c>
      <c r="AD978" s="294">
        <f>IF(NFI_Expiration=1,IF($A978&lt;VLOOKUP(M$5,NFI,5,0),1,0)*Table_NFI[[#This Row],[Blanket]],Table_NFI[[#This Row],[Blanket]])</f>
        <v>0</v>
      </c>
      <c r="AE978" s="294">
        <f>IF(NFI_Expiration=1,IF($A978&lt;VLOOKUP(N$5,NFI,5,0),1,0)*Table_NFI[[#This Row],[Kitchen Set]],Table_NFI[Kitchen Set])</f>
        <v>0</v>
      </c>
      <c r="AF978" s="294">
        <f>IF(NFI_Expiration=1,IF($A978&lt;VLOOKUP(O$5,NFI,5,0),1,0)*Table_NFI[[#This Row],[Clothes Kit]],Table_NFI[Clothes Kit])</f>
        <v>0</v>
      </c>
      <c r="AG978" s="294">
        <f>IF(NFI_Expiration=1,IF($A978&lt;VLOOKUP(P$5,NFI,5,0),1,0)*Table_NFI[[#This Row],[Plastic Bucket]],Table_NFI[Plastic Bucket])</f>
        <v>0</v>
      </c>
      <c r="AH978" s="294">
        <f>IF(NFI_Expiration=1,IF($A978&lt;VLOOKUP(Q$5,NFI,5,0),1,0)*Table_NFI[[#This Row],[Plastic Mat]],Table_NFI[Plastic Mat])*IF(Table_NFI[[#This Row],[Distribution Date]]&gt;"2014-04-01",1,2.5)</f>
        <v>0</v>
      </c>
      <c r="AI978" s="294">
        <f>IF(NFI_Expiration=1,IF($A978&lt;VLOOKUP(R$5,NFI,5,0),1,0)*Table_NFI[[#This Row],[Winter Clothes Adult]],Table_NFI[Winter Clothes Adult])</f>
        <v>0</v>
      </c>
      <c r="AJ978" s="294">
        <f>IF(NFI_Expiration=1,IF($A978&lt;VLOOKUP(S$5,NFI,5,0),1,0)*Table_NFI[[#This Row],[Winter Clothes Children]],Table_NFI[Winter Clothes Children])</f>
        <v>0</v>
      </c>
      <c r="AK978" s="294">
        <f>IF(NFI_Expiration=1,IF($A978&lt;VLOOKUP(T$5,NFI,5,0),1,0)*Table_NFI[[#This Row],[Winter Items Other]],Table_NFI[Winter Items Other])</f>
        <v>0</v>
      </c>
      <c r="AL978" s="294">
        <f>IF(NFI_Expiration=1,IF($A978&lt;VLOOKUP(M$5,NFI,5,0),1,0)*Table_NFI[[#This Row],[Winter Blanket]],Table_NFI[[#This Row],[Winter Blanket]])</f>
        <v>0</v>
      </c>
      <c r="AM978" s="294">
        <f>IF(Table_NFI[[#This Row],[Winter Clothes Adult]]+Table_NFI[[#This Row],[Winter Clothes Children]]+Table_NFI[[#This Row],[Winter Items Other]]+Table_NFI[[#This Row],[Winter Blanket]]&gt;0,1,0)</f>
        <v>0</v>
      </c>
      <c r="AN978" s="331">
        <f>IF(NFI_Expiration=1,IF($A978&lt;VLOOKUP(V$5,NFI,5,0),1,0)*Table_NFI[[#This Row],[Jerry Can]],Table_NFI[Jerry Can])</f>
        <v>0</v>
      </c>
      <c r="AO978" s="331">
        <f>IF(NFI_Expiration=1,IF($A978&lt;VLOOKUP(V$5,NFI,5,0),1,0)*Table_NFI[[#This Row],[Shelter Tool kit]],Table_NFI[Shelter Tool kit])</f>
        <v>0</v>
      </c>
      <c r="AP978" s="331">
        <f>IF(NFI_Expiration=1,IF($A978&lt;VLOOKUP(V$5,NFI,5,0),1,0)*Table_NFI[[#This Row],[Tent]],Table_NFI[Tent])</f>
        <v>0</v>
      </c>
      <c r="AQ978" s="467" t="str">
        <f>IFERROR(VLOOKUP(Table_NFI[[#This Row],[Camp Name]],CL,2,0),"")</f>
        <v>MMR001CMP122</v>
      </c>
      <c r="AR978" s="835">
        <f ca="1">IF(Table_NFI[[#This Row],[Pcode]]="","",IF(OFFSET(CampList[Opening Date],MATCH(Table_NFI[[#This Row],[Pcode]],CampList[CP_Pcode],0)-1,0,1,1)&gt;=NFI_Monitor_Date,1,0))</f>
        <v>0</v>
      </c>
      <c r="AS978" s="467" t="str">
        <f>IFERROR(VLOOKUP(Table_NFI[[#This Row],[Camp Name]],CL,3,0),"")</f>
        <v>Open</v>
      </c>
      <c r="AT978" s="294" t="str">
        <f ca="1">IF(Table_NFI[[#This Row],[Pcode]]="","",OFFSET(CampList[Priority],MATCH(Table_NFI[[#This Row],[Pcode]],CampList[CP_Pcode],0)-1,0,1,1))</f>
        <v>P2</v>
      </c>
      <c r="AU978" s="293">
        <f>IFERROR(Table_NFI[[#This Row],[Kitchen Set]]/VLOOKUP(Table_NFI[[#This Row],[Camp Name]],CL,4,0),"")</f>
        <v>0</v>
      </c>
      <c r="AV978" s="461" t="s">
        <v>1092</v>
      </c>
      <c r="AW978" s="463"/>
    </row>
    <row r="979" spans="1:49" ht="14.45" customHeight="1" x14ac:dyDescent="0.25">
      <c r="A979" s="297">
        <f t="shared" si="15"/>
        <v>55.666666666666664</v>
      </c>
      <c r="B979" s="460">
        <v>41066</v>
      </c>
      <c r="C979" s="461" t="s">
        <v>452</v>
      </c>
      <c r="D979" s="462" t="s">
        <v>452</v>
      </c>
      <c r="E979" s="461" t="s">
        <v>380</v>
      </c>
      <c r="F979" s="290" t="s">
        <v>185</v>
      </c>
      <c r="G979" s="290" t="s">
        <v>219</v>
      </c>
      <c r="H979" s="291"/>
      <c r="I979" s="291"/>
      <c r="J979" s="291"/>
      <c r="K979" s="291">
        <v>144</v>
      </c>
      <c r="L979" s="292">
        <v>76</v>
      </c>
      <c r="M979" s="292">
        <v>143</v>
      </c>
      <c r="N979" s="292">
        <v>76</v>
      </c>
      <c r="O979" s="292">
        <v>78</v>
      </c>
      <c r="P979" s="294">
        <v>78</v>
      </c>
      <c r="Q979" s="294">
        <v>78</v>
      </c>
      <c r="R979" s="294"/>
      <c r="S979" s="294"/>
      <c r="T979" s="294"/>
      <c r="U979" s="294"/>
      <c r="V979" s="431"/>
      <c r="W979" s="294"/>
      <c r="X979" s="294"/>
      <c r="Y979" s="294">
        <f>IF(NFI_Expiration=1,IF($A979&lt;VLOOKUP(H$5,NFI,5,0),1,0)*Table_NFI[[#This Row],[Hygiene Kit]],Table_NFI[Hygiene Kit])</f>
        <v>0</v>
      </c>
      <c r="Z979" s="294">
        <f>IF(NFI_Expiration=1,IF($A979&lt;VLOOKUP(I$5,NFI,5,0),1,0)*Table_NFI[[#This Row],[NFI Core Kit]],Table_NFI[NFI Core Kit])</f>
        <v>0</v>
      </c>
      <c r="AA979" s="294">
        <f>IF(NFI_Expiration=1,IF($A979&lt;VLOOKUP(J$5,NFI,5,0),1,0)*Table_NFI[[#This Row],[Sanitary Kit]],Table_NFI[Sanitary Kit])</f>
        <v>0</v>
      </c>
      <c r="AB979" s="294">
        <f>IF(NFI_Expiration=1,IF($A979&lt;VLOOKUP(K$5,NFI,5,0),1,0)*Table_NFI[[#This Row],[Mosquito net]],Table_NFI[Mosquito net])</f>
        <v>0</v>
      </c>
      <c r="AC979" s="294">
        <f>IF(NFI_Expiration=1,IF($A979&lt;VLOOKUP(L$5,NFI,5,0),1,0)*Table_NFI[[#This Row],[Tarpaulin]],Table_NFI[[#This Row],[Tarpaulin]])</f>
        <v>0</v>
      </c>
      <c r="AD979" s="294">
        <f>IF(NFI_Expiration=1,IF($A979&lt;VLOOKUP(M$5,NFI,5,0),1,0)*Table_NFI[[#This Row],[Blanket]],Table_NFI[[#This Row],[Blanket]])</f>
        <v>0</v>
      </c>
      <c r="AE979" s="294">
        <f>IF(NFI_Expiration=1,IF($A979&lt;VLOOKUP(N$5,NFI,5,0),1,0)*Table_NFI[[#This Row],[Kitchen Set]],Table_NFI[Kitchen Set])</f>
        <v>0</v>
      </c>
      <c r="AF979" s="294">
        <f>IF(NFI_Expiration=1,IF($A979&lt;VLOOKUP(O$5,NFI,5,0),1,0)*Table_NFI[[#This Row],[Clothes Kit]],Table_NFI[Clothes Kit])</f>
        <v>0</v>
      </c>
      <c r="AG979" s="294">
        <f>IF(NFI_Expiration=1,IF($A979&lt;VLOOKUP(P$5,NFI,5,0),1,0)*Table_NFI[[#This Row],[Plastic Bucket]],Table_NFI[Plastic Bucket])</f>
        <v>0</v>
      </c>
      <c r="AH979" s="294">
        <f>IF(NFI_Expiration=1,IF($A979&lt;VLOOKUP(Q$5,NFI,5,0),1,0)*Table_NFI[[#This Row],[Plastic Mat]],Table_NFI[Plastic Mat])*IF(Table_NFI[[#This Row],[Distribution Date]]&gt;"2014-04-01",1,2.5)</f>
        <v>0</v>
      </c>
      <c r="AI979" s="294">
        <f>IF(NFI_Expiration=1,IF($A979&lt;VLOOKUP(R$5,NFI,5,0),1,0)*Table_NFI[[#This Row],[Winter Clothes Adult]],Table_NFI[Winter Clothes Adult])</f>
        <v>0</v>
      </c>
      <c r="AJ979" s="294">
        <f>IF(NFI_Expiration=1,IF($A979&lt;VLOOKUP(S$5,NFI,5,0),1,0)*Table_NFI[[#This Row],[Winter Clothes Children]],Table_NFI[Winter Clothes Children])</f>
        <v>0</v>
      </c>
      <c r="AK979" s="294">
        <f>IF(NFI_Expiration=1,IF($A979&lt;VLOOKUP(T$5,NFI,5,0),1,0)*Table_NFI[[#This Row],[Winter Items Other]],Table_NFI[Winter Items Other])</f>
        <v>0</v>
      </c>
      <c r="AL979" s="294">
        <f>IF(NFI_Expiration=1,IF($A979&lt;VLOOKUP(M$5,NFI,5,0),1,0)*Table_NFI[[#This Row],[Winter Blanket]],Table_NFI[[#This Row],[Winter Blanket]])</f>
        <v>0</v>
      </c>
      <c r="AM979" s="294">
        <f>IF(Table_NFI[[#This Row],[Winter Clothes Adult]]+Table_NFI[[#This Row],[Winter Clothes Children]]+Table_NFI[[#This Row],[Winter Items Other]]+Table_NFI[[#This Row],[Winter Blanket]]&gt;0,1,0)</f>
        <v>0</v>
      </c>
      <c r="AN979" s="331">
        <f>IF(NFI_Expiration=1,IF($A979&lt;VLOOKUP(V$5,NFI,5,0),1,0)*Table_NFI[[#This Row],[Jerry Can]],Table_NFI[Jerry Can])</f>
        <v>0</v>
      </c>
      <c r="AO979" s="331">
        <f>IF(NFI_Expiration=1,IF($A979&lt;VLOOKUP(V$5,NFI,5,0),1,0)*Table_NFI[[#This Row],[Shelter Tool kit]],Table_NFI[Shelter Tool kit])</f>
        <v>0</v>
      </c>
      <c r="AP979" s="331">
        <f>IF(NFI_Expiration=1,IF($A979&lt;VLOOKUP(V$5,NFI,5,0),1,0)*Table_NFI[[#This Row],[Tent]],Table_NFI[Tent])</f>
        <v>0</v>
      </c>
      <c r="AQ979" s="467" t="str">
        <f>IFERROR(VLOOKUP(Table_NFI[[#This Row],[Camp Name]],CL,2,0),"")</f>
        <v>MMR001CMP126</v>
      </c>
      <c r="AR979" s="835">
        <f ca="1">IF(Table_NFI[[#This Row],[Pcode]]="","",IF(OFFSET(CampList[Opening Date],MATCH(Table_NFI[[#This Row],[Pcode]],CampList[CP_Pcode],0)-1,0,1,1)&gt;=NFI_Monitor_Date,1,0))</f>
        <v>0</v>
      </c>
      <c r="AS979" s="467" t="str">
        <f>IFERROR(VLOOKUP(Table_NFI[[#This Row],[Camp Name]],CL,3,0),"")</f>
        <v>Open</v>
      </c>
      <c r="AT979" s="294" t="str">
        <f ca="1">IF(Table_NFI[[#This Row],[Pcode]]="","",OFFSET(CampList[Priority],MATCH(Table_NFI[[#This Row],[Pcode]],CampList[CP_Pcode],0)-1,0,1,1))</f>
        <v>P2</v>
      </c>
      <c r="AU979" s="293">
        <f>IFERROR(Table_NFI[[#This Row],[Kitchen Set]]/VLOOKUP(Table_NFI[[#This Row],[Camp Name]],CL,4,0),"")</f>
        <v>1.8536585365853658E-3</v>
      </c>
      <c r="AV979" s="461" t="s">
        <v>1092</v>
      </c>
      <c r="AW979" s="463"/>
    </row>
    <row r="980" spans="1:49" ht="14.45" customHeight="1" x14ac:dyDescent="0.25">
      <c r="A980" s="297">
        <f t="shared" si="15"/>
        <v>55.7</v>
      </c>
      <c r="B980" s="460">
        <v>41065</v>
      </c>
      <c r="C980" s="461" t="s">
        <v>452</v>
      </c>
      <c r="D980" s="461" t="s">
        <v>452</v>
      </c>
      <c r="E980" s="461" t="s">
        <v>380</v>
      </c>
      <c r="F980" s="461" t="s">
        <v>185</v>
      </c>
      <c r="G980" s="290" t="s">
        <v>211</v>
      </c>
      <c r="H980" s="291"/>
      <c r="I980" s="291"/>
      <c r="J980" s="291"/>
      <c r="K980" s="291">
        <v>10</v>
      </c>
      <c r="L980" s="292">
        <v>5</v>
      </c>
      <c r="M980" s="292">
        <v>10</v>
      </c>
      <c r="N980" s="292">
        <v>5</v>
      </c>
      <c r="O980" s="292">
        <v>5</v>
      </c>
      <c r="P980" s="294">
        <v>5</v>
      </c>
      <c r="Q980" s="294">
        <v>5</v>
      </c>
      <c r="R980" s="294"/>
      <c r="S980" s="294"/>
      <c r="T980" s="294"/>
      <c r="U980" s="294"/>
      <c r="V980" s="431"/>
      <c r="W980" s="294"/>
      <c r="X980" s="294"/>
      <c r="Y980" s="294">
        <f>IF(NFI_Expiration=1,IF($A980&lt;VLOOKUP(H$5,NFI,5,0),1,0)*Table_NFI[[#This Row],[Hygiene Kit]],Table_NFI[Hygiene Kit])</f>
        <v>0</v>
      </c>
      <c r="Z980" s="294">
        <f>IF(NFI_Expiration=1,IF($A980&lt;VLOOKUP(I$5,NFI,5,0),1,0)*Table_NFI[[#This Row],[NFI Core Kit]],Table_NFI[NFI Core Kit])</f>
        <v>0</v>
      </c>
      <c r="AA980" s="294">
        <f>IF(NFI_Expiration=1,IF($A980&lt;VLOOKUP(J$5,NFI,5,0),1,0)*Table_NFI[[#This Row],[Sanitary Kit]],Table_NFI[Sanitary Kit])</f>
        <v>0</v>
      </c>
      <c r="AB980" s="294">
        <f>IF(NFI_Expiration=1,IF($A980&lt;VLOOKUP(K$5,NFI,5,0),1,0)*Table_NFI[[#This Row],[Mosquito net]],Table_NFI[Mosquito net])</f>
        <v>0</v>
      </c>
      <c r="AC980" s="294">
        <f>IF(NFI_Expiration=1,IF($A980&lt;VLOOKUP(L$5,NFI,5,0),1,0)*Table_NFI[[#This Row],[Tarpaulin]],Table_NFI[[#This Row],[Tarpaulin]])</f>
        <v>0</v>
      </c>
      <c r="AD980" s="294">
        <f>IF(NFI_Expiration=1,IF($A980&lt;VLOOKUP(M$5,NFI,5,0),1,0)*Table_NFI[[#This Row],[Blanket]],Table_NFI[[#This Row],[Blanket]])</f>
        <v>0</v>
      </c>
      <c r="AE980" s="294">
        <f>IF(NFI_Expiration=1,IF($A980&lt;VLOOKUP(N$5,NFI,5,0),1,0)*Table_NFI[[#This Row],[Kitchen Set]],Table_NFI[Kitchen Set])</f>
        <v>0</v>
      </c>
      <c r="AF980" s="294">
        <f>IF(NFI_Expiration=1,IF($A980&lt;VLOOKUP(O$5,NFI,5,0),1,0)*Table_NFI[[#This Row],[Clothes Kit]],Table_NFI[Clothes Kit])</f>
        <v>0</v>
      </c>
      <c r="AG980" s="294">
        <f>IF(NFI_Expiration=1,IF($A980&lt;VLOOKUP(P$5,NFI,5,0),1,0)*Table_NFI[[#This Row],[Plastic Bucket]],Table_NFI[Plastic Bucket])</f>
        <v>0</v>
      </c>
      <c r="AH980" s="294">
        <f>IF(NFI_Expiration=1,IF($A980&lt;VLOOKUP(Q$5,NFI,5,0),1,0)*Table_NFI[[#This Row],[Plastic Mat]],Table_NFI[Plastic Mat])*IF(Table_NFI[[#This Row],[Distribution Date]]&gt;"2014-04-01",1,2.5)</f>
        <v>0</v>
      </c>
      <c r="AI980" s="294">
        <f>IF(NFI_Expiration=1,IF($A980&lt;VLOOKUP(R$5,NFI,5,0),1,0)*Table_NFI[[#This Row],[Winter Clothes Adult]],Table_NFI[Winter Clothes Adult])</f>
        <v>0</v>
      </c>
      <c r="AJ980" s="294">
        <f>IF(NFI_Expiration=1,IF($A980&lt;VLOOKUP(S$5,NFI,5,0),1,0)*Table_NFI[[#This Row],[Winter Clothes Children]],Table_NFI[Winter Clothes Children])</f>
        <v>0</v>
      </c>
      <c r="AK980" s="294">
        <f>IF(NFI_Expiration=1,IF($A980&lt;VLOOKUP(T$5,NFI,5,0),1,0)*Table_NFI[[#This Row],[Winter Items Other]],Table_NFI[Winter Items Other])</f>
        <v>0</v>
      </c>
      <c r="AL980" s="294">
        <f>IF(NFI_Expiration=1,IF($A980&lt;VLOOKUP(M$5,NFI,5,0),1,0)*Table_NFI[[#This Row],[Winter Blanket]],Table_NFI[[#This Row],[Winter Blanket]])</f>
        <v>0</v>
      </c>
      <c r="AM980" s="294">
        <f>IF(Table_NFI[[#This Row],[Winter Clothes Adult]]+Table_NFI[[#This Row],[Winter Clothes Children]]+Table_NFI[[#This Row],[Winter Items Other]]+Table_NFI[[#This Row],[Winter Blanket]]&gt;0,1,0)</f>
        <v>0</v>
      </c>
      <c r="AN980" s="331">
        <f>IF(NFI_Expiration=1,IF($A980&lt;VLOOKUP(V$5,NFI,5,0),1,0)*Table_NFI[[#This Row],[Jerry Can]],Table_NFI[Jerry Can])</f>
        <v>0</v>
      </c>
      <c r="AO980" s="331">
        <f>IF(NFI_Expiration=1,IF($A980&lt;VLOOKUP(V$5,NFI,5,0),1,0)*Table_NFI[[#This Row],[Shelter Tool kit]],Table_NFI[Shelter Tool kit])</f>
        <v>0</v>
      </c>
      <c r="AP980" s="331">
        <f>IF(NFI_Expiration=1,IF($A980&lt;VLOOKUP(V$5,NFI,5,0),1,0)*Table_NFI[[#This Row],[Tent]],Table_NFI[Tent])</f>
        <v>0</v>
      </c>
      <c r="AQ980" s="467" t="str">
        <f>IFERROR(VLOOKUP(Table_NFI[[#This Row],[Camp Name]],CL,2,0),"")</f>
        <v>MMR001CMP057</v>
      </c>
      <c r="AR980" s="835">
        <f ca="1">IF(Table_NFI[[#This Row],[Pcode]]="","",IF(OFFSET(CampList[Opening Date],MATCH(Table_NFI[[#This Row],[Pcode]],CampList[CP_Pcode],0)-1,0,1,1)&gt;=NFI_Monitor_Date,1,0))</f>
        <v>0</v>
      </c>
      <c r="AS980" s="467" t="str">
        <f>IFERROR(VLOOKUP(Table_NFI[[#This Row],[Camp Name]],CL,3,0),"")</f>
        <v>Closed</v>
      </c>
      <c r="AT980" s="294" t="str">
        <f ca="1">IF(Table_NFI[[#This Row],[Pcode]]="","",OFFSET(CampList[Priority],MATCH(Table_NFI[[#This Row],[Pcode]],CampList[CP_Pcode],0)-1,0,1,1))</f>
        <v>P4</v>
      </c>
      <c r="AU980" s="293">
        <f>IFERROR(Table_NFI[[#This Row],[Kitchen Set]]/VLOOKUP(Table_NFI[[#This Row],[Camp Name]],CL,4,0),"")</f>
        <v>1.2268132299538719E-4</v>
      </c>
      <c r="AV980" s="461" t="s">
        <v>1092</v>
      </c>
      <c r="AW980" s="463"/>
    </row>
    <row r="981" spans="1:49" ht="14.45" customHeight="1" x14ac:dyDescent="0.25">
      <c r="A981" s="297">
        <f t="shared" si="15"/>
        <v>55.833333333333336</v>
      </c>
      <c r="B981" s="460">
        <v>41061</v>
      </c>
      <c r="C981" s="461" t="s">
        <v>452</v>
      </c>
      <c r="D981" s="461" t="s">
        <v>452</v>
      </c>
      <c r="E981" s="461" t="s">
        <v>380</v>
      </c>
      <c r="F981" s="290" t="s">
        <v>237</v>
      </c>
      <c r="G981" s="290" t="s">
        <v>263</v>
      </c>
      <c r="H981" s="291"/>
      <c r="I981" s="291"/>
      <c r="J981" s="291"/>
      <c r="K981" s="291">
        <v>22</v>
      </c>
      <c r="L981" s="292">
        <v>11</v>
      </c>
      <c r="M981" s="292">
        <v>22</v>
      </c>
      <c r="N981" s="292">
        <v>11</v>
      </c>
      <c r="O981" s="292">
        <v>11</v>
      </c>
      <c r="P981" s="294">
        <v>11</v>
      </c>
      <c r="Q981" s="294">
        <v>11</v>
      </c>
      <c r="R981" s="294"/>
      <c r="S981" s="294"/>
      <c r="T981" s="294"/>
      <c r="U981" s="294"/>
      <c r="V981" s="431"/>
      <c r="W981" s="294"/>
      <c r="X981" s="294"/>
      <c r="Y981" s="294">
        <f>IF(NFI_Expiration=1,IF($A981&lt;VLOOKUP(H$5,NFI,5,0),1,0)*Table_NFI[[#This Row],[Hygiene Kit]],Table_NFI[Hygiene Kit])</f>
        <v>0</v>
      </c>
      <c r="Z981" s="294">
        <f>IF(NFI_Expiration=1,IF($A981&lt;VLOOKUP(I$5,NFI,5,0),1,0)*Table_NFI[[#This Row],[NFI Core Kit]],Table_NFI[NFI Core Kit])</f>
        <v>0</v>
      </c>
      <c r="AA981" s="294">
        <f>IF(NFI_Expiration=1,IF($A981&lt;VLOOKUP(J$5,NFI,5,0),1,0)*Table_NFI[[#This Row],[Sanitary Kit]],Table_NFI[Sanitary Kit])</f>
        <v>0</v>
      </c>
      <c r="AB981" s="294">
        <f>IF(NFI_Expiration=1,IF($A981&lt;VLOOKUP(K$5,NFI,5,0),1,0)*Table_NFI[[#This Row],[Mosquito net]],Table_NFI[Mosquito net])</f>
        <v>0</v>
      </c>
      <c r="AC981" s="294">
        <f>IF(NFI_Expiration=1,IF($A981&lt;VLOOKUP(L$5,NFI,5,0),1,0)*Table_NFI[[#This Row],[Tarpaulin]],Table_NFI[[#This Row],[Tarpaulin]])</f>
        <v>0</v>
      </c>
      <c r="AD981" s="294">
        <f>IF(NFI_Expiration=1,IF($A981&lt;VLOOKUP(M$5,NFI,5,0),1,0)*Table_NFI[[#This Row],[Blanket]],Table_NFI[[#This Row],[Blanket]])</f>
        <v>0</v>
      </c>
      <c r="AE981" s="294">
        <f>IF(NFI_Expiration=1,IF($A981&lt;VLOOKUP(N$5,NFI,5,0),1,0)*Table_NFI[[#This Row],[Kitchen Set]],Table_NFI[Kitchen Set])</f>
        <v>0</v>
      </c>
      <c r="AF981" s="294">
        <f>IF(NFI_Expiration=1,IF($A981&lt;VLOOKUP(O$5,NFI,5,0),1,0)*Table_NFI[[#This Row],[Clothes Kit]],Table_NFI[Clothes Kit])</f>
        <v>0</v>
      </c>
      <c r="AG981" s="294">
        <f>IF(NFI_Expiration=1,IF($A981&lt;VLOOKUP(P$5,NFI,5,0),1,0)*Table_NFI[[#This Row],[Plastic Bucket]],Table_NFI[Plastic Bucket])</f>
        <v>0</v>
      </c>
      <c r="AH981" s="294">
        <f>IF(NFI_Expiration=1,IF($A981&lt;VLOOKUP(Q$5,NFI,5,0),1,0)*Table_NFI[[#This Row],[Plastic Mat]],Table_NFI[Plastic Mat])*IF(Table_NFI[[#This Row],[Distribution Date]]&gt;"2014-04-01",1,2.5)</f>
        <v>0</v>
      </c>
      <c r="AI981" s="294">
        <f>IF(NFI_Expiration=1,IF($A981&lt;VLOOKUP(R$5,NFI,5,0),1,0)*Table_NFI[[#This Row],[Winter Clothes Adult]],Table_NFI[Winter Clothes Adult])</f>
        <v>0</v>
      </c>
      <c r="AJ981" s="294">
        <f>IF(NFI_Expiration=1,IF($A981&lt;VLOOKUP(S$5,NFI,5,0),1,0)*Table_NFI[[#This Row],[Winter Clothes Children]],Table_NFI[Winter Clothes Children])</f>
        <v>0</v>
      </c>
      <c r="AK981" s="294">
        <f>IF(NFI_Expiration=1,IF($A981&lt;VLOOKUP(T$5,NFI,5,0),1,0)*Table_NFI[[#This Row],[Winter Items Other]],Table_NFI[Winter Items Other])</f>
        <v>0</v>
      </c>
      <c r="AL981" s="294">
        <f>IF(NFI_Expiration=1,IF($A981&lt;VLOOKUP(M$5,NFI,5,0),1,0)*Table_NFI[[#This Row],[Winter Blanket]],Table_NFI[[#This Row],[Winter Blanket]])</f>
        <v>0</v>
      </c>
      <c r="AM981" s="294">
        <f>IF(Table_NFI[[#This Row],[Winter Clothes Adult]]+Table_NFI[[#This Row],[Winter Clothes Children]]+Table_NFI[[#This Row],[Winter Items Other]]+Table_NFI[[#This Row],[Winter Blanket]]&gt;0,1,0)</f>
        <v>0</v>
      </c>
      <c r="AN981" s="331">
        <f>IF(NFI_Expiration=1,IF($A981&lt;VLOOKUP(V$5,NFI,5,0),1,0)*Table_NFI[[#This Row],[Jerry Can]],Table_NFI[Jerry Can])</f>
        <v>0</v>
      </c>
      <c r="AO981" s="331">
        <f>IF(NFI_Expiration=1,IF($A981&lt;VLOOKUP(V$5,NFI,5,0),1,0)*Table_NFI[[#This Row],[Shelter Tool kit]],Table_NFI[Shelter Tool kit])</f>
        <v>0</v>
      </c>
      <c r="AP981" s="331">
        <f>IF(NFI_Expiration=1,IF($A981&lt;VLOOKUP(V$5,NFI,5,0),1,0)*Table_NFI[[#This Row],[Tent]],Table_NFI[Tent])</f>
        <v>0</v>
      </c>
      <c r="AQ981" s="467" t="str">
        <f>IFERROR(VLOOKUP(Table_NFI[[#This Row],[Camp Name]],CL,2,0),"")</f>
        <v>MMR001CMP020</v>
      </c>
      <c r="AR981" s="835">
        <f ca="1">IF(Table_NFI[[#This Row],[Pcode]]="","",IF(OFFSET(CampList[Opening Date],MATCH(Table_NFI[[#This Row],[Pcode]],CampList[CP_Pcode],0)-1,0,1,1)&gt;=NFI_Monitor_Date,1,0))</f>
        <v>0</v>
      </c>
      <c r="AS981" s="467" t="str">
        <f>IFERROR(VLOOKUP(Table_NFI[[#This Row],[Camp Name]],CL,3,0),"")</f>
        <v>Open</v>
      </c>
      <c r="AT981" s="294" t="str">
        <f ca="1">IF(Table_NFI[[#This Row],[Pcode]]="","",OFFSET(CampList[Priority],MATCH(Table_NFI[[#This Row],[Pcode]],CampList[CP_Pcode],0)-1,0,1,1))</f>
        <v>P4</v>
      </c>
      <c r="AU981" s="293">
        <f>IFERROR(Table_NFI[[#This Row],[Kitchen Set]]/VLOOKUP(Table_NFI[[#This Row],[Camp Name]],CL,4,0),"")</f>
        <v>2.6949555332337016E-4</v>
      </c>
      <c r="AV981" s="461" t="s">
        <v>1092</v>
      </c>
      <c r="AW981" s="463"/>
    </row>
    <row r="982" spans="1:49" ht="14.45" customHeight="1" x14ac:dyDescent="0.25">
      <c r="A982" s="297">
        <f t="shared" si="15"/>
        <v>55.833333333333336</v>
      </c>
      <c r="B982" s="460">
        <v>41061</v>
      </c>
      <c r="C982" s="461" t="s">
        <v>452</v>
      </c>
      <c r="D982" s="461" t="s">
        <v>452</v>
      </c>
      <c r="E982" s="461" t="s">
        <v>380</v>
      </c>
      <c r="F982" s="290" t="s">
        <v>237</v>
      </c>
      <c r="G982" s="290" t="s">
        <v>265</v>
      </c>
      <c r="H982" s="291"/>
      <c r="I982" s="291"/>
      <c r="J982" s="291"/>
      <c r="K982" s="291">
        <v>35</v>
      </c>
      <c r="L982" s="292">
        <v>17</v>
      </c>
      <c r="M982" s="292">
        <v>35</v>
      </c>
      <c r="N982" s="292">
        <v>17</v>
      </c>
      <c r="O982" s="292">
        <v>17</v>
      </c>
      <c r="P982" s="294">
        <v>17</v>
      </c>
      <c r="Q982" s="294">
        <v>17</v>
      </c>
      <c r="R982" s="294"/>
      <c r="S982" s="294"/>
      <c r="T982" s="294"/>
      <c r="U982" s="294"/>
      <c r="V982" s="431"/>
      <c r="W982" s="294"/>
      <c r="X982" s="294"/>
      <c r="Y982" s="294">
        <f>IF(NFI_Expiration=1,IF($A982&lt;VLOOKUP(H$5,NFI,5,0),1,0)*Table_NFI[[#This Row],[Hygiene Kit]],Table_NFI[Hygiene Kit])</f>
        <v>0</v>
      </c>
      <c r="Z982" s="294">
        <f>IF(NFI_Expiration=1,IF($A982&lt;VLOOKUP(I$5,NFI,5,0),1,0)*Table_NFI[[#This Row],[NFI Core Kit]],Table_NFI[NFI Core Kit])</f>
        <v>0</v>
      </c>
      <c r="AA982" s="294">
        <f>IF(NFI_Expiration=1,IF($A982&lt;VLOOKUP(J$5,NFI,5,0),1,0)*Table_NFI[[#This Row],[Sanitary Kit]],Table_NFI[Sanitary Kit])</f>
        <v>0</v>
      </c>
      <c r="AB982" s="294">
        <f>IF(NFI_Expiration=1,IF($A982&lt;VLOOKUP(K$5,NFI,5,0),1,0)*Table_NFI[[#This Row],[Mosquito net]],Table_NFI[Mosquito net])</f>
        <v>0</v>
      </c>
      <c r="AC982" s="294">
        <f>IF(NFI_Expiration=1,IF($A982&lt;VLOOKUP(L$5,NFI,5,0),1,0)*Table_NFI[[#This Row],[Tarpaulin]],Table_NFI[[#This Row],[Tarpaulin]])</f>
        <v>0</v>
      </c>
      <c r="AD982" s="294">
        <f>IF(NFI_Expiration=1,IF($A982&lt;VLOOKUP(M$5,NFI,5,0),1,0)*Table_NFI[[#This Row],[Blanket]],Table_NFI[[#This Row],[Blanket]])</f>
        <v>0</v>
      </c>
      <c r="AE982" s="294">
        <f>IF(NFI_Expiration=1,IF($A982&lt;VLOOKUP(N$5,NFI,5,0),1,0)*Table_NFI[[#This Row],[Kitchen Set]],Table_NFI[Kitchen Set])</f>
        <v>0</v>
      </c>
      <c r="AF982" s="294">
        <f>IF(NFI_Expiration=1,IF($A982&lt;VLOOKUP(O$5,NFI,5,0),1,0)*Table_NFI[[#This Row],[Clothes Kit]],Table_NFI[Clothes Kit])</f>
        <v>0</v>
      </c>
      <c r="AG982" s="294">
        <f>IF(NFI_Expiration=1,IF($A982&lt;VLOOKUP(P$5,NFI,5,0),1,0)*Table_NFI[[#This Row],[Plastic Bucket]],Table_NFI[Plastic Bucket])</f>
        <v>0</v>
      </c>
      <c r="AH982" s="294">
        <f>IF(NFI_Expiration=1,IF($A982&lt;VLOOKUP(Q$5,NFI,5,0),1,0)*Table_NFI[[#This Row],[Plastic Mat]],Table_NFI[Plastic Mat])*IF(Table_NFI[[#This Row],[Distribution Date]]&gt;"2014-04-01",1,2.5)</f>
        <v>0</v>
      </c>
      <c r="AI982" s="294">
        <f>IF(NFI_Expiration=1,IF($A982&lt;VLOOKUP(R$5,NFI,5,0),1,0)*Table_NFI[[#This Row],[Winter Clothes Adult]],Table_NFI[Winter Clothes Adult])</f>
        <v>0</v>
      </c>
      <c r="AJ982" s="294">
        <f>IF(NFI_Expiration=1,IF($A982&lt;VLOOKUP(S$5,NFI,5,0),1,0)*Table_NFI[[#This Row],[Winter Clothes Children]],Table_NFI[Winter Clothes Children])</f>
        <v>0</v>
      </c>
      <c r="AK982" s="294">
        <f>IF(NFI_Expiration=1,IF($A982&lt;VLOOKUP(T$5,NFI,5,0),1,0)*Table_NFI[[#This Row],[Winter Items Other]],Table_NFI[Winter Items Other])</f>
        <v>0</v>
      </c>
      <c r="AL982" s="294">
        <f>IF(NFI_Expiration=1,IF($A982&lt;VLOOKUP(M$5,NFI,5,0),1,0)*Table_NFI[[#This Row],[Winter Blanket]],Table_NFI[[#This Row],[Winter Blanket]])</f>
        <v>0</v>
      </c>
      <c r="AM982" s="294">
        <f>IF(Table_NFI[[#This Row],[Winter Clothes Adult]]+Table_NFI[[#This Row],[Winter Clothes Children]]+Table_NFI[[#This Row],[Winter Items Other]]+Table_NFI[[#This Row],[Winter Blanket]]&gt;0,1,0)</f>
        <v>0</v>
      </c>
      <c r="AN982" s="331">
        <f>IF(NFI_Expiration=1,IF($A982&lt;VLOOKUP(V$5,NFI,5,0),1,0)*Table_NFI[[#This Row],[Jerry Can]],Table_NFI[Jerry Can])</f>
        <v>0</v>
      </c>
      <c r="AO982" s="331">
        <f>IF(NFI_Expiration=1,IF($A982&lt;VLOOKUP(V$5,NFI,5,0),1,0)*Table_NFI[[#This Row],[Shelter Tool kit]],Table_NFI[Shelter Tool kit])</f>
        <v>0</v>
      </c>
      <c r="AP982" s="331">
        <f>IF(NFI_Expiration=1,IF($A982&lt;VLOOKUP(V$5,NFI,5,0),1,0)*Table_NFI[[#This Row],[Tent]],Table_NFI[Tent])</f>
        <v>0</v>
      </c>
      <c r="AQ982" s="467" t="str">
        <f>IFERROR(VLOOKUP(Table_NFI[[#This Row],[Camp Name]],CL,2,0),"")</f>
        <v>MMR001CMP021</v>
      </c>
      <c r="AR982" s="835">
        <f ca="1">IF(Table_NFI[[#This Row],[Pcode]]="","",IF(OFFSET(CampList[Opening Date],MATCH(Table_NFI[[#This Row],[Pcode]],CampList[CP_Pcode],0)-1,0,1,1)&gt;=NFI_Monitor_Date,1,0))</f>
        <v>0</v>
      </c>
      <c r="AS982" s="467" t="str">
        <f>IFERROR(VLOOKUP(Table_NFI[[#This Row],[Camp Name]],CL,3,0),"")</f>
        <v>Open</v>
      </c>
      <c r="AT982" s="294" t="str">
        <f ca="1">IF(Table_NFI[[#This Row],[Pcode]]="","",OFFSET(CampList[Priority],MATCH(Table_NFI[[#This Row],[Pcode]],CampList[CP_Pcode],0)-1,0,1,1))</f>
        <v>P4</v>
      </c>
      <c r="AU982" s="293">
        <f>IFERROR(Table_NFI[[#This Row],[Kitchen Set]]/VLOOKUP(Table_NFI[[#This Row],[Camp Name]],CL,4,0),"")</f>
        <v>4.1649312786339027E-4</v>
      </c>
      <c r="AV982" s="461" t="s">
        <v>1092</v>
      </c>
      <c r="AW982" s="463"/>
    </row>
    <row r="983" spans="1:49" ht="14.45" customHeight="1" x14ac:dyDescent="0.25">
      <c r="A983" s="297">
        <f t="shared" si="15"/>
        <v>55.866666666666667</v>
      </c>
      <c r="B983" s="460">
        <v>41060</v>
      </c>
      <c r="C983" s="461" t="s">
        <v>452</v>
      </c>
      <c r="D983" s="461" t="s">
        <v>460</v>
      </c>
      <c r="E983" s="461" t="s">
        <v>380</v>
      </c>
      <c r="F983" s="290" t="s">
        <v>5</v>
      </c>
      <c r="G983" s="290" t="s">
        <v>22</v>
      </c>
      <c r="H983" s="291"/>
      <c r="I983" s="291"/>
      <c r="J983" s="291"/>
      <c r="K983" s="291">
        <v>0</v>
      </c>
      <c r="L983" s="292">
        <v>20</v>
      </c>
      <c r="M983" s="292">
        <v>0</v>
      </c>
      <c r="N983" s="292">
        <v>0</v>
      </c>
      <c r="O983" s="292">
        <v>0</v>
      </c>
      <c r="P983" s="294"/>
      <c r="Q983" s="294"/>
      <c r="R983" s="294"/>
      <c r="S983" s="294"/>
      <c r="T983" s="294"/>
      <c r="U983" s="294"/>
      <c r="V983" s="431"/>
      <c r="W983" s="294"/>
      <c r="X983" s="294"/>
      <c r="Y983" s="294">
        <f>IF(NFI_Expiration=1,IF($A983&lt;VLOOKUP(H$5,NFI,5,0),1,0)*Table_NFI[[#This Row],[Hygiene Kit]],Table_NFI[Hygiene Kit])</f>
        <v>0</v>
      </c>
      <c r="Z983" s="294">
        <f>IF(NFI_Expiration=1,IF($A983&lt;VLOOKUP(I$5,NFI,5,0),1,0)*Table_NFI[[#This Row],[NFI Core Kit]],Table_NFI[NFI Core Kit])</f>
        <v>0</v>
      </c>
      <c r="AA983" s="294">
        <f>IF(NFI_Expiration=1,IF($A983&lt;VLOOKUP(J$5,NFI,5,0),1,0)*Table_NFI[[#This Row],[Sanitary Kit]],Table_NFI[Sanitary Kit])</f>
        <v>0</v>
      </c>
      <c r="AB983" s="294">
        <f>IF(NFI_Expiration=1,IF($A983&lt;VLOOKUP(K$5,NFI,5,0),1,0)*Table_NFI[[#This Row],[Mosquito net]],Table_NFI[Mosquito net])</f>
        <v>0</v>
      </c>
      <c r="AC983" s="294">
        <f>IF(NFI_Expiration=1,IF($A983&lt;VLOOKUP(L$5,NFI,5,0),1,0)*Table_NFI[[#This Row],[Tarpaulin]],Table_NFI[[#This Row],[Tarpaulin]])</f>
        <v>0</v>
      </c>
      <c r="AD983" s="294">
        <f>IF(NFI_Expiration=1,IF($A983&lt;VLOOKUP(M$5,NFI,5,0),1,0)*Table_NFI[[#This Row],[Blanket]],Table_NFI[[#This Row],[Blanket]])</f>
        <v>0</v>
      </c>
      <c r="AE983" s="294">
        <f>IF(NFI_Expiration=1,IF($A983&lt;VLOOKUP(N$5,NFI,5,0),1,0)*Table_NFI[[#This Row],[Kitchen Set]],Table_NFI[Kitchen Set])</f>
        <v>0</v>
      </c>
      <c r="AF983" s="294">
        <f>IF(NFI_Expiration=1,IF($A983&lt;VLOOKUP(O$5,NFI,5,0),1,0)*Table_NFI[[#This Row],[Clothes Kit]],Table_NFI[Clothes Kit])</f>
        <v>0</v>
      </c>
      <c r="AG983" s="294">
        <f>IF(NFI_Expiration=1,IF($A983&lt;VLOOKUP(P$5,NFI,5,0),1,0)*Table_NFI[[#This Row],[Plastic Bucket]],Table_NFI[Plastic Bucket])</f>
        <v>0</v>
      </c>
      <c r="AH983" s="294">
        <f>IF(NFI_Expiration=1,IF($A983&lt;VLOOKUP(Q$5,NFI,5,0),1,0)*Table_NFI[[#This Row],[Plastic Mat]],Table_NFI[Plastic Mat])*IF(Table_NFI[[#This Row],[Distribution Date]]&gt;"2014-04-01",1,2.5)</f>
        <v>0</v>
      </c>
      <c r="AI983" s="294">
        <f>IF(NFI_Expiration=1,IF($A983&lt;VLOOKUP(R$5,NFI,5,0),1,0)*Table_NFI[[#This Row],[Winter Clothes Adult]],Table_NFI[Winter Clothes Adult])</f>
        <v>0</v>
      </c>
      <c r="AJ983" s="294">
        <f>IF(NFI_Expiration=1,IF($A983&lt;VLOOKUP(S$5,NFI,5,0),1,0)*Table_NFI[[#This Row],[Winter Clothes Children]],Table_NFI[Winter Clothes Children])</f>
        <v>0</v>
      </c>
      <c r="AK983" s="294">
        <f>IF(NFI_Expiration=1,IF($A983&lt;VLOOKUP(T$5,NFI,5,0),1,0)*Table_NFI[[#This Row],[Winter Items Other]],Table_NFI[Winter Items Other])</f>
        <v>0</v>
      </c>
      <c r="AL983" s="294">
        <f>IF(NFI_Expiration=1,IF($A983&lt;VLOOKUP(M$5,NFI,5,0),1,0)*Table_NFI[[#This Row],[Winter Blanket]],Table_NFI[[#This Row],[Winter Blanket]])</f>
        <v>0</v>
      </c>
      <c r="AM983" s="294">
        <f>IF(Table_NFI[[#This Row],[Winter Clothes Adult]]+Table_NFI[[#This Row],[Winter Clothes Children]]+Table_NFI[[#This Row],[Winter Items Other]]+Table_NFI[[#This Row],[Winter Blanket]]&gt;0,1,0)</f>
        <v>0</v>
      </c>
      <c r="AN983" s="331">
        <f>IF(NFI_Expiration=1,IF($A983&lt;VLOOKUP(V$5,NFI,5,0),1,0)*Table_NFI[[#This Row],[Jerry Can]],Table_NFI[Jerry Can])</f>
        <v>0</v>
      </c>
      <c r="AO983" s="331">
        <f>IF(NFI_Expiration=1,IF($A983&lt;VLOOKUP(V$5,NFI,5,0),1,0)*Table_NFI[[#This Row],[Shelter Tool kit]],Table_NFI[Shelter Tool kit])</f>
        <v>0</v>
      </c>
      <c r="AP983" s="331">
        <f>IF(NFI_Expiration=1,IF($A983&lt;VLOOKUP(V$5,NFI,5,0),1,0)*Table_NFI[[#This Row],[Tent]],Table_NFI[Tent])</f>
        <v>0</v>
      </c>
      <c r="AQ983" s="467" t="str">
        <f>IFERROR(VLOOKUP(Table_NFI[[#This Row],[Camp Name]],CL,2,0),"")</f>
        <v>MMR001CMP047</v>
      </c>
      <c r="AR983" s="835">
        <f ca="1">IF(Table_NFI[[#This Row],[Pcode]]="","",IF(OFFSET(CampList[Opening Date],MATCH(Table_NFI[[#This Row],[Pcode]],CampList[CP_Pcode],0)-1,0,1,1)&gt;=NFI_Monitor_Date,1,0))</f>
        <v>0</v>
      </c>
      <c r="AS983" s="467" t="str">
        <f>IFERROR(VLOOKUP(Table_NFI[[#This Row],[Camp Name]],CL,3,0),"")</f>
        <v>Open</v>
      </c>
      <c r="AT983" s="294" t="str">
        <f ca="1">IF(Table_NFI[[#This Row],[Pcode]]="","",OFFSET(CampList[Priority],MATCH(Table_NFI[[#This Row],[Pcode]],CampList[CP_Pcode],0)-1,0,1,1))</f>
        <v>P4</v>
      </c>
      <c r="AU983" s="293">
        <f>IFERROR(Table_NFI[[#This Row],[Kitchen Set]]/VLOOKUP(Table_NFI[[#This Row],[Camp Name]],CL,4,0),"")</f>
        <v>0</v>
      </c>
      <c r="AV983" s="461" t="s">
        <v>1092</v>
      </c>
      <c r="AW983" s="463"/>
    </row>
    <row r="984" spans="1:49" ht="14.45" customHeight="1" x14ac:dyDescent="0.25">
      <c r="A984" s="297">
        <f t="shared" si="15"/>
        <v>55.966666666666669</v>
      </c>
      <c r="B984" s="460">
        <v>41057</v>
      </c>
      <c r="C984" s="461" t="s">
        <v>452</v>
      </c>
      <c r="D984" s="461" t="s">
        <v>452</v>
      </c>
      <c r="E984" s="461" t="s">
        <v>380</v>
      </c>
      <c r="F984" s="290" t="s">
        <v>310</v>
      </c>
      <c r="G984" s="290" t="s">
        <v>338</v>
      </c>
      <c r="H984" s="291"/>
      <c r="I984" s="291"/>
      <c r="J984" s="291"/>
      <c r="K984" s="291">
        <v>0</v>
      </c>
      <c r="L984" s="292">
        <v>11</v>
      </c>
      <c r="M984" s="292">
        <v>0</v>
      </c>
      <c r="N984" s="292">
        <v>0</v>
      </c>
      <c r="O984" s="292">
        <v>0</v>
      </c>
      <c r="P984" s="294"/>
      <c r="Q984" s="294"/>
      <c r="R984" s="294"/>
      <c r="S984" s="294"/>
      <c r="T984" s="294"/>
      <c r="U984" s="294"/>
      <c r="V984" s="431"/>
      <c r="W984" s="294"/>
      <c r="X984" s="294"/>
      <c r="Y984" s="294">
        <f>IF(NFI_Expiration=1,IF($A984&lt;VLOOKUP(H$5,NFI,5,0),1,0)*Table_NFI[[#This Row],[Hygiene Kit]],Table_NFI[Hygiene Kit])</f>
        <v>0</v>
      </c>
      <c r="Z984" s="294">
        <f>IF(NFI_Expiration=1,IF($A984&lt;VLOOKUP(I$5,NFI,5,0),1,0)*Table_NFI[[#This Row],[NFI Core Kit]],Table_NFI[NFI Core Kit])</f>
        <v>0</v>
      </c>
      <c r="AA984" s="294">
        <f>IF(NFI_Expiration=1,IF($A984&lt;VLOOKUP(J$5,NFI,5,0),1,0)*Table_NFI[[#This Row],[Sanitary Kit]],Table_NFI[Sanitary Kit])</f>
        <v>0</v>
      </c>
      <c r="AB984" s="294">
        <f>IF(NFI_Expiration=1,IF($A984&lt;VLOOKUP(K$5,NFI,5,0),1,0)*Table_NFI[[#This Row],[Mosquito net]],Table_NFI[Mosquito net])</f>
        <v>0</v>
      </c>
      <c r="AC984" s="294">
        <f>IF(NFI_Expiration=1,IF($A984&lt;VLOOKUP(L$5,NFI,5,0),1,0)*Table_NFI[[#This Row],[Tarpaulin]],Table_NFI[[#This Row],[Tarpaulin]])</f>
        <v>0</v>
      </c>
      <c r="AD984" s="294">
        <f>IF(NFI_Expiration=1,IF($A984&lt;VLOOKUP(M$5,NFI,5,0),1,0)*Table_NFI[[#This Row],[Blanket]],Table_NFI[[#This Row],[Blanket]])</f>
        <v>0</v>
      </c>
      <c r="AE984" s="294">
        <f>IF(NFI_Expiration=1,IF($A984&lt;VLOOKUP(N$5,NFI,5,0),1,0)*Table_NFI[[#This Row],[Kitchen Set]],Table_NFI[Kitchen Set])</f>
        <v>0</v>
      </c>
      <c r="AF984" s="294">
        <f>IF(NFI_Expiration=1,IF($A984&lt;VLOOKUP(O$5,NFI,5,0),1,0)*Table_NFI[[#This Row],[Clothes Kit]],Table_NFI[Clothes Kit])</f>
        <v>0</v>
      </c>
      <c r="AG984" s="294">
        <f>IF(NFI_Expiration=1,IF($A984&lt;VLOOKUP(P$5,NFI,5,0),1,0)*Table_NFI[[#This Row],[Plastic Bucket]],Table_NFI[Plastic Bucket])</f>
        <v>0</v>
      </c>
      <c r="AH984" s="294">
        <f>IF(NFI_Expiration=1,IF($A984&lt;VLOOKUP(Q$5,NFI,5,0),1,0)*Table_NFI[[#This Row],[Plastic Mat]],Table_NFI[Plastic Mat])*IF(Table_NFI[[#This Row],[Distribution Date]]&gt;"2014-04-01",1,2.5)</f>
        <v>0</v>
      </c>
      <c r="AI984" s="294">
        <f>IF(NFI_Expiration=1,IF($A984&lt;VLOOKUP(R$5,NFI,5,0),1,0)*Table_NFI[[#This Row],[Winter Clothes Adult]],Table_NFI[Winter Clothes Adult])</f>
        <v>0</v>
      </c>
      <c r="AJ984" s="294">
        <f>IF(NFI_Expiration=1,IF($A984&lt;VLOOKUP(S$5,NFI,5,0),1,0)*Table_NFI[[#This Row],[Winter Clothes Children]],Table_NFI[Winter Clothes Children])</f>
        <v>0</v>
      </c>
      <c r="AK984" s="294">
        <f>IF(NFI_Expiration=1,IF($A984&lt;VLOOKUP(T$5,NFI,5,0),1,0)*Table_NFI[[#This Row],[Winter Items Other]],Table_NFI[Winter Items Other])</f>
        <v>0</v>
      </c>
      <c r="AL984" s="294">
        <f>IF(NFI_Expiration=1,IF($A984&lt;VLOOKUP(M$5,NFI,5,0),1,0)*Table_NFI[[#This Row],[Winter Blanket]],Table_NFI[[#This Row],[Winter Blanket]])</f>
        <v>0</v>
      </c>
      <c r="AM984" s="294">
        <f>IF(Table_NFI[[#This Row],[Winter Clothes Adult]]+Table_NFI[[#This Row],[Winter Clothes Children]]+Table_NFI[[#This Row],[Winter Items Other]]+Table_NFI[[#This Row],[Winter Blanket]]&gt;0,1,0)</f>
        <v>0</v>
      </c>
      <c r="AN984" s="331">
        <f>IF(NFI_Expiration=1,IF($A984&lt;VLOOKUP(V$5,NFI,5,0),1,0)*Table_NFI[[#This Row],[Jerry Can]],Table_NFI[Jerry Can])</f>
        <v>0</v>
      </c>
      <c r="AO984" s="331">
        <f>IF(NFI_Expiration=1,IF($A984&lt;VLOOKUP(V$5,NFI,5,0),1,0)*Table_NFI[[#This Row],[Shelter Tool kit]],Table_NFI[Shelter Tool kit])</f>
        <v>0</v>
      </c>
      <c r="AP984" s="331">
        <f>IF(NFI_Expiration=1,IF($A984&lt;VLOOKUP(V$5,NFI,5,0),1,0)*Table_NFI[[#This Row],[Tent]],Table_NFI[Tent])</f>
        <v>0</v>
      </c>
      <c r="AQ984" s="467" t="str">
        <f>IFERROR(VLOOKUP(Table_NFI[[#This Row],[Camp Name]],CL,2,0),"")</f>
        <v>MMR001CMP030</v>
      </c>
      <c r="AR984" s="835">
        <f ca="1">IF(Table_NFI[[#This Row],[Pcode]]="","",IF(OFFSET(CampList[Opening Date],MATCH(Table_NFI[[#This Row],[Pcode]],CampList[CP_Pcode],0)-1,0,1,1)&gt;=NFI_Monitor_Date,1,0))</f>
        <v>0</v>
      </c>
      <c r="AS984" s="467" t="str">
        <f>IFERROR(VLOOKUP(Table_NFI[[#This Row],[Camp Name]],CL,3,0),"")</f>
        <v>Open</v>
      </c>
      <c r="AT984" s="294" t="str">
        <f ca="1">IF(Table_NFI[[#This Row],[Pcode]]="","",OFFSET(CampList[Priority],MATCH(Table_NFI[[#This Row],[Pcode]],CampList[CP_Pcode],0)-1,0,1,1))</f>
        <v>P4</v>
      </c>
      <c r="AU984" s="293">
        <f>IFERROR(Table_NFI[[#This Row],[Kitchen Set]]/VLOOKUP(Table_NFI[[#This Row],[Camp Name]],CL,4,0),"")</f>
        <v>0</v>
      </c>
      <c r="AV984" s="461" t="s">
        <v>1092</v>
      </c>
      <c r="AW984" s="463"/>
    </row>
    <row r="985" spans="1:49" ht="14.45" customHeight="1" x14ac:dyDescent="0.25">
      <c r="A985" s="297">
        <f t="shared" si="15"/>
        <v>56.033333333333331</v>
      </c>
      <c r="B985" s="460">
        <v>41055</v>
      </c>
      <c r="C985" s="461" t="s">
        <v>452</v>
      </c>
      <c r="D985" s="462" t="s">
        <v>460</v>
      </c>
      <c r="E985" s="461" t="s">
        <v>380</v>
      </c>
      <c r="F985" s="290" t="s">
        <v>302</v>
      </c>
      <c r="G985" s="290" t="s">
        <v>304</v>
      </c>
      <c r="H985" s="291"/>
      <c r="I985" s="291"/>
      <c r="J985" s="291"/>
      <c r="K985" s="291">
        <v>200</v>
      </c>
      <c r="L985" s="292">
        <v>200</v>
      </c>
      <c r="M985" s="292">
        <v>0</v>
      </c>
      <c r="N985" s="292">
        <v>0</v>
      </c>
      <c r="O985" s="292">
        <v>0</v>
      </c>
      <c r="P985" s="294"/>
      <c r="Q985" s="294"/>
      <c r="R985" s="294"/>
      <c r="S985" s="294"/>
      <c r="T985" s="294"/>
      <c r="U985" s="294"/>
      <c r="V985" s="431"/>
      <c r="W985" s="294"/>
      <c r="X985" s="294"/>
      <c r="Y985" s="294">
        <f>IF(NFI_Expiration=1,IF($A985&lt;VLOOKUP(H$5,NFI,5,0),1,0)*Table_NFI[[#This Row],[Hygiene Kit]],Table_NFI[Hygiene Kit])</f>
        <v>0</v>
      </c>
      <c r="Z985" s="294">
        <f>IF(NFI_Expiration=1,IF($A985&lt;VLOOKUP(I$5,NFI,5,0),1,0)*Table_NFI[[#This Row],[NFI Core Kit]],Table_NFI[NFI Core Kit])</f>
        <v>0</v>
      </c>
      <c r="AA985" s="294">
        <f>IF(NFI_Expiration=1,IF($A985&lt;VLOOKUP(J$5,NFI,5,0),1,0)*Table_NFI[[#This Row],[Sanitary Kit]],Table_NFI[Sanitary Kit])</f>
        <v>0</v>
      </c>
      <c r="AB985" s="294">
        <f>IF(NFI_Expiration=1,IF($A985&lt;VLOOKUP(K$5,NFI,5,0),1,0)*Table_NFI[[#This Row],[Mosquito net]],Table_NFI[Mosquito net])</f>
        <v>0</v>
      </c>
      <c r="AC985" s="294">
        <f>IF(NFI_Expiration=1,IF($A985&lt;VLOOKUP(L$5,NFI,5,0),1,0)*Table_NFI[[#This Row],[Tarpaulin]],Table_NFI[[#This Row],[Tarpaulin]])</f>
        <v>0</v>
      </c>
      <c r="AD985" s="294">
        <f>IF(NFI_Expiration=1,IF($A985&lt;VLOOKUP(M$5,NFI,5,0),1,0)*Table_NFI[[#This Row],[Blanket]],Table_NFI[[#This Row],[Blanket]])</f>
        <v>0</v>
      </c>
      <c r="AE985" s="294">
        <f>IF(NFI_Expiration=1,IF($A985&lt;VLOOKUP(N$5,NFI,5,0),1,0)*Table_NFI[[#This Row],[Kitchen Set]],Table_NFI[Kitchen Set])</f>
        <v>0</v>
      </c>
      <c r="AF985" s="294">
        <f>IF(NFI_Expiration=1,IF($A985&lt;VLOOKUP(O$5,NFI,5,0),1,0)*Table_NFI[[#This Row],[Clothes Kit]],Table_NFI[Clothes Kit])</f>
        <v>0</v>
      </c>
      <c r="AG985" s="294">
        <f>IF(NFI_Expiration=1,IF($A985&lt;VLOOKUP(P$5,NFI,5,0),1,0)*Table_NFI[[#This Row],[Plastic Bucket]],Table_NFI[Plastic Bucket])</f>
        <v>0</v>
      </c>
      <c r="AH985" s="294">
        <f>IF(NFI_Expiration=1,IF($A985&lt;VLOOKUP(Q$5,NFI,5,0),1,0)*Table_NFI[[#This Row],[Plastic Mat]],Table_NFI[Plastic Mat])*IF(Table_NFI[[#This Row],[Distribution Date]]&gt;"2014-04-01",1,2.5)</f>
        <v>0</v>
      </c>
      <c r="AI985" s="294">
        <f>IF(NFI_Expiration=1,IF($A985&lt;VLOOKUP(R$5,NFI,5,0),1,0)*Table_NFI[[#This Row],[Winter Clothes Adult]],Table_NFI[Winter Clothes Adult])</f>
        <v>0</v>
      </c>
      <c r="AJ985" s="294">
        <f>IF(NFI_Expiration=1,IF($A985&lt;VLOOKUP(S$5,NFI,5,0),1,0)*Table_NFI[[#This Row],[Winter Clothes Children]],Table_NFI[Winter Clothes Children])</f>
        <v>0</v>
      </c>
      <c r="AK985" s="294">
        <f>IF(NFI_Expiration=1,IF($A985&lt;VLOOKUP(T$5,NFI,5,0),1,0)*Table_NFI[[#This Row],[Winter Items Other]],Table_NFI[Winter Items Other])</f>
        <v>0</v>
      </c>
      <c r="AL985" s="294">
        <f>IF(NFI_Expiration=1,IF($A985&lt;VLOOKUP(M$5,NFI,5,0),1,0)*Table_NFI[[#This Row],[Winter Blanket]],Table_NFI[[#This Row],[Winter Blanket]])</f>
        <v>0</v>
      </c>
      <c r="AM985" s="294">
        <f>IF(Table_NFI[[#This Row],[Winter Clothes Adult]]+Table_NFI[[#This Row],[Winter Clothes Children]]+Table_NFI[[#This Row],[Winter Items Other]]+Table_NFI[[#This Row],[Winter Blanket]]&gt;0,1,0)</f>
        <v>0</v>
      </c>
      <c r="AN985" s="331">
        <f>IF(NFI_Expiration=1,IF($A985&lt;VLOOKUP(V$5,NFI,5,0),1,0)*Table_NFI[[#This Row],[Jerry Can]],Table_NFI[Jerry Can])</f>
        <v>0</v>
      </c>
      <c r="AO985" s="331">
        <f>IF(NFI_Expiration=1,IF($A985&lt;VLOOKUP(V$5,NFI,5,0),1,0)*Table_NFI[[#This Row],[Shelter Tool kit]],Table_NFI[Shelter Tool kit])</f>
        <v>0</v>
      </c>
      <c r="AP985" s="331">
        <f>IF(NFI_Expiration=1,IF($A985&lt;VLOOKUP(V$5,NFI,5,0),1,0)*Table_NFI[[#This Row],[Tent]],Table_NFI[Tent])</f>
        <v>0</v>
      </c>
      <c r="AQ985" s="467" t="str">
        <f>IFERROR(VLOOKUP(Table_NFI[[#This Row],[Camp Name]],CL,2,0),"")</f>
        <v>MMR001CMP147</v>
      </c>
      <c r="AR985" s="835">
        <f ca="1">IF(Table_NFI[[#This Row],[Pcode]]="","",IF(OFFSET(CampList[Opening Date],MATCH(Table_NFI[[#This Row],[Pcode]],CampList[CP_Pcode],0)-1,0,1,1)&gt;=NFI_Monitor_Date,1,0))</f>
        <v>1</v>
      </c>
      <c r="AS985" s="467" t="str">
        <f>IFERROR(VLOOKUP(Table_NFI[[#This Row],[Camp Name]],CL,3,0),"")</f>
        <v>Open</v>
      </c>
      <c r="AT985" s="294" t="str">
        <f ca="1">IF(Table_NFI[[#This Row],[Pcode]]="","",OFFSET(CampList[Priority],MATCH(Table_NFI[[#This Row],[Pcode]],CampList[CP_Pcode],0)-1,0,1,1))</f>
        <v>P4</v>
      </c>
      <c r="AU985" s="293">
        <f>IFERROR(Table_NFI[[#This Row],[Kitchen Set]]/VLOOKUP(Table_NFI[[#This Row],[Camp Name]],CL,4,0),"")</f>
        <v>0</v>
      </c>
      <c r="AV985" s="461" t="s">
        <v>1092</v>
      </c>
      <c r="AW985" s="463"/>
    </row>
    <row r="986" spans="1:49" ht="14.45" customHeight="1" x14ac:dyDescent="0.25">
      <c r="A986" s="297">
        <f t="shared" si="15"/>
        <v>56.06666666666667</v>
      </c>
      <c r="B986" s="460">
        <v>41054</v>
      </c>
      <c r="C986" s="461" t="s">
        <v>452</v>
      </c>
      <c r="D986" s="462" t="s">
        <v>452</v>
      </c>
      <c r="E986" s="461" t="s">
        <v>380</v>
      </c>
      <c r="F986" s="290" t="s">
        <v>237</v>
      </c>
      <c r="G986" s="290" t="s">
        <v>281</v>
      </c>
      <c r="H986" s="291"/>
      <c r="I986" s="291"/>
      <c r="J986" s="291"/>
      <c r="K986" s="291">
        <v>0</v>
      </c>
      <c r="L986" s="292">
        <v>25</v>
      </c>
      <c r="M986" s="292">
        <v>0</v>
      </c>
      <c r="N986" s="292">
        <v>0</v>
      </c>
      <c r="O986" s="292">
        <v>0</v>
      </c>
      <c r="P986" s="294"/>
      <c r="Q986" s="294"/>
      <c r="R986" s="294"/>
      <c r="S986" s="294"/>
      <c r="T986" s="294"/>
      <c r="U986" s="294"/>
      <c r="V986" s="431"/>
      <c r="W986" s="294"/>
      <c r="X986" s="294"/>
      <c r="Y986" s="294">
        <f>IF(NFI_Expiration=1,IF($A986&lt;VLOOKUP(H$5,NFI,5,0),1,0)*Table_NFI[[#This Row],[Hygiene Kit]],Table_NFI[Hygiene Kit])</f>
        <v>0</v>
      </c>
      <c r="Z986" s="294">
        <f>IF(NFI_Expiration=1,IF($A986&lt;VLOOKUP(I$5,NFI,5,0),1,0)*Table_NFI[[#This Row],[NFI Core Kit]],Table_NFI[NFI Core Kit])</f>
        <v>0</v>
      </c>
      <c r="AA986" s="294">
        <f>IF(NFI_Expiration=1,IF($A986&lt;VLOOKUP(J$5,NFI,5,0),1,0)*Table_NFI[[#This Row],[Sanitary Kit]],Table_NFI[Sanitary Kit])</f>
        <v>0</v>
      </c>
      <c r="AB986" s="294">
        <f>IF(NFI_Expiration=1,IF($A986&lt;VLOOKUP(K$5,NFI,5,0),1,0)*Table_NFI[[#This Row],[Mosquito net]],Table_NFI[Mosquito net])</f>
        <v>0</v>
      </c>
      <c r="AC986" s="294">
        <f>IF(NFI_Expiration=1,IF($A986&lt;VLOOKUP(L$5,NFI,5,0),1,0)*Table_NFI[[#This Row],[Tarpaulin]],Table_NFI[[#This Row],[Tarpaulin]])</f>
        <v>0</v>
      </c>
      <c r="AD986" s="294">
        <f>IF(NFI_Expiration=1,IF($A986&lt;VLOOKUP(M$5,NFI,5,0),1,0)*Table_NFI[[#This Row],[Blanket]],Table_NFI[[#This Row],[Blanket]])</f>
        <v>0</v>
      </c>
      <c r="AE986" s="294">
        <f>IF(NFI_Expiration=1,IF($A986&lt;VLOOKUP(N$5,NFI,5,0),1,0)*Table_NFI[[#This Row],[Kitchen Set]],Table_NFI[Kitchen Set])</f>
        <v>0</v>
      </c>
      <c r="AF986" s="294">
        <f>IF(NFI_Expiration=1,IF($A986&lt;VLOOKUP(O$5,NFI,5,0),1,0)*Table_NFI[[#This Row],[Clothes Kit]],Table_NFI[Clothes Kit])</f>
        <v>0</v>
      </c>
      <c r="AG986" s="294">
        <f>IF(NFI_Expiration=1,IF($A986&lt;VLOOKUP(P$5,NFI,5,0),1,0)*Table_NFI[[#This Row],[Plastic Bucket]],Table_NFI[Plastic Bucket])</f>
        <v>0</v>
      </c>
      <c r="AH986" s="294">
        <f>IF(NFI_Expiration=1,IF($A986&lt;VLOOKUP(Q$5,NFI,5,0),1,0)*Table_NFI[[#This Row],[Plastic Mat]],Table_NFI[Plastic Mat])*IF(Table_NFI[[#This Row],[Distribution Date]]&gt;"2014-04-01",1,2.5)</f>
        <v>0</v>
      </c>
      <c r="AI986" s="294">
        <f>IF(NFI_Expiration=1,IF($A986&lt;VLOOKUP(R$5,NFI,5,0),1,0)*Table_NFI[[#This Row],[Winter Clothes Adult]],Table_NFI[Winter Clothes Adult])</f>
        <v>0</v>
      </c>
      <c r="AJ986" s="294">
        <f>IF(NFI_Expiration=1,IF($A986&lt;VLOOKUP(S$5,NFI,5,0),1,0)*Table_NFI[[#This Row],[Winter Clothes Children]],Table_NFI[Winter Clothes Children])</f>
        <v>0</v>
      </c>
      <c r="AK986" s="294">
        <f>IF(NFI_Expiration=1,IF($A986&lt;VLOOKUP(T$5,NFI,5,0),1,0)*Table_NFI[[#This Row],[Winter Items Other]],Table_NFI[Winter Items Other])</f>
        <v>0</v>
      </c>
      <c r="AL986" s="294">
        <f>IF(NFI_Expiration=1,IF($A986&lt;VLOOKUP(M$5,NFI,5,0),1,0)*Table_NFI[[#This Row],[Winter Blanket]],Table_NFI[[#This Row],[Winter Blanket]])</f>
        <v>0</v>
      </c>
      <c r="AM986" s="294">
        <f>IF(Table_NFI[[#This Row],[Winter Clothes Adult]]+Table_NFI[[#This Row],[Winter Clothes Children]]+Table_NFI[[#This Row],[Winter Items Other]]+Table_NFI[[#This Row],[Winter Blanket]]&gt;0,1,0)</f>
        <v>0</v>
      </c>
      <c r="AN986" s="331">
        <f>IF(NFI_Expiration=1,IF($A986&lt;VLOOKUP(V$5,NFI,5,0),1,0)*Table_NFI[[#This Row],[Jerry Can]],Table_NFI[Jerry Can])</f>
        <v>0</v>
      </c>
      <c r="AO986" s="331">
        <f>IF(NFI_Expiration=1,IF($A986&lt;VLOOKUP(V$5,NFI,5,0),1,0)*Table_NFI[[#This Row],[Shelter Tool kit]],Table_NFI[Shelter Tool kit])</f>
        <v>0</v>
      </c>
      <c r="AP986" s="331">
        <f>IF(NFI_Expiration=1,IF($A986&lt;VLOOKUP(V$5,NFI,5,0),1,0)*Table_NFI[[#This Row],[Tent]],Table_NFI[Tent])</f>
        <v>0</v>
      </c>
      <c r="AQ986" s="467" t="str">
        <f>IFERROR(VLOOKUP(Table_NFI[[#This Row],[Camp Name]],CL,2,0),"")</f>
        <v>MMR001CMP009</v>
      </c>
      <c r="AR986" s="835">
        <f ca="1">IF(Table_NFI[[#This Row],[Pcode]]="","",IF(OFFSET(CampList[Opening Date],MATCH(Table_NFI[[#This Row],[Pcode]],CampList[CP_Pcode],0)-1,0,1,1)&gt;=NFI_Monitor_Date,1,0))</f>
        <v>0</v>
      </c>
      <c r="AS986" s="467" t="str">
        <f>IFERROR(VLOOKUP(Table_NFI[[#This Row],[Camp Name]],CL,3,0),"")</f>
        <v>Open</v>
      </c>
      <c r="AT986" s="294" t="str">
        <f ca="1">IF(Table_NFI[[#This Row],[Pcode]]="","",OFFSET(CampList[Priority],MATCH(Table_NFI[[#This Row],[Pcode]],CampList[CP_Pcode],0)-1,0,1,1))</f>
        <v>P4</v>
      </c>
      <c r="AU986" s="293">
        <f>IFERROR(Table_NFI[[#This Row],[Kitchen Set]]/VLOOKUP(Table_NFI[[#This Row],[Camp Name]],CL,4,0),"")</f>
        <v>0</v>
      </c>
      <c r="AV986" s="461" t="s">
        <v>1092</v>
      </c>
      <c r="AW986" s="463"/>
    </row>
    <row r="987" spans="1:49" s="464" customFormat="1" ht="14.45" customHeight="1" x14ac:dyDescent="0.25">
      <c r="A987" s="297">
        <f t="shared" si="15"/>
        <v>56.133333333333333</v>
      </c>
      <c r="B987" s="460">
        <v>41052</v>
      </c>
      <c r="C987" s="461" t="s">
        <v>452</v>
      </c>
      <c r="D987" s="461" t="s">
        <v>452</v>
      </c>
      <c r="E987" s="461" t="s">
        <v>380</v>
      </c>
      <c r="F987" s="290" t="s">
        <v>237</v>
      </c>
      <c r="G987" s="290" t="s">
        <v>253</v>
      </c>
      <c r="H987" s="291"/>
      <c r="I987" s="291"/>
      <c r="J987" s="291"/>
      <c r="K987" s="291">
        <v>22</v>
      </c>
      <c r="L987" s="292">
        <v>15</v>
      </c>
      <c r="M987" s="292">
        <v>22</v>
      </c>
      <c r="N987" s="292">
        <v>15</v>
      </c>
      <c r="O987" s="292">
        <v>15</v>
      </c>
      <c r="P987" s="294">
        <v>15</v>
      </c>
      <c r="Q987" s="294">
        <v>15</v>
      </c>
      <c r="R987" s="294"/>
      <c r="S987" s="294"/>
      <c r="T987" s="294"/>
      <c r="U987" s="294"/>
      <c r="V987" s="431"/>
      <c r="W987" s="294"/>
      <c r="X987" s="294"/>
      <c r="Y987" s="294">
        <f>IF(NFI_Expiration=1,IF($A987&lt;VLOOKUP(H$5,NFI,5,0),1,0)*Table_NFI[[#This Row],[Hygiene Kit]],Table_NFI[Hygiene Kit])</f>
        <v>0</v>
      </c>
      <c r="Z987" s="294">
        <f>IF(NFI_Expiration=1,IF($A987&lt;VLOOKUP(I$5,NFI,5,0),1,0)*Table_NFI[[#This Row],[NFI Core Kit]],Table_NFI[NFI Core Kit])</f>
        <v>0</v>
      </c>
      <c r="AA987" s="294">
        <f>IF(NFI_Expiration=1,IF($A987&lt;VLOOKUP(J$5,NFI,5,0),1,0)*Table_NFI[[#This Row],[Sanitary Kit]],Table_NFI[Sanitary Kit])</f>
        <v>0</v>
      </c>
      <c r="AB987" s="294">
        <f>IF(NFI_Expiration=1,IF($A987&lt;VLOOKUP(K$5,NFI,5,0),1,0)*Table_NFI[[#This Row],[Mosquito net]],Table_NFI[Mosquito net])</f>
        <v>0</v>
      </c>
      <c r="AC987" s="294">
        <f>IF(NFI_Expiration=1,IF($A987&lt;VLOOKUP(L$5,NFI,5,0),1,0)*Table_NFI[[#This Row],[Tarpaulin]],Table_NFI[[#This Row],[Tarpaulin]])</f>
        <v>0</v>
      </c>
      <c r="AD987" s="294">
        <f>IF(NFI_Expiration=1,IF($A987&lt;VLOOKUP(M$5,NFI,5,0),1,0)*Table_NFI[[#This Row],[Blanket]],Table_NFI[[#This Row],[Blanket]])</f>
        <v>0</v>
      </c>
      <c r="AE987" s="294">
        <f>IF(NFI_Expiration=1,IF($A987&lt;VLOOKUP(N$5,NFI,5,0),1,0)*Table_NFI[[#This Row],[Kitchen Set]],Table_NFI[Kitchen Set])</f>
        <v>0</v>
      </c>
      <c r="AF987" s="294">
        <f>IF(NFI_Expiration=1,IF($A987&lt;VLOOKUP(O$5,NFI,5,0),1,0)*Table_NFI[[#This Row],[Clothes Kit]],Table_NFI[Clothes Kit])</f>
        <v>0</v>
      </c>
      <c r="AG987" s="294">
        <f>IF(NFI_Expiration=1,IF($A987&lt;VLOOKUP(P$5,NFI,5,0),1,0)*Table_NFI[[#This Row],[Plastic Bucket]],Table_NFI[Plastic Bucket])</f>
        <v>0</v>
      </c>
      <c r="AH987" s="294">
        <f>IF(NFI_Expiration=1,IF($A987&lt;VLOOKUP(Q$5,NFI,5,0),1,0)*Table_NFI[[#This Row],[Plastic Mat]],Table_NFI[Plastic Mat])*IF(Table_NFI[[#This Row],[Distribution Date]]&gt;"2014-04-01",1,2.5)</f>
        <v>0</v>
      </c>
      <c r="AI987" s="294">
        <f>IF(NFI_Expiration=1,IF($A987&lt;VLOOKUP(R$5,NFI,5,0),1,0)*Table_NFI[[#This Row],[Winter Clothes Adult]],Table_NFI[Winter Clothes Adult])</f>
        <v>0</v>
      </c>
      <c r="AJ987" s="294">
        <f>IF(NFI_Expiration=1,IF($A987&lt;VLOOKUP(S$5,NFI,5,0),1,0)*Table_NFI[[#This Row],[Winter Clothes Children]],Table_NFI[Winter Clothes Children])</f>
        <v>0</v>
      </c>
      <c r="AK987" s="294">
        <f>IF(NFI_Expiration=1,IF($A987&lt;VLOOKUP(T$5,NFI,5,0),1,0)*Table_NFI[[#This Row],[Winter Items Other]],Table_NFI[Winter Items Other])</f>
        <v>0</v>
      </c>
      <c r="AL987" s="294">
        <f>IF(NFI_Expiration=1,IF($A987&lt;VLOOKUP(M$5,NFI,5,0),1,0)*Table_NFI[[#This Row],[Winter Blanket]],Table_NFI[[#This Row],[Winter Blanket]])</f>
        <v>0</v>
      </c>
      <c r="AM987" s="294">
        <f>IF(Table_NFI[[#This Row],[Winter Clothes Adult]]+Table_NFI[[#This Row],[Winter Clothes Children]]+Table_NFI[[#This Row],[Winter Items Other]]+Table_NFI[[#This Row],[Winter Blanket]]&gt;0,1,0)</f>
        <v>0</v>
      </c>
      <c r="AN987" s="331">
        <f>IF(NFI_Expiration=1,IF($A987&lt;VLOOKUP(V$5,NFI,5,0),1,0)*Table_NFI[[#This Row],[Jerry Can]],Table_NFI[Jerry Can])</f>
        <v>0</v>
      </c>
      <c r="AO987" s="331">
        <f>IF(NFI_Expiration=1,IF($A987&lt;VLOOKUP(V$5,NFI,5,0),1,0)*Table_NFI[[#This Row],[Shelter Tool kit]],Table_NFI[Shelter Tool kit])</f>
        <v>0</v>
      </c>
      <c r="AP987" s="331">
        <f>IF(NFI_Expiration=1,IF($A987&lt;VLOOKUP(V$5,NFI,5,0),1,0)*Table_NFI[[#This Row],[Tent]],Table_NFI[Tent])</f>
        <v>0</v>
      </c>
      <c r="AQ987" s="467" t="str">
        <f>IFERROR(VLOOKUP(Table_NFI[[#This Row],[Camp Name]],CL,2,0),"")</f>
        <v>MMR001CMP018</v>
      </c>
      <c r="AR987" s="835">
        <f ca="1">IF(Table_NFI[[#This Row],[Pcode]]="","",IF(OFFSET(CampList[Opening Date],MATCH(Table_NFI[[#This Row],[Pcode]],CampList[CP_Pcode],0)-1,0,1,1)&gt;=NFI_Monitor_Date,1,0))</f>
        <v>0</v>
      </c>
      <c r="AS987" s="467" t="str">
        <f>IFERROR(VLOOKUP(Table_NFI[[#This Row],[Camp Name]],CL,3,0),"")</f>
        <v>Open</v>
      </c>
      <c r="AT987" s="294" t="str">
        <f ca="1">IF(Table_NFI[[#This Row],[Pcode]]="","",OFFSET(CampList[Priority],MATCH(Table_NFI[[#This Row],[Pcode]],CampList[CP_Pcode],0)-1,0,1,1))</f>
        <v>P4</v>
      </c>
      <c r="AU987" s="293">
        <f>IFERROR(Table_NFI[[#This Row],[Kitchen Set]]/VLOOKUP(Table_NFI[[#This Row],[Camp Name]],CL,4,0),"")</f>
        <v>3.6832412523020257E-4</v>
      </c>
      <c r="AV987" s="461" t="s">
        <v>1092</v>
      </c>
      <c r="AW987" s="463"/>
    </row>
    <row r="988" spans="1:49" s="464" customFormat="1" ht="14.45" customHeight="1" x14ac:dyDescent="0.25">
      <c r="A988" s="297">
        <f t="shared" si="15"/>
        <v>56.133333333333333</v>
      </c>
      <c r="B988" s="460">
        <v>41052</v>
      </c>
      <c r="C988" s="461" t="s">
        <v>452</v>
      </c>
      <c r="D988" s="461" t="s">
        <v>452</v>
      </c>
      <c r="E988" s="461" t="s">
        <v>380</v>
      </c>
      <c r="F988" s="290" t="s">
        <v>237</v>
      </c>
      <c r="G988" s="290" t="s">
        <v>271</v>
      </c>
      <c r="H988" s="291"/>
      <c r="I988" s="291"/>
      <c r="J988" s="291"/>
      <c r="K988" s="291">
        <v>58</v>
      </c>
      <c r="L988" s="292">
        <v>29</v>
      </c>
      <c r="M988" s="292">
        <v>58</v>
      </c>
      <c r="N988" s="292">
        <v>29</v>
      </c>
      <c r="O988" s="292">
        <v>29</v>
      </c>
      <c r="P988" s="294">
        <v>29</v>
      </c>
      <c r="Q988" s="294">
        <v>29</v>
      </c>
      <c r="R988" s="294"/>
      <c r="S988" s="294"/>
      <c r="T988" s="294"/>
      <c r="U988" s="294"/>
      <c r="V988" s="431"/>
      <c r="W988" s="294"/>
      <c r="X988" s="294"/>
      <c r="Y988" s="294">
        <f>IF(NFI_Expiration=1,IF($A988&lt;VLOOKUP(H$5,NFI,5,0),1,0)*Table_NFI[[#This Row],[Hygiene Kit]],Table_NFI[Hygiene Kit])</f>
        <v>0</v>
      </c>
      <c r="Z988" s="294">
        <f>IF(NFI_Expiration=1,IF($A988&lt;VLOOKUP(I$5,NFI,5,0),1,0)*Table_NFI[[#This Row],[NFI Core Kit]],Table_NFI[NFI Core Kit])</f>
        <v>0</v>
      </c>
      <c r="AA988" s="294">
        <f>IF(NFI_Expiration=1,IF($A988&lt;VLOOKUP(J$5,NFI,5,0),1,0)*Table_NFI[[#This Row],[Sanitary Kit]],Table_NFI[Sanitary Kit])</f>
        <v>0</v>
      </c>
      <c r="AB988" s="294">
        <f>IF(NFI_Expiration=1,IF($A988&lt;VLOOKUP(K$5,NFI,5,0),1,0)*Table_NFI[[#This Row],[Mosquito net]],Table_NFI[Mosquito net])</f>
        <v>0</v>
      </c>
      <c r="AC988" s="294">
        <f>IF(NFI_Expiration=1,IF($A988&lt;VLOOKUP(L$5,NFI,5,0),1,0)*Table_NFI[[#This Row],[Tarpaulin]],Table_NFI[[#This Row],[Tarpaulin]])</f>
        <v>0</v>
      </c>
      <c r="AD988" s="294">
        <f>IF(NFI_Expiration=1,IF($A988&lt;VLOOKUP(M$5,NFI,5,0),1,0)*Table_NFI[[#This Row],[Blanket]],Table_NFI[[#This Row],[Blanket]])</f>
        <v>0</v>
      </c>
      <c r="AE988" s="294">
        <f>IF(NFI_Expiration=1,IF($A988&lt;VLOOKUP(N$5,NFI,5,0),1,0)*Table_NFI[[#This Row],[Kitchen Set]],Table_NFI[Kitchen Set])</f>
        <v>0</v>
      </c>
      <c r="AF988" s="294">
        <f>IF(NFI_Expiration=1,IF($A988&lt;VLOOKUP(O$5,NFI,5,0),1,0)*Table_NFI[[#This Row],[Clothes Kit]],Table_NFI[Clothes Kit])</f>
        <v>0</v>
      </c>
      <c r="AG988" s="294">
        <f>IF(NFI_Expiration=1,IF($A988&lt;VLOOKUP(P$5,NFI,5,0),1,0)*Table_NFI[[#This Row],[Plastic Bucket]],Table_NFI[Plastic Bucket])</f>
        <v>0</v>
      </c>
      <c r="AH988" s="294">
        <f>IF(NFI_Expiration=1,IF($A988&lt;VLOOKUP(Q$5,NFI,5,0),1,0)*Table_NFI[[#This Row],[Plastic Mat]],Table_NFI[Plastic Mat])*IF(Table_NFI[[#This Row],[Distribution Date]]&gt;"2014-04-01",1,2.5)</f>
        <v>0</v>
      </c>
      <c r="AI988" s="294">
        <f>IF(NFI_Expiration=1,IF($A988&lt;VLOOKUP(R$5,NFI,5,0),1,0)*Table_NFI[[#This Row],[Winter Clothes Adult]],Table_NFI[Winter Clothes Adult])</f>
        <v>0</v>
      </c>
      <c r="AJ988" s="294">
        <f>IF(NFI_Expiration=1,IF($A988&lt;VLOOKUP(S$5,NFI,5,0),1,0)*Table_NFI[[#This Row],[Winter Clothes Children]],Table_NFI[Winter Clothes Children])</f>
        <v>0</v>
      </c>
      <c r="AK988" s="294">
        <f>IF(NFI_Expiration=1,IF($A988&lt;VLOOKUP(T$5,NFI,5,0),1,0)*Table_NFI[[#This Row],[Winter Items Other]],Table_NFI[Winter Items Other])</f>
        <v>0</v>
      </c>
      <c r="AL988" s="294">
        <f>IF(NFI_Expiration=1,IF($A988&lt;VLOOKUP(M$5,NFI,5,0),1,0)*Table_NFI[[#This Row],[Winter Blanket]],Table_NFI[[#This Row],[Winter Blanket]])</f>
        <v>0</v>
      </c>
      <c r="AM988" s="294">
        <f>IF(Table_NFI[[#This Row],[Winter Clothes Adult]]+Table_NFI[[#This Row],[Winter Clothes Children]]+Table_NFI[[#This Row],[Winter Items Other]]+Table_NFI[[#This Row],[Winter Blanket]]&gt;0,1,0)</f>
        <v>0</v>
      </c>
      <c r="AN988" s="331">
        <f>IF(NFI_Expiration=1,IF($A988&lt;VLOOKUP(V$5,NFI,5,0),1,0)*Table_NFI[[#This Row],[Jerry Can]],Table_NFI[Jerry Can])</f>
        <v>0</v>
      </c>
      <c r="AO988" s="331">
        <f>IF(NFI_Expiration=1,IF($A988&lt;VLOOKUP(V$5,NFI,5,0),1,0)*Table_NFI[[#This Row],[Shelter Tool kit]],Table_NFI[Shelter Tool kit])</f>
        <v>0</v>
      </c>
      <c r="AP988" s="331">
        <f>IF(NFI_Expiration=1,IF($A988&lt;VLOOKUP(V$5,NFI,5,0),1,0)*Table_NFI[[#This Row],[Tent]],Table_NFI[Tent])</f>
        <v>0</v>
      </c>
      <c r="AQ988" s="467" t="str">
        <f>IFERROR(VLOOKUP(Table_NFI[[#This Row],[Camp Name]],CL,2,0),"")</f>
        <v>MMR001CMP024</v>
      </c>
      <c r="AR988" s="835">
        <f ca="1">IF(Table_NFI[[#This Row],[Pcode]]="","",IF(OFFSET(CampList[Opening Date],MATCH(Table_NFI[[#This Row],[Pcode]],CampList[CP_Pcode],0)-1,0,1,1)&gt;=NFI_Monitor_Date,1,0))</f>
        <v>0</v>
      </c>
      <c r="AS988" s="467" t="str">
        <f>IFERROR(VLOOKUP(Table_NFI[[#This Row],[Camp Name]],CL,3,0),"")</f>
        <v>Open</v>
      </c>
      <c r="AT988" s="294" t="str">
        <f ca="1">IF(Table_NFI[[#This Row],[Pcode]]="","",OFFSET(CampList[Priority],MATCH(Table_NFI[[#This Row],[Pcode]],CampList[CP_Pcode],0)-1,0,1,1))</f>
        <v>P4</v>
      </c>
      <c r="AU988" s="293">
        <f>IFERROR(Table_NFI[[#This Row],[Kitchen Set]]/VLOOKUP(Table_NFI[[#This Row],[Camp Name]],CL,4,0),"")</f>
        <v>7.0889046420103156E-4</v>
      </c>
      <c r="AV988" s="461" t="s">
        <v>1092</v>
      </c>
      <c r="AW988" s="463"/>
    </row>
    <row r="989" spans="1:49" s="464" customFormat="1" ht="14.45" customHeight="1" x14ac:dyDescent="0.25">
      <c r="A989" s="297">
        <f t="shared" si="15"/>
        <v>56.133333333333333</v>
      </c>
      <c r="B989" s="460">
        <v>41052</v>
      </c>
      <c r="C989" s="461" t="s">
        <v>452</v>
      </c>
      <c r="D989" s="462" t="s">
        <v>452</v>
      </c>
      <c r="E989" s="461" t="s">
        <v>380</v>
      </c>
      <c r="F989" s="290" t="s">
        <v>237</v>
      </c>
      <c r="G989" s="290" t="s">
        <v>238</v>
      </c>
      <c r="H989" s="291"/>
      <c r="I989" s="291"/>
      <c r="J989" s="291"/>
      <c r="K989" s="291">
        <v>54</v>
      </c>
      <c r="L989" s="292">
        <v>29</v>
      </c>
      <c r="M989" s="292">
        <v>54</v>
      </c>
      <c r="N989" s="292">
        <v>29</v>
      </c>
      <c r="O989" s="292">
        <v>29</v>
      </c>
      <c r="P989" s="294">
        <v>29</v>
      </c>
      <c r="Q989" s="294">
        <v>29</v>
      </c>
      <c r="R989" s="294"/>
      <c r="S989" s="294"/>
      <c r="T989" s="294"/>
      <c r="U989" s="294"/>
      <c r="V989" s="431"/>
      <c r="W989" s="294"/>
      <c r="X989" s="294"/>
      <c r="Y989" s="294">
        <f>IF(NFI_Expiration=1,IF($A989&lt;VLOOKUP(H$5,NFI,5,0),1,0)*Table_NFI[[#This Row],[Hygiene Kit]],Table_NFI[Hygiene Kit])</f>
        <v>0</v>
      </c>
      <c r="Z989" s="294">
        <f>IF(NFI_Expiration=1,IF($A989&lt;VLOOKUP(I$5,NFI,5,0),1,0)*Table_NFI[[#This Row],[NFI Core Kit]],Table_NFI[NFI Core Kit])</f>
        <v>0</v>
      </c>
      <c r="AA989" s="294">
        <f>IF(NFI_Expiration=1,IF($A989&lt;VLOOKUP(J$5,NFI,5,0),1,0)*Table_NFI[[#This Row],[Sanitary Kit]],Table_NFI[Sanitary Kit])</f>
        <v>0</v>
      </c>
      <c r="AB989" s="294">
        <f>IF(NFI_Expiration=1,IF($A989&lt;VLOOKUP(K$5,NFI,5,0),1,0)*Table_NFI[[#This Row],[Mosquito net]],Table_NFI[Mosquito net])</f>
        <v>0</v>
      </c>
      <c r="AC989" s="294">
        <f>IF(NFI_Expiration=1,IF($A989&lt;VLOOKUP(L$5,NFI,5,0),1,0)*Table_NFI[[#This Row],[Tarpaulin]],Table_NFI[[#This Row],[Tarpaulin]])</f>
        <v>0</v>
      </c>
      <c r="AD989" s="294">
        <f>IF(NFI_Expiration=1,IF($A989&lt;VLOOKUP(M$5,NFI,5,0),1,0)*Table_NFI[[#This Row],[Blanket]],Table_NFI[[#This Row],[Blanket]])</f>
        <v>0</v>
      </c>
      <c r="AE989" s="294">
        <f>IF(NFI_Expiration=1,IF($A989&lt;VLOOKUP(N$5,NFI,5,0),1,0)*Table_NFI[[#This Row],[Kitchen Set]],Table_NFI[Kitchen Set])</f>
        <v>0</v>
      </c>
      <c r="AF989" s="294">
        <f>IF(NFI_Expiration=1,IF($A989&lt;VLOOKUP(O$5,NFI,5,0),1,0)*Table_NFI[[#This Row],[Clothes Kit]],Table_NFI[Clothes Kit])</f>
        <v>0</v>
      </c>
      <c r="AG989" s="294">
        <f>IF(NFI_Expiration=1,IF($A989&lt;VLOOKUP(P$5,NFI,5,0),1,0)*Table_NFI[[#This Row],[Plastic Bucket]],Table_NFI[Plastic Bucket])</f>
        <v>0</v>
      </c>
      <c r="AH989" s="294">
        <f>IF(NFI_Expiration=1,IF($A989&lt;VLOOKUP(Q$5,NFI,5,0),1,0)*Table_NFI[[#This Row],[Plastic Mat]],Table_NFI[Plastic Mat])*IF(Table_NFI[[#This Row],[Distribution Date]]&gt;"2014-04-01",1,2.5)</f>
        <v>0</v>
      </c>
      <c r="AI989" s="294">
        <f>IF(NFI_Expiration=1,IF($A989&lt;VLOOKUP(R$5,NFI,5,0),1,0)*Table_NFI[[#This Row],[Winter Clothes Adult]],Table_NFI[Winter Clothes Adult])</f>
        <v>0</v>
      </c>
      <c r="AJ989" s="294">
        <f>IF(NFI_Expiration=1,IF($A989&lt;VLOOKUP(S$5,NFI,5,0),1,0)*Table_NFI[[#This Row],[Winter Clothes Children]],Table_NFI[Winter Clothes Children])</f>
        <v>0</v>
      </c>
      <c r="AK989" s="294">
        <f>IF(NFI_Expiration=1,IF($A989&lt;VLOOKUP(T$5,NFI,5,0),1,0)*Table_NFI[[#This Row],[Winter Items Other]],Table_NFI[Winter Items Other])</f>
        <v>0</v>
      </c>
      <c r="AL989" s="294">
        <f>IF(NFI_Expiration=1,IF($A989&lt;VLOOKUP(M$5,NFI,5,0),1,0)*Table_NFI[[#This Row],[Winter Blanket]],Table_NFI[[#This Row],[Winter Blanket]])</f>
        <v>0</v>
      </c>
      <c r="AM989" s="294">
        <f>IF(Table_NFI[[#This Row],[Winter Clothes Adult]]+Table_NFI[[#This Row],[Winter Clothes Children]]+Table_NFI[[#This Row],[Winter Items Other]]+Table_NFI[[#This Row],[Winter Blanket]]&gt;0,1,0)</f>
        <v>0</v>
      </c>
      <c r="AN989" s="331">
        <f>IF(NFI_Expiration=1,IF($A989&lt;VLOOKUP(V$5,NFI,5,0),1,0)*Table_NFI[[#This Row],[Jerry Can]],Table_NFI[Jerry Can])</f>
        <v>0</v>
      </c>
      <c r="AO989" s="331">
        <f>IF(NFI_Expiration=1,IF($A989&lt;VLOOKUP(V$5,NFI,5,0),1,0)*Table_NFI[[#This Row],[Shelter Tool kit]],Table_NFI[Shelter Tool kit])</f>
        <v>0</v>
      </c>
      <c r="AP989" s="331">
        <f>IF(NFI_Expiration=1,IF($A989&lt;VLOOKUP(V$5,NFI,5,0),1,0)*Table_NFI[[#This Row],[Tent]],Table_NFI[Tent])</f>
        <v>0</v>
      </c>
      <c r="AQ989" s="467" t="str">
        <f>IFERROR(VLOOKUP(Table_NFI[[#This Row],[Camp Name]],CL,2,0),"")</f>
        <v>MMR001CMP001</v>
      </c>
      <c r="AR989" s="835">
        <f ca="1">IF(Table_NFI[[#This Row],[Pcode]]="","",IF(OFFSET(CampList[Opening Date],MATCH(Table_NFI[[#This Row],[Pcode]],CampList[CP_Pcode],0)-1,0,1,1)&gt;=NFI_Monitor_Date,1,0))</f>
        <v>0</v>
      </c>
      <c r="AS989" s="467" t="str">
        <f>IFERROR(VLOOKUP(Table_NFI[[#This Row],[Camp Name]],CL,3,0),"")</f>
        <v>Open</v>
      </c>
      <c r="AT989" s="294" t="str">
        <f ca="1">IF(Table_NFI[[#This Row],[Pcode]]="","",OFFSET(CampList[Priority],MATCH(Table_NFI[[#This Row],[Pcode]],CampList[CP_Pcode],0)-1,0,1,1))</f>
        <v>P4</v>
      </c>
      <c r="AU989" s="293">
        <f>IFERROR(Table_NFI[[#This Row],[Kitchen Set]]/VLOOKUP(Table_NFI[[#This Row],[Camp Name]],CL,4,0),"")</f>
        <v>7.1261825777122498E-4</v>
      </c>
      <c r="AV989" s="461" t="s">
        <v>1092</v>
      </c>
      <c r="AW989" s="463"/>
    </row>
    <row r="990" spans="1:49" s="464" customFormat="1" ht="14.45" customHeight="1" x14ac:dyDescent="0.25">
      <c r="A990" s="297">
        <f t="shared" si="15"/>
        <v>56.2</v>
      </c>
      <c r="B990" s="460">
        <v>41050</v>
      </c>
      <c r="C990" s="461" t="s">
        <v>452</v>
      </c>
      <c r="D990" s="462" t="s">
        <v>452</v>
      </c>
      <c r="E990" s="461" t="s">
        <v>380</v>
      </c>
      <c r="F990" s="290" t="s">
        <v>5</v>
      </c>
      <c r="G990" s="290" t="s">
        <v>6</v>
      </c>
      <c r="H990" s="291"/>
      <c r="I990" s="291"/>
      <c r="J990" s="291"/>
      <c r="K990" s="291">
        <v>0</v>
      </c>
      <c r="L990" s="292">
        <v>15</v>
      </c>
      <c r="M990" s="292">
        <v>0</v>
      </c>
      <c r="N990" s="292">
        <v>0</v>
      </c>
      <c r="O990" s="292">
        <v>0</v>
      </c>
      <c r="P990" s="294"/>
      <c r="Q990" s="294"/>
      <c r="R990" s="294"/>
      <c r="S990" s="294"/>
      <c r="T990" s="294"/>
      <c r="U990" s="294"/>
      <c r="V990" s="431"/>
      <c r="W990" s="294"/>
      <c r="X990" s="294"/>
      <c r="Y990" s="294">
        <f>IF(NFI_Expiration=1,IF($A990&lt;VLOOKUP(H$5,NFI,5,0),1,0)*Table_NFI[[#This Row],[Hygiene Kit]],Table_NFI[Hygiene Kit])</f>
        <v>0</v>
      </c>
      <c r="Z990" s="294">
        <f>IF(NFI_Expiration=1,IF($A990&lt;VLOOKUP(I$5,NFI,5,0),1,0)*Table_NFI[[#This Row],[NFI Core Kit]],Table_NFI[NFI Core Kit])</f>
        <v>0</v>
      </c>
      <c r="AA990" s="294">
        <f>IF(NFI_Expiration=1,IF($A990&lt;VLOOKUP(J$5,NFI,5,0),1,0)*Table_NFI[[#This Row],[Sanitary Kit]],Table_NFI[Sanitary Kit])</f>
        <v>0</v>
      </c>
      <c r="AB990" s="294">
        <f>IF(NFI_Expiration=1,IF($A990&lt;VLOOKUP(K$5,NFI,5,0),1,0)*Table_NFI[[#This Row],[Mosquito net]],Table_NFI[Mosquito net])</f>
        <v>0</v>
      </c>
      <c r="AC990" s="294">
        <f>IF(NFI_Expiration=1,IF($A990&lt;VLOOKUP(L$5,NFI,5,0),1,0)*Table_NFI[[#This Row],[Tarpaulin]],Table_NFI[[#This Row],[Tarpaulin]])</f>
        <v>0</v>
      </c>
      <c r="AD990" s="294">
        <f>IF(NFI_Expiration=1,IF($A990&lt;VLOOKUP(M$5,NFI,5,0),1,0)*Table_NFI[[#This Row],[Blanket]],Table_NFI[[#This Row],[Blanket]])</f>
        <v>0</v>
      </c>
      <c r="AE990" s="294">
        <f>IF(NFI_Expiration=1,IF($A990&lt;VLOOKUP(N$5,NFI,5,0),1,0)*Table_NFI[[#This Row],[Kitchen Set]],Table_NFI[Kitchen Set])</f>
        <v>0</v>
      </c>
      <c r="AF990" s="294">
        <f>IF(NFI_Expiration=1,IF($A990&lt;VLOOKUP(O$5,NFI,5,0),1,0)*Table_NFI[[#This Row],[Clothes Kit]],Table_NFI[Clothes Kit])</f>
        <v>0</v>
      </c>
      <c r="AG990" s="294">
        <f>IF(NFI_Expiration=1,IF($A990&lt;VLOOKUP(P$5,NFI,5,0),1,0)*Table_NFI[[#This Row],[Plastic Bucket]],Table_NFI[Plastic Bucket])</f>
        <v>0</v>
      </c>
      <c r="AH990" s="294">
        <f>IF(NFI_Expiration=1,IF($A990&lt;VLOOKUP(Q$5,NFI,5,0),1,0)*Table_NFI[[#This Row],[Plastic Mat]],Table_NFI[Plastic Mat])*IF(Table_NFI[[#This Row],[Distribution Date]]&gt;"2014-04-01",1,2.5)</f>
        <v>0</v>
      </c>
      <c r="AI990" s="294">
        <f>IF(NFI_Expiration=1,IF($A990&lt;VLOOKUP(R$5,NFI,5,0),1,0)*Table_NFI[[#This Row],[Winter Clothes Adult]],Table_NFI[Winter Clothes Adult])</f>
        <v>0</v>
      </c>
      <c r="AJ990" s="294">
        <f>IF(NFI_Expiration=1,IF($A990&lt;VLOOKUP(S$5,NFI,5,0),1,0)*Table_NFI[[#This Row],[Winter Clothes Children]],Table_NFI[Winter Clothes Children])</f>
        <v>0</v>
      </c>
      <c r="AK990" s="294">
        <f>IF(NFI_Expiration=1,IF($A990&lt;VLOOKUP(T$5,NFI,5,0),1,0)*Table_NFI[[#This Row],[Winter Items Other]],Table_NFI[Winter Items Other])</f>
        <v>0</v>
      </c>
      <c r="AL990" s="294">
        <f>IF(NFI_Expiration=1,IF($A990&lt;VLOOKUP(M$5,NFI,5,0),1,0)*Table_NFI[[#This Row],[Winter Blanket]],Table_NFI[[#This Row],[Winter Blanket]])</f>
        <v>0</v>
      </c>
      <c r="AM990" s="294">
        <f>IF(Table_NFI[[#This Row],[Winter Clothes Adult]]+Table_NFI[[#This Row],[Winter Clothes Children]]+Table_NFI[[#This Row],[Winter Items Other]]+Table_NFI[[#This Row],[Winter Blanket]]&gt;0,1,0)</f>
        <v>0</v>
      </c>
      <c r="AN990" s="331">
        <f>IF(NFI_Expiration=1,IF($A990&lt;VLOOKUP(V$5,NFI,5,0),1,0)*Table_NFI[[#This Row],[Jerry Can]],Table_NFI[Jerry Can])</f>
        <v>0</v>
      </c>
      <c r="AO990" s="331">
        <f>IF(NFI_Expiration=1,IF($A990&lt;VLOOKUP(V$5,NFI,5,0),1,0)*Table_NFI[[#This Row],[Shelter Tool kit]],Table_NFI[Shelter Tool kit])</f>
        <v>0</v>
      </c>
      <c r="AP990" s="331">
        <f>IF(NFI_Expiration=1,IF($A990&lt;VLOOKUP(V$5,NFI,5,0),1,0)*Table_NFI[[#This Row],[Tent]],Table_NFI[Tent])</f>
        <v>0</v>
      </c>
      <c r="AQ990" s="467" t="str">
        <f>IFERROR(VLOOKUP(Table_NFI[[#This Row],[Camp Name]],CL,2,0),"")</f>
        <v>MMR001CMP050</v>
      </c>
      <c r="AR990" s="835">
        <f ca="1">IF(Table_NFI[[#This Row],[Pcode]]="","",IF(OFFSET(CampList[Opening Date],MATCH(Table_NFI[[#This Row],[Pcode]],CampList[CP_Pcode],0)-1,0,1,1)&gt;=NFI_Monitor_Date,1,0))</f>
        <v>0</v>
      </c>
      <c r="AS990" s="467" t="str">
        <f>IFERROR(VLOOKUP(Table_NFI[[#This Row],[Camp Name]],CL,3,0),"")</f>
        <v>Open</v>
      </c>
      <c r="AT990" s="294" t="str">
        <f ca="1">IF(Table_NFI[[#This Row],[Pcode]]="","",OFFSET(CampList[Priority],MATCH(Table_NFI[[#This Row],[Pcode]],CampList[CP_Pcode],0)-1,0,1,1))</f>
        <v>P4</v>
      </c>
      <c r="AU990" s="293">
        <f>IFERROR(Table_NFI[[#This Row],[Kitchen Set]]/VLOOKUP(Table_NFI[[#This Row],[Camp Name]],CL,4,0),"")</f>
        <v>0</v>
      </c>
      <c r="AV990" s="461" t="s">
        <v>1092</v>
      </c>
      <c r="AW990" s="463"/>
    </row>
    <row r="991" spans="1:49" s="464" customFormat="1" ht="14.45" customHeight="1" x14ac:dyDescent="0.25">
      <c r="A991" s="297">
        <f t="shared" si="15"/>
        <v>56.4</v>
      </c>
      <c r="B991" s="460">
        <v>41044</v>
      </c>
      <c r="C991" s="461" t="s">
        <v>452</v>
      </c>
      <c r="D991" s="462" t="s">
        <v>459</v>
      </c>
      <c r="E991" s="461" t="s">
        <v>380</v>
      </c>
      <c r="F991" s="290" t="s">
        <v>5</v>
      </c>
      <c r="G991" s="290" t="s">
        <v>6</v>
      </c>
      <c r="H991" s="291"/>
      <c r="I991" s="291"/>
      <c r="J991" s="291"/>
      <c r="K991" s="291">
        <v>90</v>
      </c>
      <c r="L991" s="292">
        <v>0</v>
      </c>
      <c r="M991" s="292">
        <v>0</v>
      </c>
      <c r="N991" s="292">
        <v>0</v>
      </c>
      <c r="O991" s="292">
        <v>0</v>
      </c>
      <c r="P991" s="294"/>
      <c r="Q991" s="294"/>
      <c r="R991" s="294"/>
      <c r="S991" s="294"/>
      <c r="T991" s="294"/>
      <c r="U991" s="294"/>
      <c r="V991" s="431"/>
      <c r="W991" s="294"/>
      <c r="X991" s="294"/>
      <c r="Y991" s="294">
        <f>IF(NFI_Expiration=1,IF($A991&lt;VLOOKUP(H$5,NFI,5,0),1,0)*Table_NFI[[#This Row],[Hygiene Kit]],Table_NFI[Hygiene Kit])</f>
        <v>0</v>
      </c>
      <c r="Z991" s="294">
        <f>IF(NFI_Expiration=1,IF($A991&lt;VLOOKUP(I$5,NFI,5,0),1,0)*Table_NFI[[#This Row],[NFI Core Kit]],Table_NFI[NFI Core Kit])</f>
        <v>0</v>
      </c>
      <c r="AA991" s="294">
        <f>IF(NFI_Expiration=1,IF($A991&lt;VLOOKUP(J$5,NFI,5,0),1,0)*Table_NFI[[#This Row],[Sanitary Kit]],Table_NFI[Sanitary Kit])</f>
        <v>0</v>
      </c>
      <c r="AB991" s="294">
        <f>IF(NFI_Expiration=1,IF($A991&lt;VLOOKUP(K$5,NFI,5,0),1,0)*Table_NFI[[#This Row],[Mosquito net]],Table_NFI[Mosquito net])</f>
        <v>0</v>
      </c>
      <c r="AC991" s="294">
        <f>IF(NFI_Expiration=1,IF($A991&lt;VLOOKUP(L$5,NFI,5,0),1,0)*Table_NFI[[#This Row],[Tarpaulin]],Table_NFI[[#This Row],[Tarpaulin]])</f>
        <v>0</v>
      </c>
      <c r="AD991" s="294">
        <f>IF(NFI_Expiration=1,IF($A991&lt;VLOOKUP(M$5,NFI,5,0),1,0)*Table_NFI[[#This Row],[Blanket]],Table_NFI[[#This Row],[Blanket]])</f>
        <v>0</v>
      </c>
      <c r="AE991" s="294">
        <f>IF(NFI_Expiration=1,IF($A991&lt;VLOOKUP(N$5,NFI,5,0),1,0)*Table_NFI[[#This Row],[Kitchen Set]],Table_NFI[Kitchen Set])</f>
        <v>0</v>
      </c>
      <c r="AF991" s="294">
        <f>IF(NFI_Expiration=1,IF($A991&lt;VLOOKUP(O$5,NFI,5,0),1,0)*Table_NFI[[#This Row],[Clothes Kit]],Table_NFI[Clothes Kit])</f>
        <v>0</v>
      </c>
      <c r="AG991" s="294">
        <f>IF(NFI_Expiration=1,IF($A991&lt;VLOOKUP(P$5,NFI,5,0),1,0)*Table_NFI[[#This Row],[Plastic Bucket]],Table_NFI[Plastic Bucket])</f>
        <v>0</v>
      </c>
      <c r="AH991" s="294">
        <f>IF(NFI_Expiration=1,IF($A991&lt;VLOOKUP(Q$5,NFI,5,0),1,0)*Table_NFI[[#This Row],[Plastic Mat]],Table_NFI[Plastic Mat])*IF(Table_NFI[[#This Row],[Distribution Date]]&gt;"2014-04-01",1,2.5)</f>
        <v>0</v>
      </c>
      <c r="AI991" s="294">
        <f>IF(NFI_Expiration=1,IF($A991&lt;VLOOKUP(R$5,NFI,5,0),1,0)*Table_NFI[[#This Row],[Winter Clothes Adult]],Table_NFI[Winter Clothes Adult])</f>
        <v>0</v>
      </c>
      <c r="AJ991" s="294">
        <f>IF(NFI_Expiration=1,IF($A991&lt;VLOOKUP(S$5,NFI,5,0),1,0)*Table_NFI[[#This Row],[Winter Clothes Children]],Table_NFI[Winter Clothes Children])</f>
        <v>0</v>
      </c>
      <c r="AK991" s="294">
        <f>IF(NFI_Expiration=1,IF($A991&lt;VLOOKUP(T$5,NFI,5,0),1,0)*Table_NFI[[#This Row],[Winter Items Other]],Table_NFI[Winter Items Other])</f>
        <v>0</v>
      </c>
      <c r="AL991" s="294">
        <f>IF(NFI_Expiration=1,IF($A991&lt;VLOOKUP(M$5,NFI,5,0),1,0)*Table_NFI[[#This Row],[Winter Blanket]],Table_NFI[[#This Row],[Winter Blanket]])</f>
        <v>0</v>
      </c>
      <c r="AM991" s="294">
        <f>IF(Table_NFI[[#This Row],[Winter Clothes Adult]]+Table_NFI[[#This Row],[Winter Clothes Children]]+Table_NFI[[#This Row],[Winter Items Other]]+Table_NFI[[#This Row],[Winter Blanket]]&gt;0,1,0)</f>
        <v>0</v>
      </c>
      <c r="AN991" s="331">
        <f>IF(NFI_Expiration=1,IF($A991&lt;VLOOKUP(V$5,NFI,5,0),1,0)*Table_NFI[[#This Row],[Jerry Can]],Table_NFI[Jerry Can])</f>
        <v>0</v>
      </c>
      <c r="AO991" s="331">
        <f>IF(NFI_Expiration=1,IF($A991&lt;VLOOKUP(V$5,NFI,5,0),1,0)*Table_NFI[[#This Row],[Shelter Tool kit]],Table_NFI[Shelter Tool kit])</f>
        <v>0</v>
      </c>
      <c r="AP991" s="331">
        <f>IF(NFI_Expiration=1,IF($A991&lt;VLOOKUP(V$5,NFI,5,0),1,0)*Table_NFI[[#This Row],[Tent]],Table_NFI[Tent])</f>
        <v>0</v>
      </c>
      <c r="AQ991" s="467" t="str">
        <f>IFERROR(VLOOKUP(Table_NFI[[#This Row],[Camp Name]],CL,2,0),"")</f>
        <v>MMR001CMP050</v>
      </c>
      <c r="AR991" s="835">
        <f ca="1">IF(Table_NFI[[#This Row],[Pcode]]="","",IF(OFFSET(CampList[Opening Date],MATCH(Table_NFI[[#This Row],[Pcode]],CampList[CP_Pcode],0)-1,0,1,1)&gt;=NFI_Monitor_Date,1,0))</f>
        <v>0</v>
      </c>
      <c r="AS991" s="467" t="str">
        <f>IFERROR(VLOOKUP(Table_NFI[[#This Row],[Camp Name]],CL,3,0),"")</f>
        <v>Open</v>
      </c>
      <c r="AT991" s="294" t="str">
        <f ca="1">IF(Table_NFI[[#This Row],[Pcode]]="","",OFFSET(CampList[Priority],MATCH(Table_NFI[[#This Row],[Pcode]],CampList[CP_Pcode],0)-1,0,1,1))</f>
        <v>P4</v>
      </c>
      <c r="AU991" s="293">
        <f>IFERROR(Table_NFI[[#This Row],[Kitchen Set]]/VLOOKUP(Table_NFI[[#This Row],[Camp Name]],CL,4,0),"")</f>
        <v>0</v>
      </c>
      <c r="AV991" s="461" t="s">
        <v>1092</v>
      </c>
      <c r="AW991" s="463"/>
    </row>
    <row r="992" spans="1:49" s="464" customFormat="1" ht="14.45" customHeight="1" x14ac:dyDescent="0.25">
      <c r="A992" s="297">
        <f t="shared" si="15"/>
        <v>56.533333333333331</v>
      </c>
      <c r="B992" s="460">
        <v>41040</v>
      </c>
      <c r="C992" s="461" t="s">
        <v>452</v>
      </c>
      <c r="D992" s="462" t="s">
        <v>452</v>
      </c>
      <c r="E992" s="461" t="s">
        <v>380</v>
      </c>
      <c r="F992" s="290" t="s">
        <v>310</v>
      </c>
      <c r="G992" s="290" t="s">
        <v>330</v>
      </c>
      <c r="H992" s="291"/>
      <c r="I992" s="291"/>
      <c r="J992" s="291"/>
      <c r="K992" s="291">
        <v>57</v>
      </c>
      <c r="L992" s="292">
        <v>29</v>
      </c>
      <c r="M992" s="292">
        <v>57</v>
      </c>
      <c r="N992" s="292">
        <v>29</v>
      </c>
      <c r="O992" s="292">
        <v>29</v>
      </c>
      <c r="P992" s="294">
        <v>29</v>
      </c>
      <c r="Q992" s="294">
        <v>29</v>
      </c>
      <c r="R992" s="294"/>
      <c r="S992" s="294"/>
      <c r="T992" s="294"/>
      <c r="U992" s="294"/>
      <c r="V992" s="431"/>
      <c r="W992" s="294"/>
      <c r="X992" s="294"/>
      <c r="Y992" s="294">
        <f>IF(NFI_Expiration=1,IF($A992&lt;VLOOKUP(H$5,NFI,5,0),1,0)*Table_NFI[[#This Row],[Hygiene Kit]],Table_NFI[Hygiene Kit])</f>
        <v>0</v>
      </c>
      <c r="Z992" s="294">
        <f>IF(NFI_Expiration=1,IF($A992&lt;VLOOKUP(I$5,NFI,5,0),1,0)*Table_NFI[[#This Row],[NFI Core Kit]],Table_NFI[NFI Core Kit])</f>
        <v>0</v>
      </c>
      <c r="AA992" s="294">
        <f>IF(NFI_Expiration=1,IF($A992&lt;VLOOKUP(J$5,NFI,5,0),1,0)*Table_NFI[[#This Row],[Sanitary Kit]],Table_NFI[Sanitary Kit])</f>
        <v>0</v>
      </c>
      <c r="AB992" s="294">
        <f>IF(NFI_Expiration=1,IF($A992&lt;VLOOKUP(K$5,NFI,5,0),1,0)*Table_NFI[[#This Row],[Mosquito net]],Table_NFI[Mosquito net])</f>
        <v>0</v>
      </c>
      <c r="AC992" s="294">
        <f>IF(NFI_Expiration=1,IF($A992&lt;VLOOKUP(L$5,NFI,5,0),1,0)*Table_NFI[[#This Row],[Tarpaulin]],Table_NFI[[#This Row],[Tarpaulin]])</f>
        <v>0</v>
      </c>
      <c r="AD992" s="294">
        <f>IF(NFI_Expiration=1,IF($A992&lt;VLOOKUP(M$5,NFI,5,0),1,0)*Table_NFI[[#This Row],[Blanket]],Table_NFI[[#This Row],[Blanket]])</f>
        <v>0</v>
      </c>
      <c r="AE992" s="294">
        <f>IF(NFI_Expiration=1,IF($A992&lt;VLOOKUP(N$5,NFI,5,0),1,0)*Table_NFI[[#This Row],[Kitchen Set]],Table_NFI[Kitchen Set])</f>
        <v>0</v>
      </c>
      <c r="AF992" s="294">
        <f>IF(NFI_Expiration=1,IF($A992&lt;VLOOKUP(O$5,NFI,5,0),1,0)*Table_NFI[[#This Row],[Clothes Kit]],Table_NFI[Clothes Kit])</f>
        <v>0</v>
      </c>
      <c r="AG992" s="294">
        <f>IF(NFI_Expiration=1,IF($A992&lt;VLOOKUP(P$5,NFI,5,0),1,0)*Table_NFI[[#This Row],[Plastic Bucket]],Table_NFI[Plastic Bucket])</f>
        <v>0</v>
      </c>
      <c r="AH992" s="294">
        <f>IF(NFI_Expiration=1,IF($A992&lt;VLOOKUP(Q$5,NFI,5,0),1,0)*Table_NFI[[#This Row],[Plastic Mat]],Table_NFI[Plastic Mat])*IF(Table_NFI[[#This Row],[Distribution Date]]&gt;"2014-04-01",1,2.5)</f>
        <v>0</v>
      </c>
      <c r="AI992" s="294">
        <f>IF(NFI_Expiration=1,IF($A992&lt;VLOOKUP(R$5,NFI,5,0),1,0)*Table_NFI[[#This Row],[Winter Clothes Adult]],Table_NFI[Winter Clothes Adult])</f>
        <v>0</v>
      </c>
      <c r="AJ992" s="294">
        <f>IF(NFI_Expiration=1,IF($A992&lt;VLOOKUP(S$5,NFI,5,0),1,0)*Table_NFI[[#This Row],[Winter Clothes Children]],Table_NFI[Winter Clothes Children])</f>
        <v>0</v>
      </c>
      <c r="AK992" s="294">
        <f>IF(NFI_Expiration=1,IF($A992&lt;VLOOKUP(T$5,NFI,5,0),1,0)*Table_NFI[[#This Row],[Winter Items Other]],Table_NFI[Winter Items Other])</f>
        <v>0</v>
      </c>
      <c r="AL992" s="294">
        <f>IF(NFI_Expiration=1,IF($A992&lt;VLOOKUP(M$5,NFI,5,0),1,0)*Table_NFI[[#This Row],[Winter Blanket]],Table_NFI[[#This Row],[Winter Blanket]])</f>
        <v>0</v>
      </c>
      <c r="AM992" s="294">
        <f>IF(Table_NFI[[#This Row],[Winter Clothes Adult]]+Table_NFI[[#This Row],[Winter Clothes Children]]+Table_NFI[[#This Row],[Winter Items Other]]+Table_NFI[[#This Row],[Winter Blanket]]&gt;0,1,0)</f>
        <v>0</v>
      </c>
      <c r="AN992" s="331">
        <f>IF(NFI_Expiration=1,IF($A992&lt;VLOOKUP(V$5,NFI,5,0),1,0)*Table_NFI[[#This Row],[Jerry Can]],Table_NFI[Jerry Can])</f>
        <v>0</v>
      </c>
      <c r="AO992" s="331">
        <f>IF(NFI_Expiration=1,IF($A992&lt;VLOOKUP(V$5,NFI,5,0),1,0)*Table_NFI[[#This Row],[Shelter Tool kit]],Table_NFI[Shelter Tool kit])</f>
        <v>0</v>
      </c>
      <c r="AP992" s="331">
        <f>IF(NFI_Expiration=1,IF($A992&lt;VLOOKUP(V$5,NFI,5,0),1,0)*Table_NFI[[#This Row],[Tent]],Table_NFI[Tent])</f>
        <v>0</v>
      </c>
      <c r="AQ992" s="467" t="str">
        <f>IFERROR(VLOOKUP(Table_NFI[[#This Row],[Camp Name]],CL,2,0),"")</f>
        <v>MMR001CMP029</v>
      </c>
      <c r="AR992" s="835">
        <f ca="1">IF(Table_NFI[[#This Row],[Pcode]]="","",IF(OFFSET(CampList[Opening Date],MATCH(Table_NFI[[#This Row],[Pcode]],CampList[CP_Pcode],0)-1,0,1,1)&gt;=NFI_Monitor_Date,1,0))</f>
        <v>0</v>
      </c>
      <c r="AS992" s="467" t="str">
        <f>IFERROR(VLOOKUP(Table_NFI[[#This Row],[Camp Name]],CL,3,0),"")</f>
        <v>Open</v>
      </c>
      <c r="AT992" s="294" t="str">
        <f ca="1">IF(Table_NFI[[#This Row],[Pcode]]="","",OFFSET(CampList[Priority],MATCH(Table_NFI[[#This Row],[Pcode]],CampList[CP_Pcode],0)-1,0,1,1))</f>
        <v>P4</v>
      </c>
      <c r="AU992" s="293">
        <f>IFERROR(Table_NFI[[#This Row],[Kitchen Set]]/VLOOKUP(Table_NFI[[#This Row],[Camp Name]],CL,4,0),"")</f>
        <v>7.00043450972819E-4</v>
      </c>
      <c r="AV992" s="461" t="s">
        <v>1092</v>
      </c>
      <c r="AW992" s="463"/>
    </row>
    <row r="993" spans="1:49" s="464" customFormat="1" x14ac:dyDescent="0.25">
      <c r="A993" s="297">
        <f t="shared" si="15"/>
        <v>56.533333333333331</v>
      </c>
      <c r="B993" s="460">
        <v>41040</v>
      </c>
      <c r="C993" s="461" t="s">
        <v>452</v>
      </c>
      <c r="D993" s="462" t="s">
        <v>452</v>
      </c>
      <c r="E993" s="461" t="s">
        <v>380</v>
      </c>
      <c r="F993" s="290" t="s">
        <v>310</v>
      </c>
      <c r="G993" s="290" t="s">
        <v>324</v>
      </c>
      <c r="H993" s="291"/>
      <c r="I993" s="291"/>
      <c r="J993" s="291"/>
      <c r="K993" s="291">
        <v>50</v>
      </c>
      <c r="L993" s="292">
        <v>25</v>
      </c>
      <c r="M993" s="292">
        <v>50</v>
      </c>
      <c r="N993" s="292">
        <v>24</v>
      </c>
      <c r="O993" s="292">
        <v>13</v>
      </c>
      <c r="P993" s="294">
        <v>13</v>
      </c>
      <c r="Q993" s="294">
        <v>13</v>
      </c>
      <c r="R993" s="294"/>
      <c r="S993" s="294"/>
      <c r="T993" s="294"/>
      <c r="U993" s="294"/>
      <c r="V993" s="431"/>
      <c r="W993" s="294"/>
      <c r="X993" s="294"/>
      <c r="Y993" s="294">
        <f>IF(NFI_Expiration=1,IF($A993&lt;VLOOKUP(H$5,NFI,5,0),1,0)*Table_NFI[[#This Row],[Hygiene Kit]],Table_NFI[Hygiene Kit])</f>
        <v>0</v>
      </c>
      <c r="Z993" s="294">
        <f>IF(NFI_Expiration=1,IF($A993&lt;VLOOKUP(I$5,NFI,5,0),1,0)*Table_NFI[[#This Row],[NFI Core Kit]],Table_NFI[NFI Core Kit])</f>
        <v>0</v>
      </c>
      <c r="AA993" s="294">
        <f>IF(NFI_Expiration=1,IF($A993&lt;VLOOKUP(J$5,NFI,5,0),1,0)*Table_NFI[[#This Row],[Sanitary Kit]],Table_NFI[Sanitary Kit])</f>
        <v>0</v>
      </c>
      <c r="AB993" s="294">
        <f>IF(NFI_Expiration=1,IF($A993&lt;VLOOKUP(K$5,NFI,5,0),1,0)*Table_NFI[[#This Row],[Mosquito net]],Table_NFI[Mosquito net])</f>
        <v>0</v>
      </c>
      <c r="AC993" s="294">
        <f>IF(NFI_Expiration=1,IF($A993&lt;VLOOKUP(L$5,NFI,5,0),1,0)*Table_NFI[[#This Row],[Tarpaulin]],Table_NFI[[#This Row],[Tarpaulin]])</f>
        <v>0</v>
      </c>
      <c r="AD993" s="294">
        <f>IF(NFI_Expiration=1,IF($A993&lt;VLOOKUP(M$5,NFI,5,0),1,0)*Table_NFI[[#This Row],[Blanket]],Table_NFI[[#This Row],[Blanket]])</f>
        <v>0</v>
      </c>
      <c r="AE993" s="294">
        <f>IF(NFI_Expiration=1,IF($A993&lt;VLOOKUP(N$5,NFI,5,0),1,0)*Table_NFI[[#This Row],[Kitchen Set]],Table_NFI[Kitchen Set])</f>
        <v>0</v>
      </c>
      <c r="AF993" s="294">
        <f>IF(NFI_Expiration=1,IF($A993&lt;VLOOKUP(O$5,NFI,5,0),1,0)*Table_NFI[[#This Row],[Clothes Kit]],Table_NFI[Clothes Kit])</f>
        <v>0</v>
      </c>
      <c r="AG993" s="294">
        <f>IF(NFI_Expiration=1,IF($A993&lt;VLOOKUP(P$5,NFI,5,0),1,0)*Table_NFI[[#This Row],[Plastic Bucket]],Table_NFI[Plastic Bucket])</f>
        <v>0</v>
      </c>
      <c r="AH993" s="294">
        <f>IF(NFI_Expiration=1,IF($A993&lt;VLOOKUP(Q$5,NFI,5,0),1,0)*Table_NFI[[#This Row],[Plastic Mat]],Table_NFI[Plastic Mat])*IF(Table_NFI[[#This Row],[Distribution Date]]&gt;"2014-04-01",1,2.5)</f>
        <v>0</v>
      </c>
      <c r="AI993" s="294">
        <f>IF(NFI_Expiration=1,IF($A993&lt;VLOOKUP(R$5,NFI,5,0),1,0)*Table_NFI[[#This Row],[Winter Clothes Adult]],Table_NFI[Winter Clothes Adult])</f>
        <v>0</v>
      </c>
      <c r="AJ993" s="294">
        <f>IF(NFI_Expiration=1,IF($A993&lt;VLOOKUP(S$5,NFI,5,0),1,0)*Table_NFI[[#This Row],[Winter Clothes Children]],Table_NFI[Winter Clothes Children])</f>
        <v>0</v>
      </c>
      <c r="AK993" s="294">
        <f>IF(NFI_Expiration=1,IF($A993&lt;VLOOKUP(T$5,NFI,5,0),1,0)*Table_NFI[[#This Row],[Winter Items Other]],Table_NFI[Winter Items Other])</f>
        <v>0</v>
      </c>
      <c r="AL993" s="294">
        <f>IF(NFI_Expiration=1,IF($A993&lt;VLOOKUP(M$5,NFI,5,0),1,0)*Table_NFI[[#This Row],[Winter Blanket]],Table_NFI[[#This Row],[Winter Blanket]])</f>
        <v>0</v>
      </c>
      <c r="AM993" s="294">
        <f>IF(Table_NFI[[#This Row],[Winter Clothes Adult]]+Table_NFI[[#This Row],[Winter Clothes Children]]+Table_NFI[[#This Row],[Winter Items Other]]+Table_NFI[[#This Row],[Winter Blanket]]&gt;0,1,0)</f>
        <v>0</v>
      </c>
      <c r="AN993" s="331">
        <f>IF(NFI_Expiration=1,IF($A993&lt;VLOOKUP(V$5,NFI,5,0),1,0)*Table_NFI[[#This Row],[Jerry Can]],Table_NFI[Jerry Can])</f>
        <v>0</v>
      </c>
      <c r="AO993" s="331">
        <f>IF(NFI_Expiration=1,IF($A993&lt;VLOOKUP(V$5,NFI,5,0),1,0)*Table_NFI[[#This Row],[Shelter Tool kit]],Table_NFI[Shelter Tool kit])</f>
        <v>0</v>
      </c>
      <c r="AP993" s="331">
        <f>IF(NFI_Expiration=1,IF($A993&lt;VLOOKUP(V$5,NFI,5,0),1,0)*Table_NFI[[#This Row],[Tent]],Table_NFI[Tent])</f>
        <v>0</v>
      </c>
      <c r="AQ993" s="467" t="str">
        <f>IFERROR(VLOOKUP(Table_NFI[[#This Row],[Camp Name]],CL,2,0),"")</f>
        <v>MMR001CMP040</v>
      </c>
      <c r="AR993" s="835">
        <f ca="1">IF(Table_NFI[[#This Row],[Pcode]]="","",IF(OFFSET(CampList[Opening Date],MATCH(Table_NFI[[#This Row],[Pcode]],CampList[CP_Pcode],0)-1,0,1,1)&gt;=NFI_Monitor_Date,1,0))</f>
        <v>0</v>
      </c>
      <c r="AS993" s="467" t="str">
        <f>IFERROR(VLOOKUP(Table_NFI[[#This Row],[Camp Name]],CL,3,0),"")</f>
        <v>Open</v>
      </c>
      <c r="AT993" s="294" t="str">
        <f ca="1">IF(Table_NFI[[#This Row],[Pcode]]="","",OFFSET(CampList[Priority],MATCH(Table_NFI[[#This Row],[Pcode]],CampList[CP_Pcode],0)-1,0,1,1))</f>
        <v>P4</v>
      </c>
      <c r="AU993" s="293">
        <f>IFERROR(Table_NFI[[#This Row],[Kitchen Set]]/VLOOKUP(Table_NFI[[#This Row],[Camp Name]],CL,4,0),"")</f>
        <v>5.8449623730547236E-4</v>
      </c>
      <c r="AV993" s="461" t="s">
        <v>1092</v>
      </c>
      <c r="AW993" s="463"/>
    </row>
    <row r="994" spans="1:49" s="464" customFormat="1" ht="15" customHeight="1" x14ac:dyDescent="0.25">
      <c r="A994" s="297">
        <f t="shared" si="15"/>
        <v>56.533333333333331</v>
      </c>
      <c r="B994" s="460">
        <v>41040</v>
      </c>
      <c r="C994" s="461" t="s">
        <v>452</v>
      </c>
      <c r="D994" s="461" t="s">
        <v>459</v>
      </c>
      <c r="E994" s="461" t="s">
        <v>380</v>
      </c>
      <c r="F994" s="290" t="s">
        <v>302</v>
      </c>
      <c r="G994" s="290" t="s">
        <v>306</v>
      </c>
      <c r="H994" s="291"/>
      <c r="I994" s="291"/>
      <c r="J994" s="291"/>
      <c r="K994" s="291">
        <v>38</v>
      </c>
      <c r="L994" s="292">
        <v>23</v>
      </c>
      <c r="M994" s="292">
        <v>38</v>
      </c>
      <c r="N994" s="292">
        <v>23</v>
      </c>
      <c r="O994" s="292">
        <v>23</v>
      </c>
      <c r="P994" s="294">
        <v>23</v>
      </c>
      <c r="Q994" s="294">
        <v>23</v>
      </c>
      <c r="R994" s="294"/>
      <c r="S994" s="294"/>
      <c r="T994" s="294"/>
      <c r="U994" s="294"/>
      <c r="V994" s="431"/>
      <c r="W994" s="294"/>
      <c r="X994" s="294"/>
      <c r="Y994" s="294">
        <f>IF(NFI_Expiration=1,IF($A994&lt;VLOOKUP(H$5,NFI,5,0),1,0)*Table_NFI[[#This Row],[Hygiene Kit]],Table_NFI[Hygiene Kit])</f>
        <v>0</v>
      </c>
      <c r="Z994" s="294">
        <f>IF(NFI_Expiration=1,IF($A994&lt;VLOOKUP(I$5,NFI,5,0),1,0)*Table_NFI[[#This Row],[NFI Core Kit]],Table_NFI[NFI Core Kit])</f>
        <v>0</v>
      </c>
      <c r="AA994" s="294">
        <f>IF(NFI_Expiration=1,IF($A994&lt;VLOOKUP(J$5,NFI,5,0),1,0)*Table_NFI[[#This Row],[Sanitary Kit]],Table_NFI[Sanitary Kit])</f>
        <v>0</v>
      </c>
      <c r="AB994" s="294">
        <f>IF(NFI_Expiration=1,IF($A994&lt;VLOOKUP(K$5,NFI,5,0),1,0)*Table_NFI[[#This Row],[Mosquito net]],Table_NFI[Mosquito net])</f>
        <v>0</v>
      </c>
      <c r="AC994" s="294">
        <f>IF(NFI_Expiration=1,IF($A994&lt;VLOOKUP(L$5,NFI,5,0),1,0)*Table_NFI[[#This Row],[Tarpaulin]],Table_NFI[[#This Row],[Tarpaulin]])</f>
        <v>0</v>
      </c>
      <c r="AD994" s="294">
        <f>IF(NFI_Expiration=1,IF($A994&lt;VLOOKUP(M$5,NFI,5,0),1,0)*Table_NFI[[#This Row],[Blanket]],Table_NFI[[#This Row],[Blanket]])</f>
        <v>0</v>
      </c>
      <c r="AE994" s="294">
        <f>IF(NFI_Expiration=1,IF($A994&lt;VLOOKUP(N$5,NFI,5,0),1,0)*Table_NFI[[#This Row],[Kitchen Set]],Table_NFI[Kitchen Set])</f>
        <v>0</v>
      </c>
      <c r="AF994" s="294">
        <f>IF(NFI_Expiration=1,IF($A994&lt;VLOOKUP(O$5,NFI,5,0),1,0)*Table_NFI[[#This Row],[Clothes Kit]],Table_NFI[Clothes Kit])</f>
        <v>0</v>
      </c>
      <c r="AG994" s="294">
        <f>IF(NFI_Expiration=1,IF($A994&lt;VLOOKUP(P$5,NFI,5,0),1,0)*Table_NFI[[#This Row],[Plastic Bucket]],Table_NFI[Plastic Bucket])</f>
        <v>0</v>
      </c>
      <c r="AH994" s="294">
        <f>IF(NFI_Expiration=1,IF($A994&lt;VLOOKUP(Q$5,NFI,5,0),1,0)*Table_NFI[[#This Row],[Plastic Mat]],Table_NFI[Plastic Mat])*IF(Table_NFI[[#This Row],[Distribution Date]]&gt;"2014-04-01",1,2.5)</f>
        <v>0</v>
      </c>
      <c r="AI994" s="294">
        <f>IF(NFI_Expiration=1,IF($A994&lt;VLOOKUP(R$5,NFI,5,0),1,0)*Table_NFI[[#This Row],[Winter Clothes Adult]],Table_NFI[Winter Clothes Adult])</f>
        <v>0</v>
      </c>
      <c r="AJ994" s="294">
        <f>IF(NFI_Expiration=1,IF($A994&lt;VLOOKUP(S$5,NFI,5,0),1,0)*Table_NFI[[#This Row],[Winter Clothes Children]],Table_NFI[Winter Clothes Children])</f>
        <v>0</v>
      </c>
      <c r="AK994" s="294">
        <f>IF(NFI_Expiration=1,IF($A994&lt;VLOOKUP(T$5,NFI,5,0),1,0)*Table_NFI[[#This Row],[Winter Items Other]],Table_NFI[Winter Items Other])</f>
        <v>0</v>
      </c>
      <c r="AL994" s="294">
        <f>IF(NFI_Expiration=1,IF($A994&lt;VLOOKUP(M$5,NFI,5,0),1,0)*Table_NFI[[#This Row],[Winter Blanket]],Table_NFI[[#This Row],[Winter Blanket]])</f>
        <v>0</v>
      </c>
      <c r="AM994" s="294">
        <f>IF(Table_NFI[[#This Row],[Winter Clothes Adult]]+Table_NFI[[#This Row],[Winter Clothes Children]]+Table_NFI[[#This Row],[Winter Items Other]]+Table_NFI[[#This Row],[Winter Blanket]]&gt;0,1,0)</f>
        <v>0</v>
      </c>
      <c r="AN994" s="331">
        <f>IF(NFI_Expiration=1,IF($A994&lt;VLOOKUP(V$5,NFI,5,0),1,0)*Table_NFI[[#This Row],[Jerry Can]],Table_NFI[Jerry Can])</f>
        <v>0</v>
      </c>
      <c r="AO994" s="331">
        <f>IF(NFI_Expiration=1,IF($A994&lt;VLOOKUP(V$5,NFI,5,0),1,0)*Table_NFI[[#This Row],[Shelter Tool kit]],Table_NFI[Shelter Tool kit])</f>
        <v>0</v>
      </c>
      <c r="AP994" s="331">
        <f>IF(NFI_Expiration=1,IF($A994&lt;VLOOKUP(V$5,NFI,5,0),1,0)*Table_NFI[[#This Row],[Tent]],Table_NFI[Tent])</f>
        <v>0</v>
      </c>
      <c r="AQ994" s="467" t="str">
        <f>IFERROR(VLOOKUP(Table_NFI[[#This Row],[Camp Name]],CL,2,0),"")</f>
        <v>MMR001CMP067</v>
      </c>
      <c r="AR994" s="835">
        <f ca="1">IF(Table_NFI[[#This Row],[Pcode]]="","",IF(OFFSET(CampList[Opening Date],MATCH(Table_NFI[[#This Row],[Pcode]],CampList[CP_Pcode],0)-1,0,1,1)&gt;=NFI_Monitor_Date,1,0))</f>
        <v>0</v>
      </c>
      <c r="AS994" s="467" t="str">
        <f>IFERROR(VLOOKUP(Table_NFI[[#This Row],[Camp Name]],CL,3,0),"")</f>
        <v>Open</v>
      </c>
      <c r="AT994" s="294" t="str">
        <f ca="1">IF(Table_NFI[[#This Row],[Pcode]]="","",OFFSET(CampList[Priority],MATCH(Table_NFI[[#This Row],[Pcode]],CampList[CP_Pcode],0)-1,0,1,1))</f>
        <v>P4</v>
      </c>
      <c r="AU994" s="293">
        <f>IFERROR(Table_NFI[[#This Row],[Kitchen Set]]/VLOOKUP(Table_NFI[[#This Row],[Camp Name]],CL,4,0),"")</f>
        <v>5.647636586863106E-4</v>
      </c>
      <c r="AV994" s="461" t="s">
        <v>1092</v>
      </c>
      <c r="AW994" s="463"/>
    </row>
    <row r="995" spans="1:49" ht="14.45" customHeight="1" x14ac:dyDescent="0.25">
      <c r="A995" s="297">
        <f t="shared" si="15"/>
        <v>56.533333333333331</v>
      </c>
      <c r="B995" s="460">
        <v>41040</v>
      </c>
      <c r="C995" s="461" t="s">
        <v>452</v>
      </c>
      <c r="D995" s="461" t="s">
        <v>459</v>
      </c>
      <c r="E995" s="461" t="s">
        <v>380</v>
      </c>
      <c r="F995" s="461" t="s">
        <v>302</v>
      </c>
      <c r="G995" s="290" t="s">
        <v>308</v>
      </c>
      <c r="H995" s="291"/>
      <c r="I995" s="291"/>
      <c r="J995" s="291"/>
      <c r="K995" s="291">
        <v>37</v>
      </c>
      <c r="L995" s="292">
        <v>22</v>
      </c>
      <c r="M995" s="292">
        <v>37</v>
      </c>
      <c r="N995" s="292">
        <v>22</v>
      </c>
      <c r="O995" s="292">
        <v>22</v>
      </c>
      <c r="P995" s="294">
        <v>22</v>
      </c>
      <c r="Q995" s="294">
        <v>22</v>
      </c>
      <c r="R995" s="294"/>
      <c r="S995" s="294"/>
      <c r="T995" s="294"/>
      <c r="U995" s="294"/>
      <c r="V995" s="431"/>
      <c r="W995" s="294"/>
      <c r="X995" s="294"/>
      <c r="Y995" s="294">
        <f>IF(NFI_Expiration=1,IF($A995&lt;VLOOKUP(H$5,NFI,5,0),1,0)*Table_NFI[[#This Row],[Hygiene Kit]],Table_NFI[Hygiene Kit])</f>
        <v>0</v>
      </c>
      <c r="Z995" s="294">
        <f>IF(NFI_Expiration=1,IF($A995&lt;VLOOKUP(I$5,NFI,5,0),1,0)*Table_NFI[[#This Row],[NFI Core Kit]],Table_NFI[NFI Core Kit])</f>
        <v>0</v>
      </c>
      <c r="AA995" s="294">
        <f>IF(NFI_Expiration=1,IF($A995&lt;VLOOKUP(J$5,NFI,5,0),1,0)*Table_NFI[[#This Row],[Sanitary Kit]],Table_NFI[Sanitary Kit])</f>
        <v>0</v>
      </c>
      <c r="AB995" s="294">
        <f>IF(NFI_Expiration=1,IF($A995&lt;VLOOKUP(K$5,NFI,5,0),1,0)*Table_NFI[[#This Row],[Mosquito net]],Table_NFI[Mosquito net])</f>
        <v>0</v>
      </c>
      <c r="AC995" s="294">
        <f>IF(NFI_Expiration=1,IF($A995&lt;VLOOKUP(L$5,NFI,5,0),1,0)*Table_NFI[[#This Row],[Tarpaulin]],Table_NFI[[#This Row],[Tarpaulin]])</f>
        <v>0</v>
      </c>
      <c r="AD995" s="294">
        <f>IF(NFI_Expiration=1,IF($A995&lt;VLOOKUP(M$5,NFI,5,0),1,0)*Table_NFI[[#This Row],[Blanket]],Table_NFI[[#This Row],[Blanket]])</f>
        <v>0</v>
      </c>
      <c r="AE995" s="294">
        <f>IF(NFI_Expiration=1,IF($A995&lt;VLOOKUP(N$5,NFI,5,0),1,0)*Table_NFI[[#This Row],[Kitchen Set]],Table_NFI[Kitchen Set])</f>
        <v>0</v>
      </c>
      <c r="AF995" s="294">
        <f>IF(NFI_Expiration=1,IF($A995&lt;VLOOKUP(O$5,NFI,5,0),1,0)*Table_NFI[[#This Row],[Clothes Kit]],Table_NFI[Clothes Kit])</f>
        <v>0</v>
      </c>
      <c r="AG995" s="294">
        <f>IF(NFI_Expiration=1,IF($A995&lt;VLOOKUP(P$5,NFI,5,0),1,0)*Table_NFI[[#This Row],[Plastic Bucket]],Table_NFI[Plastic Bucket])</f>
        <v>0</v>
      </c>
      <c r="AH995" s="294">
        <f>IF(NFI_Expiration=1,IF($A995&lt;VLOOKUP(Q$5,NFI,5,0),1,0)*Table_NFI[[#This Row],[Plastic Mat]],Table_NFI[Plastic Mat])*IF(Table_NFI[[#This Row],[Distribution Date]]&gt;"2014-04-01",1,2.5)</f>
        <v>0</v>
      </c>
      <c r="AI995" s="294">
        <f>IF(NFI_Expiration=1,IF($A995&lt;VLOOKUP(R$5,NFI,5,0),1,0)*Table_NFI[[#This Row],[Winter Clothes Adult]],Table_NFI[Winter Clothes Adult])</f>
        <v>0</v>
      </c>
      <c r="AJ995" s="294">
        <f>IF(NFI_Expiration=1,IF($A995&lt;VLOOKUP(S$5,NFI,5,0),1,0)*Table_NFI[[#This Row],[Winter Clothes Children]],Table_NFI[Winter Clothes Children])</f>
        <v>0</v>
      </c>
      <c r="AK995" s="294">
        <f>IF(NFI_Expiration=1,IF($A995&lt;VLOOKUP(T$5,NFI,5,0),1,0)*Table_NFI[[#This Row],[Winter Items Other]],Table_NFI[Winter Items Other])</f>
        <v>0</v>
      </c>
      <c r="AL995" s="294">
        <f>IF(NFI_Expiration=1,IF($A995&lt;VLOOKUP(M$5,NFI,5,0),1,0)*Table_NFI[[#This Row],[Winter Blanket]],Table_NFI[[#This Row],[Winter Blanket]])</f>
        <v>0</v>
      </c>
      <c r="AM995" s="294">
        <f>IF(Table_NFI[[#This Row],[Winter Clothes Adult]]+Table_NFI[[#This Row],[Winter Clothes Children]]+Table_NFI[[#This Row],[Winter Items Other]]+Table_NFI[[#This Row],[Winter Blanket]]&gt;0,1,0)</f>
        <v>0</v>
      </c>
      <c r="AN995" s="331">
        <f>IF(NFI_Expiration=1,IF($A995&lt;VLOOKUP(V$5,NFI,5,0),1,0)*Table_NFI[[#This Row],[Jerry Can]],Table_NFI[Jerry Can])</f>
        <v>0</v>
      </c>
      <c r="AO995" s="331">
        <f>IF(NFI_Expiration=1,IF($A995&lt;VLOOKUP(V$5,NFI,5,0),1,0)*Table_NFI[[#This Row],[Shelter Tool kit]],Table_NFI[Shelter Tool kit])</f>
        <v>0</v>
      </c>
      <c r="AP995" s="331">
        <f>IF(NFI_Expiration=1,IF($A995&lt;VLOOKUP(V$5,NFI,5,0),1,0)*Table_NFI[[#This Row],[Tent]],Table_NFI[Tent])</f>
        <v>0</v>
      </c>
      <c r="AQ995" s="467" t="str">
        <f>IFERROR(VLOOKUP(Table_NFI[[#This Row],[Camp Name]],CL,2,0),"")</f>
        <v>MMR001CMP068</v>
      </c>
      <c r="AR995" s="835">
        <f ca="1">IF(Table_NFI[[#This Row],[Pcode]]="","",IF(OFFSET(CampList[Opening Date],MATCH(Table_NFI[[#This Row],[Pcode]],CampList[CP_Pcode],0)-1,0,1,1)&gt;=NFI_Monitor_Date,1,0))</f>
        <v>0</v>
      </c>
      <c r="AS995" s="467" t="str">
        <f>IFERROR(VLOOKUP(Table_NFI[[#This Row],[Camp Name]],CL,3,0),"")</f>
        <v>Open</v>
      </c>
      <c r="AT995" s="294" t="str">
        <f ca="1">IF(Table_NFI[[#This Row],[Pcode]]="","",OFFSET(CampList[Priority],MATCH(Table_NFI[[#This Row],[Pcode]],CampList[CP_Pcode],0)-1,0,1,1))</f>
        <v>P4</v>
      </c>
      <c r="AU995" s="293">
        <f>IFERROR(Table_NFI[[#This Row],[Kitchen Set]]/VLOOKUP(Table_NFI[[#This Row],[Camp Name]],CL,4,0),"")</f>
        <v>5.4020871700429711E-4</v>
      </c>
      <c r="AV995" s="461" t="s">
        <v>1092</v>
      </c>
      <c r="AW995" s="463"/>
    </row>
    <row r="996" spans="1:49" ht="14.45" customHeight="1" x14ac:dyDescent="0.25">
      <c r="A996" s="297">
        <f t="shared" si="15"/>
        <v>56.6</v>
      </c>
      <c r="B996" s="460">
        <v>41038</v>
      </c>
      <c r="C996" s="461" t="s">
        <v>452</v>
      </c>
      <c r="D996" s="462" t="s">
        <v>452</v>
      </c>
      <c r="E996" s="461" t="s">
        <v>380</v>
      </c>
      <c r="F996" s="290" t="s">
        <v>310</v>
      </c>
      <c r="G996" s="290" t="s">
        <v>311</v>
      </c>
      <c r="H996" s="291"/>
      <c r="I996" s="291"/>
      <c r="J996" s="291"/>
      <c r="K996" s="291">
        <v>161</v>
      </c>
      <c r="L996" s="292">
        <v>83</v>
      </c>
      <c r="M996" s="292">
        <v>161</v>
      </c>
      <c r="N996" s="292">
        <v>83</v>
      </c>
      <c r="O996" s="292">
        <v>83</v>
      </c>
      <c r="P996" s="294">
        <v>83</v>
      </c>
      <c r="Q996" s="294">
        <v>83</v>
      </c>
      <c r="R996" s="294"/>
      <c r="S996" s="294"/>
      <c r="T996" s="294"/>
      <c r="U996" s="294"/>
      <c r="V996" s="431"/>
      <c r="W996" s="294"/>
      <c r="X996" s="294"/>
      <c r="Y996" s="294">
        <f>IF(NFI_Expiration=1,IF($A996&lt;VLOOKUP(H$5,NFI,5,0),1,0)*Table_NFI[[#This Row],[Hygiene Kit]],Table_NFI[Hygiene Kit])</f>
        <v>0</v>
      </c>
      <c r="Z996" s="294">
        <f>IF(NFI_Expiration=1,IF($A996&lt;VLOOKUP(I$5,NFI,5,0),1,0)*Table_NFI[[#This Row],[NFI Core Kit]],Table_NFI[NFI Core Kit])</f>
        <v>0</v>
      </c>
      <c r="AA996" s="294">
        <f>IF(NFI_Expiration=1,IF($A996&lt;VLOOKUP(J$5,NFI,5,0),1,0)*Table_NFI[[#This Row],[Sanitary Kit]],Table_NFI[Sanitary Kit])</f>
        <v>0</v>
      </c>
      <c r="AB996" s="294">
        <f>IF(NFI_Expiration=1,IF($A996&lt;VLOOKUP(K$5,NFI,5,0),1,0)*Table_NFI[[#This Row],[Mosquito net]],Table_NFI[Mosquito net])</f>
        <v>0</v>
      </c>
      <c r="AC996" s="294">
        <f>IF(NFI_Expiration=1,IF($A996&lt;VLOOKUP(L$5,NFI,5,0),1,0)*Table_NFI[[#This Row],[Tarpaulin]],Table_NFI[[#This Row],[Tarpaulin]])</f>
        <v>0</v>
      </c>
      <c r="AD996" s="294">
        <f>IF(NFI_Expiration=1,IF($A996&lt;VLOOKUP(M$5,NFI,5,0),1,0)*Table_NFI[[#This Row],[Blanket]],Table_NFI[[#This Row],[Blanket]])</f>
        <v>0</v>
      </c>
      <c r="AE996" s="294">
        <f>IF(NFI_Expiration=1,IF($A996&lt;VLOOKUP(N$5,NFI,5,0),1,0)*Table_NFI[[#This Row],[Kitchen Set]],Table_NFI[Kitchen Set])</f>
        <v>0</v>
      </c>
      <c r="AF996" s="294">
        <f>IF(NFI_Expiration=1,IF($A996&lt;VLOOKUP(O$5,NFI,5,0),1,0)*Table_NFI[[#This Row],[Clothes Kit]],Table_NFI[Clothes Kit])</f>
        <v>0</v>
      </c>
      <c r="AG996" s="294">
        <f>IF(NFI_Expiration=1,IF($A996&lt;VLOOKUP(P$5,NFI,5,0),1,0)*Table_NFI[[#This Row],[Plastic Bucket]],Table_NFI[Plastic Bucket])</f>
        <v>0</v>
      </c>
      <c r="AH996" s="294">
        <f>IF(NFI_Expiration=1,IF($A996&lt;VLOOKUP(Q$5,NFI,5,0),1,0)*Table_NFI[[#This Row],[Plastic Mat]],Table_NFI[Plastic Mat])*IF(Table_NFI[[#This Row],[Distribution Date]]&gt;"2014-04-01",1,2.5)</f>
        <v>0</v>
      </c>
      <c r="AI996" s="294">
        <f>IF(NFI_Expiration=1,IF($A996&lt;VLOOKUP(R$5,NFI,5,0),1,0)*Table_NFI[[#This Row],[Winter Clothes Adult]],Table_NFI[Winter Clothes Adult])</f>
        <v>0</v>
      </c>
      <c r="AJ996" s="294">
        <f>IF(NFI_Expiration=1,IF($A996&lt;VLOOKUP(S$5,NFI,5,0),1,0)*Table_NFI[[#This Row],[Winter Clothes Children]],Table_NFI[Winter Clothes Children])</f>
        <v>0</v>
      </c>
      <c r="AK996" s="294">
        <f>IF(NFI_Expiration=1,IF($A996&lt;VLOOKUP(T$5,NFI,5,0),1,0)*Table_NFI[[#This Row],[Winter Items Other]],Table_NFI[Winter Items Other])</f>
        <v>0</v>
      </c>
      <c r="AL996" s="294">
        <f>IF(NFI_Expiration=1,IF($A996&lt;VLOOKUP(M$5,NFI,5,0),1,0)*Table_NFI[[#This Row],[Winter Blanket]],Table_NFI[[#This Row],[Winter Blanket]])</f>
        <v>0</v>
      </c>
      <c r="AM996" s="294">
        <f>IF(Table_NFI[[#This Row],[Winter Clothes Adult]]+Table_NFI[[#This Row],[Winter Clothes Children]]+Table_NFI[[#This Row],[Winter Items Other]]+Table_NFI[[#This Row],[Winter Blanket]]&gt;0,1,0)</f>
        <v>0</v>
      </c>
      <c r="AN996" s="331">
        <f>IF(NFI_Expiration=1,IF($A996&lt;VLOOKUP(V$5,NFI,5,0),1,0)*Table_NFI[[#This Row],[Jerry Can]],Table_NFI[Jerry Can])</f>
        <v>0</v>
      </c>
      <c r="AO996" s="331">
        <f>IF(NFI_Expiration=1,IF($A996&lt;VLOOKUP(V$5,NFI,5,0),1,0)*Table_NFI[[#This Row],[Shelter Tool kit]],Table_NFI[Shelter Tool kit])</f>
        <v>0</v>
      </c>
      <c r="AP996" s="331">
        <f>IF(NFI_Expiration=1,IF($A996&lt;VLOOKUP(V$5,NFI,5,0),1,0)*Table_NFI[[#This Row],[Tent]],Table_NFI[Tent])</f>
        <v>0</v>
      </c>
      <c r="AQ996" s="467" t="str">
        <f>IFERROR(VLOOKUP(Table_NFI[[#This Row],[Camp Name]],CL,2,0),"")</f>
        <v>MMR001CMP036</v>
      </c>
      <c r="AR996" s="835">
        <f ca="1">IF(Table_NFI[[#This Row],[Pcode]]="","",IF(OFFSET(CampList[Opening Date],MATCH(Table_NFI[[#This Row],[Pcode]],CampList[CP_Pcode],0)-1,0,1,1)&gt;=NFI_Monitor_Date,1,0))</f>
        <v>0</v>
      </c>
      <c r="AS996" s="467" t="str">
        <f>IFERROR(VLOOKUP(Table_NFI[[#This Row],[Camp Name]],CL,3,0),"")</f>
        <v>Closed</v>
      </c>
      <c r="AT996" s="294" t="str">
        <f ca="1">IF(Table_NFI[[#This Row],[Pcode]]="","",OFFSET(CampList[Priority],MATCH(Table_NFI[[#This Row],[Pcode]],CampList[CP_Pcode],0)-1,0,1,1))</f>
        <v>P4</v>
      </c>
      <c r="AU996" s="293">
        <f>IFERROR(Table_NFI[[#This Row],[Kitchen Set]]/VLOOKUP(Table_NFI[[#This Row],[Camp Name]],CL,4,0),"")</f>
        <v>2.0319232275754014E-3</v>
      </c>
      <c r="AV996" s="461" t="s">
        <v>1092</v>
      </c>
      <c r="AW996" s="463"/>
    </row>
    <row r="997" spans="1:49" s="464" customFormat="1" ht="14.45" customHeight="1" x14ac:dyDescent="0.25">
      <c r="A997" s="297">
        <f t="shared" si="15"/>
        <v>56.8</v>
      </c>
      <c r="B997" s="460">
        <v>41032</v>
      </c>
      <c r="C997" s="461" t="s">
        <v>452</v>
      </c>
      <c r="D997" s="462" t="s">
        <v>452</v>
      </c>
      <c r="E997" s="461" t="s">
        <v>380</v>
      </c>
      <c r="F997" s="290" t="s">
        <v>310</v>
      </c>
      <c r="G997" s="290" t="s">
        <v>328</v>
      </c>
      <c r="H997" s="291"/>
      <c r="I997" s="291"/>
      <c r="J997" s="291"/>
      <c r="K997" s="291">
        <v>42</v>
      </c>
      <c r="L997" s="292">
        <v>0</v>
      </c>
      <c r="M997" s="292">
        <v>42</v>
      </c>
      <c r="N997" s="292">
        <v>0</v>
      </c>
      <c r="O997" s="292">
        <v>20</v>
      </c>
      <c r="P997" s="294">
        <v>20</v>
      </c>
      <c r="Q997" s="294">
        <v>20</v>
      </c>
      <c r="R997" s="294"/>
      <c r="S997" s="294"/>
      <c r="T997" s="294"/>
      <c r="U997" s="294"/>
      <c r="V997" s="431"/>
      <c r="W997" s="294"/>
      <c r="X997" s="294"/>
      <c r="Y997" s="294">
        <f>IF(NFI_Expiration=1,IF($A997&lt;VLOOKUP(H$5,NFI,5,0),1,0)*Table_NFI[[#This Row],[Hygiene Kit]],Table_NFI[Hygiene Kit])</f>
        <v>0</v>
      </c>
      <c r="Z997" s="294">
        <f>IF(NFI_Expiration=1,IF($A997&lt;VLOOKUP(I$5,NFI,5,0),1,0)*Table_NFI[[#This Row],[NFI Core Kit]],Table_NFI[NFI Core Kit])</f>
        <v>0</v>
      </c>
      <c r="AA997" s="294">
        <f>IF(NFI_Expiration=1,IF($A997&lt;VLOOKUP(J$5,NFI,5,0),1,0)*Table_NFI[[#This Row],[Sanitary Kit]],Table_NFI[Sanitary Kit])</f>
        <v>0</v>
      </c>
      <c r="AB997" s="294">
        <f>IF(NFI_Expiration=1,IF($A997&lt;VLOOKUP(K$5,NFI,5,0),1,0)*Table_NFI[[#This Row],[Mosquito net]],Table_NFI[Mosquito net])</f>
        <v>0</v>
      </c>
      <c r="AC997" s="294">
        <f>IF(NFI_Expiration=1,IF($A997&lt;VLOOKUP(L$5,NFI,5,0),1,0)*Table_NFI[[#This Row],[Tarpaulin]],Table_NFI[[#This Row],[Tarpaulin]])</f>
        <v>0</v>
      </c>
      <c r="AD997" s="294">
        <f>IF(NFI_Expiration=1,IF($A997&lt;VLOOKUP(M$5,NFI,5,0),1,0)*Table_NFI[[#This Row],[Blanket]],Table_NFI[[#This Row],[Blanket]])</f>
        <v>0</v>
      </c>
      <c r="AE997" s="294">
        <f>IF(NFI_Expiration=1,IF($A997&lt;VLOOKUP(N$5,NFI,5,0),1,0)*Table_NFI[[#This Row],[Kitchen Set]],Table_NFI[Kitchen Set])</f>
        <v>0</v>
      </c>
      <c r="AF997" s="294">
        <f>IF(NFI_Expiration=1,IF($A997&lt;VLOOKUP(O$5,NFI,5,0),1,0)*Table_NFI[[#This Row],[Clothes Kit]],Table_NFI[Clothes Kit])</f>
        <v>0</v>
      </c>
      <c r="AG997" s="294">
        <f>IF(NFI_Expiration=1,IF($A997&lt;VLOOKUP(P$5,NFI,5,0),1,0)*Table_NFI[[#This Row],[Plastic Bucket]],Table_NFI[Plastic Bucket])</f>
        <v>0</v>
      </c>
      <c r="AH997" s="294">
        <f>IF(NFI_Expiration=1,IF($A997&lt;VLOOKUP(Q$5,NFI,5,0),1,0)*Table_NFI[[#This Row],[Plastic Mat]],Table_NFI[Plastic Mat])*IF(Table_NFI[[#This Row],[Distribution Date]]&gt;"2014-04-01",1,2.5)</f>
        <v>0</v>
      </c>
      <c r="AI997" s="294">
        <f>IF(NFI_Expiration=1,IF($A997&lt;VLOOKUP(R$5,NFI,5,0),1,0)*Table_NFI[[#This Row],[Winter Clothes Adult]],Table_NFI[Winter Clothes Adult])</f>
        <v>0</v>
      </c>
      <c r="AJ997" s="294">
        <f>IF(NFI_Expiration=1,IF($A997&lt;VLOOKUP(S$5,NFI,5,0),1,0)*Table_NFI[[#This Row],[Winter Clothes Children]],Table_NFI[Winter Clothes Children])</f>
        <v>0</v>
      </c>
      <c r="AK997" s="294">
        <f>IF(NFI_Expiration=1,IF($A997&lt;VLOOKUP(T$5,NFI,5,0),1,0)*Table_NFI[[#This Row],[Winter Items Other]],Table_NFI[Winter Items Other])</f>
        <v>0</v>
      </c>
      <c r="AL997" s="294">
        <f>IF(NFI_Expiration=1,IF($A997&lt;VLOOKUP(M$5,NFI,5,0),1,0)*Table_NFI[[#This Row],[Winter Blanket]],Table_NFI[[#This Row],[Winter Blanket]])</f>
        <v>0</v>
      </c>
      <c r="AM997" s="294">
        <f>IF(Table_NFI[[#This Row],[Winter Clothes Adult]]+Table_NFI[[#This Row],[Winter Clothes Children]]+Table_NFI[[#This Row],[Winter Items Other]]+Table_NFI[[#This Row],[Winter Blanket]]&gt;0,1,0)</f>
        <v>0</v>
      </c>
      <c r="AN997" s="331">
        <f>IF(NFI_Expiration=1,IF($A997&lt;VLOOKUP(V$5,NFI,5,0),1,0)*Table_NFI[[#This Row],[Jerry Can]],Table_NFI[Jerry Can])</f>
        <v>0</v>
      </c>
      <c r="AO997" s="331">
        <f>IF(NFI_Expiration=1,IF($A997&lt;VLOOKUP(V$5,NFI,5,0),1,0)*Table_NFI[[#This Row],[Shelter Tool kit]],Table_NFI[Shelter Tool kit])</f>
        <v>0</v>
      </c>
      <c r="AP997" s="331">
        <f>IF(NFI_Expiration=1,IF($A997&lt;VLOOKUP(V$5,NFI,5,0),1,0)*Table_NFI[[#This Row],[Tent]],Table_NFI[Tent])</f>
        <v>0</v>
      </c>
      <c r="AQ997" s="467" t="str">
        <f>IFERROR(VLOOKUP(Table_NFI[[#This Row],[Camp Name]],CL,2,0),"")</f>
        <v>MMR001CMP031</v>
      </c>
      <c r="AR997" s="835">
        <f ca="1">IF(Table_NFI[[#This Row],[Pcode]]="","",IF(OFFSET(CampList[Opening Date],MATCH(Table_NFI[[#This Row],[Pcode]],CampList[CP_Pcode],0)-1,0,1,1)&gt;=NFI_Monitor_Date,1,0))</f>
        <v>0</v>
      </c>
      <c r="AS997" s="467" t="str">
        <f>IFERROR(VLOOKUP(Table_NFI[[#This Row],[Camp Name]],CL,3,0),"")</f>
        <v>Open</v>
      </c>
      <c r="AT997" s="294" t="str">
        <f ca="1">IF(Table_NFI[[#This Row],[Pcode]]="","",OFFSET(CampList[Priority],MATCH(Table_NFI[[#This Row],[Pcode]],CampList[CP_Pcode],0)-1,0,1,1))</f>
        <v>P4</v>
      </c>
      <c r="AU997" s="293">
        <f>IFERROR(Table_NFI[[#This Row],[Kitchen Set]]/VLOOKUP(Table_NFI[[#This Row],[Camp Name]],CL,4,0),"")</f>
        <v>0</v>
      </c>
      <c r="AV997" s="461" t="s">
        <v>1092</v>
      </c>
      <c r="AW997" s="463"/>
    </row>
    <row r="998" spans="1:49" s="464" customFormat="1" ht="14.45" customHeight="1" x14ac:dyDescent="0.25">
      <c r="A998" s="297">
        <f t="shared" si="15"/>
        <v>56.8</v>
      </c>
      <c r="B998" s="460">
        <v>41032</v>
      </c>
      <c r="C998" s="461" t="s">
        <v>452</v>
      </c>
      <c r="D998" s="461" t="s">
        <v>452</v>
      </c>
      <c r="E998" s="461" t="s">
        <v>380</v>
      </c>
      <c r="F998" s="290" t="s">
        <v>310</v>
      </c>
      <c r="G998" s="290" t="s">
        <v>338</v>
      </c>
      <c r="H998" s="291"/>
      <c r="I998" s="291"/>
      <c r="J998" s="291"/>
      <c r="K998" s="291">
        <v>12</v>
      </c>
      <c r="L998" s="292">
        <v>0</v>
      </c>
      <c r="M998" s="292">
        <v>12</v>
      </c>
      <c r="N998" s="292">
        <v>6</v>
      </c>
      <c r="O998" s="292">
        <v>6</v>
      </c>
      <c r="P998" s="294">
        <v>6</v>
      </c>
      <c r="Q998" s="294">
        <v>6</v>
      </c>
      <c r="R998" s="294"/>
      <c r="S998" s="294"/>
      <c r="T998" s="294"/>
      <c r="U998" s="294"/>
      <c r="V998" s="431"/>
      <c r="W998" s="294"/>
      <c r="X998" s="294"/>
      <c r="Y998" s="294">
        <f>IF(NFI_Expiration=1,IF($A998&lt;VLOOKUP(H$5,NFI,5,0),1,0)*Table_NFI[[#This Row],[Hygiene Kit]],Table_NFI[Hygiene Kit])</f>
        <v>0</v>
      </c>
      <c r="Z998" s="294">
        <f>IF(NFI_Expiration=1,IF($A998&lt;VLOOKUP(I$5,NFI,5,0),1,0)*Table_NFI[[#This Row],[NFI Core Kit]],Table_NFI[NFI Core Kit])</f>
        <v>0</v>
      </c>
      <c r="AA998" s="294">
        <f>IF(NFI_Expiration=1,IF($A998&lt;VLOOKUP(J$5,NFI,5,0),1,0)*Table_NFI[[#This Row],[Sanitary Kit]],Table_NFI[Sanitary Kit])</f>
        <v>0</v>
      </c>
      <c r="AB998" s="294">
        <f>IF(NFI_Expiration=1,IF($A998&lt;VLOOKUP(K$5,NFI,5,0),1,0)*Table_NFI[[#This Row],[Mosquito net]],Table_NFI[Mosquito net])</f>
        <v>0</v>
      </c>
      <c r="AC998" s="294">
        <f>IF(NFI_Expiration=1,IF($A998&lt;VLOOKUP(L$5,NFI,5,0),1,0)*Table_NFI[[#This Row],[Tarpaulin]],Table_NFI[[#This Row],[Tarpaulin]])</f>
        <v>0</v>
      </c>
      <c r="AD998" s="294">
        <f>IF(NFI_Expiration=1,IF($A998&lt;VLOOKUP(M$5,NFI,5,0),1,0)*Table_NFI[[#This Row],[Blanket]],Table_NFI[[#This Row],[Blanket]])</f>
        <v>0</v>
      </c>
      <c r="AE998" s="294">
        <f>IF(NFI_Expiration=1,IF($A998&lt;VLOOKUP(N$5,NFI,5,0),1,0)*Table_NFI[[#This Row],[Kitchen Set]],Table_NFI[Kitchen Set])</f>
        <v>0</v>
      </c>
      <c r="AF998" s="294">
        <f>IF(NFI_Expiration=1,IF($A998&lt;VLOOKUP(O$5,NFI,5,0),1,0)*Table_NFI[[#This Row],[Clothes Kit]],Table_NFI[Clothes Kit])</f>
        <v>0</v>
      </c>
      <c r="AG998" s="294">
        <f>IF(NFI_Expiration=1,IF($A998&lt;VLOOKUP(P$5,NFI,5,0),1,0)*Table_NFI[[#This Row],[Plastic Bucket]],Table_NFI[Plastic Bucket])</f>
        <v>0</v>
      </c>
      <c r="AH998" s="294">
        <f>IF(NFI_Expiration=1,IF($A998&lt;VLOOKUP(Q$5,NFI,5,0),1,0)*Table_NFI[[#This Row],[Plastic Mat]],Table_NFI[Plastic Mat])*IF(Table_NFI[[#This Row],[Distribution Date]]&gt;"2014-04-01",1,2.5)</f>
        <v>0</v>
      </c>
      <c r="AI998" s="294">
        <f>IF(NFI_Expiration=1,IF($A998&lt;VLOOKUP(R$5,NFI,5,0),1,0)*Table_NFI[[#This Row],[Winter Clothes Adult]],Table_NFI[Winter Clothes Adult])</f>
        <v>0</v>
      </c>
      <c r="AJ998" s="294">
        <f>IF(NFI_Expiration=1,IF($A998&lt;VLOOKUP(S$5,NFI,5,0),1,0)*Table_NFI[[#This Row],[Winter Clothes Children]],Table_NFI[Winter Clothes Children])</f>
        <v>0</v>
      </c>
      <c r="AK998" s="294">
        <f>IF(NFI_Expiration=1,IF($A998&lt;VLOOKUP(T$5,NFI,5,0),1,0)*Table_NFI[[#This Row],[Winter Items Other]],Table_NFI[Winter Items Other])</f>
        <v>0</v>
      </c>
      <c r="AL998" s="294">
        <f>IF(NFI_Expiration=1,IF($A998&lt;VLOOKUP(M$5,NFI,5,0),1,0)*Table_NFI[[#This Row],[Winter Blanket]],Table_NFI[[#This Row],[Winter Blanket]])</f>
        <v>0</v>
      </c>
      <c r="AM998" s="294">
        <f>IF(Table_NFI[[#This Row],[Winter Clothes Adult]]+Table_NFI[[#This Row],[Winter Clothes Children]]+Table_NFI[[#This Row],[Winter Items Other]]+Table_NFI[[#This Row],[Winter Blanket]]&gt;0,1,0)</f>
        <v>0</v>
      </c>
      <c r="AN998" s="331">
        <f>IF(NFI_Expiration=1,IF($A998&lt;VLOOKUP(V$5,NFI,5,0),1,0)*Table_NFI[[#This Row],[Jerry Can]],Table_NFI[Jerry Can])</f>
        <v>0</v>
      </c>
      <c r="AO998" s="331">
        <f>IF(NFI_Expiration=1,IF($A998&lt;VLOOKUP(V$5,NFI,5,0),1,0)*Table_NFI[[#This Row],[Shelter Tool kit]],Table_NFI[Shelter Tool kit])</f>
        <v>0</v>
      </c>
      <c r="AP998" s="331">
        <f>IF(NFI_Expiration=1,IF($A998&lt;VLOOKUP(V$5,NFI,5,0),1,0)*Table_NFI[[#This Row],[Tent]],Table_NFI[Tent])</f>
        <v>0</v>
      </c>
      <c r="AQ998" s="467" t="str">
        <f>IFERROR(VLOOKUP(Table_NFI[[#This Row],[Camp Name]],CL,2,0),"")</f>
        <v>MMR001CMP030</v>
      </c>
      <c r="AR998" s="835">
        <f ca="1">IF(Table_NFI[[#This Row],[Pcode]]="","",IF(OFFSET(CampList[Opening Date],MATCH(Table_NFI[[#This Row],[Pcode]],CampList[CP_Pcode],0)-1,0,1,1)&gt;=NFI_Monitor_Date,1,0))</f>
        <v>0</v>
      </c>
      <c r="AS998" s="467" t="str">
        <f>IFERROR(VLOOKUP(Table_NFI[[#This Row],[Camp Name]],CL,3,0),"")</f>
        <v>Open</v>
      </c>
      <c r="AT998" s="294" t="str">
        <f ca="1">IF(Table_NFI[[#This Row],[Pcode]]="","",OFFSET(CampList[Priority],MATCH(Table_NFI[[#This Row],[Pcode]],CampList[CP_Pcode],0)-1,0,1,1))</f>
        <v>P4</v>
      </c>
      <c r="AU998" s="293">
        <f>IFERROR(Table_NFI[[#This Row],[Kitchen Set]]/VLOOKUP(Table_NFI[[#This Row],[Camp Name]],CL,4,0),"")</f>
        <v>1.474382602285293E-4</v>
      </c>
      <c r="AV998" s="461" t="s">
        <v>1092</v>
      </c>
      <c r="AW998" s="463"/>
    </row>
    <row r="999" spans="1:49" s="98" customFormat="1" ht="14.45" customHeight="1" x14ac:dyDescent="0.25">
      <c r="A999" s="297">
        <f t="shared" si="15"/>
        <v>56.8</v>
      </c>
      <c r="B999" s="460">
        <v>41032</v>
      </c>
      <c r="C999" s="461" t="s">
        <v>452</v>
      </c>
      <c r="D999" s="461" t="s">
        <v>452</v>
      </c>
      <c r="E999" s="461" t="s">
        <v>380</v>
      </c>
      <c r="F999" s="290" t="s">
        <v>310</v>
      </c>
      <c r="G999" s="290" t="s">
        <v>351</v>
      </c>
      <c r="H999" s="291"/>
      <c r="I999" s="291"/>
      <c r="J999" s="291"/>
      <c r="K999" s="291">
        <v>34</v>
      </c>
      <c r="L999" s="292">
        <v>0</v>
      </c>
      <c r="M999" s="292">
        <v>34</v>
      </c>
      <c r="N999" s="292">
        <v>0</v>
      </c>
      <c r="O999" s="292">
        <v>18</v>
      </c>
      <c r="P999" s="294">
        <v>18</v>
      </c>
      <c r="Q999" s="294">
        <v>18</v>
      </c>
      <c r="R999" s="294"/>
      <c r="S999" s="294"/>
      <c r="T999" s="294"/>
      <c r="U999" s="294"/>
      <c r="V999" s="431"/>
      <c r="W999" s="294"/>
      <c r="X999" s="294"/>
      <c r="Y999" s="294">
        <f>IF(NFI_Expiration=1,IF($A999&lt;VLOOKUP(H$5,NFI,5,0),1,0)*Table_NFI[[#This Row],[Hygiene Kit]],Table_NFI[Hygiene Kit])</f>
        <v>0</v>
      </c>
      <c r="Z999" s="294">
        <f>IF(NFI_Expiration=1,IF($A999&lt;VLOOKUP(I$5,NFI,5,0),1,0)*Table_NFI[[#This Row],[NFI Core Kit]],Table_NFI[NFI Core Kit])</f>
        <v>0</v>
      </c>
      <c r="AA999" s="294">
        <f>IF(NFI_Expiration=1,IF($A999&lt;VLOOKUP(J$5,NFI,5,0),1,0)*Table_NFI[[#This Row],[Sanitary Kit]],Table_NFI[Sanitary Kit])</f>
        <v>0</v>
      </c>
      <c r="AB999" s="294">
        <f>IF(NFI_Expiration=1,IF($A999&lt;VLOOKUP(K$5,NFI,5,0),1,0)*Table_NFI[[#This Row],[Mosquito net]],Table_NFI[Mosquito net])</f>
        <v>0</v>
      </c>
      <c r="AC999" s="294">
        <f>IF(NFI_Expiration=1,IF($A999&lt;VLOOKUP(L$5,NFI,5,0),1,0)*Table_NFI[[#This Row],[Tarpaulin]],Table_NFI[[#This Row],[Tarpaulin]])</f>
        <v>0</v>
      </c>
      <c r="AD999" s="294">
        <f>IF(NFI_Expiration=1,IF($A999&lt;VLOOKUP(M$5,NFI,5,0),1,0)*Table_NFI[[#This Row],[Blanket]],Table_NFI[[#This Row],[Blanket]])</f>
        <v>0</v>
      </c>
      <c r="AE999" s="294">
        <f>IF(NFI_Expiration=1,IF($A999&lt;VLOOKUP(N$5,NFI,5,0),1,0)*Table_NFI[[#This Row],[Kitchen Set]],Table_NFI[Kitchen Set])</f>
        <v>0</v>
      </c>
      <c r="AF999" s="294">
        <f>IF(NFI_Expiration=1,IF($A999&lt;VLOOKUP(O$5,NFI,5,0),1,0)*Table_NFI[[#This Row],[Clothes Kit]],Table_NFI[Clothes Kit])</f>
        <v>0</v>
      </c>
      <c r="AG999" s="294">
        <f>IF(NFI_Expiration=1,IF($A999&lt;VLOOKUP(P$5,NFI,5,0),1,0)*Table_NFI[[#This Row],[Plastic Bucket]],Table_NFI[Plastic Bucket])</f>
        <v>0</v>
      </c>
      <c r="AH999" s="294">
        <f>IF(NFI_Expiration=1,IF($A999&lt;VLOOKUP(Q$5,NFI,5,0),1,0)*Table_NFI[[#This Row],[Plastic Mat]],Table_NFI[Plastic Mat])*IF(Table_NFI[[#This Row],[Distribution Date]]&gt;"2014-04-01",1,2.5)</f>
        <v>0</v>
      </c>
      <c r="AI999" s="294">
        <f>IF(NFI_Expiration=1,IF($A999&lt;VLOOKUP(R$5,NFI,5,0),1,0)*Table_NFI[[#This Row],[Winter Clothes Adult]],Table_NFI[Winter Clothes Adult])</f>
        <v>0</v>
      </c>
      <c r="AJ999" s="294">
        <f>IF(NFI_Expiration=1,IF($A999&lt;VLOOKUP(S$5,NFI,5,0),1,0)*Table_NFI[[#This Row],[Winter Clothes Children]],Table_NFI[Winter Clothes Children])</f>
        <v>0</v>
      </c>
      <c r="AK999" s="294">
        <f>IF(NFI_Expiration=1,IF($A999&lt;VLOOKUP(T$5,NFI,5,0),1,0)*Table_NFI[[#This Row],[Winter Items Other]],Table_NFI[Winter Items Other])</f>
        <v>0</v>
      </c>
      <c r="AL999" s="294">
        <f>IF(NFI_Expiration=1,IF($A999&lt;VLOOKUP(M$5,NFI,5,0),1,0)*Table_NFI[[#This Row],[Winter Blanket]],Table_NFI[[#This Row],[Winter Blanket]])</f>
        <v>0</v>
      </c>
      <c r="AM999" s="294">
        <f>IF(Table_NFI[[#This Row],[Winter Clothes Adult]]+Table_NFI[[#This Row],[Winter Clothes Children]]+Table_NFI[[#This Row],[Winter Items Other]]+Table_NFI[[#This Row],[Winter Blanket]]&gt;0,1,0)</f>
        <v>0</v>
      </c>
      <c r="AN999" s="331">
        <f>IF(NFI_Expiration=1,IF($A999&lt;VLOOKUP(V$5,NFI,5,0),1,0)*Table_NFI[[#This Row],[Jerry Can]],Table_NFI[Jerry Can])</f>
        <v>0</v>
      </c>
      <c r="AO999" s="331">
        <f>IF(NFI_Expiration=1,IF($A999&lt;VLOOKUP(V$5,NFI,5,0),1,0)*Table_NFI[[#This Row],[Shelter Tool kit]],Table_NFI[Shelter Tool kit])</f>
        <v>0</v>
      </c>
      <c r="AP999" s="331">
        <f>IF(NFI_Expiration=1,IF($A999&lt;VLOOKUP(V$5,NFI,5,0),1,0)*Table_NFI[[#This Row],[Tent]],Table_NFI[Tent])</f>
        <v>0</v>
      </c>
      <c r="AQ999" s="467" t="str">
        <f>IFERROR(VLOOKUP(Table_NFI[[#This Row],[Camp Name]],CL,2,0),"")</f>
        <v>MMR001CMP026</v>
      </c>
      <c r="AR999" s="835">
        <f ca="1">IF(Table_NFI[[#This Row],[Pcode]]="","",IF(OFFSET(CampList[Opening Date],MATCH(Table_NFI[[#This Row],[Pcode]],CampList[CP_Pcode],0)-1,0,1,1)&gt;=NFI_Monitor_Date,1,0))</f>
        <v>0</v>
      </c>
      <c r="AS999" s="467" t="str">
        <f>IFERROR(VLOOKUP(Table_NFI[[#This Row],[Camp Name]],CL,3,0),"")</f>
        <v>Open</v>
      </c>
      <c r="AT999" s="294" t="str">
        <f ca="1">IF(Table_NFI[[#This Row],[Pcode]]="","",OFFSET(CampList[Priority],MATCH(Table_NFI[[#This Row],[Pcode]],CampList[CP_Pcode],0)-1,0,1,1))</f>
        <v>P4</v>
      </c>
      <c r="AU999" s="293">
        <f>IFERROR(Table_NFI[[#This Row],[Kitchen Set]]/VLOOKUP(Table_NFI[[#This Row],[Camp Name]],CL,4,0),"")</f>
        <v>0</v>
      </c>
      <c r="AV999" s="461" t="s">
        <v>1092</v>
      </c>
      <c r="AW999" s="463"/>
    </row>
    <row r="1000" spans="1:49" s="98" customFormat="1" ht="14.45" customHeight="1" x14ac:dyDescent="0.25">
      <c r="A1000" s="297">
        <f t="shared" si="15"/>
        <v>56.8</v>
      </c>
      <c r="B1000" s="460">
        <v>41032</v>
      </c>
      <c r="C1000" s="461" t="s">
        <v>452</v>
      </c>
      <c r="D1000" s="462" t="s">
        <v>452</v>
      </c>
      <c r="E1000" s="461" t="s">
        <v>380</v>
      </c>
      <c r="F1000" s="290" t="s">
        <v>237</v>
      </c>
      <c r="G1000" s="290" t="s">
        <v>267</v>
      </c>
      <c r="H1000" s="291"/>
      <c r="I1000" s="291"/>
      <c r="J1000" s="291"/>
      <c r="K1000" s="291">
        <v>0</v>
      </c>
      <c r="L1000" s="292">
        <v>0</v>
      </c>
      <c r="M1000" s="292">
        <v>0</v>
      </c>
      <c r="N1000" s="292">
        <v>0</v>
      </c>
      <c r="O1000" s="292">
        <v>5</v>
      </c>
      <c r="P1000" s="294">
        <v>5</v>
      </c>
      <c r="Q1000" s="294">
        <v>5</v>
      </c>
      <c r="R1000" s="294"/>
      <c r="S1000" s="294"/>
      <c r="T1000" s="294"/>
      <c r="U1000" s="294"/>
      <c r="V1000" s="431"/>
      <c r="W1000" s="294"/>
      <c r="X1000" s="294"/>
      <c r="Y1000" s="294">
        <f>IF(NFI_Expiration=1,IF($A1000&lt;VLOOKUP(H$5,NFI,5,0),1,0)*Table_NFI[[#This Row],[Hygiene Kit]],Table_NFI[Hygiene Kit])</f>
        <v>0</v>
      </c>
      <c r="Z1000" s="294">
        <f>IF(NFI_Expiration=1,IF($A1000&lt;VLOOKUP(I$5,NFI,5,0),1,0)*Table_NFI[[#This Row],[NFI Core Kit]],Table_NFI[NFI Core Kit])</f>
        <v>0</v>
      </c>
      <c r="AA1000" s="294">
        <f>IF(NFI_Expiration=1,IF($A1000&lt;VLOOKUP(J$5,NFI,5,0),1,0)*Table_NFI[[#This Row],[Sanitary Kit]],Table_NFI[Sanitary Kit])</f>
        <v>0</v>
      </c>
      <c r="AB1000" s="294">
        <f>IF(NFI_Expiration=1,IF($A1000&lt;VLOOKUP(K$5,NFI,5,0),1,0)*Table_NFI[[#This Row],[Mosquito net]],Table_NFI[Mosquito net])</f>
        <v>0</v>
      </c>
      <c r="AC1000" s="294">
        <f>IF(NFI_Expiration=1,IF($A1000&lt;VLOOKUP(L$5,NFI,5,0),1,0)*Table_NFI[[#This Row],[Tarpaulin]],Table_NFI[[#This Row],[Tarpaulin]])</f>
        <v>0</v>
      </c>
      <c r="AD1000" s="294">
        <f>IF(NFI_Expiration=1,IF($A1000&lt;VLOOKUP(M$5,NFI,5,0),1,0)*Table_NFI[[#This Row],[Blanket]],Table_NFI[[#This Row],[Blanket]])</f>
        <v>0</v>
      </c>
      <c r="AE1000" s="294">
        <f>IF(NFI_Expiration=1,IF($A1000&lt;VLOOKUP(N$5,NFI,5,0),1,0)*Table_NFI[[#This Row],[Kitchen Set]],Table_NFI[Kitchen Set])</f>
        <v>0</v>
      </c>
      <c r="AF1000" s="294">
        <f>IF(NFI_Expiration=1,IF($A1000&lt;VLOOKUP(O$5,NFI,5,0),1,0)*Table_NFI[[#This Row],[Clothes Kit]],Table_NFI[Clothes Kit])</f>
        <v>0</v>
      </c>
      <c r="AG1000" s="294">
        <f>IF(NFI_Expiration=1,IF($A1000&lt;VLOOKUP(P$5,NFI,5,0),1,0)*Table_NFI[[#This Row],[Plastic Bucket]],Table_NFI[Plastic Bucket])</f>
        <v>0</v>
      </c>
      <c r="AH1000" s="294">
        <f>IF(NFI_Expiration=1,IF($A1000&lt;VLOOKUP(Q$5,NFI,5,0),1,0)*Table_NFI[[#This Row],[Plastic Mat]],Table_NFI[Plastic Mat])*IF(Table_NFI[[#This Row],[Distribution Date]]&gt;"2014-04-01",1,2.5)</f>
        <v>0</v>
      </c>
      <c r="AI1000" s="294">
        <f>IF(NFI_Expiration=1,IF($A1000&lt;VLOOKUP(R$5,NFI,5,0),1,0)*Table_NFI[[#This Row],[Winter Clothes Adult]],Table_NFI[Winter Clothes Adult])</f>
        <v>0</v>
      </c>
      <c r="AJ1000" s="294">
        <f>IF(NFI_Expiration=1,IF($A1000&lt;VLOOKUP(S$5,NFI,5,0),1,0)*Table_NFI[[#This Row],[Winter Clothes Children]],Table_NFI[Winter Clothes Children])</f>
        <v>0</v>
      </c>
      <c r="AK1000" s="294">
        <f>IF(NFI_Expiration=1,IF($A1000&lt;VLOOKUP(T$5,NFI,5,0),1,0)*Table_NFI[[#This Row],[Winter Items Other]],Table_NFI[Winter Items Other])</f>
        <v>0</v>
      </c>
      <c r="AL1000" s="294">
        <f>IF(NFI_Expiration=1,IF($A1000&lt;VLOOKUP(M$5,NFI,5,0),1,0)*Table_NFI[[#This Row],[Winter Blanket]],Table_NFI[[#This Row],[Winter Blanket]])</f>
        <v>0</v>
      </c>
      <c r="AM1000" s="294">
        <f>IF(Table_NFI[[#This Row],[Winter Clothes Adult]]+Table_NFI[[#This Row],[Winter Clothes Children]]+Table_NFI[[#This Row],[Winter Items Other]]+Table_NFI[[#This Row],[Winter Blanket]]&gt;0,1,0)</f>
        <v>0</v>
      </c>
      <c r="AN1000" s="331">
        <f>IF(NFI_Expiration=1,IF($A1000&lt;VLOOKUP(V$5,NFI,5,0),1,0)*Table_NFI[[#This Row],[Jerry Can]],Table_NFI[Jerry Can])</f>
        <v>0</v>
      </c>
      <c r="AO1000" s="331">
        <f>IF(NFI_Expiration=1,IF($A1000&lt;VLOOKUP(V$5,NFI,5,0),1,0)*Table_NFI[[#This Row],[Shelter Tool kit]],Table_NFI[Shelter Tool kit])</f>
        <v>0</v>
      </c>
      <c r="AP1000" s="331">
        <f>IF(NFI_Expiration=1,IF($A1000&lt;VLOOKUP(V$5,NFI,5,0),1,0)*Table_NFI[[#This Row],[Tent]],Table_NFI[Tent])</f>
        <v>0</v>
      </c>
      <c r="AQ1000" s="467" t="str">
        <f>IFERROR(VLOOKUP(Table_NFI[[#This Row],[Camp Name]],CL,2,0),"")</f>
        <v>MMR001CMP017</v>
      </c>
      <c r="AR1000" s="835">
        <f ca="1">IF(Table_NFI[[#This Row],[Pcode]]="","",IF(OFFSET(CampList[Opening Date],MATCH(Table_NFI[[#This Row],[Pcode]],CampList[CP_Pcode],0)-1,0,1,1)&gt;=NFI_Monitor_Date,1,0))</f>
        <v>0</v>
      </c>
      <c r="AS1000" s="467" t="str">
        <f>IFERROR(VLOOKUP(Table_NFI[[#This Row],[Camp Name]],CL,3,0),"")</f>
        <v>Closed</v>
      </c>
      <c r="AT1000" s="294" t="str">
        <f ca="1">IF(Table_NFI[[#This Row],[Pcode]]="","",OFFSET(CampList[Priority],MATCH(Table_NFI[[#This Row],[Pcode]],CampList[CP_Pcode],0)-1,0,1,1))</f>
        <v>P4</v>
      </c>
      <c r="AU1000" s="293">
        <f>IFERROR(Table_NFI[[#This Row],[Kitchen Set]]/VLOOKUP(Table_NFI[[#This Row],[Camp Name]],CL,4,0),"")</f>
        <v>0</v>
      </c>
      <c r="AV1000" s="461" t="s">
        <v>1092</v>
      </c>
      <c r="AW1000" s="463"/>
    </row>
    <row r="1001" spans="1:49" s="98" customFormat="1" ht="14.45" customHeight="1" x14ac:dyDescent="0.25">
      <c r="A1001" s="297">
        <f t="shared" si="15"/>
        <v>56.866666666666667</v>
      </c>
      <c r="B1001" s="460">
        <v>41030</v>
      </c>
      <c r="C1001" s="461" t="s">
        <v>452</v>
      </c>
      <c r="D1001" s="462" t="s">
        <v>452</v>
      </c>
      <c r="E1001" s="461" t="s">
        <v>380</v>
      </c>
      <c r="F1001" s="290" t="s">
        <v>310</v>
      </c>
      <c r="G1001" s="290" t="s">
        <v>351</v>
      </c>
      <c r="H1001" s="291"/>
      <c r="I1001" s="291"/>
      <c r="J1001" s="291"/>
      <c r="K1001" s="291">
        <v>52</v>
      </c>
      <c r="L1001" s="292">
        <v>0</v>
      </c>
      <c r="M1001" s="292">
        <v>52</v>
      </c>
      <c r="N1001" s="292">
        <v>0</v>
      </c>
      <c r="O1001" s="292">
        <v>24</v>
      </c>
      <c r="P1001" s="294">
        <v>24</v>
      </c>
      <c r="Q1001" s="294">
        <v>24</v>
      </c>
      <c r="R1001" s="294"/>
      <c r="S1001" s="294"/>
      <c r="T1001" s="294"/>
      <c r="U1001" s="294"/>
      <c r="V1001" s="431"/>
      <c r="W1001" s="294"/>
      <c r="X1001" s="294"/>
      <c r="Y1001" s="294">
        <f>IF(NFI_Expiration=1,IF($A1001&lt;VLOOKUP(H$5,NFI,5,0),1,0)*Table_NFI[[#This Row],[Hygiene Kit]],Table_NFI[Hygiene Kit])</f>
        <v>0</v>
      </c>
      <c r="Z1001" s="294">
        <f>IF(NFI_Expiration=1,IF($A1001&lt;VLOOKUP(I$5,NFI,5,0),1,0)*Table_NFI[[#This Row],[NFI Core Kit]],Table_NFI[NFI Core Kit])</f>
        <v>0</v>
      </c>
      <c r="AA1001" s="294">
        <f>IF(NFI_Expiration=1,IF($A1001&lt;VLOOKUP(J$5,NFI,5,0),1,0)*Table_NFI[[#This Row],[Sanitary Kit]],Table_NFI[Sanitary Kit])</f>
        <v>0</v>
      </c>
      <c r="AB1001" s="294">
        <f>IF(NFI_Expiration=1,IF($A1001&lt;VLOOKUP(K$5,NFI,5,0),1,0)*Table_NFI[[#This Row],[Mosquito net]],Table_NFI[Mosquito net])</f>
        <v>0</v>
      </c>
      <c r="AC1001" s="294">
        <f>IF(NFI_Expiration=1,IF($A1001&lt;VLOOKUP(L$5,NFI,5,0),1,0)*Table_NFI[[#This Row],[Tarpaulin]],Table_NFI[[#This Row],[Tarpaulin]])</f>
        <v>0</v>
      </c>
      <c r="AD1001" s="294">
        <f>IF(NFI_Expiration=1,IF($A1001&lt;VLOOKUP(M$5,NFI,5,0),1,0)*Table_NFI[[#This Row],[Blanket]],Table_NFI[[#This Row],[Blanket]])</f>
        <v>0</v>
      </c>
      <c r="AE1001" s="294">
        <f>IF(NFI_Expiration=1,IF($A1001&lt;VLOOKUP(N$5,NFI,5,0),1,0)*Table_NFI[[#This Row],[Kitchen Set]],Table_NFI[Kitchen Set])</f>
        <v>0</v>
      </c>
      <c r="AF1001" s="294">
        <f>IF(NFI_Expiration=1,IF($A1001&lt;VLOOKUP(O$5,NFI,5,0),1,0)*Table_NFI[[#This Row],[Clothes Kit]],Table_NFI[Clothes Kit])</f>
        <v>0</v>
      </c>
      <c r="AG1001" s="294">
        <f>IF(NFI_Expiration=1,IF($A1001&lt;VLOOKUP(P$5,NFI,5,0),1,0)*Table_NFI[[#This Row],[Plastic Bucket]],Table_NFI[Plastic Bucket])</f>
        <v>0</v>
      </c>
      <c r="AH1001" s="294">
        <f>IF(NFI_Expiration=1,IF($A1001&lt;VLOOKUP(Q$5,NFI,5,0),1,0)*Table_NFI[[#This Row],[Plastic Mat]],Table_NFI[Plastic Mat])*IF(Table_NFI[[#This Row],[Distribution Date]]&gt;"2014-04-01",1,2.5)</f>
        <v>0</v>
      </c>
      <c r="AI1001" s="294">
        <f>IF(NFI_Expiration=1,IF($A1001&lt;VLOOKUP(R$5,NFI,5,0),1,0)*Table_NFI[[#This Row],[Winter Clothes Adult]],Table_NFI[Winter Clothes Adult])</f>
        <v>0</v>
      </c>
      <c r="AJ1001" s="294">
        <f>IF(NFI_Expiration=1,IF($A1001&lt;VLOOKUP(S$5,NFI,5,0),1,0)*Table_NFI[[#This Row],[Winter Clothes Children]],Table_NFI[Winter Clothes Children])</f>
        <v>0</v>
      </c>
      <c r="AK1001" s="294">
        <f>IF(NFI_Expiration=1,IF($A1001&lt;VLOOKUP(T$5,NFI,5,0),1,0)*Table_NFI[[#This Row],[Winter Items Other]],Table_NFI[Winter Items Other])</f>
        <v>0</v>
      </c>
      <c r="AL1001" s="294">
        <f>IF(NFI_Expiration=1,IF($A1001&lt;VLOOKUP(M$5,NFI,5,0),1,0)*Table_NFI[[#This Row],[Winter Blanket]],Table_NFI[[#This Row],[Winter Blanket]])</f>
        <v>0</v>
      </c>
      <c r="AM1001" s="294">
        <f>IF(Table_NFI[[#This Row],[Winter Clothes Adult]]+Table_NFI[[#This Row],[Winter Clothes Children]]+Table_NFI[[#This Row],[Winter Items Other]]+Table_NFI[[#This Row],[Winter Blanket]]&gt;0,1,0)</f>
        <v>0</v>
      </c>
      <c r="AN1001" s="331">
        <f>IF(NFI_Expiration=1,IF($A1001&lt;VLOOKUP(V$5,NFI,5,0),1,0)*Table_NFI[[#This Row],[Jerry Can]],Table_NFI[Jerry Can])</f>
        <v>0</v>
      </c>
      <c r="AO1001" s="331">
        <f>IF(NFI_Expiration=1,IF($A1001&lt;VLOOKUP(V$5,NFI,5,0),1,0)*Table_NFI[[#This Row],[Shelter Tool kit]],Table_NFI[Shelter Tool kit])</f>
        <v>0</v>
      </c>
      <c r="AP1001" s="331">
        <f>IF(NFI_Expiration=1,IF($A1001&lt;VLOOKUP(V$5,NFI,5,0),1,0)*Table_NFI[[#This Row],[Tent]],Table_NFI[Tent])</f>
        <v>0</v>
      </c>
      <c r="AQ1001" s="467" t="str">
        <f>IFERROR(VLOOKUP(Table_NFI[[#This Row],[Camp Name]],CL,2,0),"")</f>
        <v>MMR001CMP026</v>
      </c>
      <c r="AR1001" s="835">
        <f ca="1">IF(Table_NFI[[#This Row],[Pcode]]="","",IF(OFFSET(CampList[Opening Date],MATCH(Table_NFI[[#This Row],[Pcode]],CampList[CP_Pcode],0)-1,0,1,1)&gt;=NFI_Monitor_Date,1,0))</f>
        <v>0</v>
      </c>
      <c r="AS1001" s="467" t="str">
        <f>IFERROR(VLOOKUP(Table_NFI[[#This Row],[Camp Name]],CL,3,0),"")</f>
        <v>Open</v>
      </c>
      <c r="AT1001" s="294" t="str">
        <f ca="1">IF(Table_NFI[[#This Row],[Pcode]]="","",OFFSET(CampList[Priority],MATCH(Table_NFI[[#This Row],[Pcode]],CampList[CP_Pcode],0)-1,0,1,1))</f>
        <v>P4</v>
      </c>
      <c r="AU1001" s="293">
        <f>IFERROR(Table_NFI[[#This Row],[Kitchen Set]]/VLOOKUP(Table_NFI[[#This Row],[Camp Name]],CL,4,0),"")</f>
        <v>0</v>
      </c>
      <c r="AV1001" s="461" t="s">
        <v>1092</v>
      </c>
      <c r="AW1001" s="463"/>
    </row>
    <row r="1002" spans="1:49" s="98" customFormat="1" ht="14.45" customHeight="1" x14ac:dyDescent="0.25">
      <c r="A1002" s="297">
        <f t="shared" si="15"/>
        <v>57.06666666666667</v>
      </c>
      <c r="B1002" s="460">
        <v>41024</v>
      </c>
      <c r="C1002" s="461" t="s">
        <v>905</v>
      </c>
      <c r="D1002" s="461"/>
      <c r="E1002" s="461" t="s">
        <v>380</v>
      </c>
      <c r="F1002" s="290" t="s">
        <v>5</v>
      </c>
      <c r="G1002" s="290" t="s">
        <v>6</v>
      </c>
      <c r="H1002" s="294">
        <v>1173</v>
      </c>
      <c r="I1002" s="291"/>
      <c r="J1002" s="291"/>
      <c r="K1002" s="291"/>
      <c r="L1002" s="292"/>
      <c r="M1002" s="292"/>
      <c r="N1002" s="292"/>
      <c r="O1002" s="292"/>
      <c r="P1002" s="294"/>
      <c r="Q1002" s="294"/>
      <c r="R1002" s="294"/>
      <c r="S1002" s="294"/>
      <c r="T1002" s="294"/>
      <c r="U1002" s="294"/>
      <c r="V1002" s="431"/>
      <c r="W1002" s="294"/>
      <c r="X1002" s="294"/>
      <c r="Y1002" s="294">
        <f>IF(NFI_Expiration=1,IF($A1002&lt;VLOOKUP(H$5,NFI,5,0),1,0)*Table_NFI[[#This Row],[Hygiene Kit]],Table_NFI[Hygiene Kit])</f>
        <v>0</v>
      </c>
      <c r="Z1002" s="294">
        <f>IF(NFI_Expiration=1,IF($A1002&lt;VLOOKUP(I$5,NFI,5,0),1,0)*Table_NFI[[#This Row],[NFI Core Kit]],Table_NFI[NFI Core Kit])</f>
        <v>0</v>
      </c>
      <c r="AA1002" s="294">
        <f>IF(NFI_Expiration=1,IF($A1002&lt;VLOOKUP(J$5,NFI,5,0),1,0)*Table_NFI[[#This Row],[Sanitary Kit]],Table_NFI[Sanitary Kit])</f>
        <v>0</v>
      </c>
      <c r="AB1002" s="294">
        <f>IF(NFI_Expiration=1,IF($A1002&lt;VLOOKUP(K$5,NFI,5,0),1,0)*Table_NFI[[#This Row],[Mosquito net]],Table_NFI[Mosquito net])</f>
        <v>0</v>
      </c>
      <c r="AC1002" s="294">
        <f>IF(NFI_Expiration=1,IF($A1002&lt;VLOOKUP(L$5,NFI,5,0),1,0)*Table_NFI[[#This Row],[Tarpaulin]],Table_NFI[[#This Row],[Tarpaulin]])</f>
        <v>0</v>
      </c>
      <c r="AD1002" s="294">
        <f>IF(NFI_Expiration=1,IF($A1002&lt;VLOOKUP(M$5,NFI,5,0),1,0)*Table_NFI[[#This Row],[Blanket]],Table_NFI[[#This Row],[Blanket]])</f>
        <v>0</v>
      </c>
      <c r="AE1002" s="294">
        <f>IF(NFI_Expiration=1,IF($A1002&lt;VLOOKUP(N$5,NFI,5,0),1,0)*Table_NFI[[#This Row],[Kitchen Set]],Table_NFI[Kitchen Set])</f>
        <v>0</v>
      </c>
      <c r="AF1002" s="294">
        <f>IF(NFI_Expiration=1,IF($A1002&lt;VLOOKUP(O$5,NFI,5,0),1,0)*Table_NFI[[#This Row],[Clothes Kit]],Table_NFI[Clothes Kit])</f>
        <v>0</v>
      </c>
      <c r="AG1002" s="294">
        <f>IF(NFI_Expiration=1,IF($A1002&lt;VLOOKUP(P$5,NFI,5,0),1,0)*Table_NFI[[#This Row],[Plastic Bucket]],Table_NFI[Plastic Bucket])</f>
        <v>0</v>
      </c>
      <c r="AH1002" s="294">
        <f>IF(NFI_Expiration=1,IF($A1002&lt;VLOOKUP(Q$5,NFI,5,0),1,0)*Table_NFI[[#This Row],[Plastic Mat]],Table_NFI[Plastic Mat])*IF(Table_NFI[[#This Row],[Distribution Date]]&gt;"2014-04-01",1,2.5)</f>
        <v>0</v>
      </c>
      <c r="AI1002" s="294">
        <f>IF(NFI_Expiration=1,IF($A1002&lt;VLOOKUP(R$5,NFI,5,0),1,0)*Table_NFI[[#This Row],[Winter Clothes Adult]],Table_NFI[Winter Clothes Adult])</f>
        <v>0</v>
      </c>
      <c r="AJ1002" s="294">
        <f>IF(NFI_Expiration=1,IF($A1002&lt;VLOOKUP(S$5,NFI,5,0),1,0)*Table_NFI[[#This Row],[Winter Clothes Children]],Table_NFI[Winter Clothes Children])</f>
        <v>0</v>
      </c>
      <c r="AK1002" s="294">
        <f>IF(NFI_Expiration=1,IF($A1002&lt;VLOOKUP(T$5,NFI,5,0),1,0)*Table_NFI[[#This Row],[Winter Items Other]],Table_NFI[Winter Items Other])</f>
        <v>0</v>
      </c>
      <c r="AL1002" s="294">
        <f>IF(NFI_Expiration=1,IF($A1002&lt;VLOOKUP(M$5,NFI,5,0),1,0)*Table_NFI[[#This Row],[Winter Blanket]],Table_NFI[[#This Row],[Winter Blanket]])</f>
        <v>0</v>
      </c>
      <c r="AM1002" s="294">
        <f>IF(Table_NFI[[#This Row],[Winter Clothes Adult]]+Table_NFI[[#This Row],[Winter Clothes Children]]+Table_NFI[[#This Row],[Winter Items Other]]+Table_NFI[[#This Row],[Winter Blanket]]&gt;0,1,0)</f>
        <v>0</v>
      </c>
      <c r="AN1002" s="331">
        <f>IF(NFI_Expiration=1,IF($A1002&lt;VLOOKUP(V$5,NFI,5,0),1,0)*Table_NFI[[#This Row],[Jerry Can]],Table_NFI[Jerry Can])</f>
        <v>0</v>
      </c>
      <c r="AO1002" s="331">
        <f>IF(NFI_Expiration=1,IF($A1002&lt;VLOOKUP(V$5,NFI,5,0),1,0)*Table_NFI[[#This Row],[Shelter Tool kit]],Table_NFI[Shelter Tool kit])</f>
        <v>0</v>
      </c>
      <c r="AP1002" s="331">
        <f>IF(NFI_Expiration=1,IF($A1002&lt;VLOOKUP(V$5,NFI,5,0),1,0)*Table_NFI[[#This Row],[Tent]],Table_NFI[Tent])</f>
        <v>0</v>
      </c>
      <c r="AQ1002" s="467" t="str">
        <f>IFERROR(VLOOKUP(Table_NFI[[#This Row],[Camp Name]],CL,2,0),"")</f>
        <v>MMR001CMP050</v>
      </c>
      <c r="AR1002" s="835">
        <f ca="1">IF(Table_NFI[[#This Row],[Pcode]]="","",IF(OFFSET(CampList[Opening Date],MATCH(Table_NFI[[#This Row],[Pcode]],CampList[CP_Pcode],0)-1,0,1,1)&gt;=NFI_Monitor_Date,1,0))</f>
        <v>0</v>
      </c>
      <c r="AS1002" s="467" t="str">
        <f>IFERROR(VLOOKUP(Table_NFI[[#This Row],[Camp Name]],CL,3,0),"")</f>
        <v>Open</v>
      </c>
      <c r="AT1002" s="294" t="str">
        <f ca="1">IF(Table_NFI[[#This Row],[Pcode]]="","",OFFSET(CampList[Priority],MATCH(Table_NFI[[#This Row],[Pcode]],CampList[CP_Pcode],0)-1,0,1,1))</f>
        <v>P4</v>
      </c>
      <c r="AU1002" s="293">
        <f>IFERROR(Table_NFI[[#This Row],[Kitchen Set]]/VLOOKUP(Table_NFI[[#This Row],[Camp Name]],CL,4,0),"")</f>
        <v>0</v>
      </c>
      <c r="AV1002" s="461"/>
      <c r="AW1002" s="463"/>
    </row>
    <row r="1003" spans="1:49" s="98" customFormat="1" ht="14.45" customHeight="1" x14ac:dyDescent="0.25">
      <c r="A1003" s="297">
        <f t="shared" si="15"/>
        <v>57.06666666666667</v>
      </c>
      <c r="B1003" s="460">
        <v>41024</v>
      </c>
      <c r="C1003" s="461" t="s">
        <v>452</v>
      </c>
      <c r="D1003" s="461" t="s">
        <v>452</v>
      </c>
      <c r="E1003" s="461" t="s">
        <v>380</v>
      </c>
      <c r="F1003" s="290" t="s">
        <v>185</v>
      </c>
      <c r="G1003" s="290" t="s">
        <v>192</v>
      </c>
      <c r="H1003" s="291"/>
      <c r="I1003" s="291"/>
      <c r="J1003" s="291"/>
      <c r="K1003" s="291">
        <v>198</v>
      </c>
      <c r="L1003" s="292">
        <v>99</v>
      </c>
      <c r="M1003" s="292">
        <v>198</v>
      </c>
      <c r="N1003" s="292">
        <v>99</v>
      </c>
      <c r="O1003" s="292">
        <v>99</v>
      </c>
      <c r="P1003" s="294">
        <v>99</v>
      </c>
      <c r="Q1003" s="294">
        <v>99</v>
      </c>
      <c r="R1003" s="294"/>
      <c r="S1003" s="294"/>
      <c r="T1003" s="294"/>
      <c r="U1003" s="294"/>
      <c r="V1003" s="431"/>
      <c r="W1003" s="294"/>
      <c r="X1003" s="294"/>
      <c r="Y1003" s="294">
        <f>IF(NFI_Expiration=1,IF($A1003&lt;VLOOKUP(H$5,NFI,5,0),1,0)*Table_NFI[[#This Row],[Hygiene Kit]],Table_NFI[Hygiene Kit])</f>
        <v>0</v>
      </c>
      <c r="Z1003" s="294">
        <f>IF(NFI_Expiration=1,IF($A1003&lt;VLOOKUP(I$5,NFI,5,0),1,0)*Table_NFI[[#This Row],[NFI Core Kit]],Table_NFI[NFI Core Kit])</f>
        <v>0</v>
      </c>
      <c r="AA1003" s="294">
        <f>IF(NFI_Expiration=1,IF($A1003&lt;VLOOKUP(J$5,NFI,5,0),1,0)*Table_NFI[[#This Row],[Sanitary Kit]],Table_NFI[Sanitary Kit])</f>
        <v>0</v>
      </c>
      <c r="AB1003" s="294">
        <f>IF(NFI_Expiration=1,IF($A1003&lt;VLOOKUP(K$5,NFI,5,0),1,0)*Table_NFI[[#This Row],[Mosquito net]],Table_NFI[Mosquito net])</f>
        <v>0</v>
      </c>
      <c r="AC1003" s="294">
        <f>IF(NFI_Expiration=1,IF($A1003&lt;VLOOKUP(L$5,NFI,5,0),1,0)*Table_NFI[[#This Row],[Tarpaulin]],Table_NFI[[#This Row],[Tarpaulin]])</f>
        <v>0</v>
      </c>
      <c r="AD1003" s="294">
        <f>IF(NFI_Expiration=1,IF($A1003&lt;VLOOKUP(M$5,NFI,5,0),1,0)*Table_NFI[[#This Row],[Blanket]],Table_NFI[[#This Row],[Blanket]])</f>
        <v>0</v>
      </c>
      <c r="AE1003" s="294">
        <f>IF(NFI_Expiration=1,IF($A1003&lt;VLOOKUP(N$5,NFI,5,0),1,0)*Table_NFI[[#This Row],[Kitchen Set]],Table_NFI[Kitchen Set])</f>
        <v>0</v>
      </c>
      <c r="AF1003" s="294">
        <f>IF(NFI_Expiration=1,IF($A1003&lt;VLOOKUP(O$5,NFI,5,0),1,0)*Table_NFI[[#This Row],[Clothes Kit]],Table_NFI[Clothes Kit])</f>
        <v>0</v>
      </c>
      <c r="AG1003" s="294">
        <f>IF(NFI_Expiration=1,IF($A1003&lt;VLOOKUP(P$5,NFI,5,0),1,0)*Table_NFI[[#This Row],[Plastic Bucket]],Table_NFI[Plastic Bucket])</f>
        <v>0</v>
      </c>
      <c r="AH1003" s="294">
        <f>IF(NFI_Expiration=1,IF($A1003&lt;VLOOKUP(Q$5,NFI,5,0),1,0)*Table_NFI[[#This Row],[Plastic Mat]],Table_NFI[Plastic Mat])*IF(Table_NFI[[#This Row],[Distribution Date]]&gt;"2014-04-01",1,2.5)</f>
        <v>0</v>
      </c>
      <c r="AI1003" s="294">
        <f>IF(NFI_Expiration=1,IF($A1003&lt;VLOOKUP(R$5,NFI,5,0),1,0)*Table_NFI[[#This Row],[Winter Clothes Adult]],Table_NFI[Winter Clothes Adult])</f>
        <v>0</v>
      </c>
      <c r="AJ1003" s="294">
        <f>IF(NFI_Expiration=1,IF($A1003&lt;VLOOKUP(S$5,NFI,5,0),1,0)*Table_NFI[[#This Row],[Winter Clothes Children]],Table_NFI[Winter Clothes Children])</f>
        <v>0</v>
      </c>
      <c r="AK1003" s="294">
        <f>IF(NFI_Expiration=1,IF($A1003&lt;VLOOKUP(T$5,NFI,5,0),1,0)*Table_NFI[[#This Row],[Winter Items Other]],Table_NFI[Winter Items Other])</f>
        <v>0</v>
      </c>
      <c r="AL1003" s="294">
        <f>IF(NFI_Expiration=1,IF($A1003&lt;VLOOKUP(M$5,NFI,5,0),1,0)*Table_NFI[[#This Row],[Winter Blanket]],Table_NFI[[#This Row],[Winter Blanket]])</f>
        <v>0</v>
      </c>
      <c r="AM1003" s="294">
        <f>IF(Table_NFI[[#This Row],[Winter Clothes Adult]]+Table_NFI[[#This Row],[Winter Clothes Children]]+Table_NFI[[#This Row],[Winter Items Other]]+Table_NFI[[#This Row],[Winter Blanket]]&gt;0,1,0)</f>
        <v>0</v>
      </c>
      <c r="AN1003" s="331">
        <f>IF(NFI_Expiration=1,IF($A1003&lt;VLOOKUP(V$5,NFI,5,0),1,0)*Table_NFI[[#This Row],[Jerry Can]],Table_NFI[Jerry Can])</f>
        <v>0</v>
      </c>
      <c r="AO1003" s="331">
        <f>IF(NFI_Expiration=1,IF($A1003&lt;VLOOKUP(V$5,NFI,5,0),1,0)*Table_NFI[[#This Row],[Shelter Tool kit]],Table_NFI[Shelter Tool kit])</f>
        <v>0</v>
      </c>
      <c r="AP1003" s="331">
        <f>IF(NFI_Expiration=1,IF($A1003&lt;VLOOKUP(V$5,NFI,5,0),1,0)*Table_NFI[[#This Row],[Tent]],Table_NFI[Tent])</f>
        <v>0</v>
      </c>
      <c r="AQ1003" s="467" t="str">
        <f>IFERROR(VLOOKUP(Table_NFI[[#This Row],[Camp Name]],CL,2,0),"")</f>
        <v>MMR001CMP123</v>
      </c>
      <c r="AR1003" s="835">
        <f ca="1">IF(Table_NFI[[#This Row],[Pcode]]="","",IF(OFFSET(CampList[Opening Date],MATCH(Table_NFI[[#This Row],[Pcode]],CampList[CP_Pcode],0)-1,0,1,1)&gt;=NFI_Monitor_Date,1,0))</f>
        <v>0</v>
      </c>
      <c r="AS1003" s="467" t="str">
        <f>IFERROR(VLOOKUP(Table_NFI[[#This Row],[Camp Name]],CL,3,0),"")</f>
        <v>Open</v>
      </c>
      <c r="AT1003" s="294" t="str">
        <f ca="1">IF(Table_NFI[[#This Row],[Pcode]]="","",OFFSET(CampList[Priority],MATCH(Table_NFI[[#This Row],[Pcode]],CampList[CP_Pcode],0)-1,0,1,1))</f>
        <v>P2</v>
      </c>
      <c r="AU1003" s="293">
        <f>IFERROR(Table_NFI[[#This Row],[Kitchen Set]]/VLOOKUP(Table_NFI[[#This Row],[Camp Name]],CL,4,0),"")</f>
        <v>2.429090195308666E-3</v>
      </c>
      <c r="AV1003" s="461" t="s">
        <v>1092</v>
      </c>
      <c r="AW1003" s="463"/>
    </row>
    <row r="1004" spans="1:49" s="98" customFormat="1" ht="14.45" customHeight="1" x14ac:dyDescent="0.25">
      <c r="A1004" s="297">
        <f t="shared" si="15"/>
        <v>57.06666666666667</v>
      </c>
      <c r="B1004" s="460">
        <v>41024</v>
      </c>
      <c r="C1004" s="461" t="s">
        <v>452</v>
      </c>
      <c r="D1004" s="461" t="s">
        <v>452</v>
      </c>
      <c r="E1004" s="461" t="s">
        <v>380</v>
      </c>
      <c r="F1004" s="290" t="s">
        <v>237</v>
      </c>
      <c r="G1004" s="290" t="s">
        <v>283</v>
      </c>
      <c r="H1004" s="291"/>
      <c r="I1004" s="291"/>
      <c r="J1004" s="291"/>
      <c r="K1004" s="291">
        <v>39</v>
      </c>
      <c r="L1004" s="292">
        <v>19</v>
      </c>
      <c r="M1004" s="292">
        <v>78</v>
      </c>
      <c r="N1004" s="292">
        <v>19</v>
      </c>
      <c r="O1004" s="292">
        <v>0</v>
      </c>
      <c r="P1004" s="294"/>
      <c r="Q1004" s="294"/>
      <c r="R1004" s="294"/>
      <c r="S1004" s="294"/>
      <c r="T1004" s="294"/>
      <c r="U1004" s="294"/>
      <c r="V1004" s="431"/>
      <c r="W1004" s="294"/>
      <c r="X1004" s="294"/>
      <c r="Y1004" s="294">
        <f>IF(NFI_Expiration=1,IF($A1004&lt;VLOOKUP(H$5,NFI,5,0),1,0)*Table_NFI[[#This Row],[Hygiene Kit]],Table_NFI[Hygiene Kit])</f>
        <v>0</v>
      </c>
      <c r="Z1004" s="294">
        <f>IF(NFI_Expiration=1,IF($A1004&lt;VLOOKUP(I$5,NFI,5,0),1,0)*Table_NFI[[#This Row],[NFI Core Kit]],Table_NFI[NFI Core Kit])</f>
        <v>0</v>
      </c>
      <c r="AA1004" s="294">
        <f>IF(NFI_Expiration=1,IF($A1004&lt;VLOOKUP(J$5,NFI,5,0),1,0)*Table_NFI[[#This Row],[Sanitary Kit]],Table_NFI[Sanitary Kit])</f>
        <v>0</v>
      </c>
      <c r="AB1004" s="294">
        <f>IF(NFI_Expiration=1,IF($A1004&lt;VLOOKUP(K$5,NFI,5,0),1,0)*Table_NFI[[#This Row],[Mosquito net]],Table_NFI[Mosquito net])</f>
        <v>0</v>
      </c>
      <c r="AC1004" s="294">
        <f>IF(NFI_Expiration=1,IF($A1004&lt;VLOOKUP(L$5,NFI,5,0),1,0)*Table_NFI[[#This Row],[Tarpaulin]],Table_NFI[[#This Row],[Tarpaulin]])</f>
        <v>0</v>
      </c>
      <c r="AD1004" s="294">
        <f>IF(NFI_Expiration=1,IF($A1004&lt;VLOOKUP(M$5,NFI,5,0),1,0)*Table_NFI[[#This Row],[Blanket]],Table_NFI[[#This Row],[Blanket]])</f>
        <v>0</v>
      </c>
      <c r="AE1004" s="294">
        <f>IF(NFI_Expiration=1,IF($A1004&lt;VLOOKUP(N$5,NFI,5,0),1,0)*Table_NFI[[#This Row],[Kitchen Set]],Table_NFI[Kitchen Set])</f>
        <v>0</v>
      </c>
      <c r="AF1004" s="294">
        <f>IF(NFI_Expiration=1,IF($A1004&lt;VLOOKUP(O$5,NFI,5,0),1,0)*Table_NFI[[#This Row],[Clothes Kit]],Table_NFI[Clothes Kit])</f>
        <v>0</v>
      </c>
      <c r="AG1004" s="294">
        <f>IF(NFI_Expiration=1,IF($A1004&lt;VLOOKUP(P$5,NFI,5,0),1,0)*Table_NFI[[#This Row],[Plastic Bucket]],Table_NFI[Plastic Bucket])</f>
        <v>0</v>
      </c>
      <c r="AH1004" s="294">
        <f>IF(NFI_Expiration=1,IF($A1004&lt;VLOOKUP(Q$5,NFI,5,0),1,0)*Table_NFI[[#This Row],[Plastic Mat]],Table_NFI[Plastic Mat])*IF(Table_NFI[[#This Row],[Distribution Date]]&gt;"2014-04-01",1,2.5)</f>
        <v>0</v>
      </c>
      <c r="AI1004" s="294">
        <f>IF(NFI_Expiration=1,IF($A1004&lt;VLOOKUP(R$5,NFI,5,0),1,0)*Table_NFI[[#This Row],[Winter Clothes Adult]],Table_NFI[Winter Clothes Adult])</f>
        <v>0</v>
      </c>
      <c r="AJ1004" s="294">
        <f>IF(NFI_Expiration=1,IF($A1004&lt;VLOOKUP(S$5,NFI,5,0),1,0)*Table_NFI[[#This Row],[Winter Clothes Children]],Table_NFI[Winter Clothes Children])</f>
        <v>0</v>
      </c>
      <c r="AK1004" s="294">
        <f>IF(NFI_Expiration=1,IF($A1004&lt;VLOOKUP(T$5,NFI,5,0),1,0)*Table_NFI[[#This Row],[Winter Items Other]],Table_NFI[Winter Items Other])</f>
        <v>0</v>
      </c>
      <c r="AL1004" s="294">
        <f>IF(NFI_Expiration=1,IF($A1004&lt;VLOOKUP(M$5,NFI,5,0),1,0)*Table_NFI[[#This Row],[Winter Blanket]],Table_NFI[[#This Row],[Winter Blanket]])</f>
        <v>0</v>
      </c>
      <c r="AM1004" s="294">
        <f>IF(Table_NFI[[#This Row],[Winter Clothes Adult]]+Table_NFI[[#This Row],[Winter Clothes Children]]+Table_NFI[[#This Row],[Winter Items Other]]+Table_NFI[[#This Row],[Winter Blanket]]&gt;0,1,0)</f>
        <v>0</v>
      </c>
      <c r="AN1004" s="331">
        <f>IF(NFI_Expiration=1,IF($A1004&lt;VLOOKUP(V$5,NFI,5,0),1,0)*Table_NFI[[#This Row],[Jerry Can]],Table_NFI[Jerry Can])</f>
        <v>0</v>
      </c>
      <c r="AO1004" s="331">
        <f>IF(NFI_Expiration=1,IF($A1004&lt;VLOOKUP(V$5,NFI,5,0),1,0)*Table_NFI[[#This Row],[Shelter Tool kit]],Table_NFI[Shelter Tool kit])</f>
        <v>0</v>
      </c>
      <c r="AP1004" s="331">
        <f>IF(NFI_Expiration=1,IF($A1004&lt;VLOOKUP(V$5,NFI,5,0),1,0)*Table_NFI[[#This Row],[Tent]],Table_NFI[Tent])</f>
        <v>0</v>
      </c>
      <c r="AQ1004" s="467" t="str">
        <f>IFERROR(VLOOKUP(Table_NFI[[#This Row],[Camp Name]],CL,2,0),"")</f>
        <v>MMR001CMP022</v>
      </c>
      <c r="AR1004" s="835">
        <f ca="1">IF(Table_NFI[[#This Row],[Pcode]]="","",IF(OFFSET(CampList[Opening Date],MATCH(Table_NFI[[#This Row],[Pcode]],CampList[CP_Pcode],0)-1,0,1,1)&gt;=NFI_Monitor_Date,1,0))</f>
        <v>0</v>
      </c>
      <c r="AS1004" s="467" t="str">
        <f>IFERROR(VLOOKUP(Table_NFI[[#This Row],[Camp Name]],CL,3,0),"")</f>
        <v>Open</v>
      </c>
      <c r="AT1004" s="294" t="str">
        <f ca="1">IF(Table_NFI[[#This Row],[Pcode]]="","",OFFSET(CampList[Priority],MATCH(Table_NFI[[#This Row],[Pcode]],CampList[CP_Pcode],0)-1,0,1,1))</f>
        <v>P4</v>
      </c>
      <c r="AU1004" s="293">
        <f>IFERROR(Table_NFI[[#This Row],[Kitchen Set]]/VLOOKUP(Table_NFI[[#This Row],[Camp Name]],CL,4,0),"")</f>
        <v>4.6341463414634144E-4</v>
      </c>
      <c r="AV1004" s="461" t="s">
        <v>1092</v>
      </c>
      <c r="AW1004" s="463"/>
    </row>
    <row r="1005" spans="1:49" s="98" customFormat="1" ht="14.45" customHeight="1" x14ac:dyDescent="0.25">
      <c r="A1005" s="297">
        <f t="shared" si="15"/>
        <v>57.166666666666664</v>
      </c>
      <c r="B1005" s="460">
        <v>41021</v>
      </c>
      <c r="C1005" s="461" t="s">
        <v>452</v>
      </c>
      <c r="D1005" s="461" t="s">
        <v>452</v>
      </c>
      <c r="E1005" s="461" t="s">
        <v>380</v>
      </c>
      <c r="F1005" s="290" t="s">
        <v>185</v>
      </c>
      <c r="G1005" s="290" t="s">
        <v>907</v>
      </c>
      <c r="H1005" s="291"/>
      <c r="I1005" s="291"/>
      <c r="J1005" s="291"/>
      <c r="K1005" s="291">
        <v>846</v>
      </c>
      <c r="L1005" s="292">
        <v>423</v>
      </c>
      <c r="M1005" s="292">
        <v>846</v>
      </c>
      <c r="N1005" s="292">
        <v>423</v>
      </c>
      <c r="O1005" s="292">
        <v>423</v>
      </c>
      <c r="P1005" s="294">
        <v>423</v>
      </c>
      <c r="Q1005" s="294">
        <v>423</v>
      </c>
      <c r="R1005" s="294"/>
      <c r="S1005" s="294"/>
      <c r="T1005" s="294"/>
      <c r="U1005" s="294"/>
      <c r="V1005" s="431"/>
      <c r="W1005" s="294"/>
      <c r="X1005" s="294"/>
      <c r="Y1005" s="294">
        <f>IF(NFI_Expiration=1,IF($A1005&lt;VLOOKUP(H$5,NFI,5,0),1,0)*Table_NFI[[#This Row],[Hygiene Kit]],Table_NFI[Hygiene Kit])</f>
        <v>0</v>
      </c>
      <c r="Z1005" s="294">
        <f>IF(NFI_Expiration=1,IF($A1005&lt;VLOOKUP(I$5,NFI,5,0),1,0)*Table_NFI[[#This Row],[NFI Core Kit]],Table_NFI[NFI Core Kit])</f>
        <v>0</v>
      </c>
      <c r="AA1005" s="294">
        <f>IF(NFI_Expiration=1,IF($A1005&lt;VLOOKUP(J$5,NFI,5,0),1,0)*Table_NFI[[#This Row],[Sanitary Kit]],Table_NFI[Sanitary Kit])</f>
        <v>0</v>
      </c>
      <c r="AB1005" s="294">
        <f>IF(NFI_Expiration=1,IF($A1005&lt;VLOOKUP(K$5,NFI,5,0),1,0)*Table_NFI[[#This Row],[Mosquito net]],Table_NFI[Mosquito net])</f>
        <v>0</v>
      </c>
      <c r="AC1005" s="294">
        <f>IF(NFI_Expiration=1,IF($A1005&lt;VLOOKUP(L$5,NFI,5,0),1,0)*Table_NFI[[#This Row],[Tarpaulin]],Table_NFI[[#This Row],[Tarpaulin]])</f>
        <v>0</v>
      </c>
      <c r="AD1005" s="294">
        <f>IF(NFI_Expiration=1,IF($A1005&lt;VLOOKUP(M$5,NFI,5,0),1,0)*Table_NFI[[#This Row],[Blanket]],Table_NFI[[#This Row],[Blanket]])</f>
        <v>0</v>
      </c>
      <c r="AE1005" s="294">
        <f>IF(NFI_Expiration=1,IF($A1005&lt;VLOOKUP(N$5,NFI,5,0),1,0)*Table_NFI[[#This Row],[Kitchen Set]],Table_NFI[Kitchen Set])</f>
        <v>0</v>
      </c>
      <c r="AF1005" s="294">
        <f>IF(NFI_Expiration=1,IF($A1005&lt;VLOOKUP(O$5,NFI,5,0),1,0)*Table_NFI[[#This Row],[Clothes Kit]],Table_NFI[Clothes Kit])</f>
        <v>0</v>
      </c>
      <c r="AG1005" s="294">
        <f>IF(NFI_Expiration=1,IF($A1005&lt;VLOOKUP(P$5,NFI,5,0),1,0)*Table_NFI[[#This Row],[Plastic Bucket]],Table_NFI[Plastic Bucket])</f>
        <v>0</v>
      </c>
      <c r="AH1005" s="294">
        <f>IF(NFI_Expiration=1,IF($A1005&lt;VLOOKUP(Q$5,NFI,5,0),1,0)*Table_NFI[[#This Row],[Plastic Mat]],Table_NFI[Plastic Mat])*IF(Table_NFI[[#This Row],[Distribution Date]]&gt;"2014-04-01",1,2.5)</f>
        <v>0</v>
      </c>
      <c r="AI1005" s="294">
        <f>IF(NFI_Expiration=1,IF($A1005&lt;VLOOKUP(R$5,NFI,5,0),1,0)*Table_NFI[[#This Row],[Winter Clothes Adult]],Table_NFI[Winter Clothes Adult])</f>
        <v>0</v>
      </c>
      <c r="AJ1005" s="294">
        <f>IF(NFI_Expiration=1,IF($A1005&lt;VLOOKUP(S$5,NFI,5,0),1,0)*Table_NFI[[#This Row],[Winter Clothes Children]],Table_NFI[Winter Clothes Children])</f>
        <v>0</v>
      </c>
      <c r="AK1005" s="294">
        <f>IF(NFI_Expiration=1,IF($A1005&lt;VLOOKUP(T$5,NFI,5,0),1,0)*Table_NFI[[#This Row],[Winter Items Other]],Table_NFI[Winter Items Other])</f>
        <v>0</v>
      </c>
      <c r="AL1005" s="294">
        <f>IF(NFI_Expiration=1,IF($A1005&lt;VLOOKUP(M$5,NFI,5,0),1,0)*Table_NFI[[#This Row],[Winter Blanket]],Table_NFI[[#This Row],[Winter Blanket]])</f>
        <v>0</v>
      </c>
      <c r="AM1005" s="294">
        <f>IF(Table_NFI[[#This Row],[Winter Clothes Adult]]+Table_NFI[[#This Row],[Winter Clothes Children]]+Table_NFI[[#This Row],[Winter Items Other]]+Table_NFI[[#This Row],[Winter Blanket]]&gt;0,1,0)</f>
        <v>0</v>
      </c>
      <c r="AN1005" s="331">
        <f>IF(NFI_Expiration=1,IF($A1005&lt;VLOOKUP(V$5,NFI,5,0),1,0)*Table_NFI[[#This Row],[Jerry Can]],Table_NFI[Jerry Can])</f>
        <v>0</v>
      </c>
      <c r="AO1005" s="331">
        <f>IF(NFI_Expiration=1,IF($A1005&lt;VLOOKUP(V$5,NFI,5,0),1,0)*Table_NFI[[#This Row],[Shelter Tool kit]],Table_NFI[Shelter Tool kit])</f>
        <v>0</v>
      </c>
      <c r="AP1005" s="331">
        <f>IF(NFI_Expiration=1,IF($A1005&lt;VLOOKUP(V$5,NFI,5,0),1,0)*Table_NFI[[#This Row],[Tent]],Table_NFI[Tent])</f>
        <v>0</v>
      </c>
      <c r="AQ1005" s="467" t="str">
        <f>IFERROR(VLOOKUP(Table_NFI[[#This Row],[Camp Name]],CL,2,0),"")</f>
        <v/>
      </c>
      <c r="AR1005" s="835" t="str">
        <f ca="1">IF(Table_NFI[[#This Row],[Pcode]]="","",IF(OFFSET(CampList[Opening Date],MATCH(Table_NFI[[#This Row],[Pcode]],CampList[CP_Pcode],0)-1,0,1,1)&gt;=NFI_Monitor_Date,1,0))</f>
        <v/>
      </c>
      <c r="AS1005" s="467" t="str">
        <f>IFERROR(VLOOKUP(Table_NFI[[#This Row],[Camp Name]],CL,3,0),"")</f>
        <v/>
      </c>
      <c r="AT1005" s="294" t="str">
        <f ca="1">IF(Table_NFI[[#This Row],[Pcode]]="","",OFFSET(CampList[Priority],MATCH(Table_NFI[[#This Row],[Pcode]],CampList[CP_Pcode],0)-1,0,1,1))</f>
        <v/>
      </c>
      <c r="AU1005" s="293" t="str">
        <f>IFERROR(Table_NFI[[#This Row],[Kitchen Set]]/VLOOKUP(Table_NFI[[#This Row],[Camp Name]],CL,4,0),"")</f>
        <v/>
      </c>
      <c r="AV1005" s="461" t="s">
        <v>1092</v>
      </c>
      <c r="AW1005" s="463"/>
    </row>
    <row r="1006" spans="1:49" s="98" customFormat="1" ht="14.45" customHeight="1" x14ac:dyDescent="0.25">
      <c r="A1006" s="297">
        <f t="shared" si="15"/>
        <v>57.5</v>
      </c>
      <c r="B1006" s="460">
        <v>41011</v>
      </c>
      <c r="C1006" s="461" t="s">
        <v>452</v>
      </c>
      <c r="D1006" s="462" t="s">
        <v>452</v>
      </c>
      <c r="E1006" s="461" t="s">
        <v>380</v>
      </c>
      <c r="F1006" s="290" t="s">
        <v>310</v>
      </c>
      <c r="G1006" s="290" t="s">
        <v>355</v>
      </c>
      <c r="H1006" s="291"/>
      <c r="I1006" s="291"/>
      <c r="J1006" s="291"/>
      <c r="K1006" s="291">
        <v>123</v>
      </c>
      <c r="L1006" s="292">
        <v>95</v>
      </c>
      <c r="M1006" s="292">
        <v>123</v>
      </c>
      <c r="N1006" s="292">
        <v>95</v>
      </c>
      <c r="O1006" s="292">
        <v>95</v>
      </c>
      <c r="P1006" s="294">
        <v>95</v>
      </c>
      <c r="Q1006" s="294">
        <v>95</v>
      </c>
      <c r="R1006" s="294"/>
      <c r="S1006" s="294"/>
      <c r="T1006" s="294"/>
      <c r="U1006" s="294"/>
      <c r="V1006" s="431"/>
      <c r="W1006" s="294"/>
      <c r="X1006" s="294"/>
      <c r="Y1006" s="294">
        <f>IF(NFI_Expiration=1,IF($A1006&lt;VLOOKUP(H$5,NFI,5,0),1,0)*Table_NFI[[#This Row],[Hygiene Kit]],Table_NFI[Hygiene Kit])</f>
        <v>0</v>
      </c>
      <c r="Z1006" s="294">
        <f>IF(NFI_Expiration=1,IF($A1006&lt;VLOOKUP(I$5,NFI,5,0),1,0)*Table_NFI[[#This Row],[NFI Core Kit]],Table_NFI[NFI Core Kit])</f>
        <v>0</v>
      </c>
      <c r="AA1006" s="294">
        <f>IF(NFI_Expiration=1,IF($A1006&lt;VLOOKUP(J$5,NFI,5,0),1,0)*Table_NFI[[#This Row],[Sanitary Kit]],Table_NFI[Sanitary Kit])</f>
        <v>0</v>
      </c>
      <c r="AB1006" s="294">
        <f>IF(NFI_Expiration=1,IF($A1006&lt;VLOOKUP(K$5,NFI,5,0),1,0)*Table_NFI[[#This Row],[Mosquito net]],Table_NFI[Mosquito net])</f>
        <v>0</v>
      </c>
      <c r="AC1006" s="294">
        <f>IF(NFI_Expiration=1,IF($A1006&lt;VLOOKUP(L$5,NFI,5,0),1,0)*Table_NFI[[#This Row],[Tarpaulin]],Table_NFI[[#This Row],[Tarpaulin]])</f>
        <v>0</v>
      </c>
      <c r="AD1006" s="294">
        <f>IF(NFI_Expiration=1,IF($A1006&lt;VLOOKUP(M$5,NFI,5,0),1,0)*Table_NFI[[#This Row],[Blanket]],Table_NFI[[#This Row],[Blanket]])</f>
        <v>0</v>
      </c>
      <c r="AE1006" s="294">
        <f>IF(NFI_Expiration=1,IF($A1006&lt;VLOOKUP(N$5,NFI,5,0),1,0)*Table_NFI[[#This Row],[Kitchen Set]],Table_NFI[Kitchen Set])</f>
        <v>0</v>
      </c>
      <c r="AF1006" s="294">
        <f>IF(NFI_Expiration=1,IF($A1006&lt;VLOOKUP(O$5,NFI,5,0),1,0)*Table_NFI[[#This Row],[Clothes Kit]],Table_NFI[Clothes Kit])</f>
        <v>0</v>
      </c>
      <c r="AG1006" s="294">
        <f>IF(NFI_Expiration=1,IF($A1006&lt;VLOOKUP(P$5,NFI,5,0),1,0)*Table_NFI[[#This Row],[Plastic Bucket]],Table_NFI[Plastic Bucket])</f>
        <v>0</v>
      </c>
      <c r="AH1006" s="294">
        <f>IF(NFI_Expiration=1,IF($A1006&lt;VLOOKUP(Q$5,NFI,5,0),1,0)*Table_NFI[[#This Row],[Plastic Mat]],Table_NFI[Plastic Mat])*IF(Table_NFI[[#This Row],[Distribution Date]]&gt;"2014-04-01",1,2.5)</f>
        <v>0</v>
      </c>
      <c r="AI1006" s="294">
        <f>IF(NFI_Expiration=1,IF($A1006&lt;VLOOKUP(R$5,NFI,5,0),1,0)*Table_NFI[[#This Row],[Winter Clothes Adult]],Table_NFI[Winter Clothes Adult])</f>
        <v>0</v>
      </c>
      <c r="AJ1006" s="294">
        <f>IF(NFI_Expiration=1,IF($A1006&lt;VLOOKUP(S$5,NFI,5,0),1,0)*Table_NFI[[#This Row],[Winter Clothes Children]],Table_NFI[Winter Clothes Children])</f>
        <v>0</v>
      </c>
      <c r="AK1006" s="294">
        <f>IF(NFI_Expiration=1,IF($A1006&lt;VLOOKUP(T$5,NFI,5,0),1,0)*Table_NFI[[#This Row],[Winter Items Other]],Table_NFI[Winter Items Other])</f>
        <v>0</v>
      </c>
      <c r="AL1006" s="294">
        <f>IF(NFI_Expiration=1,IF($A1006&lt;VLOOKUP(M$5,NFI,5,0),1,0)*Table_NFI[[#This Row],[Winter Blanket]],Table_NFI[[#This Row],[Winter Blanket]])</f>
        <v>0</v>
      </c>
      <c r="AM1006" s="294">
        <f>IF(Table_NFI[[#This Row],[Winter Clothes Adult]]+Table_NFI[[#This Row],[Winter Clothes Children]]+Table_NFI[[#This Row],[Winter Items Other]]+Table_NFI[[#This Row],[Winter Blanket]]&gt;0,1,0)</f>
        <v>0</v>
      </c>
      <c r="AN1006" s="331">
        <f>IF(NFI_Expiration=1,IF($A1006&lt;VLOOKUP(V$5,NFI,5,0),1,0)*Table_NFI[[#This Row],[Jerry Can]],Table_NFI[Jerry Can])</f>
        <v>0</v>
      </c>
      <c r="AO1006" s="331">
        <f>IF(NFI_Expiration=1,IF($A1006&lt;VLOOKUP(V$5,NFI,5,0),1,0)*Table_NFI[[#This Row],[Shelter Tool kit]],Table_NFI[Shelter Tool kit])</f>
        <v>0</v>
      </c>
      <c r="AP1006" s="331">
        <f>IF(NFI_Expiration=1,IF($A1006&lt;VLOOKUP(V$5,NFI,5,0),1,0)*Table_NFI[[#This Row],[Tent]],Table_NFI[Tent])</f>
        <v>0</v>
      </c>
      <c r="AQ1006" s="467" t="str">
        <f>IFERROR(VLOOKUP(Table_NFI[[#This Row],[Camp Name]],CL,2,0),"")</f>
        <v>MMR001CMP160</v>
      </c>
      <c r="AR1006" s="835">
        <f ca="1">IF(Table_NFI[[#This Row],[Pcode]]="","",IF(OFFSET(CampList[Opening Date],MATCH(Table_NFI[[#This Row],[Pcode]],CampList[CP_Pcode],0)-1,0,1,1)&gt;=NFI_Monitor_Date,1,0))</f>
        <v>0</v>
      </c>
      <c r="AS1006" s="467" t="str">
        <f>IFERROR(VLOOKUP(Table_NFI[[#This Row],[Camp Name]],CL,3,0),"")</f>
        <v>Open</v>
      </c>
      <c r="AT1006" s="294" t="str">
        <f ca="1">IF(Table_NFI[[#This Row],[Pcode]]="","",OFFSET(CampList[Priority],MATCH(Table_NFI[[#This Row],[Pcode]],CampList[CP_Pcode],0)-1,0,1,1))</f>
        <v>P1</v>
      </c>
      <c r="AU1006" s="293">
        <f>IFERROR(Table_NFI[[#This Row],[Kitchen Set]]/VLOOKUP(Table_NFI[[#This Row],[Camp Name]],CL,4,0),"")</f>
        <v>2.3256952604778693E-3</v>
      </c>
      <c r="AV1006" s="461" t="s">
        <v>1092</v>
      </c>
      <c r="AW1006" s="463"/>
    </row>
    <row r="1007" spans="1:49" s="98" customFormat="1" ht="14.45" customHeight="1" x14ac:dyDescent="0.25">
      <c r="A1007" s="297">
        <f t="shared" si="15"/>
        <v>57.56666666666667</v>
      </c>
      <c r="B1007" s="460">
        <v>41009</v>
      </c>
      <c r="C1007" s="461" t="s">
        <v>452</v>
      </c>
      <c r="D1007" s="461" t="s">
        <v>459</v>
      </c>
      <c r="E1007" s="461" t="s">
        <v>380</v>
      </c>
      <c r="F1007" s="461" t="s">
        <v>302</v>
      </c>
      <c r="G1007" s="290" t="s">
        <v>306</v>
      </c>
      <c r="H1007" s="291"/>
      <c r="I1007" s="291"/>
      <c r="J1007" s="291"/>
      <c r="K1007" s="291">
        <v>46</v>
      </c>
      <c r="L1007" s="292">
        <v>27</v>
      </c>
      <c r="M1007" s="292">
        <v>46</v>
      </c>
      <c r="N1007" s="292">
        <v>27</v>
      </c>
      <c r="O1007" s="292">
        <v>27</v>
      </c>
      <c r="P1007" s="294">
        <v>27</v>
      </c>
      <c r="Q1007" s="294">
        <v>27</v>
      </c>
      <c r="R1007" s="294"/>
      <c r="S1007" s="294"/>
      <c r="T1007" s="294"/>
      <c r="U1007" s="294"/>
      <c r="V1007" s="431"/>
      <c r="W1007" s="294"/>
      <c r="X1007" s="294"/>
      <c r="Y1007" s="294">
        <f>IF(NFI_Expiration=1,IF($A1007&lt;VLOOKUP(H$5,NFI,5,0),1,0)*Table_NFI[[#This Row],[Hygiene Kit]],Table_NFI[Hygiene Kit])</f>
        <v>0</v>
      </c>
      <c r="Z1007" s="294">
        <f>IF(NFI_Expiration=1,IF($A1007&lt;VLOOKUP(I$5,NFI,5,0),1,0)*Table_NFI[[#This Row],[NFI Core Kit]],Table_NFI[NFI Core Kit])</f>
        <v>0</v>
      </c>
      <c r="AA1007" s="294">
        <f>IF(NFI_Expiration=1,IF($A1007&lt;VLOOKUP(J$5,NFI,5,0),1,0)*Table_NFI[[#This Row],[Sanitary Kit]],Table_NFI[Sanitary Kit])</f>
        <v>0</v>
      </c>
      <c r="AB1007" s="294">
        <f>IF(NFI_Expiration=1,IF($A1007&lt;VLOOKUP(K$5,NFI,5,0),1,0)*Table_NFI[[#This Row],[Mosquito net]],Table_NFI[Mosquito net])</f>
        <v>0</v>
      </c>
      <c r="AC1007" s="294">
        <f>IF(NFI_Expiration=1,IF($A1007&lt;VLOOKUP(L$5,NFI,5,0),1,0)*Table_NFI[[#This Row],[Tarpaulin]],Table_NFI[[#This Row],[Tarpaulin]])</f>
        <v>0</v>
      </c>
      <c r="AD1007" s="294">
        <f>IF(NFI_Expiration=1,IF($A1007&lt;VLOOKUP(M$5,NFI,5,0),1,0)*Table_NFI[[#This Row],[Blanket]],Table_NFI[[#This Row],[Blanket]])</f>
        <v>0</v>
      </c>
      <c r="AE1007" s="294">
        <f>IF(NFI_Expiration=1,IF($A1007&lt;VLOOKUP(N$5,NFI,5,0),1,0)*Table_NFI[[#This Row],[Kitchen Set]],Table_NFI[Kitchen Set])</f>
        <v>0</v>
      </c>
      <c r="AF1007" s="294">
        <f>IF(NFI_Expiration=1,IF($A1007&lt;VLOOKUP(O$5,NFI,5,0),1,0)*Table_NFI[[#This Row],[Clothes Kit]],Table_NFI[Clothes Kit])</f>
        <v>0</v>
      </c>
      <c r="AG1007" s="294">
        <f>IF(NFI_Expiration=1,IF($A1007&lt;VLOOKUP(P$5,NFI,5,0),1,0)*Table_NFI[[#This Row],[Plastic Bucket]],Table_NFI[Plastic Bucket])</f>
        <v>0</v>
      </c>
      <c r="AH1007" s="294">
        <f>IF(NFI_Expiration=1,IF($A1007&lt;VLOOKUP(Q$5,NFI,5,0),1,0)*Table_NFI[[#This Row],[Plastic Mat]],Table_NFI[Plastic Mat])*IF(Table_NFI[[#This Row],[Distribution Date]]&gt;"2014-04-01",1,2.5)</f>
        <v>0</v>
      </c>
      <c r="AI1007" s="294">
        <f>IF(NFI_Expiration=1,IF($A1007&lt;VLOOKUP(R$5,NFI,5,0),1,0)*Table_NFI[[#This Row],[Winter Clothes Adult]],Table_NFI[Winter Clothes Adult])</f>
        <v>0</v>
      </c>
      <c r="AJ1007" s="294">
        <f>IF(NFI_Expiration=1,IF($A1007&lt;VLOOKUP(S$5,NFI,5,0),1,0)*Table_NFI[[#This Row],[Winter Clothes Children]],Table_NFI[Winter Clothes Children])</f>
        <v>0</v>
      </c>
      <c r="AK1007" s="294">
        <f>IF(NFI_Expiration=1,IF($A1007&lt;VLOOKUP(T$5,NFI,5,0),1,0)*Table_NFI[[#This Row],[Winter Items Other]],Table_NFI[Winter Items Other])</f>
        <v>0</v>
      </c>
      <c r="AL1007" s="294">
        <f>IF(NFI_Expiration=1,IF($A1007&lt;VLOOKUP(M$5,NFI,5,0),1,0)*Table_NFI[[#This Row],[Winter Blanket]],Table_NFI[[#This Row],[Winter Blanket]])</f>
        <v>0</v>
      </c>
      <c r="AM1007" s="294">
        <f>IF(Table_NFI[[#This Row],[Winter Clothes Adult]]+Table_NFI[[#This Row],[Winter Clothes Children]]+Table_NFI[[#This Row],[Winter Items Other]]+Table_NFI[[#This Row],[Winter Blanket]]&gt;0,1,0)</f>
        <v>0</v>
      </c>
      <c r="AN1007" s="331">
        <f>IF(NFI_Expiration=1,IF($A1007&lt;VLOOKUP(V$5,NFI,5,0),1,0)*Table_NFI[[#This Row],[Jerry Can]],Table_NFI[Jerry Can])</f>
        <v>0</v>
      </c>
      <c r="AO1007" s="331">
        <f>IF(NFI_Expiration=1,IF($A1007&lt;VLOOKUP(V$5,NFI,5,0),1,0)*Table_NFI[[#This Row],[Shelter Tool kit]],Table_NFI[Shelter Tool kit])</f>
        <v>0</v>
      </c>
      <c r="AP1007" s="331">
        <f>IF(NFI_Expiration=1,IF($A1007&lt;VLOOKUP(V$5,NFI,5,0),1,0)*Table_NFI[[#This Row],[Tent]],Table_NFI[Tent])</f>
        <v>0</v>
      </c>
      <c r="AQ1007" s="467" t="str">
        <f>IFERROR(VLOOKUP(Table_NFI[[#This Row],[Camp Name]],CL,2,0),"")</f>
        <v>MMR001CMP067</v>
      </c>
      <c r="AR1007" s="835">
        <f ca="1">IF(Table_NFI[[#This Row],[Pcode]]="","",IF(OFFSET(CampList[Opening Date],MATCH(Table_NFI[[#This Row],[Pcode]],CampList[CP_Pcode],0)-1,0,1,1)&gt;=NFI_Monitor_Date,1,0))</f>
        <v>0</v>
      </c>
      <c r="AS1007" s="467" t="str">
        <f>IFERROR(VLOOKUP(Table_NFI[[#This Row],[Camp Name]],CL,3,0),"")</f>
        <v>Open</v>
      </c>
      <c r="AT1007" s="294" t="str">
        <f ca="1">IF(Table_NFI[[#This Row],[Pcode]]="","",OFFSET(CampList[Priority],MATCH(Table_NFI[[#This Row],[Pcode]],CampList[CP_Pcode],0)-1,0,1,1))</f>
        <v>P4</v>
      </c>
      <c r="AU1007" s="293">
        <f>IFERROR(Table_NFI[[#This Row],[Kitchen Set]]/VLOOKUP(Table_NFI[[#This Row],[Camp Name]],CL,4,0),"")</f>
        <v>6.6298342541436467E-4</v>
      </c>
      <c r="AV1007" s="461" t="s">
        <v>1092</v>
      </c>
      <c r="AW1007" s="463"/>
    </row>
    <row r="1008" spans="1:49" s="98" customFormat="1" ht="14.45" customHeight="1" x14ac:dyDescent="0.25">
      <c r="A1008" s="297">
        <f t="shared" si="15"/>
        <v>57.56666666666667</v>
      </c>
      <c r="B1008" s="460">
        <v>41009</v>
      </c>
      <c r="C1008" s="461" t="s">
        <v>452</v>
      </c>
      <c r="D1008" s="461" t="s">
        <v>459</v>
      </c>
      <c r="E1008" s="461" t="s">
        <v>380</v>
      </c>
      <c r="F1008" s="290" t="s">
        <v>302</v>
      </c>
      <c r="G1008" s="290" t="s">
        <v>308</v>
      </c>
      <c r="H1008" s="291"/>
      <c r="I1008" s="291"/>
      <c r="J1008" s="291"/>
      <c r="K1008" s="291">
        <v>43</v>
      </c>
      <c r="L1008" s="292">
        <v>25</v>
      </c>
      <c r="M1008" s="292">
        <v>43</v>
      </c>
      <c r="N1008" s="292">
        <v>25</v>
      </c>
      <c r="O1008" s="292">
        <v>25</v>
      </c>
      <c r="P1008" s="294">
        <v>25</v>
      </c>
      <c r="Q1008" s="294">
        <v>25</v>
      </c>
      <c r="R1008" s="294"/>
      <c r="S1008" s="294"/>
      <c r="T1008" s="294"/>
      <c r="U1008" s="294"/>
      <c r="V1008" s="431"/>
      <c r="W1008" s="294"/>
      <c r="X1008" s="294"/>
      <c r="Y1008" s="294">
        <f>IF(NFI_Expiration=1,IF($A1008&lt;VLOOKUP(H$5,NFI,5,0),1,0)*Table_NFI[[#This Row],[Hygiene Kit]],Table_NFI[Hygiene Kit])</f>
        <v>0</v>
      </c>
      <c r="Z1008" s="294">
        <f>IF(NFI_Expiration=1,IF($A1008&lt;VLOOKUP(I$5,NFI,5,0),1,0)*Table_NFI[[#This Row],[NFI Core Kit]],Table_NFI[NFI Core Kit])</f>
        <v>0</v>
      </c>
      <c r="AA1008" s="294">
        <f>IF(NFI_Expiration=1,IF($A1008&lt;VLOOKUP(J$5,NFI,5,0),1,0)*Table_NFI[[#This Row],[Sanitary Kit]],Table_NFI[Sanitary Kit])</f>
        <v>0</v>
      </c>
      <c r="AB1008" s="294">
        <f>IF(NFI_Expiration=1,IF($A1008&lt;VLOOKUP(K$5,NFI,5,0),1,0)*Table_NFI[[#This Row],[Mosquito net]],Table_NFI[Mosquito net])</f>
        <v>0</v>
      </c>
      <c r="AC1008" s="294">
        <f>IF(NFI_Expiration=1,IF($A1008&lt;VLOOKUP(L$5,NFI,5,0),1,0)*Table_NFI[[#This Row],[Tarpaulin]],Table_NFI[[#This Row],[Tarpaulin]])</f>
        <v>0</v>
      </c>
      <c r="AD1008" s="294">
        <f>IF(NFI_Expiration=1,IF($A1008&lt;VLOOKUP(M$5,NFI,5,0),1,0)*Table_NFI[[#This Row],[Blanket]],Table_NFI[[#This Row],[Blanket]])</f>
        <v>0</v>
      </c>
      <c r="AE1008" s="294">
        <f>IF(NFI_Expiration=1,IF($A1008&lt;VLOOKUP(N$5,NFI,5,0),1,0)*Table_NFI[[#This Row],[Kitchen Set]],Table_NFI[Kitchen Set])</f>
        <v>0</v>
      </c>
      <c r="AF1008" s="294">
        <f>IF(NFI_Expiration=1,IF($A1008&lt;VLOOKUP(O$5,NFI,5,0),1,0)*Table_NFI[[#This Row],[Clothes Kit]],Table_NFI[Clothes Kit])</f>
        <v>0</v>
      </c>
      <c r="AG1008" s="294">
        <f>IF(NFI_Expiration=1,IF($A1008&lt;VLOOKUP(P$5,NFI,5,0),1,0)*Table_NFI[[#This Row],[Plastic Bucket]],Table_NFI[Plastic Bucket])</f>
        <v>0</v>
      </c>
      <c r="AH1008" s="294">
        <f>IF(NFI_Expiration=1,IF($A1008&lt;VLOOKUP(Q$5,NFI,5,0),1,0)*Table_NFI[[#This Row],[Plastic Mat]],Table_NFI[Plastic Mat])*IF(Table_NFI[[#This Row],[Distribution Date]]&gt;"2014-04-01",1,2.5)</f>
        <v>0</v>
      </c>
      <c r="AI1008" s="294">
        <f>IF(NFI_Expiration=1,IF($A1008&lt;VLOOKUP(R$5,NFI,5,0),1,0)*Table_NFI[[#This Row],[Winter Clothes Adult]],Table_NFI[Winter Clothes Adult])</f>
        <v>0</v>
      </c>
      <c r="AJ1008" s="294">
        <f>IF(NFI_Expiration=1,IF($A1008&lt;VLOOKUP(S$5,NFI,5,0),1,0)*Table_NFI[[#This Row],[Winter Clothes Children]],Table_NFI[Winter Clothes Children])</f>
        <v>0</v>
      </c>
      <c r="AK1008" s="294">
        <f>IF(NFI_Expiration=1,IF($A1008&lt;VLOOKUP(T$5,NFI,5,0),1,0)*Table_NFI[[#This Row],[Winter Items Other]],Table_NFI[Winter Items Other])</f>
        <v>0</v>
      </c>
      <c r="AL1008" s="294">
        <f>IF(NFI_Expiration=1,IF($A1008&lt;VLOOKUP(M$5,NFI,5,0),1,0)*Table_NFI[[#This Row],[Winter Blanket]],Table_NFI[[#This Row],[Winter Blanket]])</f>
        <v>0</v>
      </c>
      <c r="AM1008" s="294">
        <f>IF(Table_NFI[[#This Row],[Winter Clothes Adult]]+Table_NFI[[#This Row],[Winter Clothes Children]]+Table_NFI[[#This Row],[Winter Items Other]]+Table_NFI[[#This Row],[Winter Blanket]]&gt;0,1,0)</f>
        <v>0</v>
      </c>
      <c r="AN1008" s="331">
        <f>IF(NFI_Expiration=1,IF($A1008&lt;VLOOKUP(V$5,NFI,5,0),1,0)*Table_NFI[[#This Row],[Jerry Can]],Table_NFI[Jerry Can])</f>
        <v>0</v>
      </c>
      <c r="AO1008" s="331">
        <f>IF(NFI_Expiration=1,IF($A1008&lt;VLOOKUP(V$5,NFI,5,0),1,0)*Table_NFI[[#This Row],[Shelter Tool kit]],Table_NFI[Shelter Tool kit])</f>
        <v>0</v>
      </c>
      <c r="AP1008" s="331">
        <f>IF(NFI_Expiration=1,IF($A1008&lt;VLOOKUP(V$5,NFI,5,0),1,0)*Table_NFI[[#This Row],[Tent]],Table_NFI[Tent])</f>
        <v>0</v>
      </c>
      <c r="AQ1008" s="467" t="str">
        <f>IFERROR(VLOOKUP(Table_NFI[[#This Row],[Camp Name]],CL,2,0),"")</f>
        <v>MMR001CMP068</v>
      </c>
      <c r="AR1008" s="835">
        <f ca="1">IF(Table_NFI[[#This Row],[Pcode]]="","",IF(OFFSET(CampList[Opening Date],MATCH(Table_NFI[[#This Row],[Pcode]],CampList[CP_Pcode],0)-1,0,1,1)&gt;=NFI_Monitor_Date,1,0))</f>
        <v>0</v>
      </c>
      <c r="AS1008" s="467" t="str">
        <f>IFERROR(VLOOKUP(Table_NFI[[#This Row],[Camp Name]],CL,3,0),"")</f>
        <v>Open</v>
      </c>
      <c r="AT1008" s="294" t="str">
        <f ca="1">IF(Table_NFI[[#This Row],[Pcode]]="","",OFFSET(CampList[Priority],MATCH(Table_NFI[[#This Row],[Pcode]],CampList[CP_Pcode],0)-1,0,1,1))</f>
        <v>P4</v>
      </c>
      <c r="AU1008" s="293">
        <f>IFERROR(Table_NFI[[#This Row],[Kitchen Set]]/VLOOKUP(Table_NFI[[#This Row],[Camp Name]],CL,4,0),"")</f>
        <v>6.1387354205033758E-4</v>
      </c>
      <c r="AV1008" s="461" t="s">
        <v>1092</v>
      </c>
      <c r="AW1008" s="463"/>
    </row>
    <row r="1009" spans="1:49" s="98" customFormat="1" ht="14.45" customHeight="1" x14ac:dyDescent="0.25">
      <c r="A1009" s="297">
        <f t="shared" si="15"/>
        <v>57.633333333333333</v>
      </c>
      <c r="B1009" s="460">
        <v>41007</v>
      </c>
      <c r="C1009" s="461" t="s">
        <v>905</v>
      </c>
      <c r="D1009" s="461"/>
      <c r="E1009" s="461" t="s">
        <v>380</v>
      </c>
      <c r="F1009" s="290" t="s">
        <v>5</v>
      </c>
      <c r="G1009" s="290" t="s">
        <v>6</v>
      </c>
      <c r="H1009" s="294">
        <v>302</v>
      </c>
      <c r="I1009" s="291"/>
      <c r="J1009" s="291"/>
      <c r="K1009" s="291"/>
      <c r="L1009" s="292"/>
      <c r="M1009" s="292"/>
      <c r="N1009" s="292"/>
      <c r="O1009" s="292"/>
      <c r="P1009" s="294"/>
      <c r="Q1009" s="294"/>
      <c r="R1009" s="294"/>
      <c r="S1009" s="294"/>
      <c r="T1009" s="294"/>
      <c r="U1009" s="294"/>
      <c r="V1009" s="431"/>
      <c r="W1009" s="294"/>
      <c r="X1009" s="294"/>
      <c r="Y1009" s="294">
        <f>IF(NFI_Expiration=1,IF($A1009&lt;VLOOKUP(H$5,NFI,5,0),1,0)*Table_NFI[[#This Row],[Hygiene Kit]],Table_NFI[Hygiene Kit])</f>
        <v>0</v>
      </c>
      <c r="Z1009" s="294">
        <f>IF(NFI_Expiration=1,IF($A1009&lt;VLOOKUP(I$5,NFI,5,0),1,0)*Table_NFI[[#This Row],[NFI Core Kit]],Table_NFI[NFI Core Kit])</f>
        <v>0</v>
      </c>
      <c r="AA1009" s="294">
        <f>IF(NFI_Expiration=1,IF($A1009&lt;VLOOKUP(J$5,NFI,5,0),1,0)*Table_NFI[[#This Row],[Sanitary Kit]],Table_NFI[Sanitary Kit])</f>
        <v>0</v>
      </c>
      <c r="AB1009" s="294">
        <f>IF(NFI_Expiration=1,IF($A1009&lt;VLOOKUP(K$5,NFI,5,0),1,0)*Table_NFI[[#This Row],[Mosquito net]],Table_NFI[Mosquito net])</f>
        <v>0</v>
      </c>
      <c r="AC1009" s="294">
        <f>IF(NFI_Expiration=1,IF($A1009&lt;VLOOKUP(L$5,NFI,5,0),1,0)*Table_NFI[[#This Row],[Tarpaulin]],Table_NFI[[#This Row],[Tarpaulin]])</f>
        <v>0</v>
      </c>
      <c r="AD1009" s="294">
        <f>IF(NFI_Expiration=1,IF($A1009&lt;VLOOKUP(M$5,NFI,5,0),1,0)*Table_NFI[[#This Row],[Blanket]],Table_NFI[[#This Row],[Blanket]])</f>
        <v>0</v>
      </c>
      <c r="AE1009" s="294">
        <f>IF(NFI_Expiration=1,IF($A1009&lt;VLOOKUP(N$5,NFI,5,0),1,0)*Table_NFI[[#This Row],[Kitchen Set]],Table_NFI[Kitchen Set])</f>
        <v>0</v>
      </c>
      <c r="AF1009" s="294">
        <f>IF(NFI_Expiration=1,IF($A1009&lt;VLOOKUP(O$5,NFI,5,0),1,0)*Table_NFI[[#This Row],[Clothes Kit]],Table_NFI[Clothes Kit])</f>
        <v>0</v>
      </c>
      <c r="AG1009" s="294">
        <f>IF(NFI_Expiration=1,IF($A1009&lt;VLOOKUP(P$5,NFI,5,0),1,0)*Table_NFI[[#This Row],[Plastic Bucket]],Table_NFI[Plastic Bucket])</f>
        <v>0</v>
      </c>
      <c r="AH1009" s="294">
        <f>IF(NFI_Expiration=1,IF($A1009&lt;VLOOKUP(Q$5,NFI,5,0),1,0)*Table_NFI[[#This Row],[Plastic Mat]],Table_NFI[Plastic Mat])*IF(Table_NFI[[#This Row],[Distribution Date]]&gt;"2014-04-01",1,2.5)</f>
        <v>0</v>
      </c>
      <c r="AI1009" s="294">
        <f>IF(NFI_Expiration=1,IF($A1009&lt;VLOOKUP(R$5,NFI,5,0),1,0)*Table_NFI[[#This Row],[Winter Clothes Adult]],Table_NFI[Winter Clothes Adult])</f>
        <v>0</v>
      </c>
      <c r="AJ1009" s="294">
        <f>IF(NFI_Expiration=1,IF($A1009&lt;VLOOKUP(S$5,NFI,5,0),1,0)*Table_NFI[[#This Row],[Winter Clothes Children]],Table_NFI[Winter Clothes Children])</f>
        <v>0</v>
      </c>
      <c r="AK1009" s="294">
        <f>IF(NFI_Expiration=1,IF($A1009&lt;VLOOKUP(T$5,NFI,5,0),1,0)*Table_NFI[[#This Row],[Winter Items Other]],Table_NFI[Winter Items Other])</f>
        <v>0</v>
      </c>
      <c r="AL1009" s="294">
        <f>IF(NFI_Expiration=1,IF($A1009&lt;VLOOKUP(M$5,NFI,5,0),1,0)*Table_NFI[[#This Row],[Winter Blanket]],Table_NFI[[#This Row],[Winter Blanket]])</f>
        <v>0</v>
      </c>
      <c r="AM1009" s="294">
        <f>IF(Table_NFI[[#This Row],[Winter Clothes Adult]]+Table_NFI[[#This Row],[Winter Clothes Children]]+Table_NFI[[#This Row],[Winter Items Other]]+Table_NFI[[#This Row],[Winter Blanket]]&gt;0,1,0)</f>
        <v>0</v>
      </c>
      <c r="AN1009" s="331">
        <f>IF(NFI_Expiration=1,IF($A1009&lt;VLOOKUP(V$5,NFI,5,0),1,0)*Table_NFI[[#This Row],[Jerry Can]],Table_NFI[Jerry Can])</f>
        <v>0</v>
      </c>
      <c r="AO1009" s="331">
        <f>IF(NFI_Expiration=1,IF($A1009&lt;VLOOKUP(V$5,NFI,5,0),1,0)*Table_NFI[[#This Row],[Shelter Tool kit]],Table_NFI[Shelter Tool kit])</f>
        <v>0</v>
      </c>
      <c r="AP1009" s="331">
        <f>IF(NFI_Expiration=1,IF($A1009&lt;VLOOKUP(V$5,NFI,5,0),1,0)*Table_NFI[[#This Row],[Tent]],Table_NFI[Tent])</f>
        <v>0</v>
      </c>
      <c r="AQ1009" s="467" t="str">
        <f>IFERROR(VLOOKUP(Table_NFI[[#This Row],[Camp Name]],CL,2,0),"")</f>
        <v>MMR001CMP050</v>
      </c>
      <c r="AR1009" s="835">
        <f ca="1">IF(Table_NFI[[#This Row],[Pcode]]="","",IF(OFFSET(CampList[Opening Date],MATCH(Table_NFI[[#This Row],[Pcode]],CampList[CP_Pcode],0)-1,0,1,1)&gt;=NFI_Monitor_Date,1,0))</f>
        <v>0</v>
      </c>
      <c r="AS1009" s="467" t="str">
        <f>IFERROR(VLOOKUP(Table_NFI[[#This Row],[Camp Name]],CL,3,0),"")</f>
        <v>Open</v>
      </c>
      <c r="AT1009" s="294" t="str">
        <f ca="1">IF(Table_NFI[[#This Row],[Pcode]]="","",OFFSET(CampList[Priority],MATCH(Table_NFI[[#This Row],[Pcode]],CampList[CP_Pcode],0)-1,0,1,1))</f>
        <v>P4</v>
      </c>
      <c r="AU1009" s="293">
        <f>IFERROR(Table_NFI[[#This Row],[Kitchen Set]]/VLOOKUP(Table_NFI[[#This Row],[Camp Name]],CL,4,0),"")</f>
        <v>0</v>
      </c>
      <c r="AV1009" s="461"/>
      <c r="AW1009" s="463"/>
    </row>
    <row r="1010" spans="1:49" s="98" customFormat="1" ht="14.45" customHeight="1" x14ac:dyDescent="0.25">
      <c r="A1010" s="297">
        <f t="shared" si="15"/>
        <v>57.733333333333334</v>
      </c>
      <c r="B1010" s="460">
        <v>41004</v>
      </c>
      <c r="C1010" s="461" t="s">
        <v>452</v>
      </c>
      <c r="D1010" s="462" t="s">
        <v>452</v>
      </c>
      <c r="E1010" s="461" t="s">
        <v>380</v>
      </c>
      <c r="F1010" s="290" t="s">
        <v>185</v>
      </c>
      <c r="G1010" s="290" t="s">
        <v>211</v>
      </c>
      <c r="H1010" s="291"/>
      <c r="I1010" s="291"/>
      <c r="J1010" s="291"/>
      <c r="K1010" s="291">
        <v>0</v>
      </c>
      <c r="L1010" s="292">
        <v>50</v>
      </c>
      <c r="M1010" s="292">
        <v>0</v>
      </c>
      <c r="N1010" s="292">
        <v>0</v>
      </c>
      <c r="O1010" s="292">
        <v>0</v>
      </c>
      <c r="P1010" s="294"/>
      <c r="Q1010" s="294"/>
      <c r="R1010" s="294"/>
      <c r="S1010" s="294"/>
      <c r="T1010" s="294"/>
      <c r="U1010" s="294"/>
      <c r="V1010" s="431"/>
      <c r="W1010" s="294"/>
      <c r="X1010" s="294"/>
      <c r="Y1010" s="294">
        <f>IF(NFI_Expiration=1,IF($A1010&lt;VLOOKUP(H$5,NFI,5,0),1,0)*Table_NFI[[#This Row],[Hygiene Kit]],Table_NFI[Hygiene Kit])</f>
        <v>0</v>
      </c>
      <c r="Z1010" s="294">
        <f>IF(NFI_Expiration=1,IF($A1010&lt;VLOOKUP(I$5,NFI,5,0),1,0)*Table_NFI[[#This Row],[NFI Core Kit]],Table_NFI[NFI Core Kit])</f>
        <v>0</v>
      </c>
      <c r="AA1010" s="294">
        <f>IF(NFI_Expiration=1,IF($A1010&lt;VLOOKUP(J$5,NFI,5,0),1,0)*Table_NFI[[#This Row],[Sanitary Kit]],Table_NFI[Sanitary Kit])</f>
        <v>0</v>
      </c>
      <c r="AB1010" s="294">
        <f>IF(NFI_Expiration=1,IF($A1010&lt;VLOOKUP(K$5,NFI,5,0),1,0)*Table_NFI[[#This Row],[Mosquito net]],Table_NFI[Mosquito net])</f>
        <v>0</v>
      </c>
      <c r="AC1010" s="294">
        <f>IF(NFI_Expiration=1,IF($A1010&lt;VLOOKUP(L$5,NFI,5,0),1,0)*Table_NFI[[#This Row],[Tarpaulin]],Table_NFI[[#This Row],[Tarpaulin]])</f>
        <v>0</v>
      </c>
      <c r="AD1010" s="294">
        <f>IF(NFI_Expiration=1,IF($A1010&lt;VLOOKUP(M$5,NFI,5,0),1,0)*Table_NFI[[#This Row],[Blanket]],Table_NFI[[#This Row],[Blanket]])</f>
        <v>0</v>
      </c>
      <c r="AE1010" s="294">
        <f>IF(NFI_Expiration=1,IF($A1010&lt;VLOOKUP(N$5,NFI,5,0),1,0)*Table_NFI[[#This Row],[Kitchen Set]],Table_NFI[Kitchen Set])</f>
        <v>0</v>
      </c>
      <c r="AF1010" s="294">
        <f>IF(NFI_Expiration=1,IF($A1010&lt;VLOOKUP(O$5,NFI,5,0),1,0)*Table_NFI[[#This Row],[Clothes Kit]],Table_NFI[Clothes Kit])</f>
        <v>0</v>
      </c>
      <c r="AG1010" s="294">
        <f>IF(NFI_Expiration=1,IF($A1010&lt;VLOOKUP(P$5,NFI,5,0),1,0)*Table_NFI[[#This Row],[Plastic Bucket]],Table_NFI[Plastic Bucket])</f>
        <v>0</v>
      </c>
      <c r="AH1010" s="294">
        <f>IF(NFI_Expiration=1,IF($A1010&lt;VLOOKUP(Q$5,NFI,5,0),1,0)*Table_NFI[[#This Row],[Plastic Mat]],Table_NFI[Plastic Mat])*IF(Table_NFI[[#This Row],[Distribution Date]]&gt;"2014-04-01",1,2.5)</f>
        <v>0</v>
      </c>
      <c r="AI1010" s="294">
        <f>IF(NFI_Expiration=1,IF($A1010&lt;VLOOKUP(R$5,NFI,5,0),1,0)*Table_NFI[[#This Row],[Winter Clothes Adult]],Table_NFI[Winter Clothes Adult])</f>
        <v>0</v>
      </c>
      <c r="AJ1010" s="294">
        <f>IF(NFI_Expiration=1,IF($A1010&lt;VLOOKUP(S$5,NFI,5,0),1,0)*Table_NFI[[#This Row],[Winter Clothes Children]],Table_NFI[Winter Clothes Children])</f>
        <v>0</v>
      </c>
      <c r="AK1010" s="294">
        <f>IF(NFI_Expiration=1,IF($A1010&lt;VLOOKUP(T$5,NFI,5,0),1,0)*Table_NFI[[#This Row],[Winter Items Other]],Table_NFI[Winter Items Other])</f>
        <v>0</v>
      </c>
      <c r="AL1010" s="294">
        <f>IF(NFI_Expiration=1,IF($A1010&lt;VLOOKUP(M$5,NFI,5,0),1,0)*Table_NFI[[#This Row],[Winter Blanket]],Table_NFI[[#This Row],[Winter Blanket]])</f>
        <v>0</v>
      </c>
      <c r="AM1010" s="294">
        <f>IF(Table_NFI[[#This Row],[Winter Clothes Adult]]+Table_NFI[[#This Row],[Winter Clothes Children]]+Table_NFI[[#This Row],[Winter Items Other]]+Table_NFI[[#This Row],[Winter Blanket]]&gt;0,1,0)</f>
        <v>0</v>
      </c>
      <c r="AN1010" s="331">
        <f>IF(NFI_Expiration=1,IF($A1010&lt;VLOOKUP(V$5,NFI,5,0),1,0)*Table_NFI[[#This Row],[Jerry Can]],Table_NFI[Jerry Can])</f>
        <v>0</v>
      </c>
      <c r="AO1010" s="331">
        <f>IF(NFI_Expiration=1,IF($A1010&lt;VLOOKUP(V$5,NFI,5,0),1,0)*Table_NFI[[#This Row],[Shelter Tool kit]],Table_NFI[Shelter Tool kit])</f>
        <v>0</v>
      </c>
      <c r="AP1010" s="331">
        <f>IF(NFI_Expiration=1,IF($A1010&lt;VLOOKUP(V$5,NFI,5,0),1,0)*Table_NFI[[#This Row],[Tent]],Table_NFI[Tent])</f>
        <v>0</v>
      </c>
      <c r="AQ1010" s="467" t="str">
        <f>IFERROR(VLOOKUP(Table_NFI[[#This Row],[Camp Name]],CL,2,0),"")</f>
        <v>MMR001CMP057</v>
      </c>
      <c r="AR1010" s="835">
        <f ca="1">IF(Table_NFI[[#This Row],[Pcode]]="","",IF(OFFSET(CampList[Opening Date],MATCH(Table_NFI[[#This Row],[Pcode]],CampList[CP_Pcode],0)-1,0,1,1)&gt;=NFI_Monitor_Date,1,0))</f>
        <v>0</v>
      </c>
      <c r="AS1010" s="467" t="str">
        <f>IFERROR(VLOOKUP(Table_NFI[[#This Row],[Camp Name]],CL,3,0),"")</f>
        <v>Closed</v>
      </c>
      <c r="AT1010" s="294" t="str">
        <f ca="1">IF(Table_NFI[[#This Row],[Pcode]]="","",OFFSET(CampList[Priority],MATCH(Table_NFI[[#This Row],[Pcode]],CampList[CP_Pcode],0)-1,0,1,1))</f>
        <v>P4</v>
      </c>
      <c r="AU1010" s="293">
        <f>IFERROR(Table_NFI[[#This Row],[Kitchen Set]]/VLOOKUP(Table_NFI[[#This Row],[Camp Name]],CL,4,0),"")</f>
        <v>0</v>
      </c>
      <c r="AV1010" s="461" t="s">
        <v>1092</v>
      </c>
      <c r="AW1010" s="463"/>
    </row>
    <row r="1011" spans="1:49" s="464" customFormat="1" ht="14.45" customHeight="1" x14ac:dyDescent="0.25">
      <c r="A1011" s="297">
        <f t="shared" si="15"/>
        <v>57.766666666666666</v>
      </c>
      <c r="B1011" s="460">
        <v>41003</v>
      </c>
      <c r="C1011" s="461" t="s">
        <v>452</v>
      </c>
      <c r="D1011" s="461" t="s">
        <v>452</v>
      </c>
      <c r="E1011" s="461" t="s">
        <v>380</v>
      </c>
      <c r="F1011" s="290" t="s">
        <v>151</v>
      </c>
      <c r="G1011" s="290" t="s">
        <v>188</v>
      </c>
      <c r="H1011" s="291"/>
      <c r="I1011" s="291"/>
      <c r="J1011" s="291"/>
      <c r="K1011" s="291">
        <v>216</v>
      </c>
      <c r="L1011" s="292">
        <v>108</v>
      </c>
      <c r="M1011" s="292">
        <v>216</v>
      </c>
      <c r="N1011" s="292">
        <v>108</v>
      </c>
      <c r="O1011" s="292">
        <v>108</v>
      </c>
      <c r="P1011" s="294">
        <v>108</v>
      </c>
      <c r="Q1011" s="294">
        <v>108</v>
      </c>
      <c r="R1011" s="294"/>
      <c r="S1011" s="294"/>
      <c r="T1011" s="294"/>
      <c r="U1011" s="294"/>
      <c r="V1011" s="431"/>
      <c r="W1011" s="294"/>
      <c r="X1011" s="294"/>
      <c r="Y1011" s="294">
        <f>IF(NFI_Expiration=1,IF($A1011&lt;VLOOKUP(H$5,NFI,5,0),1,0)*Table_NFI[[#This Row],[Hygiene Kit]],Table_NFI[Hygiene Kit])</f>
        <v>0</v>
      </c>
      <c r="Z1011" s="294">
        <f>IF(NFI_Expiration=1,IF($A1011&lt;VLOOKUP(I$5,NFI,5,0),1,0)*Table_NFI[[#This Row],[NFI Core Kit]],Table_NFI[NFI Core Kit])</f>
        <v>0</v>
      </c>
      <c r="AA1011" s="294">
        <f>IF(NFI_Expiration=1,IF($A1011&lt;VLOOKUP(J$5,NFI,5,0),1,0)*Table_NFI[[#This Row],[Sanitary Kit]],Table_NFI[Sanitary Kit])</f>
        <v>0</v>
      </c>
      <c r="AB1011" s="294">
        <f>IF(NFI_Expiration=1,IF($A1011&lt;VLOOKUP(K$5,NFI,5,0),1,0)*Table_NFI[[#This Row],[Mosquito net]],Table_NFI[Mosquito net])</f>
        <v>0</v>
      </c>
      <c r="AC1011" s="294">
        <f>IF(NFI_Expiration=1,IF($A1011&lt;VLOOKUP(L$5,NFI,5,0),1,0)*Table_NFI[[#This Row],[Tarpaulin]],Table_NFI[[#This Row],[Tarpaulin]])</f>
        <v>0</v>
      </c>
      <c r="AD1011" s="294">
        <f>IF(NFI_Expiration=1,IF($A1011&lt;VLOOKUP(M$5,NFI,5,0),1,0)*Table_NFI[[#This Row],[Blanket]],Table_NFI[[#This Row],[Blanket]])</f>
        <v>0</v>
      </c>
      <c r="AE1011" s="294">
        <f>IF(NFI_Expiration=1,IF($A1011&lt;VLOOKUP(N$5,NFI,5,0),1,0)*Table_NFI[[#This Row],[Kitchen Set]],Table_NFI[Kitchen Set])</f>
        <v>0</v>
      </c>
      <c r="AF1011" s="294">
        <f>IF(NFI_Expiration=1,IF($A1011&lt;VLOOKUP(O$5,NFI,5,0),1,0)*Table_NFI[[#This Row],[Clothes Kit]],Table_NFI[Clothes Kit])</f>
        <v>0</v>
      </c>
      <c r="AG1011" s="294">
        <f>IF(NFI_Expiration=1,IF($A1011&lt;VLOOKUP(P$5,NFI,5,0),1,0)*Table_NFI[[#This Row],[Plastic Bucket]],Table_NFI[Plastic Bucket])</f>
        <v>0</v>
      </c>
      <c r="AH1011" s="294">
        <f>IF(NFI_Expiration=1,IF($A1011&lt;VLOOKUP(Q$5,NFI,5,0),1,0)*Table_NFI[[#This Row],[Plastic Mat]],Table_NFI[Plastic Mat])*IF(Table_NFI[[#This Row],[Distribution Date]]&gt;"2014-04-01",1,2.5)</f>
        <v>0</v>
      </c>
      <c r="AI1011" s="294">
        <f>IF(NFI_Expiration=1,IF($A1011&lt;VLOOKUP(R$5,NFI,5,0),1,0)*Table_NFI[[#This Row],[Winter Clothes Adult]],Table_NFI[Winter Clothes Adult])</f>
        <v>0</v>
      </c>
      <c r="AJ1011" s="294">
        <f>IF(NFI_Expiration=1,IF($A1011&lt;VLOOKUP(S$5,NFI,5,0),1,0)*Table_NFI[[#This Row],[Winter Clothes Children]],Table_NFI[Winter Clothes Children])</f>
        <v>0</v>
      </c>
      <c r="AK1011" s="294">
        <f>IF(NFI_Expiration=1,IF($A1011&lt;VLOOKUP(T$5,NFI,5,0),1,0)*Table_NFI[[#This Row],[Winter Items Other]],Table_NFI[Winter Items Other])</f>
        <v>0</v>
      </c>
      <c r="AL1011" s="294">
        <f>IF(NFI_Expiration=1,IF($A1011&lt;VLOOKUP(M$5,NFI,5,0),1,0)*Table_NFI[[#This Row],[Winter Blanket]],Table_NFI[[#This Row],[Winter Blanket]])</f>
        <v>0</v>
      </c>
      <c r="AM1011" s="294">
        <f>IF(Table_NFI[[#This Row],[Winter Clothes Adult]]+Table_NFI[[#This Row],[Winter Clothes Children]]+Table_NFI[[#This Row],[Winter Items Other]]+Table_NFI[[#This Row],[Winter Blanket]]&gt;0,1,0)</f>
        <v>0</v>
      </c>
      <c r="AN1011" s="331">
        <f>IF(NFI_Expiration=1,IF($A1011&lt;VLOOKUP(V$5,NFI,5,0),1,0)*Table_NFI[[#This Row],[Jerry Can]],Table_NFI[Jerry Can])</f>
        <v>0</v>
      </c>
      <c r="AO1011" s="331">
        <f>IF(NFI_Expiration=1,IF($A1011&lt;VLOOKUP(V$5,NFI,5,0),1,0)*Table_NFI[[#This Row],[Shelter Tool kit]],Table_NFI[Shelter Tool kit])</f>
        <v>0</v>
      </c>
      <c r="AP1011" s="331">
        <f>IF(NFI_Expiration=1,IF($A1011&lt;VLOOKUP(V$5,NFI,5,0),1,0)*Table_NFI[[#This Row],[Tent]],Table_NFI[Tent])</f>
        <v>0</v>
      </c>
      <c r="AQ1011" s="467" t="str">
        <f>IFERROR(VLOOKUP(Table_NFI[[#This Row],[Camp Name]],CL,2,0),"")</f>
        <v>MMR001CMP129</v>
      </c>
      <c r="AR1011" s="835">
        <f ca="1">IF(Table_NFI[[#This Row],[Pcode]]="","",IF(OFFSET(CampList[Opening Date],MATCH(Table_NFI[[#This Row],[Pcode]],CampList[CP_Pcode],0)-1,0,1,1)&gt;=NFI_Monitor_Date,1,0))</f>
        <v>0</v>
      </c>
      <c r="AS1011" s="467" t="str">
        <f>IFERROR(VLOOKUP(Table_NFI[[#This Row],[Camp Name]],CL,3,0),"")</f>
        <v>Open</v>
      </c>
      <c r="AT1011" s="294" t="str">
        <f ca="1">IF(Table_NFI[[#This Row],[Pcode]]="","",OFFSET(CampList[Priority],MATCH(Table_NFI[[#This Row],[Pcode]],CampList[CP_Pcode],0)-1,0,1,1))</f>
        <v>P2</v>
      </c>
      <c r="AU1011" s="293">
        <f>IFERROR(Table_NFI[[#This Row],[Kitchen Set]]/VLOOKUP(Table_NFI[[#This Row],[Camp Name]],CL,4,0),"")</f>
        <v>2.6459563417203617E-3</v>
      </c>
      <c r="AV1011" s="461" t="s">
        <v>1092</v>
      </c>
      <c r="AW1011" s="463"/>
    </row>
    <row r="1012" spans="1:49" s="464" customFormat="1" ht="14.45" customHeight="1" x14ac:dyDescent="0.25">
      <c r="A1012" s="297">
        <f t="shared" si="15"/>
        <v>57.8</v>
      </c>
      <c r="B1012" s="460">
        <v>41002</v>
      </c>
      <c r="C1012" s="461" t="s">
        <v>452</v>
      </c>
      <c r="D1012" s="461" t="s">
        <v>452</v>
      </c>
      <c r="E1012" s="461" t="s">
        <v>380</v>
      </c>
      <c r="F1012" s="290" t="s">
        <v>151</v>
      </c>
      <c r="G1012" s="290" t="s">
        <v>198</v>
      </c>
      <c r="H1012" s="291"/>
      <c r="I1012" s="291"/>
      <c r="J1012" s="291"/>
      <c r="K1012" s="291">
        <v>510</v>
      </c>
      <c r="L1012" s="292">
        <v>0</v>
      </c>
      <c r="M1012" s="292">
        <v>510</v>
      </c>
      <c r="N1012" s="292">
        <v>255</v>
      </c>
      <c r="O1012" s="292">
        <v>255</v>
      </c>
      <c r="P1012" s="294">
        <v>255</v>
      </c>
      <c r="Q1012" s="294">
        <v>255</v>
      </c>
      <c r="R1012" s="294"/>
      <c r="S1012" s="294"/>
      <c r="T1012" s="294"/>
      <c r="U1012" s="294"/>
      <c r="V1012" s="431"/>
      <c r="W1012" s="294"/>
      <c r="X1012" s="294"/>
      <c r="Y1012" s="294">
        <f>IF(NFI_Expiration=1,IF($A1012&lt;VLOOKUP(H$5,NFI,5,0),1,0)*Table_NFI[[#This Row],[Hygiene Kit]],Table_NFI[Hygiene Kit])</f>
        <v>0</v>
      </c>
      <c r="Z1012" s="294">
        <f>IF(NFI_Expiration=1,IF($A1012&lt;VLOOKUP(I$5,NFI,5,0),1,0)*Table_NFI[[#This Row],[NFI Core Kit]],Table_NFI[NFI Core Kit])</f>
        <v>0</v>
      </c>
      <c r="AA1012" s="294">
        <f>IF(NFI_Expiration=1,IF($A1012&lt;VLOOKUP(J$5,NFI,5,0),1,0)*Table_NFI[[#This Row],[Sanitary Kit]],Table_NFI[Sanitary Kit])</f>
        <v>0</v>
      </c>
      <c r="AB1012" s="294">
        <f>IF(NFI_Expiration=1,IF($A1012&lt;VLOOKUP(K$5,NFI,5,0),1,0)*Table_NFI[[#This Row],[Mosquito net]],Table_NFI[Mosquito net])</f>
        <v>0</v>
      </c>
      <c r="AC1012" s="294">
        <f>IF(NFI_Expiration=1,IF($A1012&lt;VLOOKUP(L$5,NFI,5,0),1,0)*Table_NFI[[#This Row],[Tarpaulin]],Table_NFI[[#This Row],[Tarpaulin]])</f>
        <v>0</v>
      </c>
      <c r="AD1012" s="294">
        <f>IF(NFI_Expiration=1,IF($A1012&lt;VLOOKUP(M$5,NFI,5,0),1,0)*Table_NFI[[#This Row],[Blanket]],Table_NFI[[#This Row],[Blanket]])</f>
        <v>0</v>
      </c>
      <c r="AE1012" s="294">
        <f>IF(NFI_Expiration=1,IF($A1012&lt;VLOOKUP(N$5,NFI,5,0),1,0)*Table_NFI[[#This Row],[Kitchen Set]],Table_NFI[Kitchen Set])</f>
        <v>0</v>
      </c>
      <c r="AF1012" s="294">
        <f>IF(NFI_Expiration=1,IF($A1012&lt;VLOOKUP(O$5,NFI,5,0),1,0)*Table_NFI[[#This Row],[Clothes Kit]],Table_NFI[Clothes Kit])</f>
        <v>0</v>
      </c>
      <c r="AG1012" s="294">
        <f>IF(NFI_Expiration=1,IF($A1012&lt;VLOOKUP(P$5,NFI,5,0),1,0)*Table_NFI[[#This Row],[Plastic Bucket]],Table_NFI[Plastic Bucket])</f>
        <v>0</v>
      </c>
      <c r="AH1012" s="294">
        <f>IF(NFI_Expiration=1,IF($A1012&lt;VLOOKUP(Q$5,NFI,5,0),1,0)*Table_NFI[[#This Row],[Plastic Mat]],Table_NFI[Plastic Mat])*IF(Table_NFI[[#This Row],[Distribution Date]]&gt;"2014-04-01",1,2.5)</f>
        <v>0</v>
      </c>
      <c r="AI1012" s="294">
        <f>IF(NFI_Expiration=1,IF($A1012&lt;VLOOKUP(R$5,NFI,5,0),1,0)*Table_NFI[[#This Row],[Winter Clothes Adult]],Table_NFI[Winter Clothes Adult])</f>
        <v>0</v>
      </c>
      <c r="AJ1012" s="294">
        <f>IF(NFI_Expiration=1,IF($A1012&lt;VLOOKUP(S$5,NFI,5,0),1,0)*Table_NFI[[#This Row],[Winter Clothes Children]],Table_NFI[Winter Clothes Children])</f>
        <v>0</v>
      </c>
      <c r="AK1012" s="294">
        <f>IF(NFI_Expiration=1,IF($A1012&lt;VLOOKUP(T$5,NFI,5,0),1,0)*Table_NFI[[#This Row],[Winter Items Other]],Table_NFI[Winter Items Other])</f>
        <v>0</v>
      </c>
      <c r="AL1012" s="294">
        <f>IF(NFI_Expiration=1,IF($A1012&lt;VLOOKUP(M$5,NFI,5,0),1,0)*Table_NFI[[#This Row],[Winter Blanket]],Table_NFI[[#This Row],[Winter Blanket]])</f>
        <v>0</v>
      </c>
      <c r="AM1012" s="294">
        <f>IF(Table_NFI[[#This Row],[Winter Clothes Adult]]+Table_NFI[[#This Row],[Winter Clothes Children]]+Table_NFI[[#This Row],[Winter Items Other]]+Table_NFI[[#This Row],[Winter Blanket]]&gt;0,1,0)</f>
        <v>0</v>
      </c>
      <c r="AN1012" s="331">
        <f>IF(NFI_Expiration=1,IF($A1012&lt;VLOOKUP(V$5,NFI,5,0),1,0)*Table_NFI[[#This Row],[Jerry Can]],Table_NFI[Jerry Can])</f>
        <v>0</v>
      </c>
      <c r="AO1012" s="331">
        <f>IF(NFI_Expiration=1,IF($A1012&lt;VLOOKUP(V$5,NFI,5,0),1,0)*Table_NFI[[#This Row],[Shelter Tool kit]],Table_NFI[Shelter Tool kit])</f>
        <v>0</v>
      </c>
      <c r="AP1012" s="331">
        <f>IF(NFI_Expiration=1,IF($A1012&lt;VLOOKUP(V$5,NFI,5,0),1,0)*Table_NFI[[#This Row],[Tent]],Table_NFI[Tent])</f>
        <v>0</v>
      </c>
      <c r="AQ1012" s="467" t="str">
        <f>IFERROR(VLOOKUP(Table_NFI[[#This Row],[Camp Name]],CL,2,0),"")</f>
        <v>MMR001CMP128</v>
      </c>
      <c r="AR1012" s="835">
        <f ca="1">IF(Table_NFI[[#This Row],[Pcode]]="","",IF(OFFSET(CampList[Opening Date],MATCH(Table_NFI[[#This Row],[Pcode]],CampList[CP_Pcode],0)-1,0,1,1)&gt;=NFI_Monitor_Date,1,0))</f>
        <v>0</v>
      </c>
      <c r="AS1012" s="467" t="str">
        <f>IFERROR(VLOOKUP(Table_NFI[[#This Row],[Camp Name]],CL,3,0),"")</f>
        <v>Open</v>
      </c>
      <c r="AT1012" s="294" t="str">
        <f ca="1">IF(Table_NFI[[#This Row],[Pcode]]="","",OFFSET(CampList[Priority],MATCH(Table_NFI[[#This Row],[Pcode]],CampList[CP_Pcode],0)-1,0,1,1))</f>
        <v>P2</v>
      </c>
      <c r="AU1012" s="293">
        <f>IFERROR(Table_NFI[[#This Row],[Kitchen Set]]/VLOOKUP(Table_NFI[[#This Row],[Camp Name]],CL,4,0),"")</f>
        <v>6.2473969179508539E-3</v>
      </c>
      <c r="AV1012" s="461" t="s">
        <v>1092</v>
      </c>
      <c r="AW1012" s="463"/>
    </row>
    <row r="1013" spans="1:49" s="464" customFormat="1" ht="14.45" customHeight="1" x14ac:dyDescent="0.25">
      <c r="A1013" s="297">
        <f t="shared" si="15"/>
        <v>57.966666666666669</v>
      </c>
      <c r="B1013" s="460">
        <v>40997</v>
      </c>
      <c r="C1013" s="461" t="s">
        <v>452</v>
      </c>
      <c r="D1013" s="462" t="s">
        <v>452</v>
      </c>
      <c r="E1013" s="461" t="s">
        <v>380</v>
      </c>
      <c r="F1013" s="290" t="s">
        <v>151</v>
      </c>
      <c r="G1013" s="290" t="s">
        <v>188</v>
      </c>
      <c r="H1013" s="291"/>
      <c r="I1013" s="291"/>
      <c r="J1013" s="291"/>
      <c r="K1013" s="291">
        <v>66</v>
      </c>
      <c r="L1013" s="292">
        <v>66</v>
      </c>
      <c r="M1013" s="292">
        <v>0</v>
      </c>
      <c r="N1013" s="292">
        <v>0</v>
      </c>
      <c r="O1013" s="292">
        <v>0</v>
      </c>
      <c r="P1013" s="294"/>
      <c r="Q1013" s="294"/>
      <c r="R1013" s="294"/>
      <c r="S1013" s="294"/>
      <c r="T1013" s="294"/>
      <c r="U1013" s="294"/>
      <c r="V1013" s="431"/>
      <c r="W1013" s="294"/>
      <c r="X1013" s="294"/>
      <c r="Y1013" s="294">
        <f>IF(NFI_Expiration=1,IF($A1013&lt;VLOOKUP(H$5,NFI,5,0),1,0)*Table_NFI[[#This Row],[Hygiene Kit]],Table_NFI[Hygiene Kit])</f>
        <v>0</v>
      </c>
      <c r="Z1013" s="294">
        <f>IF(NFI_Expiration=1,IF($A1013&lt;VLOOKUP(I$5,NFI,5,0),1,0)*Table_NFI[[#This Row],[NFI Core Kit]],Table_NFI[NFI Core Kit])</f>
        <v>0</v>
      </c>
      <c r="AA1013" s="294">
        <f>IF(NFI_Expiration=1,IF($A1013&lt;VLOOKUP(J$5,NFI,5,0),1,0)*Table_NFI[[#This Row],[Sanitary Kit]],Table_NFI[Sanitary Kit])</f>
        <v>0</v>
      </c>
      <c r="AB1013" s="294">
        <f>IF(NFI_Expiration=1,IF($A1013&lt;VLOOKUP(K$5,NFI,5,0),1,0)*Table_NFI[[#This Row],[Mosquito net]],Table_NFI[Mosquito net])</f>
        <v>0</v>
      </c>
      <c r="AC1013" s="294">
        <f>IF(NFI_Expiration=1,IF($A1013&lt;VLOOKUP(L$5,NFI,5,0),1,0)*Table_NFI[[#This Row],[Tarpaulin]],Table_NFI[[#This Row],[Tarpaulin]])</f>
        <v>0</v>
      </c>
      <c r="AD1013" s="294">
        <f>IF(NFI_Expiration=1,IF($A1013&lt;VLOOKUP(M$5,NFI,5,0),1,0)*Table_NFI[[#This Row],[Blanket]],Table_NFI[[#This Row],[Blanket]])</f>
        <v>0</v>
      </c>
      <c r="AE1013" s="294">
        <f>IF(NFI_Expiration=1,IF($A1013&lt;VLOOKUP(N$5,NFI,5,0),1,0)*Table_NFI[[#This Row],[Kitchen Set]],Table_NFI[Kitchen Set])</f>
        <v>0</v>
      </c>
      <c r="AF1013" s="294">
        <f>IF(NFI_Expiration=1,IF($A1013&lt;VLOOKUP(O$5,NFI,5,0),1,0)*Table_NFI[[#This Row],[Clothes Kit]],Table_NFI[Clothes Kit])</f>
        <v>0</v>
      </c>
      <c r="AG1013" s="294">
        <f>IF(NFI_Expiration=1,IF($A1013&lt;VLOOKUP(P$5,NFI,5,0),1,0)*Table_NFI[[#This Row],[Plastic Bucket]],Table_NFI[Plastic Bucket])</f>
        <v>0</v>
      </c>
      <c r="AH1013" s="294">
        <f>IF(NFI_Expiration=1,IF($A1013&lt;VLOOKUP(Q$5,NFI,5,0),1,0)*Table_NFI[[#This Row],[Plastic Mat]],Table_NFI[Plastic Mat])*IF(Table_NFI[[#This Row],[Distribution Date]]&gt;"2014-04-01",1,2.5)</f>
        <v>0</v>
      </c>
      <c r="AI1013" s="294">
        <f>IF(NFI_Expiration=1,IF($A1013&lt;VLOOKUP(R$5,NFI,5,0),1,0)*Table_NFI[[#This Row],[Winter Clothes Adult]],Table_NFI[Winter Clothes Adult])</f>
        <v>0</v>
      </c>
      <c r="AJ1013" s="294">
        <f>IF(NFI_Expiration=1,IF($A1013&lt;VLOOKUP(S$5,NFI,5,0),1,0)*Table_NFI[[#This Row],[Winter Clothes Children]],Table_NFI[Winter Clothes Children])</f>
        <v>0</v>
      </c>
      <c r="AK1013" s="294">
        <f>IF(NFI_Expiration=1,IF($A1013&lt;VLOOKUP(T$5,NFI,5,0),1,0)*Table_NFI[[#This Row],[Winter Items Other]],Table_NFI[Winter Items Other])</f>
        <v>0</v>
      </c>
      <c r="AL1013" s="294">
        <f>IF(NFI_Expiration=1,IF($A1013&lt;VLOOKUP(M$5,NFI,5,0),1,0)*Table_NFI[[#This Row],[Winter Blanket]],Table_NFI[[#This Row],[Winter Blanket]])</f>
        <v>0</v>
      </c>
      <c r="AM1013" s="294">
        <f>IF(Table_NFI[[#This Row],[Winter Clothes Adult]]+Table_NFI[[#This Row],[Winter Clothes Children]]+Table_NFI[[#This Row],[Winter Items Other]]+Table_NFI[[#This Row],[Winter Blanket]]&gt;0,1,0)</f>
        <v>0</v>
      </c>
      <c r="AN1013" s="331">
        <f>IF(NFI_Expiration=1,IF($A1013&lt;VLOOKUP(V$5,NFI,5,0),1,0)*Table_NFI[[#This Row],[Jerry Can]],Table_NFI[Jerry Can])</f>
        <v>0</v>
      </c>
      <c r="AO1013" s="331">
        <f>IF(NFI_Expiration=1,IF($A1013&lt;VLOOKUP(V$5,NFI,5,0),1,0)*Table_NFI[[#This Row],[Shelter Tool kit]],Table_NFI[Shelter Tool kit])</f>
        <v>0</v>
      </c>
      <c r="AP1013" s="331">
        <f>IF(NFI_Expiration=1,IF($A1013&lt;VLOOKUP(V$5,NFI,5,0),1,0)*Table_NFI[[#This Row],[Tent]],Table_NFI[Tent])</f>
        <v>0</v>
      </c>
      <c r="AQ1013" s="467" t="str">
        <f>IFERROR(VLOOKUP(Table_NFI[[#This Row],[Camp Name]],CL,2,0),"")</f>
        <v>MMR001CMP129</v>
      </c>
      <c r="AR1013" s="835">
        <f ca="1">IF(Table_NFI[[#This Row],[Pcode]]="","",IF(OFFSET(CampList[Opening Date],MATCH(Table_NFI[[#This Row],[Pcode]],CampList[CP_Pcode],0)-1,0,1,1)&gt;=NFI_Monitor_Date,1,0))</f>
        <v>0</v>
      </c>
      <c r="AS1013" s="467" t="str">
        <f>IFERROR(VLOOKUP(Table_NFI[[#This Row],[Camp Name]],CL,3,0),"")</f>
        <v>Open</v>
      </c>
      <c r="AT1013" s="294" t="str">
        <f ca="1">IF(Table_NFI[[#This Row],[Pcode]]="","",OFFSET(CampList[Priority],MATCH(Table_NFI[[#This Row],[Pcode]],CampList[CP_Pcode],0)-1,0,1,1))</f>
        <v>P2</v>
      </c>
      <c r="AU1013" s="293">
        <f>IFERROR(Table_NFI[[#This Row],[Kitchen Set]]/VLOOKUP(Table_NFI[[#This Row],[Camp Name]],CL,4,0),"")</f>
        <v>0</v>
      </c>
      <c r="AV1013" s="461" t="s">
        <v>1092</v>
      </c>
      <c r="AW1013" s="463"/>
    </row>
    <row r="1014" spans="1:49" s="98" customFormat="1" ht="14.45" customHeight="1" x14ac:dyDescent="0.25">
      <c r="A1014" s="297">
        <f t="shared" si="15"/>
        <v>57.966666666666669</v>
      </c>
      <c r="B1014" s="460">
        <v>40997</v>
      </c>
      <c r="C1014" s="461" t="s">
        <v>452</v>
      </c>
      <c r="D1014" s="462" t="s">
        <v>452</v>
      </c>
      <c r="E1014" s="461" t="s">
        <v>380</v>
      </c>
      <c r="F1014" s="290" t="s">
        <v>185</v>
      </c>
      <c r="G1014" s="290" t="s">
        <v>219</v>
      </c>
      <c r="H1014" s="291"/>
      <c r="I1014" s="291"/>
      <c r="J1014" s="291"/>
      <c r="K1014" s="291">
        <v>0</v>
      </c>
      <c r="L1014" s="292">
        <v>50</v>
      </c>
      <c r="M1014" s="292">
        <v>0</v>
      </c>
      <c r="N1014" s="292">
        <v>0</v>
      </c>
      <c r="O1014" s="292">
        <v>0</v>
      </c>
      <c r="P1014" s="294"/>
      <c r="Q1014" s="294"/>
      <c r="R1014" s="294"/>
      <c r="S1014" s="294"/>
      <c r="T1014" s="294"/>
      <c r="U1014" s="294"/>
      <c r="V1014" s="431"/>
      <c r="W1014" s="294"/>
      <c r="X1014" s="294"/>
      <c r="Y1014" s="294">
        <f>IF(NFI_Expiration=1,IF($A1014&lt;VLOOKUP(H$5,NFI,5,0),1,0)*Table_NFI[[#This Row],[Hygiene Kit]],Table_NFI[Hygiene Kit])</f>
        <v>0</v>
      </c>
      <c r="Z1014" s="294">
        <f>IF(NFI_Expiration=1,IF($A1014&lt;VLOOKUP(I$5,NFI,5,0),1,0)*Table_NFI[[#This Row],[NFI Core Kit]],Table_NFI[NFI Core Kit])</f>
        <v>0</v>
      </c>
      <c r="AA1014" s="294">
        <f>IF(NFI_Expiration=1,IF($A1014&lt;VLOOKUP(J$5,NFI,5,0),1,0)*Table_NFI[[#This Row],[Sanitary Kit]],Table_NFI[Sanitary Kit])</f>
        <v>0</v>
      </c>
      <c r="AB1014" s="294">
        <f>IF(NFI_Expiration=1,IF($A1014&lt;VLOOKUP(K$5,NFI,5,0),1,0)*Table_NFI[[#This Row],[Mosquito net]],Table_NFI[Mosquito net])</f>
        <v>0</v>
      </c>
      <c r="AC1014" s="294">
        <f>IF(NFI_Expiration=1,IF($A1014&lt;VLOOKUP(L$5,NFI,5,0),1,0)*Table_NFI[[#This Row],[Tarpaulin]],Table_NFI[[#This Row],[Tarpaulin]])</f>
        <v>0</v>
      </c>
      <c r="AD1014" s="294">
        <f>IF(NFI_Expiration=1,IF($A1014&lt;VLOOKUP(M$5,NFI,5,0),1,0)*Table_NFI[[#This Row],[Blanket]],Table_NFI[[#This Row],[Blanket]])</f>
        <v>0</v>
      </c>
      <c r="AE1014" s="294">
        <f>IF(NFI_Expiration=1,IF($A1014&lt;VLOOKUP(N$5,NFI,5,0),1,0)*Table_NFI[[#This Row],[Kitchen Set]],Table_NFI[Kitchen Set])</f>
        <v>0</v>
      </c>
      <c r="AF1014" s="294">
        <f>IF(NFI_Expiration=1,IF($A1014&lt;VLOOKUP(O$5,NFI,5,0),1,0)*Table_NFI[[#This Row],[Clothes Kit]],Table_NFI[Clothes Kit])</f>
        <v>0</v>
      </c>
      <c r="AG1014" s="294">
        <f>IF(NFI_Expiration=1,IF($A1014&lt;VLOOKUP(P$5,NFI,5,0),1,0)*Table_NFI[[#This Row],[Plastic Bucket]],Table_NFI[Plastic Bucket])</f>
        <v>0</v>
      </c>
      <c r="AH1014" s="294">
        <f>IF(NFI_Expiration=1,IF($A1014&lt;VLOOKUP(Q$5,NFI,5,0),1,0)*Table_NFI[[#This Row],[Plastic Mat]],Table_NFI[Plastic Mat])*IF(Table_NFI[[#This Row],[Distribution Date]]&gt;"2014-04-01",1,2.5)</f>
        <v>0</v>
      </c>
      <c r="AI1014" s="294">
        <f>IF(NFI_Expiration=1,IF($A1014&lt;VLOOKUP(R$5,NFI,5,0),1,0)*Table_NFI[[#This Row],[Winter Clothes Adult]],Table_NFI[Winter Clothes Adult])</f>
        <v>0</v>
      </c>
      <c r="AJ1014" s="294">
        <f>IF(NFI_Expiration=1,IF($A1014&lt;VLOOKUP(S$5,NFI,5,0),1,0)*Table_NFI[[#This Row],[Winter Clothes Children]],Table_NFI[Winter Clothes Children])</f>
        <v>0</v>
      </c>
      <c r="AK1014" s="294">
        <f>IF(NFI_Expiration=1,IF($A1014&lt;VLOOKUP(T$5,NFI,5,0),1,0)*Table_NFI[[#This Row],[Winter Items Other]],Table_NFI[Winter Items Other])</f>
        <v>0</v>
      </c>
      <c r="AL1014" s="294">
        <f>IF(NFI_Expiration=1,IF($A1014&lt;VLOOKUP(M$5,NFI,5,0),1,0)*Table_NFI[[#This Row],[Winter Blanket]],Table_NFI[[#This Row],[Winter Blanket]])</f>
        <v>0</v>
      </c>
      <c r="AM1014" s="294">
        <f>IF(Table_NFI[[#This Row],[Winter Clothes Adult]]+Table_NFI[[#This Row],[Winter Clothes Children]]+Table_NFI[[#This Row],[Winter Items Other]]+Table_NFI[[#This Row],[Winter Blanket]]&gt;0,1,0)</f>
        <v>0</v>
      </c>
      <c r="AN1014" s="331">
        <f>IF(NFI_Expiration=1,IF($A1014&lt;VLOOKUP(V$5,NFI,5,0),1,0)*Table_NFI[[#This Row],[Jerry Can]],Table_NFI[Jerry Can])</f>
        <v>0</v>
      </c>
      <c r="AO1014" s="331">
        <f>IF(NFI_Expiration=1,IF($A1014&lt;VLOOKUP(V$5,NFI,5,0),1,0)*Table_NFI[[#This Row],[Shelter Tool kit]],Table_NFI[Shelter Tool kit])</f>
        <v>0</v>
      </c>
      <c r="AP1014" s="331">
        <f>IF(NFI_Expiration=1,IF($A1014&lt;VLOOKUP(V$5,NFI,5,0),1,0)*Table_NFI[[#This Row],[Tent]],Table_NFI[Tent])</f>
        <v>0</v>
      </c>
      <c r="AQ1014" s="467" t="str">
        <f>IFERROR(VLOOKUP(Table_NFI[[#This Row],[Camp Name]],CL,2,0),"")</f>
        <v>MMR001CMP126</v>
      </c>
      <c r="AR1014" s="835">
        <f ca="1">IF(Table_NFI[[#This Row],[Pcode]]="","",IF(OFFSET(CampList[Opening Date],MATCH(Table_NFI[[#This Row],[Pcode]],CampList[CP_Pcode],0)-1,0,1,1)&gt;=NFI_Monitor_Date,1,0))</f>
        <v>0</v>
      </c>
      <c r="AS1014" s="467" t="str">
        <f>IFERROR(VLOOKUP(Table_NFI[[#This Row],[Camp Name]],CL,3,0),"")</f>
        <v>Open</v>
      </c>
      <c r="AT1014" s="294" t="str">
        <f ca="1">IF(Table_NFI[[#This Row],[Pcode]]="","",OFFSET(CampList[Priority],MATCH(Table_NFI[[#This Row],[Pcode]],CampList[CP_Pcode],0)-1,0,1,1))</f>
        <v>P2</v>
      </c>
      <c r="AU1014" s="293">
        <f>IFERROR(Table_NFI[[#This Row],[Kitchen Set]]/VLOOKUP(Table_NFI[[#This Row],[Camp Name]],CL,4,0),"")</f>
        <v>0</v>
      </c>
      <c r="AV1014" s="461" t="s">
        <v>1092</v>
      </c>
      <c r="AW1014" s="463"/>
    </row>
    <row r="1015" spans="1:49" s="98" customFormat="1" ht="14.45" customHeight="1" x14ac:dyDescent="0.25">
      <c r="A1015" s="297">
        <f t="shared" si="15"/>
        <v>57.966666666666669</v>
      </c>
      <c r="B1015" s="460">
        <v>40997</v>
      </c>
      <c r="C1015" s="461" t="s">
        <v>452</v>
      </c>
      <c r="D1015" s="462" t="s">
        <v>452</v>
      </c>
      <c r="E1015" s="461" t="s">
        <v>380</v>
      </c>
      <c r="F1015" s="290" t="s">
        <v>185</v>
      </c>
      <c r="G1015" s="290" t="s">
        <v>225</v>
      </c>
      <c r="H1015" s="291"/>
      <c r="I1015" s="291"/>
      <c r="J1015" s="291"/>
      <c r="K1015" s="291">
        <v>66</v>
      </c>
      <c r="L1015" s="292">
        <v>66</v>
      </c>
      <c r="M1015" s="292">
        <v>0</v>
      </c>
      <c r="N1015" s="292">
        <v>0</v>
      </c>
      <c r="O1015" s="292">
        <v>0</v>
      </c>
      <c r="P1015" s="294"/>
      <c r="Q1015" s="294"/>
      <c r="R1015" s="294"/>
      <c r="S1015" s="294"/>
      <c r="T1015" s="294"/>
      <c r="U1015" s="294"/>
      <c r="V1015" s="431"/>
      <c r="W1015" s="294"/>
      <c r="X1015" s="294"/>
      <c r="Y1015" s="294">
        <f>IF(NFI_Expiration=1,IF($A1015&lt;VLOOKUP(H$5,NFI,5,0),1,0)*Table_NFI[[#This Row],[Hygiene Kit]],Table_NFI[Hygiene Kit])</f>
        <v>0</v>
      </c>
      <c r="Z1015" s="294">
        <f>IF(NFI_Expiration=1,IF($A1015&lt;VLOOKUP(I$5,NFI,5,0),1,0)*Table_NFI[[#This Row],[NFI Core Kit]],Table_NFI[NFI Core Kit])</f>
        <v>0</v>
      </c>
      <c r="AA1015" s="294">
        <f>IF(NFI_Expiration=1,IF($A1015&lt;VLOOKUP(J$5,NFI,5,0),1,0)*Table_NFI[[#This Row],[Sanitary Kit]],Table_NFI[Sanitary Kit])</f>
        <v>0</v>
      </c>
      <c r="AB1015" s="294">
        <f>IF(NFI_Expiration=1,IF($A1015&lt;VLOOKUP(K$5,NFI,5,0),1,0)*Table_NFI[[#This Row],[Mosquito net]],Table_NFI[Mosquito net])</f>
        <v>0</v>
      </c>
      <c r="AC1015" s="294">
        <f>IF(NFI_Expiration=1,IF($A1015&lt;VLOOKUP(L$5,NFI,5,0),1,0)*Table_NFI[[#This Row],[Tarpaulin]],Table_NFI[[#This Row],[Tarpaulin]])</f>
        <v>0</v>
      </c>
      <c r="AD1015" s="294">
        <f>IF(NFI_Expiration=1,IF($A1015&lt;VLOOKUP(M$5,NFI,5,0),1,0)*Table_NFI[[#This Row],[Blanket]],Table_NFI[[#This Row],[Blanket]])</f>
        <v>0</v>
      </c>
      <c r="AE1015" s="294">
        <f>IF(NFI_Expiration=1,IF($A1015&lt;VLOOKUP(N$5,NFI,5,0),1,0)*Table_NFI[[#This Row],[Kitchen Set]],Table_NFI[Kitchen Set])</f>
        <v>0</v>
      </c>
      <c r="AF1015" s="294">
        <f>IF(NFI_Expiration=1,IF($A1015&lt;VLOOKUP(O$5,NFI,5,0),1,0)*Table_NFI[[#This Row],[Clothes Kit]],Table_NFI[Clothes Kit])</f>
        <v>0</v>
      </c>
      <c r="AG1015" s="294">
        <f>IF(NFI_Expiration=1,IF($A1015&lt;VLOOKUP(P$5,NFI,5,0),1,0)*Table_NFI[[#This Row],[Plastic Bucket]],Table_NFI[Plastic Bucket])</f>
        <v>0</v>
      </c>
      <c r="AH1015" s="294">
        <f>IF(NFI_Expiration=1,IF($A1015&lt;VLOOKUP(Q$5,NFI,5,0),1,0)*Table_NFI[[#This Row],[Plastic Mat]],Table_NFI[Plastic Mat])*IF(Table_NFI[[#This Row],[Distribution Date]]&gt;"2014-04-01",1,2.5)</f>
        <v>0</v>
      </c>
      <c r="AI1015" s="294">
        <f>IF(NFI_Expiration=1,IF($A1015&lt;VLOOKUP(R$5,NFI,5,0),1,0)*Table_NFI[[#This Row],[Winter Clothes Adult]],Table_NFI[Winter Clothes Adult])</f>
        <v>0</v>
      </c>
      <c r="AJ1015" s="294">
        <f>IF(NFI_Expiration=1,IF($A1015&lt;VLOOKUP(S$5,NFI,5,0),1,0)*Table_NFI[[#This Row],[Winter Clothes Children]],Table_NFI[Winter Clothes Children])</f>
        <v>0</v>
      </c>
      <c r="AK1015" s="294">
        <f>IF(NFI_Expiration=1,IF($A1015&lt;VLOOKUP(T$5,NFI,5,0),1,0)*Table_NFI[[#This Row],[Winter Items Other]],Table_NFI[Winter Items Other])</f>
        <v>0</v>
      </c>
      <c r="AL1015" s="294">
        <f>IF(NFI_Expiration=1,IF($A1015&lt;VLOOKUP(M$5,NFI,5,0),1,0)*Table_NFI[[#This Row],[Winter Blanket]],Table_NFI[[#This Row],[Winter Blanket]])</f>
        <v>0</v>
      </c>
      <c r="AM1015" s="294">
        <f>IF(Table_NFI[[#This Row],[Winter Clothes Adult]]+Table_NFI[[#This Row],[Winter Clothes Children]]+Table_NFI[[#This Row],[Winter Items Other]]+Table_NFI[[#This Row],[Winter Blanket]]&gt;0,1,0)</f>
        <v>0</v>
      </c>
      <c r="AN1015" s="331">
        <f>IF(NFI_Expiration=1,IF($A1015&lt;VLOOKUP(V$5,NFI,5,0),1,0)*Table_NFI[[#This Row],[Jerry Can]],Table_NFI[Jerry Can])</f>
        <v>0</v>
      </c>
      <c r="AO1015" s="331">
        <f>IF(NFI_Expiration=1,IF($A1015&lt;VLOOKUP(V$5,NFI,5,0),1,0)*Table_NFI[[#This Row],[Shelter Tool kit]],Table_NFI[Shelter Tool kit])</f>
        <v>0</v>
      </c>
      <c r="AP1015" s="331">
        <f>IF(NFI_Expiration=1,IF($A1015&lt;VLOOKUP(V$5,NFI,5,0),1,0)*Table_NFI[[#This Row],[Tent]],Table_NFI[Tent])</f>
        <v>0</v>
      </c>
      <c r="AQ1015" s="467" t="str">
        <f>IFERROR(VLOOKUP(Table_NFI[[#This Row],[Camp Name]],CL,2,0),"")</f>
        <v>MMR001CMP073</v>
      </c>
      <c r="AR1015" s="835">
        <f ca="1">IF(Table_NFI[[#This Row],[Pcode]]="","",IF(OFFSET(CampList[Opening Date],MATCH(Table_NFI[[#This Row],[Pcode]],CampList[CP_Pcode],0)-1,0,1,1)&gt;=NFI_Monitor_Date,1,0))</f>
        <v>0</v>
      </c>
      <c r="AS1015" s="467" t="str">
        <f>IFERROR(VLOOKUP(Table_NFI[[#This Row],[Camp Name]],CL,3,0),"")</f>
        <v>Open</v>
      </c>
      <c r="AT1015" s="294" t="str">
        <f ca="1">IF(Table_NFI[[#This Row],[Pcode]]="","",OFFSET(CampList[Priority],MATCH(Table_NFI[[#This Row],[Pcode]],CampList[CP_Pcode],0)-1,0,1,1))</f>
        <v>P3</v>
      </c>
      <c r="AU1015" s="293">
        <f>IFERROR(Table_NFI[[#This Row],[Kitchen Set]]/VLOOKUP(Table_NFI[[#This Row],[Camp Name]],CL,4,0),"")</f>
        <v>0</v>
      </c>
      <c r="AV1015" s="461" t="s">
        <v>1092</v>
      </c>
      <c r="AW1015" s="463"/>
    </row>
    <row r="1016" spans="1:49" s="464" customFormat="1" ht="14.45" customHeight="1" x14ac:dyDescent="0.25">
      <c r="A1016" s="297">
        <f t="shared" si="15"/>
        <v>58</v>
      </c>
      <c r="B1016" s="460">
        <v>40996</v>
      </c>
      <c r="C1016" s="461" t="s">
        <v>452</v>
      </c>
      <c r="D1016" s="462" t="s">
        <v>452</v>
      </c>
      <c r="E1016" s="461" t="s">
        <v>380</v>
      </c>
      <c r="F1016" s="290" t="s">
        <v>185</v>
      </c>
      <c r="G1016" s="290" t="s">
        <v>913</v>
      </c>
      <c r="H1016" s="291"/>
      <c r="I1016" s="291"/>
      <c r="J1016" s="291"/>
      <c r="K1016" s="291">
        <v>217</v>
      </c>
      <c r="L1016" s="292">
        <v>217</v>
      </c>
      <c r="M1016" s="292">
        <v>0</v>
      </c>
      <c r="N1016" s="292">
        <v>0</v>
      </c>
      <c r="O1016" s="292">
        <v>0</v>
      </c>
      <c r="P1016" s="294"/>
      <c r="Q1016" s="294"/>
      <c r="R1016" s="294"/>
      <c r="S1016" s="294"/>
      <c r="T1016" s="294"/>
      <c r="U1016" s="294"/>
      <c r="V1016" s="431"/>
      <c r="W1016" s="294"/>
      <c r="X1016" s="294"/>
      <c r="Y1016" s="294">
        <f>IF(NFI_Expiration=1,IF($A1016&lt;VLOOKUP(H$5,NFI,5,0),1,0)*Table_NFI[[#This Row],[Hygiene Kit]],Table_NFI[Hygiene Kit])</f>
        <v>0</v>
      </c>
      <c r="Z1016" s="294">
        <f>IF(NFI_Expiration=1,IF($A1016&lt;VLOOKUP(I$5,NFI,5,0),1,0)*Table_NFI[[#This Row],[NFI Core Kit]],Table_NFI[NFI Core Kit])</f>
        <v>0</v>
      </c>
      <c r="AA1016" s="294">
        <f>IF(NFI_Expiration=1,IF($A1016&lt;VLOOKUP(J$5,NFI,5,0),1,0)*Table_NFI[[#This Row],[Sanitary Kit]],Table_NFI[Sanitary Kit])</f>
        <v>0</v>
      </c>
      <c r="AB1016" s="294">
        <f>IF(NFI_Expiration=1,IF($A1016&lt;VLOOKUP(K$5,NFI,5,0),1,0)*Table_NFI[[#This Row],[Mosquito net]],Table_NFI[Mosquito net])</f>
        <v>0</v>
      </c>
      <c r="AC1016" s="294">
        <f>IF(NFI_Expiration=1,IF($A1016&lt;VLOOKUP(L$5,NFI,5,0),1,0)*Table_NFI[[#This Row],[Tarpaulin]],Table_NFI[[#This Row],[Tarpaulin]])</f>
        <v>0</v>
      </c>
      <c r="AD1016" s="294">
        <f>IF(NFI_Expiration=1,IF($A1016&lt;VLOOKUP(M$5,NFI,5,0),1,0)*Table_NFI[[#This Row],[Blanket]],Table_NFI[[#This Row],[Blanket]])</f>
        <v>0</v>
      </c>
      <c r="AE1016" s="294">
        <f>IF(NFI_Expiration=1,IF($A1016&lt;VLOOKUP(N$5,NFI,5,0),1,0)*Table_NFI[[#This Row],[Kitchen Set]],Table_NFI[Kitchen Set])</f>
        <v>0</v>
      </c>
      <c r="AF1016" s="294">
        <f>IF(NFI_Expiration=1,IF($A1016&lt;VLOOKUP(O$5,NFI,5,0),1,0)*Table_NFI[[#This Row],[Clothes Kit]],Table_NFI[Clothes Kit])</f>
        <v>0</v>
      </c>
      <c r="AG1016" s="294">
        <f>IF(NFI_Expiration=1,IF($A1016&lt;VLOOKUP(P$5,NFI,5,0),1,0)*Table_NFI[[#This Row],[Plastic Bucket]],Table_NFI[Plastic Bucket])</f>
        <v>0</v>
      </c>
      <c r="AH1016" s="294">
        <f>IF(NFI_Expiration=1,IF($A1016&lt;VLOOKUP(Q$5,NFI,5,0),1,0)*Table_NFI[[#This Row],[Plastic Mat]],Table_NFI[Plastic Mat])*IF(Table_NFI[[#This Row],[Distribution Date]]&gt;"2014-04-01",1,2.5)</f>
        <v>0</v>
      </c>
      <c r="AI1016" s="294">
        <f>IF(NFI_Expiration=1,IF($A1016&lt;VLOOKUP(R$5,NFI,5,0),1,0)*Table_NFI[[#This Row],[Winter Clothes Adult]],Table_NFI[Winter Clothes Adult])</f>
        <v>0</v>
      </c>
      <c r="AJ1016" s="294">
        <f>IF(NFI_Expiration=1,IF($A1016&lt;VLOOKUP(S$5,NFI,5,0),1,0)*Table_NFI[[#This Row],[Winter Clothes Children]],Table_NFI[Winter Clothes Children])</f>
        <v>0</v>
      </c>
      <c r="AK1016" s="294">
        <f>IF(NFI_Expiration=1,IF($A1016&lt;VLOOKUP(T$5,NFI,5,0),1,0)*Table_NFI[[#This Row],[Winter Items Other]],Table_NFI[Winter Items Other])</f>
        <v>0</v>
      </c>
      <c r="AL1016" s="294">
        <f>IF(NFI_Expiration=1,IF($A1016&lt;VLOOKUP(M$5,NFI,5,0),1,0)*Table_NFI[[#This Row],[Winter Blanket]],Table_NFI[[#This Row],[Winter Blanket]])</f>
        <v>0</v>
      </c>
      <c r="AM1016" s="294">
        <f>IF(Table_NFI[[#This Row],[Winter Clothes Adult]]+Table_NFI[[#This Row],[Winter Clothes Children]]+Table_NFI[[#This Row],[Winter Items Other]]+Table_NFI[[#This Row],[Winter Blanket]]&gt;0,1,0)</f>
        <v>0</v>
      </c>
      <c r="AN1016" s="331">
        <f>IF(NFI_Expiration=1,IF($A1016&lt;VLOOKUP(V$5,NFI,5,0),1,0)*Table_NFI[[#This Row],[Jerry Can]],Table_NFI[Jerry Can])</f>
        <v>0</v>
      </c>
      <c r="AO1016" s="331">
        <f>IF(NFI_Expiration=1,IF($A1016&lt;VLOOKUP(V$5,NFI,5,0),1,0)*Table_NFI[[#This Row],[Shelter Tool kit]],Table_NFI[Shelter Tool kit])</f>
        <v>0</v>
      </c>
      <c r="AP1016" s="331">
        <f>IF(NFI_Expiration=1,IF($A1016&lt;VLOOKUP(V$5,NFI,5,0),1,0)*Table_NFI[[#This Row],[Tent]],Table_NFI[Tent])</f>
        <v>0</v>
      </c>
      <c r="AQ1016" s="467" t="str">
        <f>IFERROR(VLOOKUP(Table_NFI[[#This Row],[Camp Name]],CL,2,0),"")</f>
        <v/>
      </c>
      <c r="AR1016" s="835" t="str">
        <f ca="1">IF(Table_NFI[[#This Row],[Pcode]]="","",IF(OFFSET(CampList[Opening Date],MATCH(Table_NFI[[#This Row],[Pcode]],CampList[CP_Pcode],0)-1,0,1,1)&gt;=NFI_Monitor_Date,1,0))</f>
        <v/>
      </c>
      <c r="AS1016" s="467" t="str">
        <f>IFERROR(VLOOKUP(Table_NFI[[#This Row],[Camp Name]],CL,3,0),"")</f>
        <v/>
      </c>
      <c r="AT1016" s="294" t="str">
        <f ca="1">IF(Table_NFI[[#This Row],[Pcode]]="","",OFFSET(CampList[Priority],MATCH(Table_NFI[[#This Row],[Pcode]],CampList[CP_Pcode],0)-1,0,1,1))</f>
        <v/>
      </c>
      <c r="AU1016" s="293" t="str">
        <f>IFERROR(Table_NFI[[#This Row],[Kitchen Set]]/VLOOKUP(Table_NFI[[#This Row],[Camp Name]],CL,4,0),"")</f>
        <v/>
      </c>
      <c r="AV1016" s="461" t="s">
        <v>1092</v>
      </c>
      <c r="AW1016" s="463"/>
    </row>
    <row r="1017" spans="1:49" s="464" customFormat="1" ht="14.45" customHeight="1" x14ac:dyDescent="0.25">
      <c r="A1017" s="297">
        <f t="shared" si="15"/>
        <v>58.033333333333331</v>
      </c>
      <c r="B1017" s="460">
        <v>40995</v>
      </c>
      <c r="C1017" s="461" t="s">
        <v>452</v>
      </c>
      <c r="D1017" s="462" t="s">
        <v>452</v>
      </c>
      <c r="E1017" s="461" t="s">
        <v>380</v>
      </c>
      <c r="F1017" s="290" t="s">
        <v>5</v>
      </c>
      <c r="G1017" s="290" t="s">
        <v>6</v>
      </c>
      <c r="H1017" s="291"/>
      <c r="I1017" s="291"/>
      <c r="J1017" s="291"/>
      <c r="K1017" s="291">
        <v>560</v>
      </c>
      <c r="L1017" s="292">
        <v>280</v>
      </c>
      <c r="M1017" s="292">
        <v>560</v>
      </c>
      <c r="N1017" s="292">
        <v>280</v>
      </c>
      <c r="O1017" s="292">
        <v>280</v>
      </c>
      <c r="P1017" s="294">
        <v>280</v>
      </c>
      <c r="Q1017" s="294">
        <v>280</v>
      </c>
      <c r="R1017" s="294"/>
      <c r="S1017" s="294"/>
      <c r="T1017" s="294"/>
      <c r="U1017" s="294"/>
      <c r="V1017" s="431"/>
      <c r="W1017" s="294"/>
      <c r="X1017" s="294"/>
      <c r="Y1017" s="294">
        <f>IF(NFI_Expiration=1,IF($A1017&lt;VLOOKUP(H$5,NFI,5,0),1,0)*Table_NFI[[#This Row],[Hygiene Kit]],Table_NFI[Hygiene Kit])</f>
        <v>0</v>
      </c>
      <c r="Z1017" s="294">
        <f>IF(NFI_Expiration=1,IF($A1017&lt;VLOOKUP(I$5,NFI,5,0),1,0)*Table_NFI[[#This Row],[NFI Core Kit]],Table_NFI[NFI Core Kit])</f>
        <v>0</v>
      </c>
      <c r="AA1017" s="294">
        <f>IF(NFI_Expiration=1,IF($A1017&lt;VLOOKUP(J$5,NFI,5,0),1,0)*Table_NFI[[#This Row],[Sanitary Kit]],Table_NFI[Sanitary Kit])</f>
        <v>0</v>
      </c>
      <c r="AB1017" s="294">
        <f>IF(NFI_Expiration=1,IF($A1017&lt;VLOOKUP(K$5,NFI,5,0),1,0)*Table_NFI[[#This Row],[Mosquito net]],Table_NFI[Mosquito net])</f>
        <v>0</v>
      </c>
      <c r="AC1017" s="294">
        <f>IF(NFI_Expiration=1,IF($A1017&lt;VLOOKUP(L$5,NFI,5,0),1,0)*Table_NFI[[#This Row],[Tarpaulin]],Table_NFI[[#This Row],[Tarpaulin]])</f>
        <v>0</v>
      </c>
      <c r="AD1017" s="294">
        <f>IF(NFI_Expiration=1,IF($A1017&lt;VLOOKUP(M$5,NFI,5,0),1,0)*Table_NFI[[#This Row],[Blanket]],Table_NFI[[#This Row],[Blanket]])</f>
        <v>0</v>
      </c>
      <c r="AE1017" s="294">
        <f>IF(NFI_Expiration=1,IF($A1017&lt;VLOOKUP(N$5,NFI,5,0),1,0)*Table_NFI[[#This Row],[Kitchen Set]],Table_NFI[Kitchen Set])</f>
        <v>0</v>
      </c>
      <c r="AF1017" s="294">
        <f>IF(NFI_Expiration=1,IF($A1017&lt;VLOOKUP(O$5,NFI,5,0),1,0)*Table_NFI[[#This Row],[Clothes Kit]],Table_NFI[Clothes Kit])</f>
        <v>0</v>
      </c>
      <c r="AG1017" s="294">
        <f>IF(NFI_Expiration=1,IF($A1017&lt;VLOOKUP(P$5,NFI,5,0),1,0)*Table_NFI[[#This Row],[Plastic Bucket]],Table_NFI[Plastic Bucket])</f>
        <v>0</v>
      </c>
      <c r="AH1017" s="294">
        <f>IF(NFI_Expiration=1,IF($A1017&lt;VLOOKUP(Q$5,NFI,5,0),1,0)*Table_NFI[[#This Row],[Plastic Mat]],Table_NFI[Plastic Mat])*IF(Table_NFI[[#This Row],[Distribution Date]]&gt;"2014-04-01",1,2.5)</f>
        <v>0</v>
      </c>
      <c r="AI1017" s="294">
        <f>IF(NFI_Expiration=1,IF($A1017&lt;VLOOKUP(R$5,NFI,5,0),1,0)*Table_NFI[[#This Row],[Winter Clothes Adult]],Table_NFI[Winter Clothes Adult])</f>
        <v>0</v>
      </c>
      <c r="AJ1017" s="294">
        <f>IF(NFI_Expiration=1,IF($A1017&lt;VLOOKUP(S$5,NFI,5,0),1,0)*Table_NFI[[#This Row],[Winter Clothes Children]],Table_NFI[Winter Clothes Children])</f>
        <v>0</v>
      </c>
      <c r="AK1017" s="294">
        <f>IF(NFI_Expiration=1,IF($A1017&lt;VLOOKUP(T$5,NFI,5,0),1,0)*Table_NFI[[#This Row],[Winter Items Other]],Table_NFI[Winter Items Other])</f>
        <v>0</v>
      </c>
      <c r="AL1017" s="294">
        <f>IF(NFI_Expiration=1,IF($A1017&lt;VLOOKUP(M$5,NFI,5,0),1,0)*Table_NFI[[#This Row],[Winter Blanket]],Table_NFI[[#This Row],[Winter Blanket]])</f>
        <v>0</v>
      </c>
      <c r="AM1017" s="294">
        <f>IF(Table_NFI[[#This Row],[Winter Clothes Adult]]+Table_NFI[[#This Row],[Winter Clothes Children]]+Table_NFI[[#This Row],[Winter Items Other]]+Table_NFI[[#This Row],[Winter Blanket]]&gt;0,1,0)</f>
        <v>0</v>
      </c>
      <c r="AN1017" s="331">
        <f>IF(NFI_Expiration=1,IF($A1017&lt;VLOOKUP(V$5,NFI,5,0),1,0)*Table_NFI[[#This Row],[Jerry Can]],Table_NFI[Jerry Can])</f>
        <v>0</v>
      </c>
      <c r="AO1017" s="331">
        <f>IF(NFI_Expiration=1,IF($A1017&lt;VLOOKUP(V$5,NFI,5,0),1,0)*Table_NFI[[#This Row],[Shelter Tool kit]],Table_NFI[Shelter Tool kit])</f>
        <v>0</v>
      </c>
      <c r="AP1017" s="331">
        <f>IF(NFI_Expiration=1,IF($A1017&lt;VLOOKUP(V$5,NFI,5,0),1,0)*Table_NFI[[#This Row],[Tent]],Table_NFI[Tent])</f>
        <v>0</v>
      </c>
      <c r="AQ1017" s="467" t="str">
        <f>IFERROR(VLOOKUP(Table_NFI[[#This Row],[Camp Name]],CL,2,0),"")</f>
        <v>MMR001CMP050</v>
      </c>
      <c r="AR1017" s="835">
        <f ca="1">IF(Table_NFI[[#This Row],[Pcode]]="","",IF(OFFSET(CampList[Opening Date],MATCH(Table_NFI[[#This Row],[Pcode]],CampList[CP_Pcode],0)-1,0,1,1)&gt;=NFI_Monitor_Date,1,0))</f>
        <v>0</v>
      </c>
      <c r="AS1017" s="467" t="str">
        <f>IFERROR(VLOOKUP(Table_NFI[[#This Row],[Camp Name]],CL,3,0),"")</f>
        <v>Open</v>
      </c>
      <c r="AT1017" s="294" t="str">
        <f ca="1">IF(Table_NFI[[#This Row],[Pcode]]="","",OFFSET(CampList[Priority],MATCH(Table_NFI[[#This Row],[Pcode]],CampList[CP_Pcode],0)-1,0,1,1))</f>
        <v>P4</v>
      </c>
      <c r="AU1017" s="293">
        <f>IFERROR(Table_NFI[[#This Row],[Kitchen Set]]/VLOOKUP(Table_NFI[[#This Row],[Camp Name]],CL,4,0),"")</f>
        <v>6.8546807677242463E-3</v>
      </c>
      <c r="AV1017" s="461" t="s">
        <v>1092</v>
      </c>
      <c r="AW1017" s="463"/>
    </row>
    <row r="1018" spans="1:49" s="464" customFormat="1" ht="14.45" customHeight="1" x14ac:dyDescent="0.25">
      <c r="A1018" s="297">
        <f t="shared" si="15"/>
        <v>58.033333333333331</v>
      </c>
      <c r="B1018" s="460">
        <v>40995</v>
      </c>
      <c r="C1018" s="461" t="s">
        <v>452</v>
      </c>
      <c r="D1018" s="462" t="s">
        <v>452</v>
      </c>
      <c r="E1018" s="461" t="s">
        <v>380</v>
      </c>
      <c r="F1018" s="290" t="s">
        <v>310</v>
      </c>
      <c r="G1018" s="290" t="s">
        <v>334</v>
      </c>
      <c r="H1018" s="291"/>
      <c r="I1018" s="291"/>
      <c r="J1018" s="291"/>
      <c r="K1018" s="291">
        <v>460</v>
      </c>
      <c r="L1018" s="292">
        <v>228</v>
      </c>
      <c r="M1018" s="292">
        <v>460</v>
      </c>
      <c r="N1018" s="292">
        <v>228</v>
      </c>
      <c r="O1018" s="292">
        <v>228</v>
      </c>
      <c r="P1018" s="294">
        <v>228</v>
      </c>
      <c r="Q1018" s="294">
        <v>228</v>
      </c>
      <c r="R1018" s="294"/>
      <c r="S1018" s="294"/>
      <c r="T1018" s="294"/>
      <c r="U1018" s="294"/>
      <c r="V1018" s="431"/>
      <c r="W1018" s="294"/>
      <c r="X1018" s="294"/>
      <c r="Y1018" s="294">
        <f>IF(NFI_Expiration=1,IF($A1018&lt;VLOOKUP(H$5,NFI,5,0),1,0)*Table_NFI[[#This Row],[Hygiene Kit]],Table_NFI[Hygiene Kit])</f>
        <v>0</v>
      </c>
      <c r="Z1018" s="294">
        <f>IF(NFI_Expiration=1,IF($A1018&lt;VLOOKUP(I$5,NFI,5,0),1,0)*Table_NFI[[#This Row],[NFI Core Kit]],Table_NFI[NFI Core Kit])</f>
        <v>0</v>
      </c>
      <c r="AA1018" s="294">
        <f>IF(NFI_Expiration=1,IF($A1018&lt;VLOOKUP(J$5,NFI,5,0),1,0)*Table_NFI[[#This Row],[Sanitary Kit]],Table_NFI[Sanitary Kit])</f>
        <v>0</v>
      </c>
      <c r="AB1018" s="294">
        <f>IF(NFI_Expiration=1,IF($A1018&lt;VLOOKUP(K$5,NFI,5,0),1,0)*Table_NFI[[#This Row],[Mosquito net]],Table_NFI[Mosquito net])</f>
        <v>0</v>
      </c>
      <c r="AC1018" s="294">
        <f>IF(NFI_Expiration=1,IF($A1018&lt;VLOOKUP(L$5,NFI,5,0),1,0)*Table_NFI[[#This Row],[Tarpaulin]],Table_NFI[[#This Row],[Tarpaulin]])</f>
        <v>0</v>
      </c>
      <c r="AD1018" s="294">
        <f>IF(NFI_Expiration=1,IF($A1018&lt;VLOOKUP(M$5,NFI,5,0),1,0)*Table_NFI[[#This Row],[Blanket]],Table_NFI[[#This Row],[Blanket]])</f>
        <v>0</v>
      </c>
      <c r="AE1018" s="294">
        <f>IF(NFI_Expiration=1,IF($A1018&lt;VLOOKUP(N$5,NFI,5,0),1,0)*Table_NFI[[#This Row],[Kitchen Set]],Table_NFI[Kitchen Set])</f>
        <v>0</v>
      </c>
      <c r="AF1018" s="294">
        <f>IF(NFI_Expiration=1,IF($A1018&lt;VLOOKUP(O$5,NFI,5,0),1,0)*Table_NFI[[#This Row],[Clothes Kit]],Table_NFI[Clothes Kit])</f>
        <v>0</v>
      </c>
      <c r="AG1018" s="294">
        <f>IF(NFI_Expiration=1,IF($A1018&lt;VLOOKUP(P$5,NFI,5,0),1,0)*Table_NFI[[#This Row],[Plastic Bucket]],Table_NFI[Plastic Bucket])</f>
        <v>0</v>
      </c>
      <c r="AH1018" s="294">
        <f>IF(NFI_Expiration=1,IF($A1018&lt;VLOOKUP(Q$5,NFI,5,0),1,0)*Table_NFI[[#This Row],[Plastic Mat]],Table_NFI[Plastic Mat])*IF(Table_NFI[[#This Row],[Distribution Date]]&gt;"2014-04-01",1,2.5)</f>
        <v>0</v>
      </c>
      <c r="AI1018" s="294">
        <f>IF(NFI_Expiration=1,IF($A1018&lt;VLOOKUP(R$5,NFI,5,0),1,0)*Table_NFI[[#This Row],[Winter Clothes Adult]],Table_NFI[Winter Clothes Adult])</f>
        <v>0</v>
      </c>
      <c r="AJ1018" s="294">
        <f>IF(NFI_Expiration=1,IF($A1018&lt;VLOOKUP(S$5,NFI,5,0),1,0)*Table_NFI[[#This Row],[Winter Clothes Children]],Table_NFI[Winter Clothes Children])</f>
        <v>0</v>
      </c>
      <c r="AK1018" s="294">
        <f>IF(NFI_Expiration=1,IF($A1018&lt;VLOOKUP(T$5,NFI,5,0),1,0)*Table_NFI[[#This Row],[Winter Items Other]],Table_NFI[Winter Items Other])</f>
        <v>0</v>
      </c>
      <c r="AL1018" s="294">
        <f>IF(NFI_Expiration=1,IF($A1018&lt;VLOOKUP(M$5,NFI,5,0),1,0)*Table_NFI[[#This Row],[Winter Blanket]],Table_NFI[[#This Row],[Winter Blanket]])</f>
        <v>0</v>
      </c>
      <c r="AM1018" s="294">
        <f>IF(Table_NFI[[#This Row],[Winter Clothes Adult]]+Table_NFI[[#This Row],[Winter Clothes Children]]+Table_NFI[[#This Row],[Winter Items Other]]+Table_NFI[[#This Row],[Winter Blanket]]&gt;0,1,0)</f>
        <v>0</v>
      </c>
      <c r="AN1018" s="331">
        <f>IF(NFI_Expiration=1,IF($A1018&lt;VLOOKUP(V$5,NFI,5,0),1,0)*Table_NFI[[#This Row],[Jerry Can]],Table_NFI[Jerry Can])</f>
        <v>0</v>
      </c>
      <c r="AO1018" s="331">
        <f>IF(NFI_Expiration=1,IF($A1018&lt;VLOOKUP(V$5,NFI,5,0),1,0)*Table_NFI[[#This Row],[Shelter Tool kit]],Table_NFI[Shelter Tool kit])</f>
        <v>0</v>
      </c>
      <c r="AP1018" s="331">
        <f>IF(NFI_Expiration=1,IF($A1018&lt;VLOOKUP(V$5,NFI,5,0),1,0)*Table_NFI[[#This Row],[Tent]],Table_NFI[Tent])</f>
        <v>0</v>
      </c>
      <c r="AQ1018" s="467" t="str">
        <f>IFERROR(VLOOKUP(Table_NFI[[#This Row],[Camp Name]],CL,2,0),"")</f>
        <v>MMR001CMP113</v>
      </c>
      <c r="AR1018" s="835">
        <f ca="1">IF(Table_NFI[[#This Row],[Pcode]]="","",IF(OFFSET(CampList[Opening Date],MATCH(Table_NFI[[#This Row],[Pcode]],CampList[CP_Pcode],0)-1,0,1,1)&gt;=NFI_Monitor_Date,1,0))</f>
        <v>0</v>
      </c>
      <c r="AS1018" s="467" t="str">
        <f>IFERROR(VLOOKUP(Table_NFI[[#This Row],[Camp Name]],CL,3,0),"")</f>
        <v>Open</v>
      </c>
      <c r="AT1018" s="294" t="str">
        <f ca="1">IF(Table_NFI[[#This Row],[Pcode]]="","",OFFSET(CampList[Priority],MATCH(Table_NFI[[#This Row],[Pcode]],CampList[CP_Pcode],0)-1,0,1,1))</f>
        <v>P1</v>
      </c>
      <c r="AU1018" s="293">
        <f>IFERROR(Table_NFI[[#This Row],[Kitchen Set]]/VLOOKUP(Table_NFI[[#This Row],[Camp Name]],CL,4,0),"")</f>
        <v>5.5816686251468862E-3</v>
      </c>
      <c r="AV1018" s="461" t="s">
        <v>1092</v>
      </c>
      <c r="AW1018" s="463"/>
    </row>
    <row r="1019" spans="1:49" s="464" customFormat="1" ht="14.45" customHeight="1" x14ac:dyDescent="0.25">
      <c r="A1019" s="297">
        <f t="shared" si="15"/>
        <v>58.033333333333331</v>
      </c>
      <c r="B1019" s="460">
        <v>40995</v>
      </c>
      <c r="C1019" s="461" t="s">
        <v>452</v>
      </c>
      <c r="D1019" s="461" t="s">
        <v>452</v>
      </c>
      <c r="E1019" s="461" t="s">
        <v>380</v>
      </c>
      <c r="F1019" s="290" t="s">
        <v>310</v>
      </c>
      <c r="G1019" s="290" t="s">
        <v>355</v>
      </c>
      <c r="H1019" s="291"/>
      <c r="I1019" s="291"/>
      <c r="J1019" s="291"/>
      <c r="K1019" s="291">
        <v>0</v>
      </c>
      <c r="L1019" s="292">
        <v>40</v>
      </c>
      <c r="M1019" s="292">
        <v>0</v>
      </c>
      <c r="N1019" s="292">
        <v>0</v>
      </c>
      <c r="O1019" s="292">
        <v>0</v>
      </c>
      <c r="P1019" s="294"/>
      <c r="Q1019" s="294"/>
      <c r="R1019" s="294"/>
      <c r="S1019" s="294"/>
      <c r="T1019" s="294"/>
      <c r="U1019" s="294"/>
      <c r="V1019" s="431"/>
      <c r="W1019" s="294"/>
      <c r="X1019" s="294"/>
      <c r="Y1019" s="294">
        <f>IF(NFI_Expiration=1,IF($A1019&lt;VLOOKUP(H$5,NFI,5,0),1,0)*Table_NFI[[#This Row],[Hygiene Kit]],Table_NFI[Hygiene Kit])</f>
        <v>0</v>
      </c>
      <c r="Z1019" s="294">
        <f>IF(NFI_Expiration=1,IF($A1019&lt;VLOOKUP(I$5,NFI,5,0),1,0)*Table_NFI[[#This Row],[NFI Core Kit]],Table_NFI[NFI Core Kit])</f>
        <v>0</v>
      </c>
      <c r="AA1019" s="294">
        <f>IF(NFI_Expiration=1,IF($A1019&lt;VLOOKUP(J$5,NFI,5,0),1,0)*Table_NFI[[#This Row],[Sanitary Kit]],Table_NFI[Sanitary Kit])</f>
        <v>0</v>
      </c>
      <c r="AB1019" s="294">
        <f>IF(NFI_Expiration=1,IF($A1019&lt;VLOOKUP(K$5,NFI,5,0),1,0)*Table_NFI[[#This Row],[Mosquito net]],Table_NFI[Mosquito net])</f>
        <v>0</v>
      </c>
      <c r="AC1019" s="294">
        <f>IF(NFI_Expiration=1,IF($A1019&lt;VLOOKUP(L$5,NFI,5,0),1,0)*Table_NFI[[#This Row],[Tarpaulin]],Table_NFI[[#This Row],[Tarpaulin]])</f>
        <v>0</v>
      </c>
      <c r="AD1019" s="294">
        <f>IF(NFI_Expiration=1,IF($A1019&lt;VLOOKUP(M$5,NFI,5,0),1,0)*Table_NFI[[#This Row],[Blanket]],Table_NFI[[#This Row],[Blanket]])</f>
        <v>0</v>
      </c>
      <c r="AE1019" s="294">
        <f>IF(NFI_Expiration=1,IF($A1019&lt;VLOOKUP(N$5,NFI,5,0),1,0)*Table_NFI[[#This Row],[Kitchen Set]],Table_NFI[Kitchen Set])</f>
        <v>0</v>
      </c>
      <c r="AF1019" s="294">
        <f>IF(NFI_Expiration=1,IF($A1019&lt;VLOOKUP(O$5,NFI,5,0),1,0)*Table_NFI[[#This Row],[Clothes Kit]],Table_NFI[Clothes Kit])</f>
        <v>0</v>
      </c>
      <c r="AG1019" s="294">
        <f>IF(NFI_Expiration=1,IF($A1019&lt;VLOOKUP(P$5,NFI,5,0),1,0)*Table_NFI[[#This Row],[Plastic Bucket]],Table_NFI[Plastic Bucket])</f>
        <v>0</v>
      </c>
      <c r="AH1019" s="294">
        <f>IF(NFI_Expiration=1,IF($A1019&lt;VLOOKUP(Q$5,NFI,5,0),1,0)*Table_NFI[[#This Row],[Plastic Mat]],Table_NFI[Plastic Mat])*IF(Table_NFI[[#This Row],[Distribution Date]]&gt;"2014-04-01",1,2.5)</f>
        <v>0</v>
      </c>
      <c r="AI1019" s="294">
        <f>IF(NFI_Expiration=1,IF($A1019&lt;VLOOKUP(R$5,NFI,5,0),1,0)*Table_NFI[[#This Row],[Winter Clothes Adult]],Table_NFI[Winter Clothes Adult])</f>
        <v>0</v>
      </c>
      <c r="AJ1019" s="294">
        <f>IF(NFI_Expiration=1,IF($A1019&lt;VLOOKUP(S$5,NFI,5,0),1,0)*Table_NFI[[#This Row],[Winter Clothes Children]],Table_NFI[Winter Clothes Children])</f>
        <v>0</v>
      </c>
      <c r="AK1019" s="294">
        <f>IF(NFI_Expiration=1,IF($A1019&lt;VLOOKUP(T$5,NFI,5,0),1,0)*Table_NFI[[#This Row],[Winter Items Other]],Table_NFI[Winter Items Other])</f>
        <v>0</v>
      </c>
      <c r="AL1019" s="294">
        <f>IF(NFI_Expiration=1,IF($A1019&lt;VLOOKUP(M$5,NFI,5,0),1,0)*Table_NFI[[#This Row],[Winter Blanket]],Table_NFI[[#This Row],[Winter Blanket]])</f>
        <v>0</v>
      </c>
      <c r="AM1019" s="294">
        <f>IF(Table_NFI[[#This Row],[Winter Clothes Adult]]+Table_NFI[[#This Row],[Winter Clothes Children]]+Table_NFI[[#This Row],[Winter Items Other]]+Table_NFI[[#This Row],[Winter Blanket]]&gt;0,1,0)</f>
        <v>0</v>
      </c>
      <c r="AN1019" s="331">
        <f>IF(NFI_Expiration=1,IF($A1019&lt;VLOOKUP(V$5,NFI,5,0),1,0)*Table_NFI[[#This Row],[Jerry Can]],Table_NFI[Jerry Can])</f>
        <v>0</v>
      </c>
      <c r="AO1019" s="331">
        <f>IF(NFI_Expiration=1,IF($A1019&lt;VLOOKUP(V$5,NFI,5,0),1,0)*Table_NFI[[#This Row],[Shelter Tool kit]],Table_NFI[Shelter Tool kit])</f>
        <v>0</v>
      </c>
      <c r="AP1019" s="331">
        <f>IF(NFI_Expiration=1,IF($A1019&lt;VLOOKUP(V$5,NFI,5,0),1,0)*Table_NFI[[#This Row],[Tent]],Table_NFI[Tent])</f>
        <v>0</v>
      </c>
      <c r="AQ1019" s="467" t="str">
        <f>IFERROR(VLOOKUP(Table_NFI[[#This Row],[Camp Name]],CL,2,0),"")</f>
        <v>MMR001CMP160</v>
      </c>
      <c r="AR1019" s="835">
        <f ca="1">IF(Table_NFI[[#This Row],[Pcode]]="","",IF(OFFSET(CampList[Opening Date],MATCH(Table_NFI[[#This Row],[Pcode]],CampList[CP_Pcode],0)-1,0,1,1)&gt;=NFI_Monitor_Date,1,0))</f>
        <v>0</v>
      </c>
      <c r="AS1019" s="467" t="str">
        <f>IFERROR(VLOOKUP(Table_NFI[[#This Row],[Camp Name]],CL,3,0),"")</f>
        <v>Open</v>
      </c>
      <c r="AT1019" s="294" t="str">
        <f ca="1">IF(Table_NFI[[#This Row],[Pcode]]="","",OFFSET(CampList[Priority],MATCH(Table_NFI[[#This Row],[Pcode]],CampList[CP_Pcode],0)-1,0,1,1))</f>
        <v>P1</v>
      </c>
      <c r="AU1019" s="293">
        <f>IFERROR(Table_NFI[[#This Row],[Kitchen Set]]/VLOOKUP(Table_NFI[[#This Row],[Camp Name]],CL,4,0),"")</f>
        <v>0</v>
      </c>
      <c r="AV1019" s="461" t="s">
        <v>1092</v>
      </c>
      <c r="AW1019" s="463"/>
    </row>
    <row r="1020" spans="1:49" s="464" customFormat="1" ht="15" customHeight="1" x14ac:dyDescent="0.25">
      <c r="A1020" s="297">
        <f t="shared" si="15"/>
        <v>58.033333333333331</v>
      </c>
      <c r="B1020" s="460">
        <v>40995</v>
      </c>
      <c r="C1020" s="461" t="s">
        <v>452</v>
      </c>
      <c r="D1020" s="462" t="s">
        <v>452</v>
      </c>
      <c r="E1020" s="461" t="s">
        <v>380</v>
      </c>
      <c r="F1020" s="290" t="s">
        <v>5</v>
      </c>
      <c r="G1020" s="290" t="s">
        <v>22</v>
      </c>
      <c r="H1020" s="291"/>
      <c r="I1020" s="291"/>
      <c r="J1020" s="291"/>
      <c r="K1020" s="291">
        <v>1000</v>
      </c>
      <c r="L1020" s="292">
        <v>500</v>
      </c>
      <c r="M1020" s="292">
        <v>1000</v>
      </c>
      <c r="N1020" s="292">
        <v>500</v>
      </c>
      <c r="O1020" s="292">
        <v>500</v>
      </c>
      <c r="P1020" s="294">
        <v>500</v>
      </c>
      <c r="Q1020" s="294">
        <v>500</v>
      </c>
      <c r="R1020" s="294"/>
      <c r="S1020" s="294"/>
      <c r="T1020" s="294"/>
      <c r="U1020" s="294"/>
      <c r="V1020" s="431"/>
      <c r="W1020" s="294"/>
      <c r="X1020" s="294"/>
      <c r="Y1020" s="294">
        <f>IF(NFI_Expiration=1,IF($A1020&lt;VLOOKUP(H$5,NFI,5,0),1,0)*Table_NFI[[#This Row],[Hygiene Kit]],Table_NFI[Hygiene Kit])</f>
        <v>0</v>
      </c>
      <c r="Z1020" s="294">
        <f>IF(NFI_Expiration=1,IF($A1020&lt;VLOOKUP(I$5,NFI,5,0),1,0)*Table_NFI[[#This Row],[NFI Core Kit]],Table_NFI[NFI Core Kit])</f>
        <v>0</v>
      </c>
      <c r="AA1020" s="294">
        <f>IF(NFI_Expiration=1,IF($A1020&lt;VLOOKUP(J$5,NFI,5,0),1,0)*Table_NFI[[#This Row],[Sanitary Kit]],Table_NFI[Sanitary Kit])</f>
        <v>0</v>
      </c>
      <c r="AB1020" s="294">
        <f>IF(NFI_Expiration=1,IF($A1020&lt;VLOOKUP(K$5,NFI,5,0),1,0)*Table_NFI[[#This Row],[Mosquito net]],Table_NFI[Mosquito net])</f>
        <v>0</v>
      </c>
      <c r="AC1020" s="294">
        <f>IF(NFI_Expiration=1,IF($A1020&lt;VLOOKUP(L$5,NFI,5,0),1,0)*Table_NFI[[#This Row],[Tarpaulin]],Table_NFI[[#This Row],[Tarpaulin]])</f>
        <v>0</v>
      </c>
      <c r="AD1020" s="294">
        <f>IF(NFI_Expiration=1,IF($A1020&lt;VLOOKUP(M$5,NFI,5,0),1,0)*Table_NFI[[#This Row],[Blanket]],Table_NFI[[#This Row],[Blanket]])</f>
        <v>0</v>
      </c>
      <c r="AE1020" s="294">
        <f>IF(NFI_Expiration=1,IF($A1020&lt;VLOOKUP(N$5,NFI,5,0),1,0)*Table_NFI[[#This Row],[Kitchen Set]],Table_NFI[Kitchen Set])</f>
        <v>0</v>
      </c>
      <c r="AF1020" s="294">
        <f>IF(NFI_Expiration=1,IF($A1020&lt;VLOOKUP(O$5,NFI,5,0),1,0)*Table_NFI[[#This Row],[Clothes Kit]],Table_NFI[Clothes Kit])</f>
        <v>0</v>
      </c>
      <c r="AG1020" s="294">
        <f>IF(NFI_Expiration=1,IF($A1020&lt;VLOOKUP(P$5,NFI,5,0),1,0)*Table_NFI[[#This Row],[Plastic Bucket]],Table_NFI[Plastic Bucket])</f>
        <v>0</v>
      </c>
      <c r="AH1020" s="294">
        <f>IF(NFI_Expiration=1,IF($A1020&lt;VLOOKUP(Q$5,NFI,5,0),1,0)*Table_NFI[[#This Row],[Plastic Mat]],Table_NFI[Plastic Mat])*IF(Table_NFI[[#This Row],[Distribution Date]]&gt;"2014-04-01",1,2.5)</f>
        <v>0</v>
      </c>
      <c r="AI1020" s="294">
        <f>IF(NFI_Expiration=1,IF($A1020&lt;VLOOKUP(R$5,NFI,5,0),1,0)*Table_NFI[[#This Row],[Winter Clothes Adult]],Table_NFI[Winter Clothes Adult])</f>
        <v>0</v>
      </c>
      <c r="AJ1020" s="294">
        <f>IF(NFI_Expiration=1,IF($A1020&lt;VLOOKUP(S$5,NFI,5,0),1,0)*Table_NFI[[#This Row],[Winter Clothes Children]],Table_NFI[Winter Clothes Children])</f>
        <v>0</v>
      </c>
      <c r="AK1020" s="294">
        <f>IF(NFI_Expiration=1,IF($A1020&lt;VLOOKUP(T$5,NFI,5,0),1,0)*Table_NFI[[#This Row],[Winter Items Other]],Table_NFI[Winter Items Other])</f>
        <v>0</v>
      </c>
      <c r="AL1020" s="294">
        <f>IF(NFI_Expiration=1,IF($A1020&lt;VLOOKUP(M$5,NFI,5,0),1,0)*Table_NFI[[#This Row],[Winter Blanket]],Table_NFI[[#This Row],[Winter Blanket]])</f>
        <v>0</v>
      </c>
      <c r="AM1020" s="294">
        <f>IF(Table_NFI[[#This Row],[Winter Clothes Adult]]+Table_NFI[[#This Row],[Winter Clothes Children]]+Table_NFI[[#This Row],[Winter Items Other]]+Table_NFI[[#This Row],[Winter Blanket]]&gt;0,1,0)</f>
        <v>0</v>
      </c>
      <c r="AN1020" s="331">
        <f>IF(NFI_Expiration=1,IF($A1020&lt;VLOOKUP(V$5,NFI,5,0),1,0)*Table_NFI[[#This Row],[Jerry Can]],Table_NFI[Jerry Can])</f>
        <v>0</v>
      </c>
      <c r="AO1020" s="331">
        <f>IF(NFI_Expiration=1,IF($A1020&lt;VLOOKUP(V$5,NFI,5,0),1,0)*Table_NFI[[#This Row],[Shelter Tool kit]],Table_NFI[Shelter Tool kit])</f>
        <v>0</v>
      </c>
      <c r="AP1020" s="331">
        <f>IF(NFI_Expiration=1,IF($A1020&lt;VLOOKUP(V$5,NFI,5,0),1,0)*Table_NFI[[#This Row],[Tent]],Table_NFI[Tent])</f>
        <v>0</v>
      </c>
      <c r="AQ1020" s="467" t="str">
        <f>IFERROR(VLOOKUP(Table_NFI[[#This Row],[Camp Name]],CL,2,0),"")</f>
        <v>MMR001CMP047</v>
      </c>
      <c r="AR1020" s="835">
        <f ca="1">IF(Table_NFI[[#This Row],[Pcode]]="","",IF(OFFSET(CampList[Opening Date],MATCH(Table_NFI[[#This Row],[Pcode]],CampList[CP_Pcode],0)-1,0,1,1)&gt;=NFI_Monitor_Date,1,0))</f>
        <v>0</v>
      </c>
      <c r="AS1020" s="467" t="str">
        <f>IFERROR(VLOOKUP(Table_NFI[[#This Row],[Camp Name]],CL,3,0),"")</f>
        <v>Open</v>
      </c>
      <c r="AT1020" s="294" t="str">
        <f ca="1">IF(Table_NFI[[#This Row],[Pcode]]="","",OFFSET(CampList[Priority],MATCH(Table_NFI[[#This Row],[Pcode]],CampList[CP_Pcode],0)-1,0,1,1))</f>
        <v>P4</v>
      </c>
      <c r="AU1020" s="293">
        <f>IFERROR(Table_NFI[[#This Row],[Kitchen Set]]/VLOOKUP(Table_NFI[[#This Row],[Camp Name]],CL,4,0),"")</f>
        <v>1.2277470841006752E-2</v>
      </c>
      <c r="AV1020" s="461" t="s">
        <v>1092</v>
      </c>
      <c r="AW1020" s="463"/>
    </row>
    <row r="1021" spans="1:49" s="464" customFormat="1" ht="14.45" customHeight="1" x14ac:dyDescent="0.25">
      <c r="A1021" s="297">
        <f t="shared" si="15"/>
        <v>58.033333333333331</v>
      </c>
      <c r="B1021" s="460">
        <v>40995</v>
      </c>
      <c r="C1021" s="461" t="s">
        <v>452</v>
      </c>
      <c r="D1021" s="462" t="s">
        <v>452</v>
      </c>
      <c r="E1021" s="461" t="s">
        <v>380</v>
      </c>
      <c r="F1021" s="290" t="s">
        <v>185</v>
      </c>
      <c r="G1021" s="290" t="s">
        <v>912</v>
      </c>
      <c r="H1021" s="291"/>
      <c r="I1021" s="291"/>
      <c r="J1021" s="291"/>
      <c r="K1021" s="291">
        <v>52</v>
      </c>
      <c r="L1021" s="292">
        <v>52</v>
      </c>
      <c r="M1021" s="292">
        <v>0</v>
      </c>
      <c r="N1021" s="292">
        <v>0</v>
      </c>
      <c r="O1021" s="292">
        <v>0</v>
      </c>
      <c r="P1021" s="294"/>
      <c r="Q1021" s="294"/>
      <c r="R1021" s="294"/>
      <c r="S1021" s="294"/>
      <c r="T1021" s="294"/>
      <c r="U1021" s="294"/>
      <c r="V1021" s="431"/>
      <c r="W1021" s="294"/>
      <c r="X1021" s="294"/>
      <c r="Y1021" s="294">
        <f>IF(NFI_Expiration=1,IF($A1021&lt;VLOOKUP(H$5,NFI,5,0),1,0)*Table_NFI[[#This Row],[Hygiene Kit]],Table_NFI[Hygiene Kit])</f>
        <v>0</v>
      </c>
      <c r="Z1021" s="294">
        <f>IF(NFI_Expiration=1,IF($A1021&lt;VLOOKUP(I$5,NFI,5,0),1,0)*Table_NFI[[#This Row],[NFI Core Kit]],Table_NFI[NFI Core Kit])</f>
        <v>0</v>
      </c>
      <c r="AA1021" s="294">
        <f>IF(NFI_Expiration=1,IF($A1021&lt;VLOOKUP(J$5,NFI,5,0),1,0)*Table_NFI[[#This Row],[Sanitary Kit]],Table_NFI[Sanitary Kit])</f>
        <v>0</v>
      </c>
      <c r="AB1021" s="294">
        <f>IF(NFI_Expiration=1,IF($A1021&lt;VLOOKUP(K$5,NFI,5,0),1,0)*Table_NFI[[#This Row],[Mosquito net]],Table_NFI[Mosquito net])</f>
        <v>0</v>
      </c>
      <c r="AC1021" s="294">
        <f>IF(NFI_Expiration=1,IF($A1021&lt;VLOOKUP(L$5,NFI,5,0),1,0)*Table_NFI[[#This Row],[Tarpaulin]],Table_NFI[[#This Row],[Tarpaulin]])</f>
        <v>0</v>
      </c>
      <c r="AD1021" s="294">
        <f>IF(NFI_Expiration=1,IF($A1021&lt;VLOOKUP(M$5,NFI,5,0),1,0)*Table_NFI[[#This Row],[Blanket]],Table_NFI[[#This Row],[Blanket]])</f>
        <v>0</v>
      </c>
      <c r="AE1021" s="294">
        <f>IF(NFI_Expiration=1,IF($A1021&lt;VLOOKUP(N$5,NFI,5,0),1,0)*Table_NFI[[#This Row],[Kitchen Set]],Table_NFI[Kitchen Set])</f>
        <v>0</v>
      </c>
      <c r="AF1021" s="294">
        <f>IF(NFI_Expiration=1,IF($A1021&lt;VLOOKUP(O$5,NFI,5,0),1,0)*Table_NFI[[#This Row],[Clothes Kit]],Table_NFI[Clothes Kit])</f>
        <v>0</v>
      </c>
      <c r="AG1021" s="294">
        <f>IF(NFI_Expiration=1,IF($A1021&lt;VLOOKUP(P$5,NFI,5,0),1,0)*Table_NFI[[#This Row],[Plastic Bucket]],Table_NFI[Plastic Bucket])</f>
        <v>0</v>
      </c>
      <c r="AH1021" s="294">
        <f>IF(NFI_Expiration=1,IF($A1021&lt;VLOOKUP(Q$5,NFI,5,0),1,0)*Table_NFI[[#This Row],[Plastic Mat]],Table_NFI[Plastic Mat])*IF(Table_NFI[[#This Row],[Distribution Date]]&gt;"2014-04-01",1,2.5)</f>
        <v>0</v>
      </c>
      <c r="AI1021" s="294">
        <f>IF(NFI_Expiration=1,IF($A1021&lt;VLOOKUP(R$5,NFI,5,0),1,0)*Table_NFI[[#This Row],[Winter Clothes Adult]],Table_NFI[Winter Clothes Adult])</f>
        <v>0</v>
      </c>
      <c r="AJ1021" s="294">
        <f>IF(NFI_Expiration=1,IF($A1021&lt;VLOOKUP(S$5,NFI,5,0),1,0)*Table_NFI[[#This Row],[Winter Clothes Children]],Table_NFI[Winter Clothes Children])</f>
        <v>0</v>
      </c>
      <c r="AK1021" s="294">
        <f>IF(NFI_Expiration=1,IF($A1021&lt;VLOOKUP(T$5,NFI,5,0),1,0)*Table_NFI[[#This Row],[Winter Items Other]],Table_NFI[Winter Items Other])</f>
        <v>0</v>
      </c>
      <c r="AL1021" s="294">
        <f>IF(NFI_Expiration=1,IF($A1021&lt;VLOOKUP(M$5,NFI,5,0),1,0)*Table_NFI[[#This Row],[Winter Blanket]],Table_NFI[[#This Row],[Winter Blanket]])</f>
        <v>0</v>
      </c>
      <c r="AM1021" s="294">
        <f>IF(Table_NFI[[#This Row],[Winter Clothes Adult]]+Table_NFI[[#This Row],[Winter Clothes Children]]+Table_NFI[[#This Row],[Winter Items Other]]+Table_NFI[[#This Row],[Winter Blanket]]&gt;0,1,0)</f>
        <v>0</v>
      </c>
      <c r="AN1021" s="331">
        <f>IF(NFI_Expiration=1,IF($A1021&lt;VLOOKUP(V$5,NFI,5,0),1,0)*Table_NFI[[#This Row],[Jerry Can]],Table_NFI[Jerry Can])</f>
        <v>0</v>
      </c>
      <c r="AO1021" s="331">
        <f>IF(NFI_Expiration=1,IF($A1021&lt;VLOOKUP(V$5,NFI,5,0),1,0)*Table_NFI[[#This Row],[Shelter Tool kit]],Table_NFI[Shelter Tool kit])</f>
        <v>0</v>
      </c>
      <c r="AP1021" s="331">
        <f>IF(NFI_Expiration=1,IF($A1021&lt;VLOOKUP(V$5,NFI,5,0),1,0)*Table_NFI[[#This Row],[Tent]],Table_NFI[Tent])</f>
        <v>0</v>
      </c>
      <c r="AQ1021" s="467" t="str">
        <f>IFERROR(VLOOKUP(Table_NFI[[#This Row],[Camp Name]],CL,2,0),"")</f>
        <v/>
      </c>
      <c r="AR1021" s="835" t="str">
        <f ca="1">IF(Table_NFI[[#This Row],[Pcode]]="","",IF(OFFSET(CampList[Opening Date],MATCH(Table_NFI[[#This Row],[Pcode]],CampList[CP_Pcode],0)-1,0,1,1)&gt;=NFI_Monitor_Date,1,0))</f>
        <v/>
      </c>
      <c r="AS1021" s="467" t="str">
        <f>IFERROR(VLOOKUP(Table_NFI[[#This Row],[Camp Name]],CL,3,0),"")</f>
        <v/>
      </c>
      <c r="AT1021" s="294" t="str">
        <f ca="1">IF(Table_NFI[[#This Row],[Pcode]]="","",OFFSET(CampList[Priority],MATCH(Table_NFI[[#This Row],[Pcode]],CampList[CP_Pcode],0)-1,0,1,1))</f>
        <v/>
      </c>
      <c r="AU1021" s="293" t="str">
        <f>IFERROR(Table_NFI[[#This Row],[Kitchen Set]]/VLOOKUP(Table_NFI[[#This Row],[Camp Name]],CL,4,0),"")</f>
        <v/>
      </c>
      <c r="AV1021" s="461" t="s">
        <v>1092</v>
      </c>
      <c r="AW1021" s="463"/>
    </row>
    <row r="1022" spans="1:49" s="464" customFormat="1" ht="14.45" customHeight="1" x14ac:dyDescent="0.25">
      <c r="A1022" s="297">
        <f t="shared" si="15"/>
        <v>58.06666666666667</v>
      </c>
      <c r="B1022" s="460">
        <v>40994</v>
      </c>
      <c r="C1022" s="461" t="s">
        <v>452</v>
      </c>
      <c r="D1022" s="461" t="s">
        <v>452</v>
      </c>
      <c r="E1022" s="461" t="s">
        <v>380</v>
      </c>
      <c r="F1022" s="290" t="s">
        <v>310</v>
      </c>
      <c r="G1022" s="290" t="s">
        <v>334</v>
      </c>
      <c r="H1022" s="291"/>
      <c r="I1022" s="291"/>
      <c r="J1022" s="291"/>
      <c r="K1022" s="291">
        <v>460</v>
      </c>
      <c r="L1022" s="292">
        <v>250</v>
      </c>
      <c r="M1022" s="292">
        <v>460</v>
      </c>
      <c r="N1022" s="292">
        <v>230</v>
      </c>
      <c r="O1022" s="292">
        <v>0</v>
      </c>
      <c r="P1022" s="294"/>
      <c r="Q1022" s="294"/>
      <c r="R1022" s="294"/>
      <c r="S1022" s="294"/>
      <c r="T1022" s="294"/>
      <c r="U1022" s="294"/>
      <c r="V1022" s="431"/>
      <c r="W1022" s="294"/>
      <c r="X1022" s="294"/>
      <c r="Y1022" s="294">
        <f>IF(NFI_Expiration=1,IF($A1022&lt;VLOOKUP(H$5,NFI,5,0),1,0)*Table_NFI[[#This Row],[Hygiene Kit]],Table_NFI[Hygiene Kit])</f>
        <v>0</v>
      </c>
      <c r="Z1022" s="294">
        <f>IF(NFI_Expiration=1,IF($A1022&lt;VLOOKUP(I$5,NFI,5,0),1,0)*Table_NFI[[#This Row],[NFI Core Kit]],Table_NFI[NFI Core Kit])</f>
        <v>0</v>
      </c>
      <c r="AA1022" s="294">
        <f>IF(NFI_Expiration=1,IF($A1022&lt;VLOOKUP(J$5,NFI,5,0),1,0)*Table_NFI[[#This Row],[Sanitary Kit]],Table_NFI[Sanitary Kit])</f>
        <v>0</v>
      </c>
      <c r="AB1022" s="294">
        <f>IF(NFI_Expiration=1,IF($A1022&lt;VLOOKUP(K$5,NFI,5,0),1,0)*Table_NFI[[#This Row],[Mosquito net]],Table_NFI[Mosquito net])</f>
        <v>0</v>
      </c>
      <c r="AC1022" s="294">
        <f>IF(NFI_Expiration=1,IF($A1022&lt;VLOOKUP(L$5,NFI,5,0),1,0)*Table_NFI[[#This Row],[Tarpaulin]],Table_NFI[[#This Row],[Tarpaulin]])</f>
        <v>0</v>
      </c>
      <c r="AD1022" s="294">
        <f>IF(NFI_Expiration=1,IF($A1022&lt;VLOOKUP(M$5,NFI,5,0),1,0)*Table_NFI[[#This Row],[Blanket]],Table_NFI[[#This Row],[Blanket]])</f>
        <v>0</v>
      </c>
      <c r="AE1022" s="294">
        <f>IF(NFI_Expiration=1,IF($A1022&lt;VLOOKUP(N$5,NFI,5,0),1,0)*Table_NFI[[#This Row],[Kitchen Set]],Table_NFI[Kitchen Set])</f>
        <v>0</v>
      </c>
      <c r="AF1022" s="294">
        <f>IF(NFI_Expiration=1,IF($A1022&lt;VLOOKUP(O$5,NFI,5,0),1,0)*Table_NFI[[#This Row],[Clothes Kit]],Table_NFI[Clothes Kit])</f>
        <v>0</v>
      </c>
      <c r="AG1022" s="294">
        <f>IF(NFI_Expiration=1,IF($A1022&lt;VLOOKUP(P$5,NFI,5,0),1,0)*Table_NFI[[#This Row],[Plastic Bucket]],Table_NFI[Plastic Bucket])</f>
        <v>0</v>
      </c>
      <c r="AH1022" s="294">
        <f>IF(NFI_Expiration=1,IF($A1022&lt;VLOOKUP(Q$5,NFI,5,0),1,0)*Table_NFI[[#This Row],[Plastic Mat]],Table_NFI[Plastic Mat])*IF(Table_NFI[[#This Row],[Distribution Date]]&gt;"2014-04-01",1,2.5)</f>
        <v>0</v>
      </c>
      <c r="AI1022" s="294">
        <f>IF(NFI_Expiration=1,IF($A1022&lt;VLOOKUP(R$5,NFI,5,0),1,0)*Table_NFI[[#This Row],[Winter Clothes Adult]],Table_NFI[Winter Clothes Adult])</f>
        <v>0</v>
      </c>
      <c r="AJ1022" s="294">
        <f>IF(NFI_Expiration=1,IF($A1022&lt;VLOOKUP(S$5,NFI,5,0),1,0)*Table_NFI[[#This Row],[Winter Clothes Children]],Table_NFI[Winter Clothes Children])</f>
        <v>0</v>
      </c>
      <c r="AK1022" s="294">
        <f>IF(NFI_Expiration=1,IF($A1022&lt;VLOOKUP(T$5,NFI,5,0),1,0)*Table_NFI[[#This Row],[Winter Items Other]],Table_NFI[Winter Items Other])</f>
        <v>0</v>
      </c>
      <c r="AL1022" s="294">
        <f>IF(NFI_Expiration=1,IF($A1022&lt;VLOOKUP(M$5,NFI,5,0),1,0)*Table_NFI[[#This Row],[Winter Blanket]],Table_NFI[[#This Row],[Winter Blanket]])</f>
        <v>0</v>
      </c>
      <c r="AM1022" s="294">
        <f>IF(Table_NFI[[#This Row],[Winter Clothes Adult]]+Table_NFI[[#This Row],[Winter Clothes Children]]+Table_NFI[[#This Row],[Winter Items Other]]+Table_NFI[[#This Row],[Winter Blanket]]&gt;0,1,0)</f>
        <v>0</v>
      </c>
      <c r="AN1022" s="331">
        <f>IF(NFI_Expiration=1,IF($A1022&lt;VLOOKUP(V$5,NFI,5,0),1,0)*Table_NFI[[#This Row],[Jerry Can]],Table_NFI[Jerry Can])</f>
        <v>0</v>
      </c>
      <c r="AO1022" s="331">
        <f>IF(NFI_Expiration=1,IF($A1022&lt;VLOOKUP(V$5,NFI,5,0),1,0)*Table_NFI[[#This Row],[Shelter Tool kit]],Table_NFI[Shelter Tool kit])</f>
        <v>0</v>
      </c>
      <c r="AP1022" s="331">
        <f>IF(NFI_Expiration=1,IF($A1022&lt;VLOOKUP(V$5,NFI,5,0),1,0)*Table_NFI[[#This Row],[Tent]],Table_NFI[Tent])</f>
        <v>0</v>
      </c>
      <c r="AQ1022" s="467" t="str">
        <f>IFERROR(VLOOKUP(Table_NFI[[#This Row],[Camp Name]],CL,2,0),"")</f>
        <v>MMR001CMP113</v>
      </c>
      <c r="AR1022" s="835">
        <f ca="1">IF(Table_NFI[[#This Row],[Pcode]]="","",IF(OFFSET(CampList[Opening Date],MATCH(Table_NFI[[#This Row],[Pcode]],CampList[CP_Pcode],0)-1,0,1,1)&gt;=NFI_Monitor_Date,1,0))</f>
        <v>0</v>
      </c>
      <c r="AS1022" s="467" t="str">
        <f>IFERROR(VLOOKUP(Table_NFI[[#This Row],[Camp Name]],CL,3,0),"")</f>
        <v>Open</v>
      </c>
      <c r="AT1022" s="294" t="str">
        <f ca="1">IF(Table_NFI[[#This Row],[Pcode]]="","",OFFSET(CampList[Priority],MATCH(Table_NFI[[#This Row],[Pcode]],CampList[CP_Pcode],0)-1,0,1,1))</f>
        <v>P1</v>
      </c>
      <c r="AU1022" s="293">
        <f>IFERROR(Table_NFI[[#This Row],[Kitchen Set]]/VLOOKUP(Table_NFI[[#This Row],[Camp Name]],CL,4,0),"")</f>
        <v>5.6306306306306304E-3</v>
      </c>
      <c r="AV1022" s="461" t="s">
        <v>1092</v>
      </c>
      <c r="AW1022" s="463"/>
    </row>
    <row r="1023" spans="1:49" s="464" customFormat="1" ht="14.45" customHeight="1" x14ac:dyDescent="0.25">
      <c r="A1023" s="297">
        <f t="shared" si="15"/>
        <v>58.06666666666667</v>
      </c>
      <c r="B1023" s="460">
        <v>40994</v>
      </c>
      <c r="C1023" s="461" t="s">
        <v>452</v>
      </c>
      <c r="D1023" s="462" t="s">
        <v>452</v>
      </c>
      <c r="E1023" s="461" t="s">
        <v>380</v>
      </c>
      <c r="F1023" s="290" t="s">
        <v>185</v>
      </c>
      <c r="G1023" s="290" t="s">
        <v>211</v>
      </c>
      <c r="H1023" s="291"/>
      <c r="I1023" s="291"/>
      <c r="J1023" s="291"/>
      <c r="K1023" s="291">
        <v>49</v>
      </c>
      <c r="L1023" s="292">
        <v>49</v>
      </c>
      <c r="M1023" s="292">
        <v>0</v>
      </c>
      <c r="N1023" s="292">
        <v>0</v>
      </c>
      <c r="O1023" s="292">
        <v>49</v>
      </c>
      <c r="P1023" s="294">
        <v>49</v>
      </c>
      <c r="Q1023" s="294">
        <v>49</v>
      </c>
      <c r="R1023" s="294"/>
      <c r="S1023" s="294"/>
      <c r="T1023" s="294"/>
      <c r="U1023" s="294"/>
      <c r="V1023" s="431"/>
      <c r="W1023" s="294"/>
      <c r="X1023" s="294"/>
      <c r="Y1023" s="294">
        <f>IF(NFI_Expiration=1,IF($A1023&lt;VLOOKUP(H$5,NFI,5,0),1,0)*Table_NFI[[#This Row],[Hygiene Kit]],Table_NFI[Hygiene Kit])</f>
        <v>0</v>
      </c>
      <c r="Z1023" s="294">
        <f>IF(NFI_Expiration=1,IF($A1023&lt;VLOOKUP(I$5,NFI,5,0),1,0)*Table_NFI[[#This Row],[NFI Core Kit]],Table_NFI[NFI Core Kit])</f>
        <v>0</v>
      </c>
      <c r="AA1023" s="294">
        <f>IF(NFI_Expiration=1,IF($A1023&lt;VLOOKUP(J$5,NFI,5,0),1,0)*Table_NFI[[#This Row],[Sanitary Kit]],Table_NFI[Sanitary Kit])</f>
        <v>0</v>
      </c>
      <c r="AB1023" s="294">
        <f>IF(NFI_Expiration=1,IF($A1023&lt;VLOOKUP(K$5,NFI,5,0),1,0)*Table_NFI[[#This Row],[Mosquito net]],Table_NFI[Mosquito net])</f>
        <v>0</v>
      </c>
      <c r="AC1023" s="294">
        <f>IF(NFI_Expiration=1,IF($A1023&lt;VLOOKUP(L$5,NFI,5,0),1,0)*Table_NFI[[#This Row],[Tarpaulin]],Table_NFI[[#This Row],[Tarpaulin]])</f>
        <v>0</v>
      </c>
      <c r="AD1023" s="294">
        <f>IF(NFI_Expiration=1,IF($A1023&lt;VLOOKUP(M$5,NFI,5,0),1,0)*Table_NFI[[#This Row],[Blanket]],Table_NFI[[#This Row],[Blanket]])</f>
        <v>0</v>
      </c>
      <c r="AE1023" s="294">
        <f>IF(NFI_Expiration=1,IF($A1023&lt;VLOOKUP(N$5,NFI,5,0),1,0)*Table_NFI[[#This Row],[Kitchen Set]],Table_NFI[Kitchen Set])</f>
        <v>0</v>
      </c>
      <c r="AF1023" s="294">
        <f>IF(NFI_Expiration=1,IF($A1023&lt;VLOOKUP(O$5,NFI,5,0),1,0)*Table_NFI[[#This Row],[Clothes Kit]],Table_NFI[Clothes Kit])</f>
        <v>0</v>
      </c>
      <c r="AG1023" s="294">
        <f>IF(NFI_Expiration=1,IF($A1023&lt;VLOOKUP(P$5,NFI,5,0),1,0)*Table_NFI[[#This Row],[Plastic Bucket]],Table_NFI[Plastic Bucket])</f>
        <v>0</v>
      </c>
      <c r="AH1023" s="294">
        <f>IF(NFI_Expiration=1,IF($A1023&lt;VLOOKUP(Q$5,NFI,5,0),1,0)*Table_NFI[[#This Row],[Plastic Mat]],Table_NFI[Plastic Mat])*IF(Table_NFI[[#This Row],[Distribution Date]]&gt;"2014-04-01",1,2.5)</f>
        <v>0</v>
      </c>
      <c r="AI1023" s="294">
        <f>IF(NFI_Expiration=1,IF($A1023&lt;VLOOKUP(R$5,NFI,5,0),1,0)*Table_NFI[[#This Row],[Winter Clothes Adult]],Table_NFI[Winter Clothes Adult])</f>
        <v>0</v>
      </c>
      <c r="AJ1023" s="294">
        <f>IF(NFI_Expiration=1,IF($A1023&lt;VLOOKUP(S$5,NFI,5,0),1,0)*Table_NFI[[#This Row],[Winter Clothes Children]],Table_NFI[Winter Clothes Children])</f>
        <v>0</v>
      </c>
      <c r="AK1023" s="294">
        <f>IF(NFI_Expiration=1,IF($A1023&lt;VLOOKUP(T$5,NFI,5,0),1,0)*Table_NFI[[#This Row],[Winter Items Other]],Table_NFI[Winter Items Other])</f>
        <v>0</v>
      </c>
      <c r="AL1023" s="294">
        <f>IF(NFI_Expiration=1,IF($A1023&lt;VLOOKUP(M$5,NFI,5,0),1,0)*Table_NFI[[#This Row],[Winter Blanket]],Table_NFI[[#This Row],[Winter Blanket]])</f>
        <v>0</v>
      </c>
      <c r="AM1023" s="294">
        <f>IF(Table_NFI[[#This Row],[Winter Clothes Adult]]+Table_NFI[[#This Row],[Winter Clothes Children]]+Table_NFI[[#This Row],[Winter Items Other]]+Table_NFI[[#This Row],[Winter Blanket]]&gt;0,1,0)</f>
        <v>0</v>
      </c>
      <c r="AN1023" s="331">
        <f>IF(NFI_Expiration=1,IF($A1023&lt;VLOOKUP(V$5,NFI,5,0),1,0)*Table_NFI[[#This Row],[Jerry Can]],Table_NFI[Jerry Can])</f>
        <v>0</v>
      </c>
      <c r="AO1023" s="331">
        <f>IF(NFI_Expiration=1,IF($A1023&lt;VLOOKUP(V$5,NFI,5,0),1,0)*Table_NFI[[#This Row],[Shelter Tool kit]],Table_NFI[Shelter Tool kit])</f>
        <v>0</v>
      </c>
      <c r="AP1023" s="331">
        <f>IF(NFI_Expiration=1,IF($A1023&lt;VLOOKUP(V$5,NFI,5,0),1,0)*Table_NFI[[#This Row],[Tent]],Table_NFI[Tent])</f>
        <v>0</v>
      </c>
      <c r="AQ1023" s="467" t="str">
        <f>IFERROR(VLOOKUP(Table_NFI[[#This Row],[Camp Name]],CL,2,0),"")</f>
        <v>MMR001CMP057</v>
      </c>
      <c r="AR1023" s="835">
        <f ca="1">IF(Table_NFI[[#This Row],[Pcode]]="","",IF(OFFSET(CampList[Opening Date],MATCH(Table_NFI[[#This Row],[Pcode]],CampList[CP_Pcode],0)-1,0,1,1)&gt;=NFI_Monitor_Date,1,0))</f>
        <v>0</v>
      </c>
      <c r="AS1023" s="467" t="str">
        <f>IFERROR(VLOOKUP(Table_NFI[[#This Row],[Camp Name]],CL,3,0),"")</f>
        <v>Closed</v>
      </c>
      <c r="AT1023" s="294" t="str">
        <f ca="1">IF(Table_NFI[[#This Row],[Pcode]]="","",OFFSET(CampList[Priority],MATCH(Table_NFI[[#This Row],[Pcode]],CampList[CP_Pcode],0)-1,0,1,1))</f>
        <v>P4</v>
      </c>
      <c r="AU1023" s="293">
        <f>IFERROR(Table_NFI[[#This Row],[Kitchen Set]]/VLOOKUP(Table_NFI[[#This Row],[Camp Name]],CL,4,0),"")</f>
        <v>0</v>
      </c>
      <c r="AV1023" s="461" t="s">
        <v>1092</v>
      </c>
      <c r="AW1023" s="463"/>
    </row>
    <row r="1024" spans="1:49" s="464" customFormat="1" ht="14.45" customHeight="1" x14ac:dyDescent="0.25">
      <c r="A1024" s="297">
        <f t="shared" si="15"/>
        <v>58.333333333333336</v>
      </c>
      <c r="B1024" s="460">
        <v>40986</v>
      </c>
      <c r="C1024" s="461" t="s">
        <v>905</v>
      </c>
      <c r="D1024" s="461" t="s">
        <v>905</v>
      </c>
      <c r="E1024" s="461" t="s">
        <v>380</v>
      </c>
      <c r="F1024" s="290" t="s">
        <v>185</v>
      </c>
      <c r="G1024" s="290" t="s">
        <v>521</v>
      </c>
      <c r="H1024" s="294">
        <v>850</v>
      </c>
      <c r="I1024" s="291"/>
      <c r="J1024" s="291"/>
      <c r="K1024" s="291"/>
      <c r="L1024" s="292"/>
      <c r="M1024" s="292"/>
      <c r="N1024" s="292"/>
      <c r="O1024" s="292"/>
      <c r="P1024" s="294"/>
      <c r="Q1024" s="294"/>
      <c r="R1024" s="294"/>
      <c r="S1024" s="294"/>
      <c r="T1024" s="294"/>
      <c r="U1024" s="294"/>
      <c r="V1024" s="431"/>
      <c r="W1024" s="294"/>
      <c r="X1024" s="294"/>
      <c r="Y1024" s="294">
        <f>IF(NFI_Expiration=1,IF($A1024&lt;VLOOKUP(H$5,NFI,5,0),1,0)*Table_NFI[[#This Row],[Hygiene Kit]],Table_NFI[Hygiene Kit])</f>
        <v>0</v>
      </c>
      <c r="Z1024" s="294">
        <f>IF(NFI_Expiration=1,IF($A1024&lt;VLOOKUP(I$5,NFI,5,0),1,0)*Table_NFI[[#This Row],[NFI Core Kit]],Table_NFI[NFI Core Kit])</f>
        <v>0</v>
      </c>
      <c r="AA1024" s="294">
        <f>IF(NFI_Expiration=1,IF($A1024&lt;VLOOKUP(J$5,NFI,5,0),1,0)*Table_NFI[[#This Row],[Sanitary Kit]],Table_NFI[Sanitary Kit])</f>
        <v>0</v>
      </c>
      <c r="AB1024" s="294">
        <f>IF(NFI_Expiration=1,IF($A1024&lt;VLOOKUP(K$5,NFI,5,0),1,0)*Table_NFI[[#This Row],[Mosquito net]],Table_NFI[Mosquito net])</f>
        <v>0</v>
      </c>
      <c r="AC1024" s="294">
        <f>IF(NFI_Expiration=1,IF($A1024&lt;VLOOKUP(L$5,NFI,5,0),1,0)*Table_NFI[[#This Row],[Tarpaulin]],Table_NFI[[#This Row],[Tarpaulin]])</f>
        <v>0</v>
      </c>
      <c r="AD1024" s="294">
        <f>IF(NFI_Expiration=1,IF($A1024&lt;VLOOKUP(M$5,NFI,5,0),1,0)*Table_NFI[[#This Row],[Blanket]],Table_NFI[[#This Row],[Blanket]])</f>
        <v>0</v>
      </c>
      <c r="AE1024" s="294">
        <f>IF(NFI_Expiration=1,IF($A1024&lt;VLOOKUP(N$5,NFI,5,0),1,0)*Table_NFI[[#This Row],[Kitchen Set]],Table_NFI[Kitchen Set])</f>
        <v>0</v>
      </c>
      <c r="AF1024" s="294">
        <f>IF(NFI_Expiration=1,IF($A1024&lt;VLOOKUP(O$5,NFI,5,0),1,0)*Table_NFI[[#This Row],[Clothes Kit]],Table_NFI[Clothes Kit])</f>
        <v>0</v>
      </c>
      <c r="AG1024" s="294">
        <f>IF(NFI_Expiration=1,IF($A1024&lt;VLOOKUP(P$5,NFI,5,0),1,0)*Table_NFI[[#This Row],[Plastic Bucket]],Table_NFI[Plastic Bucket])</f>
        <v>0</v>
      </c>
      <c r="AH1024" s="294">
        <f>IF(NFI_Expiration=1,IF($A1024&lt;VLOOKUP(Q$5,NFI,5,0),1,0)*Table_NFI[[#This Row],[Plastic Mat]],Table_NFI[Plastic Mat])*IF(Table_NFI[[#This Row],[Distribution Date]]&gt;"2014-04-01",1,2.5)</f>
        <v>0</v>
      </c>
      <c r="AI1024" s="294">
        <f>IF(NFI_Expiration=1,IF($A1024&lt;VLOOKUP(R$5,NFI,5,0),1,0)*Table_NFI[[#This Row],[Winter Clothes Adult]],Table_NFI[Winter Clothes Adult])</f>
        <v>0</v>
      </c>
      <c r="AJ1024" s="294">
        <f>IF(NFI_Expiration=1,IF($A1024&lt;VLOOKUP(S$5,NFI,5,0),1,0)*Table_NFI[[#This Row],[Winter Clothes Children]],Table_NFI[Winter Clothes Children])</f>
        <v>0</v>
      </c>
      <c r="AK1024" s="294">
        <f>IF(NFI_Expiration=1,IF($A1024&lt;VLOOKUP(T$5,NFI,5,0),1,0)*Table_NFI[[#This Row],[Winter Items Other]],Table_NFI[Winter Items Other])</f>
        <v>0</v>
      </c>
      <c r="AL1024" s="294">
        <f>IF(NFI_Expiration=1,IF($A1024&lt;VLOOKUP(M$5,NFI,5,0),1,0)*Table_NFI[[#This Row],[Winter Blanket]],Table_NFI[[#This Row],[Winter Blanket]])</f>
        <v>0</v>
      </c>
      <c r="AM1024" s="294">
        <f>IF(Table_NFI[[#This Row],[Winter Clothes Adult]]+Table_NFI[[#This Row],[Winter Clothes Children]]+Table_NFI[[#This Row],[Winter Items Other]]+Table_NFI[[#This Row],[Winter Blanket]]&gt;0,1,0)</f>
        <v>0</v>
      </c>
      <c r="AN1024" s="331">
        <f>IF(NFI_Expiration=1,IF($A1024&lt;VLOOKUP(V$5,NFI,5,0),1,0)*Table_NFI[[#This Row],[Jerry Can]],Table_NFI[Jerry Can])</f>
        <v>0</v>
      </c>
      <c r="AO1024" s="331">
        <f>IF(NFI_Expiration=1,IF($A1024&lt;VLOOKUP(V$5,NFI,5,0),1,0)*Table_NFI[[#This Row],[Shelter Tool kit]],Table_NFI[Shelter Tool kit])</f>
        <v>0</v>
      </c>
      <c r="AP1024" s="331">
        <f>IF(NFI_Expiration=1,IF($A1024&lt;VLOOKUP(V$5,NFI,5,0),1,0)*Table_NFI[[#This Row],[Tent]],Table_NFI[Tent])</f>
        <v>0</v>
      </c>
      <c r="AQ1024" s="467" t="str">
        <f>IFERROR(VLOOKUP(Table_NFI[[#This Row],[Camp Name]],CL,2,0),"")</f>
        <v>MMR001CMP200</v>
      </c>
      <c r="AR1024" s="835">
        <f ca="1">IF(Table_NFI[[#This Row],[Pcode]]="","",IF(OFFSET(CampList[Opening Date],MATCH(Table_NFI[[#This Row],[Pcode]],CampList[CP_Pcode],0)-1,0,1,1)&gt;=NFI_Monitor_Date,1,0))</f>
        <v>0</v>
      </c>
      <c r="AS1024" s="467" t="str">
        <f>IFERROR(VLOOKUP(Table_NFI[[#This Row],[Camp Name]],CL,3,0),"")</f>
        <v>Open</v>
      </c>
      <c r="AT1024" s="294" t="str">
        <f ca="1">IF(Table_NFI[[#This Row],[Pcode]]="","",OFFSET(CampList[Priority],MATCH(Table_NFI[[#This Row],[Pcode]],CampList[CP_Pcode],0)-1,0,1,1))</f>
        <v>P4</v>
      </c>
      <c r="AU1024" s="293" t="str">
        <f>IFERROR(Table_NFI[[#This Row],[Kitchen Set]]/VLOOKUP(Table_NFI[[#This Row],[Camp Name]],CL,4,0),"")</f>
        <v/>
      </c>
      <c r="AV1024" s="461"/>
      <c r="AW1024" s="463"/>
    </row>
    <row r="1025" spans="1:49" s="464" customFormat="1" ht="14.45" customHeight="1" x14ac:dyDescent="0.25">
      <c r="A1025" s="297">
        <f t="shared" si="15"/>
        <v>58.4</v>
      </c>
      <c r="B1025" s="460">
        <v>40984</v>
      </c>
      <c r="C1025" s="461" t="s">
        <v>905</v>
      </c>
      <c r="D1025" s="461" t="s">
        <v>1002</v>
      </c>
      <c r="E1025" s="461" t="s">
        <v>380</v>
      </c>
      <c r="F1025" s="290" t="s">
        <v>302</v>
      </c>
      <c r="G1025" s="290" t="s">
        <v>306</v>
      </c>
      <c r="H1025" s="294">
        <v>94</v>
      </c>
      <c r="I1025" s="291"/>
      <c r="J1025" s="291"/>
      <c r="K1025" s="291"/>
      <c r="L1025" s="292"/>
      <c r="M1025" s="292"/>
      <c r="N1025" s="292"/>
      <c r="O1025" s="292"/>
      <c r="P1025" s="294"/>
      <c r="Q1025" s="294"/>
      <c r="R1025" s="294"/>
      <c r="S1025" s="294"/>
      <c r="T1025" s="294"/>
      <c r="U1025" s="294"/>
      <c r="V1025" s="431"/>
      <c r="W1025" s="294"/>
      <c r="X1025" s="294"/>
      <c r="Y1025" s="294">
        <f>IF(NFI_Expiration=1,IF($A1025&lt;VLOOKUP(H$5,NFI,5,0),1,0)*Table_NFI[[#This Row],[Hygiene Kit]],Table_NFI[Hygiene Kit])</f>
        <v>0</v>
      </c>
      <c r="Z1025" s="294">
        <f>IF(NFI_Expiration=1,IF($A1025&lt;VLOOKUP(I$5,NFI,5,0),1,0)*Table_NFI[[#This Row],[NFI Core Kit]],Table_NFI[NFI Core Kit])</f>
        <v>0</v>
      </c>
      <c r="AA1025" s="294">
        <f>IF(NFI_Expiration=1,IF($A1025&lt;VLOOKUP(J$5,NFI,5,0),1,0)*Table_NFI[[#This Row],[Sanitary Kit]],Table_NFI[Sanitary Kit])</f>
        <v>0</v>
      </c>
      <c r="AB1025" s="294">
        <f>IF(NFI_Expiration=1,IF($A1025&lt;VLOOKUP(K$5,NFI,5,0),1,0)*Table_NFI[[#This Row],[Mosquito net]],Table_NFI[Mosquito net])</f>
        <v>0</v>
      </c>
      <c r="AC1025" s="294">
        <f>IF(NFI_Expiration=1,IF($A1025&lt;VLOOKUP(L$5,NFI,5,0),1,0)*Table_NFI[[#This Row],[Tarpaulin]],Table_NFI[[#This Row],[Tarpaulin]])</f>
        <v>0</v>
      </c>
      <c r="AD1025" s="294">
        <f>IF(NFI_Expiration=1,IF($A1025&lt;VLOOKUP(M$5,NFI,5,0),1,0)*Table_NFI[[#This Row],[Blanket]],Table_NFI[[#This Row],[Blanket]])</f>
        <v>0</v>
      </c>
      <c r="AE1025" s="294">
        <f>IF(NFI_Expiration=1,IF($A1025&lt;VLOOKUP(N$5,NFI,5,0),1,0)*Table_NFI[[#This Row],[Kitchen Set]],Table_NFI[Kitchen Set])</f>
        <v>0</v>
      </c>
      <c r="AF1025" s="294">
        <f>IF(NFI_Expiration=1,IF($A1025&lt;VLOOKUP(O$5,NFI,5,0),1,0)*Table_NFI[[#This Row],[Clothes Kit]],Table_NFI[Clothes Kit])</f>
        <v>0</v>
      </c>
      <c r="AG1025" s="294">
        <f>IF(NFI_Expiration=1,IF($A1025&lt;VLOOKUP(P$5,NFI,5,0),1,0)*Table_NFI[[#This Row],[Plastic Bucket]],Table_NFI[Plastic Bucket])</f>
        <v>0</v>
      </c>
      <c r="AH1025" s="294">
        <f>IF(NFI_Expiration=1,IF($A1025&lt;VLOOKUP(Q$5,NFI,5,0),1,0)*Table_NFI[[#This Row],[Plastic Mat]],Table_NFI[Plastic Mat])*IF(Table_NFI[[#This Row],[Distribution Date]]&gt;"2014-04-01",1,2.5)</f>
        <v>0</v>
      </c>
      <c r="AI1025" s="294">
        <f>IF(NFI_Expiration=1,IF($A1025&lt;VLOOKUP(R$5,NFI,5,0),1,0)*Table_NFI[[#This Row],[Winter Clothes Adult]],Table_NFI[Winter Clothes Adult])</f>
        <v>0</v>
      </c>
      <c r="AJ1025" s="294">
        <f>IF(NFI_Expiration=1,IF($A1025&lt;VLOOKUP(S$5,NFI,5,0),1,0)*Table_NFI[[#This Row],[Winter Clothes Children]],Table_NFI[Winter Clothes Children])</f>
        <v>0</v>
      </c>
      <c r="AK1025" s="294">
        <f>IF(NFI_Expiration=1,IF($A1025&lt;VLOOKUP(T$5,NFI,5,0),1,0)*Table_NFI[[#This Row],[Winter Items Other]],Table_NFI[Winter Items Other])</f>
        <v>0</v>
      </c>
      <c r="AL1025" s="294">
        <f>IF(NFI_Expiration=1,IF($A1025&lt;VLOOKUP(M$5,NFI,5,0),1,0)*Table_NFI[[#This Row],[Winter Blanket]],Table_NFI[[#This Row],[Winter Blanket]])</f>
        <v>0</v>
      </c>
      <c r="AM1025" s="294">
        <f>IF(Table_NFI[[#This Row],[Winter Clothes Adult]]+Table_NFI[[#This Row],[Winter Clothes Children]]+Table_NFI[[#This Row],[Winter Items Other]]+Table_NFI[[#This Row],[Winter Blanket]]&gt;0,1,0)</f>
        <v>0</v>
      </c>
      <c r="AN1025" s="331">
        <f>IF(NFI_Expiration=1,IF($A1025&lt;VLOOKUP(V$5,NFI,5,0),1,0)*Table_NFI[[#This Row],[Jerry Can]],Table_NFI[Jerry Can])</f>
        <v>0</v>
      </c>
      <c r="AO1025" s="331">
        <f>IF(NFI_Expiration=1,IF($A1025&lt;VLOOKUP(V$5,NFI,5,0),1,0)*Table_NFI[[#This Row],[Shelter Tool kit]],Table_NFI[Shelter Tool kit])</f>
        <v>0</v>
      </c>
      <c r="AP1025" s="331">
        <f>IF(NFI_Expiration=1,IF($A1025&lt;VLOOKUP(V$5,NFI,5,0),1,0)*Table_NFI[[#This Row],[Tent]],Table_NFI[Tent])</f>
        <v>0</v>
      </c>
      <c r="AQ1025" s="467" t="str">
        <f>IFERROR(VLOOKUP(Table_NFI[[#This Row],[Camp Name]],CL,2,0),"")</f>
        <v>MMR001CMP067</v>
      </c>
      <c r="AR1025" s="835">
        <f ca="1">IF(Table_NFI[[#This Row],[Pcode]]="","",IF(OFFSET(CampList[Opening Date],MATCH(Table_NFI[[#This Row],[Pcode]],CampList[CP_Pcode],0)-1,0,1,1)&gt;=NFI_Monitor_Date,1,0))</f>
        <v>0</v>
      </c>
      <c r="AS1025" s="467" t="str">
        <f>IFERROR(VLOOKUP(Table_NFI[[#This Row],[Camp Name]],CL,3,0),"")</f>
        <v>Open</v>
      </c>
      <c r="AT1025" s="294" t="str">
        <f ca="1">IF(Table_NFI[[#This Row],[Pcode]]="","",OFFSET(CampList[Priority],MATCH(Table_NFI[[#This Row],[Pcode]],CampList[CP_Pcode],0)-1,0,1,1))</f>
        <v>P4</v>
      </c>
      <c r="AU1025" s="293">
        <f>IFERROR(Table_NFI[[#This Row],[Kitchen Set]]/VLOOKUP(Table_NFI[[#This Row],[Camp Name]],CL,4,0),"")</f>
        <v>0</v>
      </c>
      <c r="AV1025" s="461"/>
      <c r="AW1025" s="463"/>
    </row>
    <row r="1026" spans="1:49" s="98" customFormat="1" ht="14.45" customHeight="1" x14ac:dyDescent="0.25">
      <c r="A1026" s="297">
        <f t="shared" si="15"/>
        <v>58.4</v>
      </c>
      <c r="B1026" s="460">
        <v>40984</v>
      </c>
      <c r="C1026" s="461" t="s">
        <v>905</v>
      </c>
      <c r="D1026" s="461" t="s">
        <v>1002</v>
      </c>
      <c r="E1026" s="461" t="s">
        <v>380</v>
      </c>
      <c r="F1026" s="290" t="s">
        <v>302</v>
      </c>
      <c r="G1026" s="290" t="s">
        <v>308</v>
      </c>
      <c r="H1026" s="294">
        <v>49</v>
      </c>
      <c r="I1026" s="291"/>
      <c r="J1026" s="291"/>
      <c r="K1026" s="291"/>
      <c r="L1026" s="292"/>
      <c r="M1026" s="292"/>
      <c r="N1026" s="292"/>
      <c r="O1026" s="292"/>
      <c r="P1026" s="294"/>
      <c r="Q1026" s="294"/>
      <c r="R1026" s="294"/>
      <c r="S1026" s="294"/>
      <c r="T1026" s="294"/>
      <c r="U1026" s="294"/>
      <c r="V1026" s="431"/>
      <c r="W1026" s="294"/>
      <c r="X1026" s="294"/>
      <c r="Y1026" s="294">
        <f>IF(NFI_Expiration=1,IF($A1026&lt;VLOOKUP(H$5,NFI,5,0),1,0)*Table_NFI[[#This Row],[Hygiene Kit]],Table_NFI[Hygiene Kit])</f>
        <v>0</v>
      </c>
      <c r="Z1026" s="294">
        <f>IF(NFI_Expiration=1,IF($A1026&lt;VLOOKUP(I$5,NFI,5,0),1,0)*Table_NFI[[#This Row],[NFI Core Kit]],Table_NFI[NFI Core Kit])</f>
        <v>0</v>
      </c>
      <c r="AA1026" s="294">
        <f>IF(NFI_Expiration=1,IF($A1026&lt;VLOOKUP(J$5,NFI,5,0),1,0)*Table_NFI[[#This Row],[Sanitary Kit]],Table_NFI[Sanitary Kit])</f>
        <v>0</v>
      </c>
      <c r="AB1026" s="294">
        <f>IF(NFI_Expiration=1,IF($A1026&lt;VLOOKUP(K$5,NFI,5,0),1,0)*Table_NFI[[#This Row],[Mosquito net]],Table_NFI[Mosquito net])</f>
        <v>0</v>
      </c>
      <c r="AC1026" s="294">
        <f>IF(NFI_Expiration=1,IF($A1026&lt;VLOOKUP(L$5,NFI,5,0),1,0)*Table_NFI[[#This Row],[Tarpaulin]],Table_NFI[[#This Row],[Tarpaulin]])</f>
        <v>0</v>
      </c>
      <c r="AD1026" s="294">
        <f>IF(NFI_Expiration=1,IF($A1026&lt;VLOOKUP(M$5,NFI,5,0),1,0)*Table_NFI[[#This Row],[Blanket]],Table_NFI[[#This Row],[Blanket]])</f>
        <v>0</v>
      </c>
      <c r="AE1026" s="294">
        <f>IF(NFI_Expiration=1,IF($A1026&lt;VLOOKUP(N$5,NFI,5,0),1,0)*Table_NFI[[#This Row],[Kitchen Set]],Table_NFI[Kitchen Set])</f>
        <v>0</v>
      </c>
      <c r="AF1026" s="294">
        <f>IF(NFI_Expiration=1,IF($A1026&lt;VLOOKUP(O$5,NFI,5,0),1,0)*Table_NFI[[#This Row],[Clothes Kit]],Table_NFI[Clothes Kit])</f>
        <v>0</v>
      </c>
      <c r="AG1026" s="294">
        <f>IF(NFI_Expiration=1,IF($A1026&lt;VLOOKUP(P$5,NFI,5,0),1,0)*Table_NFI[[#This Row],[Plastic Bucket]],Table_NFI[Plastic Bucket])</f>
        <v>0</v>
      </c>
      <c r="AH1026" s="294">
        <f>IF(NFI_Expiration=1,IF($A1026&lt;VLOOKUP(Q$5,NFI,5,0),1,0)*Table_NFI[[#This Row],[Plastic Mat]],Table_NFI[Plastic Mat])*IF(Table_NFI[[#This Row],[Distribution Date]]&gt;"2014-04-01",1,2.5)</f>
        <v>0</v>
      </c>
      <c r="AI1026" s="294">
        <f>IF(NFI_Expiration=1,IF($A1026&lt;VLOOKUP(R$5,NFI,5,0),1,0)*Table_NFI[[#This Row],[Winter Clothes Adult]],Table_NFI[Winter Clothes Adult])</f>
        <v>0</v>
      </c>
      <c r="AJ1026" s="294">
        <f>IF(NFI_Expiration=1,IF($A1026&lt;VLOOKUP(S$5,NFI,5,0),1,0)*Table_NFI[[#This Row],[Winter Clothes Children]],Table_NFI[Winter Clothes Children])</f>
        <v>0</v>
      </c>
      <c r="AK1026" s="294">
        <f>IF(NFI_Expiration=1,IF($A1026&lt;VLOOKUP(T$5,NFI,5,0),1,0)*Table_NFI[[#This Row],[Winter Items Other]],Table_NFI[Winter Items Other])</f>
        <v>0</v>
      </c>
      <c r="AL1026" s="294">
        <f>IF(NFI_Expiration=1,IF($A1026&lt;VLOOKUP(M$5,NFI,5,0),1,0)*Table_NFI[[#This Row],[Winter Blanket]],Table_NFI[[#This Row],[Winter Blanket]])</f>
        <v>0</v>
      </c>
      <c r="AM1026" s="294">
        <f>IF(Table_NFI[[#This Row],[Winter Clothes Adult]]+Table_NFI[[#This Row],[Winter Clothes Children]]+Table_NFI[[#This Row],[Winter Items Other]]+Table_NFI[[#This Row],[Winter Blanket]]&gt;0,1,0)</f>
        <v>0</v>
      </c>
      <c r="AN1026" s="331">
        <f>IF(NFI_Expiration=1,IF($A1026&lt;VLOOKUP(V$5,NFI,5,0),1,0)*Table_NFI[[#This Row],[Jerry Can]],Table_NFI[Jerry Can])</f>
        <v>0</v>
      </c>
      <c r="AO1026" s="331">
        <f>IF(NFI_Expiration=1,IF($A1026&lt;VLOOKUP(V$5,NFI,5,0),1,0)*Table_NFI[[#This Row],[Shelter Tool kit]],Table_NFI[Shelter Tool kit])</f>
        <v>0</v>
      </c>
      <c r="AP1026" s="331">
        <f>IF(NFI_Expiration=1,IF($A1026&lt;VLOOKUP(V$5,NFI,5,0),1,0)*Table_NFI[[#This Row],[Tent]],Table_NFI[Tent])</f>
        <v>0</v>
      </c>
      <c r="AQ1026" s="467" t="str">
        <f>IFERROR(VLOOKUP(Table_NFI[[#This Row],[Camp Name]],CL,2,0),"")</f>
        <v>MMR001CMP068</v>
      </c>
      <c r="AR1026" s="835">
        <f ca="1">IF(Table_NFI[[#This Row],[Pcode]]="","",IF(OFFSET(CampList[Opening Date],MATCH(Table_NFI[[#This Row],[Pcode]],CampList[CP_Pcode],0)-1,0,1,1)&gt;=NFI_Monitor_Date,1,0))</f>
        <v>0</v>
      </c>
      <c r="AS1026" s="467" t="str">
        <f>IFERROR(VLOOKUP(Table_NFI[[#This Row],[Camp Name]],CL,3,0),"")</f>
        <v>Open</v>
      </c>
      <c r="AT1026" s="294" t="str">
        <f ca="1">IF(Table_NFI[[#This Row],[Pcode]]="","",OFFSET(CampList[Priority],MATCH(Table_NFI[[#This Row],[Pcode]],CampList[CP_Pcode],0)-1,0,1,1))</f>
        <v>P4</v>
      </c>
      <c r="AU1026" s="293">
        <f>IFERROR(Table_NFI[[#This Row],[Kitchen Set]]/VLOOKUP(Table_NFI[[#This Row],[Camp Name]],CL,4,0),"")</f>
        <v>0</v>
      </c>
      <c r="AV1026" s="461"/>
      <c r="AW1026" s="463"/>
    </row>
    <row r="1027" spans="1:49" s="464" customFormat="1" ht="14.45" customHeight="1" x14ac:dyDescent="0.25">
      <c r="A1027" s="297">
        <f t="shared" si="15"/>
        <v>58.466666666666669</v>
      </c>
      <c r="B1027" s="460">
        <v>40982</v>
      </c>
      <c r="C1027" s="461" t="s">
        <v>905</v>
      </c>
      <c r="D1027" s="462" t="s">
        <v>905</v>
      </c>
      <c r="E1027" s="461" t="s">
        <v>380</v>
      </c>
      <c r="F1027" s="290" t="s">
        <v>5</v>
      </c>
      <c r="G1027" s="290" t="s">
        <v>22</v>
      </c>
      <c r="H1027" s="294">
        <v>2188</v>
      </c>
      <c r="I1027" s="291"/>
      <c r="J1027" s="291"/>
      <c r="K1027" s="291"/>
      <c r="L1027" s="292"/>
      <c r="M1027" s="292"/>
      <c r="N1027" s="292"/>
      <c r="O1027" s="292"/>
      <c r="P1027" s="294"/>
      <c r="Q1027" s="294"/>
      <c r="R1027" s="294"/>
      <c r="S1027" s="294"/>
      <c r="T1027" s="294"/>
      <c r="U1027" s="294"/>
      <c r="V1027" s="431"/>
      <c r="W1027" s="294"/>
      <c r="X1027" s="294"/>
      <c r="Y1027" s="294">
        <f>IF(NFI_Expiration=1,IF($A1027&lt;VLOOKUP(H$5,NFI,5,0),1,0)*Table_NFI[[#This Row],[Hygiene Kit]],Table_NFI[Hygiene Kit])</f>
        <v>0</v>
      </c>
      <c r="Z1027" s="294">
        <f>IF(NFI_Expiration=1,IF($A1027&lt;VLOOKUP(I$5,NFI,5,0),1,0)*Table_NFI[[#This Row],[NFI Core Kit]],Table_NFI[NFI Core Kit])</f>
        <v>0</v>
      </c>
      <c r="AA1027" s="294">
        <f>IF(NFI_Expiration=1,IF($A1027&lt;VLOOKUP(J$5,NFI,5,0),1,0)*Table_NFI[[#This Row],[Sanitary Kit]],Table_NFI[Sanitary Kit])</f>
        <v>0</v>
      </c>
      <c r="AB1027" s="294">
        <f>IF(NFI_Expiration=1,IF($A1027&lt;VLOOKUP(K$5,NFI,5,0),1,0)*Table_NFI[[#This Row],[Mosquito net]],Table_NFI[Mosquito net])</f>
        <v>0</v>
      </c>
      <c r="AC1027" s="294">
        <f>IF(NFI_Expiration=1,IF($A1027&lt;VLOOKUP(L$5,NFI,5,0),1,0)*Table_NFI[[#This Row],[Tarpaulin]],Table_NFI[[#This Row],[Tarpaulin]])</f>
        <v>0</v>
      </c>
      <c r="AD1027" s="294">
        <f>IF(NFI_Expiration=1,IF($A1027&lt;VLOOKUP(M$5,NFI,5,0),1,0)*Table_NFI[[#This Row],[Blanket]],Table_NFI[[#This Row],[Blanket]])</f>
        <v>0</v>
      </c>
      <c r="AE1027" s="294">
        <f>IF(NFI_Expiration=1,IF($A1027&lt;VLOOKUP(N$5,NFI,5,0),1,0)*Table_NFI[[#This Row],[Kitchen Set]],Table_NFI[Kitchen Set])</f>
        <v>0</v>
      </c>
      <c r="AF1027" s="294">
        <f>IF(NFI_Expiration=1,IF($A1027&lt;VLOOKUP(O$5,NFI,5,0),1,0)*Table_NFI[[#This Row],[Clothes Kit]],Table_NFI[Clothes Kit])</f>
        <v>0</v>
      </c>
      <c r="AG1027" s="294">
        <f>IF(NFI_Expiration=1,IF($A1027&lt;VLOOKUP(P$5,NFI,5,0),1,0)*Table_NFI[[#This Row],[Plastic Bucket]],Table_NFI[Plastic Bucket])</f>
        <v>0</v>
      </c>
      <c r="AH1027" s="294">
        <f>IF(NFI_Expiration=1,IF($A1027&lt;VLOOKUP(Q$5,NFI,5,0),1,0)*Table_NFI[[#This Row],[Plastic Mat]],Table_NFI[Plastic Mat])*IF(Table_NFI[[#This Row],[Distribution Date]]&gt;"2014-04-01",1,2.5)</f>
        <v>0</v>
      </c>
      <c r="AI1027" s="294">
        <f>IF(NFI_Expiration=1,IF($A1027&lt;VLOOKUP(R$5,NFI,5,0),1,0)*Table_NFI[[#This Row],[Winter Clothes Adult]],Table_NFI[Winter Clothes Adult])</f>
        <v>0</v>
      </c>
      <c r="AJ1027" s="294">
        <f>IF(NFI_Expiration=1,IF($A1027&lt;VLOOKUP(S$5,NFI,5,0),1,0)*Table_NFI[[#This Row],[Winter Clothes Children]],Table_NFI[Winter Clothes Children])</f>
        <v>0</v>
      </c>
      <c r="AK1027" s="294">
        <f>IF(NFI_Expiration=1,IF($A1027&lt;VLOOKUP(T$5,NFI,5,0),1,0)*Table_NFI[[#This Row],[Winter Items Other]],Table_NFI[Winter Items Other])</f>
        <v>0</v>
      </c>
      <c r="AL1027" s="294">
        <f>IF(NFI_Expiration=1,IF($A1027&lt;VLOOKUP(M$5,NFI,5,0),1,0)*Table_NFI[[#This Row],[Winter Blanket]],Table_NFI[[#This Row],[Winter Blanket]])</f>
        <v>0</v>
      </c>
      <c r="AM1027" s="294">
        <f>IF(Table_NFI[[#This Row],[Winter Clothes Adult]]+Table_NFI[[#This Row],[Winter Clothes Children]]+Table_NFI[[#This Row],[Winter Items Other]]+Table_NFI[[#This Row],[Winter Blanket]]&gt;0,1,0)</f>
        <v>0</v>
      </c>
      <c r="AN1027" s="331">
        <f>IF(NFI_Expiration=1,IF($A1027&lt;VLOOKUP(V$5,NFI,5,0),1,0)*Table_NFI[[#This Row],[Jerry Can]],Table_NFI[Jerry Can])</f>
        <v>0</v>
      </c>
      <c r="AO1027" s="331">
        <f>IF(NFI_Expiration=1,IF($A1027&lt;VLOOKUP(V$5,NFI,5,0),1,0)*Table_NFI[[#This Row],[Shelter Tool kit]],Table_NFI[Shelter Tool kit])</f>
        <v>0</v>
      </c>
      <c r="AP1027" s="331">
        <f>IF(NFI_Expiration=1,IF($A1027&lt;VLOOKUP(V$5,NFI,5,0),1,0)*Table_NFI[[#This Row],[Tent]],Table_NFI[Tent])</f>
        <v>0</v>
      </c>
      <c r="AQ1027" s="467" t="str">
        <f>IFERROR(VLOOKUP(Table_NFI[[#This Row],[Camp Name]],CL,2,0),"")</f>
        <v>MMR001CMP047</v>
      </c>
      <c r="AR1027" s="835">
        <f ca="1">IF(Table_NFI[[#This Row],[Pcode]]="","",IF(OFFSET(CampList[Opening Date],MATCH(Table_NFI[[#This Row],[Pcode]],CampList[CP_Pcode],0)-1,0,1,1)&gt;=NFI_Monitor_Date,1,0))</f>
        <v>0</v>
      </c>
      <c r="AS1027" s="467" t="str">
        <f>IFERROR(VLOOKUP(Table_NFI[[#This Row],[Camp Name]],CL,3,0),"")</f>
        <v>Open</v>
      </c>
      <c r="AT1027" s="294" t="str">
        <f ca="1">IF(Table_NFI[[#This Row],[Pcode]]="","",OFFSET(CampList[Priority],MATCH(Table_NFI[[#This Row],[Pcode]],CampList[CP_Pcode],0)-1,0,1,1))</f>
        <v>P4</v>
      </c>
      <c r="AU1027" s="293">
        <f>IFERROR(Table_NFI[[#This Row],[Kitchen Set]]/VLOOKUP(Table_NFI[[#This Row],[Camp Name]],CL,4,0),"")</f>
        <v>0</v>
      </c>
      <c r="AV1027" s="461"/>
      <c r="AW1027" s="463"/>
    </row>
    <row r="1028" spans="1:49" s="464" customFormat="1" ht="14.45" customHeight="1" x14ac:dyDescent="0.25">
      <c r="A1028" s="297">
        <f t="shared" si="15"/>
        <v>58.6</v>
      </c>
      <c r="B1028" s="460">
        <v>40978</v>
      </c>
      <c r="C1028" s="461" t="s">
        <v>905</v>
      </c>
      <c r="D1028" s="461"/>
      <c r="E1028" s="461" t="s">
        <v>380</v>
      </c>
      <c r="F1028" s="461" t="s">
        <v>185</v>
      </c>
      <c r="G1028" s="461" t="s">
        <v>227</v>
      </c>
      <c r="H1028" s="294">
        <v>36</v>
      </c>
      <c r="I1028" s="291"/>
      <c r="J1028" s="292"/>
      <c r="K1028" s="291"/>
      <c r="L1028" s="292"/>
      <c r="M1028" s="292"/>
      <c r="N1028" s="292"/>
      <c r="O1028" s="292"/>
      <c r="P1028" s="294"/>
      <c r="Q1028" s="294"/>
      <c r="R1028" s="294"/>
      <c r="S1028" s="294"/>
      <c r="T1028" s="294"/>
      <c r="U1028" s="294"/>
      <c r="V1028" s="431"/>
      <c r="W1028" s="294"/>
      <c r="X1028" s="294"/>
      <c r="Y1028" s="294">
        <f>IF(NFI_Expiration=1,IF($A1028&lt;VLOOKUP(H$5,NFI,5,0),1,0)*Table_NFI[[#This Row],[Hygiene Kit]],Table_NFI[Hygiene Kit])</f>
        <v>0</v>
      </c>
      <c r="Z1028" s="294">
        <f>IF(NFI_Expiration=1,IF($A1028&lt;VLOOKUP(I$5,NFI,5,0),1,0)*Table_NFI[[#This Row],[NFI Core Kit]],Table_NFI[NFI Core Kit])</f>
        <v>0</v>
      </c>
      <c r="AA1028" s="294">
        <f>IF(NFI_Expiration=1,IF($A1028&lt;VLOOKUP(J$5,NFI,5,0),1,0)*Table_NFI[[#This Row],[Sanitary Kit]],Table_NFI[Sanitary Kit])</f>
        <v>0</v>
      </c>
      <c r="AB1028" s="294">
        <f>IF(NFI_Expiration=1,IF($A1028&lt;VLOOKUP(K$5,NFI,5,0),1,0)*Table_NFI[[#This Row],[Mosquito net]],Table_NFI[Mosquito net])</f>
        <v>0</v>
      </c>
      <c r="AC1028" s="294">
        <f>IF(NFI_Expiration=1,IF($A1028&lt;VLOOKUP(L$5,NFI,5,0),1,0)*Table_NFI[[#This Row],[Tarpaulin]],Table_NFI[[#This Row],[Tarpaulin]])</f>
        <v>0</v>
      </c>
      <c r="AD1028" s="294">
        <f>IF(NFI_Expiration=1,IF($A1028&lt;VLOOKUP(M$5,NFI,5,0),1,0)*Table_NFI[[#This Row],[Blanket]],Table_NFI[[#This Row],[Blanket]])</f>
        <v>0</v>
      </c>
      <c r="AE1028" s="294">
        <f>IF(NFI_Expiration=1,IF($A1028&lt;VLOOKUP(N$5,NFI,5,0),1,0)*Table_NFI[[#This Row],[Kitchen Set]],Table_NFI[Kitchen Set])</f>
        <v>0</v>
      </c>
      <c r="AF1028" s="294">
        <f>IF(NFI_Expiration=1,IF($A1028&lt;VLOOKUP(O$5,NFI,5,0),1,0)*Table_NFI[[#This Row],[Clothes Kit]],Table_NFI[Clothes Kit])</f>
        <v>0</v>
      </c>
      <c r="AG1028" s="294">
        <f>IF(NFI_Expiration=1,IF($A1028&lt;VLOOKUP(P$5,NFI,5,0),1,0)*Table_NFI[[#This Row],[Plastic Bucket]],Table_NFI[Plastic Bucket])</f>
        <v>0</v>
      </c>
      <c r="AH1028" s="294">
        <f>IF(NFI_Expiration=1,IF($A1028&lt;VLOOKUP(Q$5,NFI,5,0),1,0)*Table_NFI[[#This Row],[Plastic Mat]],Table_NFI[Plastic Mat])*IF(Table_NFI[[#This Row],[Distribution Date]]&gt;"2014-04-01",1,2.5)</f>
        <v>0</v>
      </c>
      <c r="AI1028" s="294">
        <f>IF(NFI_Expiration=1,IF($A1028&lt;VLOOKUP(R$5,NFI,5,0),1,0)*Table_NFI[[#This Row],[Winter Clothes Adult]],Table_NFI[Winter Clothes Adult])</f>
        <v>0</v>
      </c>
      <c r="AJ1028" s="294">
        <f>IF(NFI_Expiration=1,IF($A1028&lt;VLOOKUP(S$5,NFI,5,0),1,0)*Table_NFI[[#This Row],[Winter Clothes Children]],Table_NFI[Winter Clothes Children])</f>
        <v>0</v>
      </c>
      <c r="AK1028" s="294">
        <f>IF(NFI_Expiration=1,IF($A1028&lt;VLOOKUP(T$5,NFI,5,0),1,0)*Table_NFI[[#This Row],[Winter Items Other]],Table_NFI[Winter Items Other])</f>
        <v>0</v>
      </c>
      <c r="AL1028" s="294">
        <f>IF(NFI_Expiration=1,IF($A1028&lt;VLOOKUP(M$5,NFI,5,0),1,0)*Table_NFI[[#This Row],[Winter Blanket]],Table_NFI[[#This Row],[Winter Blanket]])</f>
        <v>0</v>
      </c>
      <c r="AM1028" s="294">
        <f>IF(Table_NFI[[#This Row],[Winter Clothes Adult]]+Table_NFI[[#This Row],[Winter Clothes Children]]+Table_NFI[[#This Row],[Winter Items Other]]+Table_NFI[[#This Row],[Winter Blanket]]&gt;0,1,0)</f>
        <v>0</v>
      </c>
      <c r="AN1028" s="331">
        <f>IF(NFI_Expiration=1,IF($A1028&lt;VLOOKUP(V$5,NFI,5,0),1,0)*Table_NFI[[#This Row],[Jerry Can]],Table_NFI[Jerry Can])</f>
        <v>0</v>
      </c>
      <c r="AO1028" s="331">
        <f>IF(NFI_Expiration=1,IF($A1028&lt;VLOOKUP(V$5,NFI,5,0),1,0)*Table_NFI[[#This Row],[Shelter Tool kit]],Table_NFI[Shelter Tool kit])</f>
        <v>0</v>
      </c>
      <c r="AP1028" s="331">
        <f>IF(NFI_Expiration=1,IF($A1028&lt;VLOOKUP(V$5,NFI,5,0),1,0)*Table_NFI[[#This Row],[Tent]],Table_NFI[Tent])</f>
        <v>0</v>
      </c>
      <c r="AQ1028" s="467" t="str">
        <f>IFERROR(VLOOKUP(Table_NFI[[#This Row],[Camp Name]],CL,2,0),"")</f>
        <v>MMR001CMP060</v>
      </c>
      <c r="AR1028" s="835">
        <f ca="1">IF(Table_NFI[[#This Row],[Pcode]]="","",IF(OFFSET(CampList[Opening Date],MATCH(Table_NFI[[#This Row],[Pcode]],CampList[CP_Pcode],0)-1,0,1,1)&gt;=NFI_Monitor_Date,1,0))</f>
        <v>0</v>
      </c>
      <c r="AS1028" s="467" t="str">
        <f>IFERROR(VLOOKUP(Table_NFI[[#This Row],[Camp Name]],CL,3,0),"")</f>
        <v>Open</v>
      </c>
      <c r="AT1028" s="294" t="str">
        <f ca="1">IF(Table_NFI[[#This Row],[Pcode]]="","",OFFSET(CampList[Priority],MATCH(Table_NFI[[#This Row],[Pcode]],CampList[CP_Pcode],0)-1,0,1,1))</f>
        <v>P4</v>
      </c>
      <c r="AU1028" s="293" t="str">
        <f>IFERROR(Table_NFI[[#This Row],[Kitchen Set]]/VLOOKUP(Table_NFI[[#This Row],[Camp Name]],CL,4,0),"")</f>
        <v/>
      </c>
      <c r="AV1028" s="461"/>
      <c r="AW1028" s="463"/>
    </row>
    <row r="1029" spans="1:49" s="464" customFormat="1" ht="14.45" customHeight="1" x14ac:dyDescent="0.25">
      <c r="A1029" s="297">
        <f t="shared" si="15"/>
        <v>58.7</v>
      </c>
      <c r="B1029" s="460">
        <v>40975</v>
      </c>
      <c r="C1029" s="461" t="s">
        <v>452</v>
      </c>
      <c r="D1029" s="462" t="s">
        <v>452</v>
      </c>
      <c r="E1029" s="461" t="s">
        <v>380</v>
      </c>
      <c r="F1029" s="290" t="s">
        <v>310</v>
      </c>
      <c r="G1029" s="290" t="s">
        <v>318</v>
      </c>
      <c r="H1029" s="291"/>
      <c r="I1029" s="291"/>
      <c r="J1029" s="291"/>
      <c r="K1029" s="291">
        <v>12</v>
      </c>
      <c r="L1029" s="292">
        <v>8</v>
      </c>
      <c r="M1029" s="292">
        <v>12</v>
      </c>
      <c r="N1029" s="292">
        <v>8</v>
      </c>
      <c r="O1029" s="292">
        <v>8</v>
      </c>
      <c r="P1029" s="294">
        <v>8</v>
      </c>
      <c r="Q1029" s="294">
        <v>8</v>
      </c>
      <c r="R1029" s="294"/>
      <c r="S1029" s="294"/>
      <c r="T1029" s="294"/>
      <c r="U1029" s="294"/>
      <c r="V1029" s="431"/>
      <c r="W1029" s="294"/>
      <c r="X1029" s="294"/>
      <c r="Y1029" s="294">
        <f>IF(NFI_Expiration=1,IF($A1029&lt;VLOOKUP(H$5,NFI,5,0),1,0)*Table_NFI[[#This Row],[Hygiene Kit]],Table_NFI[Hygiene Kit])</f>
        <v>0</v>
      </c>
      <c r="Z1029" s="294">
        <f>IF(NFI_Expiration=1,IF($A1029&lt;VLOOKUP(I$5,NFI,5,0),1,0)*Table_NFI[[#This Row],[NFI Core Kit]],Table_NFI[NFI Core Kit])</f>
        <v>0</v>
      </c>
      <c r="AA1029" s="294">
        <f>IF(NFI_Expiration=1,IF($A1029&lt;VLOOKUP(J$5,NFI,5,0),1,0)*Table_NFI[[#This Row],[Sanitary Kit]],Table_NFI[Sanitary Kit])</f>
        <v>0</v>
      </c>
      <c r="AB1029" s="294">
        <f>IF(NFI_Expiration=1,IF($A1029&lt;VLOOKUP(K$5,NFI,5,0),1,0)*Table_NFI[[#This Row],[Mosquito net]],Table_NFI[Mosquito net])</f>
        <v>0</v>
      </c>
      <c r="AC1029" s="294">
        <f>IF(NFI_Expiration=1,IF($A1029&lt;VLOOKUP(L$5,NFI,5,0),1,0)*Table_NFI[[#This Row],[Tarpaulin]],Table_NFI[[#This Row],[Tarpaulin]])</f>
        <v>0</v>
      </c>
      <c r="AD1029" s="294">
        <f>IF(NFI_Expiration=1,IF($A1029&lt;VLOOKUP(M$5,NFI,5,0),1,0)*Table_NFI[[#This Row],[Blanket]],Table_NFI[[#This Row],[Blanket]])</f>
        <v>0</v>
      </c>
      <c r="AE1029" s="294">
        <f>IF(NFI_Expiration=1,IF($A1029&lt;VLOOKUP(N$5,NFI,5,0),1,0)*Table_NFI[[#This Row],[Kitchen Set]],Table_NFI[Kitchen Set])</f>
        <v>0</v>
      </c>
      <c r="AF1029" s="294">
        <f>IF(NFI_Expiration=1,IF($A1029&lt;VLOOKUP(O$5,NFI,5,0),1,0)*Table_NFI[[#This Row],[Clothes Kit]],Table_NFI[Clothes Kit])</f>
        <v>0</v>
      </c>
      <c r="AG1029" s="294">
        <f>IF(NFI_Expiration=1,IF($A1029&lt;VLOOKUP(P$5,NFI,5,0),1,0)*Table_NFI[[#This Row],[Plastic Bucket]],Table_NFI[Plastic Bucket])</f>
        <v>0</v>
      </c>
      <c r="AH1029" s="294">
        <f>IF(NFI_Expiration=1,IF($A1029&lt;VLOOKUP(Q$5,NFI,5,0),1,0)*Table_NFI[[#This Row],[Plastic Mat]],Table_NFI[Plastic Mat])*IF(Table_NFI[[#This Row],[Distribution Date]]&gt;"2014-04-01",1,2.5)</f>
        <v>0</v>
      </c>
      <c r="AI1029" s="294">
        <f>IF(NFI_Expiration=1,IF($A1029&lt;VLOOKUP(R$5,NFI,5,0),1,0)*Table_NFI[[#This Row],[Winter Clothes Adult]],Table_NFI[Winter Clothes Adult])</f>
        <v>0</v>
      </c>
      <c r="AJ1029" s="294">
        <f>IF(NFI_Expiration=1,IF($A1029&lt;VLOOKUP(S$5,NFI,5,0),1,0)*Table_NFI[[#This Row],[Winter Clothes Children]],Table_NFI[Winter Clothes Children])</f>
        <v>0</v>
      </c>
      <c r="AK1029" s="294">
        <f>IF(NFI_Expiration=1,IF($A1029&lt;VLOOKUP(T$5,NFI,5,0),1,0)*Table_NFI[[#This Row],[Winter Items Other]],Table_NFI[Winter Items Other])</f>
        <v>0</v>
      </c>
      <c r="AL1029" s="294">
        <f>IF(NFI_Expiration=1,IF($A1029&lt;VLOOKUP(M$5,NFI,5,0),1,0)*Table_NFI[[#This Row],[Winter Blanket]],Table_NFI[[#This Row],[Winter Blanket]])</f>
        <v>0</v>
      </c>
      <c r="AM1029" s="294">
        <f>IF(Table_NFI[[#This Row],[Winter Clothes Adult]]+Table_NFI[[#This Row],[Winter Clothes Children]]+Table_NFI[[#This Row],[Winter Items Other]]+Table_NFI[[#This Row],[Winter Blanket]]&gt;0,1,0)</f>
        <v>0</v>
      </c>
      <c r="AN1029" s="331">
        <f>IF(NFI_Expiration=1,IF($A1029&lt;VLOOKUP(V$5,NFI,5,0),1,0)*Table_NFI[[#This Row],[Jerry Can]],Table_NFI[Jerry Can])</f>
        <v>0</v>
      </c>
      <c r="AO1029" s="331">
        <f>IF(NFI_Expiration=1,IF($A1029&lt;VLOOKUP(V$5,NFI,5,0),1,0)*Table_NFI[[#This Row],[Shelter Tool kit]],Table_NFI[Shelter Tool kit])</f>
        <v>0</v>
      </c>
      <c r="AP1029" s="331">
        <f>IF(NFI_Expiration=1,IF($A1029&lt;VLOOKUP(V$5,NFI,5,0),1,0)*Table_NFI[[#This Row],[Tent]],Table_NFI[Tent])</f>
        <v>0</v>
      </c>
      <c r="AQ1029" s="467" t="str">
        <f>IFERROR(VLOOKUP(Table_NFI[[#This Row],[Camp Name]],CL,2,0),"")</f>
        <v>MMR001CMP032</v>
      </c>
      <c r="AR1029" s="835">
        <f ca="1">IF(Table_NFI[[#This Row],[Pcode]]="","",IF(OFFSET(CampList[Opening Date],MATCH(Table_NFI[[#This Row],[Pcode]],CampList[CP_Pcode],0)-1,0,1,1)&gt;=NFI_Monitor_Date,1,0))</f>
        <v>0</v>
      </c>
      <c r="AS1029" s="467" t="str">
        <f>IFERROR(VLOOKUP(Table_NFI[[#This Row],[Camp Name]],CL,3,0),"")</f>
        <v>Open</v>
      </c>
      <c r="AT1029" s="294" t="str">
        <f ca="1">IF(Table_NFI[[#This Row],[Pcode]]="","",OFFSET(CampList[Priority],MATCH(Table_NFI[[#This Row],[Pcode]],CampList[CP_Pcode],0)-1,0,1,1))</f>
        <v>P4</v>
      </c>
      <c r="AU1029" s="293">
        <f>IFERROR(Table_NFI[[#This Row],[Kitchen Set]]/VLOOKUP(Table_NFI[[#This Row],[Camp Name]],CL,4,0),"")</f>
        <v>1.9643953345610803E-4</v>
      </c>
      <c r="AV1029" s="461" t="s">
        <v>1092</v>
      </c>
      <c r="AW1029" s="463"/>
    </row>
    <row r="1030" spans="1:49" s="464" customFormat="1" ht="14.45" customHeight="1" x14ac:dyDescent="0.25">
      <c r="A1030" s="297">
        <f t="shared" ref="A1030:A1093" si="16">IF(ISBLANK(B1030),"",(Report_Date-B1030)/30)</f>
        <v>58.7</v>
      </c>
      <c r="B1030" s="460">
        <v>40975</v>
      </c>
      <c r="C1030" s="461" t="s">
        <v>452</v>
      </c>
      <c r="D1030" s="461" t="s">
        <v>452</v>
      </c>
      <c r="E1030" s="461" t="s">
        <v>380</v>
      </c>
      <c r="F1030" s="461" t="s">
        <v>310</v>
      </c>
      <c r="G1030" s="290" t="s">
        <v>349</v>
      </c>
      <c r="H1030" s="291"/>
      <c r="I1030" s="291"/>
      <c r="J1030" s="291"/>
      <c r="K1030" s="291">
        <v>38</v>
      </c>
      <c r="L1030" s="292">
        <v>18</v>
      </c>
      <c r="M1030" s="292">
        <v>38</v>
      </c>
      <c r="N1030" s="292">
        <v>17</v>
      </c>
      <c r="O1030" s="292">
        <v>18</v>
      </c>
      <c r="P1030" s="294">
        <v>18</v>
      </c>
      <c r="Q1030" s="294">
        <v>18</v>
      </c>
      <c r="R1030" s="294"/>
      <c r="S1030" s="294"/>
      <c r="T1030" s="294"/>
      <c r="U1030" s="294"/>
      <c r="V1030" s="431"/>
      <c r="W1030" s="294"/>
      <c r="X1030" s="294"/>
      <c r="Y1030" s="294">
        <f>IF(NFI_Expiration=1,IF($A1030&lt;VLOOKUP(H$5,NFI,5,0),1,0)*Table_NFI[[#This Row],[Hygiene Kit]],Table_NFI[Hygiene Kit])</f>
        <v>0</v>
      </c>
      <c r="Z1030" s="294">
        <f>IF(NFI_Expiration=1,IF($A1030&lt;VLOOKUP(I$5,NFI,5,0),1,0)*Table_NFI[[#This Row],[NFI Core Kit]],Table_NFI[NFI Core Kit])</f>
        <v>0</v>
      </c>
      <c r="AA1030" s="294">
        <f>IF(NFI_Expiration=1,IF($A1030&lt;VLOOKUP(J$5,NFI,5,0),1,0)*Table_NFI[[#This Row],[Sanitary Kit]],Table_NFI[Sanitary Kit])</f>
        <v>0</v>
      </c>
      <c r="AB1030" s="294">
        <f>IF(NFI_Expiration=1,IF($A1030&lt;VLOOKUP(K$5,NFI,5,0),1,0)*Table_NFI[[#This Row],[Mosquito net]],Table_NFI[Mosquito net])</f>
        <v>0</v>
      </c>
      <c r="AC1030" s="294">
        <f>IF(NFI_Expiration=1,IF($A1030&lt;VLOOKUP(L$5,NFI,5,0),1,0)*Table_NFI[[#This Row],[Tarpaulin]],Table_NFI[[#This Row],[Tarpaulin]])</f>
        <v>0</v>
      </c>
      <c r="AD1030" s="294">
        <f>IF(NFI_Expiration=1,IF($A1030&lt;VLOOKUP(M$5,NFI,5,0),1,0)*Table_NFI[[#This Row],[Blanket]],Table_NFI[[#This Row],[Blanket]])</f>
        <v>0</v>
      </c>
      <c r="AE1030" s="294">
        <f>IF(NFI_Expiration=1,IF($A1030&lt;VLOOKUP(N$5,NFI,5,0),1,0)*Table_NFI[[#This Row],[Kitchen Set]],Table_NFI[Kitchen Set])</f>
        <v>0</v>
      </c>
      <c r="AF1030" s="294">
        <f>IF(NFI_Expiration=1,IF($A1030&lt;VLOOKUP(O$5,NFI,5,0),1,0)*Table_NFI[[#This Row],[Clothes Kit]],Table_NFI[Clothes Kit])</f>
        <v>0</v>
      </c>
      <c r="AG1030" s="294">
        <f>IF(NFI_Expiration=1,IF($A1030&lt;VLOOKUP(P$5,NFI,5,0),1,0)*Table_NFI[[#This Row],[Plastic Bucket]],Table_NFI[Plastic Bucket])</f>
        <v>0</v>
      </c>
      <c r="AH1030" s="294">
        <f>IF(NFI_Expiration=1,IF($A1030&lt;VLOOKUP(Q$5,NFI,5,0),1,0)*Table_NFI[[#This Row],[Plastic Mat]],Table_NFI[Plastic Mat])*IF(Table_NFI[[#This Row],[Distribution Date]]&gt;"2014-04-01",1,2.5)</f>
        <v>0</v>
      </c>
      <c r="AI1030" s="294">
        <f>IF(NFI_Expiration=1,IF($A1030&lt;VLOOKUP(R$5,NFI,5,0),1,0)*Table_NFI[[#This Row],[Winter Clothes Adult]],Table_NFI[Winter Clothes Adult])</f>
        <v>0</v>
      </c>
      <c r="AJ1030" s="294">
        <f>IF(NFI_Expiration=1,IF($A1030&lt;VLOOKUP(S$5,NFI,5,0),1,0)*Table_NFI[[#This Row],[Winter Clothes Children]],Table_NFI[Winter Clothes Children])</f>
        <v>0</v>
      </c>
      <c r="AK1030" s="294">
        <f>IF(NFI_Expiration=1,IF($A1030&lt;VLOOKUP(T$5,NFI,5,0),1,0)*Table_NFI[[#This Row],[Winter Items Other]],Table_NFI[Winter Items Other])</f>
        <v>0</v>
      </c>
      <c r="AL1030" s="294">
        <f>IF(NFI_Expiration=1,IF($A1030&lt;VLOOKUP(M$5,NFI,5,0),1,0)*Table_NFI[[#This Row],[Winter Blanket]],Table_NFI[[#This Row],[Winter Blanket]])</f>
        <v>0</v>
      </c>
      <c r="AM1030" s="294">
        <f>IF(Table_NFI[[#This Row],[Winter Clothes Adult]]+Table_NFI[[#This Row],[Winter Clothes Children]]+Table_NFI[[#This Row],[Winter Items Other]]+Table_NFI[[#This Row],[Winter Blanket]]&gt;0,1,0)</f>
        <v>0</v>
      </c>
      <c r="AN1030" s="331">
        <f>IF(NFI_Expiration=1,IF($A1030&lt;VLOOKUP(V$5,NFI,5,0),1,0)*Table_NFI[[#This Row],[Jerry Can]],Table_NFI[Jerry Can])</f>
        <v>0</v>
      </c>
      <c r="AO1030" s="331">
        <f>IF(NFI_Expiration=1,IF($A1030&lt;VLOOKUP(V$5,NFI,5,0),1,0)*Table_NFI[[#This Row],[Shelter Tool kit]],Table_NFI[Shelter Tool kit])</f>
        <v>0</v>
      </c>
      <c r="AP1030" s="331">
        <f>IF(NFI_Expiration=1,IF($A1030&lt;VLOOKUP(V$5,NFI,5,0),1,0)*Table_NFI[[#This Row],[Tent]],Table_NFI[Tent])</f>
        <v>0</v>
      </c>
      <c r="AQ1030" s="467" t="str">
        <f>IFERROR(VLOOKUP(Table_NFI[[#This Row],[Camp Name]],CL,2,0),"")</f>
        <v>MMR001CMP037</v>
      </c>
      <c r="AR1030" s="835">
        <f ca="1">IF(Table_NFI[[#This Row],[Pcode]]="","",IF(OFFSET(CampList[Opening Date],MATCH(Table_NFI[[#This Row],[Pcode]],CampList[CP_Pcode],0)-1,0,1,1)&gt;=NFI_Monitor_Date,1,0))</f>
        <v>0</v>
      </c>
      <c r="AS1030" s="467" t="str">
        <f>IFERROR(VLOOKUP(Table_NFI[[#This Row],[Camp Name]],CL,3,0),"")</f>
        <v>Open</v>
      </c>
      <c r="AT1030" s="294" t="str">
        <f ca="1">IF(Table_NFI[[#This Row],[Pcode]]="","",OFFSET(CampList[Priority],MATCH(Table_NFI[[#This Row],[Pcode]],CampList[CP_Pcode],0)-1,0,1,1))</f>
        <v>P4</v>
      </c>
      <c r="AU1030" s="293">
        <f>IFERROR(Table_NFI[[#This Row],[Kitchen Set]]/VLOOKUP(Table_NFI[[#This Row],[Camp Name]],CL,4,0),"")</f>
        <v>4.1617704661182925E-4</v>
      </c>
      <c r="AV1030" s="461" t="s">
        <v>1092</v>
      </c>
      <c r="AW1030" s="463"/>
    </row>
    <row r="1031" spans="1:49" s="464" customFormat="1" ht="13.9" customHeight="1" x14ac:dyDescent="0.25">
      <c r="A1031" s="297">
        <f t="shared" si="16"/>
        <v>59</v>
      </c>
      <c r="B1031" s="460">
        <v>40966</v>
      </c>
      <c r="C1031" s="461" t="s">
        <v>452</v>
      </c>
      <c r="D1031" s="462" t="s">
        <v>902</v>
      </c>
      <c r="E1031" s="461" t="s">
        <v>380</v>
      </c>
      <c r="F1031" s="290" t="s">
        <v>237</v>
      </c>
      <c r="G1031" s="290" t="s">
        <v>283</v>
      </c>
      <c r="H1031" s="291"/>
      <c r="I1031" s="291"/>
      <c r="J1031" s="291"/>
      <c r="K1031" s="291">
        <v>34</v>
      </c>
      <c r="L1031" s="292">
        <v>0</v>
      </c>
      <c r="M1031" s="292">
        <v>34</v>
      </c>
      <c r="N1031" s="292">
        <v>0</v>
      </c>
      <c r="O1031" s="292">
        <v>34</v>
      </c>
      <c r="P1031" s="294">
        <v>34</v>
      </c>
      <c r="Q1031" s="294">
        <v>34</v>
      </c>
      <c r="R1031" s="294"/>
      <c r="S1031" s="294"/>
      <c r="T1031" s="294"/>
      <c r="U1031" s="294"/>
      <c r="V1031" s="431"/>
      <c r="W1031" s="294"/>
      <c r="X1031" s="294"/>
      <c r="Y1031" s="294">
        <f>IF(NFI_Expiration=1,IF($A1031&lt;VLOOKUP(H$5,NFI,5,0),1,0)*Table_NFI[[#This Row],[Hygiene Kit]],Table_NFI[Hygiene Kit])</f>
        <v>0</v>
      </c>
      <c r="Z1031" s="294">
        <f>IF(NFI_Expiration=1,IF($A1031&lt;VLOOKUP(I$5,NFI,5,0),1,0)*Table_NFI[[#This Row],[NFI Core Kit]],Table_NFI[NFI Core Kit])</f>
        <v>0</v>
      </c>
      <c r="AA1031" s="294">
        <f>IF(NFI_Expiration=1,IF($A1031&lt;VLOOKUP(J$5,NFI,5,0),1,0)*Table_NFI[[#This Row],[Sanitary Kit]],Table_NFI[Sanitary Kit])</f>
        <v>0</v>
      </c>
      <c r="AB1031" s="294">
        <f>IF(NFI_Expiration=1,IF($A1031&lt;VLOOKUP(K$5,NFI,5,0),1,0)*Table_NFI[[#This Row],[Mosquito net]],Table_NFI[Mosquito net])</f>
        <v>0</v>
      </c>
      <c r="AC1031" s="294">
        <f>IF(NFI_Expiration=1,IF($A1031&lt;VLOOKUP(L$5,NFI,5,0),1,0)*Table_NFI[[#This Row],[Tarpaulin]],Table_NFI[[#This Row],[Tarpaulin]])</f>
        <v>0</v>
      </c>
      <c r="AD1031" s="294">
        <f>IF(NFI_Expiration=1,IF($A1031&lt;VLOOKUP(M$5,NFI,5,0),1,0)*Table_NFI[[#This Row],[Blanket]],Table_NFI[[#This Row],[Blanket]])</f>
        <v>0</v>
      </c>
      <c r="AE1031" s="294">
        <f>IF(NFI_Expiration=1,IF($A1031&lt;VLOOKUP(N$5,NFI,5,0),1,0)*Table_NFI[[#This Row],[Kitchen Set]],Table_NFI[Kitchen Set])</f>
        <v>0</v>
      </c>
      <c r="AF1031" s="294">
        <f>IF(NFI_Expiration=1,IF($A1031&lt;VLOOKUP(O$5,NFI,5,0),1,0)*Table_NFI[[#This Row],[Clothes Kit]],Table_NFI[Clothes Kit])</f>
        <v>0</v>
      </c>
      <c r="AG1031" s="294">
        <f>IF(NFI_Expiration=1,IF($A1031&lt;VLOOKUP(P$5,NFI,5,0),1,0)*Table_NFI[[#This Row],[Plastic Bucket]],Table_NFI[Plastic Bucket])</f>
        <v>0</v>
      </c>
      <c r="AH1031" s="294">
        <f>IF(NFI_Expiration=1,IF($A1031&lt;VLOOKUP(Q$5,NFI,5,0),1,0)*Table_NFI[[#This Row],[Plastic Mat]],Table_NFI[Plastic Mat])*IF(Table_NFI[[#This Row],[Distribution Date]]&gt;"2014-04-01",1,2.5)</f>
        <v>0</v>
      </c>
      <c r="AI1031" s="294">
        <f>IF(NFI_Expiration=1,IF($A1031&lt;VLOOKUP(R$5,NFI,5,0),1,0)*Table_NFI[[#This Row],[Winter Clothes Adult]],Table_NFI[Winter Clothes Adult])</f>
        <v>0</v>
      </c>
      <c r="AJ1031" s="294">
        <f>IF(NFI_Expiration=1,IF($A1031&lt;VLOOKUP(S$5,NFI,5,0),1,0)*Table_NFI[[#This Row],[Winter Clothes Children]],Table_NFI[Winter Clothes Children])</f>
        <v>0</v>
      </c>
      <c r="AK1031" s="294">
        <f>IF(NFI_Expiration=1,IF($A1031&lt;VLOOKUP(T$5,NFI,5,0),1,0)*Table_NFI[[#This Row],[Winter Items Other]],Table_NFI[Winter Items Other])</f>
        <v>0</v>
      </c>
      <c r="AL1031" s="294">
        <f>IF(NFI_Expiration=1,IF($A1031&lt;VLOOKUP(M$5,NFI,5,0),1,0)*Table_NFI[[#This Row],[Winter Blanket]],Table_NFI[[#This Row],[Winter Blanket]])</f>
        <v>0</v>
      </c>
      <c r="AM1031" s="294">
        <f>IF(Table_NFI[[#This Row],[Winter Clothes Adult]]+Table_NFI[[#This Row],[Winter Clothes Children]]+Table_NFI[[#This Row],[Winter Items Other]]+Table_NFI[[#This Row],[Winter Blanket]]&gt;0,1,0)</f>
        <v>0</v>
      </c>
      <c r="AN1031" s="331">
        <f>IF(NFI_Expiration=1,IF($A1031&lt;VLOOKUP(V$5,NFI,5,0),1,0)*Table_NFI[[#This Row],[Jerry Can]],Table_NFI[Jerry Can])</f>
        <v>0</v>
      </c>
      <c r="AO1031" s="331">
        <f>IF(NFI_Expiration=1,IF($A1031&lt;VLOOKUP(V$5,NFI,5,0),1,0)*Table_NFI[[#This Row],[Shelter Tool kit]],Table_NFI[Shelter Tool kit])</f>
        <v>0</v>
      </c>
      <c r="AP1031" s="331">
        <f>IF(NFI_Expiration=1,IF($A1031&lt;VLOOKUP(V$5,NFI,5,0),1,0)*Table_NFI[[#This Row],[Tent]],Table_NFI[Tent])</f>
        <v>0</v>
      </c>
      <c r="AQ1031" s="467" t="str">
        <f>IFERROR(VLOOKUP(Table_NFI[[#This Row],[Camp Name]],CL,2,0),"")</f>
        <v>MMR001CMP022</v>
      </c>
      <c r="AR1031" s="835">
        <f ca="1">IF(Table_NFI[[#This Row],[Pcode]]="","",IF(OFFSET(CampList[Opening Date],MATCH(Table_NFI[[#This Row],[Pcode]],CampList[CP_Pcode],0)-1,0,1,1)&gt;=NFI_Monitor_Date,1,0))</f>
        <v>0</v>
      </c>
      <c r="AS1031" s="467" t="str">
        <f>IFERROR(VLOOKUP(Table_NFI[[#This Row],[Camp Name]],CL,3,0),"")</f>
        <v>Open</v>
      </c>
      <c r="AT1031" s="294" t="str">
        <f ca="1">IF(Table_NFI[[#This Row],[Pcode]]="","",OFFSET(CampList[Priority],MATCH(Table_NFI[[#This Row],[Pcode]],CampList[CP_Pcode],0)-1,0,1,1))</f>
        <v>P4</v>
      </c>
      <c r="AU1031" s="293">
        <f>IFERROR(Table_NFI[[#This Row],[Kitchen Set]]/VLOOKUP(Table_NFI[[#This Row],[Camp Name]],CL,4,0),"")</f>
        <v>0</v>
      </c>
      <c r="AV1031" s="461" t="s">
        <v>1092</v>
      </c>
      <c r="AW1031" s="463"/>
    </row>
    <row r="1032" spans="1:49" s="464" customFormat="1" ht="14.45" customHeight="1" x14ac:dyDescent="0.25">
      <c r="A1032" s="297">
        <f t="shared" si="16"/>
        <v>59.033333333333331</v>
      </c>
      <c r="B1032" s="460">
        <v>40965</v>
      </c>
      <c r="C1032" s="461" t="s">
        <v>452</v>
      </c>
      <c r="D1032" s="461" t="s">
        <v>452</v>
      </c>
      <c r="E1032" s="461" t="s">
        <v>380</v>
      </c>
      <c r="F1032" s="461" t="s">
        <v>237</v>
      </c>
      <c r="G1032" s="290" t="s">
        <v>916</v>
      </c>
      <c r="H1032" s="291"/>
      <c r="I1032" s="291"/>
      <c r="J1032" s="291"/>
      <c r="K1032" s="291">
        <v>25</v>
      </c>
      <c r="L1032" s="292">
        <v>18</v>
      </c>
      <c r="M1032" s="292">
        <v>25</v>
      </c>
      <c r="N1032" s="292">
        <v>18</v>
      </c>
      <c r="O1032" s="292">
        <v>18</v>
      </c>
      <c r="P1032" s="294">
        <v>18</v>
      </c>
      <c r="Q1032" s="294">
        <v>18</v>
      </c>
      <c r="R1032" s="294"/>
      <c r="S1032" s="294"/>
      <c r="T1032" s="294"/>
      <c r="U1032" s="294"/>
      <c r="V1032" s="431"/>
      <c r="W1032" s="294"/>
      <c r="X1032" s="294"/>
      <c r="Y1032" s="294">
        <f>IF(NFI_Expiration=1,IF($A1032&lt;VLOOKUP(H$5,NFI,5,0),1,0)*Table_NFI[[#This Row],[Hygiene Kit]],Table_NFI[Hygiene Kit])</f>
        <v>0</v>
      </c>
      <c r="Z1032" s="294">
        <f>IF(NFI_Expiration=1,IF($A1032&lt;VLOOKUP(I$5,NFI,5,0),1,0)*Table_NFI[[#This Row],[NFI Core Kit]],Table_NFI[NFI Core Kit])</f>
        <v>0</v>
      </c>
      <c r="AA1032" s="294">
        <f>IF(NFI_Expiration=1,IF($A1032&lt;VLOOKUP(J$5,NFI,5,0),1,0)*Table_NFI[[#This Row],[Sanitary Kit]],Table_NFI[Sanitary Kit])</f>
        <v>0</v>
      </c>
      <c r="AB1032" s="294">
        <f>IF(NFI_Expiration=1,IF($A1032&lt;VLOOKUP(K$5,NFI,5,0),1,0)*Table_NFI[[#This Row],[Mosquito net]],Table_NFI[Mosquito net])</f>
        <v>0</v>
      </c>
      <c r="AC1032" s="294">
        <f>IF(NFI_Expiration=1,IF($A1032&lt;VLOOKUP(L$5,NFI,5,0),1,0)*Table_NFI[[#This Row],[Tarpaulin]],Table_NFI[[#This Row],[Tarpaulin]])</f>
        <v>0</v>
      </c>
      <c r="AD1032" s="294">
        <f>IF(NFI_Expiration=1,IF($A1032&lt;VLOOKUP(M$5,NFI,5,0),1,0)*Table_NFI[[#This Row],[Blanket]],Table_NFI[[#This Row],[Blanket]])</f>
        <v>0</v>
      </c>
      <c r="AE1032" s="294">
        <f>IF(NFI_Expiration=1,IF($A1032&lt;VLOOKUP(N$5,NFI,5,0),1,0)*Table_NFI[[#This Row],[Kitchen Set]],Table_NFI[Kitchen Set])</f>
        <v>0</v>
      </c>
      <c r="AF1032" s="294">
        <f>IF(NFI_Expiration=1,IF($A1032&lt;VLOOKUP(O$5,NFI,5,0),1,0)*Table_NFI[[#This Row],[Clothes Kit]],Table_NFI[Clothes Kit])</f>
        <v>0</v>
      </c>
      <c r="AG1032" s="294">
        <f>IF(NFI_Expiration=1,IF($A1032&lt;VLOOKUP(P$5,NFI,5,0),1,0)*Table_NFI[[#This Row],[Plastic Bucket]],Table_NFI[Plastic Bucket])</f>
        <v>0</v>
      </c>
      <c r="AH1032" s="294">
        <f>IF(NFI_Expiration=1,IF($A1032&lt;VLOOKUP(Q$5,NFI,5,0),1,0)*Table_NFI[[#This Row],[Plastic Mat]],Table_NFI[Plastic Mat])*IF(Table_NFI[[#This Row],[Distribution Date]]&gt;"2014-04-01",1,2.5)</f>
        <v>0</v>
      </c>
      <c r="AI1032" s="294">
        <f>IF(NFI_Expiration=1,IF($A1032&lt;VLOOKUP(R$5,NFI,5,0),1,0)*Table_NFI[[#This Row],[Winter Clothes Adult]],Table_NFI[Winter Clothes Adult])</f>
        <v>0</v>
      </c>
      <c r="AJ1032" s="294">
        <f>IF(NFI_Expiration=1,IF($A1032&lt;VLOOKUP(S$5,NFI,5,0),1,0)*Table_NFI[[#This Row],[Winter Clothes Children]],Table_NFI[Winter Clothes Children])</f>
        <v>0</v>
      </c>
      <c r="AK1032" s="294">
        <f>IF(NFI_Expiration=1,IF($A1032&lt;VLOOKUP(T$5,NFI,5,0),1,0)*Table_NFI[[#This Row],[Winter Items Other]],Table_NFI[Winter Items Other])</f>
        <v>0</v>
      </c>
      <c r="AL1032" s="294">
        <f>IF(NFI_Expiration=1,IF($A1032&lt;VLOOKUP(M$5,NFI,5,0),1,0)*Table_NFI[[#This Row],[Winter Blanket]],Table_NFI[[#This Row],[Winter Blanket]])</f>
        <v>0</v>
      </c>
      <c r="AM1032" s="294">
        <f>IF(Table_NFI[[#This Row],[Winter Clothes Adult]]+Table_NFI[[#This Row],[Winter Clothes Children]]+Table_NFI[[#This Row],[Winter Items Other]]+Table_NFI[[#This Row],[Winter Blanket]]&gt;0,1,0)</f>
        <v>0</v>
      </c>
      <c r="AN1032" s="331">
        <f>IF(NFI_Expiration=1,IF($A1032&lt;VLOOKUP(V$5,NFI,5,0),1,0)*Table_NFI[[#This Row],[Jerry Can]],Table_NFI[Jerry Can])</f>
        <v>0</v>
      </c>
      <c r="AO1032" s="331">
        <f>IF(NFI_Expiration=1,IF($A1032&lt;VLOOKUP(V$5,NFI,5,0),1,0)*Table_NFI[[#This Row],[Shelter Tool kit]],Table_NFI[Shelter Tool kit])</f>
        <v>0</v>
      </c>
      <c r="AP1032" s="331">
        <f>IF(NFI_Expiration=1,IF($A1032&lt;VLOOKUP(V$5,NFI,5,0),1,0)*Table_NFI[[#This Row],[Tent]],Table_NFI[Tent])</f>
        <v>0</v>
      </c>
      <c r="AQ1032" s="467" t="str">
        <f>IFERROR(VLOOKUP(Table_NFI[[#This Row],[Camp Name]],CL,2,0),"")</f>
        <v/>
      </c>
      <c r="AR1032" s="835" t="str">
        <f ca="1">IF(Table_NFI[[#This Row],[Pcode]]="","",IF(OFFSET(CampList[Opening Date],MATCH(Table_NFI[[#This Row],[Pcode]],CampList[CP_Pcode],0)-1,0,1,1)&gt;=NFI_Monitor_Date,1,0))</f>
        <v/>
      </c>
      <c r="AS1032" s="467" t="str">
        <f>IFERROR(VLOOKUP(Table_NFI[[#This Row],[Camp Name]],CL,3,0),"")</f>
        <v/>
      </c>
      <c r="AT1032" s="294" t="str">
        <f ca="1">IF(Table_NFI[[#This Row],[Pcode]]="","",OFFSET(CampList[Priority],MATCH(Table_NFI[[#This Row],[Pcode]],CampList[CP_Pcode],0)-1,0,1,1))</f>
        <v/>
      </c>
      <c r="AU1032" s="293" t="str">
        <f>IFERROR(Table_NFI[[#This Row],[Kitchen Set]]/VLOOKUP(Table_NFI[[#This Row],[Camp Name]],CL,4,0),"")</f>
        <v/>
      </c>
      <c r="AV1032" s="461" t="s">
        <v>1092</v>
      </c>
      <c r="AW1032" s="463" t="s">
        <v>1162</v>
      </c>
    </row>
    <row r="1033" spans="1:49" s="464" customFormat="1" ht="15" customHeight="1" x14ac:dyDescent="0.25">
      <c r="A1033" s="297">
        <f t="shared" si="16"/>
        <v>59.033333333333331</v>
      </c>
      <c r="B1033" s="460">
        <v>40965</v>
      </c>
      <c r="C1033" s="461" t="s">
        <v>452</v>
      </c>
      <c r="D1033" s="461" t="s">
        <v>902</v>
      </c>
      <c r="E1033" s="461" t="s">
        <v>380</v>
      </c>
      <c r="F1033" s="290" t="s">
        <v>237</v>
      </c>
      <c r="G1033" s="290" t="s">
        <v>917</v>
      </c>
      <c r="H1033" s="291"/>
      <c r="I1033" s="291"/>
      <c r="J1033" s="291"/>
      <c r="K1033" s="291">
        <v>25</v>
      </c>
      <c r="L1033" s="292">
        <v>0</v>
      </c>
      <c r="M1033" s="292">
        <v>25</v>
      </c>
      <c r="N1033" s="292">
        <v>0</v>
      </c>
      <c r="O1033" s="292">
        <v>10</v>
      </c>
      <c r="P1033" s="294">
        <v>10</v>
      </c>
      <c r="Q1033" s="294">
        <v>10</v>
      </c>
      <c r="R1033" s="294"/>
      <c r="S1033" s="294"/>
      <c r="T1033" s="294"/>
      <c r="U1033" s="294"/>
      <c r="V1033" s="431"/>
      <c r="W1033" s="294"/>
      <c r="X1033" s="294"/>
      <c r="Y1033" s="294">
        <f>IF(NFI_Expiration=1,IF($A1033&lt;VLOOKUP(H$5,NFI,5,0),1,0)*Table_NFI[[#This Row],[Hygiene Kit]],Table_NFI[Hygiene Kit])</f>
        <v>0</v>
      </c>
      <c r="Z1033" s="294">
        <f>IF(NFI_Expiration=1,IF($A1033&lt;VLOOKUP(I$5,NFI,5,0),1,0)*Table_NFI[[#This Row],[NFI Core Kit]],Table_NFI[NFI Core Kit])</f>
        <v>0</v>
      </c>
      <c r="AA1033" s="294">
        <f>IF(NFI_Expiration=1,IF($A1033&lt;VLOOKUP(J$5,NFI,5,0),1,0)*Table_NFI[[#This Row],[Sanitary Kit]],Table_NFI[Sanitary Kit])</f>
        <v>0</v>
      </c>
      <c r="AB1033" s="294">
        <f>IF(NFI_Expiration=1,IF($A1033&lt;VLOOKUP(K$5,NFI,5,0),1,0)*Table_NFI[[#This Row],[Mosquito net]],Table_NFI[Mosquito net])</f>
        <v>0</v>
      </c>
      <c r="AC1033" s="294">
        <f>IF(NFI_Expiration=1,IF($A1033&lt;VLOOKUP(L$5,NFI,5,0),1,0)*Table_NFI[[#This Row],[Tarpaulin]],Table_NFI[[#This Row],[Tarpaulin]])</f>
        <v>0</v>
      </c>
      <c r="AD1033" s="294">
        <f>IF(NFI_Expiration=1,IF($A1033&lt;VLOOKUP(M$5,NFI,5,0),1,0)*Table_NFI[[#This Row],[Blanket]],Table_NFI[[#This Row],[Blanket]])</f>
        <v>0</v>
      </c>
      <c r="AE1033" s="294">
        <f>IF(NFI_Expiration=1,IF($A1033&lt;VLOOKUP(N$5,NFI,5,0),1,0)*Table_NFI[[#This Row],[Kitchen Set]],Table_NFI[Kitchen Set])</f>
        <v>0</v>
      </c>
      <c r="AF1033" s="294">
        <f>IF(NFI_Expiration=1,IF($A1033&lt;VLOOKUP(O$5,NFI,5,0),1,0)*Table_NFI[[#This Row],[Clothes Kit]],Table_NFI[Clothes Kit])</f>
        <v>0</v>
      </c>
      <c r="AG1033" s="294">
        <f>IF(NFI_Expiration=1,IF($A1033&lt;VLOOKUP(P$5,NFI,5,0),1,0)*Table_NFI[[#This Row],[Plastic Bucket]],Table_NFI[Plastic Bucket])</f>
        <v>0</v>
      </c>
      <c r="AH1033" s="294">
        <f>IF(NFI_Expiration=1,IF($A1033&lt;VLOOKUP(Q$5,NFI,5,0),1,0)*Table_NFI[[#This Row],[Plastic Mat]],Table_NFI[Plastic Mat])*IF(Table_NFI[[#This Row],[Distribution Date]]&gt;"2014-04-01",1,2.5)</f>
        <v>0</v>
      </c>
      <c r="AI1033" s="294">
        <f>IF(NFI_Expiration=1,IF($A1033&lt;VLOOKUP(R$5,NFI,5,0),1,0)*Table_NFI[[#This Row],[Winter Clothes Adult]],Table_NFI[Winter Clothes Adult])</f>
        <v>0</v>
      </c>
      <c r="AJ1033" s="294">
        <f>IF(NFI_Expiration=1,IF($A1033&lt;VLOOKUP(S$5,NFI,5,0),1,0)*Table_NFI[[#This Row],[Winter Clothes Children]],Table_NFI[Winter Clothes Children])</f>
        <v>0</v>
      </c>
      <c r="AK1033" s="294">
        <f>IF(NFI_Expiration=1,IF($A1033&lt;VLOOKUP(T$5,NFI,5,0),1,0)*Table_NFI[[#This Row],[Winter Items Other]],Table_NFI[Winter Items Other])</f>
        <v>0</v>
      </c>
      <c r="AL1033" s="294">
        <f>IF(NFI_Expiration=1,IF($A1033&lt;VLOOKUP(M$5,NFI,5,0),1,0)*Table_NFI[[#This Row],[Winter Blanket]],Table_NFI[[#This Row],[Winter Blanket]])</f>
        <v>0</v>
      </c>
      <c r="AM1033" s="294">
        <f>IF(Table_NFI[[#This Row],[Winter Clothes Adult]]+Table_NFI[[#This Row],[Winter Clothes Children]]+Table_NFI[[#This Row],[Winter Items Other]]+Table_NFI[[#This Row],[Winter Blanket]]&gt;0,1,0)</f>
        <v>0</v>
      </c>
      <c r="AN1033" s="331">
        <f>IF(NFI_Expiration=1,IF($A1033&lt;VLOOKUP(V$5,NFI,5,0),1,0)*Table_NFI[[#This Row],[Jerry Can]],Table_NFI[Jerry Can])</f>
        <v>0</v>
      </c>
      <c r="AO1033" s="331">
        <f>IF(NFI_Expiration=1,IF($A1033&lt;VLOOKUP(V$5,NFI,5,0),1,0)*Table_NFI[[#This Row],[Shelter Tool kit]],Table_NFI[Shelter Tool kit])</f>
        <v>0</v>
      </c>
      <c r="AP1033" s="331">
        <f>IF(NFI_Expiration=1,IF($A1033&lt;VLOOKUP(V$5,NFI,5,0),1,0)*Table_NFI[[#This Row],[Tent]],Table_NFI[Tent])</f>
        <v>0</v>
      </c>
      <c r="AQ1033" s="467" t="str">
        <f>IFERROR(VLOOKUP(Table_NFI[[#This Row],[Camp Name]],CL,2,0),"")</f>
        <v/>
      </c>
      <c r="AR1033" s="835" t="str">
        <f ca="1">IF(Table_NFI[[#This Row],[Pcode]]="","",IF(OFFSET(CampList[Opening Date],MATCH(Table_NFI[[#This Row],[Pcode]],CampList[CP_Pcode],0)-1,0,1,1)&gt;=NFI_Monitor_Date,1,0))</f>
        <v/>
      </c>
      <c r="AS1033" s="467" t="str">
        <f>IFERROR(VLOOKUP(Table_NFI[[#This Row],[Camp Name]],CL,3,0),"")</f>
        <v/>
      </c>
      <c r="AT1033" s="294" t="str">
        <f ca="1">IF(Table_NFI[[#This Row],[Pcode]]="","",OFFSET(CampList[Priority],MATCH(Table_NFI[[#This Row],[Pcode]],CampList[CP_Pcode],0)-1,0,1,1))</f>
        <v/>
      </c>
      <c r="AU1033" s="293" t="str">
        <f>IFERROR(Table_NFI[[#This Row],[Kitchen Set]]/VLOOKUP(Table_NFI[[#This Row],[Camp Name]],CL,4,0),"")</f>
        <v/>
      </c>
      <c r="AV1033" s="461" t="s">
        <v>1092</v>
      </c>
      <c r="AW1033" s="463"/>
    </row>
    <row r="1034" spans="1:49" s="464" customFormat="1" ht="14.45" customHeight="1" x14ac:dyDescent="0.25">
      <c r="A1034" s="297">
        <f t="shared" si="16"/>
        <v>59.133333333333333</v>
      </c>
      <c r="B1034" s="460">
        <v>40962</v>
      </c>
      <c r="C1034" s="461" t="s">
        <v>905</v>
      </c>
      <c r="D1034" s="462" t="s">
        <v>905</v>
      </c>
      <c r="E1034" s="461" t="s">
        <v>380</v>
      </c>
      <c r="F1034" s="290" t="s">
        <v>185</v>
      </c>
      <c r="G1034" s="290" t="s">
        <v>186</v>
      </c>
      <c r="H1034" s="294">
        <v>172</v>
      </c>
      <c r="I1034" s="291"/>
      <c r="J1034" s="291"/>
      <c r="K1034" s="291"/>
      <c r="L1034" s="292"/>
      <c r="M1034" s="292"/>
      <c r="N1034" s="292"/>
      <c r="O1034" s="292"/>
      <c r="P1034" s="294"/>
      <c r="Q1034" s="294"/>
      <c r="R1034" s="294"/>
      <c r="S1034" s="294"/>
      <c r="T1034" s="294"/>
      <c r="U1034" s="294"/>
      <c r="V1034" s="431"/>
      <c r="W1034" s="294"/>
      <c r="X1034" s="294"/>
      <c r="Y1034" s="294">
        <f>IF(NFI_Expiration=1,IF($A1034&lt;VLOOKUP(H$5,NFI,5,0),1,0)*Table_NFI[[#This Row],[Hygiene Kit]],Table_NFI[Hygiene Kit])</f>
        <v>0</v>
      </c>
      <c r="Z1034" s="294">
        <f>IF(NFI_Expiration=1,IF($A1034&lt;VLOOKUP(I$5,NFI,5,0),1,0)*Table_NFI[[#This Row],[NFI Core Kit]],Table_NFI[NFI Core Kit])</f>
        <v>0</v>
      </c>
      <c r="AA1034" s="294">
        <f>IF(NFI_Expiration=1,IF($A1034&lt;VLOOKUP(J$5,NFI,5,0),1,0)*Table_NFI[[#This Row],[Sanitary Kit]],Table_NFI[Sanitary Kit])</f>
        <v>0</v>
      </c>
      <c r="AB1034" s="294">
        <f>IF(NFI_Expiration=1,IF($A1034&lt;VLOOKUP(K$5,NFI,5,0),1,0)*Table_NFI[[#This Row],[Mosquito net]],Table_NFI[Mosquito net])</f>
        <v>0</v>
      </c>
      <c r="AC1034" s="294">
        <f>IF(NFI_Expiration=1,IF($A1034&lt;VLOOKUP(L$5,NFI,5,0),1,0)*Table_NFI[[#This Row],[Tarpaulin]],Table_NFI[[#This Row],[Tarpaulin]])</f>
        <v>0</v>
      </c>
      <c r="AD1034" s="294">
        <f>IF(NFI_Expiration=1,IF($A1034&lt;VLOOKUP(M$5,NFI,5,0),1,0)*Table_NFI[[#This Row],[Blanket]],Table_NFI[[#This Row],[Blanket]])</f>
        <v>0</v>
      </c>
      <c r="AE1034" s="294">
        <f>IF(NFI_Expiration=1,IF($A1034&lt;VLOOKUP(N$5,NFI,5,0),1,0)*Table_NFI[[#This Row],[Kitchen Set]],Table_NFI[Kitchen Set])</f>
        <v>0</v>
      </c>
      <c r="AF1034" s="294">
        <f>IF(NFI_Expiration=1,IF($A1034&lt;VLOOKUP(O$5,NFI,5,0),1,0)*Table_NFI[[#This Row],[Clothes Kit]],Table_NFI[Clothes Kit])</f>
        <v>0</v>
      </c>
      <c r="AG1034" s="294">
        <f>IF(NFI_Expiration=1,IF($A1034&lt;VLOOKUP(P$5,NFI,5,0),1,0)*Table_NFI[[#This Row],[Plastic Bucket]],Table_NFI[Plastic Bucket])</f>
        <v>0</v>
      </c>
      <c r="AH1034" s="294">
        <f>IF(NFI_Expiration=1,IF($A1034&lt;VLOOKUP(Q$5,NFI,5,0),1,0)*Table_NFI[[#This Row],[Plastic Mat]],Table_NFI[Plastic Mat])*IF(Table_NFI[[#This Row],[Distribution Date]]&gt;"2014-04-01",1,2.5)</f>
        <v>0</v>
      </c>
      <c r="AI1034" s="294">
        <f>IF(NFI_Expiration=1,IF($A1034&lt;VLOOKUP(R$5,NFI,5,0),1,0)*Table_NFI[[#This Row],[Winter Clothes Adult]],Table_NFI[Winter Clothes Adult])</f>
        <v>0</v>
      </c>
      <c r="AJ1034" s="294">
        <f>IF(NFI_Expiration=1,IF($A1034&lt;VLOOKUP(S$5,NFI,5,0),1,0)*Table_NFI[[#This Row],[Winter Clothes Children]],Table_NFI[Winter Clothes Children])</f>
        <v>0</v>
      </c>
      <c r="AK1034" s="294">
        <f>IF(NFI_Expiration=1,IF($A1034&lt;VLOOKUP(T$5,NFI,5,0),1,0)*Table_NFI[[#This Row],[Winter Items Other]],Table_NFI[Winter Items Other])</f>
        <v>0</v>
      </c>
      <c r="AL1034" s="294">
        <f>IF(NFI_Expiration=1,IF($A1034&lt;VLOOKUP(M$5,NFI,5,0),1,0)*Table_NFI[[#This Row],[Winter Blanket]],Table_NFI[[#This Row],[Winter Blanket]])</f>
        <v>0</v>
      </c>
      <c r="AM1034" s="294">
        <f>IF(Table_NFI[[#This Row],[Winter Clothes Adult]]+Table_NFI[[#This Row],[Winter Clothes Children]]+Table_NFI[[#This Row],[Winter Items Other]]+Table_NFI[[#This Row],[Winter Blanket]]&gt;0,1,0)</f>
        <v>0</v>
      </c>
      <c r="AN1034" s="331">
        <f>IF(NFI_Expiration=1,IF($A1034&lt;VLOOKUP(V$5,NFI,5,0),1,0)*Table_NFI[[#This Row],[Jerry Can]],Table_NFI[Jerry Can])</f>
        <v>0</v>
      </c>
      <c r="AO1034" s="331">
        <f>IF(NFI_Expiration=1,IF($A1034&lt;VLOOKUP(V$5,NFI,5,0),1,0)*Table_NFI[[#This Row],[Shelter Tool kit]],Table_NFI[Shelter Tool kit])</f>
        <v>0</v>
      </c>
      <c r="AP1034" s="331">
        <f>IF(NFI_Expiration=1,IF($A1034&lt;VLOOKUP(V$5,NFI,5,0),1,0)*Table_NFI[[#This Row],[Tent]],Table_NFI[Tent])</f>
        <v>0</v>
      </c>
      <c r="AQ1034" s="467" t="str">
        <f>IFERROR(VLOOKUP(Table_NFI[[#This Row],[Camp Name]],CL,2,0),"")</f>
        <v>MMR001CMP071</v>
      </c>
      <c r="AR1034" s="835">
        <f ca="1">IF(Table_NFI[[#This Row],[Pcode]]="","",IF(OFFSET(CampList[Opening Date],MATCH(Table_NFI[[#This Row],[Pcode]],CampList[CP_Pcode],0)-1,0,1,1)&gt;=NFI_Monitor_Date,1,0))</f>
        <v>0</v>
      </c>
      <c r="AS1034" s="467" t="str">
        <f>IFERROR(VLOOKUP(Table_NFI[[#This Row],[Camp Name]],CL,3,0),"")</f>
        <v>Open</v>
      </c>
      <c r="AT1034" s="294" t="str">
        <f ca="1">IF(Table_NFI[[#This Row],[Pcode]]="","",OFFSET(CampList[Priority],MATCH(Table_NFI[[#This Row],[Pcode]],CampList[CP_Pcode],0)-1,0,1,1))</f>
        <v>P3</v>
      </c>
      <c r="AU1034" s="293">
        <f>IFERROR(Table_NFI[[#This Row],[Kitchen Set]]/VLOOKUP(Table_NFI[[#This Row],[Camp Name]],CL,4,0),"")</f>
        <v>0</v>
      </c>
      <c r="AV1034" s="461"/>
      <c r="AW1034" s="463"/>
    </row>
    <row r="1035" spans="1:49" s="464" customFormat="1" ht="14.45" customHeight="1" x14ac:dyDescent="0.25">
      <c r="A1035" s="297">
        <f t="shared" si="16"/>
        <v>59.133333333333333</v>
      </c>
      <c r="B1035" s="460">
        <v>40962</v>
      </c>
      <c r="C1035" s="461" t="s">
        <v>905</v>
      </c>
      <c r="D1035" s="461" t="s">
        <v>905</v>
      </c>
      <c r="E1035" s="461" t="s">
        <v>380</v>
      </c>
      <c r="F1035" s="461" t="s">
        <v>185</v>
      </c>
      <c r="G1035" s="290" t="s">
        <v>223</v>
      </c>
      <c r="H1035" s="294">
        <v>227</v>
      </c>
      <c r="I1035" s="291"/>
      <c r="J1035" s="291"/>
      <c r="K1035" s="291"/>
      <c r="L1035" s="292"/>
      <c r="M1035" s="292"/>
      <c r="N1035" s="292"/>
      <c r="O1035" s="292"/>
      <c r="P1035" s="294"/>
      <c r="Q1035" s="294"/>
      <c r="R1035" s="294"/>
      <c r="S1035" s="294"/>
      <c r="T1035" s="294"/>
      <c r="U1035" s="294"/>
      <c r="V1035" s="431"/>
      <c r="W1035" s="294"/>
      <c r="X1035" s="294"/>
      <c r="Y1035" s="294">
        <f>IF(NFI_Expiration=1,IF($A1035&lt;VLOOKUP(H$5,NFI,5,0),1,0)*Table_NFI[[#This Row],[Hygiene Kit]],Table_NFI[Hygiene Kit])</f>
        <v>0</v>
      </c>
      <c r="Z1035" s="294">
        <f>IF(NFI_Expiration=1,IF($A1035&lt;VLOOKUP(I$5,NFI,5,0),1,0)*Table_NFI[[#This Row],[NFI Core Kit]],Table_NFI[NFI Core Kit])</f>
        <v>0</v>
      </c>
      <c r="AA1035" s="294">
        <f>IF(NFI_Expiration=1,IF($A1035&lt;VLOOKUP(J$5,NFI,5,0),1,0)*Table_NFI[[#This Row],[Sanitary Kit]],Table_NFI[Sanitary Kit])</f>
        <v>0</v>
      </c>
      <c r="AB1035" s="294">
        <f>IF(NFI_Expiration=1,IF($A1035&lt;VLOOKUP(K$5,NFI,5,0),1,0)*Table_NFI[[#This Row],[Mosquito net]],Table_NFI[Mosquito net])</f>
        <v>0</v>
      </c>
      <c r="AC1035" s="294">
        <f>IF(NFI_Expiration=1,IF($A1035&lt;VLOOKUP(L$5,NFI,5,0),1,0)*Table_NFI[[#This Row],[Tarpaulin]],Table_NFI[[#This Row],[Tarpaulin]])</f>
        <v>0</v>
      </c>
      <c r="AD1035" s="294">
        <f>IF(NFI_Expiration=1,IF($A1035&lt;VLOOKUP(M$5,NFI,5,0),1,0)*Table_NFI[[#This Row],[Blanket]],Table_NFI[[#This Row],[Blanket]])</f>
        <v>0</v>
      </c>
      <c r="AE1035" s="294">
        <f>IF(NFI_Expiration=1,IF($A1035&lt;VLOOKUP(N$5,NFI,5,0),1,0)*Table_NFI[[#This Row],[Kitchen Set]],Table_NFI[Kitchen Set])</f>
        <v>0</v>
      </c>
      <c r="AF1035" s="294">
        <f>IF(NFI_Expiration=1,IF($A1035&lt;VLOOKUP(O$5,NFI,5,0),1,0)*Table_NFI[[#This Row],[Clothes Kit]],Table_NFI[Clothes Kit])</f>
        <v>0</v>
      </c>
      <c r="AG1035" s="294">
        <f>IF(NFI_Expiration=1,IF($A1035&lt;VLOOKUP(P$5,NFI,5,0),1,0)*Table_NFI[[#This Row],[Plastic Bucket]],Table_NFI[Plastic Bucket])</f>
        <v>0</v>
      </c>
      <c r="AH1035" s="294">
        <f>IF(NFI_Expiration=1,IF($A1035&lt;VLOOKUP(Q$5,NFI,5,0),1,0)*Table_NFI[[#This Row],[Plastic Mat]],Table_NFI[Plastic Mat])*IF(Table_NFI[[#This Row],[Distribution Date]]&gt;"2014-04-01",1,2.5)</f>
        <v>0</v>
      </c>
      <c r="AI1035" s="294">
        <f>IF(NFI_Expiration=1,IF($A1035&lt;VLOOKUP(R$5,NFI,5,0),1,0)*Table_NFI[[#This Row],[Winter Clothes Adult]],Table_NFI[Winter Clothes Adult])</f>
        <v>0</v>
      </c>
      <c r="AJ1035" s="294">
        <f>IF(NFI_Expiration=1,IF($A1035&lt;VLOOKUP(S$5,NFI,5,0),1,0)*Table_NFI[[#This Row],[Winter Clothes Children]],Table_NFI[Winter Clothes Children])</f>
        <v>0</v>
      </c>
      <c r="AK1035" s="294">
        <f>IF(NFI_Expiration=1,IF($A1035&lt;VLOOKUP(T$5,NFI,5,0),1,0)*Table_NFI[[#This Row],[Winter Items Other]],Table_NFI[Winter Items Other])</f>
        <v>0</v>
      </c>
      <c r="AL1035" s="294">
        <f>IF(NFI_Expiration=1,IF($A1035&lt;VLOOKUP(M$5,NFI,5,0),1,0)*Table_NFI[[#This Row],[Winter Blanket]],Table_NFI[[#This Row],[Winter Blanket]])</f>
        <v>0</v>
      </c>
      <c r="AM1035" s="294">
        <f>IF(Table_NFI[[#This Row],[Winter Clothes Adult]]+Table_NFI[[#This Row],[Winter Clothes Children]]+Table_NFI[[#This Row],[Winter Items Other]]+Table_NFI[[#This Row],[Winter Blanket]]&gt;0,1,0)</f>
        <v>0</v>
      </c>
      <c r="AN1035" s="331">
        <f>IF(NFI_Expiration=1,IF($A1035&lt;VLOOKUP(V$5,NFI,5,0),1,0)*Table_NFI[[#This Row],[Jerry Can]],Table_NFI[Jerry Can])</f>
        <v>0</v>
      </c>
      <c r="AO1035" s="331">
        <f>IF(NFI_Expiration=1,IF($A1035&lt;VLOOKUP(V$5,NFI,5,0),1,0)*Table_NFI[[#This Row],[Shelter Tool kit]],Table_NFI[Shelter Tool kit])</f>
        <v>0</v>
      </c>
      <c r="AP1035" s="331">
        <f>IF(NFI_Expiration=1,IF($A1035&lt;VLOOKUP(V$5,NFI,5,0),1,0)*Table_NFI[[#This Row],[Tent]],Table_NFI[Tent])</f>
        <v>0</v>
      </c>
      <c r="AQ1035" s="467" t="str">
        <f>IFERROR(VLOOKUP(Table_NFI[[#This Row],[Camp Name]],CL,2,0),"")</f>
        <v>MMR001CMP069</v>
      </c>
      <c r="AR1035" s="835">
        <f ca="1">IF(Table_NFI[[#This Row],[Pcode]]="","",IF(OFFSET(CampList[Opening Date],MATCH(Table_NFI[[#This Row],[Pcode]],CampList[CP_Pcode],0)-1,0,1,1)&gt;=NFI_Monitor_Date,1,0))</f>
        <v>0</v>
      </c>
      <c r="AS1035" s="467" t="str">
        <f>IFERROR(VLOOKUP(Table_NFI[[#This Row],[Camp Name]],CL,3,0),"")</f>
        <v>Open</v>
      </c>
      <c r="AT1035" s="294" t="str">
        <f ca="1">IF(Table_NFI[[#This Row],[Pcode]]="","",OFFSET(CampList[Priority],MATCH(Table_NFI[[#This Row],[Pcode]],CampList[CP_Pcode],0)-1,0,1,1))</f>
        <v>P3</v>
      </c>
      <c r="AU1035" s="293">
        <f>IFERROR(Table_NFI[[#This Row],[Kitchen Set]]/VLOOKUP(Table_NFI[[#This Row],[Camp Name]],CL,4,0),"")</f>
        <v>0</v>
      </c>
      <c r="AV1035" s="461"/>
      <c r="AW1035" s="463"/>
    </row>
    <row r="1036" spans="1:49" s="464" customFormat="1" ht="15" customHeight="1" x14ac:dyDescent="0.25">
      <c r="A1036" s="297">
        <f t="shared" si="16"/>
        <v>59.166666666666664</v>
      </c>
      <c r="B1036" s="460">
        <v>40961</v>
      </c>
      <c r="C1036" s="461" t="s">
        <v>905</v>
      </c>
      <c r="D1036" s="461" t="s">
        <v>905</v>
      </c>
      <c r="E1036" s="461" t="s">
        <v>380</v>
      </c>
      <c r="F1036" s="461" t="s">
        <v>5</v>
      </c>
      <c r="G1036" s="461" t="s">
        <v>1425</v>
      </c>
      <c r="H1036" s="294">
        <v>23</v>
      </c>
      <c r="I1036" s="291"/>
      <c r="J1036" s="292"/>
      <c r="K1036" s="291"/>
      <c r="L1036" s="292"/>
      <c r="M1036" s="292"/>
      <c r="N1036" s="292"/>
      <c r="O1036" s="292"/>
      <c r="P1036" s="294"/>
      <c r="Q1036" s="294"/>
      <c r="R1036" s="294"/>
      <c r="S1036" s="294"/>
      <c r="T1036" s="294"/>
      <c r="U1036" s="294"/>
      <c r="V1036" s="431"/>
      <c r="W1036" s="294"/>
      <c r="X1036" s="294"/>
      <c r="Y1036" s="294">
        <f>IF(NFI_Expiration=1,IF($A1036&lt;VLOOKUP(H$5,NFI,5,0),1,0)*Table_NFI[[#This Row],[Hygiene Kit]],Table_NFI[Hygiene Kit])</f>
        <v>0</v>
      </c>
      <c r="Z1036" s="294">
        <f>IF(NFI_Expiration=1,IF($A1036&lt;VLOOKUP(I$5,NFI,5,0),1,0)*Table_NFI[[#This Row],[NFI Core Kit]],Table_NFI[NFI Core Kit])</f>
        <v>0</v>
      </c>
      <c r="AA1036" s="294">
        <f>IF(NFI_Expiration=1,IF($A1036&lt;VLOOKUP(J$5,NFI,5,0),1,0)*Table_NFI[[#This Row],[Sanitary Kit]],Table_NFI[Sanitary Kit])</f>
        <v>0</v>
      </c>
      <c r="AB1036" s="294">
        <f>IF(NFI_Expiration=1,IF($A1036&lt;VLOOKUP(K$5,NFI,5,0),1,0)*Table_NFI[[#This Row],[Mosquito net]],Table_NFI[Mosquito net])</f>
        <v>0</v>
      </c>
      <c r="AC1036" s="294">
        <f>IF(NFI_Expiration=1,IF($A1036&lt;VLOOKUP(L$5,NFI,5,0),1,0)*Table_NFI[[#This Row],[Tarpaulin]],Table_NFI[[#This Row],[Tarpaulin]])</f>
        <v>0</v>
      </c>
      <c r="AD1036" s="294">
        <f>IF(NFI_Expiration=1,IF($A1036&lt;VLOOKUP(M$5,NFI,5,0),1,0)*Table_NFI[[#This Row],[Blanket]],Table_NFI[[#This Row],[Blanket]])</f>
        <v>0</v>
      </c>
      <c r="AE1036" s="294">
        <f>IF(NFI_Expiration=1,IF($A1036&lt;VLOOKUP(N$5,NFI,5,0),1,0)*Table_NFI[[#This Row],[Kitchen Set]],Table_NFI[Kitchen Set])</f>
        <v>0</v>
      </c>
      <c r="AF1036" s="294">
        <f>IF(NFI_Expiration=1,IF($A1036&lt;VLOOKUP(O$5,NFI,5,0),1,0)*Table_NFI[[#This Row],[Clothes Kit]],Table_NFI[Clothes Kit])</f>
        <v>0</v>
      </c>
      <c r="AG1036" s="294">
        <f>IF(NFI_Expiration=1,IF($A1036&lt;VLOOKUP(P$5,NFI,5,0),1,0)*Table_NFI[[#This Row],[Plastic Bucket]],Table_NFI[Plastic Bucket])</f>
        <v>0</v>
      </c>
      <c r="AH1036" s="294">
        <f>IF(NFI_Expiration=1,IF($A1036&lt;VLOOKUP(Q$5,NFI,5,0),1,0)*Table_NFI[[#This Row],[Plastic Mat]],Table_NFI[Plastic Mat])*IF(Table_NFI[[#This Row],[Distribution Date]]&gt;"2014-04-01",1,2.5)</f>
        <v>0</v>
      </c>
      <c r="AI1036" s="294">
        <f>IF(NFI_Expiration=1,IF($A1036&lt;VLOOKUP(R$5,NFI,5,0),1,0)*Table_NFI[[#This Row],[Winter Clothes Adult]],Table_NFI[Winter Clothes Adult])</f>
        <v>0</v>
      </c>
      <c r="AJ1036" s="294">
        <f>IF(NFI_Expiration=1,IF($A1036&lt;VLOOKUP(S$5,NFI,5,0),1,0)*Table_NFI[[#This Row],[Winter Clothes Children]],Table_NFI[Winter Clothes Children])</f>
        <v>0</v>
      </c>
      <c r="AK1036" s="294">
        <f>IF(NFI_Expiration=1,IF($A1036&lt;VLOOKUP(T$5,NFI,5,0),1,0)*Table_NFI[[#This Row],[Winter Items Other]],Table_NFI[Winter Items Other])</f>
        <v>0</v>
      </c>
      <c r="AL1036" s="294">
        <f>IF(NFI_Expiration=1,IF($A1036&lt;VLOOKUP(M$5,NFI,5,0),1,0)*Table_NFI[[#This Row],[Winter Blanket]],Table_NFI[[#This Row],[Winter Blanket]])</f>
        <v>0</v>
      </c>
      <c r="AM1036" s="294">
        <f>IF(Table_NFI[[#This Row],[Winter Clothes Adult]]+Table_NFI[[#This Row],[Winter Clothes Children]]+Table_NFI[[#This Row],[Winter Items Other]]+Table_NFI[[#This Row],[Winter Blanket]]&gt;0,1,0)</f>
        <v>0</v>
      </c>
      <c r="AN1036" s="331">
        <f>IF(NFI_Expiration=1,IF($A1036&lt;VLOOKUP(V$5,NFI,5,0),1,0)*Table_NFI[[#This Row],[Jerry Can]],Table_NFI[Jerry Can])</f>
        <v>0</v>
      </c>
      <c r="AO1036" s="331">
        <f>IF(NFI_Expiration=1,IF($A1036&lt;VLOOKUP(V$5,NFI,5,0),1,0)*Table_NFI[[#This Row],[Shelter Tool kit]],Table_NFI[Shelter Tool kit])</f>
        <v>0</v>
      </c>
      <c r="AP1036" s="331">
        <f>IF(NFI_Expiration=1,IF($A1036&lt;VLOOKUP(V$5,NFI,5,0),1,0)*Table_NFI[[#This Row],[Tent]],Table_NFI[Tent])</f>
        <v>0</v>
      </c>
      <c r="AQ1036" s="467" t="str">
        <f>IFERROR(VLOOKUP(Table_NFI[[#This Row],[Camp Name]],CL,2,0),"")</f>
        <v/>
      </c>
      <c r="AR1036" s="835" t="str">
        <f ca="1">IF(Table_NFI[[#This Row],[Pcode]]="","",IF(OFFSET(CampList[Opening Date],MATCH(Table_NFI[[#This Row],[Pcode]],CampList[CP_Pcode],0)-1,0,1,1)&gt;=NFI_Monitor_Date,1,0))</f>
        <v/>
      </c>
      <c r="AS1036" s="467" t="str">
        <f>IFERROR(VLOOKUP(Table_NFI[[#This Row],[Camp Name]],CL,3,0),"")</f>
        <v/>
      </c>
      <c r="AT1036" s="294" t="str">
        <f ca="1">IF(Table_NFI[[#This Row],[Pcode]]="","",OFFSET(CampList[Priority],MATCH(Table_NFI[[#This Row],[Pcode]],CampList[CP_Pcode],0)-1,0,1,1))</f>
        <v/>
      </c>
      <c r="AU1036" s="293" t="str">
        <f>IFERROR(Table_NFI[[#This Row],[Kitchen Set]]/VLOOKUP(Table_NFI[[#This Row],[Camp Name]],CL,4,0),"")</f>
        <v/>
      </c>
      <c r="AV1036" s="461"/>
      <c r="AW1036" s="463"/>
    </row>
    <row r="1037" spans="1:49" s="464" customFormat="1" ht="14.45" customHeight="1" x14ac:dyDescent="0.25">
      <c r="A1037" s="297">
        <f t="shared" si="16"/>
        <v>59.166666666666664</v>
      </c>
      <c r="B1037" s="460">
        <v>40961</v>
      </c>
      <c r="C1037" s="461" t="s">
        <v>452</v>
      </c>
      <c r="D1037" s="461" t="s">
        <v>505</v>
      </c>
      <c r="E1037" s="461" t="s">
        <v>380</v>
      </c>
      <c r="F1037" s="461" t="s">
        <v>185</v>
      </c>
      <c r="G1037" s="461" t="s">
        <v>217</v>
      </c>
      <c r="H1037" s="294">
        <v>149</v>
      </c>
      <c r="I1037" s="294"/>
      <c r="J1037" s="294"/>
      <c r="K1037" s="294"/>
      <c r="L1037" s="292"/>
      <c r="M1037" s="292"/>
      <c r="N1037" s="292"/>
      <c r="O1037" s="292"/>
      <c r="P1037" s="294"/>
      <c r="Q1037" s="294"/>
      <c r="R1037" s="294"/>
      <c r="S1037" s="294"/>
      <c r="T1037" s="294"/>
      <c r="U1037" s="294"/>
      <c r="V1037" s="431"/>
      <c r="W1037" s="331"/>
      <c r="X1037" s="331"/>
      <c r="Y1037" s="294">
        <f>IF(NFI_Expiration=1,IF($A1037&lt;VLOOKUP(H$5,NFI,5,0),1,0)*Table_NFI[[#This Row],[Hygiene Kit]],Table_NFI[Hygiene Kit])</f>
        <v>0</v>
      </c>
      <c r="Z1037" s="294">
        <f>IF(NFI_Expiration=1,IF($A1037&lt;VLOOKUP(I$5,NFI,5,0),1,0)*Table_NFI[[#This Row],[NFI Core Kit]],Table_NFI[NFI Core Kit])</f>
        <v>0</v>
      </c>
      <c r="AA1037" s="294">
        <f>IF(NFI_Expiration=1,IF($A1037&lt;VLOOKUP(J$5,NFI,5,0),1,0)*Table_NFI[[#This Row],[Sanitary Kit]],Table_NFI[Sanitary Kit])</f>
        <v>0</v>
      </c>
      <c r="AB1037" s="294">
        <f>IF(NFI_Expiration=1,IF($A1037&lt;VLOOKUP(K$5,NFI,5,0),1,0)*Table_NFI[[#This Row],[Mosquito net]],Table_NFI[Mosquito net])</f>
        <v>0</v>
      </c>
      <c r="AC1037" s="294">
        <f>IF(NFI_Expiration=1,IF($A1037&lt;VLOOKUP(L$5,NFI,5,0),1,0)*Table_NFI[[#This Row],[Tarpaulin]],Table_NFI[[#This Row],[Tarpaulin]])</f>
        <v>0</v>
      </c>
      <c r="AD1037" s="294">
        <f>IF(NFI_Expiration=1,IF($A1037&lt;VLOOKUP(M$5,NFI,5,0),1,0)*Table_NFI[[#This Row],[Blanket]],Table_NFI[[#This Row],[Blanket]])</f>
        <v>0</v>
      </c>
      <c r="AE1037" s="294">
        <f>IF(NFI_Expiration=1,IF($A1037&lt;VLOOKUP(N$5,NFI,5,0),1,0)*Table_NFI[[#This Row],[Kitchen Set]],Table_NFI[Kitchen Set])</f>
        <v>0</v>
      </c>
      <c r="AF1037" s="294">
        <f>IF(NFI_Expiration=1,IF($A1037&lt;VLOOKUP(O$5,NFI,5,0),1,0)*Table_NFI[[#This Row],[Clothes Kit]],Table_NFI[Clothes Kit])</f>
        <v>0</v>
      </c>
      <c r="AG1037" s="294">
        <f>IF(NFI_Expiration=1,IF($A1037&lt;VLOOKUP(P$5,NFI,5,0),1,0)*Table_NFI[[#This Row],[Plastic Bucket]],Table_NFI[Plastic Bucket])</f>
        <v>0</v>
      </c>
      <c r="AH1037" s="294">
        <f>IF(NFI_Expiration=1,IF($A1037&lt;VLOOKUP(Q$5,NFI,5,0),1,0)*Table_NFI[[#This Row],[Plastic Mat]],Table_NFI[Plastic Mat])*IF(Table_NFI[[#This Row],[Distribution Date]]&gt;"2014-04-01",1,2.5)</f>
        <v>0</v>
      </c>
      <c r="AI1037" s="294">
        <f>IF(NFI_Expiration=1,IF($A1037&lt;VLOOKUP(R$5,NFI,5,0),1,0)*Table_NFI[[#This Row],[Winter Clothes Adult]],Table_NFI[Winter Clothes Adult])</f>
        <v>0</v>
      </c>
      <c r="AJ1037" s="294">
        <f>IF(NFI_Expiration=1,IF($A1037&lt;VLOOKUP(S$5,NFI,5,0),1,0)*Table_NFI[[#This Row],[Winter Clothes Children]],Table_NFI[Winter Clothes Children])</f>
        <v>0</v>
      </c>
      <c r="AK1037" s="294">
        <f>IF(NFI_Expiration=1,IF($A1037&lt;VLOOKUP(T$5,NFI,5,0),1,0)*Table_NFI[[#This Row],[Winter Items Other]],Table_NFI[Winter Items Other])</f>
        <v>0</v>
      </c>
      <c r="AL1037" s="294">
        <f>IF(NFI_Expiration=1,IF($A1037&lt;VLOOKUP(M$5,NFI,5,0),1,0)*Table_NFI[[#This Row],[Winter Blanket]],Table_NFI[[#This Row],[Winter Blanket]])</f>
        <v>0</v>
      </c>
      <c r="AM1037" s="294">
        <f>IF(Table_NFI[[#This Row],[Winter Clothes Adult]]+Table_NFI[[#This Row],[Winter Clothes Children]]+Table_NFI[[#This Row],[Winter Items Other]]+Table_NFI[[#This Row],[Winter Blanket]]&gt;0,1,0)</f>
        <v>0</v>
      </c>
      <c r="AN1037" s="331">
        <f>IF(NFI_Expiration=1,IF($A1037&lt;VLOOKUP(V$5,NFI,5,0),1,0)*Table_NFI[[#This Row],[Jerry Can]],Table_NFI[Jerry Can])</f>
        <v>0</v>
      </c>
      <c r="AO1037" s="331">
        <f>IF(NFI_Expiration=1,IF($A1037&lt;VLOOKUP(V$5,NFI,5,0),1,0)*Table_NFI[[#This Row],[Shelter Tool kit]],Table_NFI[Shelter Tool kit])</f>
        <v>0</v>
      </c>
      <c r="AP1037" s="331">
        <f>IF(NFI_Expiration=1,IF($A1037&lt;VLOOKUP(V$5,NFI,5,0),1,0)*Table_NFI[[#This Row],[Tent]],Table_NFI[Tent])</f>
        <v>0</v>
      </c>
      <c r="AQ1037" s="467" t="str">
        <f>IFERROR(VLOOKUP(Table_NFI[[#This Row],[Camp Name]],CL,2,0),"")</f>
        <v>MMR001CMP059</v>
      </c>
      <c r="AR1037" s="835">
        <f ca="1">IF(Table_NFI[[#This Row],[Pcode]]="","",IF(OFFSET(CampList[Opening Date],MATCH(Table_NFI[[#This Row],[Pcode]],CampList[CP_Pcode],0)-1,0,1,1)&gt;=NFI_Monitor_Date,1,0))</f>
        <v>0</v>
      </c>
      <c r="AS1037" s="467" t="str">
        <f>IFERROR(VLOOKUP(Table_NFI[[#This Row],[Camp Name]],CL,3,0),"")</f>
        <v>Closed</v>
      </c>
      <c r="AT1037" s="294" t="str">
        <f ca="1">IF(Table_NFI[[#This Row],[Pcode]]="","",OFFSET(CampList[Priority],MATCH(Table_NFI[[#This Row],[Pcode]],CampList[CP_Pcode],0)-1,0,1,1))</f>
        <v>P4</v>
      </c>
      <c r="AU1037" s="293">
        <f>IFERROR(Table_NFI[[#This Row],[Kitchen Set]]/VLOOKUP(Table_NFI[[#This Row],[Camp Name]],CL,4,0),"")</f>
        <v>0</v>
      </c>
      <c r="AV1037" s="461"/>
      <c r="AW1037" s="463"/>
    </row>
    <row r="1038" spans="1:49" s="464" customFormat="1" ht="13.15" customHeight="1" x14ac:dyDescent="0.25">
      <c r="A1038" s="297">
        <f t="shared" si="16"/>
        <v>59.166666666666664</v>
      </c>
      <c r="B1038" s="460">
        <v>40961</v>
      </c>
      <c r="C1038" s="461" t="s">
        <v>905</v>
      </c>
      <c r="D1038" s="461" t="s">
        <v>905</v>
      </c>
      <c r="E1038" s="461" t="s">
        <v>380</v>
      </c>
      <c r="F1038" s="461" t="s">
        <v>185</v>
      </c>
      <c r="G1038" s="290" t="s">
        <v>217</v>
      </c>
      <c r="H1038" s="294">
        <v>149</v>
      </c>
      <c r="I1038" s="291"/>
      <c r="J1038" s="292"/>
      <c r="K1038" s="291"/>
      <c r="L1038" s="292"/>
      <c r="M1038" s="292"/>
      <c r="N1038" s="292"/>
      <c r="O1038" s="292"/>
      <c r="P1038" s="294"/>
      <c r="Q1038" s="294"/>
      <c r="R1038" s="294"/>
      <c r="S1038" s="294"/>
      <c r="T1038" s="294"/>
      <c r="U1038" s="294"/>
      <c r="V1038" s="431"/>
      <c r="W1038" s="331"/>
      <c r="X1038" s="331"/>
      <c r="Y1038" s="294">
        <f>IF(NFI_Expiration=1,IF($A1038&lt;VLOOKUP(H$5,NFI,5,0),1,0)*Table_NFI[[#This Row],[Hygiene Kit]],Table_NFI[Hygiene Kit])</f>
        <v>0</v>
      </c>
      <c r="Z1038" s="294">
        <f>IF(NFI_Expiration=1,IF($A1038&lt;VLOOKUP(I$5,NFI,5,0),1,0)*Table_NFI[[#This Row],[NFI Core Kit]],Table_NFI[NFI Core Kit])</f>
        <v>0</v>
      </c>
      <c r="AA1038" s="294">
        <f>IF(NFI_Expiration=1,IF($A1038&lt;VLOOKUP(J$5,NFI,5,0),1,0)*Table_NFI[[#This Row],[Sanitary Kit]],Table_NFI[Sanitary Kit])</f>
        <v>0</v>
      </c>
      <c r="AB1038" s="294">
        <f>IF(NFI_Expiration=1,IF($A1038&lt;VLOOKUP(K$5,NFI,5,0),1,0)*Table_NFI[[#This Row],[Mosquito net]],Table_NFI[Mosquito net])</f>
        <v>0</v>
      </c>
      <c r="AC1038" s="294">
        <f>IF(NFI_Expiration=1,IF($A1038&lt;VLOOKUP(L$5,NFI,5,0),1,0)*Table_NFI[[#This Row],[Tarpaulin]],Table_NFI[[#This Row],[Tarpaulin]])</f>
        <v>0</v>
      </c>
      <c r="AD1038" s="294">
        <f>IF(NFI_Expiration=1,IF($A1038&lt;VLOOKUP(M$5,NFI,5,0),1,0)*Table_NFI[[#This Row],[Blanket]],Table_NFI[[#This Row],[Blanket]])</f>
        <v>0</v>
      </c>
      <c r="AE1038" s="294">
        <f>IF(NFI_Expiration=1,IF($A1038&lt;VLOOKUP(N$5,NFI,5,0),1,0)*Table_NFI[[#This Row],[Kitchen Set]],Table_NFI[Kitchen Set])</f>
        <v>0</v>
      </c>
      <c r="AF1038" s="294">
        <f>IF(NFI_Expiration=1,IF($A1038&lt;VLOOKUP(O$5,NFI,5,0),1,0)*Table_NFI[[#This Row],[Clothes Kit]],Table_NFI[Clothes Kit])</f>
        <v>0</v>
      </c>
      <c r="AG1038" s="294">
        <f>IF(NFI_Expiration=1,IF($A1038&lt;VLOOKUP(P$5,NFI,5,0),1,0)*Table_NFI[[#This Row],[Plastic Bucket]],Table_NFI[Plastic Bucket])</f>
        <v>0</v>
      </c>
      <c r="AH1038" s="294">
        <f>IF(NFI_Expiration=1,IF($A1038&lt;VLOOKUP(Q$5,NFI,5,0),1,0)*Table_NFI[[#This Row],[Plastic Mat]],Table_NFI[Plastic Mat])*IF(Table_NFI[[#This Row],[Distribution Date]]&gt;"2014-04-01",1,2.5)</f>
        <v>0</v>
      </c>
      <c r="AI1038" s="294">
        <f>IF(NFI_Expiration=1,IF($A1038&lt;VLOOKUP(R$5,NFI,5,0),1,0)*Table_NFI[[#This Row],[Winter Clothes Adult]],Table_NFI[Winter Clothes Adult])</f>
        <v>0</v>
      </c>
      <c r="AJ1038" s="294">
        <f>IF(NFI_Expiration=1,IF($A1038&lt;VLOOKUP(S$5,NFI,5,0),1,0)*Table_NFI[[#This Row],[Winter Clothes Children]],Table_NFI[Winter Clothes Children])</f>
        <v>0</v>
      </c>
      <c r="AK1038" s="294">
        <f>IF(NFI_Expiration=1,IF($A1038&lt;VLOOKUP(T$5,NFI,5,0),1,0)*Table_NFI[[#This Row],[Winter Items Other]],Table_NFI[Winter Items Other])</f>
        <v>0</v>
      </c>
      <c r="AL1038" s="294">
        <f>IF(NFI_Expiration=1,IF($A1038&lt;VLOOKUP(M$5,NFI,5,0),1,0)*Table_NFI[[#This Row],[Winter Blanket]],Table_NFI[[#This Row],[Winter Blanket]])</f>
        <v>0</v>
      </c>
      <c r="AM1038" s="294">
        <f>IF(Table_NFI[[#This Row],[Winter Clothes Adult]]+Table_NFI[[#This Row],[Winter Clothes Children]]+Table_NFI[[#This Row],[Winter Items Other]]+Table_NFI[[#This Row],[Winter Blanket]]&gt;0,1,0)</f>
        <v>0</v>
      </c>
      <c r="AN1038" s="331">
        <f>IF(NFI_Expiration=1,IF($A1038&lt;VLOOKUP(V$5,NFI,5,0),1,0)*Table_NFI[[#This Row],[Jerry Can]],Table_NFI[Jerry Can])</f>
        <v>0</v>
      </c>
      <c r="AO1038" s="331">
        <f>IF(NFI_Expiration=1,IF($A1038&lt;VLOOKUP(V$5,NFI,5,0),1,0)*Table_NFI[[#This Row],[Shelter Tool kit]],Table_NFI[Shelter Tool kit])</f>
        <v>0</v>
      </c>
      <c r="AP1038" s="331">
        <f>IF(NFI_Expiration=1,IF($A1038&lt;VLOOKUP(V$5,NFI,5,0),1,0)*Table_NFI[[#This Row],[Tent]],Table_NFI[Tent])</f>
        <v>0</v>
      </c>
      <c r="AQ1038" s="467" t="str">
        <f>IFERROR(VLOOKUP(Table_NFI[[#This Row],[Camp Name]],CL,2,0),"")</f>
        <v>MMR001CMP059</v>
      </c>
      <c r="AR1038" s="835">
        <f ca="1">IF(Table_NFI[[#This Row],[Pcode]]="","",IF(OFFSET(CampList[Opening Date],MATCH(Table_NFI[[#This Row],[Pcode]],CampList[CP_Pcode],0)-1,0,1,1)&gt;=NFI_Monitor_Date,1,0))</f>
        <v>0</v>
      </c>
      <c r="AS1038" s="467" t="str">
        <f>IFERROR(VLOOKUP(Table_NFI[[#This Row],[Camp Name]],CL,3,0),"")</f>
        <v>Closed</v>
      </c>
      <c r="AT1038" s="294" t="str">
        <f ca="1">IF(Table_NFI[[#This Row],[Pcode]]="","",OFFSET(CampList[Priority],MATCH(Table_NFI[[#This Row],[Pcode]],CampList[CP_Pcode],0)-1,0,1,1))</f>
        <v>P4</v>
      </c>
      <c r="AU1038" s="293">
        <f>IFERROR(Table_NFI[[#This Row],[Kitchen Set]]/VLOOKUP(Table_NFI[[#This Row],[Camp Name]],CL,4,0),"")</f>
        <v>0</v>
      </c>
      <c r="AV1038" s="461"/>
      <c r="AW1038" s="463"/>
    </row>
    <row r="1039" spans="1:49" s="464" customFormat="1" ht="14.45" customHeight="1" x14ac:dyDescent="0.25">
      <c r="A1039" s="297">
        <f t="shared" si="16"/>
        <v>59.333333333333336</v>
      </c>
      <c r="B1039" s="460">
        <v>40956</v>
      </c>
      <c r="C1039" s="461" t="s">
        <v>905</v>
      </c>
      <c r="D1039" s="462" t="s">
        <v>905</v>
      </c>
      <c r="E1039" s="461" t="s">
        <v>380</v>
      </c>
      <c r="F1039" s="290" t="s">
        <v>5</v>
      </c>
      <c r="G1039" s="290" t="s">
        <v>14</v>
      </c>
      <c r="H1039" s="294">
        <v>240</v>
      </c>
      <c r="I1039" s="291"/>
      <c r="J1039" s="291"/>
      <c r="K1039" s="291"/>
      <c r="L1039" s="292"/>
      <c r="M1039" s="292"/>
      <c r="N1039" s="292"/>
      <c r="O1039" s="292"/>
      <c r="P1039" s="294"/>
      <c r="Q1039" s="294"/>
      <c r="R1039" s="294"/>
      <c r="S1039" s="294"/>
      <c r="T1039" s="294"/>
      <c r="U1039" s="294"/>
      <c r="V1039" s="431"/>
      <c r="W1039" s="331"/>
      <c r="X1039" s="331"/>
      <c r="Y1039" s="294">
        <f>IF(NFI_Expiration=1,IF($A1039&lt;VLOOKUP(H$5,NFI,5,0),1,0)*Table_NFI[[#This Row],[Hygiene Kit]],Table_NFI[Hygiene Kit])</f>
        <v>0</v>
      </c>
      <c r="Z1039" s="294">
        <f>IF(NFI_Expiration=1,IF($A1039&lt;VLOOKUP(I$5,NFI,5,0),1,0)*Table_NFI[[#This Row],[NFI Core Kit]],Table_NFI[NFI Core Kit])</f>
        <v>0</v>
      </c>
      <c r="AA1039" s="294">
        <f>IF(NFI_Expiration=1,IF($A1039&lt;VLOOKUP(J$5,NFI,5,0),1,0)*Table_NFI[[#This Row],[Sanitary Kit]],Table_NFI[Sanitary Kit])</f>
        <v>0</v>
      </c>
      <c r="AB1039" s="294">
        <f>IF(NFI_Expiration=1,IF($A1039&lt;VLOOKUP(K$5,NFI,5,0),1,0)*Table_NFI[[#This Row],[Mosquito net]],Table_NFI[Mosquito net])</f>
        <v>0</v>
      </c>
      <c r="AC1039" s="294">
        <f>IF(NFI_Expiration=1,IF($A1039&lt;VLOOKUP(L$5,NFI,5,0),1,0)*Table_NFI[[#This Row],[Tarpaulin]],Table_NFI[[#This Row],[Tarpaulin]])</f>
        <v>0</v>
      </c>
      <c r="AD1039" s="294">
        <f>IF(NFI_Expiration=1,IF($A1039&lt;VLOOKUP(M$5,NFI,5,0),1,0)*Table_NFI[[#This Row],[Blanket]],Table_NFI[[#This Row],[Blanket]])</f>
        <v>0</v>
      </c>
      <c r="AE1039" s="294">
        <f>IF(NFI_Expiration=1,IF($A1039&lt;VLOOKUP(N$5,NFI,5,0),1,0)*Table_NFI[[#This Row],[Kitchen Set]],Table_NFI[Kitchen Set])</f>
        <v>0</v>
      </c>
      <c r="AF1039" s="294">
        <f>IF(NFI_Expiration=1,IF($A1039&lt;VLOOKUP(O$5,NFI,5,0),1,0)*Table_NFI[[#This Row],[Clothes Kit]],Table_NFI[Clothes Kit])</f>
        <v>0</v>
      </c>
      <c r="AG1039" s="294">
        <f>IF(NFI_Expiration=1,IF($A1039&lt;VLOOKUP(P$5,NFI,5,0),1,0)*Table_NFI[[#This Row],[Plastic Bucket]],Table_NFI[Plastic Bucket])</f>
        <v>0</v>
      </c>
      <c r="AH1039" s="294">
        <f>IF(NFI_Expiration=1,IF($A1039&lt;VLOOKUP(Q$5,NFI,5,0),1,0)*Table_NFI[[#This Row],[Plastic Mat]],Table_NFI[Plastic Mat])*IF(Table_NFI[[#This Row],[Distribution Date]]&gt;"2014-04-01",1,2.5)</f>
        <v>0</v>
      </c>
      <c r="AI1039" s="294">
        <f>IF(NFI_Expiration=1,IF($A1039&lt;VLOOKUP(R$5,NFI,5,0),1,0)*Table_NFI[[#This Row],[Winter Clothes Adult]],Table_NFI[Winter Clothes Adult])</f>
        <v>0</v>
      </c>
      <c r="AJ1039" s="294">
        <f>IF(NFI_Expiration=1,IF($A1039&lt;VLOOKUP(S$5,NFI,5,0),1,0)*Table_NFI[[#This Row],[Winter Clothes Children]],Table_NFI[Winter Clothes Children])</f>
        <v>0</v>
      </c>
      <c r="AK1039" s="294">
        <f>IF(NFI_Expiration=1,IF($A1039&lt;VLOOKUP(T$5,NFI,5,0),1,0)*Table_NFI[[#This Row],[Winter Items Other]],Table_NFI[Winter Items Other])</f>
        <v>0</v>
      </c>
      <c r="AL1039" s="294">
        <f>IF(NFI_Expiration=1,IF($A1039&lt;VLOOKUP(M$5,NFI,5,0),1,0)*Table_NFI[[#This Row],[Winter Blanket]],Table_NFI[[#This Row],[Winter Blanket]])</f>
        <v>0</v>
      </c>
      <c r="AM1039" s="294">
        <f>IF(Table_NFI[[#This Row],[Winter Clothes Adult]]+Table_NFI[[#This Row],[Winter Clothes Children]]+Table_NFI[[#This Row],[Winter Items Other]]+Table_NFI[[#This Row],[Winter Blanket]]&gt;0,1,0)</f>
        <v>0</v>
      </c>
      <c r="AN1039" s="331">
        <f>IF(NFI_Expiration=1,IF($A1039&lt;VLOOKUP(V$5,NFI,5,0),1,0)*Table_NFI[[#This Row],[Jerry Can]],Table_NFI[Jerry Can])</f>
        <v>0</v>
      </c>
      <c r="AO1039" s="331">
        <f>IF(NFI_Expiration=1,IF($A1039&lt;VLOOKUP(V$5,NFI,5,0),1,0)*Table_NFI[[#This Row],[Shelter Tool kit]],Table_NFI[Shelter Tool kit])</f>
        <v>0</v>
      </c>
      <c r="AP1039" s="331">
        <f>IF(NFI_Expiration=1,IF($A1039&lt;VLOOKUP(V$5,NFI,5,0),1,0)*Table_NFI[[#This Row],[Tent]],Table_NFI[Tent])</f>
        <v>0</v>
      </c>
      <c r="AQ1039" s="467" t="str">
        <f>IFERROR(VLOOKUP(Table_NFI[[#This Row],[Camp Name]],CL,2,0),"")</f>
        <v>MMR001CMP052</v>
      </c>
      <c r="AR1039" s="835">
        <f ca="1">IF(Table_NFI[[#This Row],[Pcode]]="","",IF(OFFSET(CampList[Opening Date],MATCH(Table_NFI[[#This Row],[Pcode]],CampList[CP_Pcode],0)-1,0,1,1)&gt;=NFI_Monitor_Date,1,0))</f>
        <v>0</v>
      </c>
      <c r="AS1039" s="467" t="str">
        <f>IFERROR(VLOOKUP(Table_NFI[[#This Row],[Camp Name]],CL,3,0),"")</f>
        <v>Open</v>
      </c>
      <c r="AT1039" s="294" t="str">
        <f ca="1">IF(Table_NFI[[#This Row],[Pcode]]="","",OFFSET(CampList[Priority],MATCH(Table_NFI[[#This Row],[Pcode]],CampList[CP_Pcode],0)-1,0,1,1))</f>
        <v>P4</v>
      </c>
      <c r="AU1039" s="293">
        <f>IFERROR(Table_NFI[[#This Row],[Kitchen Set]]/VLOOKUP(Table_NFI[[#This Row],[Camp Name]],CL,4,0),"")</f>
        <v>0</v>
      </c>
      <c r="AV1039" s="461"/>
      <c r="AW1039" s="463"/>
    </row>
    <row r="1040" spans="1:49" s="472" customFormat="1" ht="17.45" customHeight="1" x14ac:dyDescent="0.25">
      <c r="A1040" s="297">
        <f t="shared" si="16"/>
        <v>59.4</v>
      </c>
      <c r="B1040" s="460">
        <v>40954</v>
      </c>
      <c r="C1040" s="462" t="s">
        <v>905</v>
      </c>
      <c r="D1040" s="462" t="s">
        <v>905</v>
      </c>
      <c r="E1040" s="461" t="s">
        <v>380</v>
      </c>
      <c r="F1040" s="461" t="s">
        <v>302</v>
      </c>
      <c r="G1040" s="290" t="s">
        <v>12</v>
      </c>
      <c r="H1040" s="294">
        <v>1070</v>
      </c>
      <c r="I1040" s="291"/>
      <c r="J1040" s="291"/>
      <c r="K1040" s="291"/>
      <c r="L1040" s="292"/>
      <c r="M1040" s="292"/>
      <c r="N1040" s="292"/>
      <c r="O1040" s="292"/>
      <c r="P1040" s="294"/>
      <c r="Q1040" s="294"/>
      <c r="R1040" s="294"/>
      <c r="S1040" s="294"/>
      <c r="T1040" s="294"/>
      <c r="U1040" s="294"/>
      <c r="V1040" s="431"/>
      <c r="W1040" s="331"/>
      <c r="X1040" s="331"/>
      <c r="Y1040" s="294">
        <f>IF(NFI_Expiration=1,IF($A1040&lt;VLOOKUP(H$5,NFI,5,0),1,0)*Table_NFI[[#This Row],[Hygiene Kit]],Table_NFI[Hygiene Kit])</f>
        <v>0</v>
      </c>
      <c r="Z1040" s="294">
        <f>IF(NFI_Expiration=1,IF($A1040&lt;VLOOKUP(I$5,NFI,5,0),1,0)*Table_NFI[[#This Row],[NFI Core Kit]],Table_NFI[NFI Core Kit])</f>
        <v>0</v>
      </c>
      <c r="AA1040" s="294">
        <f>IF(NFI_Expiration=1,IF($A1040&lt;VLOOKUP(J$5,NFI,5,0),1,0)*Table_NFI[[#This Row],[Sanitary Kit]],Table_NFI[Sanitary Kit])</f>
        <v>0</v>
      </c>
      <c r="AB1040" s="294">
        <f>IF(NFI_Expiration=1,IF($A1040&lt;VLOOKUP(K$5,NFI,5,0),1,0)*Table_NFI[[#This Row],[Mosquito net]],Table_NFI[Mosquito net])</f>
        <v>0</v>
      </c>
      <c r="AC1040" s="294">
        <f>IF(NFI_Expiration=1,IF($A1040&lt;VLOOKUP(L$5,NFI,5,0),1,0)*Table_NFI[[#This Row],[Tarpaulin]],Table_NFI[[#This Row],[Tarpaulin]])</f>
        <v>0</v>
      </c>
      <c r="AD1040" s="294">
        <f>IF(NFI_Expiration=1,IF($A1040&lt;VLOOKUP(M$5,NFI,5,0),1,0)*Table_NFI[[#This Row],[Blanket]],Table_NFI[[#This Row],[Blanket]])</f>
        <v>0</v>
      </c>
      <c r="AE1040" s="294">
        <f>IF(NFI_Expiration=1,IF($A1040&lt;VLOOKUP(N$5,NFI,5,0),1,0)*Table_NFI[[#This Row],[Kitchen Set]],Table_NFI[Kitchen Set])</f>
        <v>0</v>
      </c>
      <c r="AF1040" s="294">
        <f>IF(NFI_Expiration=1,IF($A1040&lt;VLOOKUP(O$5,NFI,5,0),1,0)*Table_NFI[[#This Row],[Clothes Kit]],Table_NFI[Clothes Kit])</f>
        <v>0</v>
      </c>
      <c r="AG1040" s="294">
        <f>IF(NFI_Expiration=1,IF($A1040&lt;VLOOKUP(P$5,NFI,5,0),1,0)*Table_NFI[[#This Row],[Plastic Bucket]],Table_NFI[Plastic Bucket])</f>
        <v>0</v>
      </c>
      <c r="AH1040" s="294">
        <f>IF(NFI_Expiration=1,IF($A1040&lt;VLOOKUP(Q$5,NFI,5,0),1,0)*Table_NFI[[#This Row],[Plastic Mat]],Table_NFI[Plastic Mat])*IF(Table_NFI[[#This Row],[Distribution Date]]&gt;"2014-04-01",1,2.5)</f>
        <v>0</v>
      </c>
      <c r="AI1040" s="294">
        <f>IF(NFI_Expiration=1,IF($A1040&lt;VLOOKUP(R$5,NFI,5,0),1,0)*Table_NFI[[#This Row],[Winter Clothes Adult]],Table_NFI[Winter Clothes Adult])</f>
        <v>0</v>
      </c>
      <c r="AJ1040" s="294">
        <f>IF(NFI_Expiration=1,IF($A1040&lt;VLOOKUP(S$5,NFI,5,0),1,0)*Table_NFI[[#This Row],[Winter Clothes Children]],Table_NFI[Winter Clothes Children])</f>
        <v>0</v>
      </c>
      <c r="AK1040" s="294">
        <f>IF(NFI_Expiration=1,IF($A1040&lt;VLOOKUP(T$5,NFI,5,0),1,0)*Table_NFI[[#This Row],[Winter Items Other]],Table_NFI[Winter Items Other])</f>
        <v>0</v>
      </c>
      <c r="AL1040" s="294">
        <f>IF(NFI_Expiration=1,IF($A1040&lt;VLOOKUP(M$5,NFI,5,0),1,0)*Table_NFI[[#This Row],[Winter Blanket]],Table_NFI[[#This Row],[Winter Blanket]])</f>
        <v>0</v>
      </c>
      <c r="AM1040" s="294">
        <f>IF(Table_NFI[[#This Row],[Winter Clothes Adult]]+Table_NFI[[#This Row],[Winter Clothes Children]]+Table_NFI[[#This Row],[Winter Items Other]]+Table_NFI[[#This Row],[Winter Blanket]]&gt;0,1,0)</f>
        <v>0</v>
      </c>
      <c r="AN1040" s="331">
        <f>IF(NFI_Expiration=1,IF($A1040&lt;VLOOKUP(V$5,NFI,5,0),1,0)*Table_NFI[[#This Row],[Jerry Can]],Table_NFI[Jerry Can])</f>
        <v>0</v>
      </c>
      <c r="AO1040" s="331">
        <f>IF(NFI_Expiration=1,IF($A1040&lt;VLOOKUP(V$5,NFI,5,0),1,0)*Table_NFI[[#This Row],[Shelter Tool kit]],Table_NFI[Shelter Tool kit])</f>
        <v>0</v>
      </c>
      <c r="AP1040" s="331">
        <f>IF(NFI_Expiration=1,IF($A1040&lt;VLOOKUP(V$5,NFI,5,0),1,0)*Table_NFI[[#This Row],[Tent]],Table_NFI[Tent])</f>
        <v>0</v>
      </c>
      <c r="AQ1040" s="467" t="str">
        <f>IFERROR(VLOOKUP(Table_NFI[[#This Row],[Camp Name]],CL,2,0),"")</f>
        <v>MMR001CMP163</v>
      </c>
      <c r="AR1040" s="835">
        <f ca="1">IF(Table_NFI[[#This Row],[Pcode]]="","",IF(OFFSET(CampList[Opening Date],MATCH(Table_NFI[[#This Row],[Pcode]],CampList[CP_Pcode],0)-1,0,1,1)&gt;=NFI_Monitor_Date,1,0))</f>
        <v>0</v>
      </c>
      <c r="AS1040" s="467" t="str">
        <f>IFERROR(VLOOKUP(Table_NFI[[#This Row],[Camp Name]],CL,3,0),"")</f>
        <v>Open</v>
      </c>
      <c r="AT1040" s="294" t="str">
        <f ca="1">IF(Table_NFI[[#This Row],[Pcode]]="","",OFFSET(CampList[Priority],MATCH(Table_NFI[[#This Row],[Pcode]],CampList[CP_Pcode],0)-1,0,1,1))</f>
        <v>P4</v>
      </c>
      <c r="AU1040" s="293" t="str">
        <f>IFERROR(Table_NFI[[#This Row],[Kitchen Set]]/VLOOKUP(Table_NFI[[#This Row],[Camp Name]],CL,4,0),"")</f>
        <v/>
      </c>
      <c r="AV1040" s="461"/>
      <c r="AW1040" s="463"/>
    </row>
    <row r="1041" spans="1:49" s="464" customFormat="1" ht="19.149999999999999" customHeight="1" x14ac:dyDescent="0.25">
      <c r="A1041" s="297">
        <f t="shared" si="16"/>
        <v>59.4</v>
      </c>
      <c r="B1041" s="460">
        <v>40954</v>
      </c>
      <c r="C1041" s="461" t="s">
        <v>905</v>
      </c>
      <c r="D1041" s="461" t="s">
        <v>905</v>
      </c>
      <c r="E1041" s="461" t="s">
        <v>380</v>
      </c>
      <c r="F1041" s="290" t="s">
        <v>185</v>
      </c>
      <c r="G1041" s="290" t="s">
        <v>202</v>
      </c>
      <c r="H1041" s="294">
        <v>8</v>
      </c>
      <c r="I1041" s="291"/>
      <c r="J1041" s="291"/>
      <c r="K1041" s="291"/>
      <c r="L1041" s="292"/>
      <c r="M1041" s="292"/>
      <c r="N1041" s="292"/>
      <c r="O1041" s="292"/>
      <c r="P1041" s="294"/>
      <c r="Q1041" s="294"/>
      <c r="R1041" s="294"/>
      <c r="S1041" s="294"/>
      <c r="T1041" s="294"/>
      <c r="U1041" s="294"/>
      <c r="V1041" s="431"/>
      <c r="W1041" s="331"/>
      <c r="X1041" s="331"/>
      <c r="Y1041" s="294">
        <f>IF(NFI_Expiration=1,IF($A1041&lt;VLOOKUP(H$5,NFI,5,0),1,0)*Table_NFI[[#This Row],[Hygiene Kit]],Table_NFI[Hygiene Kit])</f>
        <v>0</v>
      </c>
      <c r="Z1041" s="294">
        <f>IF(NFI_Expiration=1,IF($A1041&lt;VLOOKUP(I$5,NFI,5,0),1,0)*Table_NFI[[#This Row],[NFI Core Kit]],Table_NFI[NFI Core Kit])</f>
        <v>0</v>
      </c>
      <c r="AA1041" s="294">
        <f>IF(NFI_Expiration=1,IF($A1041&lt;VLOOKUP(J$5,NFI,5,0),1,0)*Table_NFI[[#This Row],[Sanitary Kit]],Table_NFI[Sanitary Kit])</f>
        <v>0</v>
      </c>
      <c r="AB1041" s="294">
        <f>IF(NFI_Expiration=1,IF($A1041&lt;VLOOKUP(K$5,NFI,5,0),1,0)*Table_NFI[[#This Row],[Mosquito net]],Table_NFI[Mosquito net])</f>
        <v>0</v>
      </c>
      <c r="AC1041" s="294">
        <f>IF(NFI_Expiration=1,IF($A1041&lt;VLOOKUP(L$5,NFI,5,0),1,0)*Table_NFI[[#This Row],[Tarpaulin]],Table_NFI[[#This Row],[Tarpaulin]])</f>
        <v>0</v>
      </c>
      <c r="AD1041" s="294">
        <f>IF(NFI_Expiration=1,IF($A1041&lt;VLOOKUP(M$5,NFI,5,0),1,0)*Table_NFI[[#This Row],[Blanket]],Table_NFI[[#This Row],[Blanket]])</f>
        <v>0</v>
      </c>
      <c r="AE1041" s="294">
        <f>IF(NFI_Expiration=1,IF($A1041&lt;VLOOKUP(N$5,NFI,5,0),1,0)*Table_NFI[[#This Row],[Kitchen Set]],Table_NFI[Kitchen Set])</f>
        <v>0</v>
      </c>
      <c r="AF1041" s="294">
        <f>IF(NFI_Expiration=1,IF($A1041&lt;VLOOKUP(O$5,NFI,5,0),1,0)*Table_NFI[[#This Row],[Clothes Kit]],Table_NFI[Clothes Kit])</f>
        <v>0</v>
      </c>
      <c r="AG1041" s="294">
        <f>IF(NFI_Expiration=1,IF($A1041&lt;VLOOKUP(P$5,NFI,5,0),1,0)*Table_NFI[[#This Row],[Plastic Bucket]],Table_NFI[Plastic Bucket])</f>
        <v>0</v>
      </c>
      <c r="AH1041" s="294">
        <f>IF(NFI_Expiration=1,IF($A1041&lt;VLOOKUP(Q$5,NFI,5,0),1,0)*Table_NFI[[#This Row],[Plastic Mat]],Table_NFI[Plastic Mat])*IF(Table_NFI[[#This Row],[Distribution Date]]&gt;"2014-04-01",1,2.5)</f>
        <v>0</v>
      </c>
      <c r="AI1041" s="294">
        <f>IF(NFI_Expiration=1,IF($A1041&lt;VLOOKUP(R$5,NFI,5,0),1,0)*Table_NFI[[#This Row],[Winter Clothes Adult]],Table_NFI[Winter Clothes Adult])</f>
        <v>0</v>
      </c>
      <c r="AJ1041" s="294">
        <f>IF(NFI_Expiration=1,IF($A1041&lt;VLOOKUP(S$5,NFI,5,0),1,0)*Table_NFI[[#This Row],[Winter Clothes Children]],Table_NFI[Winter Clothes Children])</f>
        <v>0</v>
      </c>
      <c r="AK1041" s="294">
        <f>IF(NFI_Expiration=1,IF($A1041&lt;VLOOKUP(T$5,NFI,5,0),1,0)*Table_NFI[[#This Row],[Winter Items Other]],Table_NFI[Winter Items Other])</f>
        <v>0</v>
      </c>
      <c r="AL1041" s="294">
        <f>IF(NFI_Expiration=1,IF($A1041&lt;VLOOKUP(M$5,NFI,5,0),1,0)*Table_NFI[[#This Row],[Winter Blanket]],Table_NFI[[#This Row],[Winter Blanket]])</f>
        <v>0</v>
      </c>
      <c r="AM1041" s="294">
        <f>IF(Table_NFI[[#This Row],[Winter Clothes Adult]]+Table_NFI[[#This Row],[Winter Clothes Children]]+Table_NFI[[#This Row],[Winter Items Other]]+Table_NFI[[#This Row],[Winter Blanket]]&gt;0,1,0)</f>
        <v>0</v>
      </c>
      <c r="AN1041" s="331">
        <f>IF(NFI_Expiration=1,IF($A1041&lt;VLOOKUP(V$5,NFI,5,0),1,0)*Table_NFI[[#This Row],[Jerry Can]],Table_NFI[Jerry Can])</f>
        <v>0</v>
      </c>
      <c r="AO1041" s="331">
        <f>IF(NFI_Expiration=1,IF($A1041&lt;VLOOKUP(V$5,NFI,5,0),1,0)*Table_NFI[[#This Row],[Shelter Tool kit]],Table_NFI[Shelter Tool kit])</f>
        <v>0</v>
      </c>
      <c r="AP1041" s="331">
        <f>IF(NFI_Expiration=1,IF($A1041&lt;VLOOKUP(V$5,NFI,5,0),1,0)*Table_NFI[[#This Row],[Tent]],Table_NFI[Tent])</f>
        <v>0</v>
      </c>
      <c r="AQ1041" s="467" t="str">
        <f>IFERROR(VLOOKUP(Table_NFI[[#This Row],[Camp Name]],CL,2,0),"")</f>
        <v>MMR001CMP062</v>
      </c>
      <c r="AR1041" s="835">
        <f ca="1">IF(Table_NFI[[#This Row],[Pcode]]="","",IF(OFFSET(CampList[Opening Date],MATCH(Table_NFI[[#This Row],[Pcode]],CampList[CP_Pcode],0)-1,0,1,1)&gt;=NFI_Monitor_Date,1,0))</f>
        <v>0</v>
      </c>
      <c r="AS1041" s="467" t="str">
        <f>IFERROR(VLOOKUP(Table_NFI[[#This Row],[Camp Name]],CL,3,0),"")</f>
        <v>Open</v>
      </c>
      <c r="AT1041" s="294" t="str">
        <f ca="1">IF(Table_NFI[[#This Row],[Pcode]]="","",OFFSET(CampList[Priority],MATCH(Table_NFI[[#This Row],[Pcode]],CampList[CP_Pcode],0)-1,0,1,1))</f>
        <v>P4</v>
      </c>
      <c r="AU1041" s="293">
        <f>IFERROR(Table_NFI[[#This Row],[Kitchen Set]]/VLOOKUP(Table_NFI[[#This Row],[Camp Name]],CL,4,0),"")</f>
        <v>0</v>
      </c>
      <c r="AV1041" s="461"/>
      <c r="AW1041" s="463"/>
    </row>
    <row r="1042" spans="1:49" s="464" customFormat="1" ht="13.15" customHeight="1" x14ac:dyDescent="0.25">
      <c r="A1042" s="297">
        <f t="shared" si="16"/>
        <v>59.43333333333333</v>
      </c>
      <c r="B1042" s="460">
        <v>40953</v>
      </c>
      <c r="C1042" s="462" t="s">
        <v>905</v>
      </c>
      <c r="D1042" s="462" t="s">
        <v>905</v>
      </c>
      <c r="E1042" s="461" t="s">
        <v>380</v>
      </c>
      <c r="F1042" s="461" t="s">
        <v>302</v>
      </c>
      <c r="G1042" s="290" t="s">
        <v>12</v>
      </c>
      <c r="H1042" s="294">
        <v>429</v>
      </c>
      <c r="I1042" s="291"/>
      <c r="J1042" s="291"/>
      <c r="K1042" s="291"/>
      <c r="L1042" s="292"/>
      <c r="M1042" s="292"/>
      <c r="N1042" s="292"/>
      <c r="O1042" s="292"/>
      <c r="P1042" s="294"/>
      <c r="Q1042" s="294"/>
      <c r="R1042" s="294"/>
      <c r="S1042" s="294"/>
      <c r="T1042" s="294"/>
      <c r="U1042" s="294"/>
      <c r="V1042" s="431"/>
      <c r="W1042" s="331"/>
      <c r="X1042" s="331"/>
      <c r="Y1042" s="294">
        <f>IF(NFI_Expiration=1,IF($A1042&lt;VLOOKUP(H$5,NFI,5,0),1,0)*Table_NFI[[#This Row],[Hygiene Kit]],Table_NFI[Hygiene Kit])</f>
        <v>0</v>
      </c>
      <c r="Z1042" s="294">
        <f>IF(NFI_Expiration=1,IF($A1042&lt;VLOOKUP(I$5,NFI,5,0),1,0)*Table_NFI[[#This Row],[NFI Core Kit]],Table_NFI[NFI Core Kit])</f>
        <v>0</v>
      </c>
      <c r="AA1042" s="294">
        <f>IF(NFI_Expiration=1,IF($A1042&lt;VLOOKUP(J$5,NFI,5,0),1,0)*Table_NFI[[#This Row],[Sanitary Kit]],Table_NFI[Sanitary Kit])</f>
        <v>0</v>
      </c>
      <c r="AB1042" s="294">
        <f>IF(NFI_Expiration=1,IF($A1042&lt;VLOOKUP(K$5,NFI,5,0),1,0)*Table_NFI[[#This Row],[Mosquito net]],Table_NFI[Mosquito net])</f>
        <v>0</v>
      </c>
      <c r="AC1042" s="294">
        <f>IF(NFI_Expiration=1,IF($A1042&lt;VLOOKUP(L$5,NFI,5,0),1,0)*Table_NFI[[#This Row],[Tarpaulin]],Table_NFI[[#This Row],[Tarpaulin]])</f>
        <v>0</v>
      </c>
      <c r="AD1042" s="294">
        <f>IF(NFI_Expiration=1,IF($A1042&lt;VLOOKUP(M$5,NFI,5,0),1,0)*Table_NFI[[#This Row],[Blanket]],Table_NFI[[#This Row],[Blanket]])</f>
        <v>0</v>
      </c>
      <c r="AE1042" s="294">
        <f>IF(NFI_Expiration=1,IF($A1042&lt;VLOOKUP(N$5,NFI,5,0),1,0)*Table_NFI[[#This Row],[Kitchen Set]],Table_NFI[Kitchen Set])</f>
        <v>0</v>
      </c>
      <c r="AF1042" s="294">
        <f>IF(NFI_Expiration=1,IF($A1042&lt;VLOOKUP(O$5,NFI,5,0),1,0)*Table_NFI[[#This Row],[Clothes Kit]],Table_NFI[Clothes Kit])</f>
        <v>0</v>
      </c>
      <c r="AG1042" s="294">
        <f>IF(NFI_Expiration=1,IF($A1042&lt;VLOOKUP(P$5,NFI,5,0),1,0)*Table_NFI[[#This Row],[Plastic Bucket]],Table_NFI[Plastic Bucket])</f>
        <v>0</v>
      </c>
      <c r="AH1042" s="294">
        <f>IF(NFI_Expiration=1,IF($A1042&lt;VLOOKUP(Q$5,NFI,5,0),1,0)*Table_NFI[[#This Row],[Plastic Mat]],Table_NFI[Plastic Mat])*IF(Table_NFI[[#This Row],[Distribution Date]]&gt;"2014-04-01",1,2.5)</f>
        <v>0</v>
      </c>
      <c r="AI1042" s="294">
        <f>IF(NFI_Expiration=1,IF($A1042&lt;VLOOKUP(R$5,NFI,5,0),1,0)*Table_NFI[[#This Row],[Winter Clothes Adult]],Table_NFI[Winter Clothes Adult])</f>
        <v>0</v>
      </c>
      <c r="AJ1042" s="294">
        <f>IF(NFI_Expiration=1,IF($A1042&lt;VLOOKUP(S$5,NFI,5,0),1,0)*Table_NFI[[#This Row],[Winter Clothes Children]],Table_NFI[Winter Clothes Children])</f>
        <v>0</v>
      </c>
      <c r="AK1042" s="294">
        <f>IF(NFI_Expiration=1,IF($A1042&lt;VLOOKUP(T$5,NFI,5,0),1,0)*Table_NFI[[#This Row],[Winter Items Other]],Table_NFI[Winter Items Other])</f>
        <v>0</v>
      </c>
      <c r="AL1042" s="294">
        <f>IF(NFI_Expiration=1,IF($A1042&lt;VLOOKUP(M$5,NFI,5,0),1,0)*Table_NFI[[#This Row],[Winter Blanket]],Table_NFI[[#This Row],[Winter Blanket]])</f>
        <v>0</v>
      </c>
      <c r="AM1042" s="294">
        <f>IF(Table_NFI[[#This Row],[Winter Clothes Adult]]+Table_NFI[[#This Row],[Winter Clothes Children]]+Table_NFI[[#This Row],[Winter Items Other]]+Table_NFI[[#This Row],[Winter Blanket]]&gt;0,1,0)</f>
        <v>0</v>
      </c>
      <c r="AN1042" s="331">
        <f>IF(NFI_Expiration=1,IF($A1042&lt;VLOOKUP(V$5,NFI,5,0),1,0)*Table_NFI[[#This Row],[Jerry Can]],Table_NFI[Jerry Can])</f>
        <v>0</v>
      </c>
      <c r="AO1042" s="331">
        <f>IF(NFI_Expiration=1,IF($A1042&lt;VLOOKUP(V$5,NFI,5,0),1,0)*Table_NFI[[#This Row],[Shelter Tool kit]],Table_NFI[Shelter Tool kit])</f>
        <v>0</v>
      </c>
      <c r="AP1042" s="331">
        <f>IF(NFI_Expiration=1,IF($A1042&lt;VLOOKUP(V$5,NFI,5,0),1,0)*Table_NFI[[#This Row],[Tent]],Table_NFI[Tent])</f>
        <v>0</v>
      </c>
      <c r="AQ1042" s="467" t="str">
        <f>IFERROR(VLOOKUP(Table_NFI[[#This Row],[Camp Name]],CL,2,0),"")</f>
        <v>MMR001CMP163</v>
      </c>
      <c r="AR1042" s="835">
        <f ca="1">IF(Table_NFI[[#This Row],[Pcode]]="","",IF(OFFSET(CampList[Opening Date],MATCH(Table_NFI[[#This Row],[Pcode]],CampList[CP_Pcode],0)-1,0,1,1)&gt;=NFI_Monitor_Date,1,0))</f>
        <v>0</v>
      </c>
      <c r="AS1042" s="467" t="str">
        <f>IFERROR(VLOOKUP(Table_NFI[[#This Row],[Camp Name]],CL,3,0),"")</f>
        <v>Open</v>
      </c>
      <c r="AT1042" s="294" t="str">
        <f ca="1">IF(Table_NFI[[#This Row],[Pcode]]="","",OFFSET(CampList[Priority],MATCH(Table_NFI[[#This Row],[Pcode]],CampList[CP_Pcode],0)-1,0,1,1))</f>
        <v>P4</v>
      </c>
      <c r="AU1042" s="293" t="str">
        <f>IFERROR(Table_NFI[[#This Row],[Kitchen Set]]/VLOOKUP(Table_NFI[[#This Row],[Camp Name]],CL,4,0),"")</f>
        <v/>
      </c>
      <c r="AV1042" s="461"/>
      <c r="AW1042" s="463"/>
    </row>
    <row r="1043" spans="1:49" s="464" customFormat="1" ht="13.15" customHeight="1" x14ac:dyDescent="0.25">
      <c r="A1043" s="297">
        <f t="shared" si="16"/>
        <v>59.56666666666667</v>
      </c>
      <c r="B1043" s="460">
        <v>40949</v>
      </c>
      <c r="C1043" s="461" t="s">
        <v>905</v>
      </c>
      <c r="D1043" s="462" t="s">
        <v>905</v>
      </c>
      <c r="E1043" s="461" t="s">
        <v>380</v>
      </c>
      <c r="F1043" s="290" t="s">
        <v>185</v>
      </c>
      <c r="G1043" s="290" t="s">
        <v>211</v>
      </c>
      <c r="H1043" s="294">
        <v>192</v>
      </c>
      <c r="I1043" s="291"/>
      <c r="J1043" s="291"/>
      <c r="K1043" s="291"/>
      <c r="L1043" s="292"/>
      <c r="M1043" s="292"/>
      <c r="N1043" s="292"/>
      <c r="O1043" s="292"/>
      <c r="P1043" s="294"/>
      <c r="Q1043" s="294"/>
      <c r="R1043" s="294"/>
      <c r="S1043" s="294"/>
      <c r="T1043" s="294"/>
      <c r="U1043" s="294"/>
      <c r="V1043" s="431"/>
      <c r="W1043" s="331"/>
      <c r="X1043" s="331"/>
      <c r="Y1043" s="294">
        <f>IF(NFI_Expiration=1,IF($A1043&lt;VLOOKUP(H$5,NFI,5,0),1,0)*Table_NFI[[#This Row],[Hygiene Kit]],Table_NFI[Hygiene Kit])</f>
        <v>0</v>
      </c>
      <c r="Z1043" s="294">
        <f>IF(NFI_Expiration=1,IF($A1043&lt;VLOOKUP(I$5,NFI,5,0),1,0)*Table_NFI[[#This Row],[NFI Core Kit]],Table_NFI[NFI Core Kit])</f>
        <v>0</v>
      </c>
      <c r="AA1043" s="294">
        <f>IF(NFI_Expiration=1,IF($A1043&lt;VLOOKUP(J$5,NFI,5,0),1,0)*Table_NFI[[#This Row],[Sanitary Kit]],Table_NFI[Sanitary Kit])</f>
        <v>0</v>
      </c>
      <c r="AB1043" s="294">
        <f>IF(NFI_Expiration=1,IF($A1043&lt;VLOOKUP(K$5,NFI,5,0),1,0)*Table_NFI[[#This Row],[Mosquito net]],Table_NFI[Mosquito net])</f>
        <v>0</v>
      </c>
      <c r="AC1043" s="294">
        <f>IF(NFI_Expiration=1,IF($A1043&lt;VLOOKUP(L$5,NFI,5,0),1,0)*Table_NFI[[#This Row],[Tarpaulin]],Table_NFI[[#This Row],[Tarpaulin]])</f>
        <v>0</v>
      </c>
      <c r="AD1043" s="294">
        <f>IF(NFI_Expiration=1,IF($A1043&lt;VLOOKUP(M$5,NFI,5,0),1,0)*Table_NFI[[#This Row],[Blanket]],Table_NFI[[#This Row],[Blanket]])</f>
        <v>0</v>
      </c>
      <c r="AE1043" s="294">
        <f>IF(NFI_Expiration=1,IF($A1043&lt;VLOOKUP(N$5,NFI,5,0),1,0)*Table_NFI[[#This Row],[Kitchen Set]],Table_NFI[Kitchen Set])</f>
        <v>0</v>
      </c>
      <c r="AF1043" s="294">
        <f>IF(NFI_Expiration=1,IF($A1043&lt;VLOOKUP(O$5,NFI,5,0),1,0)*Table_NFI[[#This Row],[Clothes Kit]],Table_NFI[Clothes Kit])</f>
        <v>0</v>
      </c>
      <c r="AG1043" s="294">
        <f>IF(NFI_Expiration=1,IF($A1043&lt;VLOOKUP(P$5,NFI,5,0),1,0)*Table_NFI[[#This Row],[Plastic Bucket]],Table_NFI[Plastic Bucket])</f>
        <v>0</v>
      </c>
      <c r="AH1043" s="294">
        <f>IF(NFI_Expiration=1,IF($A1043&lt;VLOOKUP(Q$5,NFI,5,0),1,0)*Table_NFI[[#This Row],[Plastic Mat]],Table_NFI[Plastic Mat])*IF(Table_NFI[[#This Row],[Distribution Date]]&gt;"2014-04-01",1,2.5)</f>
        <v>0</v>
      </c>
      <c r="AI1043" s="294">
        <f>IF(NFI_Expiration=1,IF($A1043&lt;VLOOKUP(R$5,NFI,5,0),1,0)*Table_NFI[[#This Row],[Winter Clothes Adult]],Table_NFI[Winter Clothes Adult])</f>
        <v>0</v>
      </c>
      <c r="AJ1043" s="294">
        <f>IF(NFI_Expiration=1,IF($A1043&lt;VLOOKUP(S$5,NFI,5,0),1,0)*Table_NFI[[#This Row],[Winter Clothes Children]],Table_NFI[Winter Clothes Children])</f>
        <v>0</v>
      </c>
      <c r="AK1043" s="294">
        <f>IF(NFI_Expiration=1,IF($A1043&lt;VLOOKUP(T$5,NFI,5,0),1,0)*Table_NFI[[#This Row],[Winter Items Other]],Table_NFI[Winter Items Other])</f>
        <v>0</v>
      </c>
      <c r="AL1043" s="294">
        <f>IF(NFI_Expiration=1,IF($A1043&lt;VLOOKUP(M$5,NFI,5,0),1,0)*Table_NFI[[#This Row],[Winter Blanket]],Table_NFI[[#This Row],[Winter Blanket]])</f>
        <v>0</v>
      </c>
      <c r="AM1043" s="294">
        <f>IF(Table_NFI[[#This Row],[Winter Clothes Adult]]+Table_NFI[[#This Row],[Winter Clothes Children]]+Table_NFI[[#This Row],[Winter Items Other]]+Table_NFI[[#This Row],[Winter Blanket]]&gt;0,1,0)</f>
        <v>0</v>
      </c>
      <c r="AN1043" s="331">
        <f>IF(NFI_Expiration=1,IF($A1043&lt;VLOOKUP(V$5,NFI,5,0),1,0)*Table_NFI[[#This Row],[Jerry Can]],Table_NFI[Jerry Can])</f>
        <v>0</v>
      </c>
      <c r="AO1043" s="331">
        <f>IF(NFI_Expiration=1,IF($A1043&lt;VLOOKUP(V$5,NFI,5,0),1,0)*Table_NFI[[#This Row],[Shelter Tool kit]],Table_NFI[Shelter Tool kit])</f>
        <v>0</v>
      </c>
      <c r="AP1043" s="331">
        <f>IF(NFI_Expiration=1,IF($A1043&lt;VLOOKUP(V$5,NFI,5,0),1,0)*Table_NFI[[#This Row],[Tent]],Table_NFI[Tent])</f>
        <v>0</v>
      </c>
      <c r="AQ1043" s="467" t="str">
        <f>IFERROR(VLOOKUP(Table_NFI[[#This Row],[Camp Name]],CL,2,0),"")</f>
        <v>MMR001CMP057</v>
      </c>
      <c r="AR1043" s="835">
        <f ca="1">IF(Table_NFI[[#This Row],[Pcode]]="","",IF(OFFSET(CampList[Opening Date],MATCH(Table_NFI[[#This Row],[Pcode]],CampList[CP_Pcode],0)-1,0,1,1)&gt;=NFI_Monitor_Date,1,0))</f>
        <v>0</v>
      </c>
      <c r="AS1043" s="467" t="str">
        <f>IFERROR(VLOOKUP(Table_NFI[[#This Row],[Camp Name]],CL,3,0),"")</f>
        <v>Closed</v>
      </c>
      <c r="AT1043" s="294" t="str">
        <f ca="1">IF(Table_NFI[[#This Row],[Pcode]]="","",OFFSET(CampList[Priority],MATCH(Table_NFI[[#This Row],[Pcode]],CampList[CP_Pcode],0)-1,0,1,1))</f>
        <v>P4</v>
      </c>
      <c r="AU1043" s="293">
        <f>IFERROR(Table_NFI[[#This Row],[Kitchen Set]]/VLOOKUP(Table_NFI[[#This Row],[Camp Name]],CL,4,0),"")</f>
        <v>0</v>
      </c>
      <c r="AV1043" s="461"/>
      <c r="AW1043" s="463"/>
    </row>
    <row r="1044" spans="1:49" s="464" customFormat="1" ht="13.15" customHeight="1" x14ac:dyDescent="0.25">
      <c r="A1044" s="297">
        <f t="shared" si="16"/>
        <v>59.6</v>
      </c>
      <c r="B1044" s="460">
        <v>40948</v>
      </c>
      <c r="C1044" s="461" t="s">
        <v>905</v>
      </c>
      <c r="D1044" s="461" t="s">
        <v>905</v>
      </c>
      <c r="E1044" s="461" t="s">
        <v>380</v>
      </c>
      <c r="F1044" s="461" t="s">
        <v>185</v>
      </c>
      <c r="G1044" s="461" t="s">
        <v>209</v>
      </c>
      <c r="H1044" s="294">
        <v>138</v>
      </c>
      <c r="I1044" s="291"/>
      <c r="J1044" s="291"/>
      <c r="K1044" s="291"/>
      <c r="L1044" s="292"/>
      <c r="M1044" s="292"/>
      <c r="N1044" s="292"/>
      <c r="O1044" s="292"/>
      <c r="P1044" s="294"/>
      <c r="Q1044" s="294"/>
      <c r="R1044" s="294"/>
      <c r="S1044" s="294"/>
      <c r="T1044" s="294"/>
      <c r="U1044" s="294"/>
      <c r="V1044" s="431"/>
      <c r="W1044" s="331"/>
      <c r="X1044" s="331"/>
      <c r="Y1044" s="294">
        <f>IF(NFI_Expiration=1,IF($A1044&lt;VLOOKUP(H$5,NFI,5,0),1,0)*Table_NFI[[#This Row],[Hygiene Kit]],Table_NFI[Hygiene Kit])</f>
        <v>0</v>
      </c>
      <c r="Z1044" s="294">
        <f>IF(NFI_Expiration=1,IF($A1044&lt;VLOOKUP(I$5,NFI,5,0),1,0)*Table_NFI[[#This Row],[NFI Core Kit]],Table_NFI[NFI Core Kit])</f>
        <v>0</v>
      </c>
      <c r="AA1044" s="294">
        <f>IF(NFI_Expiration=1,IF($A1044&lt;VLOOKUP(J$5,NFI,5,0),1,0)*Table_NFI[[#This Row],[Sanitary Kit]],Table_NFI[Sanitary Kit])</f>
        <v>0</v>
      </c>
      <c r="AB1044" s="294">
        <f>IF(NFI_Expiration=1,IF($A1044&lt;VLOOKUP(K$5,NFI,5,0),1,0)*Table_NFI[[#This Row],[Mosquito net]],Table_NFI[Mosquito net])</f>
        <v>0</v>
      </c>
      <c r="AC1044" s="294">
        <f>IF(NFI_Expiration=1,IF($A1044&lt;VLOOKUP(L$5,NFI,5,0),1,0)*Table_NFI[[#This Row],[Tarpaulin]],Table_NFI[[#This Row],[Tarpaulin]])</f>
        <v>0</v>
      </c>
      <c r="AD1044" s="294">
        <f>IF(NFI_Expiration=1,IF($A1044&lt;VLOOKUP(M$5,NFI,5,0),1,0)*Table_NFI[[#This Row],[Blanket]],Table_NFI[[#This Row],[Blanket]])</f>
        <v>0</v>
      </c>
      <c r="AE1044" s="294">
        <f>IF(NFI_Expiration=1,IF($A1044&lt;VLOOKUP(N$5,NFI,5,0),1,0)*Table_NFI[[#This Row],[Kitchen Set]],Table_NFI[Kitchen Set])</f>
        <v>0</v>
      </c>
      <c r="AF1044" s="294">
        <f>IF(NFI_Expiration=1,IF($A1044&lt;VLOOKUP(O$5,NFI,5,0),1,0)*Table_NFI[[#This Row],[Clothes Kit]],Table_NFI[Clothes Kit])</f>
        <v>0</v>
      </c>
      <c r="AG1044" s="294">
        <f>IF(NFI_Expiration=1,IF($A1044&lt;VLOOKUP(P$5,NFI,5,0),1,0)*Table_NFI[[#This Row],[Plastic Bucket]],Table_NFI[Plastic Bucket])</f>
        <v>0</v>
      </c>
      <c r="AH1044" s="294">
        <f>IF(NFI_Expiration=1,IF($A1044&lt;VLOOKUP(Q$5,NFI,5,0),1,0)*Table_NFI[[#This Row],[Plastic Mat]],Table_NFI[Plastic Mat])*IF(Table_NFI[[#This Row],[Distribution Date]]&gt;"2014-04-01",1,2.5)</f>
        <v>0</v>
      </c>
      <c r="AI1044" s="294">
        <f>IF(NFI_Expiration=1,IF($A1044&lt;VLOOKUP(R$5,NFI,5,0),1,0)*Table_NFI[[#This Row],[Winter Clothes Adult]],Table_NFI[Winter Clothes Adult])</f>
        <v>0</v>
      </c>
      <c r="AJ1044" s="294">
        <f>IF(NFI_Expiration=1,IF($A1044&lt;VLOOKUP(S$5,NFI,5,0),1,0)*Table_NFI[[#This Row],[Winter Clothes Children]],Table_NFI[Winter Clothes Children])</f>
        <v>0</v>
      </c>
      <c r="AK1044" s="294">
        <f>IF(NFI_Expiration=1,IF($A1044&lt;VLOOKUP(T$5,NFI,5,0),1,0)*Table_NFI[[#This Row],[Winter Items Other]],Table_NFI[Winter Items Other])</f>
        <v>0</v>
      </c>
      <c r="AL1044" s="294">
        <f>IF(NFI_Expiration=1,IF($A1044&lt;VLOOKUP(M$5,NFI,5,0),1,0)*Table_NFI[[#This Row],[Winter Blanket]],Table_NFI[[#This Row],[Winter Blanket]])</f>
        <v>0</v>
      </c>
      <c r="AM1044" s="294">
        <f>IF(Table_NFI[[#This Row],[Winter Clothes Adult]]+Table_NFI[[#This Row],[Winter Clothes Children]]+Table_NFI[[#This Row],[Winter Items Other]]+Table_NFI[[#This Row],[Winter Blanket]]&gt;0,1,0)</f>
        <v>0</v>
      </c>
      <c r="AN1044" s="331">
        <f>IF(NFI_Expiration=1,IF($A1044&lt;VLOOKUP(V$5,NFI,5,0),1,0)*Table_NFI[[#This Row],[Jerry Can]],Table_NFI[Jerry Can])</f>
        <v>0</v>
      </c>
      <c r="AO1044" s="331">
        <f>IF(NFI_Expiration=1,IF($A1044&lt;VLOOKUP(V$5,NFI,5,0),1,0)*Table_NFI[[#This Row],[Shelter Tool kit]],Table_NFI[Shelter Tool kit])</f>
        <v>0</v>
      </c>
      <c r="AP1044" s="331">
        <f>IF(NFI_Expiration=1,IF($A1044&lt;VLOOKUP(V$5,NFI,5,0),1,0)*Table_NFI[[#This Row],[Tent]],Table_NFI[Tent])</f>
        <v>0</v>
      </c>
      <c r="AQ1044" s="467" t="str">
        <f>IFERROR(VLOOKUP(Table_NFI[[#This Row],[Camp Name]],CL,2,0),"")</f>
        <v>MMR001CMP056</v>
      </c>
      <c r="AR1044" s="835">
        <f ca="1">IF(Table_NFI[[#This Row],[Pcode]]="","",IF(OFFSET(CampList[Opening Date],MATCH(Table_NFI[[#This Row],[Pcode]],CampList[CP_Pcode],0)-1,0,1,1)&gt;=NFI_Monitor_Date,1,0))</f>
        <v>0</v>
      </c>
      <c r="AS1044" s="467" t="str">
        <f>IFERROR(VLOOKUP(Table_NFI[[#This Row],[Camp Name]],CL,3,0),"")</f>
        <v>Open</v>
      </c>
      <c r="AT1044" s="294" t="str">
        <f ca="1">IF(Table_NFI[[#This Row],[Pcode]]="","",OFFSET(CampList[Priority],MATCH(Table_NFI[[#This Row],[Pcode]],CampList[CP_Pcode],0)-1,0,1,1))</f>
        <v>P4</v>
      </c>
      <c r="AU1044" s="293">
        <f>IFERROR(Table_NFI[[#This Row],[Kitchen Set]]/VLOOKUP(Table_NFI[[#This Row],[Camp Name]],CL,4,0),"")</f>
        <v>0</v>
      </c>
      <c r="AV1044" s="461"/>
      <c r="AW1044" s="463"/>
    </row>
    <row r="1045" spans="1:49" s="464" customFormat="1" ht="13.15" customHeight="1" x14ac:dyDescent="0.25">
      <c r="A1045" s="297">
        <f t="shared" si="16"/>
        <v>59.666666666666664</v>
      </c>
      <c r="B1045" s="460">
        <v>40946</v>
      </c>
      <c r="C1045" s="461" t="s">
        <v>452</v>
      </c>
      <c r="D1045" s="462" t="s">
        <v>902</v>
      </c>
      <c r="E1045" s="461" t="s">
        <v>380</v>
      </c>
      <c r="F1045" s="290" t="s">
        <v>237</v>
      </c>
      <c r="G1045" s="290" t="s">
        <v>263</v>
      </c>
      <c r="H1045" s="291"/>
      <c r="I1045" s="291"/>
      <c r="J1045" s="291"/>
      <c r="K1045" s="291">
        <v>38</v>
      </c>
      <c r="L1045" s="292">
        <v>18</v>
      </c>
      <c r="M1045" s="292">
        <v>38</v>
      </c>
      <c r="N1045" s="292">
        <v>18</v>
      </c>
      <c r="O1045" s="292">
        <v>18</v>
      </c>
      <c r="P1045" s="294">
        <v>18</v>
      </c>
      <c r="Q1045" s="294">
        <v>18</v>
      </c>
      <c r="R1045" s="294"/>
      <c r="S1045" s="294"/>
      <c r="T1045" s="294"/>
      <c r="U1045" s="294"/>
      <c r="V1045" s="431"/>
      <c r="W1045" s="331"/>
      <c r="X1045" s="331"/>
      <c r="Y1045" s="294">
        <f>IF(NFI_Expiration=1,IF($A1045&lt;VLOOKUP(H$5,NFI,5,0),1,0)*Table_NFI[[#This Row],[Hygiene Kit]],Table_NFI[Hygiene Kit])</f>
        <v>0</v>
      </c>
      <c r="Z1045" s="294">
        <f>IF(NFI_Expiration=1,IF($A1045&lt;VLOOKUP(I$5,NFI,5,0),1,0)*Table_NFI[[#This Row],[NFI Core Kit]],Table_NFI[NFI Core Kit])</f>
        <v>0</v>
      </c>
      <c r="AA1045" s="294">
        <f>IF(NFI_Expiration=1,IF($A1045&lt;VLOOKUP(J$5,NFI,5,0),1,0)*Table_NFI[[#This Row],[Sanitary Kit]],Table_NFI[Sanitary Kit])</f>
        <v>0</v>
      </c>
      <c r="AB1045" s="294">
        <f>IF(NFI_Expiration=1,IF($A1045&lt;VLOOKUP(K$5,NFI,5,0),1,0)*Table_NFI[[#This Row],[Mosquito net]],Table_NFI[Mosquito net])</f>
        <v>0</v>
      </c>
      <c r="AC1045" s="294">
        <f>IF(NFI_Expiration=1,IF($A1045&lt;VLOOKUP(L$5,NFI,5,0),1,0)*Table_NFI[[#This Row],[Tarpaulin]],Table_NFI[[#This Row],[Tarpaulin]])</f>
        <v>0</v>
      </c>
      <c r="AD1045" s="294">
        <f>IF(NFI_Expiration=1,IF($A1045&lt;VLOOKUP(M$5,NFI,5,0),1,0)*Table_NFI[[#This Row],[Blanket]],Table_NFI[[#This Row],[Blanket]])</f>
        <v>0</v>
      </c>
      <c r="AE1045" s="294">
        <f>IF(NFI_Expiration=1,IF($A1045&lt;VLOOKUP(N$5,NFI,5,0),1,0)*Table_NFI[[#This Row],[Kitchen Set]],Table_NFI[Kitchen Set])</f>
        <v>0</v>
      </c>
      <c r="AF1045" s="294">
        <f>IF(NFI_Expiration=1,IF($A1045&lt;VLOOKUP(O$5,NFI,5,0),1,0)*Table_NFI[[#This Row],[Clothes Kit]],Table_NFI[Clothes Kit])</f>
        <v>0</v>
      </c>
      <c r="AG1045" s="294">
        <f>IF(NFI_Expiration=1,IF($A1045&lt;VLOOKUP(P$5,NFI,5,0),1,0)*Table_NFI[[#This Row],[Plastic Bucket]],Table_NFI[Plastic Bucket])</f>
        <v>0</v>
      </c>
      <c r="AH1045" s="294">
        <f>IF(NFI_Expiration=1,IF($A1045&lt;VLOOKUP(Q$5,NFI,5,0),1,0)*Table_NFI[[#This Row],[Plastic Mat]],Table_NFI[Plastic Mat])*IF(Table_NFI[[#This Row],[Distribution Date]]&gt;"2014-04-01",1,2.5)</f>
        <v>0</v>
      </c>
      <c r="AI1045" s="294">
        <f>IF(NFI_Expiration=1,IF($A1045&lt;VLOOKUP(R$5,NFI,5,0),1,0)*Table_NFI[[#This Row],[Winter Clothes Adult]],Table_NFI[Winter Clothes Adult])</f>
        <v>0</v>
      </c>
      <c r="AJ1045" s="294">
        <f>IF(NFI_Expiration=1,IF($A1045&lt;VLOOKUP(S$5,NFI,5,0),1,0)*Table_NFI[[#This Row],[Winter Clothes Children]],Table_NFI[Winter Clothes Children])</f>
        <v>0</v>
      </c>
      <c r="AK1045" s="294">
        <f>IF(NFI_Expiration=1,IF($A1045&lt;VLOOKUP(T$5,NFI,5,0),1,0)*Table_NFI[[#This Row],[Winter Items Other]],Table_NFI[Winter Items Other])</f>
        <v>0</v>
      </c>
      <c r="AL1045" s="294">
        <f>IF(NFI_Expiration=1,IF($A1045&lt;VLOOKUP(M$5,NFI,5,0),1,0)*Table_NFI[[#This Row],[Winter Blanket]],Table_NFI[[#This Row],[Winter Blanket]])</f>
        <v>0</v>
      </c>
      <c r="AM1045" s="294">
        <f>IF(Table_NFI[[#This Row],[Winter Clothes Adult]]+Table_NFI[[#This Row],[Winter Clothes Children]]+Table_NFI[[#This Row],[Winter Items Other]]+Table_NFI[[#This Row],[Winter Blanket]]&gt;0,1,0)</f>
        <v>0</v>
      </c>
      <c r="AN1045" s="331">
        <f>IF(NFI_Expiration=1,IF($A1045&lt;VLOOKUP(V$5,NFI,5,0),1,0)*Table_NFI[[#This Row],[Jerry Can]],Table_NFI[Jerry Can])</f>
        <v>0</v>
      </c>
      <c r="AO1045" s="331">
        <f>IF(NFI_Expiration=1,IF($A1045&lt;VLOOKUP(V$5,NFI,5,0),1,0)*Table_NFI[[#This Row],[Shelter Tool kit]],Table_NFI[Shelter Tool kit])</f>
        <v>0</v>
      </c>
      <c r="AP1045" s="331">
        <f>IF(NFI_Expiration=1,IF($A1045&lt;VLOOKUP(V$5,NFI,5,0),1,0)*Table_NFI[[#This Row],[Tent]],Table_NFI[Tent])</f>
        <v>0</v>
      </c>
      <c r="AQ1045" s="467" t="str">
        <f>IFERROR(VLOOKUP(Table_NFI[[#This Row],[Camp Name]],CL,2,0),"")</f>
        <v>MMR001CMP020</v>
      </c>
      <c r="AR1045" s="835">
        <f ca="1">IF(Table_NFI[[#This Row],[Pcode]]="","",IF(OFFSET(CampList[Opening Date],MATCH(Table_NFI[[#This Row],[Pcode]],CampList[CP_Pcode],0)-1,0,1,1)&gt;=NFI_Monitor_Date,1,0))</f>
        <v>0</v>
      </c>
      <c r="AS1045" s="467" t="str">
        <f>IFERROR(VLOOKUP(Table_NFI[[#This Row],[Camp Name]],CL,3,0),"")</f>
        <v>Open</v>
      </c>
      <c r="AT1045" s="294" t="str">
        <f ca="1">IF(Table_NFI[[#This Row],[Pcode]]="","",OFFSET(CampList[Priority],MATCH(Table_NFI[[#This Row],[Pcode]],CampList[CP_Pcode],0)-1,0,1,1))</f>
        <v>P4</v>
      </c>
      <c r="AU1045" s="293">
        <f>IFERROR(Table_NFI[[#This Row],[Kitchen Set]]/VLOOKUP(Table_NFI[[#This Row],[Camp Name]],CL,4,0),"")</f>
        <v>4.4099272362006027E-4</v>
      </c>
      <c r="AV1045" s="461" t="s">
        <v>1092</v>
      </c>
      <c r="AW1045" s="463"/>
    </row>
    <row r="1046" spans="1:49" s="464" customFormat="1" ht="13.15" customHeight="1" x14ac:dyDescent="0.25">
      <c r="A1046" s="297">
        <f t="shared" si="16"/>
        <v>59.666666666666664</v>
      </c>
      <c r="B1046" s="460">
        <v>40946</v>
      </c>
      <c r="C1046" s="461" t="s">
        <v>905</v>
      </c>
      <c r="D1046" s="461" t="s">
        <v>905</v>
      </c>
      <c r="E1046" s="461" t="s">
        <v>380</v>
      </c>
      <c r="F1046" s="290" t="s">
        <v>5</v>
      </c>
      <c r="G1046" s="290" t="s">
        <v>20</v>
      </c>
      <c r="H1046" s="294">
        <v>90</v>
      </c>
      <c r="I1046" s="291"/>
      <c r="J1046" s="291"/>
      <c r="K1046" s="291"/>
      <c r="L1046" s="292"/>
      <c r="M1046" s="292"/>
      <c r="N1046" s="292"/>
      <c r="O1046" s="292"/>
      <c r="P1046" s="294"/>
      <c r="Q1046" s="294"/>
      <c r="R1046" s="294"/>
      <c r="S1046" s="294"/>
      <c r="T1046" s="294"/>
      <c r="U1046" s="294"/>
      <c r="V1046" s="431"/>
      <c r="W1046" s="331"/>
      <c r="X1046" s="331"/>
      <c r="Y1046" s="294">
        <f>IF(NFI_Expiration=1,IF($A1046&lt;VLOOKUP(H$5,NFI,5,0),1,0)*Table_NFI[[#This Row],[Hygiene Kit]],Table_NFI[Hygiene Kit])</f>
        <v>0</v>
      </c>
      <c r="Z1046" s="294">
        <f>IF(NFI_Expiration=1,IF($A1046&lt;VLOOKUP(I$5,NFI,5,0),1,0)*Table_NFI[[#This Row],[NFI Core Kit]],Table_NFI[NFI Core Kit])</f>
        <v>0</v>
      </c>
      <c r="AA1046" s="294">
        <f>IF(NFI_Expiration=1,IF($A1046&lt;VLOOKUP(J$5,NFI,5,0),1,0)*Table_NFI[[#This Row],[Sanitary Kit]],Table_NFI[Sanitary Kit])</f>
        <v>0</v>
      </c>
      <c r="AB1046" s="294">
        <f>IF(NFI_Expiration=1,IF($A1046&lt;VLOOKUP(K$5,NFI,5,0),1,0)*Table_NFI[[#This Row],[Mosquito net]],Table_NFI[Mosquito net])</f>
        <v>0</v>
      </c>
      <c r="AC1046" s="294">
        <f>IF(NFI_Expiration=1,IF($A1046&lt;VLOOKUP(L$5,NFI,5,0),1,0)*Table_NFI[[#This Row],[Tarpaulin]],Table_NFI[[#This Row],[Tarpaulin]])</f>
        <v>0</v>
      </c>
      <c r="AD1046" s="294">
        <f>IF(NFI_Expiration=1,IF($A1046&lt;VLOOKUP(M$5,NFI,5,0),1,0)*Table_NFI[[#This Row],[Blanket]],Table_NFI[[#This Row],[Blanket]])</f>
        <v>0</v>
      </c>
      <c r="AE1046" s="294">
        <f>IF(NFI_Expiration=1,IF($A1046&lt;VLOOKUP(N$5,NFI,5,0),1,0)*Table_NFI[[#This Row],[Kitchen Set]],Table_NFI[Kitchen Set])</f>
        <v>0</v>
      </c>
      <c r="AF1046" s="294">
        <f>IF(NFI_Expiration=1,IF($A1046&lt;VLOOKUP(O$5,NFI,5,0),1,0)*Table_NFI[[#This Row],[Clothes Kit]],Table_NFI[Clothes Kit])</f>
        <v>0</v>
      </c>
      <c r="AG1046" s="294">
        <f>IF(NFI_Expiration=1,IF($A1046&lt;VLOOKUP(P$5,NFI,5,0),1,0)*Table_NFI[[#This Row],[Plastic Bucket]],Table_NFI[Plastic Bucket])</f>
        <v>0</v>
      </c>
      <c r="AH1046" s="294">
        <f>IF(NFI_Expiration=1,IF($A1046&lt;VLOOKUP(Q$5,NFI,5,0),1,0)*Table_NFI[[#This Row],[Plastic Mat]],Table_NFI[Plastic Mat])*IF(Table_NFI[[#This Row],[Distribution Date]]&gt;"2014-04-01",1,2.5)</f>
        <v>0</v>
      </c>
      <c r="AI1046" s="294">
        <f>IF(NFI_Expiration=1,IF($A1046&lt;VLOOKUP(R$5,NFI,5,0),1,0)*Table_NFI[[#This Row],[Winter Clothes Adult]],Table_NFI[Winter Clothes Adult])</f>
        <v>0</v>
      </c>
      <c r="AJ1046" s="294">
        <f>IF(NFI_Expiration=1,IF($A1046&lt;VLOOKUP(S$5,NFI,5,0),1,0)*Table_NFI[[#This Row],[Winter Clothes Children]],Table_NFI[Winter Clothes Children])</f>
        <v>0</v>
      </c>
      <c r="AK1046" s="294">
        <f>IF(NFI_Expiration=1,IF($A1046&lt;VLOOKUP(T$5,NFI,5,0),1,0)*Table_NFI[[#This Row],[Winter Items Other]],Table_NFI[Winter Items Other])</f>
        <v>0</v>
      </c>
      <c r="AL1046" s="294">
        <f>IF(NFI_Expiration=1,IF($A1046&lt;VLOOKUP(M$5,NFI,5,0),1,0)*Table_NFI[[#This Row],[Winter Blanket]],Table_NFI[[#This Row],[Winter Blanket]])</f>
        <v>0</v>
      </c>
      <c r="AM1046" s="294">
        <f>IF(Table_NFI[[#This Row],[Winter Clothes Adult]]+Table_NFI[[#This Row],[Winter Clothes Children]]+Table_NFI[[#This Row],[Winter Items Other]]+Table_NFI[[#This Row],[Winter Blanket]]&gt;0,1,0)</f>
        <v>0</v>
      </c>
      <c r="AN1046" s="331">
        <f>IF(NFI_Expiration=1,IF($A1046&lt;VLOOKUP(V$5,NFI,5,0),1,0)*Table_NFI[[#This Row],[Jerry Can]],Table_NFI[Jerry Can])</f>
        <v>0</v>
      </c>
      <c r="AO1046" s="331">
        <f>IF(NFI_Expiration=1,IF($A1046&lt;VLOOKUP(V$5,NFI,5,0),1,0)*Table_NFI[[#This Row],[Shelter Tool kit]],Table_NFI[Shelter Tool kit])</f>
        <v>0</v>
      </c>
      <c r="AP1046" s="331">
        <f>IF(NFI_Expiration=1,IF($A1046&lt;VLOOKUP(V$5,NFI,5,0),1,0)*Table_NFI[[#This Row],[Tent]],Table_NFI[Tent])</f>
        <v>0</v>
      </c>
      <c r="AQ1046" s="467" t="str">
        <f>IFERROR(VLOOKUP(Table_NFI[[#This Row],[Camp Name]],CL,2,0),"")</f>
        <v>MMR001CMP054</v>
      </c>
      <c r="AR1046" s="835">
        <f ca="1">IF(Table_NFI[[#This Row],[Pcode]]="","",IF(OFFSET(CampList[Opening Date],MATCH(Table_NFI[[#This Row],[Pcode]],CampList[CP_Pcode],0)-1,0,1,1)&gt;=NFI_Monitor_Date,1,0))</f>
        <v>0</v>
      </c>
      <c r="AS1046" s="467" t="str">
        <f>IFERROR(VLOOKUP(Table_NFI[[#This Row],[Camp Name]],CL,3,0),"")</f>
        <v>Open</v>
      </c>
      <c r="AT1046" s="294" t="str">
        <f ca="1">IF(Table_NFI[[#This Row],[Pcode]]="","",OFFSET(CampList[Priority],MATCH(Table_NFI[[#This Row],[Pcode]],CampList[CP_Pcode],0)-1,0,1,1))</f>
        <v>P4</v>
      </c>
      <c r="AU1046" s="293">
        <f>IFERROR(Table_NFI[[#This Row],[Kitchen Set]]/VLOOKUP(Table_NFI[[#This Row],[Camp Name]],CL,4,0),"")</f>
        <v>0</v>
      </c>
      <c r="AV1046" s="461"/>
      <c r="AW1046" s="463"/>
    </row>
    <row r="1047" spans="1:49" s="472" customFormat="1" ht="16.899999999999999" customHeight="1" x14ac:dyDescent="0.25">
      <c r="A1047" s="297">
        <f t="shared" si="16"/>
        <v>59.7</v>
      </c>
      <c r="B1047" s="460">
        <v>40945</v>
      </c>
      <c r="C1047" s="461" t="s">
        <v>452</v>
      </c>
      <c r="D1047" s="462" t="s">
        <v>452</v>
      </c>
      <c r="E1047" s="461" t="s">
        <v>380</v>
      </c>
      <c r="F1047" s="290" t="s">
        <v>310</v>
      </c>
      <c r="G1047" s="290" t="s">
        <v>351</v>
      </c>
      <c r="H1047" s="291"/>
      <c r="I1047" s="291"/>
      <c r="J1047" s="291"/>
      <c r="K1047" s="291">
        <v>0</v>
      </c>
      <c r="L1047" s="292">
        <v>0</v>
      </c>
      <c r="M1047" s="292">
        <v>0</v>
      </c>
      <c r="N1047" s="292">
        <v>0</v>
      </c>
      <c r="O1047" s="292">
        <v>13</v>
      </c>
      <c r="P1047" s="294">
        <v>13</v>
      </c>
      <c r="Q1047" s="294">
        <v>13</v>
      </c>
      <c r="R1047" s="294"/>
      <c r="S1047" s="294"/>
      <c r="T1047" s="294"/>
      <c r="U1047" s="294"/>
      <c r="V1047" s="431"/>
      <c r="W1047" s="294"/>
      <c r="X1047" s="294"/>
      <c r="Y1047" s="294">
        <f>IF(NFI_Expiration=1,IF($A1047&lt;VLOOKUP(H$5,NFI,5,0),1,0)*Table_NFI[[#This Row],[Hygiene Kit]],Table_NFI[Hygiene Kit])</f>
        <v>0</v>
      </c>
      <c r="Z1047" s="294">
        <f>IF(NFI_Expiration=1,IF($A1047&lt;VLOOKUP(I$5,NFI,5,0),1,0)*Table_NFI[[#This Row],[NFI Core Kit]],Table_NFI[NFI Core Kit])</f>
        <v>0</v>
      </c>
      <c r="AA1047" s="294">
        <f>IF(NFI_Expiration=1,IF($A1047&lt;VLOOKUP(J$5,NFI,5,0),1,0)*Table_NFI[[#This Row],[Sanitary Kit]],Table_NFI[Sanitary Kit])</f>
        <v>0</v>
      </c>
      <c r="AB1047" s="294">
        <f>IF(NFI_Expiration=1,IF($A1047&lt;VLOOKUP(K$5,NFI,5,0),1,0)*Table_NFI[[#This Row],[Mosquito net]],Table_NFI[Mosquito net])</f>
        <v>0</v>
      </c>
      <c r="AC1047" s="294">
        <f>IF(NFI_Expiration=1,IF($A1047&lt;VLOOKUP(L$5,NFI,5,0),1,0)*Table_NFI[[#This Row],[Tarpaulin]],Table_NFI[[#This Row],[Tarpaulin]])</f>
        <v>0</v>
      </c>
      <c r="AD1047" s="294">
        <f>IF(NFI_Expiration=1,IF($A1047&lt;VLOOKUP(M$5,NFI,5,0),1,0)*Table_NFI[[#This Row],[Blanket]],Table_NFI[[#This Row],[Blanket]])</f>
        <v>0</v>
      </c>
      <c r="AE1047" s="294">
        <f>IF(NFI_Expiration=1,IF($A1047&lt;VLOOKUP(N$5,NFI,5,0),1,0)*Table_NFI[[#This Row],[Kitchen Set]],Table_NFI[Kitchen Set])</f>
        <v>0</v>
      </c>
      <c r="AF1047" s="294">
        <f>IF(NFI_Expiration=1,IF($A1047&lt;VLOOKUP(O$5,NFI,5,0),1,0)*Table_NFI[[#This Row],[Clothes Kit]],Table_NFI[Clothes Kit])</f>
        <v>0</v>
      </c>
      <c r="AG1047" s="294">
        <f>IF(NFI_Expiration=1,IF($A1047&lt;VLOOKUP(P$5,NFI,5,0),1,0)*Table_NFI[[#This Row],[Plastic Bucket]],Table_NFI[Plastic Bucket])</f>
        <v>0</v>
      </c>
      <c r="AH1047" s="294">
        <f>IF(NFI_Expiration=1,IF($A1047&lt;VLOOKUP(Q$5,NFI,5,0),1,0)*Table_NFI[[#This Row],[Plastic Mat]],Table_NFI[Plastic Mat])*IF(Table_NFI[[#This Row],[Distribution Date]]&gt;"2014-04-01",1,2.5)</f>
        <v>0</v>
      </c>
      <c r="AI1047" s="294">
        <f>IF(NFI_Expiration=1,IF($A1047&lt;VLOOKUP(R$5,NFI,5,0),1,0)*Table_NFI[[#This Row],[Winter Clothes Adult]],Table_NFI[Winter Clothes Adult])</f>
        <v>0</v>
      </c>
      <c r="AJ1047" s="294">
        <f>IF(NFI_Expiration=1,IF($A1047&lt;VLOOKUP(S$5,NFI,5,0),1,0)*Table_NFI[[#This Row],[Winter Clothes Children]],Table_NFI[Winter Clothes Children])</f>
        <v>0</v>
      </c>
      <c r="AK1047" s="294">
        <f>IF(NFI_Expiration=1,IF($A1047&lt;VLOOKUP(T$5,NFI,5,0),1,0)*Table_NFI[[#This Row],[Winter Items Other]],Table_NFI[Winter Items Other])</f>
        <v>0</v>
      </c>
      <c r="AL1047" s="294">
        <f>IF(NFI_Expiration=1,IF($A1047&lt;VLOOKUP(M$5,NFI,5,0),1,0)*Table_NFI[[#This Row],[Winter Blanket]],Table_NFI[[#This Row],[Winter Blanket]])</f>
        <v>0</v>
      </c>
      <c r="AM1047" s="294">
        <f>IF(Table_NFI[[#This Row],[Winter Clothes Adult]]+Table_NFI[[#This Row],[Winter Clothes Children]]+Table_NFI[[#This Row],[Winter Items Other]]+Table_NFI[[#This Row],[Winter Blanket]]&gt;0,1,0)</f>
        <v>0</v>
      </c>
      <c r="AN1047" s="331">
        <f>IF(NFI_Expiration=1,IF($A1047&lt;VLOOKUP(V$5,NFI,5,0),1,0)*Table_NFI[[#This Row],[Jerry Can]],Table_NFI[Jerry Can])</f>
        <v>0</v>
      </c>
      <c r="AO1047" s="331">
        <f>IF(NFI_Expiration=1,IF($A1047&lt;VLOOKUP(V$5,NFI,5,0),1,0)*Table_NFI[[#This Row],[Shelter Tool kit]],Table_NFI[Shelter Tool kit])</f>
        <v>0</v>
      </c>
      <c r="AP1047" s="331">
        <f>IF(NFI_Expiration=1,IF($A1047&lt;VLOOKUP(V$5,NFI,5,0),1,0)*Table_NFI[[#This Row],[Tent]],Table_NFI[Tent])</f>
        <v>0</v>
      </c>
      <c r="AQ1047" s="467" t="str">
        <f>IFERROR(VLOOKUP(Table_NFI[[#This Row],[Camp Name]],CL,2,0),"")</f>
        <v>MMR001CMP026</v>
      </c>
      <c r="AR1047" s="835">
        <f ca="1">IF(Table_NFI[[#This Row],[Pcode]]="","",IF(OFFSET(CampList[Opening Date],MATCH(Table_NFI[[#This Row],[Pcode]],CampList[CP_Pcode],0)-1,0,1,1)&gt;=NFI_Monitor_Date,1,0))</f>
        <v>0</v>
      </c>
      <c r="AS1047" s="467" t="str">
        <f>IFERROR(VLOOKUP(Table_NFI[[#This Row],[Camp Name]],CL,3,0),"")</f>
        <v>Open</v>
      </c>
      <c r="AT1047" s="294" t="str">
        <f ca="1">IF(Table_NFI[[#This Row],[Pcode]]="","",OFFSET(CampList[Priority],MATCH(Table_NFI[[#This Row],[Pcode]],CampList[CP_Pcode],0)-1,0,1,1))</f>
        <v>P4</v>
      </c>
      <c r="AU1047" s="293">
        <f>IFERROR(Table_NFI[[#This Row],[Kitchen Set]]/VLOOKUP(Table_NFI[[#This Row],[Camp Name]],CL,4,0),"")</f>
        <v>0</v>
      </c>
      <c r="AV1047" s="461" t="s">
        <v>1092</v>
      </c>
      <c r="AW1047" s="463"/>
    </row>
    <row r="1048" spans="1:49" s="472" customFormat="1" ht="16.899999999999999" customHeight="1" x14ac:dyDescent="0.25">
      <c r="A1048" s="297">
        <f t="shared" si="16"/>
        <v>59.833333333333336</v>
      </c>
      <c r="B1048" s="460">
        <v>40941</v>
      </c>
      <c r="C1048" s="462" t="s">
        <v>452</v>
      </c>
      <c r="D1048" s="462" t="s">
        <v>452</v>
      </c>
      <c r="E1048" s="461" t="s">
        <v>380</v>
      </c>
      <c r="F1048" s="290" t="s">
        <v>151</v>
      </c>
      <c r="G1048" s="290" t="s">
        <v>152</v>
      </c>
      <c r="H1048" s="294">
        <v>718</v>
      </c>
      <c r="I1048" s="291"/>
      <c r="J1048" s="291"/>
      <c r="K1048" s="291"/>
      <c r="L1048" s="292"/>
      <c r="M1048" s="292"/>
      <c r="N1048" s="292"/>
      <c r="O1048" s="292"/>
      <c r="P1048" s="294"/>
      <c r="Q1048" s="294"/>
      <c r="R1048" s="294"/>
      <c r="S1048" s="294"/>
      <c r="T1048" s="294"/>
      <c r="U1048" s="294"/>
      <c r="V1048" s="431"/>
      <c r="W1048" s="331"/>
      <c r="X1048" s="331"/>
      <c r="Y1048" s="294">
        <f>IF(NFI_Expiration=1,IF($A1048&lt;VLOOKUP(H$5,NFI,5,0),1,0)*Table_NFI[[#This Row],[Hygiene Kit]],Table_NFI[Hygiene Kit])</f>
        <v>0</v>
      </c>
      <c r="Z1048" s="294">
        <f>IF(NFI_Expiration=1,IF($A1048&lt;VLOOKUP(I$5,NFI,5,0),1,0)*Table_NFI[[#This Row],[NFI Core Kit]],Table_NFI[NFI Core Kit])</f>
        <v>0</v>
      </c>
      <c r="AA1048" s="294">
        <f>IF(NFI_Expiration=1,IF($A1048&lt;VLOOKUP(J$5,NFI,5,0),1,0)*Table_NFI[[#This Row],[Sanitary Kit]],Table_NFI[Sanitary Kit])</f>
        <v>0</v>
      </c>
      <c r="AB1048" s="294">
        <f>IF(NFI_Expiration=1,IF($A1048&lt;VLOOKUP(K$5,NFI,5,0),1,0)*Table_NFI[[#This Row],[Mosquito net]],Table_NFI[Mosquito net])</f>
        <v>0</v>
      </c>
      <c r="AC1048" s="294">
        <f>IF(NFI_Expiration=1,IF($A1048&lt;VLOOKUP(L$5,NFI,5,0),1,0)*Table_NFI[[#This Row],[Tarpaulin]],Table_NFI[[#This Row],[Tarpaulin]])</f>
        <v>0</v>
      </c>
      <c r="AD1048" s="294">
        <f>IF(NFI_Expiration=1,IF($A1048&lt;VLOOKUP(M$5,NFI,5,0),1,0)*Table_NFI[[#This Row],[Blanket]],Table_NFI[[#This Row],[Blanket]])</f>
        <v>0</v>
      </c>
      <c r="AE1048" s="294">
        <f>IF(NFI_Expiration=1,IF($A1048&lt;VLOOKUP(N$5,NFI,5,0),1,0)*Table_NFI[[#This Row],[Kitchen Set]],Table_NFI[Kitchen Set])</f>
        <v>0</v>
      </c>
      <c r="AF1048" s="294">
        <f>IF(NFI_Expiration=1,IF($A1048&lt;VLOOKUP(O$5,NFI,5,0),1,0)*Table_NFI[[#This Row],[Clothes Kit]],Table_NFI[Clothes Kit])</f>
        <v>0</v>
      </c>
      <c r="AG1048" s="294">
        <f>IF(NFI_Expiration=1,IF($A1048&lt;VLOOKUP(P$5,NFI,5,0),1,0)*Table_NFI[[#This Row],[Plastic Bucket]],Table_NFI[Plastic Bucket])</f>
        <v>0</v>
      </c>
      <c r="AH1048" s="294">
        <f>IF(NFI_Expiration=1,IF($A1048&lt;VLOOKUP(Q$5,NFI,5,0),1,0)*Table_NFI[[#This Row],[Plastic Mat]],Table_NFI[Plastic Mat])*IF(Table_NFI[[#This Row],[Distribution Date]]&gt;"2014-04-01",1,2.5)</f>
        <v>0</v>
      </c>
      <c r="AI1048" s="294">
        <f>IF(NFI_Expiration=1,IF($A1048&lt;VLOOKUP(R$5,NFI,5,0),1,0)*Table_NFI[[#This Row],[Winter Clothes Adult]],Table_NFI[Winter Clothes Adult])</f>
        <v>0</v>
      </c>
      <c r="AJ1048" s="294">
        <f>IF(NFI_Expiration=1,IF($A1048&lt;VLOOKUP(S$5,NFI,5,0),1,0)*Table_NFI[[#This Row],[Winter Clothes Children]],Table_NFI[Winter Clothes Children])</f>
        <v>0</v>
      </c>
      <c r="AK1048" s="294">
        <f>IF(NFI_Expiration=1,IF($A1048&lt;VLOOKUP(T$5,NFI,5,0),1,0)*Table_NFI[[#This Row],[Winter Items Other]],Table_NFI[Winter Items Other])</f>
        <v>0</v>
      </c>
      <c r="AL1048" s="294">
        <f>IF(NFI_Expiration=1,IF($A1048&lt;VLOOKUP(M$5,NFI,5,0),1,0)*Table_NFI[[#This Row],[Winter Blanket]],Table_NFI[[#This Row],[Winter Blanket]])</f>
        <v>0</v>
      </c>
      <c r="AM1048" s="294">
        <f>IF(Table_NFI[[#This Row],[Winter Clothes Adult]]+Table_NFI[[#This Row],[Winter Clothes Children]]+Table_NFI[[#This Row],[Winter Items Other]]+Table_NFI[[#This Row],[Winter Blanket]]&gt;0,1,0)</f>
        <v>0</v>
      </c>
      <c r="AN1048" s="331">
        <f>IF(NFI_Expiration=1,IF($A1048&lt;VLOOKUP(V$5,NFI,5,0),1,0)*Table_NFI[[#This Row],[Jerry Can]],Table_NFI[Jerry Can])</f>
        <v>0</v>
      </c>
      <c r="AO1048" s="331">
        <f>IF(NFI_Expiration=1,IF($A1048&lt;VLOOKUP(V$5,NFI,5,0),1,0)*Table_NFI[[#This Row],[Shelter Tool kit]],Table_NFI[Shelter Tool kit])</f>
        <v>0</v>
      </c>
      <c r="AP1048" s="331">
        <f>IF(NFI_Expiration=1,IF($A1048&lt;VLOOKUP(V$5,NFI,5,0),1,0)*Table_NFI[[#This Row],[Tent]],Table_NFI[Tent])</f>
        <v>0</v>
      </c>
      <c r="AQ1048" s="467" t="str">
        <f>IFERROR(VLOOKUP(Table_NFI[[#This Row],[Camp Name]],CL,2,0),"")</f>
        <v>MMR001CMP066</v>
      </c>
      <c r="AR1048" s="835">
        <f ca="1">IF(Table_NFI[[#This Row],[Pcode]]="","",IF(OFFSET(CampList[Opening Date],MATCH(Table_NFI[[#This Row],[Pcode]],CampList[CP_Pcode],0)-1,0,1,1)&gt;=NFI_Monitor_Date,1,0))</f>
        <v>0</v>
      </c>
      <c r="AS1048" s="467" t="str">
        <f>IFERROR(VLOOKUP(Table_NFI[[#This Row],[Camp Name]],CL,3,0),"")</f>
        <v>Open</v>
      </c>
      <c r="AT1048" s="294" t="str">
        <f ca="1">IF(Table_NFI[[#This Row],[Pcode]]="","",OFFSET(CampList[Priority],MATCH(Table_NFI[[#This Row],[Pcode]],CampList[CP_Pcode],0)-1,0,1,1))</f>
        <v>P4</v>
      </c>
      <c r="AU1048" s="293">
        <f>IFERROR(Table_NFI[[#This Row],[Kitchen Set]]/VLOOKUP(Table_NFI[[#This Row],[Camp Name]],CL,4,0),"")</f>
        <v>0</v>
      </c>
      <c r="AV1048" s="461"/>
      <c r="AW1048" s="463"/>
    </row>
    <row r="1049" spans="1:49" s="472" customFormat="1" ht="14.45" customHeight="1" x14ac:dyDescent="0.25">
      <c r="A1049" s="297">
        <f t="shared" si="16"/>
        <v>59.833333333333336</v>
      </c>
      <c r="B1049" s="460">
        <v>40941</v>
      </c>
      <c r="C1049" s="461" t="s">
        <v>905</v>
      </c>
      <c r="D1049" s="462" t="s">
        <v>905</v>
      </c>
      <c r="E1049" s="461" t="s">
        <v>380</v>
      </c>
      <c r="F1049" s="290" t="s">
        <v>151</v>
      </c>
      <c r="G1049" s="290" t="s">
        <v>152</v>
      </c>
      <c r="H1049" s="294">
        <v>718</v>
      </c>
      <c r="I1049" s="291"/>
      <c r="J1049" s="291"/>
      <c r="K1049" s="291"/>
      <c r="L1049" s="292"/>
      <c r="M1049" s="292"/>
      <c r="N1049" s="292"/>
      <c r="O1049" s="292"/>
      <c r="P1049" s="294"/>
      <c r="Q1049" s="294"/>
      <c r="R1049" s="294"/>
      <c r="S1049" s="294"/>
      <c r="T1049" s="294"/>
      <c r="U1049" s="294"/>
      <c r="V1049" s="431"/>
      <c r="W1049" s="294"/>
      <c r="X1049" s="294"/>
      <c r="Y1049" s="294">
        <f>IF(NFI_Expiration=1,IF($A1049&lt;VLOOKUP(H$5,NFI,5,0),1,0)*Table_NFI[[#This Row],[Hygiene Kit]],Table_NFI[Hygiene Kit])</f>
        <v>0</v>
      </c>
      <c r="Z1049" s="294">
        <f>IF(NFI_Expiration=1,IF($A1049&lt;VLOOKUP(I$5,NFI,5,0),1,0)*Table_NFI[[#This Row],[NFI Core Kit]],Table_NFI[NFI Core Kit])</f>
        <v>0</v>
      </c>
      <c r="AA1049" s="294">
        <f>IF(NFI_Expiration=1,IF($A1049&lt;VLOOKUP(J$5,NFI,5,0),1,0)*Table_NFI[[#This Row],[Sanitary Kit]],Table_NFI[Sanitary Kit])</f>
        <v>0</v>
      </c>
      <c r="AB1049" s="294">
        <f>IF(NFI_Expiration=1,IF($A1049&lt;VLOOKUP(K$5,NFI,5,0),1,0)*Table_NFI[[#This Row],[Mosquito net]],Table_NFI[Mosquito net])</f>
        <v>0</v>
      </c>
      <c r="AC1049" s="294">
        <f>IF(NFI_Expiration=1,IF($A1049&lt;VLOOKUP(L$5,NFI,5,0),1,0)*Table_NFI[[#This Row],[Tarpaulin]],Table_NFI[[#This Row],[Tarpaulin]])</f>
        <v>0</v>
      </c>
      <c r="AD1049" s="294">
        <f>IF(NFI_Expiration=1,IF($A1049&lt;VLOOKUP(M$5,NFI,5,0),1,0)*Table_NFI[[#This Row],[Blanket]],Table_NFI[[#This Row],[Blanket]])</f>
        <v>0</v>
      </c>
      <c r="AE1049" s="294">
        <f>IF(NFI_Expiration=1,IF($A1049&lt;VLOOKUP(N$5,NFI,5,0),1,0)*Table_NFI[[#This Row],[Kitchen Set]],Table_NFI[Kitchen Set])</f>
        <v>0</v>
      </c>
      <c r="AF1049" s="294">
        <f>IF(NFI_Expiration=1,IF($A1049&lt;VLOOKUP(O$5,NFI,5,0),1,0)*Table_NFI[[#This Row],[Clothes Kit]],Table_NFI[Clothes Kit])</f>
        <v>0</v>
      </c>
      <c r="AG1049" s="294">
        <f>IF(NFI_Expiration=1,IF($A1049&lt;VLOOKUP(P$5,NFI,5,0),1,0)*Table_NFI[[#This Row],[Plastic Bucket]],Table_NFI[Plastic Bucket])</f>
        <v>0</v>
      </c>
      <c r="AH1049" s="294">
        <f>IF(NFI_Expiration=1,IF($A1049&lt;VLOOKUP(Q$5,NFI,5,0),1,0)*Table_NFI[[#This Row],[Plastic Mat]],Table_NFI[Plastic Mat])*IF(Table_NFI[[#This Row],[Distribution Date]]&gt;"2014-04-01",1,2.5)</f>
        <v>0</v>
      </c>
      <c r="AI1049" s="294">
        <f>IF(NFI_Expiration=1,IF($A1049&lt;VLOOKUP(R$5,NFI,5,0),1,0)*Table_NFI[[#This Row],[Winter Clothes Adult]],Table_NFI[Winter Clothes Adult])</f>
        <v>0</v>
      </c>
      <c r="AJ1049" s="294">
        <f>IF(NFI_Expiration=1,IF($A1049&lt;VLOOKUP(S$5,NFI,5,0),1,0)*Table_NFI[[#This Row],[Winter Clothes Children]],Table_NFI[Winter Clothes Children])</f>
        <v>0</v>
      </c>
      <c r="AK1049" s="294">
        <f>IF(NFI_Expiration=1,IF($A1049&lt;VLOOKUP(T$5,NFI,5,0),1,0)*Table_NFI[[#This Row],[Winter Items Other]],Table_NFI[Winter Items Other])</f>
        <v>0</v>
      </c>
      <c r="AL1049" s="294">
        <f>IF(NFI_Expiration=1,IF($A1049&lt;VLOOKUP(M$5,NFI,5,0),1,0)*Table_NFI[[#This Row],[Winter Blanket]],Table_NFI[[#This Row],[Winter Blanket]])</f>
        <v>0</v>
      </c>
      <c r="AM1049" s="294">
        <f>IF(Table_NFI[[#This Row],[Winter Clothes Adult]]+Table_NFI[[#This Row],[Winter Clothes Children]]+Table_NFI[[#This Row],[Winter Items Other]]+Table_NFI[[#This Row],[Winter Blanket]]&gt;0,1,0)</f>
        <v>0</v>
      </c>
      <c r="AN1049" s="331">
        <f>IF(NFI_Expiration=1,IF($A1049&lt;VLOOKUP(V$5,NFI,5,0),1,0)*Table_NFI[[#This Row],[Jerry Can]],Table_NFI[Jerry Can])</f>
        <v>0</v>
      </c>
      <c r="AO1049" s="331">
        <f>IF(NFI_Expiration=1,IF($A1049&lt;VLOOKUP(V$5,NFI,5,0),1,0)*Table_NFI[[#This Row],[Shelter Tool kit]],Table_NFI[Shelter Tool kit])</f>
        <v>0</v>
      </c>
      <c r="AP1049" s="331">
        <f>IF(NFI_Expiration=1,IF($A1049&lt;VLOOKUP(V$5,NFI,5,0),1,0)*Table_NFI[[#This Row],[Tent]],Table_NFI[Tent])</f>
        <v>0</v>
      </c>
      <c r="AQ1049" s="467" t="str">
        <f>IFERROR(VLOOKUP(Table_NFI[[#This Row],[Camp Name]],CL,2,0),"")</f>
        <v>MMR001CMP066</v>
      </c>
      <c r="AR1049" s="835">
        <f ca="1">IF(Table_NFI[[#This Row],[Pcode]]="","",IF(OFFSET(CampList[Opening Date],MATCH(Table_NFI[[#This Row],[Pcode]],CampList[CP_Pcode],0)-1,0,1,1)&gt;=NFI_Monitor_Date,1,0))</f>
        <v>0</v>
      </c>
      <c r="AS1049" s="467" t="str">
        <f>IFERROR(VLOOKUP(Table_NFI[[#This Row],[Camp Name]],CL,3,0),"")</f>
        <v>Open</v>
      </c>
      <c r="AT1049" s="294" t="str">
        <f ca="1">IF(Table_NFI[[#This Row],[Pcode]]="","",OFFSET(CampList[Priority],MATCH(Table_NFI[[#This Row],[Pcode]],CampList[CP_Pcode],0)-1,0,1,1))</f>
        <v>P4</v>
      </c>
      <c r="AU1049" s="293">
        <f>IFERROR(Table_NFI[[#This Row],[Kitchen Set]]/VLOOKUP(Table_NFI[[#This Row],[Camp Name]],CL,4,0),"")</f>
        <v>0</v>
      </c>
      <c r="AV1049" s="461"/>
      <c r="AW1049" s="463"/>
    </row>
    <row r="1050" spans="1:49" s="472" customFormat="1" ht="16.899999999999999" customHeight="1" x14ac:dyDescent="0.25">
      <c r="A1050" s="297">
        <f t="shared" si="16"/>
        <v>59.9</v>
      </c>
      <c r="B1050" s="460">
        <v>40939</v>
      </c>
      <c r="C1050" s="461" t="s">
        <v>452</v>
      </c>
      <c r="D1050" s="461" t="s">
        <v>452</v>
      </c>
      <c r="E1050" s="461" t="s">
        <v>380</v>
      </c>
      <c r="F1050" s="461" t="s">
        <v>310</v>
      </c>
      <c r="G1050" s="290" t="s">
        <v>351</v>
      </c>
      <c r="H1050" s="291"/>
      <c r="I1050" s="291"/>
      <c r="J1050" s="291"/>
      <c r="K1050" s="291">
        <v>0</v>
      </c>
      <c r="L1050" s="292">
        <v>0</v>
      </c>
      <c r="M1050" s="292">
        <v>0</v>
      </c>
      <c r="N1050" s="292">
        <v>0</v>
      </c>
      <c r="O1050" s="292">
        <v>61</v>
      </c>
      <c r="P1050" s="294">
        <v>61</v>
      </c>
      <c r="Q1050" s="294">
        <v>61</v>
      </c>
      <c r="R1050" s="294"/>
      <c r="S1050" s="294"/>
      <c r="T1050" s="294"/>
      <c r="U1050" s="294"/>
      <c r="V1050" s="431"/>
      <c r="W1050" s="331"/>
      <c r="X1050" s="331"/>
      <c r="Y1050" s="294">
        <f>IF(NFI_Expiration=1,IF($A1050&lt;VLOOKUP(H$5,NFI,5,0),1,0)*Table_NFI[[#This Row],[Hygiene Kit]],Table_NFI[Hygiene Kit])</f>
        <v>0</v>
      </c>
      <c r="Z1050" s="294">
        <f>IF(NFI_Expiration=1,IF($A1050&lt;VLOOKUP(I$5,NFI,5,0),1,0)*Table_NFI[[#This Row],[NFI Core Kit]],Table_NFI[NFI Core Kit])</f>
        <v>0</v>
      </c>
      <c r="AA1050" s="294">
        <f>IF(NFI_Expiration=1,IF($A1050&lt;VLOOKUP(J$5,NFI,5,0),1,0)*Table_NFI[[#This Row],[Sanitary Kit]],Table_NFI[Sanitary Kit])</f>
        <v>0</v>
      </c>
      <c r="AB1050" s="294">
        <f>IF(NFI_Expiration=1,IF($A1050&lt;VLOOKUP(K$5,NFI,5,0),1,0)*Table_NFI[[#This Row],[Mosquito net]],Table_NFI[Mosquito net])</f>
        <v>0</v>
      </c>
      <c r="AC1050" s="294">
        <f>IF(NFI_Expiration=1,IF($A1050&lt;VLOOKUP(L$5,NFI,5,0),1,0)*Table_NFI[[#This Row],[Tarpaulin]],Table_NFI[[#This Row],[Tarpaulin]])</f>
        <v>0</v>
      </c>
      <c r="AD1050" s="294">
        <f>IF(NFI_Expiration=1,IF($A1050&lt;VLOOKUP(M$5,NFI,5,0),1,0)*Table_NFI[[#This Row],[Blanket]],Table_NFI[[#This Row],[Blanket]])</f>
        <v>0</v>
      </c>
      <c r="AE1050" s="294">
        <f>IF(NFI_Expiration=1,IF($A1050&lt;VLOOKUP(N$5,NFI,5,0),1,0)*Table_NFI[[#This Row],[Kitchen Set]],Table_NFI[Kitchen Set])</f>
        <v>0</v>
      </c>
      <c r="AF1050" s="294">
        <f>IF(NFI_Expiration=1,IF($A1050&lt;VLOOKUP(O$5,NFI,5,0),1,0)*Table_NFI[[#This Row],[Clothes Kit]],Table_NFI[Clothes Kit])</f>
        <v>0</v>
      </c>
      <c r="AG1050" s="294">
        <f>IF(NFI_Expiration=1,IF($A1050&lt;VLOOKUP(P$5,NFI,5,0),1,0)*Table_NFI[[#This Row],[Plastic Bucket]],Table_NFI[Plastic Bucket])</f>
        <v>0</v>
      </c>
      <c r="AH1050" s="294">
        <f>IF(NFI_Expiration=1,IF($A1050&lt;VLOOKUP(Q$5,NFI,5,0),1,0)*Table_NFI[[#This Row],[Plastic Mat]],Table_NFI[Plastic Mat])*IF(Table_NFI[[#This Row],[Distribution Date]]&gt;"2014-04-01",1,2.5)</f>
        <v>0</v>
      </c>
      <c r="AI1050" s="294">
        <f>IF(NFI_Expiration=1,IF($A1050&lt;VLOOKUP(R$5,NFI,5,0),1,0)*Table_NFI[[#This Row],[Winter Clothes Adult]],Table_NFI[Winter Clothes Adult])</f>
        <v>0</v>
      </c>
      <c r="AJ1050" s="294">
        <f>IF(NFI_Expiration=1,IF($A1050&lt;VLOOKUP(S$5,NFI,5,0),1,0)*Table_NFI[[#This Row],[Winter Clothes Children]],Table_NFI[Winter Clothes Children])</f>
        <v>0</v>
      </c>
      <c r="AK1050" s="294">
        <f>IF(NFI_Expiration=1,IF($A1050&lt;VLOOKUP(T$5,NFI,5,0),1,0)*Table_NFI[[#This Row],[Winter Items Other]],Table_NFI[Winter Items Other])</f>
        <v>0</v>
      </c>
      <c r="AL1050" s="294">
        <f>IF(NFI_Expiration=1,IF($A1050&lt;VLOOKUP(M$5,NFI,5,0),1,0)*Table_NFI[[#This Row],[Winter Blanket]],Table_NFI[[#This Row],[Winter Blanket]])</f>
        <v>0</v>
      </c>
      <c r="AM1050" s="294">
        <f>IF(Table_NFI[[#This Row],[Winter Clothes Adult]]+Table_NFI[[#This Row],[Winter Clothes Children]]+Table_NFI[[#This Row],[Winter Items Other]]+Table_NFI[[#This Row],[Winter Blanket]]&gt;0,1,0)</f>
        <v>0</v>
      </c>
      <c r="AN1050" s="331">
        <f>IF(NFI_Expiration=1,IF($A1050&lt;VLOOKUP(V$5,NFI,5,0),1,0)*Table_NFI[[#This Row],[Jerry Can]],Table_NFI[Jerry Can])</f>
        <v>0</v>
      </c>
      <c r="AO1050" s="331">
        <f>IF(NFI_Expiration=1,IF($A1050&lt;VLOOKUP(V$5,NFI,5,0),1,0)*Table_NFI[[#This Row],[Shelter Tool kit]],Table_NFI[Shelter Tool kit])</f>
        <v>0</v>
      </c>
      <c r="AP1050" s="331">
        <f>IF(NFI_Expiration=1,IF($A1050&lt;VLOOKUP(V$5,NFI,5,0),1,0)*Table_NFI[[#This Row],[Tent]],Table_NFI[Tent])</f>
        <v>0</v>
      </c>
      <c r="AQ1050" s="467" t="str">
        <f>IFERROR(VLOOKUP(Table_NFI[[#This Row],[Camp Name]],CL,2,0),"")</f>
        <v>MMR001CMP026</v>
      </c>
      <c r="AR1050" s="835">
        <f ca="1">IF(Table_NFI[[#This Row],[Pcode]]="","",IF(OFFSET(CampList[Opening Date],MATCH(Table_NFI[[#This Row],[Pcode]],CampList[CP_Pcode],0)-1,0,1,1)&gt;=NFI_Monitor_Date,1,0))</f>
        <v>0</v>
      </c>
      <c r="AS1050" s="467" t="str">
        <f>IFERROR(VLOOKUP(Table_NFI[[#This Row],[Camp Name]],CL,3,0),"")</f>
        <v>Open</v>
      </c>
      <c r="AT1050" s="294" t="str">
        <f ca="1">IF(Table_NFI[[#This Row],[Pcode]]="","",OFFSET(CampList[Priority],MATCH(Table_NFI[[#This Row],[Pcode]],CampList[CP_Pcode],0)-1,0,1,1))</f>
        <v>P4</v>
      </c>
      <c r="AU1050" s="293">
        <f>IFERROR(Table_NFI[[#This Row],[Kitchen Set]]/VLOOKUP(Table_NFI[[#This Row],[Camp Name]],CL,4,0),"")</f>
        <v>0</v>
      </c>
      <c r="AV1050" s="461" t="s">
        <v>1092</v>
      </c>
      <c r="AW1050" s="463"/>
    </row>
    <row r="1051" spans="1:49" s="472" customFormat="1" ht="22.9" customHeight="1" x14ac:dyDescent="0.25">
      <c r="A1051" s="297">
        <f t="shared" si="16"/>
        <v>60.1</v>
      </c>
      <c r="B1051" s="460">
        <v>40933</v>
      </c>
      <c r="C1051" s="461" t="s">
        <v>905</v>
      </c>
      <c r="D1051" s="461"/>
      <c r="E1051" s="461" t="s">
        <v>380</v>
      </c>
      <c r="F1051" s="290" t="s">
        <v>5</v>
      </c>
      <c r="G1051" s="290" t="s">
        <v>18</v>
      </c>
      <c r="H1051" s="294">
        <v>94</v>
      </c>
      <c r="I1051" s="291"/>
      <c r="J1051" s="291"/>
      <c r="K1051" s="291"/>
      <c r="L1051" s="292"/>
      <c r="M1051" s="292"/>
      <c r="N1051" s="292"/>
      <c r="O1051" s="292"/>
      <c r="P1051" s="294"/>
      <c r="Q1051" s="294"/>
      <c r="R1051" s="294"/>
      <c r="S1051" s="294"/>
      <c r="T1051" s="294"/>
      <c r="U1051" s="294"/>
      <c r="V1051" s="431"/>
      <c r="W1051" s="331"/>
      <c r="X1051" s="331"/>
      <c r="Y1051" s="294">
        <f>IF(NFI_Expiration=1,IF($A1051&lt;VLOOKUP(H$5,NFI,5,0),1,0)*Table_NFI[[#This Row],[Hygiene Kit]],Table_NFI[Hygiene Kit])</f>
        <v>0</v>
      </c>
      <c r="Z1051" s="294">
        <f>IF(NFI_Expiration=1,IF($A1051&lt;VLOOKUP(I$5,NFI,5,0),1,0)*Table_NFI[[#This Row],[NFI Core Kit]],Table_NFI[NFI Core Kit])</f>
        <v>0</v>
      </c>
      <c r="AA1051" s="294">
        <f>IF(NFI_Expiration=1,IF($A1051&lt;VLOOKUP(J$5,NFI,5,0),1,0)*Table_NFI[[#This Row],[Sanitary Kit]],Table_NFI[Sanitary Kit])</f>
        <v>0</v>
      </c>
      <c r="AB1051" s="294">
        <f>IF(NFI_Expiration=1,IF($A1051&lt;VLOOKUP(K$5,NFI,5,0),1,0)*Table_NFI[[#This Row],[Mosquito net]],Table_NFI[Mosquito net])</f>
        <v>0</v>
      </c>
      <c r="AC1051" s="294">
        <f>IF(NFI_Expiration=1,IF($A1051&lt;VLOOKUP(L$5,NFI,5,0),1,0)*Table_NFI[[#This Row],[Tarpaulin]],Table_NFI[[#This Row],[Tarpaulin]])</f>
        <v>0</v>
      </c>
      <c r="AD1051" s="294">
        <f>IF(NFI_Expiration=1,IF($A1051&lt;VLOOKUP(M$5,NFI,5,0),1,0)*Table_NFI[[#This Row],[Blanket]],Table_NFI[[#This Row],[Blanket]])</f>
        <v>0</v>
      </c>
      <c r="AE1051" s="294">
        <f>IF(NFI_Expiration=1,IF($A1051&lt;VLOOKUP(N$5,NFI,5,0),1,0)*Table_NFI[[#This Row],[Kitchen Set]],Table_NFI[Kitchen Set])</f>
        <v>0</v>
      </c>
      <c r="AF1051" s="294">
        <f>IF(NFI_Expiration=1,IF($A1051&lt;VLOOKUP(O$5,NFI,5,0),1,0)*Table_NFI[[#This Row],[Clothes Kit]],Table_NFI[Clothes Kit])</f>
        <v>0</v>
      </c>
      <c r="AG1051" s="294">
        <f>IF(NFI_Expiration=1,IF($A1051&lt;VLOOKUP(P$5,NFI,5,0),1,0)*Table_NFI[[#This Row],[Plastic Bucket]],Table_NFI[Plastic Bucket])</f>
        <v>0</v>
      </c>
      <c r="AH1051" s="294">
        <f>IF(NFI_Expiration=1,IF($A1051&lt;VLOOKUP(Q$5,NFI,5,0),1,0)*Table_NFI[[#This Row],[Plastic Mat]],Table_NFI[Plastic Mat])*IF(Table_NFI[[#This Row],[Distribution Date]]&gt;"2014-04-01",1,2.5)</f>
        <v>0</v>
      </c>
      <c r="AI1051" s="294">
        <f>IF(NFI_Expiration=1,IF($A1051&lt;VLOOKUP(R$5,NFI,5,0),1,0)*Table_NFI[[#This Row],[Winter Clothes Adult]],Table_NFI[Winter Clothes Adult])</f>
        <v>0</v>
      </c>
      <c r="AJ1051" s="294">
        <f>IF(NFI_Expiration=1,IF($A1051&lt;VLOOKUP(S$5,NFI,5,0),1,0)*Table_NFI[[#This Row],[Winter Clothes Children]],Table_NFI[Winter Clothes Children])</f>
        <v>0</v>
      </c>
      <c r="AK1051" s="294">
        <f>IF(NFI_Expiration=1,IF($A1051&lt;VLOOKUP(T$5,NFI,5,0),1,0)*Table_NFI[[#This Row],[Winter Items Other]],Table_NFI[Winter Items Other])</f>
        <v>0</v>
      </c>
      <c r="AL1051" s="294">
        <f>IF(NFI_Expiration=1,IF($A1051&lt;VLOOKUP(M$5,NFI,5,0),1,0)*Table_NFI[[#This Row],[Winter Blanket]],Table_NFI[[#This Row],[Winter Blanket]])</f>
        <v>0</v>
      </c>
      <c r="AM1051" s="294">
        <f>IF(Table_NFI[[#This Row],[Winter Clothes Adult]]+Table_NFI[[#This Row],[Winter Clothes Children]]+Table_NFI[[#This Row],[Winter Items Other]]+Table_NFI[[#This Row],[Winter Blanket]]&gt;0,1,0)</f>
        <v>0</v>
      </c>
      <c r="AN1051" s="331">
        <f>IF(NFI_Expiration=1,IF($A1051&lt;VLOOKUP(V$5,NFI,5,0),1,0)*Table_NFI[[#This Row],[Jerry Can]],Table_NFI[Jerry Can])</f>
        <v>0</v>
      </c>
      <c r="AO1051" s="331">
        <f>IF(NFI_Expiration=1,IF($A1051&lt;VLOOKUP(V$5,NFI,5,0),1,0)*Table_NFI[[#This Row],[Shelter Tool kit]],Table_NFI[Shelter Tool kit])</f>
        <v>0</v>
      </c>
      <c r="AP1051" s="331">
        <f>IF(NFI_Expiration=1,IF($A1051&lt;VLOOKUP(V$5,NFI,5,0),1,0)*Table_NFI[[#This Row],[Tent]],Table_NFI[Tent])</f>
        <v>0</v>
      </c>
      <c r="AQ1051" s="467" t="str">
        <f>IFERROR(VLOOKUP(Table_NFI[[#This Row],[Camp Name]],CL,2,0),"")</f>
        <v>MMR001CMP049</v>
      </c>
      <c r="AR1051" s="835">
        <f ca="1">IF(Table_NFI[[#This Row],[Pcode]]="","",IF(OFFSET(CampList[Opening Date],MATCH(Table_NFI[[#This Row],[Pcode]],CampList[CP_Pcode],0)-1,0,1,1)&gt;=NFI_Monitor_Date,1,0))</f>
        <v>0</v>
      </c>
      <c r="AS1051" s="467" t="str">
        <f>IFERROR(VLOOKUP(Table_NFI[[#This Row],[Camp Name]],CL,3,0),"")</f>
        <v>Open</v>
      </c>
      <c r="AT1051" s="294" t="str">
        <f ca="1">IF(Table_NFI[[#This Row],[Pcode]]="","",OFFSET(CampList[Priority],MATCH(Table_NFI[[#This Row],[Pcode]],CampList[CP_Pcode],0)-1,0,1,1))</f>
        <v>P4</v>
      </c>
      <c r="AU1051" s="293">
        <f>IFERROR(Table_NFI[[#This Row],[Kitchen Set]]/VLOOKUP(Table_NFI[[#This Row],[Camp Name]],CL,4,0),"")</f>
        <v>0</v>
      </c>
      <c r="AV1051" s="461"/>
      <c r="AW1051" s="463"/>
    </row>
    <row r="1052" spans="1:49" s="472" customFormat="1" ht="19.149999999999999" customHeight="1" x14ac:dyDescent="0.25">
      <c r="A1052" s="297">
        <f t="shared" si="16"/>
        <v>60.3</v>
      </c>
      <c r="B1052" s="460">
        <v>40927</v>
      </c>
      <c r="C1052" s="461" t="s">
        <v>452</v>
      </c>
      <c r="D1052" s="461" t="s">
        <v>460</v>
      </c>
      <c r="E1052" s="461" t="s">
        <v>380</v>
      </c>
      <c r="F1052" s="290" t="s">
        <v>237</v>
      </c>
      <c r="G1052" s="290" t="s">
        <v>253</v>
      </c>
      <c r="H1052" s="291"/>
      <c r="I1052" s="291"/>
      <c r="J1052" s="291"/>
      <c r="K1052" s="291">
        <v>0</v>
      </c>
      <c r="L1052" s="292">
        <v>0</v>
      </c>
      <c r="M1052" s="292">
        <v>0</v>
      </c>
      <c r="N1052" s="292">
        <v>0</v>
      </c>
      <c r="O1052" s="292">
        <v>118</v>
      </c>
      <c r="P1052" s="294">
        <v>118</v>
      </c>
      <c r="Q1052" s="294">
        <v>118</v>
      </c>
      <c r="R1052" s="294"/>
      <c r="S1052" s="294"/>
      <c r="T1052" s="294"/>
      <c r="U1052" s="294"/>
      <c r="V1052" s="431"/>
      <c r="W1052" s="331"/>
      <c r="X1052" s="331"/>
      <c r="Y1052" s="294">
        <f>IF(NFI_Expiration=1,IF($A1052&lt;VLOOKUP(H$5,NFI,5,0),1,0)*Table_NFI[[#This Row],[Hygiene Kit]],Table_NFI[Hygiene Kit])</f>
        <v>0</v>
      </c>
      <c r="Z1052" s="294">
        <f>IF(NFI_Expiration=1,IF($A1052&lt;VLOOKUP(I$5,NFI,5,0),1,0)*Table_NFI[[#This Row],[NFI Core Kit]],Table_NFI[NFI Core Kit])</f>
        <v>0</v>
      </c>
      <c r="AA1052" s="294">
        <f>IF(NFI_Expiration=1,IF($A1052&lt;VLOOKUP(J$5,NFI,5,0),1,0)*Table_NFI[[#This Row],[Sanitary Kit]],Table_NFI[Sanitary Kit])</f>
        <v>0</v>
      </c>
      <c r="AB1052" s="294">
        <f>IF(NFI_Expiration=1,IF($A1052&lt;VLOOKUP(K$5,NFI,5,0),1,0)*Table_NFI[[#This Row],[Mosquito net]],Table_NFI[Mosquito net])</f>
        <v>0</v>
      </c>
      <c r="AC1052" s="294">
        <f>IF(NFI_Expiration=1,IF($A1052&lt;VLOOKUP(L$5,NFI,5,0),1,0)*Table_NFI[[#This Row],[Tarpaulin]],Table_NFI[[#This Row],[Tarpaulin]])</f>
        <v>0</v>
      </c>
      <c r="AD1052" s="294">
        <f>IF(NFI_Expiration=1,IF($A1052&lt;VLOOKUP(M$5,NFI,5,0),1,0)*Table_NFI[[#This Row],[Blanket]],Table_NFI[[#This Row],[Blanket]])</f>
        <v>0</v>
      </c>
      <c r="AE1052" s="294">
        <f>IF(NFI_Expiration=1,IF($A1052&lt;VLOOKUP(N$5,NFI,5,0),1,0)*Table_NFI[[#This Row],[Kitchen Set]],Table_NFI[Kitchen Set])</f>
        <v>0</v>
      </c>
      <c r="AF1052" s="294">
        <f>IF(NFI_Expiration=1,IF($A1052&lt;VLOOKUP(O$5,NFI,5,0),1,0)*Table_NFI[[#This Row],[Clothes Kit]],Table_NFI[Clothes Kit])</f>
        <v>0</v>
      </c>
      <c r="AG1052" s="294">
        <f>IF(NFI_Expiration=1,IF($A1052&lt;VLOOKUP(P$5,NFI,5,0),1,0)*Table_NFI[[#This Row],[Plastic Bucket]],Table_NFI[Plastic Bucket])</f>
        <v>0</v>
      </c>
      <c r="AH1052" s="294">
        <f>IF(NFI_Expiration=1,IF($A1052&lt;VLOOKUP(Q$5,NFI,5,0),1,0)*Table_NFI[[#This Row],[Plastic Mat]],Table_NFI[Plastic Mat])*IF(Table_NFI[[#This Row],[Distribution Date]]&gt;"2014-04-01",1,2.5)</f>
        <v>0</v>
      </c>
      <c r="AI1052" s="294">
        <f>IF(NFI_Expiration=1,IF($A1052&lt;VLOOKUP(R$5,NFI,5,0),1,0)*Table_NFI[[#This Row],[Winter Clothes Adult]],Table_NFI[Winter Clothes Adult])</f>
        <v>0</v>
      </c>
      <c r="AJ1052" s="294">
        <f>IF(NFI_Expiration=1,IF($A1052&lt;VLOOKUP(S$5,NFI,5,0),1,0)*Table_NFI[[#This Row],[Winter Clothes Children]],Table_NFI[Winter Clothes Children])</f>
        <v>0</v>
      </c>
      <c r="AK1052" s="294">
        <f>IF(NFI_Expiration=1,IF($A1052&lt;VLOOKUP(T$5,NFI,5,0),1,0)*Table_NFI[[#This Row],[Winter Items Other]],Table_NFI[Winter Items Other])</f>
        <v>0</v>
      </c>
      <c r="AL1052" s="294">
        <f>IF(NFI_Expiration=1,IF($A1052&lt;VLOOKUP(M$5,NFI,5,0),1,0)*Table_NFI[[#This Row],[Winter Blanket]],Table_NFI[[#This Row],[Winter Blanket]])</f>
        <v>0</v>
      </c>
      <c r="AM1052" s="294">
        <f>IF(Table_NFI[[#This Row],[Winter Clothes Adult]]+Table_NFI[[#This Row],[Winter Clothes Children]]+Table_NFI[[#This Row],[Winter Items Other]]+Table_NFI[[#This Row],[Winter Blanket]]&gt;0,1,0)</f>
        <v>0</v>
      </c>
      <c r="AN1052" s="331">
        <f>IF(NFI_Expiration=1,IF($A1052&lt;VLOOKUP(V$5,NFI,5,0),1,0)*Table_NFI[[#This Row],[Jerry Can]],Table_NFI[Jerry Can])</f>
        <v>0</v>
      </c>
      <c r="AO1052" s="331">
        <f>IF(NFI_Expiration=1,IF($A1052&lt;VLOOKUP(V$5,NFI,5,0),1,0)*Table_NFI[[#This Row],[Shelter Tool kit]],Table_NFI[Shelter Tool kit])</f>
        <v>0</v>
      </c>
      <c r="AP1052" s="331">
        <f>IF(NFI_Expiration=1,IF($A1052&lt;VLOOKUP(V$5,NFI,5,0),1,0)*Table_NFI[[#This Row],[Tent]],Table_NFI[Tent])</f>
        <v>0</v>
      </c>
      <c r="AQ1052" s="467" t="str">
        <f>IFERROR(VLOOKUP(Table_NFI[[#This Row],[Camp Name]],CL,2,0),"")</f>
        <v>MMR001CMP018</v>
      </c>
      <c r="AR1052" s="835">
        <f ca="1">IF(Table_NFI[[#This Row],[Pcode]]="","",IF(OFFSET(CampList[Opening Date],MATCH(Table_NFI[[#This Row],[Pcode]],CampList[CP_Pcode],0)-1,0,1,1)&gt;=NFI_Monitor_Date,1,0))</f>
        <v>0</v>
      </c>
      <c r="AS1052" s="467" t="str">
        <f>IFERROR(VLOOKUP(Table_NFI[[#This Row],[Camp Name]],CL,3,0),"")</f>
        <v>Open</v>
      </c>
      <c r="AT1052" s="294" t="str">
        <f ca="1">IF(Table_NFI[[#This Row],[Pcode]]="","",OFFSET(CampList[Priority],MATCH(Table_NFI[[#This Row],[Pcode]],CampList[CP_Pcode],0)-1,0,1,1))</f>
        <v>P4</v>
      </c>
      <c r="AU1052" s="293">
        <f>IFERROR(Table_NFI[[#This Row],[Kitchen Set]]/VLOOKUP(Table_NFI[[#This Row],[Camp Name]],CL,4,0),"")</f>
        <v>0</v>
      </c>
      <c r="AV1052" s="461" t="s">
        <v>1092</v>
      </c>
      <c r="AW1052" s="463"/>
    </row>
    <row r="1053" spans="1:49" s="472" customFormat="1" ht="19.899999999999999" customHeight="1" x14ac:dyDescent="0.25">
      <c r="A1053" s="297">
        <f t="shared" si="16"/>
        <v>60.5</v>
      </c>
      <c r="B1053" s="460">
        <v>40921</v>
      </c>
      <c r="C1053" s="461" t="s">
        <v>452</v>
      </c>
      <c r="D1053" s="462" t="s">
        <v>460</v>
      </c>
      <c r="E1053" s="461" t="s">
        <v>380</v>
      </c>
      <c r="F1053" s="290" t="s">
        <v>527</v>
      </c>
      <c r="G1053" s="290" t="s">
        <v>62</v>
      </c>
      <c r="H1053" s="291"/>
      <c r="I1053" s="291"/>
      <c r="J1053" s="291"/>
      <c r="K1053" s="291">
        <v>52</v>
      </c>
      <c r="L1053" s="292">
        <v>26</v>
      </c>
      <c r="M1053" s="292">
        <v>36</v>
      </c>
      <c r="N1053" s="292">
        <v>0</v>
      </c>
      <c r="O1053" s="292">
        <v>26</v>
      </c>
      <c r="P1053" s="294">
        <v>26</v>
      </c>
      <c r="Q1053" s="294">
        <v>26</v>
      </c>
      <c r="R1053" s="294"/>
      <c r="S1053" s="294"/>
      <c r="T1053" s="294"/>
      <c r="U1053" s="294"/>
      <c r="V1053" s="431"/>
      <c r="W1053" s="331"/>
      <c r="X1053" s="331"/>
      <c r="Y1053" s="294">
        <f>IF(NFI_Expiration=1,IF($A1053&lt;VLOOKUP(H$5,NFI,5,0),1,0)*Table_NFI[[#This Row],[Hygiene Kit]],Table_NFI[Hygiene Kit])</f>
        <v>0</v>
      </c>
      <c r="Z1053" s="294">
        <f>IF(NFI_Expiration=1,IF($A1053&lt;VLOOKUP(I$5,NFI,5,0),1,0)*Table_NFI[[#This Row],[NFI Core Kit]],Table_NFI[NFI Core Kit])</f>
        <v>0</v>
      </c>
      <c r="AA1053" s="294">
        <f>IF(NFI_Expiration=1,IF($A1053&lt;VLOOKUP(J$5,NFI,5,0),1,0)*Table_NFI[[#This Row],[Sanitary Kit]],Table_NFI[Sanitary Kit])</f>
        <v>0</v>
      </c>
      <c r="AB1053" s="294">
        <f>IF(NFI_Expiration=1,IF($A1053&lt;VLOOKUP(K$5,NFI,5,0),1,0)*Table_NFI[[#This Row],[Mosquito net]],Table_NFI[Mosquito net])</f>
        <v>0</v>
      </c>
      <c r="AC1053" s="294">
        <f>IF(NFI_Expiration=1,IF($A1053&lt;VLOOKUP(L$5,NFI,5,0),1,0)*Table_NFI[[#This Row],[Tarpaulin]],Table_NFI[[#This Row],[Tarpaulin]])</f>
        <v>0</v>
      </c>
      <c r="AD1053" s="294">
        <f>IF(NFI_Expiration=1,IF($A1053&lt;VLOOKUP(M$5,NFI,5,0),1,0)*Table_NFI[[#This Row],[Blanket]],Table_NFI[[#This Row],[Blanket]])</f>
        <v>0</v>
      </c>
      <c r="AE1053" s="294">
        <f>IF(NFI_Expiration=1,IF($A1053&lt;VLOOKUP(N$5,NFI,5,0),1,0)*Table_NFI[[#This Row],[Kitchen Set]],Table_NFI[Kitchen Set])</f>
        <v>0</v>
      </c>
      <c r="AF1053" s="294">
        <f>IF(NFI_Expiration=1,IF($A1053&lt;VLOOKUP(O$5,NFI,5,0),1,0)*Table_NFI[[#This Row],[Clothes Kit]],Table_NFI[Clothes Kit])</f>
        <v>0</v>
      </c>
      <c r="AG1053" s="294">
        <f>IF(NFI_Expiration=1,IF($A1053&lt;VLOOKUP(P$5,NFI,5,0),1,0)*Table_NFI[[#This Row],[Plastic Bucket]],Table_NFI[Plastic Bucket])</f>
        <v>0</v>
      </c>
      <c r="AH1053" s="294">
        <f>IF(NFI_Expiration=1,IF($A1053&lt;VLOOKUP(Q$5,NFI,5,0),1,0)*Table_NFI[[#This Row],[Plastic Mat]],Table_NFI[Plastic Mat])*IF(Table_NFI[[#This Row],[Distribution Date]]&gt;"2014-04-01",1,2.5)</f>
        <v>0</v>
      </c>
      <c r="AI1053" s="294">
        <f>IF(NFI_Expiration=1,IF($A1053&lt;VLOOKUP(R$5,NFI,5,0),1,0)*Table_NFI[[#This Row],[Winter Clothes Adult]],Table_NFI[Winter Clothes Adult])</f>
        <v>0</v>
      </c>
      <c r="AJ1053" s="294">
        <f>IF(NFI_Expiration=1,IF($A1053&lt;VLOOKUP(S$5,NFI,5,0),1,0)*Table_NFI[[#This Row],[Winter Clothes Children]],Table_NFI[Winter Clothes Children])</f>
        <v>0</v>
      </c>
      <c r="AK1053" s="294">
        <f>IF(NFI_Expiration=1,IF($A1053&lt;VLOOKUP(T$5,NFI,5,0),1,0)*Table_NFI[[#This Row],[Winter Items Other]],Table_NFI[Winter Items Other])</f>
        <v>0</v>
      </c>
      <c r="AL1053" s="294">
        <f>IF(NFI_Expiration=1,IF($A1053&lt;VLOOKUP(M$5,NFI,5,0),1,0)*Table_NFI[[#This Row],[Winter Blanket]],Table_NFI[[#This Row],[Winter Blanket]])</f>
        <v>0</v>
      </c>
      <c r="AM1053" s="294">
        <f>IF(Table_NFI[[#This Row],[Winter Clothes Adult]]+Table_NFI[[#This Row],[Winter Clothes Children]]+Table_NFI[[#This Row],[Winter Items Other]]+Table_NFI[[#This Row],[Winter Blanket]]&gt;0,1,0)</f>
        <v>0</v>
      </c>
      <c r="AN1053" s="331">
        <f>IF(NFI_Expiration=1,IF($A1053&lt;VLOOKUP(V$5,NFI,5,0),1,0)*Table_NFI[[#This Row],[Jerry Can]],Table_NFI[Jerry Can])</f>
        <v>0</v>
      </c>
      <c r="AO1053" s="331">
        <f>IF(NFI_Expiration=1,IF($A1053&lt;VLOOKUP(V$5,NFI,5,0),1,0)*Table_NFI[[#This Row],[Shelter Tool kit]],Table_NFI[Shelter Tool kit])</f>
        <v>0</v>
      </c>
      <c r="AP1053" s="331">
        <f>IF(NFI_Expiration=1,IF($A1053&lt;VLOOKUP(V$5,NFI,5,0),1,0)*Table_NFI[[#This Row],[Tent]],Table_NFI[Tent])</f>
        <v>0</v>
      </c>
      <c r="AQ1053" s="467" t="str">
        <f>IFERROR(VLOOKUP(Table_NFI[[#This Row],[Camp Name]],CL,2,0),"")</f>
        <v>MMR001CMP179</v>
      </c>
      <c r="AR1053" s="835">
        <f ca="1">IF(Table_NFI[[#This Row],[Pcode]]="","",IF(OFFSET(CampList[Opening Date],MATCH(Table_NFI[[#This Row],[Pcode]],CampList[CP_Pcode],0)-1,0,1,1)&gt;=NFI_Monitor_Date,1,0))</f>
        <v>0</v>
      </c>
      <c r="AS1053" s="467" t="str">
        <f>IFERROR(VLOOKUP(Table_NFI[[#This Row],[Camp Name]],CL,3,0),"")</f>
        <v>Open</v>
      </c>
      <c r="AT1053" s="294" t="str">
        <f ca="1">IF(Table_NFI[[#This Row],[Pcode]]="","",OFFSET(CampList[Priority],MATCH(Table_NFI[[#This Row],[Pcode]],CampList[CP_Pcode],0)-1,0,1,1))</f>
        <v>P4</v>
      </c>
      <c r="AU1053" s="293">
        <f>IFERROR(Table_NFI[[#This Row],[Kitchen Set]]/VLOOKUP(Table_NFI[[#This Row],[Camp Name]],CL,4,0),"")</f>
        <v>0</v>
      </c>
      <c r="AV1053" s="461" t="s">
        <v>1092</v>
      </c>
      <c r="AW1053" s="463"/>
    </row>
    <row r="1054" spans="1:49" s="472" customFormat="1" ht="14.45" customHeight="1" x14ac:dyDescent="0.25">
      <c r="A1054" s="297">
        <f t="shared" si="16"/>
        <v>60.5</v>
      </c>
      <c r="B1054" s="460">
        <v>40921</v>
      </c>
      <c r="C1054" s="461" t="s">
        <v>452</v>
      </c>
      <c r="D1054" s="461" t="s">
        <v>460</v>
      </c>
      <c r="E1054" s="461" t="s">
        <v>380</v>
      </c>
      <c r="F1054" s="290" t="s">
        <v>527</v>
      </c>
      <c r="G1054" s="290" t="s">
        <v>62</v>
      </c>
      <c r="H1054" s="291"/>
      <c r="I1054" s="291"/>
      <c r="J1054" s="291"/>
      <c r="K1054" s="291">
        <v>120</v>
      </c>
      <c r="L1054" s="292">
        <v>60</v>
      </c>
      <c r="M1054" s="292">
        <v>60</v>
      </c>
      <c r="N1054" s="292">
        <v>0</v>
      </c>
      <c r="O1054" s="292">
        <v>60</v>
      </c>
      <c r="P1054" s="294">
        <v>60</v>
      </c>
      <c r="Q1054" s="294">
        <v>60</v>
      </c>
      <c r="R1054" s="294"/>
      <c r="S1054" s="294"/>
      <c r="T1054" s="294"/>
      <c r="U1054" s="294"/>
      <c r="V1054" s="431"/>
      <c r="W1054" s="331"/>
      <c r="X1054" s="331"/>
      <c r="Y1054" s="294">
        <f>IF(NFI_Expiration=1,IF($A1054&lt;VLOOKUP(H$5,NFI,5,0),1,0)*Table_NFI[[#This Row],[Hygiene Kit]],Table_NFI[Hygiene Kit])</f>
        <v>0</v>
      </c>
      <c r="Z1054" s="294">
        <f>IF(NFI_Expiration=1,IF($A1054&lt;VLOOKUP(I$5,NFI,5,0),1,0)*Table_NFI[[#This Row],[NFI Core Kit]],Table_NFI[NFI Core Kit])</f>
        <v>0</v>
      </c>
      <c r="AA1054" s="294">
        <f>IF(NFI_Expiration=1,IF($A1054&lt;VLOOKUP(J$5,NFI,5,0),1,0)*Table_NFI[[#This Row],[Sanitary Kit]],Table_NFI[Sanitary Kit])</f>
        <v>0</v>
      </c>
      <c r="AB1054" s="294">
        <f>IF(NFI_Expiration=1,IF($A1054&lt;VLOOKUP(K$5,NFI,5,0),1,0)*Table_NFI[[#This Row],[Mosquito net]],Table_NFI[Mosquito net])</f>
        <v>0</v>
      </c>
      <c r="AC1054" s="294">
        <f>IF(NFI_Expiration=1,IF($A1054&lt;VLOOKUP(L$5,NFI,5,0),1,0)*Table_NFI[[#This Row],[Tarpaulin]],Table_NFI[[#This Row],[Tarpaulin]])</f>
        <v>0</v>
      </c>
      <c r="AD1054" s="294">
        <f>IF(NFI_Expiration=1,IF($A1054&lt;VLOOKUP(M$5,NFI,5,0),1,0)*Table_NFI[[#This Row],[Blanket]],Table_NFI[[#This Row],[Blanket]])</f>
        <v>0</v>
      </c>
      <c r="AE1054" s="294">
        <f>IF(NFI_Expiration=1,IF($A1054&lt;VLOOKUP(N$5,NFI,5,0),1,0)*Table_NFI[[#This Row],[Kitchen Set]],Table_NFI[Kitchen Set])</f>
        <v>0</v>
      </c>
      <c r="AF1054" s="294">
        <f>IF(NFI_Expiration=1,IF($A1054&lt;VLOOKUP(O$5,NFI,5,0),1,0)*Table_NFI[[#This Row],[Clothes Kit]],Table_NFI[Clothes Kit])</f>
        <v>0</v>
      </c>
      <c r="AG1054" s="294">
        <f>IF(NFI_Expiration=1,IF($A1054&lt;VLOOKUP(P$5,NFI,5,0),1,0)*Table_NFI[[#This Row],[Plastic Bucket]],Table_NFI[Plastic Bucket])</f>
        <v>0</v>
      </c>
      <c r="AH1054" s="294">
        <f>IF(NFI_Expiration=1,IF($A1054&lt;VLOOKUP(Q$5,NFI,5,0),1,0)*Table_NFI[[#This Row],[Plastic Mat]],Table_NFI[Plastic Mat])*IF(Table_NFI[[#This Row],[Distribution Date]]&gt;"2014-04-01",1,2.5)</f>
        <v>0</v>
      </c>
      <c r="AI1054" s="294">
        <f>IF(NFI_Expiration=1,IF($A1054&lt;VLOOKUP(R$5,NFI,5,0),1,0)*Table_NFI[[#This Row],[Winter Clothes Adult]],Table_NFI[Winter Clothes Adult])</f>
        <v>0</v>
      </c>
      <c r="AJ1054" s="294">
        <f>IF(NFI_Expiration=1,IF($A1054&lt;VLOOKUP(S$5,NFI,5,0),1,0)*Table_NFI[[#This Row],[Winter Clothes Children]],Table_NFI[Winter Clothes Children])</f>
        <v>0</v>
      </c>
      <c r="AK1054" s="294">
        <f>IF(NFI_Expiration=1,IF($A1054&lt;VLOOKUP(T$5,NFI,5,0),1,0)*Table_NFI[[#This Row],[Winter Items Other]],Table_NFI[Winter Items Other])</f>
        <v>0</v>
      </c>
      <c r="AL1054" s="294">
        <f>IF(NFI_Expiration=1,IF($A1054&lt;VLOOKUP(M$5,NFI,5,0),1,0)*Table_NFI[[#This Row],[Winter Blanket]],Table_NFI[[#This Row],[Winter Blanket]])</f>
        <v>0</v>
      </c>
      <c r="AM1054" s="294">
        <f>IF(Table_NFI[[#This Row],[Winter Clothes Adult]]+Table_NFI[[#This Row],[Winter Clothes Children]]+Table_NFI[[#This Row],[Winter Items Other]]+Table_NFI[[#This Row],[Winter Blanket]]&gt;0,1,0)</f>
        <v>0</v>
      </c>
      <c r="AN1054" s="331">
        <f>IF(NFI_Expiration=1,IF($A1054&lt;VLOOKUP(V$5,NFI,5,0),1,0)*Table_NFI[[#This Row],[Jerry Can]],Table_NFI[Jerry Can])</f>
        <v>0</v>
      </c>
      <c r="AO1054" s="331">
        <f>IF(NFI_Expiration=1,IF($A1054&lt;VLOOKUP(V$5,NFI,5,0),1,0)*Table_NFI[[#This Row],[Shelter Tool kit]],Table_NFI[Shelter Tool kit])</f>
        <v>0</v>
      </c>
      <c r="AP1054" s="331">
        <f>IF(NFI_Expiration=1,IF($A1054&lt;VLOOKUP(V$5,NFI,5,0),1,0)*Table_NFI[[#This Row],[Tent]],Table_NFI[Tent])</f>
        <v>0</v>
      </c>
      <c r="AQ1054" s="467" t="str">
        <f>IFERROR(VLOOKUP(Table_NFI[[#This Row],[Camp Name]],CL,2,0),"")</f>
        <v>MMR001CMP179</v>
      </c>
      <c r="AR1054" s="835">
        <f ca="1">IF(Table_NFI[[#This Row],[Pcode]]="","",IF(OFFSET(CampList[Opening Date],MATCH(Table_NFI[[#This Row],[Pcode]],CampList[CP_Pcode],0)-1,0,1,1)&gt;=NFI_Monitor_Date,1,0))</f>
        <v>0</v>
      </c>
      <c r="AS1054" s="467" t="str">
        <f>IFERROR(VLOOKUP(Table_NFI[[#This Row],[Camp Name]],CL,3,0),"")</f>
        <v>Open</v>
      </c>
      <c r="AT1054" s="294" t="str">
        <f ca="1">IF(Table_NFI[[#This Row],[Pcode]]="","",OFFSET(CampList[Priority],MATCH(Table_NFI[[#This Row],[Pcode]],CampList[CP_Pcode],0)-1,0,1,1))</f>
        <v>P4</v>
      </c>
      <c r="AU1054" s="293">
        <f>IFERROR(Table_NFI[[#This Row],[Kitchen Set]]/VLOOKUP(Table_NFI[[#This Row],[Camp Name]],CL,4,0),"")</f>
        <v>0</v>
      </c>
      <c r="AV1054" s="461" t="s">
        <v>1092</v>
      </c>
      <c r="AW1054" s="463"/>
    </row>
    <row r="1055" spans="1:49" s="472" customFormat="1" ht="15" customHeight="1" x14ac:dyDescent="0.25">
      <c r="A1055" s="297">
        <f t="shared" si="16"/>
        <v>60.5</v>
      </c>
      <c r="B1055" s="460">
        <v>40921</v>
      </c>
      <c r="C1055" s="461" t="s">
        <v>452</v>
      </c>
      <c r="D1055" s="462" t="s">
        <v>460</v>
      </c>
      <c r="E1055" s="461" t="s">
        <v>380</v>
      </c>
      <c r="F1055" s="290" t="s">
        <v>527</v>
      </c>
      <c r="G1055" s="290" t="s">
        <v>62</v>
      </c>
      <c r="H1055" s="291"/>
      <c r="I1055" s="291"/>
      <c r="J1055" s="291"/>
      <c r="K1055" s="291">
        <v>148</v>
      </c>
      <c r="L1055" s="292">
        <v>74</v>
      </c>
      <c r="M1055" s="292">
        <v>74</v>
      </c>
      <c r="N1055" s="292">
        <v>0</v>
      </c>
      <c r="O1055" s="292">
        <v>74</v>
      </c>
      <c r="P1055" s="294">
        <v>74</v>
      </c>
      <c r="Q1055" s="294">
        <v>74</v>
      </c>
      <c r="R1055" s="294"/>
      <c r="S1055" s="294"/>
      <c r="T1055" s="294"/>
      <c r="U1055" s="294"/>
      <c r="V1055" s="431"/>
      <c r="W1055" s="331"/>
      <c r="X1055" s="331"/>
      <c r="Y1055" s="294">
        <f>IF(NFI_Expiration=1,IF($A1055&lt;VLOOKUP(H$5,NFI,5,0),1,0)*Table_NFI[[#This Row],[Hygiene Kit]],Table_NFI[Hygiene Kit])</f>
        <v>0</v>
      </c>
      <c r="Z1055" s="294">
        <f>IF(NFI_Expiration=1,IF($A1055&lt;VLOOKUP(I$5,NFI,5,0),1,0)*Table_NFI[[#This Row],[NFI Core Kit]],Table_NFI[NFI Core Kit])</f>
        <v>0</v>
      </c>
      <c r="AA1055" s="294">
        <f>IF(NFI_Expiration=1,IF($A1055&lt;VLOOKUP(J$5,NFI,5,0),1,0)*Table_NFI[[#This Row],[Sanitary Kit]],Table_NFI[Sanitary Kit])</f>
        <v>0</v>
      </c>
      <c r="AB1055" s="294">
        <f>IF(NFI_Expiration=1,IF($A1055&lt;VLOOKUP(K$5,NFI,5,0),1,0)*Table_NFI[[#This Row],[Mosquito net]],Table_NFI[Mosquito net])</f>
        <v>0</v>
      </c>
      <c r="AC1055" s="294">
        <f>IF(NFI_Expiration=1,IF($A1055&lt;VLOOKUP(L$5,NFI,5,0),1,0)*Table_NFI[[#This Row],[Tarpaulin]],Table_NFI[[#This Row],[Tarpaulin]])</f>
        <v>0</v>
      </c>
      <c r="AD1055" s="294">
        <f>IF(NFI_Expiration=1,IF($A1055&lt;VLOOKUP(M$5,NFI,5,0),1,0)*Table_NFI[[#This Row],[Blanket]],Table_NFI[[#This Row],[Blanket]])</f>
        <v>0</v>
      </c>
      <c r="AE1055" s="294">
        <f>IF(NFI_Expiration=1,IF($A1055&lt;VLOOKUP(N$5,NFI,5,0),1,0)*Table_NFI[[#This Row],[Kitchen Set]],Table_NFI[Kitchen Set])</f>
        <v>0</v>
      </c>
      <c r="AF1055" s="294">
        <f>IF(NFI_Expiration=1,IF($A1055&lt;VLOOKUP(O$5,NFI,5,0),1,0)*Table_NFI[[#This Row],[Clothes Kit]],Table_NFI[Clothes Kit])</f>
        <v>0</v>
      </c>
      <c r="AG1055" s="294">
        <f>IF(NFI_Expiration=1,IF($A1055&lt;VLOOKUP(P$5,NFI,5,0),1,0)*Table_NFI[[#This Row],[Plastic Bucket]],Table_NFI[Plastic Bucket])</f>
        <v>0</v>
      </c>
      <c r="AH1055" s="294">
        <f>IF(NFI_Expiration=1,IF($A1055&lt;VLOOKUP(Q$5,NFI,5,0),1,0)*Table_NFI[[#This Row],[Plastic Mat]],Table_NFI[Plastic Mat])*IF(Table_NFI[[#This Row],[Distribution Date]]&gt;"2014-04-01",1,2.5)</f>
        <v>0</v>
      </c>
      <c r="AI1055" s="294">
        <f>IF(NFI_Expiration=1,IF($A1055&lt;VLOOKUP(R$5,NFI,5,0),1,0)*Table_NFI[[#This Row],[Winter Clothes Adult]],Table_NFI[Winter Clothes Adult])</f>
        <v>0</v>
      </c>
      <c r="AJ1055" s="294">
        <f>IF(NFI_Expiration=1,IF($A1055&lt;VLOOKUP(S$5,NFI,5,0),1,0)*Table_NFI[[#This Row],[Winter Clothes Children]],Table_NFI[Winter Clothes Children])</f>
        <v>0</v>
      </c>
      <c r="AK1055" s="294">
        <f>IF(NFI_Expiration=1,IF($A1055&lt;VLOOKUP(T$5,NFI,5,0),1,0)*Table_NFI[[#This Row],[Winter Items Other]],Table_NFI[Winter Items Other])</f>
        <v>0</v>
      </c>
      <c r="AL1055" s="294">
        <f>IF(NFI_Expiration=1,IF($A1055&lt;VLOOKUP(M$5,NFI,5,0),1,0)*Table_NFI[[#This Row],[Winter Blanket]],Table_NFI[[#This Row],[Winter Blanket]])</f>
        <v>0</v>
      </c>
      <c r="AM1055" s="294">
        <f>IF(Table_NFI[[#This Row],[Winter Clothes Adult]]+Table_NFI[[#This Row],[Winter Clothes Children]]+Table_NFI[[#This Row],[Winter Items Other]]+Table_NFI[[#This Row],[Winter Blanket]]&gt;0,1,0)</f>
        <v>0</v>
      </c>
      <c r="AN1055" s="331">
        <f>IF(NFI_Expiration=1,IF($A1055&lt;VLOOKUP(V$5,NFI,5,0),1,0)*Table_NFI[[#This Row],[Jerry Can]],Table_NFI[Jerry Can])</f>
        <v>0</v>
      </c>
      <c r="AO1055" s="331">
        <f>IF(NFI_Expiration=1,IF($A1055&lt;VLOOKUP(V$5,NFI,5,0),1,0)*Table_NFI[[#This Row],[Shelter Tool kit]],Table_NFI[Shelter Tool kit])</f>
        <v>0</v>
      </c>
      <c r="AP1055" s="331">
        <f>IF(NFI_Expiration=1,IF($A1055&lt;VLOOKUP(V$5,NFI,5,0),1,0)*Table_NFI[[#This Row],[Tent]],Table_NFI[Tent])</f>
        <v>0</v>
      </c>
      <c r="AQ1055" s="467" t="str">
        <f>IFERROR(VLOOKUP(Table_NFI[[#This Row],[Camp Name]],CL,2,0),"")</f>
        <v>MMR001CMP179</v>
      </c>
      <c r="AR1055" s="835">
        <f ca="1">IF(Table_NFI[[#This Row],[Pcode]]="","",IF(OFFSET(CampList[Opening Date],MATCH(Table_NFI[[#This Row],[Pcode]],CampList[CP_Pcode],0)-1,0,1,1)&gt;=NFI_Monitor_Date,1,0))</f>
        <v>0</v>
      </c>
      <c r="AS1055" s="467" t="str">
        <f>IFERROR(VLOOKUP(Table_NFI[[#This Row],[Camp Name]],CL,3,0),"")</f>
        <v>Open</v>
      </c>
      <c r="AT1055" s="294" t="str">
        <f ca="1">IF(Table_NFI[[#This Row],[Pcode]]="","",OFFSET(CampList[Priority],MATCH(Table_NFI[[#This Row],[Pcode]],CampList[CP_Pcode],0)-1,0,1,1))</f>
        <v>P4</v>
      </c>
      <c r="AU1055" s="293">
        <f>IFERROR(Table_NFI[[#This Row],[Kitchen Set]]/VLOOKUP(Table_NFI[[#This Row],[Camp Name]],CL,4,0),"")</f>
        <v>0</v>
      </c>
      <c r="AV1055" s="461" t="s">
        <v>1092</v>
      </c>
      <c r="AW1055" s="463"/>
    </row>
    <row r="1056" spans="1:49" s="472" customFormat="1" ht="15.75" customHeight="1" x14ac:dyDescent="0.25">
      <c r="A1056" s="297">
        <f t="shared" si="16"/>
        <v>60.5</v>
      </c>
      <c r="B1056" s="460">
        <v>40921</v>
      </c>
      <c r="C1056" s="461" t="s">
        <v>452</v>
      </c>
      <c r="D1056" s="462" t="s">
        <v>460</v>
      </c>
      <c r="E1056" s="461" t="s">
        <v>380</v>
      </c>
      <c r="F1056" s="290" t="s">
        <v>527</v>
      </c>
      <c r="G1056" s="290" t="s">
        <v>52</v>
      </c>
      <c r="H1056" s="291"/>
      <c r="I1056" s="291"/>
      <c r="J1056" s="291"/>
      <c r="K1056" s="291">
        <v>70</v>
      </c>
      <c r="L1056" s="292">
        <v>35</v>
      </c>
      <c r="M1056" s="292">
        <v>35</v>
      </c>
      <c r="N1056" s="292">
        <v>0</v>
      </c>
      <c r="O1056" s="292">
        <v>35</v>
      </c>
      <c r="P1056" s="294">
        <v>35</v>
      </c>
      <c r="Q1056" s="294">
        <v>35</v>
      </c>
      <c r="R1056" s="294"/>
      <c r="S1056" s="294"/>
      <c r="T1056" s="294"/>
      <c r="U1056" s="294"/>
      <c r="V1056" s="431"/>
      <c r="W1056" s="331"/>
      <c r="X1056" s="331"/>
      <c r="Y1056" s="294">
        <f>IF(NFI_Expiration=1,IF($A1056&lt;VLOOKUP(H$5,NFI,5,0),1,0)*Table_NFI[[#This Row],[Hygiene Kit]],Table_NFI[Hygiene Kit])</f>
        <v>0</v>
      </c>
      <c r="Z1056" s="294">
        <f>IF(NFI_Expiration=1,IF($A1056&lt;VLOOKUP(I$5,NFI,5,0),1,0)*Table_NFI[[#This Row],[NFI Core Kit]],Table_NFI[NFI Core Kit])</f>
        <v>0</v>
      </c>
      <c r="AA1056" s="294">
        <f>IF(NFI_Expiration=1,IF($A1056&lt;VLOOKUP(J$5,NFI,5,0),1,0)*Table_NFI[[#This Row],[Sanitary Kit]],Table_NFI[Sanitary Kit])</f>
        <v>0</v>
      </c>
      <c r="AB1056" s="294">
        <f>IF(NFI_Expiration=1,IF($A1056&lt;VLOOKUP(K$5,NFI,5,0),1,0)*Table_NFI[[#This Row],[Mosquito net]],Table_NFI[Mosquito net])</f>
        <v>0</v>
      </c>
      <c r="AC1056" s="294">
        <f>IF(NFI_Expiration=1,IF($A1056&lt;VLOOKUP(L$5,NFI,5,0),1,0)*Table_NFI[[#This Row],[Tarpaulin]],Table_NFI[[#This Row],[Tarpaulin]])</f>
        <v>0</v>
      </c>
      <c r="AD1056" s="294">
        <f>IF(NFI_Expiration=1,IF($A1056&lt;VLOOKUP(M$5,NFI,5,0),1,0)*Table_NFI[[#This Row],[Blanket]],Table_NFI[[#This Row],[Blanket]])</f>
        <v>0</v>
      </c>
      <c r="AE1056" s="294">
        <f>IF(NFI_Expiration=1,IF($A1056&lt;VLOOKUP(N$5,NFI,5,0),1,0)*Table_NFI[[#This Row],[Kitchen Set]],Table_NFI[Kitchen Set])</f>
        <v>0</v>
      </c>
      <c r="AF1056" s="294">
        <f>IF(NFI_Expiration=1,IF($A1056&lt;VLOOKUP(O$5,NFI,5,0),1,0)*Table_NFI[[#This Row],[Clothes Kit]],Table_NFI[Clothes Kit])</f>
        <v>0</v>
      </c>
      <c r="AG1056" s="294">
        <f>IF(NFI_Expiration=1,IF($A1056&lt;VLOOKUP(P$5,NFI,5,0),1,0)*Table_NFI[[#This Row],[Plastic Bucket]],Table_NFI[Plastic Bucket])</f>
        <v>0</v>
      </c>
      <c r="AH1056" s="294">
        <f>IF(NFI_Expiration=1,IF($A1056&lt;VLOOKUP(Q$5,NFI,5,0),1,0)*Table_NFI[[#This Row],[Plastic Mat]],Table_NFI[Plastic Mat])*IF(Table_NFI[[#This Row],[Distribution Date]]&gt;"2014-04-01",1,2.5)</f>
        <v>0</v>
      </c>
      <c r="AI1056" s="294">
        <f>IF(NFI_Expiration=1,IF($A1056&lt;VLOOKUP(R$5,NFI,5,0),1,0)*Table_NFI[[#This Row],[Winter Clothes Adult]],Table_NFI[Winter Clothes Adult])</f>
        <v>0</v>
      </c>
      <c r="AJ1056" s="294">
        <f>IF(NFI_Expiration=1,IF($A1056&lt;VLOOKUP(S$5,NFI,5,0),1,0)*Table_NFI[[#This Row],[Winter Clothes Children]],Table_NFI[Winter Clothes Children])</f>
        <v>0</v>
      </c>
      <c r="AK1056" s="294">
        <f>IF(NFI_Expiration=1,IF($A1056&lt;VLOOKUP(T$5,NFI,5,0),1,0)*Table_NFI[[#This Row],[Winter Items Other]],Table_NFI[Winter Items Other])</f>
        <v>0</v>
      </c>
      <c r="AL1056" s="294">
        <f>IF(NFI_Expiration=1,IF($A1056&lt;VLOOKUP(M$5,NFI,5,0),1,0)*Table_NFI[[#This Row],[Winter Blanket]],Table_NFI[[#This Row],[Winter Blanket]])</f>
        <v>0</v>
      </c>
      <c r="AM1056" s="294">
        <f>IF(Table_NFI[[#This Row],[Winter Clothes Adult]]+Table_NFI[[#This Row],[Winter Clothes Children]]+Table_NFI[[#This Row],[Winter Items Other]]+Table_NFI[[#This Row],[Winter Blanket]]&gt;0,1,0)</f>
        <v>0</v>
      </c>
      <c r="AN1056" s="331">
        <f>IF(NFI_Expiration=1,IF($A1056&lt;VLOOKUP(V$5,NFI,5,0),1,0)*Table_NFI[[#This Row],[Jerry Can]],Table_NFI[Jerry Can])</f>
        <v>0</v>
      </c>
      <c r="AO1056" s="331">
        <f>IF(NFI_Expiration=1,IF($A1056&lt;VLOOKUP(V$5,NFI,5,0),1,0)*Table_NFI[[#This Row],[Shelter Tool kit]],Table_NFI[Shelter Tool kit])</f>
        <v>0</v>
      </c>
      <c r="AP1056" s="331">
        <f>IF(NFI_Expiration=1,IF($A1056&lt;VLOOKUP(V$5,NFI,5,0),1,0)*Table_NFI[[#This Row],[Tent]],Table_NFI[Tent])</f>
        <v>0</v>
      </c>
      <c r="AQ1056" s="467" t="str">
        <f>IFERROR(VLOOKUP(Table_NFI[[#This Row],[Camp Name]],CL,2,0),"")</f>
        <v>MMR001CMP169</v>
      </c>
      <c r="AR1056" s="835">
        <f ca="1">IF(Table_NFI[[#This Row],[Pcode]]="","",IF(OFFSET(CampList[Opening Date],MATCH(Table_NFI[[#This Row],[Pcode]],CampList[CP_Pcode],0)-1,0,1,1)&gt;=NFI_Monitor_Date,1,0))</f>
        <v>0</v>
      </c>
      <c r="AS1056" s="467" t="str">
        <f>IFERROR(VLOOKUP(Table_NFI[[#This Row],[Camp Name]],CL,3,0),"")</f>
        <v>Open</v>
      </c>
      <c r="AT1056" s="294" t="str">
        <f ca="1">IF(Table_NFI[[#This Row],[Pcode]]="","",OFFSET(CampList[Priority],MATCH(Table_NFI[[#This Row],[Pcode]],CampList[CP_Pcode],0)-1,0,1,1))</f>
        <v>P4</v>
      </c>
      <c r="AU1056" s="293">
        <f>IFERROR(Table_NFI[[#This Row],[Kitchen Set]]/VLOOKUP(Table_NFI[[#This Row],[Camp Name]],CL,4,0),"")</f>
        <v>0</v>
      </c>
      <c r="AV1056" s="461" t="s">
        <v>1092</v>
      </c>
      <c r="AW1056" s="463"/>
    </row>
    <row r="1057" spans="1:49" s="472" customFormat="1" ht="15.75" customHeight="1" x14ac:dyDescent="0.25">
      <c r="A1057" s="297">
        <f t="shared" si="16"/>
        <v>60.5</v>
      </c>
      <c r="B1057" s="460">
        <v>40921</v>
      </c>
      <c r="C1057" s="461" t="s">
        <v>452</v>
      </c>
      <c r="D1057" s="462" t="s">
        <v>460</v>
      </c>
      <c r="E1057" s="461" t="s">
        <v>380</v>
      </c>
      <c r="F1057" s="290" t="s">
        <v>527</v>
      </c>
      <c r="G1057" s="290" t="s">
        <v>88</v>
      </c>
      <c r="H1057" s="291"/>
      <c r="I1057" s="291"/>
      <c r="J1057" s="291"/>
      <c r="K1057" s="291">
        <v>10</v>
      </c>
      <c r="L1057" s="292">
        <v>5</v>
      </c>
      <c r="M1057" s="292">
        <v>5</v>
      </c>
      <c r="N1057" s="292">
        <v>0</v>
      </c>
      <c r="O1057" s="292">
        <v>5</v>
      </c>
      <c r="P1057" s="294">
        <v>5</v>
      </c>
      <c r="Q1057" s="294">
        <v>5</v>
      </c>
      <c r="R1057" s="294"/>
      <c r="S1057" s="294"/>
      <c r="T1057" s="294"/>
      <c r="U1057" s="294"/>
      <c r="V1057" s="431"/>
      <c r="W1057" s="331"/>
      <c r="X1057" s="331"/>
      <c r="Y1057" s="294">
        <f>IF(NFI_Expiration=1,IF($A1057&lt;VLOOKUP(H$5,NFI,5,0),1,0)*Table_NFI[[#This Row],[Hygiene Kit]],Table_NFI[Hygiene Kit])</f>
        <v>0</v>
      </c>
      <c r="Z1057" s="294">
        <f>IF(NFI_Expiration=1,IF($A1057&lt;VLOOKUP(I$5,NFI,5,0),1,0)*Table_NFI[[#This Row],[NFI Core Kit]],Table_NFI[NFI Core Kit])</f>
        <v>0</v>
      </c>
      <c r="AA1057" s="294">
        <f>IF(NFI_Expiration=1,IF($A1057&lt;VLOOKUP(J$5,NFI,5,0),1,0)*Table_NFI[[#This Row],[Sanitary Kit]],Table_NFI[Sanitary Kit])</f>
        <v>0</v>
      </c>
      <c r="AB1057" s="294">
        <f>IF(NFI_Expiration=1,IF($A1057&lt;VLOOKUP(K$5,NFI,5,0),1,0)*Table_NFI[[#This Row],[Mosquito net]],Table_NFI[Mosquito net])</f>
        <v>0</v>
      </c>
      <c r="AC1057" s="294">
        <f>IF(NFI_Expiration=1,IF($A1057&lt;VLOOKUP(L$5,NFI,5,0),1,0)*Table_NFI[[#This Row],[Tarpaulin]],Table_NFI[[#This Row],[Tarpaulin]])</f>
        <v>0</v>
      </c>
      <c r="AD1057" s="294">
        <f>IF(NFI_Expiration=1,IF($A1057&lt;VLOOKUP(M$5,NFI,5,0),1,0)*Table_NFI[[#This Row],[Blanket]],Table_NFI[[#This Row],[Blanket]])</f>
        <v>0</v>
      </c>
      <c r="AE1057" s="294">
        <f>IF(NFI_Expiration=1,IF($A1057&lt;VLOOKUP(N$5,NFI,5,0),1,0)*Table_NFI[[#This Row],[Kitchen Set]],Table_NFI[Kitchen Set])</f>
        <v>0</v>
      </c>
      <c r="AF1057" s="294">
        <f>IF(NFI_Expiration=1,IF($A1057&lt;VLOOKUP(O$5,NFI,5,0),1,0)*Table_NFI[[#This Row],[Clothes Kit]],Table_NFI[Clothes Kit])</f>
        <v>0</v>
      </c>
      <c r="AG1057" s="294">
        <f>IF(NFI_Expiration=1,IF($A1057&lt;VLOOKUP(P$5,NFI,5,0),1,0)*Table_NFI[[#This Row],[Plastic Bucket]],Table_NFI[Plastic Bucket])</f>
        <v>0</v>
      </c>
      <c r="AH1057" s="294">
        <f>IF(NFI_Expiration=1,IF($A1057&lt;VLOOKUP(Q$5,NFI,5,0),1,0)*Table_NFI[[#This Row],[Plastic Mat]],Table_NFI[Plastic Mat])*IF(Table_NFI[[#This Row],[Distribution Date]]&gt;"2014-04-01",1,2.5)</f>
        <v>0</v>
      </c>
      <c r="AI1057" s="294">
        <f>IF(NFI_Expiration=1,IF($A1057&lt;VLOOKUP(R$5,NFI,5,0),1,0)*Table_NFI[[#This Row],[Winter Clothes Adult]],Table_NFI[Winter Clothes Adult])</f>
        <v>0</v>
      </c>
      <c r="AJ1057" s="294">
        <f>IF(NFI_Expiration=1,IF($A1057&lt;VLOOKUP(S$5,NFI,5,0),1,0)*Table_NFI[[#This Row],[Winter Clothes Children]],Table_NFI[Winter Clothes Children])</f>
        <v>0</v>
      </c>
      <c r="AK1057" s="294">
        <f>IF(NFI_Expiration=1,IF($A1057&lt;VLOOKUP(T$5,NFI,5,0),1,0)*Table_NFI[[#This Row],[Winter Items Other]],Table_NFI[Winter Items Other])</f>
        <v>0</v>
      </c>
      <c r="AL1057" s="294">
        <f>IF(NFI_Expiration=1,IF($A1057&lt;VLOOKUP(M$5,NFI,5,0),1,0)*Table_NFI[[#This Row],[Winter Blanket]],Table_NFI[[#This Row],[Winter Blanket]])</f>
        <v>0</v>
      </c>
      <c r="AM1057" s="294">
        <f>IF(Table_NFI[[#This Row],[Winter Clothes Adult]]+Table_NFI[[#This Row],[Winter Clothes Children]]+Table_NFI[[#This Row],[Winter Items Other]]+Table_NFI[[#This Row],[Winter Blanket]]&gt;0,1,0)</f>
        <v>0</v>
      </c>
      <c r="AN1057" s="331">
        <f>IF(NFI_Expiration=1,IF($A1057&lt;VLOOKUP(V$5,NFI,5,0),1,0)*Table_NFI[[#This Row],[Jerry Can]],Table_NFI[Jerry Can])</f>
        <v>0</v>
      </c>
      <c r="AO1057" s="331">
        <f>IF(NFI_Expiration=1,IF($A1057&lt;VLOOKUP(V$5,NFI,5,0),1,0)*Table_NFI[[#This Row],[Shelter Tool kit]],Table_NFI[Shelter Tool kit])</f>
        <v>0</v>
      </c>
      <c r="AP1057" s="331">
        <f>IF(NFI_Expiration=1,IF($A1057&lt;VLOOKUP(V$5,NFI,5,0),1,0)*Table_NFI[[#This Row],[Tent]],Table_NFI[Tent])</f>
        <v>0</v>
      </c>
      <c r="AQ1057" s="467" t="str">
        <f>IFERROR(VLOOKUP(Table_NFI[[#This Row],[Camp Name]],CL,2,0),"")</f>
        <v>MMR001CMP148</v>
      </c>
      <c r="AR1057" s="835">
        <f ca="1">IF(Table_NFI[[#This Row],[Pcode]]="","",IF(OFFSET(CampList[Opening Date],MATCH(Table_NFI[[#This Row],[Pcode]],CampList[CP_Pcode],0)-1,0,1,1)&gt;=NFI_Monitor_Date,1,0))</f>
        <v>0</v>
      </c>
      <c r="AS1057" s="467" t="str">
        <f>IFERROR(VLOOKUP(Table_NFI[[#This Row],[Camp Name]],CL,3,0),"")</f>
        <v>Open</v>
      </c>
      <c r="AT1057" s="294" t="str">
        <f ca="1">IF(Table_NFI[[#This Row],[Pcode]]="","",OFFSET(CampList[Priority],MATCH(Table_NFI[[#This Row],[Pcode]],CampList[CP_Pcode],0)-1,0,1,1))</f>
        <v>P4</v>
      </c>
      <c r="AU1057" s="293">
        <f>IFERROR(Table_NFI[[#This Row],[Kitchen Set]]/VLOOKUP(Table_NFI[[#This Row],[Camp Name]],CL,4,0),"")</f>
        <v>0</v>
      </c>
      <c r="AV1057" s="461" t="s">
        <v>1092</v>
      </c>
      <c r="AW1057" s="463"/>
    </row>
    <row r="1058" spans="1:49" s="472" customFormat="1" ht="15.75" customHeight="1" x14ac:dyDescent="0.25">
      <c r="A1058" s="297">
        <f t="shared" si="16"/>
        <v>60.5</v>
      </c>
      <c r="B1058" s="460">
        <v>40921</v>
      </c>
      <c r="C1058" s="461" t="s">
        <v>452</v>
      </c>
      <c r="D1058" s="462" t="s">
        <v>452</v>
      </c>
      <c r="E1058" s="461" t="s">
        <v>380</v>
      </c>
      <c r="F1058" s="290" t="s">
        <v>310</v>
      </c>
      <c r="G1058" s="290" t="s">
        <v>326</v>
      </c>
      <c r="H1058" s="291"/>
      <c r="I1058" s="291"/>
      <c r="J1058" s="291"/>
      <c r="K1058" s="291">
        <v>35</v>
      </c>
      <c r="L1058" s="292">
        <v>17</v>
      </c>
      <c r="M1058" s="292">
        <v>35</v>
      </c>
      <c r="N1058" s="292">
        <v>17</v>
      </c>
      <c r="O1058" s="292">
        <v>17</v>
      </c>
      <c r="P1058" s="294">
        <v>17</v>
      </c>
      <c r="Q1058" s="294">
        <v>17</v>
      </c>
      <c r="R1058" s="294"/>
      <c r="S1058" s="294"/>
      <c r="T1058" s="294"/>
      <c r="U1058" s="294"/>
      <c r="V1058" s="431"/>
      <c r="W1058" s="331"/>
      <c r="X1058" s="331"/>
      <c r="Y1058" s="294">
        <f>IF(NFI_Expiration=1,IF($A1058&lt;VLOOKUP(H$5,NFI,5,0),1,0)*Table_NFI[[#This Row],[Hygiene Kit]],Table_NFI[Hygiene Kit])</f>
        <v>0</v>
      </c>
      <c r="Z1058" s="294">
        <f>IF(NFI_Expiration=1,IF($A1058&lt;VLOOKUP(I$5,NFI,5,0),1,0)*Table_NFI[[#This Row],[NFI Core Kit]],Table_NFI[NFI Core Kit])</f>
        <v>0</v>
      </c>
      <c r="AA1058" s="294">
        <f>IF(NFI_Expiration=1,IF($A1058&lt;VLOOKUP(J$5,NFI,5,0),1,0)*Table_NFI[[#This Row],[Sanitary Kit]],Table_NFI[Sanitary Kit])</f>
        <v>0</v>
      </c>
      <c r="AB1058" s="294">
        <f>IF(NFI_Expiration=1,IF($A1058&lt;VLOOKUP(K$5,NFI,5,0),1,0)*Table_NFI[[#This Row],[Mosquito net]],Table_NFI[Mosquito net])</f>
        <v>0</v>
      </c>
      <c r="AC1058" s="294">
        <f>IF(NFI_Expiration=1,IF($A1058&lt;VLOOKUP(L$5,NFI,5,0),1,0)*Table_NFI[[#This Row],[Tarpaulin]],Table_NFI[[#This Row],[Tarpaulin]])</f>
        <v>0</v>
      </c>
      <c r="AD1058" s="294">
        <f>IF(NFI_Expiration=1,IF($A1058&lt;VLOOKUP(M$5,NFI,5,0),1,0)*Table_NFI[[#This Row],[Blanket]],Table_NFI[[#This Row],[Blanket]])</f>
        <v>0</v>
      </c>
      <c r="AE1058" s="294">
        <f>IF(NFI_Expiration=1,IF($A1058&lt;VLOOKUP(N$5,NFI,5,0),1,0)*Table_NFI[[#This Row],[Kitchen Set]],Table_NFI[Kitchen Set])</f>
        <v>0</v>
      </c>
      <c r="AF1058" s="294">
        <f>IF(NFI_Expiration=1,IF($A1058&lt;VLOOKUP(O$5,NFI,5,0),1,0)*Table_NFI[[#This Row],[Clothes Kit]],Table_NFI[Clothes Kit])</f>
        <v>0</v>
      </c>
      <c r="AG1058" s="294">
        <f>IF(NFI_Expiration=1,IF($A1058&lt;VLOOKUP(P$5,NFI,5,0),1,0)*Table_NFI[[#This Row],[Plastic Bucket]],Table_NFI[Plastic Bucket])</f>
        <v>0</v>
      </c>
      <c r="AH1058" s="294">
        <f>IF(NFI_Expiration=1,IF($A1058&lt;VLOOKUP(Q$5,NFI,5,0),1,0)*Table_NFI[[#This Row],[Plastic Mat]],Table_NFI[Plastic Mat])*IF(Table_NFI[[#This Row],[Distribution Date]]&gt;"2014-04-01",1,2.5)</f>
        <v>0</v>
      </c>
      <c r="AI1058" s="294">
        <f>IF(NFI_Expiration=1,IF($A1058&lt;VLOOKUP(R$5,NFI,5,0),1,0)*Table_NFI[[#This Row],[Winter Clothes Adult]],Table_NFI[Winter Clothes Adult])</f>
        <v>0</v>
      </c>
      <c r="AJ1058" s="294">
        <f>IF(NFI_Expiration=1,IF($A1058&lt;VLOOKUP(S$5,NFI,5,0),1,0)*Table_NFI[[#This Row],[Winter Clothes Children]],Table_NFI[Winter Clothes Children])</f>
        <v>0</v>
      </c>
      <c r="AK1058" s="294">
        <f>IF(NFI_Expiration=1,IF($A1058&lt;VLOOKUP(T$5,NFI,5,0),1,0)*Table_NFI[[#This Row],[Winter Items Other]],Table_NFI[Winter Items Other])</f>
        <v>0</v>
      </c>
      <c r="AL1058" s="294">
        <f>IF(NFI_Expiration=1,IF($A1058&lt;VLOOKUP(M$5,NFI,5,0),1,0)*Table_NFI[[#This Row],[Winter Blanket]],Table_NFI[[#This Row],[Winter Blanket]])</f>
        <v>0</v>
      </c>
      <c r="AM1058" s="294">
        <f>IF(Table_NFI[[#This Row],[Winter Clothes Adult]]+Table_NFI[[#This Row],[Winter Clothes Children]]+Table_NFI[[#This Row],[Winter Items Other]]+Table_NFI[[#This Row],[Winter Blanket]]&gt;0,1,0)</f>
        <v>0</v>
      </c>
      <c r="AN1058" s="331">
        <f>IF(NFI_Expiration=1,IF($A1058&lt;VLOOKUP(V$5,NFI,5,0),1,0)*Table_NFI[[#This Row],[Jerry Can]],Table_NFI[Jerry Can])</f>
        <v>0</v>
      </c>
      <c r="AO1058" s="331">
        <f>IF(NFI_Expiration=1,IF($A1058&lt;VLOOKUP(V$5,NFI,5,0),1,0)*Table_NFI[[#This Row],[Shelter Tool kit]],Table_NFI[Shelter Tool kit])</f>
        <v>0</v>
      </c>
      <c r="AP1058" s="331">
        <f>IF(NFI_Expiration=1,IF($A1058&lt;VLOOKUP(V$5,NFI,5,0),1,0)*Table_NFI[[#This Row],[Tent]],Table_NFI[Tent])</f>
        <v>0</v>
      </c>
      <c r="AQ1058" s="467" t="str">
        <f>IFERROR(VLOOKUP(Table_NFI[[#This Row],[Camp Name]],CL,2,0),"")</f>
        <v>MMR001CMP039</v>
      </c>
      <c r="AR1058" s="835">
        <f ca="1">IF(Table_NFI[[#This Row],[Pcode]]="","",IF(OFFSET(CampList[Opening Date],MATCH(Table_NFI[[#This Row],[Pcode]],CampList[CP_Pcode],0)-1,0,1,1)&gt;=NFI_Monitor_Date,1,0))</f>
        <v>0</v>
      </c>
      <c r="AS1058" s="467" t="str">
        <f>IFERROR(VLOOKUP(Table_NFI[[#This Row],[Camp Name]],CL,3,0),"")</f>
        <v>Open</v>
      </c>
      <c r="AT1058" s="294" t="str">
        <f ca="1">IF(Table_NFI[[#This Row],[Pcode]]="","",OFFSET(CampList[Priority],MATCH(Table_NFI[[#This Row],[Pcode]],CampList[CP_Pcode],0)-1,0,1,1))</f>
        <v>P4</v>
      </c>
      <c r="AU1058" s="293">
        <f>IFERROR(Table_NFI[[#This Row],[Kitchen Set]]/VLOOKUP(Table_NFI[[#This Row],[Camp Name]],CL,4,0),"")</f>
        <v>4.158716179852243E-4</v>
      </c>
      <c r="AV1058" s="461" t="s">
        <v>1092</v>
      </c>
      <c r="AW1058" s="463"/>
    </row>
    <row r="1059" spans="1:49" s="472" customFormat="1" ht="15.75" customHeight="1" x14ac:dyDescent="0.25">
      <c r="A1059" s="297">
        <f t="shared" si="16"/>
        <v>60.5</v>
      </c>
      <c r="B1059" s="460">
        <v>40921</v>
      </c>
      <c r="C1059" s="461" t="s">
        <v>452</v>
      </c>
      <c r="D1059" s="462" t="s">
        <v>460</v>
      </c>
      <c r="E1059" s="461" t="s">
        <v>380</v>
      </c>
      <c r="F1059" s="290"/>
      <c r="G1059" s="290" t="s">
        <v>908</v>
      </c>
      <c r="H1059" s="291"/>
      <c r="I1059" s="291"/>
      <c r="J1059" s="291"/>
      <c r="K1059" s="291">
        <v>76</v>
      </c>
      <c r="L1059" s="292">
        <v>38</v>
      </c>
      <c r="M1059" s="292">
        <v>38</v>
      </c>
      <c r="N1059" s="292">
        <v>0</v>
      </c>
      <c r="O1059" s="292">
        <v>38</v>
      </c>
      <c r="P1059" s="294">
        <v>38</v>
      </c>
      <c r="Q1059" s="294">
        <v>38</v>
      </c>
      <c r="R1059" s="294"/>
      <c r="S1059" s="294"/>
      <c r="T1059" s="294"/>
      <c r="U1059" s="294"/>
      <c r="V1059" s="431"/>
      <c r="W1059" s="331"/>
      <c r="X1059" s="331"/>
      <c r="Y1059" s="294">
        <f>IF(NFI_Expiration=1,IF($A1059&lt;VLOOKUP(H$5,NFI,5,0),1,0)*Table_NFI[[#This Row],[Hygiene Kit]],Table_NFI[Hygiene Kit])</f>
        <v>0</v>
      </c>
      <c r="Z1059" s="294">
        <f>IF(NFI_Expiration=1,IF($A1059&lt;VLOOKUP(I$5,NFI,5,0),1,0)*Table_NFI[[#This Row],[NFI Core Kit]],Table_NFI[NFI Core Kit])</f>
        <v>0</v>
      </c>
      <c r="AA1059" s="294">
        <f>IF(NFI_Expiration=1,IF($A1059&lt;VLOOKUP(J$5,NFI,5,0),1,0)*Table_NFI[[#This Row],[Sanitary Kit]],Table_NFI[Sanitary Kit])</f>
        <v>0</v>
      </c>
      <c r="AB1059" s="294">
        <f>IF(NFI_Expiration=1,IF($A1059&lt;VLOOKUP(K$5,NFI,5,0),1,0)*Table_NFI[[#This Row],[Mosquito net]],Table_NFI[Mosquito net])</f>
        <v>0</v>
      </c>
      <c r="AC1059" s="294">
        <f>IF(NFI_Expiration=1,IF($A1059&lt;VLOOKUP(L$5,NFI,5,0),1,0)*Table_NFI[[#This Row],[Tarpaulin]],Table_NFI[[#This Row],[Tarpaulin]])</f>
        <v>0</v>
      </c>
      <c r="AD1059" s="294">
        <f>IF(NFI_Expiration=1,IF($A1059&lt;VLOOKUP(M$5,NFI,5,0),1,0)*Table_NFI[[#This Row],[Blanket]],Table_NFI[[#This Row],[Blanket]])</f>
        <v>0</v>
      </c>
      <c r="AE1059" s="294">
        <f>IF(NFI_Expiration=1,IF($A1059&lt;VLOOKUP(N$5,NFI,5,0),1,0)*Table_NFI[[#This Row],[Kitchen Set]],Table_NFI[Kitchen Set])</f>
        <v>0</v>
      </c>
      <c r="AF1059" s="294">
        <f>IF(NFI_Expiration=1,IF($A1059&lt;VLOOKUP(O$5,NFI,5,0),1,0)*Table_NFI[[#This Row],[Clothes Kit]],Table_NFI[Clothes Kit])</f>
        <v>0</v>
      </c>
      <c r="AG1059" s="294">
        <f>IF(NFI_Expiration=1,IF($A1059&lt;VLOOKUP(P$5,NFI,5,0),1,0)*Table_NFI[[#This Row],[Plastic Bucket]],Table_NFI[Plastic Bucket])</f>
        <v>0</v>
      </c>
      <c r="AH1059" s="294">
        <f>IF(NFI_Expiration=1,IF($A1059&lt;VLOOKUP(Q$5,NFI,5,0),1,0)*Table_NFI[[#This Row],[Plastic Mat]],Table_NFI[Plastic Mat])*IF(Table_NFI[[#This Row],[Distribution Date]]&gt;"2014-04-01",1,2.5)</f>
        <v>0</v>
      </c>
      <c r="AI1059" s="294">
        <f>IF(NFI_Expiration=1,IF($A1059&lt;VLOOKUP(R$5,NFI,5,0),1,0)*Table_NFI[[#This Row],[Winter Clothes Adult]],Table_NFI[Winter Clothes Adult])</f>
        <v>0</v>
      </c>
      <c r="AJ1059" s="294">
        <f>IF(NFI_Expiration=1,IF($A1059&lt;VLOOKUP(S$5,NFI,5,0),1,0)*Table_NFI[[#This Row],[Winter Clothes Children]],Table_NFI[Winter Clothes Children])</f>
        <v>0</v>
      </c>
      <c r="AK1059" s="294">
        <f>IF(NFI_Expiration=1,IF($A1059&lt;VLOOKUP(T$5,NFI,5,0),1,0)*Table_NFI[[#This Row],[Winter Items Other]],Table_NFI[Winter Items Other])</f>
        <v>0</v>
      </c>
      <c r="AL1059" s="294">
        <f>IF(NFI_Expiration=1,IF($A1059&lt;VLOOKUP(M$5,NFI,5,0),1,0)*Table_NFI[[#This Row],[Winter Blanket]],Table_NFI[[#This Row],[Winter Blanket]])</f>
        <v>0</v>
      </c>
      <c r="AM1059" s="294">
        <f>IF(Table_NFI[[#This Row],[Winter Clothes Adult]]+Table_NFI[[#This Row],[Winter Clothes Children]]+Table_NFI[[#This Row],[Winter Items Other]]+Table_NFI[[#This Row],[Winter Blanket]]&gt;0,1,0)</f>
        <v>0</v>
      </c>
      <c r="AN1059" s="331">
        <f>IF(NFI_Expiration=1,IF($A1059&lt;VLOOKUP(V$5,NFI,5,0),1,0)*Table_NFI[[#This Row],[Jerry Can]],Table_NFI[Jerry Can])</f>
        <v>0</v>
      </c>
      <c r="AO1059" s="331">
        <f>IF(NFI_Expiration=1,IF($A1059&lt;VLOOKUP(V$5,NFI,5,0),1,0)*Table_NFI[[#This Row],[Shelter Tool kit]],Table_NFI[Shelter Tool kit])</f>
        <v>0</v>
      </c>
      <c r="AP1059" s="331">
        <f>IF(NFI_Expiration=1,IF($A1059&lt;VLOOKUP(V$5,NFI,5,0),1,0)*Table_NFI[[#This Row],[Tent]],Table_NFI[Tent])</f>
        <v>0</v>
      </c>
      <c r="AQ1059" s="467" t="str">
        <f>IFERROR(VLOOKUP(Table_NFI[[#This Row],[Camp Name]],CL,2,0),"")</f>
        <v/>
      </c>
      <c r="AR1059" s="835" t="str">
        <f ca="1">IF(Table_NFI[[#This Row],[Pcode]]="","",IF(OFFSET(CampList[Opening Date],MATCH(Table_NFI[[#This Row],[Pcode]],CampList[CP_Pcode],0)-1,0,1,1)&gt;=NFI_Monitor_Date,1,0))</f>
        <v/>
      </c>
      <c r="AS1059" s="467" t="str">
        <f>IFERROR(VLOOKUP(Table_NFI[[#This Row],[Camp Name]],CL,3,0),"")</f>
        <v/>
      </c>
      <c r="AT1059" s="294" t="str">
        <f ca="1">IF(Table_NFI[[#This Row],[Pcode]]="","",OFFSET(CampList[Priority],MATCH(Table_NFI[[#This Row],[Pcode]],CampList[CP_Pcode],0)-1,0,1,1))</f>
        <v/>
      </c>
      <c r="AU1059" s="293" t="str">
        <f>IFERROR(Table_NFI[[#This Row],[Kitchen Set]]/VLOOKUP(Table_NFI[[#This Row],[Camp Name]],CL,4,0),"")</f>
        <v/>
      </c>
      <c r="AV1059" s="461" t="s">
        <v>1092</v>
      </c>
      <c r="AW1059" s="463"/>
    </row>
    <row r="1060" spans="1:49" s="472" customFormat="1" ht="15.75" customHeight="1" x14ac:dyDescent="0.25">
      <c r="A1060" s="297">
        <f t="shared" si="16"/>
        <v>60.5</v>
      </c>
      <c r="B1060" s="460">
        <v>40921</v>
      </c>
      <c r="C1060" s="461" t="s">
        <v>452</v>
      </c>
      <c r="D1060" s="462" t="s">
        <v>460</v>
      </c>
      <c r="E1060" s="461" t="s">
        <v>380</v>
      </c>
      <c r="F1060" s="290"/>
      <c r="G1060" s="290" t="s">
        <v>910</v>
      </c>
      <c r="H1060" s="291"/>
      <c r="I1060" s="291"/>
      <c r="J1060" s="291"/>
      <c r="K1060" s="291">
        <v>18</v>
      </c>
      <c r="L1060" s="292">
        <v>9</v>
      </c>
      <c r="M1060" s="292">
        <v>9</v>
      </c>
      <c r="N1060" s="292">
        <v>0</v>
      </c>
      <c r="O1060" s="292">
        <v>9</v>
      </c>
      <c r="P1060" s="294">
        <v>9</v>
      </c>
      <c r="Q1060" s="294">
        <v>9</v>
      </c>
      <c r="R1060" s="294"/>
      <c r="S1060" s="294"/>
      <c r="T1060" s="294"/>
      <c r="U1060" s="294"/>
      <c r="V1060" s="431"/>
      <c r="W1060" s="331"/>
      <c r="X1060" s="331"/>
      <c r="Y1060" s="294">
        <f>IF(NFI_Expiration=1,IF($A1060&lt;VLOOKUP(H$5,NFI,5,0),1,0)*Table_NFI[[#This Row],[Hygiene Kit]],Table_NFI[Hygiene Kit])</f>
        <v>0</v>
      </c>
      <c r="Z1060" s="294">
        <f>IF(NFI_Expiration=1,IF($A1060&lt;VLOOKUP(I$5,NFI,5,0),1,0)*Table_NFI[[#This Row],[NFI Core Kit]],Table_NFI[NFI Core Kit])</f>
        <v>0</v>
      </c>
      <c r="AA1060" s="294">
        <f>IF(NFI_Expiration=1,IF($A1060&lt;VLOOKUP(J$5,NFI,5,0),1,0)*Table_NFI[[#This Row],[Sanitary Kit]],Table_NFI[Sanitary Kit])</f>
        <v>0</v>
      </c>
      <c r="AB1060" s="294">
        <f>IF(NFI_Expiration=1,IF($A1060&lt;VLOOKUP(K$5,NFI,5,0),1,0)*Table_NFI[[#This Row],[Mosquito net]],Table_NFI[Mosquito net])</f>
        <v>0</v>
      </c>
      <c r="AC1060" s="294">
        <f>IF(NFI_Expiration=1,IF($A1060&lt;VLOOKUP(L$5,NFI,5,0),1,0)*Table_NFI[[#This Row],[Tarpaulin]],Table_NFI[[#This Row],[Tarpaulin]])</f>
        <v>0</v>
      </c>
      <c r="AD1060" s="294">
        <f>IF(NFI_Expiration=1,IF($A1060&lt;VLOOKUP(M$5,NFI,5,0),1,0)*Table_NFI[[#This Row],[Blanket]],Table_NFI[[#This Row],[Blanket]])</f>
        <v>0</v>
      </c>
      <c r="AE1060" s="294">
        <f>IF(NFI_Expiration=1,IF($A1060&lt;VLOOKUP(N$5,NFI,5,0),1,0)*Table_NFI[[#This Row],[Kitchen Set]],Table_NFI[Kitchen Set])</f>
        <v>0</v>
      </c>
      <c r="AF1060" s="294">
        <f>IF(NFI_Expiration=1,IF($A1060&lt;VLOOKUP(O$5,NFI,5,0),1,0)*Table_NFI[[#This Row],[Clothes Kit]],Table_NFI[Clothes Kit])</f>
        <v>0</v>
      </c>
      <c r="AG1060" s="294">
        <f>IF(NFI_Expiration=1,IF($A1060&lt;VLOOKUP(P$5,NFI,5,0),1,0)*Table_NFI[[#This Row],[Plastic Bucket]],Table_NFI[Plastic Bucket])</f>
        <v>0</v>
      </c>
      <c r="AH1060" s="294">
        <f>IF(NFI_Expiration=1,IF($A1060&lt;VLOOKUP(Q$5,NFI,5,0),1,0)*Table_NFI[[#This Row],[Plastic Mat]],Table_NFI[Plastic Mat])*IF(Table_NFI[[#This Row],[Distribution Date]]&gt;"2014-04-01",1,2.5)</f>
        <v>0</v>
      </c>
      <c r="AI1060" s="294">
        <f>IF(NFI_Expiration=1,IF($A1060&lt;VLOOKUP(R$5,NFI,5,0),1,0)*Table_NFI[[#This Row],[Winter Clothes Adult]],Table_NFI[Winter Clothes Adult])</f>
        <v>0</v>
      </c>
      <c r="AJ1060" s="294">
        <f>IF(NFI_Expiration=1,IF($A1060&lt;VLOOKUP(S$5,NFI,5,0),1,0)*Table_NFI[[#This Row],[Winter Clothes Children]],Table_NFI[Winter Clothes Children])</f>
        <v>0</v>
      </c>
      <c r="AK1060" s="294">
        <f>IF(NFI_Expiration=1,IF($A1060&lt;VLOOKUP(T$5,NFI,5,0),1,0)*Table_NFI[[#This Row],[Winter Items Other]],Table_NFI[Winter Items Other])</f>
        <v>0</v>
      </c>
      <c r="AL1060" s="294">
        <f>IF(NFI_Expiration=1,IF($A1060&lt;VLOOKUP(M$5,NFI,5,0),1,0)*Table_NFI[[#This Row],[Winter Blanket]],Table_NFI[[#This Row],[Winter Blanket]])</f>
        <v>0</v>
      </c>
      <c r="AM1060" s="294">
        <f>IF(Table_NFI[[#This Row],[Winter Clothes Adult]]+Table_NFI[[#This Row],[Winter Clothes Children]]+Table_NFI[[#This Row],[Winter Items Other]]+Table_NFI[[#This Row],[Winter Blanket]]&gt;0,1,0)</f>
        <v>0</v>
      </c>
      <c r="AN1060" s="331">
        <f>IF(NFI_Expiration=1,IF($A1060&lt;VLOOKUP(V$5,NFI,5,0),1,0)*Table_NFI[[#This Row],[Jerry Can]],Table_NFI[Jerry Can])</f>
        <v>0</v>
      </c>
      <c r="AO1060" s="331">
        <f>IF(NFI_Expiration=1,IF($A1060&lt;VLOOKUP(V$5,NFI,5,0),1,0)*Table_NFI[[#This Row],[Shelter Tool kit]],Table_NFI[Shelter Tool kit])</f>
        <v>0</v>
      </c>
      <c r="AP1060" s="331">
        <f>IF(NFI_Expiration=1,IF($A1060&lt;VLOOKUP(V$5,NFI,5,0),1,0)*Table_NFI[[#This Row],[Tent]],Table_NFI[Tent])</f>
        <v>0</v>
      </c>
      <c r="AQ1060" s="467" t="str">
        <f>IFERROR(VLOOKUP(Table_NFI[[#This Row],[Camp Name]],CL,2,0),"")</f>
        <v/>
      </c>
      <c r="AR1060" s="835" t="str">
        <f ca="1">IF(Table_NFI[[#This Row],[Pcode]]="","",IF(OFFSET(CampList[Opening Date],MATCH(Table_NFI[[#This Row],[Pcode]],CampList[CP_Pcode],0)-1,0,1,1)&gt;=NFI_Monitor_Date,1,0))</f>
        <v/>
      </c>
      <c r="AS1060" s="467" t="str">
        <f>IFERROR(VLOOKUP(Table_NFI[[#This Row],[Camp Name]],CL,3,0),"")</f>
        <v/>
      </c>
      <c r="AT1060" s="294" t="str">
        <f ca="1">IF(Table_NFI[[#This Row],[Pcode]]="","",OFFSET(CampList[Priority],MATCH(Table_NFI[[#This Row],[Pcode]],CampList[CP_Pcode],0)-1,0,1,1))</f>
        <v/>
      </c>
      <c r="AU1060" s="293" t="str">
        <f>IFERROR(Table_NFI[[#This Row],[Kitchen Set]]/VLOOKUP(Table_NFI[[#This Row],[Camp Name]],CL,4,0),"")</f>
        <v/>
      </c>
      <c r="AV1060" s="461" t="s">
        <v>1092</v>
      </c>
      <c r="AW1060" s="463" t="s">
        <v>1162</v>
      </c>
    </row>
    <row r="1061" spans="1:49" s="472" customFormat="1" ht="15.75" customHeight="1" x14ac:dyDescent="0.25">
      <c r="A1061" s="297">
        <f t="shared" si="16"/>
        <v>60.5</v>
      </c>
      <c r="B1061" s="460">
        <v>40921</v>
      </c>
      <c r="C1061" s="461" t="s">
        <v>452</v>
      </c>
      <c r="D1061" s="462" t="s">
        <v>460</v>
      </c>
      <c r="E1061" s="461" t="s">
        <v>380</v>
      </c>
      <c r="F1061" s="290"/>
      <c r="G1061" s="290" t="s">
        <v>911</v>
      </c>
      <c r="H1061" s="291"/>
      <c r="I1061" s="291"/>
      <c r="J1061" s="291"/>
      <c r="K1061" s="291">
        <v>10</v>
      </c>
      <c r="L1061" s="292">
        <v>5</v>
      </c>
      <c r="M1061" s="292">
        <v>5</v>
      </c>
      <c r="N1061" s="292">
        <v>0</v>
      </c>
      <c r="O1061" s="292">
        <v>5</v>
      </c>
      <c r="P1061" s="294">
        <v>5</v>
      </c>
      <c r="Q1061" s="294">
        <v>5</v>
      </c>
      <c r="R1061" s="294"/>
      <c r="S1061" s="294"/>
      <c r="T1061" s="294"/>
      <c r="U1061" s="294"/>
      <c r="V1061" s="431"/>
      <c r="W1061" s="331"/>
      <c r="X1061" s="331"/>
      <c r="Y1061" s="294">
        <f>IF(NFI_Expiration=1,IF($A1061&lt;VLOOKUP(H$5,NFI,5,0),1,0)*Table_NFI[[#This Row],[Hygiene Kit]],Table_NFI[Hygiene Kit])</f>
        <v>0</v>
      </c>
      <c r="Z1061" s="294">
        <f>IF(NFI_Expiration=1,IF($A1061&lt;VLOOKUP(I$5,NFI,5,0),1,0)*Table_NFI[[#This Row],[NFI Core Kit]],Table_NFI[NFI Core Kit])</f>
        <v>0</v>
      </c>
      <c r="AA1061" s="294">
        <f>IF(NFI_Expiration=1,IF($A1061&lt;VLOOKUP(J$5,NFI,5,0),1,0)*Table_NFI[[#This Row],[Sanitary Kit]],Table_NFI[Sanitary Kit])</f>
        <v>0</v>
      </c>
      <c r="AB1061" s="294">
        <f>IF(NFI_Expiration=1,IF($A1061&lt;VLOOKUP(K$5,NFI,5,0),1,0)*Table_NFI[[#This Row],[Mosquito net]],Table_NFI[Mosquito net])</f>
        <v>0</v>
      </c>
      <c r="AC1061" s="294">
        <f>IF(NFI_Expiration=1,IF($A1061&lt;VLOOKUP(L$5,NFI,5,0),1,0)*Table_NFI[[#This Row],[Tarpaulin]],Table_NFI[[#This Row],[Tarpaulin]])</f>
        <v>0</v>
      </c>
      <c r="AD1061" s="294">
        <f>IF(NFI_Expiration=1,IF($A1061&lt;VLOOKUP(M$5,NFI,5,0),1,0)*Table_NFI[[#This Row],[Blanket]],Table_NFI[[#This Row],[Blanket]])</f>
        <v>0</v>
      </c>
      <c r="AE1061" s="294">
        <f>IF(NFI_Expiration=1,IF($A1061&lt;VLOOKUP(N$5,NFI,5,0),1,0)*Table_NFI[[#This Row],[Kitchen Set]],Table_NFI[Kitchen Set])</f>
        <v>0</v>
      </c>
      <c r="AF1061" s="294">
        <f>IF(NFI_Expiration=1,IF($A1061&lt;VLOOKUP(O$5,NFI,5,0),1,0)*Table_NFI[[#This Row],[Clothes Kit]],Table_NFI[Clothes Kit])</f>
        <v>0</v>
      </c>
      <c r="AG1061" s="294">
        <f>IF(NFI_Expiration=1,IF($A1061&lt;VLOOKUP(P$5,NFI,5,0),1,0)*Table_NFI[[#This Row],[Plastic Bucket]],Table_NFI[Plastic Bucket])</f>
        <v>0</v>
      </c>
      <c r="AH1061" s="294">
        <f>IF(NFI_Expiration=1,IF($A1061&lt;VLOOKUP(Q$5,NFI,5,0),1,0)*Table_NFI[[#This Row],[Plastic Mat]],Table_NFI[Plastic Mat])*IF(Table_NFI[[#This Row],[Distribution Date]]&gt;"2014-04-01",1,2.5)</f>
        <v>0</v>
      </c>
      <c r="AI1061" s="294">
        <f>IF(NFI_Expiration=1,IF($A1061&lt;VLOOKUP(R$5,NFI,5,0),1,0)*Table_NFI[[#This Row],[Winter Clothes Adult]],Table_NFI[Winter Clothes Adult])</f>
        <v>0</v>
      </c>
      <c r="AJ1061" s="294">
        <f>IF(NFI_Expiration=1,IF($A1061&lt;VLOOKUP(S$5,NFI,5,0),1,0)*Table_NFI[[#This Row],[Winter Clothes Children]],Table_NFI[Winter Clothes Children])</f>
        <v>0</v>
      </c>
      <c r="AK1061" s="294">
        <f>IF(NFI_Expiration=1,IF($A1061&lt;VLOOKUP(T$5,NFI,5,0),1,0)*Table_NFI[[#This Row],[Winter Items Other]],Table_NFI[Winter Items Other])</f>
        <v>0</v>
      </c>
      <c r="AL1061" s="294">
        <f>IF(NFI_Expiration=1,IF($A1061&lt;VLOOKUP(M$5,NFI,5,0),1,0)*Table_NFI[[#This Row],[Winter Blanket]],Table_NFI[[#This Row],[Winter Blanket]])</f>
        <v>0</v>
      </c>
      <c r="AM1061" s="294">
        <f>IF(Table_NFI[[#This Row],[Winter Clothes Adult]]+Table_NFI[[#This Row],[Winter Clothes Children]]+Table_NFI[[#This Row],[Winter Items Other]]+Table_NFI[[#This Row],[Winter Blanket]]&gt;0,1,0)</f>
        <v>0</v>
      </c>
      <c r="AN1061" s="331">
        <f>IF(NFI_Expiration=1,IF($A1061&lt;VLOOKUP(V$5,NFI,5,0),1,0)*Table_NFI[[#This Row],[Jerry Can]],Table_NFI[Jerry Can])</f>
        <v>0</v>
      </c>
      <c r="AO1061" s="331">
        <f>IF(NFI_Expiration=1,IF($A1061&lt;VLOOKUP(V$5,NFI,5,0),1,0)*Table_NFI[[#This Row],[Shelter Tool kit]],Table_NFI[Shelter Tool kit])</f>
        <v>0</v>
      </c>
      <c r="AP1061" s="331">
        <f>IF(NFI_Expiration=1,IF($A1061&lt;VLOOKUP(V$5,NFI,5,0),1,0)*Table_NFI[[#This Row],[Tent]],Table_NFI[Tent])</f>
        <v>0</v>
      </c>
      <c r="AQ1061" s="467" t="str">
        <f>IFERROR(VLOOKUP(Table_NFI[[#This Row],[Camp Name]],CL,2,0),"")</f>
        <v/>
      </c>
      <c r="AR1061" s="835" t="str">
        <f ca="1">IF(Table_NFI[[#This Row],[Pcode]]="","",IF(OFFSET(CampList[Opening Date],MATCH(Table_NFI[[#This Row],[Pcode]],CampList[CP_Pcode],0)-1,0,1,1)&gt;=NFI_Monitor_Date,1,0))</f>
        <v/>
      </c>
      <c r="AS1061" s="467" t="str">
        <f>IFERROR(VLOOKUP(Table_NFI[[#This Row],[Camp Name]],CL,3,0),"")</f>
        <v/>
      </c>
      <c r="AT1061" s="294" t="str">
        <f ca="1">IF(Table_NFI[[#This Row],[Pcode]]="","",OFFSET(CampList[Priority],MATCH(Table_NFI[[#This Row],[Pcode]],CampList[CP_Pcode],0)-1,0,1,1))</f>
        <v/>
      </c>
      <c r="AU1061" s="293" t="str">
        <f>IFERROR(Table_NFI[[#This Row],[Kitchen Set]]/VLOOKUP(Table_NFI[[#This Row],[Camp Name]],CL,4,0),"")</f>
        <v/>
      </c>
      <c r="AV1061" s="461" t="s">
        <v>1092</v>
      </c>
      <c r="AW1061" s="463" t="s">
        <v>1163</v>
      </c>
    </row>
    <row r="1062" spans="1:49" s="472" customFormat="1" ht="15.75" customHeight="1" x14ac:dyDescent="0.25">
      <c r="A1062" s="297">
        <f t="shared" si="16"/>
        <v>60.5</v>
      </c>
      <c r="B1062" s="460">
        <v>40921</v>
      </c>
      <c r="C1062" s="461" t="s">
        <v>452</v>
      </c>
      <c r="D1062" s="462" t="s">
        <v>460</v>
      </c>
      <c r="E1062" s="461" t="s">
        <v>380</v>
      </c>
      <c r="F1062" s="290" t="s">
        <v>527</v>
      </c>
      <c r="G1062" s="295" t="s">
        <v>136</v>
      </c>
      <c r="H1062" s="291"/>
      <c r="I1062" s="291"/>
      <c r="J1062" s="291"/>
      <c r="K1062" s="291">
        <v>224</v>
      </c>
      <c r="L1062" s="292">
        <v>112</v>
      </c>
      <c r="M1062" s="292">
        <v>112</v>
      </c>
      <c r="N1062" s="292">
        <v>0</v>
      </c>
      <c r="O1062" s="292">
        <v>112</v>
      </c>
      <c r="P1062" s="294">
        <v>112</v>
      </c>
      <c r="Q1062" s="294">
        <v>112</v>
      </c>
      <c r="R1062" s="294"/>
      <c r="S1062" s="294"/>
      <c r="T1062" s="294"/>
      <c r="U1062" s="294"/>
      <c r="V1062" s="431"/>
      <c r="W1062" s="331"/>
      <c r="X1062" s="331"/>
      <c r="Y1062" s="294">
        <f>IF(NFI_Expiration=1,IF($A1062&lt;VLOOKUP(H$5,NFI,5,0),1,0)*Table_NFI[[#This Row],[Hygiene Kit]],Table_NFI[Hygiene Kit])</f>
        <v>0</v>
      </c>
      <c r="Z1062" s="294">
        <f>IF(NFI_Expiration=1,IF($A1062&lt;VLOOKUP(I$5,NFI,5,0),1,0)*Table_NFI[[#This Row],[NFI Core Kit]],Table_NFI[NFI Core Kit])</f>
        <v>0</v>
      </c>
      <c r="AA1062" s="294">
        <f>IF(NFI_Expiration=1,IF($A1062&lt;VLOOKUP(J$5,NFI,5,0),1,0)*Table_NFI[[#This Row],[Sanitary Kit]],Table_NFI[Sanitary Kit])</f>
        <v>0</v>
      </c>
      <c r="AB1062" s="294">
        <f>IF(NFI_Expiration=1,IF($A1062&lt;VLOOKUP(K$5,NFI,5,0),1,0)*Table_NFI[[#This Row],[Mosquito net]],Table_NFI[Mosquito net])</f>
        <v>0</v>
      </c>
      <c r="AC1062" s="294">
        <f>IF(NFI_Expiration=1,IF($A1062&lt;VLOOKUP(L$5,NFI,5,0),1,0)*Table_NFI[[#This Row],[Tarpaulin]],Table_NFI[[#This Row],[Tarpaulin]])</f>
        <v>0</v>
      </c>
      <c r="AD1062" s="294">
        <f>IF(NFI_Expiration=1,IF($A1062&lt;VLOOKUP(M$5,NFI,5,0),1,0)*Table_NFI[[#This Row],[Blanket]],Table_NFI[[#This Row],[Blanket]])</f>
        <v>0</v>
      </c>
      <c r="AE1062" s="294">
        <f>IF(NFI_Expiration=1,IF($A1062&lt;VLOOKUP(N$5,NFI,5,0),1,0)*Table_NFI[[#This Row],[Kitchen Set]],Table_NFI[Kitchen Set])</f>
        <v>0</v>
      </c>
      <c r="AF1062" s="294">
        <f>IF(NFI_Expiration=1,IF($A1062&lt;VLOOKUP(O$5,NFI,5,0),1,0)*Table_NFI[[#This Row],[Clothes Kit]],Table_NFI[Clothes Kit])</f>
        <v>0</v>
      </c>
      <c r="AG1062" s="294">
        <f>IF(NFI_Expiration=1,IF($A1062&lt;VLOOKUP(P$5,NFI,5,0),1,0)*Table_NFI[[#This Row],[Plastic Bucket]],Table_NFI[Plastic Bucket])</f>
        <v>0</v>
      </c>
      <c r="AH1062" s="294">
        <f>IF(NFI_Expiration=1,IF($A1062&lt;VLOOKUP(Q$5,NFI,5,0),1,0)*Table_NFI[[#This Row],[Plastic Mat]],Table_NFI[Plastic Mat])*IF(Table_NFI[[#This Row],[Distribution Date]]&gt;"2014-04-01",1,2.5)</f>
        <v>0</v>
      </c>
      <c r="AI1062" s="294">
        <f>IF(NFI_Expiration=1,IF($A1062&lt;VLOOKUP(R$5,NFI,5,0),1,0)*Table_NFI[[#This Row],[Winter Clothes Adult]],Table_NFI[Winter Clothes Adult])</f>
        <v>0</v>
      </c>
      <c r="AJ1062" s="294">
        <f>IF(NFI_Expiration=1,IF($A1062&lt;VLOOKUP(S$5,NFI,5,0),1,0)*Table_NFI[[#This Row],[Winter Clothes Children]],Table_NFI[Winter Clothes Children])</f>
        <v>0</v>
      </c>
      <c r="AK1062" s="294">
        <f>IF(NFI_Expiration=1,IF($A1062&lt;VLOOKUP(T$5,NFI,5,0),1,0)*Table_NFI[[#This Row],[Winter Items Other]],Table_NFI[Winter Items Other])</f>
        <v>0</v>
      </c>
      <c r="AL1062" s="294">
        <f>IF(NFI_Expiration=1,IF($A1062&lt;VLOOKUP(M$5,NFI,5,0),1,0)*Table_NFI[[#This Row],[Winter Blanket]],Table_NFI[[#This Row],[Winter Blanket]])</f>
        <v>0</v>
      </c>
      <c r="AM1062" s="294">
        <f>IF(Table_NFI[[#This Row],[Winter Clothes Adult]]+Table_NFI[[#This Row],[Winter Clothes Children]]+Table_NFI[[#This Row],[Winter Items Other]]+Table_NFI[[#This Row],[Winter Blanket]]&gt;0,1,0)</f>
        <v>0</v>
      </c>
      <c r="AN1062" s="331">
        <f>IF(NFI_Expiration=1,IF($A1062&lt;VLOOKUP(V$5,NFI,5,0),1,0)*Table_NFI[[#This Row],[Jerry Can]],Table_NFI[Jerry Can])</f>
        <v>0</v>
      </c>
      <c r="AO1062" s="331">
        <f>IF(NFI_Expiration=1,IF($A1062&lt;VLOOKUP(V$5,NFI,5,0),1,0)*Table_NFI[[#This Row],[Shelter Tool kit]],Table_NFI[Shelter Tool kit])</f>
        <v>0</v>
      </c>
      <c r="AP1062" s="331">
        <f>IF(NFI_Expiration=1,IF($A1062&lt;VLOOKUP(V$5,NFI,5,0),1,0)*Table_NFI[[#This Row],[Tent]],Table_NFI[Tent])</f>
        <v>0</v>
      </c>
      <c r="AQ1062" s="467" t="str">
        <f>IFERROR(VLOOKUP(Table_NFI[[#This Row],[Camp Name]],CL,2,0),"")</f>
        <v>MMR001CMP106</v>
      </c>
      <c r="AR1062" s="835">
        <f ca="1">IF(Table_NFI[[#This Row],[Pcode]]="","",IF(OFFSET(CampList[Opening Date],MATCH(Table_NFI[[#This Row],[Pcode]],CampList[CP_Pcode],0)-1,0,1,1)&gt;=NFI_Monitor_Date,1,0))</f>
        <v>0</v>
      </c>
      <c r="AS1062" s="467" t="str">
        <f>IFERROR(VLOOKUP(Table_NFI[[#This Row],[Camp Name]],CL,3,0),"")</f>
        <v>Closed</v>
      </c>
      <c r="AT1062" s="294" t="str">
        <f ca="1">IF(Table_NFI[[#This Row],[Pcode]]="","",OFFSET(CampList[Priority],MATCH(Table_NFI[[#This Row],[Pcode]],CampList[CP_Pcode],0)-1,0,1,1))</f>
        <v/>
      </c>
      <c r="AU1062" s="293" t="str">
        <f>IFERROR(Table_NFI[[#This Row],[Kitchen Set]]/VLOOKUP(Table_NFI[[#This Row],[Camp Name]],CL,4,0),"")</f>
        <v/>
      </c>
      <c r="AV1062" s="461" t="s">
        <v>1092</v>
      </c>
      <c r="AW1062" s="463"/>
    </row>
    <row r="1063" spans="1:49" s="472" customFormat="1" ht="15.75" customHeight="1" x14ac:dyDescent="0.25">
      <c r="A1063" s="297">
        <f t="shared" si="16"/>
        <v>60.5</v>
      </c>
      <c r="B1063" s="460">
        <v>40921</v>
      </c>
      <c r="C1063" s="461" t="s">
        <v>452</v>
      </c>
      <c r="D1063" s="462" t="s">
        <v>460</v>
      </c>
      <c r="E1063" s="461" t="s">
        <v>380</v>
      </c>
      <c r="F1063" s="290" t="s">
        <v>527</v>
      </c>
      <c r="G1063" s="290" t="s">
        <v>84</v>
      </c>
      <c r="H1063" s="291"/>
      <c r="I1063" s="291"/>
      <c r="J1063" s="291"/>
      <c r="K1063" s="291">
        <v>34</v>
      </c>
      <c r="L1063" s="292">
        <v>17</v>
      </c>
      <c r="M1063" s="292">
        <v>17</v>
      </c>
      <c r="N1063" s="292">
        <v>0</v>
      </c>
      <c r="O1063" s="292">
        <v>17</v>
      </c>
      <c r="P1063" s="294">
        <v>17</v>
      </c>
      <c r="Q1063" s="294">
        <v>17</v>
      </c>
      <c r="R1063" s="294"/>
      <c r="S1063" s="294"/>
      <c r="T1063" s="294"/>
      <c r="U1063" s="294"/>
      <c r="V1063" s="431"/>
      <c r="W1063" s="331"/>
      <c r="X1063" s="331"/>
      <c r="Y1063" s="294">
        <f>IF(NFI_Expiration=1,IF($A1063&lt;VLOOKUP(H$5,NFI,5,0),1,0)*Table_NFI[[#This Row],[Hygiene Kit]],Table_NFI[Hygiene Kit])</f>
        <v>0</v>
      </c>
      <c r="Z1063" s="294">
        <f>IF(NFI_Expiration=1,IF($A1063&lt;VLOOKUP(I$5,NFI,5,0),1,0)*Table_NFI[[#This Row],[NFI Core Kit]],Table_NFI[NFI Core Kit])</f>
        <v>0</v>
      </c>
      <c r="AA1063" s="294">
        <f>IF(NFI_Expiration=1,IF($A1063&lt;VLOOKUP(J$5,NFI,5,0),1,0)*Table_NFI[[#This Row],[Sanitary Kit]],Table_NFI[Sanitary Kit])</f>
        <v>0</v>
      </c>
      <c r="AB1063" s="294">
        <f>IF(NFI_Expiration=1,IF($A1063&lt;VLOOKUP(K$5,NFI,5,0),1,0)*Table_NFI[[#This Row],[Mosquito net]],Table_NFI[Mosquito net])</f>
        <v>0</v>
      </c>
      <c r="AC1063" s="294">
        <f>IF(NFI_Expiration=1,IF($A1063&lt;VLOOKUP(L$5,NFI,5,0),1,0)*Table_NFI[[#This Row],[Tarpaulin]],Table_NFI[[#This Row],[Tarpaulin]])</f>
        <v>0</v>
      </c>
      <c r="AD1063" s="294">
        <f>IF(NFI_Expiration=1,IF($A1063&lt;VLOOKUP(M$5,NFI,5,0),1,0)*Table_NFI[[#This Row],[Blanket]],Table_NFI[[#This Row],[Blanket]])</f>
        <v>0</v>
      </c>
      <c r="AE1063" s="294">
        <f>IF(NFI_Expiration=1,IF($A1063&lt;VLOOKUP(N$5,NFI,5,0),1,0)*Table_NFI[[#This Row],[Kitchen Set]],Table_NFI[Kitchen Set])</f>
        <v>0</v>
      </c>
      <c r="AF1063" s="294">
        <f>IF(NFI_Expiration=1,IF($A1063&lt;VLOOKUP(O$5,NFI,5,0),1,0)*Table_NFI[[#This Row],[Clothes Kit]],Table_NFI[Clothes Kit])</f>
        <v>0</v>
      </c>
      <c r="AG1063" s="294">
        <f>IF(NFI_Expiration=1,IF($A1063&lt;VLOOKUP(P$5,NFI,5,0),1,0)*Table_NFI[[#This Row],[Plastic Bucket]],Table_NFI[Plastic Bucket])</f>
        <v>0</v>
      </c>
      <c r="AH1063" s="294">
        <f>IF(NFI_Expiration=1,IF($A1063&lt;VLOOKUP(Q$5,NFI,5,0),1,0)*Table_NFI[[#This Row],[Plastic Mat]],Table_NFI[Plastic Mat])*IF(Table_NFI[[#This Row],[Distribution Date]]&gt;"2014-04-01",1,2.5)</f>
        <v>0</v>
      </c>
      <c r="AI1063" s="294">
        <f>IF(NFI_Expiration=1,IF($A1063&lt;VLOOKUP(R$5,NFI,5,0),1,0)*Table_NFI[[#This Row],[Winter Clothes Adult]],Table_NFI[Winter Clothes Adult])</f>
        <v>0</v>
      </c>
      <c r="AJ1063" s="294">
        <f>IF(NFI_Expiration=1,IF($A1063&lt;VLOOKUP(S$5,NFI,5,0),1,0)*Table_NFI[[#This Row],[Winter Clothes Children]],Table_NFI[Winter Clothes Children])</f>
        <v>0</v>
      </c>
      <c r="AK1063" s="294">
        <f>IF(NFI_Expiration=1,IF($A1063&lt;VLOOKUP(T$5,NFI,5,0),1,0)*Table_NFI[[#This Row],[Winter Items Other]],Table_NFI[Winter Items Other])</f>
        <v>0</v>
      </c>
      <c r="AL1063" s="294">
        <f>IF(NFI_Expiration=1,IF($A1063&lt;VLOOKUP(M$5,NFI,5,0),1,0)*Table_NFI[[#This Row],[Winter Blanket]],Table_NFI[[#This Row],[Winter Blanket]])</f>
        <v>0</v>
      </c>
      <c r="AM1063" s="294">
        <f>IF(Table_NFI[[#This Row],[Winter Clothes Adult]]+Table_NFI[[#This Row],[Winter Clothes Children]]+Table_NFI[[#This Row],[Winter Items Other]]+Table_NFI[[#This Row],[Winter Blanket]]&gt;0,1,0)</f>
        <v>0</v>
      </c>
      <c r="AN1063" s="331">
        <f>IF(NFI_Expiration=1,IF($A1063&lt;VLOOKUP(V$5,NFI,5,0),1,0)*Table_NFI[[#This Row],[Jerry Can]],Table_NFI[Jerry Can])</f>
        <v>0</v>
      </c>
      <c r="AO1063" s="331">
        <f>IF(NFI_Expiration=1,IF($A1063&lt;VLOOKUP(V$5,NFI,5,0),1,0)*Table_NFI[[#This Row],[Shelter Tool kit]],Table_NFI[Shelter Tool kit])</f>
        <v>0</v>
      </c>
      <c r="AP1063" s="331">
        <f>IF(NFI_Expiration=1,IF($A1063&lt;VLOOKUP(V$5,NFI,5,0),1,0)*Table_NFI[[#This Row],[Tent]],Table_NFI[Tent])</f>
        <v>0</v>
      </c>
      <c r="AQ1063" s="467" t="str">
        <f>IFERROR(VLOOKUP(Table_NFI[[#This Row],[Camp Name]],CL,2,0),"")</f>
        <v>MMR001CMP085</v>
      </c>
      <c r="AR1063" s="835">
        <f ca="1">IF(Table_NFI[[#This Row],[Pcode]]="","",IF(OFFSET(CampList[Opening Date],MATCH(Table_NFI[[#This Row],[Pcode]],CampList[CP_Pcode],0)-1,0,1,1)&gt;=NFI_Monitor_Date,1,0))</f>
        <v>0</v>
      </c>
      <c r="AS1063" s="467" t="str">
        <f>IFERROR(VLOOKUP(Table_NFI[[#This Row],[Camp Name]],CL,3,0),"")</f>
        <v>Closed</v>
      </c>
      <c r="AT1063" s="294" t="str">
        <f ca="1">IF(Table_NFI[[#This Row],[Pcode]]="","",OFFSET(CampList[Priority],MATCH(Table_NFI[[#This Row],[Pcode]],CampList[CP_Pcode],0)-1,0,1,1))</f>
        <v/>
      </c>
      <c r="AU1063" s="293" t="str">
        <f>IFERROR(Table_NFI[[#This Row],[Kitchen Set]]/VLOOKUP(Table_NFI[[#This Row],[Camp Name]],CL,4,0),"")</f>
        <v/>
      </c>
      <c r="AV1063" s="461" t="s">
        <v>1092</v>
      </c>
      <c r="AW1063" s="463"/>
    </row>
    <row r="1064" spans="1:49" s="472" customFormat="1" ht="21.75" customHeight="1" x14ac:dyDescent="0.25">
      <c r="A1064" s="297">
        <f t="shared" si="16"/>
        <v>60.5</v>
      </c>
      <c r="B1064" s="460">
        <v>40921</v>
      </c>
      <c r="C1064" s="461" t="s">
        <v>452</v>
      </c>
      <c r="D1064" s="462" t="s">
        <v>460</v>
      </c>
      <c r="E1064" s="461" t="s">
        <v>380</v>
      </c>
      <c r="F1064" s="290"/>
      <c r="G1064" s="290" t="s">
        <v>915</v>
      </c>
      <c r="H1064" s="291"/>
      <c r="I1064" s="291"/>
      <c r="J1064" s="291"/>
      <c r="K1064" s="291">
        <v>126</v>
      </c>
      <c r="L1064" s="292">
        <v>63</v>
      </c>
      <c r="M1064" s="292">
        <v>63</v>
      </c>
      <c r="N1064" s="292">
        <v>0</v>
      </c>
      <c r="O1064" s="292">
        <v>63</v>
      </c>
      <c r="P1064" s="294">
        <v>63</v>
      </c>
      <c r="Q1064" s="294">
        <v>63</v>
      </c>
      <c r="R1064" s="294"/>
      <c r="S1064" s="294"/>
      <c r="T1064" s="294"/>
      <c r="U1064" s="294"/>
      <c r="V1064" s="431"/>
      <c r="W1064" s="331"/>
      <c r="X1064" s="331"/>
      <c r="Y1064" s="294">
        <f>IF(NFI_Expiration=1,IF($A1064&lt;VLOOKUP(H$5,NFI,5,0),1,0)*Table_NFI[[#This Row],[Hygiene Kit]],Table_NFI[Hygiene Kit])</f>
        <v>0</v>
      </c>
      <c r="Z1064" s="294">
        <f>IF(NFI_Expiration=1,IF($A1064&lt;VLOOKUP(I$5,NFI,5,0),1,0)*Table_NFI[[#This Row],[NFI Core Kit]],Table_NFI[NFI Core Kit])</f>
        <v>0</v>
      </c>
      <c r="AA1064" s="294">
        <f>IF(NFI_Expiration=1,IF($A1064&lt;VLOOKUP(J$5,NFI,5,0),1,0)*Table_NFI[[#This Row],[Sanitary Kit]],Table_NFI[Sanitary Kit])</f>
        <v>0</v>
      </c>
      <c r="AB1064" s="294">
        <f>IF(NFI_Expiration=1,IF($A1064&lt;VLOOKUP(K$5,NFI,5,0),1,0)*Table_NFI[[#This Row],[Mosquito net]],Table_NFI[Mosquito net])</f>
        <v>0</v>
      </c>
      <c r="AC1064" s="294">
        <f>IF(NFI_Expiration=1,IF($A1064&lt;VLOOKUP(L$5,NFI,5,0),1,0)*Table_NFI[[#This Row],[Tarpaulin]],Table_NFI[[#This Row],[Tarpaulin]])</f>
        <v>0</v>
      </c>
      <c r="AD1064" s="294">
        <f>IF(NFI_Expiration=1,IF($A1064&lt;VLOOKUP(M$5,NFI,5,0),1,0)*Table_NFI[[#This Row],[Blanket]],Table_NFI[[#This Row],[Blanket]])</f>
        <v>0</v>
      </c>
      <c r="AE1064" s="294">
        <f>IF(NFI_Expiration=1,IF($A1064&lt;VLOOKUP(N$5,NFI,5,0),1,0)*Table_NFI[[#This Row],[Kitchen Set]],Table_NFI[Kitchen Set])</f>
        <v>0</v>
      </c>
      <c r="AF1064" s="294">
        <f>IF(NFI_Expiration=1,IF($A1064&lt;VLOOKUP(O$5,NFI,5,0),1,0)*Table_NFI[[#This Row],[Clothes Kit]],Table_NFI[Clothes Kit])</f>
        <v>0</v>
      </c>
      <c r="AG1064" s="294">
        <f>IF(NFI_Expiration=1,IF($A1064&lt;VLOOKUP(P$5,NFI,5,0),1,0)*Table_NFI[[#This Row],[Plastic Bucket]],Table_NFI[Plastic Bucket])</f>
        <v>0</v>
      </c>
      <c r="AH1064" s="294">
        <f>IF(NFI_Expiration=1,IF($A1064&lt;VLOOKUP(Q$5,NFI,5,0),1,0)*Table_NFI[[#This Row],[Plastic Mat]],Table_NFI[Plastic Mat])*IF(Table_NFI[[#This Row],[Distribution Date]]&gt;"2014-04-01",1,2.5)</f>
        <v>0</v>
      </c>
      <c r="AI1064" s="294">
        <f>IF(NFI_Expiration=1,IF($A1064&lt;VLOOKUP(R$5,NFI,5,0),1,0)*Table_NFI[[#This Row],[Winter Clothes Adult]],Table_NFI[Winter Clothes Adult])</f>
        <v>0</v>
      </c>
      <c r="AJ1064" s="294">
        <f>IF(NFI_Expiration=1,IF($A1064&lt;VLOOKUP(S$5,NFI,5,0),1,0)*Table_NFI[[#This Row],[Winter Clothes Children]],Table_NFI[Winter Clothes Children])</f>
        <v>0</v>
      </c>
      <c r="AK1064" s="294">
        <f>IF(NFI_Expiration=1,IF($A1064&lt;VLOOKUP(T$5,NFI,5,0),1,0)*Table_NFI[[#This Row],[Winter Items Other]],Table_NFI[Winter Items Other])</f>
        <v>0</v>
      </c>
      <c r="AL1064" s="294">
        <f>IF(NFI_Expiration=1,IF($A1064&lt;VLOOKUP(M$5,NFI,5,0),1,0)*Table_NFI[[#This Row],[Winter Blanket]],Table_NFI[[#This Row],[Winter Blanket]])</f>
        <v>0</v>
      </c>
      <c r="AM1064" s="294">
        <f>IF(Table_NFI[[#This Row],[Winter Clothes Adult]]+Table_NFI[[#This Row],[Winter Clothes Children]]+Table_NFI[[#This Row],[Winter Items Other]]+Table_NFI[[#This Row],[Winter Blanket]]&gt;0,1,0)</f>
        <v>0</v>
      </c>
      <c r="AN1064" s="331">
        <f>IF(NFI_Expiration=1,IF($A1064&lt;VLOOKUP(V$5,NFI,5,0),1,0)*Table_NFI[[#This Row],[Jerry Can]],Table_NFI[Jerry Can])</f>
        <v>0</v>
      </c>
      <c r="AO1064" s="331">
        <f>IF(NFI_Expiration=1,IF($A1064&lt;VLOOKUP(V$5,NFI,5,0),1,0)*Table_NFI[[#This Row],[Shelter Tool kit]],Table_NFI[Shelter Tool kit])</f>
        <v>0</v>
      </c>
      <c r="AP1064" s="331">
        <f>IF(NFI_Expiration=1,IF($A1064&lt;VLOOKUP(V$5,NFI,5,0),1,0)*Table_NFI[[#This Row],[Tent]],Table_NFI[Tent])</f>
        <v>0</v>
      </c>
      <c r="AQ1064" s="467" t="str">
        <f>IFERROR(VLOOKUP(Table_NFI[[#This Row],[Camp Name]],CL,2,0),"")</f>
        <v/>
      </c>
      <c r="AR1064" s="835" t="str">
        <f ca="1">IF(Table_NFI[[#This Row],[Pcode]]="","",IF(OFFSET(CampList[Opening Date],MATCH(Table_NFI[[#This Row],[Pcode]],CampList[CP_Pcode],0)-1,0,1,1)&gt;=NFI_Monitor_Date,1,0))</f>
        <v/>
      </c>
      <c r="AS1064" s="467" t="str">
        <f>IFERROR(VLOOKUP(Table_NFI[[#This Row],[Camp Name]],CL,3,0),"")</f>
        <v/>
      </c>
      <c r="AT1064" s="294" t="str">
        <f ca="1">IF(Table_NFI[[#This Row],[Pcode]]="","",OFFSET(CampList[Priority],MATCH(Table_NFI[[#This Row],[Pcode]],CampList[CP_Pcode],0)-1,0,1,1))</f>
        <v/>
      </c>
      <c r="AU1064" s="293" t="str">
        <f>IFERROR(Table_NFI[[#This Row],[Kitchen Set]]/VLOOKUP(Table_NFI[[#This Row],[Camp Name]],CL,4,0),"")</f>
        <v/>
      </c>
      <c r="AV1064" s="461" t="s">
        <v>1092</v>
      </c>
      <c r="AW1064" s="463" t="s">
        <v>1161</v>
      </c>
    </row>
    <row r="1065" spans="1:49" s="472" customFormat="1" ht="23.25" customHeight="1" x14ac:dyDescent="0.25">
      <c r="A1065" s="297">
        <f t="shared" si="16"/>
        <v>60.5</v>
      </c>
      <c r="B1065" s="460">
        <v>40921</v>
      </c>
      <c r="C1065" s="461" t="s">
        <v>452</v>
      </c>
      <c r="D1065" s="462" t="s">
        <v>460</v>
      </c>
      <c r="E1065" s="461" t="s">
        <v>380</v>
      </c>
      <c r="F1065" s="290" t="s">
        <v>527</v>
      </c>
      <c r="G1065" s="290" t="s">
        <v>110</v>
      </c>
      <c r="H1065" s="291"/>
      <c r="I1065" s="291"/>
      <c r="J1065" s="291"/>
      <c r="K1065" s="291">
        <v>112</v>
      </c>
      <c r="L1065" s="292">
        <v>56</v>
      </c>
      <c r="M1065" s="292">
        <v>56</v>
      </c>
      <c r="N1065" s="292">
        <v>0</v>
      </c>
      <c r="O1065" s="292">
        <v>56</v>
      </c>
      <c r="P1065" s="294">
        <v>56</v>
      </c>
      <c r="Q1065" s="294">
        <v>56</v>
      </c>
      <c r="R1065" s="294"/>
      <c r="S1065" s="294"/>
      <c r="T1065" s="294"/>
      <c r="U1065" s="294"/>
      <c r="V1065" s="431"/>
      <c r="W1065" s="331"/>
      <c r="X1065" s="331"/>
      <c r="Y1065" s="294">
        <f>IF(NFI_Expiration=1,IF($A1065&lt;VLOOKUP(H$5,NFI,5,0),1,0)*Table_NFI[[#This Row],[Hygiene Kit]],Table_NFI[Hygiene Kit])</f>
        <v>0</v>
      </c>
      <c r="Z1065" s="294">
        <f>IF(NFI_Expiration=1,IF($A1065&lt;VLOOKUP(I$5,NFI,5,0),1,0)*Table_NFI[[#This Row],[NFI Core Kit]],Table_NFI[NFI Core Kit])</f>
        <v>0</v>
      </c>
      <c r="AA1065" s="294">
        <f>IF(NFI_Expiration=1,IF($A1065&lt;VLOOKUP(J$5,NFI,5,0),1,0)*Table_NFI[[#This Row],[Sanitary Kit]],Table_NFI[Sanitary Kit])</f>
        <v>0</v>
      </c>
      <c r="AB1065" s="294">
        <f>IF(NFI_Expiration=1,IF($A1065&lt;VLOOKUP(K$5,NFI,5,0),1,0)*Table_NFI[[#This Row],[Mosquito net]],Table_NFI[Mosquito net])</f>
        <v>0</v>
      </c>
      <c r="AC1065" s="294">
        <f>IF(NFI_Expiration=1,IF($A1065&lt;VLOOKUP(L$5,NFI,5,0),1,0)*Table_NFI[[#This Row],[Tarpaulin]],Table_NFI[[#This Row],[Tarpaulin]])</f>
        <v>0</v>
      </c>
      <c r="AD1065" s="294">
        <f>IF(NFI_Expiration=1,IF($A1065&lt;VLOOKUP(M$5,NFI,5,0),1,0)*Table_NFI[[#This Row],[Blanket]],Table_NFI[[#This Row],[Blanket]])</f>
        <v>0</v>
      </c>
      <c r="AE1065" s="294">
        <f>IF(NFI_Expiration=1,IF($A1065&lt;VLOOKUP(N$5,NFI,5,0),1,0)*Table_NFI[[#This Row],[Kitchen Set]],Table_NFI[Kitchen Set])</f>
        <v>0</v>
      </c>
      <c r="AF1065" s="294">
        <f>IF(NFI_Expiration=1,IF($A1065&lt;VLOOKUP(O$5,NFI,5,0),1,0)*Table_NFI[[#This Row],[Clothes Kit]],Table_NFI[Clothes Kit])</f>
        <v>0</v>
      </c>
      <c r="AG1065" s="294">
        <f>IF(NFI_Expiration=1,IF($A1065&lt;VLOOKUP(P$5,NFI,5,0),1,0)*Table_NFI[[#This Row],[Plastic Bucket]],Table_NFI[Plastic Bucket])</f>
        <v>0</v>
      </c>
      <c r="AH1065" s="294">
        <f>IF(NFI_Expiration=1,IF($A1065&lt;VLOOKUP(Q$5,NFI,5,0),1,0)*Table_NFI[[#This Row],[Plastic Mat]],Table_NFI[Plastic Mat])*IF(Table_NFI[[#This Row],[Distribution Date]]&gt;"2014-04-01",1,2.5)</f>
        <v>0</v>
      </c>
      <c r="AI1065" s="294">
        <f>IF(NFI_Expiration=1,IF($A1065&lt;VLOOKUP(R$5,NFI,5,0),1,0)*Table_NFI[[#This Row],[Winter Clothes Adult]],Table_NFI[Winter Clothes Adult])</f>
        <v>0</v>
      </c>
      <c r="AJ1065" s="294">
        <f>IF(NFI_Expiration=1,IF($A1065&lt;VLOOKUP(S$5,NFI,5,0),1,0)*Table_NFI[[#This Row],[Winter Clothes Children]],Table_NFI[Winter Clothes Children])</f>
        <v>0</v>
      </c>
      <c r="AK1065" s="294">
        <f>IF(NFI_Expiration=1,IF($A1065&lt;VLOOKUP(T$5,NFI,5,0),1,0)*Table_NFI[[#This Row],[Winter Items Other]],Table_NFI[Winter Items Other])</f>
        <v>0</v>
      </c>
      <c r="AL1065" s="294">
        <f>IF(NFI_Expiration=1,IF($A1065&lt;VLOOKUP(M$5,NFI,5,0),1,0)*Table_NFI[[#This Row],[Winter Blanket]],Table_NFI[[#This Row],[Winter Blanket]])</f>
        <v>0</v>
      </c>
      <c r="AM1065" s="294">
        <f>IF(Table_NFI[[#This Row],[Winter Clothes Adult]]+Table_NFI[[#This Row],[Winter Clothes Children]]+Table_NFI[[#This Row],[Winter Items Other]]+Table_NFI[[#This Row],[Winter Blanket]]&gt;0,1,0)</f>
        <v>0</v>
      </c>
      <c r="AN1065" s="331">
        <f>IF(NFI_Expiration=1,IF($A1065&lt;VLOOKUP(V$5,NFI,5,0),1,0)*Table_NFI[[#This Row],[Jerry Can]],Table_NFI[Jerry Can])</f>
        <v>0</v>
      </c>
      <c r="AO1065" s="331">
        <f>IF(NFI_Expiration=1,IF($A1065&lt;VLOOKUP(V$5,NFI,5,0),1,0)*Table_NFI[[#This Row],[Shelter Tool kit]],Table_NFI[Shelter Tool kit])</f>
        <v>0</v>
      </c>
      <c r="AP1065" s="331">
        <f>IF(NFI_Expiration=1,IF($A1065&lt;VLOOKUP(V$5,NFI,5,0),1,0)*Table_NFI[[#This Row],[Tent]],Table_NFI[Tent])</f>
        <v>0</v>
      </c>
      <c r="AQ1065" s="467" t="str">
        <f>IFERROR(VLOOKUP(Table_NFI[[#This Row],[Camp Name]],CL,2,0),"")</f>
        <v>MMR001CMP082</v>
      </c>
      <c r="AR1065" s="835">
        <f ca="1">IF(Table_NFI[[#This Row],[Pcode]]="","",IF(OFFSET(CampList[Opening Date],MATCH(Table_NFI[[#This Row],[Pcode]],CampList[CP_Pcode],0)-1,0,1,1)&gt;=NFI_Monitor_Date,1,0))</f>
        <v>0</v>
      </c>
      <c r="AS1065" s="467" t="str">
        <f>IFERROR(VLOOKUP(Table_NFI[[#This Row],[Camp Name]],CL,3,0),"")</f>
        <v>Closed</v>
      </c>
      <c r="AT1065" s="294" t="str">
        <f ca="1">IF(Table_NFI[[#This Row],[Pcode]]="","",OFFSET(CampList[Priority],MATCH(Table_NFI[[#This Row],[Pcode]],CampList[CP_Pcode],0)-1,0,1,1))</f>
        <v/>
      </c>
      <c r="AU1065" s="293">
        <f>IFERROR(Table_NFI[[#This Row],[Kitchen Set]]/VLOOKUP(Table_NFI[[#This Row],[Camp Name]],CL,4,0),"")</f>
        <v>0</v>
      </c>
      <c r="AV1065" s="461" t="s">
        <v>1092</v>
      </c>
      <c r="AW1065" s="463"/>
    </row>
    <row r="1066" spans="1:49" s="472" customFormat="1" ht="15.75" customHeight="1" x14ac:dyDescent="0.25">
      <c r="A1066" s="297">
        <f t="shared" si="16"/>
        <v>60.56666666666667</v>
      </c>
      <c r="B1066" s="460">
        <v>40919</v>
      </c>
      <c r="C1066" s="461" t="s">
        <v>452</v>
      </c>
      <c r="D1066" s="462" t="s">
        <v>460</v>
      </c>
      <c r="E1066" s="461" t="s">
        <v>380</v>
      </c>
      <c r="F1066" s="290" t="s">
        <v>310</v>
      </c>
      <c r="G1066" s="290" t="s">
        <v>347</v>
      </c>
      <c r="H1066" s="291"/>
      <c r="I1066" s="291"/>
      <c r="J1066" s="291"/>
      <c r="K1066" s="291">
        <v>536</v>
      </c>
      <c r="L1066" s="292">
        <v>268</v>
      </c>
      <c r="M1066" s="292">
        <v>536</v>
      </c>
      <c r="N1066" s="292">
        <v>268</v>
      </c>
      <c r="O1066" s="292">
        <v>268</v>
      </c>
      <c r="P1066" s="294">
        <v>268</v>
      </c>
      <c r="Q1066" s="294">
        <v>268</v>
      </c>
      <c r="R1066" s="294"/>
      <c r="S1066" s="294"/>
      <c r="T1066" s="294"/>
      <c r="U1066" s="294"/>
      <c r="V1066" s="431"/>
      <c r="W1066" s="331"/>
      <c r="X1066" s="331"/>
      <c r="Y1066" s="294">
        <f>IF(NFI_Expiration=1,IF($A1066&lt;VLOOKUP(H$5,NFI,5,0),1,0)*Table_NFI[[#This Row],[Hygiene Kit]],Table_NFI[Hygiene Kit])</f>
        <v>0</v>
      </c>
      <c r="Z1066" s="294">
        <f>IF(NFI_Expiration=1,IF($A1066&lt;VLOOKUP(I$5,NFI,5,0),1,0)*Table_NFI[[#This Row],[NFI Core Kit]],Table_NFI[NFI Core Kit])</f>
        <v>0</v>
      </c>
      <c r="AA1066" s="294">
        <f>IF(NFI_Expiration=1,IF($A1066&lt;VLOOKUP(J$5,NFI,5,0),1,0)*Table_NFI[[#This Row],[Sanitary Kit]],Table_NFI[Sanitary Kit])</f>
        <v>0</v>
      </c>
      <c r="AB1066" s="294">
        <f>IF(NFI_Expiration=1,IF($A1066&lt;VLOOKUP(K$5,NFI,5,0),1,0)*Table_NFI[[#This Row],[Mosquito net]],Table_NFI[Mosquito net])</f>
        <v>0</v>
      </c>
      <c r="AC1066" s="294">
        <f>IF(NFI_Expiration=1,IF($A1066&lt;VLOOKUP(L$5,NFI,5,0),1,0)*Table_NFI[[#This Row],[Tarpaulin]],Table_NFI[[#This Row],[Tarpaulin]])</f>
        <v>0</v>
      </c>
      <c r="AD1066" s="294">
        <f>IF(NFI_Expiration=1,IF($A1066&lt;VLOOKUP(M$5,NFI,5,0),1,0)*Table_NFI[[#This Row],[Blanket]],Table_NFI[[#This Row],[Blanket]])</f>
        <v>0</v>
      </c>
      <c r="AE1066" s="294">
        <f>IF(NFI_Expiration=1,IF($A1066&lt;VLOOKUP(N$5,NFI,5,0),1,0)*Table_NFI[[#This Row],[Kitchen Set]],Table_NFI[Kitchen Set])</f>
        <v>0</v>
      </c>
      <c r="AF1066" s="294">
        <f>IF(NFI_Expiration=1,IF($A1066&lt;VLOOKUP(O$5,NFI,5,0),1,0)*Table_NFI[[#This Row],[Clothes Kit]],Table_NFI[Clothes Kit])</f>
        <v>0</v>
      </c>
      <c r="AG1066" s="294">
        <f>IF(NFI_Expiration=1,IF($A1066&lt;VLOOKUP(P$5,NFI,5,0),1,0)*Table_NFI[[#This Row],[Plastic Bucket]],Table_NFI[Plastic Bucket])</f>
        <v>0</v>
      </c>
      <c r="AH1066" s="294">
        <f>IF(NFI_Expiration=1,IF($A1066&lt;VLOOKUP(Q$5,NFI,5,0),1,0)*Table_NFI[[#This Row],[Plastic Mat]],Table_NFI[Plastic Mat])*IF(Table_NFI[[#This Row],[Distribution Date]]&gt;"2014-04-01",1,2.5)</f>
        <v>0</v>
      </c>
      <c r="AI1066" s="294">
        <f>IF(NFI_Expiration=1,IF($A1066&lt;VLOOKUP(R$5,NFI,5,0),1,0)*Table_NFI[[#This Row],[Winter Clothes Adult]],Table_NFI[Winter Clothes Adult])</f>
        <v>0</v>
      </c>
      <c r="AJ1066" s="294">
        <f>IF(NFI_Expiration=1,IF($A1066&lt;VLOOKUP(S$5,NFI,5,0),1,0)*Table_NFI[[#This Row],[Winter Clothes Children]],Table_NFI[Winter Clothes Children])</f>
        <v>0</v>
      </c>
      <c r="AK1066" s="294">
        <f>IF(NFI_Expiration=1,IF($A1066&lt;VLOOKUP(T$5,NFI,5,0),1,0)*Table_NFI[[#This Row],[Winter Items Other]],Table_NFI[Winter Items Other])</f>
        <v>0</v>
      </c>
      <c r="AL1066" s="294">
        <f>IF(NFI_Expiration=1,IF($A1066&lt;VLOOKUP(M$5,NFI,5,0),1,0)*Table_NFI[[#This Row],[Winter Blanket]],Table_NFI[[#This Row],[Winter Blanket]])</f>
        <v>0</v>
      </c>
      <c r="AM1066" s="294">
        <f>IF(Table_NFI[[#This Row],[Winter Clothes Adult]]+Table_NFI[[#This Row],[Winter Clothes Children]]+Table_NFI[[#This Row],[Winter Items Other]]+Table_NFI[[#This Row],[Winter Blanket]]&gt;0,1,0)</f>
        <v>0</v>
      </c>
      <c r="AN1066" s="331">
        <f>IF(NFI_Expiration=1,IF($A1066&lt;VLOOKUP(V$5,NFI,5,0),1,0)*Table_NFI[[#This Row],[Jerry Can]],Table_NFI[Jerry Can])</f>
        <v>0</v>
      </c>
      <c r="AO1066" s="331">
        <f>IF(NFI_Expiration=1,IF($A1066&lt;VLOOKUP(V$5,NFI,5,0),1,0)*Table_NFI[[#This Row],[Shelter Tool kit]],Table_NFI[Shelter Tool kit])</f>
        <v>0</v>
      </c>
      <c r="AP1066" s="331">
        <f>IF(NFI_Expiration=1,IF($A1066&lt;VLOOKUP(V$5,NFI,5,0),1,0)*Table_NFI[[#This Row],[Tent]],Table_NFI[Tent])</f>
        <v>0</v>
      </c>
      <c r="AQ1066" s="467" t="str">
        <f>IFERROR(VLOOKUP(Table_NFI[[#This Row],[Camp Name]],CL,2,0),"")</f>
        <v>MMR001CMP041</v>
      </c>
      <c r="AR1066" s="835">
        <f ca="1">IF(Table_NFI[[#This Row],[Pcode]]="","",IF(OFFSET(CampList[Opening Date],MATCH(Table_NFI[[#This Row],[Pcode]],CampList[CP_Pcode],0)-1,0,1,1)&gt;=NFI_Monitor_Date,1,0))</f>
        <v>0</v>
      </c>
      <c r="AS1066" s="467" t="str">
        <f>IFERROR(VLOOKUP(Table_NFI[[#This Row],[Camp Name]],CL,3,0),"")</f>
        <v>Open</v>
      </c>
      <c r="AT1066" s="294" t="str">
        <f ca="1">IF(Table_NFI[[#This Row],[Pcode]]="","",OFFSET(CampList[Priority],MATCH(Table_NFI[[#This Row],[Pcode]],CampList[CP_Pcode],0)-1,0,1,1))</f>
        <v>P1</v>
      </c>
      <c r="AU1066" s="293">
        <f>IFERROR(Table_NFI[[#This Row],[Kitchen Set]]/VLOOKUP(Table_NFI[[#This Row],[Camp Name]],CL,4,0),"")</f>
        <v>6.5609087348217779E-3</v>
      </c>
      <c r="AV1066" s="461" t="s">
        <v>1092</v>
      </c>
      <c r="AW1066" s="463"/>
    </row>
    <row r="1067" spans="1:49" s="472" customFormat="1" ht="15.75" customHeight="1" x14ac:dyDescent="0.25">
      <c r="A1067" s="297">
        <f t="shared" si="16"/>
        <v>60.7</v>
      </c>
      <c r="B1067" s="460">
        <v>40915</v>
      </c>
      <c r="C1067" s="461" t="s">
        <v>452</v>
      </c>
      <c r="D1067" s="461" t="s">
        <v>506</v>
      </c>
      <c r="E1067" s="461" t="s">
        <v>380</v>
      </c>
      <c r="F1067" s="290" t="s">
        <v>237</v>
      </c>
      <c r="G1067" s="290" t="s">
        <v>253</v>
      </c>
      <c r="H1067" s="291"/>
      <c r="I1067" s="291"/>
      <c r="J1067" s="291"/>
      <c r="K1067" s="291">
        <v>32</v>
      </c>
      <c r="L1067" s="292">
        <v>16</v>
      </c>
      <c r="M1067" s="292">
        <v>32</v>
      </c>
      <c r="N1067" s="292">
        <v>16</v>
      </c>
      <c r="O1067" s="292">
        <v>16</v>
      </c>
      <c r="P1067" s="294">
        <v>16</v>
      </c>
      <c r="Q1067" s="294">
        <v>16</v>
      </c>
      <c r="R1067" s="294"/>
      <c r="S1067" s="294"/>
      <c r="T1067" s="294"/>
      <c r="U1067" s="294"/>
      <c r="V1067" s="431"/>
      <c r="W1067" s="331"/>
      <c r="X1067" s="331"/>
      <c r="Y1067" s="294">
        <f>IF(NFI_Expiration=1,IF($A1067&lt;VLOOKUP(H$5,NFI,5,0),1,0)*Table_NFI[[#This Row],[Hygiene Kit]],Table_NFI[Hygiene Kit])</f>
        <v>0</v>
      </c>
      <c r="Z1067" s="294">
        <f>IF(NFI_Expiration=1,IF($A1067&lt;VLOOKUP(I$5,NFI,5,0),1,0)*Table_NFI[[#This Row],[NFI Core Kit]],Table_NFI[NFI Core Kit])</f>
        <v>0</v>
      </c>
      <c r="AA1067" s="294">
        <f>IF(NFI_Expiration=1,IF($A1067&lt;VLOOKUP(J$5,NFI,5,0),1,0)*Table_NFI[[#This Row],[Sanitary Kit]],Table_NFI[Sanitary Kit])</f>
        <v>0</v>
      </c>
      <c r="AB1067" s="294">
        <f>IF(NFI_Expiration=1,IF($A1067&lt;VLOOKUP(K$5,NFI,5,0),1,0)*Table_NFI[[#This Row],[Mosquito net]],Table_NFI[Mosquito net])</f>
        <v>0</v>
      </c>
      <c r="AC1067" s="294">
        <f>IF(NFI_Expiration=1,IF($A1067&lt;VLOOKUP(L$5,NFI,5,0),1,0)*Table_NFI[[#This Row],[Tarpaulin]],Table_NFI[[#This Row],[Tarpaulin]])</f>
        <v>0</v>
      </c>
      <c r="AD1067" s="294">
        <f>IF(NFI_Expiration=1,IF($A1067&lt;VLOOKUP(M$5,NFI,5,0),1,0)*Table_NFI[[#This Row],[Blanket]],Table_NFI[[#This Row],[Blanket]])</f>
        <v>0</v>
      </c>
      <c r="AE1067" s="294">
        <f>IF(NFI_Expiration=1,IF($A1067&lt;VLOOKUP(N$5,NFI,5,0),1,0)*Table_NFI[[#This Row],[Kitchen Set]],Table_NFI[Kitchen Set])</f>
        <v>0</v>
      </c>
      <c r="AF1067" s="294">
        <f>IF(NFI_Expiration=1,IF($A1067&lt;VLOOKUP(O$5,NFI,5,0),1,0)*Table_NFI[[#This Row],[Clothes Kit]],Table_NFI[Clothes Kit])</f>
        <v>0</v>
      </c>
      <c r="AG1067" s="294">
        <f>IF(NFI_Expiration=1,IF($A1067&lt;VLOOKUP(P$5,NFI,5,0),1,0)*Table_NFI[[#This Row],[Plastic Bucket]],Table_NFI[Plastic Bucket])</f>
        <v>0</v>
      </c>
      <c r="AH1067" s="294">
        <f>IF(NFI_Expiration=1,IF($A1067&lt;VLOOKUP(Q$5,NFI,5,0),1,0)*Table_NFI[[#This Row],[Plastic Mat]],Table_NFI[Plastic Mat])*IF(Table_NFI[[#This Row],[Distribution Date]]&gt;"2014-04-01",1,2.5)</f>
        <v>0</v>
      </c>
      <c r="AI1067" s="294">
        <f>IF(NFI_Expiration=1,IF($A1067&lt;VLOOKUP(R$5,NFI,5,0),1,0)*Table_NFI[[#This Row],[Winter Clothes Adult]],Table_NFI[Winter Clothes Adult])</f>
        <v>0</v>
      </c>
      <c r="AJ1067" s="294">
        <f>IF(NFI_Expiration=1,IF($A1067&lt;VLOOKUP(S$5,NFI,5,0),1,0)*Table_NFI[[#This Row],[Winter Clothes Children]],Table_NFI[Winter Clothes Children])</f>
        <v>0</v>
      </c>
      <c r="AK1067" s="294">
        <f>IF(NFI_Expiration=1,IF($A1067&lt;VLOOKUP(T$5,NFI,5,0),1,0)*Table_NFI[[#This Row],[Winter Items Other]],Table_NFI[Winter Items Other])</f>
        <v>0</v>
      </c>
      <c r="AL1067" s="294">
        <f>IF(NFI_Expiration=1,IF($A1067&lt;VLOOKUP(M$5,NFI,5,0),1,0)*Table_NFI[[#This Row],[Winter Blanket]],Table_NFI[[#This Row],[Winter Blanket]])</f>
        <v>0</v>
      </c>
      <c r="AM1067" s="294">
        <f>IF(Table_NFI[[#This Row],[Winter Clothes Adult]]+Table_NFI[[#This Row],[Winter Clothes Children]]+Table_NFI[[#This Row],[Winter Items Other]]+Table_NFI[[#This Row],[Winter Blanket]]&gt;0,1,0)</f>
        <v>0</v>
      </c>
      <c r="AN1067" s="331">
        <f>IF(NFI_Expiration=1,IF($A1067&lt;VLOOKUP(V$5,NFI,5,0),1,0)*Table_NFI[[#This Row],[Jerry Can]],Table_NFI[Jerry Can])</f>
        <v>0</v>
      </c>
      <c r="AO1067" s="331">
        <f>IF(NFI_Expiration=1,IF($A1067&lt;VLOOKUP(V$5,NFI,5,0),1,0)*Table_NFI[[#This Row],[Shelter Tool kit]],Table_NFI[Shelter Tool kit])</f>
        <v>0</v>
      </c>
      <c r="AP1067" s="331">
        <f>IF(NFI_Expiration=1,IF($A1067&lt;VLOOKUP(V$5,NFI,5,0),1,0)*Table_NFI[[#This Row],[Tent]],Table_NFI[Tent])</f>
        <v>0</v>
      </c>
      <c r="AQ1067" s="467" t="str">
        <f>IFERROR(VLOOKUP(Table_NFI[[#This Row],[Camp Name]],CL,2,0),"")</f>
        <v>MMR001CMP018</v>
      </c>
      <c r="AR1067" s="835">
        <f ca="1">IF(Table_NFI[[#This Row],[Pcode]]="","",IF(OFFSET(CampList[Opening Date],MATCH(Table_NFI[[#This Row],[Pcode]],CampList[CP_Pcode],0)-1,0,1,1)&gt;=NFI_Monitor_Date,1,0))</f>
        <v>0</v>
      </c>
      <c r="AS1067" s="467" t="str">
        <f>IFERROR(VLOOKUP(Table_NFI[[#This Row],[Camp Name]],CL,3,0),"")</f>
        <v>Open</v>
      </c>
      <c r="AT1067" s="294" t="str">
        <f ca="1">IF(Table_NFI[[#This Row],[Pcode]]="","",OFFSET(CampList[Priority],MATCH(Table_NFI[[#This Row],[Pcode]],CampList[CP_Pcode],0)-1,0,1,1))</f>
        <v>P4</v>
      </c>
      <c r="AU1067" s="293">
        <f>IFERROR(Table_NFI[[#This Row],[Kitchen Set]]/VLOOKUP(Table_NFI[[#This Row],[Camp Name]],CL,4,0),"")</f>
        <v>3.9287906691221606E-4</v>
      </c>
      <c r="AV1067" s="461" t="s">
        <v>1092</v>
      </c>
      <c r="AW1067" s="463"/>
    </row>
    <row r="1068" spans="1:49" s="472" customFormat="1" ht="15.75" customHeight="1" x14ac:dyDescent="0.25">
      <c r="A1068" s="297">
        <f t="shared" si="16"/>
        <v>60.7</v>
      </c>
      <c r="B1068" s="460">
        <v>40915</v>
      </c>
      <c r="C1068" s="461" t="s">
        <v>452</v>
      </c>
      <c r="D1068" s="461" t="s">
        <v>506</v>
      </c>
      <c r="E1068" s="461" t="s">
        <v>380</v>
      </c>
      <c r="F1068" s="461" t="s">
        <v>310</v>
      </c>
      <c r="G1068" s="290" t="s">
        <v>330</v>
      </c>
      <c r="H1068" s="291"/>
      <c r="I1068" s="291"/>
      <c r="J1068" s="291"/>
      <c r="K1068" s="291">
        <v>50</v>
      </c>
      <c r="L1068" s="292">
        <v>25</v>
      </c>
      <c r="M1068" s="292">
        <v>50</v>
      </c>
      <c r="N1068" s="292">
        <v>25</v>
      </c>
      <c r="O1068" s="292">
        <v>27</v>
      </c>
      <c r="P1068" s="294">
        <v>27</v>
      </c>
      <c r="Q1068" s="294">
        <v>27</v>
      </c>
      <c r="R1068" s="294"/>
      <c r="S1068" s="294"/>
      <c r="T1068" s="294"/>
      <c r="U1068" s="294"/>
      <c r="V1068" s="431"/>
      <c r="W1068" s="331"/>
      <c r="X1068" s="331"/>
      <c r="Y1068" s="294">
        <f>IF(NFI_Expiration=1,IF($A1068&lt;VLOOKUP(H$5,NFI,5,0),1,0)*Table_NFI[[#This Row],[Hygiene Kit]],Table_NFI[Hygiene Kit])</f>
        <v>0</v>
      </c>
      <c r="Z1068" s="294">
        <f>IF(NFI_Expiration=1,IF($A1068&lt;VLOOKUP(I$5,NFI,5,0),1,0)*Table_NFI[[#This Row],[NFI Core Kit]],Table_NFI[NFI Core Kit])</f>
        <v>0</v>
      </c>
      <c r="AA1068" s="294">
        <f>IF(NFI_Expiration=1,IF($A1068&lt;VLOOKUP(J$5,NFI,5,0),1,0)*Table_NFI[[#This Row],[Sanitary Kit]],Table_NFI[Sanitary Kit])</f>
        <v>0</v>
      </c>
      <c r="AB1068" s="294">
        <f>IF(NFI_Expiration=1,IF($A1068&lt;VLOOKUP(K$5,NFI,5,0),1,0)*Table_NFI[[#This Row],[Mosquito net]],Table_NFI[Mosquito net])</f>
        <v>0</v>
      </c>
      <c r="AC1068" s="294">
        <f>IF(NFI_Expiration=1,IF($A1068&lt;VLOOKUP(L$5,NFI,5,0),1,0)*Table_NFI[[#This Row],[Tarpaulin]],Table_NFI[[#This Row],[Tarpaulin]])</f>
        <v>0</v>
      </c>
      <c r="AD1068" s="294">
        <f>IF(NFI_Expiration=1,IF($A1068&lt;VLOOKUP(M$5,NFI,5,0),1,0)*Table_NFI[[#This Row],[Blanket]],Table_NFI[[#This Row],[Blanket]])</f>
        <v>0</v>
      </c>
      <c r="AE1068" s="294">
        <f>IF(NFI_Expiration=1,IF($A1068&lt;VLOOKUP(N$5,NFI,5,0),1,0)*Table_NFI[[#This Row],[Kitchen Set]],Table_NFI[Kitchen Set])</f>
        <v>0</v>
      </c>
      <c r="AF1068" s="294">
        <f>IF(NFI_Expiration=1,IF($A1068&lt;VLOOKUP(O$5,NFI,5,0),1,0)*Table_NFI[[#This Row],[Clothes Kit]],Table_NFI[Clothes Kit])</f>
        <v>0</v>
      </c>
      <c r="AG1068" s="294">
        <f>IF(NFI_Expiration=1,IF($A1068&lt;VLOOKUP(P$5,NFI,5,0),1,0)*Table_NFI[[#This Row],[Plastic Bucket]],Table_NFI[Plastic Bucket])</f>
        <v>0</v>
      </c>
      <c r="AH1068" s="294">
        <f>IF(NFI_Expiration=1,IF($A1068&lt;VLOOKUP(Q$5,NFI,5,0),1,0)*Table_NFI[[#This Row],[Plastic Mat]],Table_NFI[Plastic Mat])*IF(Table_NFI[[#This Row],[Distribution Date]]&gt;"2014-04-01",1,2.5)</f>
        <v>0</v>
      </c>
      <c r="AI1068" s="294">
        <f>IF(NFI_Expiration=1,IF($A1068&lt;VLOOKUP(R$5,NFI,5,0),1,0)*Table_NFI[[#This Row],[Winter Clothes Adult]],Table_NFI[Winter Clothes Adult])</f>
        <v>0</v>
      </c>
      <c r="AJ1068" s="294">
        <f>IF(NFI_Expiration=1,IF($A1068&lt;VLOOKUP(S$5,NFI,5,0),1,0)*Table_NFI[[#This Row],[Winter Clothes Children]],Table_NFI[Winter Clothes Children])</f>
        <v>0</v>
      </c>
      <c r="AK1068" s="294">
        <f>IF(NFI_Expiration=1,IF($A1068&lt;VLOOKUP(T$5,NFI,5,0),1,0)*Table_NFI[[#This Row],[Winter Items Other]],Table_NFI[Winter Items Other])</f>
        <v>0</v>
      </c>
      <c r="AL1068" s="294">
        <f>IF(NFI_Expiration=1,IF($A1068&lt;VLOOKUP(M$5,NFI,5,0),1,0)*Table_NFI[[#This Row],[Winter Blanket]],Table_NFI[[#This Row],[Winter Blanket]])</f>
        <v>0</v>
      </c>
      <c r="AM1068" s="294">
        <f>IF(Table_NFI[[#This Row],[Winter Clothes Adult]]+Table_NFI[[#This Row],[Winter Clothes Children]]+Table_NFI[[#This Row],[Winter Items Other]]+Table_NFI[[#This Row],[Winter Blanket]]&gt;0,1,0)</f>
        <v>0</v>
      </c>
      <c r="AN1068" s="331">
        <f>IF(NFI_Expiration=1,IF($A1068&lt;VLOOKUP(V$5,NFI,5,0),1,0)*Table_NFI[[#This Row],[Jerry Can]],Table_NFI[Jerry Can])</f>
        <v>0</v>
      </c>
      <c r="AO1068" s="331">
        <f>IF(NFI_Expiration=1,IF($A1068&lt;VLOOKUP(V$5,NFI,5,0),1,0)*Table_NFI[[#This Row],[Shelter Tool kit]],Table_NFI[Shelter Tool kit])</f>
        <v>0</v>
      </c>
      <c r="AP1068" s="331">
        <f>IF(NFI_Expiration=1,IF($A1068&lt;VLOOKUP(V$5,NFI,5,0),1,0)*Table_NFI[[#This Row],[Tent]],Table_NFI[Tent])</f>
        <v>0</v>
      </c>
      <c r="AQ1068" s="467" t="str">
        <f>IFERROR(VLOOKUP(Table_NFI[[#This Row],[Camp Name]],CL,2,0),"")</f>
        <v>MMR001CMP029</v>
      </c>
      <c r="AR1068" s="835">
        <f ca="1">IF(Table_NFI[[#This Row],[Pcode]]="","",IF(OFFSET(CampList[Opening Date],MATCH(Table_NFI[[#This Row],[Pcode]],CampList[CP_Pcode],0)-1,0,1,1)&gt;=NFI_Monitor_Date,1,0))</f>
        <v>0</v>
      </c>
      <c r="AS1068" s="467" t="str">
        <f>IFERROR(VLOOKUP(Table_NFI[[#This Row],[Camp Name]],CL,3,0),"")</f>
        <v>Open</v>
      </c>
      <c r="AT1068" s="294" t="str">
        <f ca="1">IF(Table_NFI[[#This Row],[Pcode]]="","",OFFSET(CampList[Priority],MATCH(Table_NFI[[#This Row],[Pcode]],CampList[CP_Pcode],0)-1,0,1,1))</f>
        <v>P4</v>
      </c>
      <c r="AU1068" s="293">
        <f>IFERROR(Table_NFI[[#This Row],[Kitchen Set]]/VLOOKUP(Table_NFI[[#This Row],[Camp Name]],CL,4,0),"")</f>
        <v>6.0348573359725777E-4</v>
      </c>
      <c r="AV1068" s="461" t="s">
        <v>1092</v>
      </c>
      <c r="AW1068" s="463"/>
    </row>
    <row r="1069" spans="1:49" s="472" customFormat="1" ht="15.75" customHeight="1" x14ac:dyDescent="0.25">
      <c r="A1069" s="297">
        <f t="shared" si="16"/>
        <v>60.733333333333334</v>
      </c>
      <c r="B1069" s="460">
        <v>40914</v>
      </c>
      <c r="C1069" s="461" t="s">
        <v>452</v>
      </c>
      <c r="D1069" s="462" t="s">
        <v>506</v>
      </c>
      <c r="E1069" s="461" t="s">
        <v>380</v>
      </c>
      <c r="F1069" s="290" t="s">
        <v>237</v>
      </c>
      <c r="G1069" s="290" t="s">
        <v>255</v>
      </c>
      <c r="H1069" s="291"/>
      <c r="I1069" s="291"/>
      <c r="J1069" s="291"/>
      <c r="K1069" s="291">
        <v>0</v>
      </c>
      <c r="L1069" s="292">
        <v>0</v>
      </c>
      <c r="M1069" s="292">
        <v>0</v>
      </c>
      <c r="N1069" s="292">
        <v>0</v>
      </c>
      <c r="O1069" s="292">
        <v>9</v>
      </c>
      <c r="P1069" s="294">
        <v>9</v>
      </c>
      <c r="Q1069" s="294">
        <v>9</v>
      </c>
      <c r="R1069" s="294"/>
      <c r="S1069" s="294"/>
      <c r="T1069" s="294"/>
      <c r="U1069" s="294"/>
      <c r="V1069" s="431"/>
      <c r="W1069" s="331"/>
      <c r="X1069" s="331"/>
      <c r="Y1069" s="294">
        <f>IF(NFI_Expiration=1,IF($A1069&lt;VLOOKUP(H$5,NFI,5,0),1,0)*Table_NFI[[#This Row],[Hygiene Kit]],Table_NFI[Hygiene Kit])</f>
        <v>0</v>
      </c>
      <c r="Z1069" s="294">
        <f>IF(NFI_Expiration=1,IF($A1069&lt;VLOOKUP(I$5,NFI,5,0),1,0)*Table_NFI[[#This Row],[NFI Core Kit]],Table_NFI[NFI Core Kit])</f>
        <v>0</v>
      </c>
      <c r="AA1069" s="294">
        <f>IF(NFI_Expiration=1,IF($A1069&lt;VLOOKUP(J$5,NFI,5,0),1,0)*Table_NFI[[#This Row],[Sanitary Kit]],Table_NFI[Sanitary Kit])</f>
        <v>0</v>
      </c>
      <c r="AB1069" s="294">
        <f>IF(NFI_Expiration=1,IF($A1069&lt;VLOOKUP(K$5,NFI,5,0),1,0)*Table_NFI[[#This Row],[Mosquito net]],Table_NFI[Mosquito net])</f>
        <v>0</v>
      </c>
      <c r="AC1069" s="294">
        <f>IF(NFI_Expiration=1,IF($A1069&lt;VLOOKUP(L$5,NFI,5,0),1,0)*Table_NFI[[#This Row],[Tarpaulin]],Table_NFI[[#This Row],[Tarpaulin]])</f>
        <v>0</v>
      </c>
      <c r="AD1069" s="294">
        <f>IF(NFI_Expiration=1,IF($A1069&lt;VLOOKUP(M$5,NFI,5,0),1,0)*Table_NFI[[#This Row],[Blanket]],Table_NFI[[#This Row],[Blanket]])</f>
        <v>0</v>
      </c>
      <c r="AE1069" s="294">
        <f>IF(NFI_Expiration=1,IF($A1069&lt;VLOOKUP(N$5,NFI,5,0),1,0)*Table_NFI[[#This Row],[Kitchen Set]],Table_NFI[Kitchen Set])</f>
        <v>0</v>
      </c>
      <c r="AF1069" s="294">
        <f>IF(NFI_Expiration=1,IF($A1069&lt;VLOOKUP(O$5,NFI,5,0),1,0)*Table_NFI[[#This Row],[Clothes Kit]],Table_NFI[Clothes Kit])</f>
        <v>0</v>
      </c>
      <c r="AG1069" s="294">
        <f>IF(NFI_Expiration=1,IF($A1069&lt;VLOOKUP(P$5,NFI,5,0),1,0)*Table_NFI[[#This Row],[Plastic Bucket]],Table_NFI[Plastic Bucket])</f>
        <v>0</v>
      </c>
      <c r="AH1069" s="294">
        <f>IF(NFI_Expiration=1,IF($A1069&lt;VLOOKUP(Q$5,NFI,5,0),1,0)*Table_NFI[[#This Row],[Plastic Mat]],Table_NFI[Plastic Mat])*IF(Table_NFI[[#This Row],[Distribution Date]]&gt;"2014-04-01",1,2.5)</f>
        <v>0</v>
      </c>
      <c r="AI1069" s="294">
        <f>IF(NFI_Expiration=1,IF($A1069&lt;VLOOKUP(R$5,NFI,5,0),1,0)*Table_NFI[[#This Row],[Winter Clothes Adult]],Table_NFI[Winter Clothes Adult])</f>
        <v>0</v>
      </c>
      <c r="AJ1069" s="294">
        <f>IF(NFI_Expiration=1,IF($A1069&lt;VLOOKUP(S$5,NFI,5,0),1,0)*Table_NFI[[#This Row],[Winter Clothes Children]],Table_NFI[Winter Clothes Children])</f>
        <v>0</v>
      </c>
      <c r="AK1069" s="294">
        <f>IF(NFI_Expiration=1,IF($A1069&lt;VLOOKUP(T$5,NFI,5,0),1,0)*Table_NFI[[#This Row],[Winter Items Other]],Table_NFI[Winter Items Other])</f>
        <v>0</v>
      </c>
      <c r="AL1069" s="294">
        <f>IF(NFI_Expiration=1,IF($A1069&lt;VLOOKUP(M$5,NFI,5,0),1,0)*Table_NFI[[#This Row],[Winter Blanket]],Table_NFI[[#This Row],[Winter Blanket]])</f>
        <v>0</v>
      </c>
      <c r="AM1069" s="294">
        <f>IF(Table_NFI[[#This Row],[Winter Clothes Adult]]+Table_NFI[[#This Row],[Winter Clothes Children]]+Table_NFI[[#This Row],[Winter Items Other]]+Table_NFI[[#This Row],[Winter Blanket]]&gt;0,1,0)</f>
        <v>0</v>
      </c>
      <c r="AN1069" s="331">
        <f>IF(NFI_Expiration=1,IF($A1069&lt;VLOOKUP(V$5,NFI,5,0),1,0)*Table_NFI[[#This Row],[Jerry Can]],Table_NFI[Jerry Can])</f>
        <v>0</v>
      </c>
      <c r="AO1069" s="331">
        <f>IF(NFI_Expiration=1,IF($A1069&lt;VLOOKUP(V$5,NFI,5,0),1,0)*Table_NFI[[#This Row],[Shelter Tool kit]],Table_NFI[Shelter Tool kit])</f>
        <v>0</v>
      </c>
      <c r="AP1069" s="331">
        <f>IF(NFI_Expiration=1,IF($A1069&lt;VLOOKUP(V$5,NFI,5,0),1,0)*Table_NFI[[#This Row],[Tent]],Table_NFI[Tent])</f>
        <v>0</v>
      </c>
      <c r="AQ1069" s="467" t="str">
        <f>IFERROR(VLOOKUP(Table_NFI[[#This Row],[Camp Name]],CL,2,0),"")</f>
        <v>MMR001CMP019</v>
      </c>
      <c r="AR1069" s="835">
        <f ca="1">IF(Table_NFI[[#This Row],[Pcode]]="","",IF(OFFSET(CampList[Opening Date],MATCH(Table_NFI[[#This Row],[Pcode]],CampList[CP_Pcode],0)-1,0,1,1)&gt;=NFI_Monitor_Date,1,0))</f>
        <v>0</v>
      </c>
      <c r="AS1069" s="467" t="str">
        <f>IFERROR(VLOOKUP(Table_NFI[[#This Row],[Camp Name]],CL,3,0),"")</f>
        <v>Open</v>
      </c>
      <c r="AT1069" s="294" t="str">
        <f ca="1">IF(Table_NFI[[#This Row],[Pcode]]="","",OFFSET(CampList[Priority],MATCH(Table_NFI[[#This Row],[Pcode]],CampList[CP_Pcode],0)-1,0,1,1))</f>
        <v>P4</v>
      </c>
      <c r="AU1069" s="293">
        <f>IFERROR(Table_NFI[[#This Row],[Kitchen Set]]/VLOOKUP(Table_NFI[[#This Row],[Camp Name]],CL,4,0),"")</f>
        <v>0</v>
      </c>
      <c r="AV1069" s="461" t="s">
        <v>1092</v>
      </c>
      <c r="AW1069" s="463"/>
    </row>
    <row r="1070" spans="1:49" s="472" customFormat="1" ht="15.75" customHeight="1" x14ac:dyDescent="0.25">
      <c r="A1070" s="297">
        <f t="shared" si="16"/>
        <v>60.733333333333334</v>
      </c>
      <c r="B1070" s="460">
        <v>40914</v>
      </c>
      <c r="C1070" s="461" t="s">
        <v>452</v>
      </c>
      <c r="D1070" s="462" t="s">
        <v>452</v>
      </c>
      <c r="E1070" s="461" t="s">
        <v>380</v>
      </c>
      <c r="F1070" s="290" t="s">
        <v>310</v>
      </c>
      <c r="G1070" s="290" t="s">
        <v>349</v>
      </c>
      <c r="H1070" s="291"/>
      <c r="I1070" s="291"/>
      <c r="J1070" s="291"/>
      <c r="K1070" s="291">
        <v>29</v>
      </c>
      <c r="L1070" s="292">
        <v>0</v>
      </c>
      <c r="M1070" s="292">
        <v>29</v>
      </c>
      <c r="N1070" s="292">
        <v>15</v>
      </c>
      <c r="O1070" s="292">
        <v>15</v>
      </c>
      <c r="P1070" s="294">
        <v>15</v>
      </c>
      <c r="Q1070" s="294">
        <v>15</v>
      </c>
      <c r="R1070" s="294"/>
      <c r="S1070" s="294"/>
      <c r="T1070" s="294"/>
      <c r="U1070" s="294"/>
      <c r="V1070" s="431"/>
      <c r="W1070" s="331"/>
      <c r="X1070" s="331"/>
      <c r="Y1070" s="294">
        <f>IF(NFI_Expiration=1,IF($A1070&lt;VLOOKUP(H$5,NFI,5,0),1,0)*Table_NFI[[#This Row],[Hygiene Kit]],Table_NFI[Hygiene Kit])</f>
        <v>0</v>
      </c>
      <c r="Z1070" s="294">
        <f>IF(NFI_Expiration=1,IF($A1070&lt;VLOOKUP(I$5,NFI,5,0),1,0)*Table_NFI[[#This Row],[NFI Core Kit]],Table_NFI[NFI Core Kit])</f>
        <v>0</v>
      </c>
      <c r="AA1070" s="294">
        <f>IF(NFI_Expiration=1,IF($A1070&lt;VLOOKUP(J$5,NFI,5,0),1,0)*Table_NFI[[#This Row],[Sanitary Kit]],Table_NFI[Sanitary Kit])</f>
        <v>0</v>
      </c>
      <c r="AB1070" s="294">
        <f>IF(NFI_Expiration=1,IF($A1070&lt;VLOOKUP(K$5,NFI,5,0),1,0)*Table_NFI[[#This Row],[Mosquito net]],Table_NFI[Mosquito net])</f>
        <v>0</v>
      </c>
      <c r="AC1070" s="294">
        <f>IF(NFI_Expiration=1,IF($A1070&lt;VLOOKUP(L$5,NFI,5,0),1,0)*Table_NFI[[#This Row],[Tarpaulin]],Table_NFI[[#This Row],[Tarpaulin]])</f>
        <v>0</v>
      </c>
      <c r="AD1070" s="294">
        <f>IF(NFI_Expiration=1,IF($A1070&lt;VLOOKUP(M$5,NFI,5,0),1,0)*Table_NFI[[#This Row],[Blanket]],Table_NFI[[#This Row],[Blanket]])</f>
        <v>0</v>
      </c>
      <c r="AE1070" s="294">
        <f>IF(NFI_Expiration=1,IF($A1070&lt;VLOOKUP(N$5,NFI,5,0),1,0)*Table_NFI[[#This Row],[Kitchen Set]],Table_NFI[Kitchen Set])</f>
        <v>0</v>
      </c>
      <c r="AF1070" s="294">
        <f>IF(NFI_Expiration=1,IF($A1070&lt;VLOOKUP(O$5,NFI,5,0),1,0)*Table_NFI[[#This Row],[Clothes Kit]],Table_NFI[Clothes Kit])</f>
        <v>0</v>
      </c>
      <c r="AG1070" s="294">
        <f>IF(NFI_Expiration=1,IF($A1070&lt;VLOOKUP(P$5,NFI,5,0),1,0)*Table_NFI[[#This Row],[Plastic Bucket]],Table_NFI[Plastic Bucket])</f>
        <v>0</v>
      </c>
      <c r="AH1070" s="294">
        <f>IF(NFI_Expiration=1,IF($A1070&lt;VLOOKUP(Q$5,NFI,5,0),1,0)*Table_NFI[[#This Row],[Plastic Mat]],Table_NFI[Plastic Mat])*IF(Table_NFI[[#This Row],[Distribution Date]]&gt;"2014-04-01",1,2.5)</f>
        <v>0</v>
      </c>
      <c r="AI1070" s="294">
        <f>IF(NFI_Expiration=1,IF($A1070&lt;VLOOKUP(R$5,NFI,5,0),1,0)*Table_NFI[[#This Row],[Winter Clothes Adult]],Table_NFI[Winter Clothes Adult])</f>
        <v>0</v>
      </c>
      <c r="AJ1070" s="294">
        <f>IF(NFI_Expiration=1,IF($A1070&lt;VLOOKUP(S$5,NFI,5,0),1,0)*Table_NFI[[#This Row],[Winter Clothes Children]],Table_NFI[Winter Clothes Children])</f>
        <v>0</v>
      </c>
      <c r="AK1070" s="294">
        <f>IF(NFI_Expiration=1,IF($A1070&lt;VLOOKUP(T$5,NFI,5,0),1,0)*Table_NFI[[#This Row],[Winter Items Other]],Table_NFI[Winter Items Other])</f>
        <v>0</v>
      </c>
      <c r="AL1070" s="294">
        <f>IF(NFI_Expiration=1,IF($A1070&lt;VLOOKUP(M$5,NFI,5,0),1,0)*Table_NFI[[#This Row],[Winter Blanket]],Table_NFI[[#This Row],[Winter Blanket]])</f>
        <v>0</v>
      </c>
      <c r="AM1070" s="294">
        <f>IF(Table_NFI[[#This Row],[Winter Clothes Adult]]+Table_NFI[[#This Row],[Winter Clothes Children]]+Table_NFI[[#This Row],[Winter Items Other]]+Table_NFI[[#This Row],[Winter Blanket]]&gt;0,1,0)</f>
        <v>0</v>
      </c>
      <c r="AN1070" s="331">
        <f>IF(NFI_Expiration=1,IF($A1070&lt;VLOOKUP(V$5,NFI,5,0),1,0)*Table_NFI[[#This Row],[Jerry Can]],Table_NFI[Jerry Can])</f>
        <v>0</v>
      </c>
      <c r="AO1070" s="331">
        <f>IF(NFI_Expiration=1,IF($A1070&lt;VLOOKUP(V$5,NFI,5,0),1,0)*Table_NFI[[#This Row],[Shelter Tool kit]],Table_NFI[Shelter Tool kit])</f>
        <v>0</v>
      </c>
      <c r="AP1070" s="331">
        <f>IF(NFI_Expiration=1,IF($A1070&lt;VLOOKUP(V$5,NFI,5,0),1,0)*Table_NFI[[#This Row],[Tent]],Table_NFI[Tent])</f>
        <v>0</v>
      </c>
      <c r="AQ1070" s="467" t="str">
        <f>IFERROR(VLOOKUP(Table_NFI[[#This Row],[Camp Name]],CL,2,0),"")</f>
        <v>MMR001CMP037</v>
      </c>
      <c r="AR1070" s="835">
        <f ca="1">IF(Table_NFI[[#This Row],[Pcode]]="","",IF(OFFSET(CampList[Opening Date],MATCH(Table_NFI[[#This Row],[Pcode]],CampList[CP_Pcode],0)-1,0,1,1)&gt;=NFI_Monitor_Date,1,0))</f>
        <v>0</v>
      </c>
      <c r="AS1070" s="467" t="str">
        <f>IFERROR(VLOOKUP(Table_NFI[[#This Row],[Camp Name]],CL,3,0),"")</f>
        <v>Open</v>
      </c>
      <c r="AT1070" s="294" t="str">
        <f ca="1">IF(Table_NFI[[#This Row],[Pcode]]="","",OFFSET(CampList[Priority],MATCH(Table_NFI[[#This Row],[Pcode]],CampList[CP_Pcode],0)-1,0,1,1))</f>
        <v>P4</v>
      </c>
      <c r="AU1070" s="293">
        <f>IFERROR(Table_NFI[[#This Row],[Kitchen Set]]/VLOOKUP(Table_NFI[[#This Row],[Camp Name]],CL,4,0),"")</f>
        <v>3.6721504112808461E-4</v>
      </c>
      <c r="AV1070" s="461" t="s">
        <v>1092</v>
      </c>
      <c r="AW1070" s="463"/>
    </row>
    <row r="1071" spans="1:49" s="472" customFormat="1" ht="15" customHeight="1" x14ac:dyDescent="0.25">
      <c r="A1071" s="297">
        <f t="shared" si="16"/>
        <v>60.733333333333334</v>
      </c>
      <c r="B1071" s="460">
        <v>40914</v>
      </c>
      <c r="C1071" s="461" t="s">
        <v>452</v>
      </c>
      <c r="D1071" s="462" t="s">
        <v>452</v>
      </c>
      <c r="E1071" s="461" t="s">
        <v>380</v>
      </c>
      <c r="F1071" s="290" t="s">
        <v>310</v>
      </c>
      <c r="G1071" s="290" t="s">
        <v>349</v>
      </c>
      <c r="H1071" s="291"/>
      <c r="I1071" s="291"/>
      <c r="J1071" s="291"/>
      <c r="K1071" s="291">
        <v>59</v>
      </c>
      <c r="L1071" s="292">
        <v>30</v>
      </c>
      <c r="M1071" s="292">
        <v>59</v>
      </c>
      <c r="N1071" s="292">
        <v>30</v>
      </c>
      <c r="O1071" s="292">
        <v>30</v>
      </c>
      <c r="P1071" s="294">
        <v>30</v>
      </c>
      <c r="Q1071" s="294">
        <v>30</v>
      </c>
      <c r="R1071" s="294"/>
      <c r="S1071" s="294"/>
      <c r="T1071" s="294"/>
      <c r="U1071" s="294"/>
      <c r="V1071" s="431"/>
      <c r="W1071" s="331"/>
      <c r="X1071" s="331"/>
      <c r="Y1071" s="294">
        <f>IF(NFI_Expiration=1,IF($A1071&lt;VLOOKUP(H$5,NFI,5,0),1,0)*Table_NFI[[#This Row],[Hygiene Kit]],Table_NFI[Hygiene Kit])</f>
        <v>0</v>
      </c>
      <c r="Z1071" s="294">
        <f>IF(NFI_Expiration=1,IF($A1071&lt;VLOOKUP(I$5,NFI,5,0),1,0)*Table_NFI[[#This Row],[NFI Core Kit]],Table_NFI[NFI Core Kit])</f>
        <v>0</v>
      </c>
      <c r="AA1071" s="294">
        <f>IF(NFI_Expiration=1,IF($A1071&lt;VLOOKUP(J$5,NFI,5,0),1,0)*Table_NFI[[#This Row],[Sanitary Kit]],Table_NFI[Sanitary Kit])</f>
        <v>0</v>
      </c>
      <c r="AB1071" s="294">
        <f>IF(NFI_Expiration=1,IF($A1071&lt;VLOOKUP(K$5,NFI,5,0),1,0)*Table_NFI[[#This Row],[Mosquito net]],Table_NFI[Mosquito net])</f>
        <v>0</v>
      </c>
      <c r="AC1071" s="294">
        <f>IF(NFI_Expiration=1,IF($A1071&lt;VLOOKUP(L$5,NFI,5,0),1,0)*Table_NFI[[#This Row],[Tarpaulin]],Table_NFI[[#This Row],[Tarpaulin]])</f>
        <v>0</v>
      </c>
      <c r="AD1071" s="294">
        <f>IF(NFI_Expiration=1,IF($A1071&lt;VLOOKUP(M$5,NFI,5,0),1,0)*Table_NFI[[#This Row],[Blanket]],Table_NFI[[#This Row],[Blanket]])</f>
        <v>0</v>
      </c>
      <c r="AE1071" s="294">
        <f>IF(NFI_Expiration=1,IF($A1071&lt;VLOOKUP(N$5,NFI,5,0),1,0)*Table_NFI[[#This Row],[Kitchen Set]],Table_NFI[Kitchen Set])</f>
        <v>0</v>
      </c>
      <c r="AF1071" s="294">
        <f>IF(NFI_Expiration=1,IF($A1071&lt;VLOOKUP(O$5,NFI,5,0),1,0)*Table_NFI[[#This Row],[Clothes Kit]],Table_NFI[Clothes Kit])</f>
        <v>0</v>
      </c>
      <c r="AG1071" s="294">
        <f>IF(NFI_Expiration=1,IF($A1071&lt;VLOOKUP(P$5,NFI,5,0),1,0)*Table_NFI[[#This Row],[Plastic Bucket]],Table_NFI[Plastic Bucket])</f>
        <v>0</v>
      </c>
      <c r="AH1071" s="294">
        <f>IF(NFI_Expiration=1,IF($A1071&lt;VLOOKUP(Q$5,NFI,5,0),1,0)*Table_NFI[[#This Row],[Plastic Mat]],Table_NFI[Plastic Mat])*IF(Table_NFI[[#This Row],[Distribution Date]]&gt;"2014-04-01",1,2.5)</f>
        <v>0</v>
      </c>
      <c r="AI1071" s="294">
        <f>IF(NFI_Expiration=1,IF($A1071&lt;VLOOKUP(R$5,NFI,5,0),1,0)*Table_NFI[[#This Row],[Winter Clothes Adult]],Table_NFI[Winter Clothes Adult])</f>
        <v>0</v>
      </c>
      <c r="AJ1071" s="294">
        <f>IF(NFI_Expiration=1,IF($A1071&lt;VLOOKUP(S$5,NFI,5,0),1,0)*Table_NFI[[#This Row],[Winter Clothes Children]],Table_NFI[Winter Clothes Children])</f>
        <v>0</v>
      </c>
      <c r="AK1071" s="294">
        <f>IF(NFI_Expiration=1,IF($A1071&lt;VLOOKUP(T$5,NFI,5,0),1,0)*Table_NFI[[#This Row],[Winter Items Other]],Table_NFI[Winter Items Other])</f>
        <v>0</v>
      </c>
      <c r="AL1071" s="294">
        <f>IF(NFI_Expiration=1,IF($A1071&lt;VLOOKUP(M$5,NFI,5,0),1,0)*Table_NFI[[#This Row],[Winter Blanket]],Table_NFI[[#This Row],[Winter Blanket]])</f>
        <v>0</v>
      </c>
      <c r="AM1071" s="294">
        <f>IF(Table_NFI[[#This Row],[Winter Clothes Adult]]+Table_NFI[[#This Row],[Winter Clothes Children]]+Table_NFI[[#This Row],[Winter Items Other]]+Table_NFI[[#This Row],[Winter Blanket]]&gt;0,1,0)</f>
        <v>0</v>
      </c>
      <c r="AN1071" s="331">
        <f>IF(NFI_Expiration=1,IF($A1071&lt;VLOOKUP(V$5,NFI,5,0),1,0)*Table_NFI[[#This Row],[Jerry Can]],Table_NFI[Jerry Can])</f>
        <v>0</v>
      </c>
      <c r="AO1071" s="331">
        <f>IF(NFI_Expiration=1,IF($A1071&lt;VLOOKUP(V$5,NFI,5,0),1,0)*Table_NFI[[#This Row],[Shelter Tool kit]],Table_NFI[Shelter Tool kit])</f>
        <v>0</v>
      </c>
      <c r="AP1071" s="331">
        <f>IF(NFI_Expiration=1,IF($A1071&lt;VLOOKUP(V$5,NFI,5,0),1,0)*Table_NFI[[#This Row],[Tent]],Table_NFI[Tent])</f>
        <v>0</v>
      </c>
      <c r="AQ1071" s="467" t="str">
        <f>IFERROR(VLOOKUP(Table_NFI[[#This Row],[Camp Name]],CL,2,0),"")</f>
        <v>MMR001CMP037</v>
      </c>
      <c r="AR1071" s="835">
        <f ca="1">IF(Table_NFI[[#This Row],[Pcode]]="","",IF(OFFSET(CampList[Opening Date],MATCH(Table_NFI[[#This Row],[Pcode]],CampList[CP_Pcode],0)-1,0,1,1)&gt;=NFI_Monitor_Date,1,0))</f>
        <v>0</v>
      </c>
      <c r="AS1071" s="467" t="str">
        <f>IFERROR(VLOOKUP(Table_NFI[[#This Row],[Camp Name]],CL,3,0),"")</f>
        <v>Open</v>
      </c>
      <c r="AT1071" s="294" t="str">
        <f ca="1">IF(Table_NFI[[#This Row],[Pcode]]="","",OFFSET(CampList[Priority],MATCH(Table_NFI[[#This Row],[Pcode]],CampList[CP_Pcode],0)-1,0,1,1))</f>
        <v>P4</v>
      </c>
      <c r="AU1071" s="293">
        <f>IFERROR(Table_NFI[[#This Row],[Kitchen Set]]/VLOOKUP(Table_NFI[[#This Row],[Camp Name]],CL,4,0),"")</f>
        <v>7.3443008225616922E-4</v>
      </c>
      <c r="AV1071" s="461" t="s">
        <v>1092</v>
      </c>
      <c r="AW1071" s="463"/>
    </row>
    <row r="1072" spans="1:49" s="472" customFormat="1" ht="15.75" customHeight="1" x14ac:dyDescent="0.25">
      <c r="A1072" s="297">
        <f t="shared" si="16"/>
        <v>60.733333333333334</v>
      </c>
      <c r="B1072" s="460">
        <v>40914</v>
      </c>
      <c r="C1072" s="461" t="s">
        <v>452</v>
      </c>
      <c r="D1072" s="462" t="s">
        <v>452</v>
      </c>
      <c r="E1072" s="461" t="s">
        <v>380</v>
      </c>
      <c r="F1072" s="290" t="s">
        <v>310</v>
      </c>
      <c r="G1072" s="290" t="s">
        <v>316</v>
      </c>
      <c r="H1072" s="291"/>
      <c r="I1072" s="291"/>
      <c r="J1072" s="291"/>
      <c r="K1072" s="291">
        <v>29</v>
      </c>
      <c r="L1072" s="292">
        <v>14</v>
      </c>
      <c r="M1072" s="292">
        <v>29</v>
      </c>
      <c r="N1072" s="292">
        <v>14</v>
      </c>
      <c r="O1072" s="292">
        <v>14</v>
      </c>
      <c r="P1072" s="294">
        <v>14</v>
      </c>
      <c r="Q1072" s="294">
        <v>14</v>
      </c>
      <c r="R1072" s="294"/>
      <c r="S1072" s="294"/>
      <c r="T1072" s="294"/>
      <c r="U1072" s="294"/>
      <c r="V1072" s="431"/>
      <c r="W1072" s="331"/>
      <c r="X1072" s="331"/>
      <c r="Y1072" s="294">
        <f>IF(NFI_Expiration=1,IF($A1072&lt;VLOOKUP(H$5,NFI,5,0),1,0)*Table_NFI[[#This Row],[Hygiene Kit]],Table_NFI[Hygiene Kit])</f>
        <v>0</v>
      </c>
      <c r="Z1072" s="294">
        <f>IF(NFI_Expiration=1,IF($A1072&lt;VLOOKUP(I$5,NFI,5,0),1,0)*Table_NFI[[#This Row],[NFI Core Kit]],Table_NFI[NFI Core Kit])</f>
        <v>0</v>
      </c>
      <c r="AA1072" s="294">
        <f>IF(NFI_Expiration=1,IF($A1072&lt;VLOOKUP(J$5,NFI,5,0),1,0)*Table_NFI[[#This Row],[Sanitary Kit]],Table_NFI[Sanitary Kit])</f>
        <v>0</v>
      </c>
      <c r="AB1072" s="294">
        <f>IF(NFI_Expiration=1,IF($A1072&lt;VLOOKUP(K$5,NFI,5,0),1,0)*Table_NFI[[#This Row],[Mosquito net]],Table_NFI[Mosquito net])</f>
        <v>0</v>
      </c>
      <c r="AC1072" s="294">
        <f>IF(NFI_Expiration=1,IF($A1072&lt;VLOOKUP(L$5,NFI,5,0),1,0)*Table_NFI[[#This Row],[Tarpaulin]],Table_NFI[[#This Row],[Tarpaulin]])</f>
        <v>0</v>
      </c>
      <c r="AD1072" s="294">
        <f>IF(NFI_Expiration=1,IF($A1072&lt;VLOOKUP(M$5,NFI,5,0),1,0)*Table_NFI[[#This Row],[Blanket]],Table_NFI[[#This Row],[Blanket]])</f>
        <v>0</v>
      </c>
      <c r="AE1072" s="294">
        <f>IF(NFI_Expiration=1,IF($A1072&lt;VLOOKUP(N$5,NFI,5,0),1,0)*Table_NFI[[#This Row],[Kitchen Set]],Table_NFI[Kitchen Set])</f>
        <v>0</v>
      </c>
      <c r="AF1072" s="294">
        <f>IF(NFI_Expiration=1,IF($A1072&lt;VLOOKUP(O$5,NFI,5,0),1,0)*Table_NFI[[#This Row],[Clothes Kit]],Table_NFI[Clothes Kit])</f>
        <v>0</v>
      </c>
      <c r="AG1072" s="294">
        <f>IF(NFI_Expiration=1,IF($A1072&lt;VLOOKUP(P$5,NFI,5,0),1,0)*Table_NFI[[#This Row],[Plastic Bucket]],Table_NFI[Plastic Bucket])</f>
        <v>0</v>
      </c>
      <c r="AH1072" s="294">
        <f>IF(NFI_Expiration=1,IF($A1072&lt;VLOOKUP(Q$5,NFI,5,0),1,0)*Table_NFI[[#This Row],[Plastic Mat]],Table_NFI[Plastic Mat])*IF(Table_NFI[[#This Row],[Distribution Date]]&gt;"2014-04-01",1,2.5)</f>
        <v>0</v>
      </c>
      <c r="AI1072" s="294">
        <f>IF(NFI_Expiration=1,IF($A1072&lt;VLOOKUP(R$5,NFI,5,0),1,0)*Table_NFI[[#This Row],[Winter Clothes Adult]],Table_NFI[Winter Clothes Adult])</f>
        <v>0</v>
      </c>
      <c r="AJ1072" s="294">
        <f>IF(NFI_Expiration=1,IF($A1072&lt;VLOOKUP(S$5,NFI,5,0),1,0)*Table_NFI[[#This Row],[Winter Clothes Children]],Table_NFI[Winter Clothes Children])</f>
        <v>0</v>
      </c>
      <c r="AK1072" s="294">
        <f>IF(NFI_Expiration=1,IF($A1072&lt;VLOOKUP(T$5,NFI,5,0),1,0)*Table_NFI[[#This Row],[Winter Items Other]],Table_NFI[Winter Items Other])</f>
        <v>0</v>
      </c>
      <c r="AL1072" s="294">
        <f>IF(NFI_Expiration=1,IF($A1072&lt;VLOOKUP(M$5,NFI,5,0),1,0)*Table_NFI[[#This Row],[Winter Blanket]],Table_NFI[[#This Row],[Winter Blanket]])</f>
        <v>0</v>
      </c>
      <c r="AM1072" s="294">
        <f>IF(Table_NFI[[#This Row],[Winter Clothes Adult]]+Table_NFI[[#This Row],[Winter Clothes Children]]+Table_NFI[[#This Row],[Winter Items Other]]+Table_NFI[[#This Row],[Winter Blanket]]&gt;0,1,0)</f>
        <v>0</v>
      </c>
      <c r="AN1072" s="331">
        <f>IF(NFI_Expiration=1,IF($A1072&lt;VLOOKUP(V$5,NFI,5,0),1,0)*Table_NFI[[#This Row],[Jerry Can]],Table_NFI[Jerry Can])</f>
        <v>0</v>
      </c>
      <c r="AO1072" s="331">
        <f>IF(NFI_Expiration=1,IF($A1072&lt;VLOOKUP(V$5,NFI,5,0),1,0)*Table_NFI[[#This Row],[Shelter Tool kit]],Table_NFI[Shelter Tool kit])</f>
        <v>0</v>
      </c>
      <c r="AP1072" s="331">
        <f>IF(NFI_Expiration=1,IF($A1072&lt;VLOOKUP(V$5,NFI,5,0),1,0)*Table_NFI[[#This Row],[Tent]],Table_NFI[Tent])</f>
        <v>0</v>
      </c>
      <c r="AQ1072" s="467" t="str">
        <f>IFERROR(VLOOKUP(Table_NFI[[#This Row],[Camp Name]],CL,2,0),"")</f>
        <v>MMR001CMP038</v>
      </c>
      <c r="AR1072" s="835">
        <f ca="1">IF(Table_NFI[[#This Row],[Pcode]]="","",IF(OFFSET(CampList[Opening Date],MATCH(Table_NFI[[#This Row],[Pcode]],CampList[CP_Pcode],0)-1,0,1,1)&gt;=NFI_Monitor_Date,1,0))</f>
        <v>0</v>
      </c>
      <c r="AS1072" s="467" t="str">
        <f>IFERROR(VLOOKUP(Table_NFI[[#This Row],[Camp Name]],CL,3,0),"")</f>
        <v>Open</v>
      </c>
      <c r="AT1072" s="294" t="str">
        <f ca="1">IF(Table_NFI[[#This Row],[Pcode]]="","",OFFSET(CampList[Priority],MATCH(Table_NFI[[#This Row],[Pcode]],CampList[CP_Pcode],0)-1,0,1,1))</f>
        <v>P4</v>
      </c>
      <c r="AU1072" s="293">
        <f>IFERROR(Table_NFI[[#This Row],[Kitchen Set]]/VLOOKUP(Table_NFI[[#This Row],[Camp Name]],CL,4,0),"")</f>
        <v>3.4273403838621232E-4</v>
      </c>
      <c r="AV1072" s="461" t="s">
        <v>1092</v>
      </c>
      <c r="AW1072" s="463"/>
    </row>
    <row r="1073" spans="1:49" s="472" customFormat="1" ht="15.75" customHeight="1" x14ac:dyDescent="0.25">
      <c r="A1073" s="297">
        <f t="shared" si="16"/>
        <v>60.766666666666666</v>
      </c>
      <c r="B1073" s="460">
        <v>40913</v>
      </c>
      <c r="C1073" s="461" t="s">
        <v>452</v>
      </c>
      <c r="D1073" s="462" t="s">
        <v>460</v>
      </c>
      <c r="E1073" s="461" t="s">
        <v>380</v>
      </c>
      <c r="F1073" s="290" t="s">
        <v>310</v>
      </c>
      <c r="G1073" s="290" t="s">
        <v>326</v>
      </c>
      <c r="H1073" s="291"/>
      <c r="I1073" s="291"/>
      <c r="J1073" s="291"/>
      <c r="K1073" s="291">
        <v>52</v>
      </c>
      <c r="L1073" s="292">
        <v>29</v>
      </c>
      <c r="M1073" s="292">
        <v>52</v>
      </c>
      <c r="N1073" s="292">
        <v>29</v>
      </c>
      <c r="O1073" s="292">
        <v>29</v>
      </c>
      <c r="P1073" s="294">
        <v>29</v>
      </c>
      <c r="Q1073" s="294">
        <v>29</v>
      </c>
      <c r="R1073" s="294"/>
      <c r="S1073" s="294"/>
      <c r="T1073" s="294"/>
      <c r="U1073" s="294"/>
      <c r="V1073" s="431"/>
      <c r="W1073" s="331"/>
      <c r="X1073" s="331"/>
      <c r="Y1073" s="294">
        <f>IF(NFI_Expiration=1,IF($A1073&lt;VLOOKUP(H$5,NFI,5,0),1,0)*Table_NFI[[#This Row],[Hygiene Kit]],Table_NFI[Hygiene Kit])</f>
        <v>0</v>
      </c>
      <c r="Z1073" s="294">
        <f>IF(NFI_Expiration=1,IF($A1073&lt;VLOOKUP(I$5,NFI,5,0),1,0)*Table_NFI[[#This Row],[NFI Core Kit]],Table_NFI[NFI Core Kit])</f>
        <v>0</v>
      </c>
      <c r="AA1073" s="294">
        <f>IF(NFI_Expiration=1,IF($A1073&lt;VLOOKUP(J$5,NFI,5,0),1,0)*Table_NFI[[#This Row],[Sanitary Kit]],Table_NFI[Sanitary Kit])</f>
        <v>0</v>
      </c>
      <c r="AB1073" s="294">
        <f>IF(NFI_Expiration=1,IF($A1073&lt;VLOOKUP(K$5,NFI,5,0),1,0)*Table_NFI[[#This Row],[Mosquito net]],Table_NFI[Mosquito net])</f>
        <v>0</v>
      </c>
      <c r="AC1073" s="294">
        <f>IF(NFI_Expiration=1,IF($A1073&lt;VLOOKUP(L$5,NFI,5,0),1,0)*Table_NFI[[#This Row],[Tarpaulin]],Table_NFI[[#This Row],[Tarpaulin]])</f>
        <v>0</v>
      </c>
      <c r="AD1073" s="294">
        <f>IF(NFI_Expiration=1,IF($A1073&lt;VLOOKUP(M$5,NFI,5,0),1,0)*Table_NFI[[#This Row],[Blanket]],Table_NFI[[#This Row],[Blanket]])</f>
        <v>0</v>
      </c>
      <c r="AE1073" s="294">
        <f>IF(NFI_Expiration=1,IF($A1073&lt;VLOOKUP(N$5,NFI,5,0),1,0)*Table_NFI[[#This Row],[Kitchen Set]],Table_NFI[Kitchen Set])</f>
        <v>0</v>
      </c>
      <c r="AF1073" s="294">
        <f>IF(NFI_Expiration=1,IF($A1073&lt;VLOOKUP(O$5,NFI,5,0),1,0)*Table_NFI[[#This Row],[Clothes Kit]],Table_NFI[Clothes Kit])</f>
        <v>0</v>
      </c>
      <c r="AG1073" s="294">
        <f>IF(NFI_Expiration=1,IF($A1073&lt;VLOOKUP(P$5,NFI,5,0),1,0)*Table_NFI[[#This Row],[Plastic Bucket]],Table_NFI[Plastic Bucket])</f>
        <v>0</v>
      </c>
      <c r="AH1073" s="294">
        <f>IF(NFI_Expiration=1,IF($A1073&lt;VLOOKUP(Q$5,NFI,5,0),1,0)*Table_NFI[[#This Row],[Plastic Mat]],Table_NFI[Plastic Mat])*IF(Table_NFI[[#This Row],[Distribution Date]]&gt;"2014-04-01",1,2.5)</f>
        <v>0</v>
      </c>
      <c r="AI1073" s="294">
        <f>IF(NFI_Expiration=1,IF($A1073&lt;VLOOKUP(R$5,NFI,5,0),1,0)*Table_NFI[[#This Row],[Winter Clothes Adult]],Table_NFI[Winter Clothes Adult])</f>
        <v>0</v>
      </c>
      <c r="AJ1073" s="294">
        <f>IF(NFI_Expiration=1,IF($A1073&lt;VLOOKUP(S$5,NFI,5,0),1,0)*Table_NFI[[#This Row],[Winter Clothes Children]],Table_NFI[Winter Clothes Children])</f>
        <v>0</v>
      </c>
      <c r="AK1073" s="294">
        <f>IF(NFI_Expiration=1,IF($A1073&lt;VLOOKUP(T$5,NFI,5,0),1,0)*Table_NFI[[#This Row],[Winter Items Other]],Table_NFI[Winter Items Other])</f>
        <v>0</v>
      </c>
      <c r="AL1073" s="294">
        <f>IF(NFI_Expiration=1,IF($A1073&lt;VLOOKUP(M$5,NFI,5,0),1,0)*Table_NFI[[#This Row],[Winter Blanket]],Table_NFI[[#This Row],[Winter Blanket]])</f>
        <v>0</v>
      </c>
      <c r="AM1073" s="294">
        <f>IF(Table_NFI[[#This Row],[Winter Clothes Adult]]+Table_NFI[[#This Row],[Winter Clothes Children]]+Table_NFI[[#This Row],[Winter Items Other]]+Table_NFI[[#This Row],[Winter Blanket]]&gt;0,1,0)</f>
        <v>0</v>
      </c>
      <c r="AN1073" s="331">
        <f>IF(NFI_Expiration=1,IF($A1073&lt;VLOOKUP(V$5,NFI,5,0),1,0)*Table_NFI[[#This Row],[Jerry Can]],Table_NFI[Jerry Can])</f>
        <v>0</v>
      </c>
      <c r="AO1073" s="331">
        <f>IF(NFI_Expiration=1,IF($A1073&lt;VLOOKUP(V$5,NFI,5,0),1,0)*Table_NFI[[#This Row],[Shelter Tool kit]],Table_NFI[Shelter Tool kit])</f>
        <v>0</v>
      </c>
      <c r="AP1073" s="331">
        <f>IF(NFI_Expiration=1,IF($A1073&lt;VLOOKUP(V$5,NFI,5,0),1,0)*Table_NFI[[#This Row],[Tent]],Table_NFI[Tent])</f>
        <v>0</v>
      </c>
      <c r="AQ1073" s="467" t="str">
        <f>IFERROR(VLOOKUP(Table_NFI[[#This Row],[Camp Name]],CL,2,0),"")</f>
        <v>MMR001CMP039</v>
      </c>
      <c r="AR1073" s="835">
        <f ca="1">IF(Table_NFI[[#This Row],[Pcode]]="","",IF(OFFSET(CampList[Opening Date],MATCH(Table_NFI[[#This Row],[Pcode]],CampList[CP_Pcode],0)-1,0,1,1)&gt;=NFI_Monitor_Date,1,0))</f>
        <v>0</v>
      </c>
      <c r="AS1073" s="467" t="str">
        <f>IFERROR(VLOOKUP(Table_NFI[[#This Row],[Camp Name]],CL,3,0),"")</f>
        <v>Open</v>
      </c>
      <c r="AT1073" s="294" t="str">
        <f ca="1">IF(Table_NFI[[#This Row],[Pcode]]="","",OFFSET(CampList[Priority],MATCH(Table_NFI[[#This Row],[Pcode]],CampList[CP_Pcode],0)-1,0,1,1))</f>
        <v>P4</v>
      </c>
      <c r="AU1073" s="293">
        <f>IFERROR(Table_NFI[[#This Row],[Kitchen Set]]/VLOOKUP(Table_NFI[[#This Row],[Camp Name]],CL,4,0),"")</f>
        <v>7.0942805421008858E-4</v>
      </c>
      <c r="AV1073" s="461" t="s">
        <v>1092</v>
      </c>
      <c r="AW1073" s="463"/>
    </row>
    <row r="1074" spans="1:49" s="472" customFormat="1" ht="15.75" customHeight="1" x14ac:dyDescent="0.25">
      <c r="A1074" s="297">
        <f t="shared" si="16"/>
        <v>60.833333333333336</v>
      </c>
      <c r="B1074" s="460">
        <v>40911</v>
      </c>
      <c r="C1074" s="461" t="s">
        <v>452</v>
      </c>
      <c r="D1074" s="462" t="s">
        <v>506</v>
      </c>
      <c r="E1074" s="461" t="s">
        <v>380</v>
      </c>
      <c r="F1074" s="290" t="s">
        <v>237</v>
      </c>
      <c r="G1074" s="290" t="s">
        <v>249</v>
      </c>
      <c r="H1074" s="291"/>
      <c r="I1074" s="291"/>
      <c r="J1074" s="291"/>
      <c r="K1074" s="291">
        <v>0</v>
      </c>
      <c r="L1074" s="292">
        <v>0</v>
      </c>
      <c r="M1074" s="292">
        <v>0</v>
      </c>
      <c r="N1074" s="292">
        <v>0</v>
      </c>
      <c r="O1074" s="292">
        <v>8</v>
      </c>
      <c r="P1074" s="294">
        <v>8</v>
      </c>
      <c r="Q1074" s="294">
        <v>8</v>
      </c>
      <c r="R1074" s="294"/>
      <c r="S1074" s="294"/>
      <c r="T1074" s="294"/>
      <c r="U1074" s="294"/>
      <c r="V1074" s="431"/>
      <c r="W1074" s="331"/>
      <c r="X1074" s="331"/>
      <c r="Y1074" s="294">
        <f>IF(NFI_Expiration=1,IF($A1074&lt;VLOOKUP(H$5,NFI,5,0),1,0)*Table_NFI[[#This Row],[Hygiene Kit]],Table_NFI[Hygiene Kit])</f>
        <v>0</v>
      </c>
      <c r="Z1074" s="294">
        <f>IF(NFI_Expiration=1,IF($A1074&lt;VLOOKUP(I$5,NFI,5,0),1,0)*Table_NFI[[#This Row],[NFI Core Kit]],Table_NFI[NFI Core Kit])</f>
        <v>0</v>
      </c>
      <c r="AA1074" s="294">
        <f>IF(NFI_Expiration=1,IF($A1074&lt;VLOOKUP(J$5,NFI,5,0),1,0)*Table_NFI[[#This Row],[Sanitary Kit]],Table_NFI[Sanitary Kit])</f>
        <v>0</v>
      </c>
      <c r="AB1074" s="294">
        <f>IF(NFI_Expiration=1,IF($A1074&lt;VLOOKUP(K$5,NFI,5,0),1,0)*Table_NFI[[#This Row],[Mosquito net]],Table_NFI[Mosquito net])</f>
        <v>0</v>
      </c>
      <c r="AC1074" s="294">
        <f>IF(NFI_Expiration=1,IF($A1074&lt;VLOOKUP(L$5,NFI,5,0),1,0)*Table_NFI[[#This Row],[Tarpaulin]],Table_NFI[[#This Row],[Tarpaulin]])</f>
        <v>0</v>
      </c>
      <c r="AD1074" s="294">
        <f>IF(NFI_Expiration=1,IF($A1074&lt;VLOOKUP(M$5,NFI,5,0),1,0)*Table_NFI[[#This Row],[Blanket]],Table_NFI[[#This Row],[Blanket]])</f>
        <v>0</v>
      </c>
      <c r="AE1074" s="294">
        <f>IF(NFI_Expiration=1,IF($A1074&lt;VLOOKUP(N$5,NFI,5,0),1,0)*Table_NFI[[#This Row],[Kitchen Set]],Table_NFI[Kitchen Set])</f>
        <v>0</v>
      </c>
      <c r="AF1074" s="294">
        <f>IF(NFI_Expiration=1,IF($A1074&lt;VLOOKUP(O$5,NFI,5,0),1,0)*Table_NFI[[#This Row],[Clothes Kit]],Table_NFI[Clothes Kit])</f>
        <v>0</v>
      </c>
      <c r="AG1074" s="294">
        <f>IF(NFI_Expiration=1,IF($A1074&lt;VLOOKUP(P$5,NFI,5,0),1,0)*Table_NFI[[#This Row],[Plastic Bucket]],Table_NFI[Plastic Bucket])</f>
        <v>0</v>
      </c>
      <c r="AH1074" s="294">
        <f>IF(NFI_Expiration=1,IF($A1074&lt;VLOOKUP(Q$5,NFI,5,0),1,0)*Table_NFI[[#This Row],[Plastic Mat]],Table_NFI[Plastic Mat])*IF(Table_NFI[[#This Row],[Distribution Date]]&gt;"2014-04-01",1,2.5)</f>
        <v>0</v>
      </c>
      <c r="AI1074" s="294">
        <f>IF(NFI_Expiration=1,IF($A1074&lt;VLOOKUP(R$5,NFI,5,0),1,0)*Table_NFI[[#This Row],[Winter Clothes Adult]],Table_NFI[Winter Clothes Adult])</f>
        <v>0</v>
      </c>
      <c r="AJ1074" s="294">
        <f>IF(NFI_Expiration=1,IF($A1074&lt;VLOOKUP(S$5,NFI,5,0),1,0)*Table_NFI[[#This Row],[Winter Clothes Children]],Table_NFI[Winter Clothes Children])</f>
        <v>0</v>
      </c>
      <c r="AK1074" s="294">
        <f>IF(NFI_Expiration=1,IF($A1074&lt;VLOOKUP(T$5,NFI,5,0),1,0)*Table_NFI[[#This Row],[Winter Items Other]],Table_NFI[Winter Items Other])</f>
        <v>0</v>
      </c>
      <c r="AL1074" s="294">
        <f>IF(NFI_Expiration=1,IF($A1074&lt;VLOOKUP(M$5,NFI,5,0),1,0)*Table_NFI[[#This Row],[Winter Blanket]],Table_NFI[[#This Row],[Winter Blanket]])</f>
        <v>0</v>
      </c>
      <c r="AM1074" s="294">
        <f>IF(Table_NFI[[#This Row],[Winter Clothes Adult]]+Table_NFI[[#This Row],[Winter Clothes Children]]+Table_NFI[[#This Row],[Winter Items Other]]+Table_NFI[[#This Row],[Winter Blanket]]&gt;0,1,0)</f>
        <v>0</v>
      </c>
      <c r="AN1074" s="331">
        <f>IF(NFI_Expiration=1,IF($A1074&lt;VLOOKUP(V$5,NFI,5,0),1,0)*Table_NFI[[#This Row],[Jerry Can]],Table_NFI[Jerry Can])</f>
        <v>0</v>
      </c>
      <c r="AO1074" s="331">
        <f>IF(NFI_Expiration=1,IF($A1074&lt;VLOOKUP(V$5,NFI,5,0),1,0)*Table_NFI[[#This Row],[Shelter Tool kit]],Table_NFI[Shelter Tool kit])</f>
        <v>0</v>
      </c>
      <c r="AP1074" s="331">
        <f>IF(NFI_Expiration=1,IF($A1074&lt;VLOOKUP(V$5,NFI,5,0),1,0)*Table_NFI[[#This Row],[Tent]],Table_NFI[Tent])</f>
        <v>0</v>
      </c>
      <c r="AQ1074" s="467" t="str">
        <f>IFERROR(VLOOKUP(Table_NFI[[#This Row],[Camp Name]],CL,2,0),"")</f>
        <v>MMR001CMP004</v>
      </c>
      <c r="AR1074" s="835">
        <f ca="1">IF(Table_NFI[[#This Row],[Pcode]]="","",IF(OFFSET(CampList[Opening Date],MATCH(Table_NFI[[#This Row],[Pcode]],CampList[CP_Pcode],0)-1,0,1,1)&gt;=NFI_Monitor_Date,1,0))</f>
        <v>0</v>
      </c>
      <c r="AS1074" s="467" t="str">
        <f>IFERROR(VLOOKUP(Table_NFI[[#This Row],[Camp Name]],CL,3,0),"")</f>
        <v>Open</v>
      </c>
      <c r="AT1074" s="294" t="str">
        <f ca="1">IF(Table_NFI[[#This Row],[Pcode]]="","",OFFSET(CampList[Priority],MATCH(Table_NFI[[#This Row],[Pcode]],CampList[CP_Pcode],0)-1,0,1,1))</f>
        <v>P4</v>
      </c>
      <c r="AU1074" s="293">
        <f>IFERROR(Table_NFI[[#This Row],[Kitchen Set]]/VLOOKUP(Table_NFI[[#This Row],[Camp Name]],CL,4,0),"")</f>
        <v>0</v>
      </c>
      <c r="AV1074" s="461" t="s">
        <v>1092</v>
      </c>
      <c r="AW1074" s="463"/>
    </row>
    <row r="1075" spans="1:49" s="472" customFormat="1" ht="15.75" customHeight="1" x14ac:dyDescent="0.25">
      <c r="A1075" s="297">
        <f t="shared" si="16"/>
        <v>60.93333333333333</v>
      </c>
      <c r="B1075" s="460">
        <v>40908</v>
      </c>
      <c r="C1075" s="461" t="s">
        <v>452</v>
      </c>
      <c r="D1075" s="462" t="s">
        <v>506</v>
      </c>
      <c r="E1075" s="461" t="s">
        <v>380</v>
      </c>
      <c r="F1075" s="290" t="s">
        <v>310</v>
      </c>
      <c r="G1075" s="290" t="s">
        <v>330</v>
      </c>
      <c r="H1075" s="291"/>
      <c r="I1075" s="291"/>
      <c r="J1075" s="291"/>
      <c r="K1075" s="291">
        <v>46</v>
      </c>
      <c r="L1075" s="292">
        <v>27</v>
      </c>
      <c r="M1075" s="292">
        <v>47</v>
      </c>
      <c r="N1075" s="292">
        <v>27</v>
      </c>
      <c r="O1075" s="292">
        <v>27</v>
      </c>
      <c r="P1075" s="294">
        <v>27</v>
      </c>
      <c r="Q1075" s="294">
        <v>27</v>
      </c>
      <c r="R1075" s="294"/>
      <c r="S1075" s="294"/>
      <c r="T1075" s="294"/>
      <c r="U1075" s="294"/>
      <c r="V1075" s="431"/>
      <c r="W1075" s="331"/>
      <c r="X1075" s="331"/>
      <c r="Y1075" s="294">
        <f>IF(NFI_Expiration=1,IF($A1075&lt;VLOOKUP(H$5,NFI,5,0),1,0)*Table_NFI[[#This Row],[Hygiene Kit]],Table_NFI[Hygiene Kit])</f>
        <v>0</v>
      </c>
      <c r="Z1075" s="294">
        <f>IF(NFI_Expiration=1,IF($A1075&lt;VLOOKUP(I$5,NFI,5,0),1,0)*Table_NFI[[#This Row],[NFI Core Kit]],Table_NFI[NFI Core Kit])</f>
        <v>0</v>
      </c>
      <c r="AA1075" s="294">
        <f>IF(NFI_Expiration=1,IF($A1075&lt;VLOOKUP(J$5,NFI,5,0),1,0)*Table_NFI[[#This Row],[Sanitary Kit]],Table_NFI[Sanitary Kit])</f>
        <v>0</v>
      </c>
      <c r="AB1075" s="294">
        <f>IF(NFI_Expiration=1,IF($A1075&lt;VLOOKUP(K$5,NFI,5,0),1,0)*Table_NFI[[#This Row],[Mosquito net]],Table_NFI[Mosquito net])</f>
        <v>0</v>
      </c>
      <c r="AC1075" s="294">
        <f>IF(NFI_Expiration=1,IF($A1075&lt;VLOOKUP(L$5,NFI,5,0),1,0)*Table_NFI[[#This Row],[Tarpaulin]],Table_NFI[[#This Row],[Tarpaulin]])</f>
        <v>0</v>
      </c>
      <c r="AD1075" s="294">
        <f>IF(NFI_Expiration=1,IF($A1075&lt;VLOOKUP(M$5,NFI,5,0),1,0)*Table_NFI[[#This Row],[Blanket]],Table_NFI[[#This Row],[Blanket]])</f>
        <v>0</v>
      </c>
      <c r="AE1075" s="294">
        <f>IF(NFI_Expiration=1,IF($A1075&lt;VLOOKUP(N$5,NFI,5,0),1,0)*Table_NFI[[#This Row],[Kitchen Set]],Table_NFI[Kitchen Set])</f>
        <v>0</v>
      </c>
      <c r="AF1075" s="294">
        <f>IF(NFI_Expiration=1,IF($A1075&lt;VLOOKUP(O$5,NFI,5,0),1,0)*Table_NFI[[#This Row],[Clothes Kit]],Table_NFI[Clothes Kit])</f>
        <v>0</v>
      </c>
      <c r="AG1075" s="294">
        <f>IF(NFI_Expiration=1,IF($A1075&lt;VLOOKUP(P$5,NFI,5,0),1,0)*Table_NFI[[#This Row],[Plastic Bucket]],Table_NFI[Plastic Bucket])</f>
        <v>0</v>
      </c>
      <c r="AH1075" s="294">
        <f>IF(NFI_Expiration=1,IF($A1075&lt;VLOOKUP(Q$5,NFI,5,0),1,0)*Table_NFI[[#This Row],[Plastic Mat]],Table_NFI[Plastic Mat])*IF(Table_NFI[[#This Row],[Distribution Date]]&gt;"2014-04-01",1,2.5)</f>
        <v>0</v>
      </c>
      <c r="AI1075" s="294">
        <f>IF(NFI_Expiration=1,IF($A1075&lt;VLOOKUP(R$5,NFI,5,0),1,0)*Table_NFI[[#This Row],[Winter Clothes Adult]],Table_NFI[Winter Clothes Adult])</f>
        <v>0</v>
      </c>
      <c r="AJ1075" s="294">
        <f>IF(NFI_Expiration=1,IF($A1075&lt;VLOOKUP(S$5,NFI,5,0),1,0)*Table_NFI[[#This Row],[Winter Clothes Children]],Table_NFI[Winter Clothes Children])</f>
        <v>0</v>
      </c>
      <c r="AK1075" s="294">
        <f>IF(NFI_Expiration=1,IF($A1075&lt;VLOOKUP(T$5,NFI,5,0),1,0)*Table_NFI[[#This Row],[Winter Items Other]],Table_NFI[Winter Items Other])</f>
        <v>0</v>
      </c>
      <c r="AL1075" s="294">
        <f>IF(NFI_Expiration=1,IF($A1075&lt;VLOOKUP(M$5,NFI,5,0),1,0)*Table_NFI[[#This Row],[Winter Blanket]],Table_NFI[[#This Row],[Winter Blanket]])</f>
        <v>0</v>
      </c>
      <c r="AM1075" s="294">
        <f>IF(Table_NFI[[#This Row],[Winter Clothes Adult]]+Table_NFI[[#This Row],[Winter Clothes Children]]+Table_NFI[[#This Row],[Winter Items Other]]+Table_NFI[[#This Row],[Winter Blanket]]&gt;0,1,0)</f>
        <v>0</v>
      </c>
      <c r="AN1075" s="331">
        <f>IF(NFI_Expiration=1,IF($A1075&lt;VLOOKUP(V$5,NFI,5,0),1,0)*Table_NFI[[#This Row],[Jerry Can]],Table_NFI[Jerry Can])</f>
        <v>0</v>
      </c>
      <c r="AO1075" s="331">
        <f>IF(NFI_Expiration=1,IF($A1075&lt;VLOOKUP(V$5,NFI,5,0),1,0)*Table_NFI[[#This Row],[Shelter Tool kit]],Table_NFI[Shelter Tool kit])</f>
        <v>0</v>
      </c>
      <c r="AP1075" s="331">
        <f>IF(NFI_Expiration=1,IF($A1075&lt;VLOOKUP(V$5,NFI,5,0),1,0)*Table_NFI[[#This Row],[Tent]],Table_NFI[Tent])</f>
        <v>0</v>
      </c>
      <c r="AQ1075" s="467" t="str">
        <f>IFERROR(VLOOKUP(Table_NFI[[#This Row],[Camp Name]],CL,2,0),"")</f>
        <v>MMR001CMP029</v>
      </c>
      <c r="AR1075" s="835">
        <f ca="1">IF(Table_NFI[[#This Row],[Pcode]]="","",IF(OFFSET(CampList[Opening Date],MATCH(Table_NFI[[#This Row],[Pcode]],CampList[CP_Pcode],0)-1,0,1,1)&gt;=NFI_Monitor_Date,1,0))</f>
        <v>0</v>
      </c>
      <c r="AS1075" s="467" t="str">
        <f>IFERROR(VLOOKUP(Table_NFI[[#This Row],[Camp Name]],CL,3,0),"")</f>
        <v>Open</v>
      </c>
      <c r="AT1075" s="294" t="str">
        <f ca="1">IF(Table_NFI[[#This Row],[Pcode]]="","",OFFSET(CampList[Priority],MATCH(Table_NFI[[#This Row],[Pcode]],CampList[CP_Pcode],0)-1,0,1,1))</f>
        <v>P4</v>
      </c>
      <c r="AU1075" s="293">
        <f>IFERROR(Table_NFI[[#This Row],[Kitchen Set]]/VLOOKUP(Table_NFI[[#This Row],[Camp Name]],CL,4,0),"")</f>
        <v>6.5176459228503839E-4</v>
      </c>
      <c r="AV1075" s="461" t="s">
        <v>1092</v>
      </c>
      <c r="AW1075" s="463"/>
    </row>
    <row r="1076" spans="1:49" s="472" customFormat="1" ht="15.75" customHeight="1" x14ac:dyDescent="0.25">
      <c r="A1076" s="297">
        <f t="shared" si="16"/>
        <v>60.966666666666669</v>
      </c>
      <c r="B1076" s="460">
        <v>40907</v>
      </c>
      <c r="C1076" s="461" t="s">
        <v>452</v>
      </c>
      <c r="D1076" s="462" t="s">
        <v>460</v>
      </c>
      <c r="E1076" s="461" t="s">
        <v>380</v>
      </c>
      <c r="F1076" s="290" t="s">
        <v>237</v>
      </c>
      <c r="G1076" s="290" t="s">
        <v>253</v>
      </c>
      <c r="H1076" s="291"/>
      <c r="I1076" s="291"/>
      <c r="J1076" s="291"/>
      <c r="K1076" s="291">
        <v>56</v>
      </c>
      <c r="L1076" s="292">
        <v>29</v>
      </c>
      <c r="M1076" s="292">
        <v>56</v>
      </c>
      <c r="N1076" s="292">
        <v>29</v>
      </c>
      <c r="O1076" s="292">
        <v>29</v>
      </c>
      <c r="P1076" s="294">
        <v>29</v>
      </c>
      <c r="Q1076" s="294">
        <v>29</v>
      </c>
      <c r="R1076" s="294"/>
      <c r="S1076" s="294"/>
      <c r="T1076" s="294"/>
      <c r="U1076" s="294"/>
      <c r="V1076" s="431"/>
      <c r="W1076" s="331"/>
      <c r="X1076" s="331"/>
      <c r="Y1076" s="294">
        <f>IF(NFI_Expiration=1,IF($A1076&lt;VLOOKUP(H$5,NFI,5,0),1,0)*Table_NFI[[#This Row],[Hygiene Kit]],Table_NFI[Hygiene Kit])</f>
        <v>0</v>
      </c>
      <c r="Z1076" s="294">
        <f>IF(NFI_Expiration=1,IF($A1076&lt;VLOOKUP(I$5,NFI,5,0),1,0)*Table_NFI[[#This Row],[NFI Core Kit]],Table_NFI[NFI Core Kit])</f>
        <v>0</v>
      </c>
      <c r="AA1076" s="294">
        <f>IF(NFI_Expiration=1,IF($A1076&lt;VLOOKUP(J$5,NFI,5,0),1,0)*Table_NFI[[#This Row],[Sanitary Kit]],Table_NFI[Sanitary Kit])</f>
        <v>0</v>
      </c>
      <c r="AB1076" s="294">
        <f>IF(NFI_Expiration=1,IF($A1076&lt;VLOOKUP(K$5,NFI,5,0),1,0)*Table_NFI[[#This Row],[Mosquito net]],Table_NFI[Mosquito net])</f>
        <v>0</v>
      </c>
      <c r="AC1076" s="294">
        <f>IF(NFI_Expiration=1,IF($A1076&lt;VLOOKUP(L$5,NFI,5,0),1,0)*Table_NFI[[#This Row],[Tarpaulin]],Table_NFI[[#This Row],[Tarpaulin]])</f>
        <v>0</v>
      </c>
      <c r="AD1076" s="294">
        <f>IF(NFI_Expiration=1,IF($A1076&lt;VLOOKUP(M$5,NFI,5,0),1,0)*Table_NFI[[#This Row],[Blanket]],Table_NFI[[#This Row],[Blanket]])</f>
        <v>0</v>
      </c>
      <c r="AE1076" s="294">
        <f>IF(NFI_Expiration=1,IF($A1076&lt;VLOOKUP(N$5,NFI,5,0),1,0)*Table_NFI[[#This Row],[Kitchen Set]],Table_NFI[Kitchen Set])</f>
        <v>0</v>
      </c>
      <c r="AF1076" s="294">
        <f>IF(NFI_Expiration=1,IF($A1076&lt;VLOOKUP(O$5,NFI,5,0),1,0)*Table_NFI[[#This Row],[Clothes Kit]],Table_NFI[Clothes Kit])</f>
        <v>0</v>
      </c>
      <c r="AG1076" s="294">
        <f>IF(NFI_Expiration=1,IF($A1076&lt;VLOOKUP(P$5,NFI,5,0),1,0)*Table_NFI[[#This Row],[Plastic Bucket]],Table_NFI[Plastic Bucket])</f>
        <v>0</v>
      </c>
      <c r="AH1076" s="294">
        <f>IF(NFI_Expiration=1,IF($A1076&lt;VLOOKUP(Q$5,NFI,5,0),1,0)*Table_NFI[[#This Row],[Plastic Mat]],Table_NFI[Plastic Mat])*IF(Table_NFI[[#This Row],[Distribution Date]]&gt;"2014-04-01",1,2.5)</f>
        <v>0</v>
      </c>
      <c r="AI1076" s="294">
        <f>IF(NFI_Expiration=1,IF($A1076&lt;VLOOKUP(R$5,NFI,5,0),1,0)*Table_NFI[[#This Row],[Winter Clothes Adult]],Table_NFI[Winter Clothes Adult])</f>
        <v>0</v>
      </c>
      <c r="AJ1076" s="294">
        <f>IF(NFI_Expiration=1,IF($A1076&lt;VLOOKUP(S$5,NFI,5,0),1,0)*Table_NFI[[#This Row],[Winter Clothes Children]],Table_NFI[Winter Clothes Children])</f>
        <v>0</v>
      </c>
      <c r="AK1076" s="294">
        <f>IF(NFI_Expiration=1,IF($A1076&lt;VLOOKUP(T$5,NFI,5,0),1,0)*Table_NFI[[#This Row],[Winter Items Other]],Table_NFI[Winter Items Other])</f>
        <v>0</v>
      </c>
      <c r="AL1076" s="294">
        <f>IF(NFI_Expiration=1,IF($A1076&lt;VLOOKUP(M$5,NFI,5,0),1,0)*Table_NFI[[#This Row],[Winter Blanket]],Table_NFI[[#This Row],[Winter Blanket]])</f>
        <v>0</v>
      </c>
      <c r="AM1076" s="294">
        <f>IF(Table_NFI[[#This Row],[Winter Clothes Adult]]+Table_NFI[[#This Row],[Winter Clothes Children]]+Table_NFI[[#This Row],[Winter Items Other]]+Table_NFI[[#This Row],[Winter Blanket]]&gt;0,1,0)</f>
        <v>0</v>
      </c>
      <c r="AN1076" s="331">
        <f>IF(NFI_Expiration=1,IF($A1076&lt;VLOOKUP(V$5,NFI,5,0),1,0)*Table_NFI[[#This Row],[Jerry Can]],Table_NFI[Jerry Can])</f>
        <v>0</v>
      </c>
      <c r="AO1076" s="331">
        <f>IF(NFI_Expiration=1,IF($A1076&lt;VLOOKUP(V$5,NFI,5,0),1,0)*Table_NFI[[#This Row],[Shelter Tool kit]],Table_NFI[Shelter Tool kit])</f>
        <v>0</v>
      </c>
      <c r="AP1076" s="331">
        <f>IF(NFI_Expiration=1,IF($A1076&lt;VLOOKUP(V$5,NFI,5,0),1,0)*Table_NFI[[#This Row],[Tent]],Table_NFI[Tent])</f>
        <v>0</v>
      </c>
      <c r="AQ1076" s="467" t="str">
        <f>IFERROR(VLOOKUP(Table_NFI[[#This Row],[Camp Name]],CL,2,0),"")</f>
        <v>MMR001CMP018</v>
      </c>
      <c r="AR1076" s="835">
        <f ca="1">IF(Table_NFI[[#This Row],[Pcode]]="","",IF(OFFSET(CampList[Opening Date],MATCH(Table_NFI[[#This Row],[Pcode]],CampList[CP_Pcode],0)-1,0,1,1)&gt;=NFI_Monitor_Date,1,0))</f>
        <v>0</v>
      </c>
      <c r="AS1076" s="467" t="str">
        <f>IFERROR(VLOOKUP(Table_NFI[[#This Row],[Camp Name]],CL,3,0),"")</f>
        <v>Open</v>
      </c>
      <c r="AT1076" s="294" t="str">
        <f ca="1">IF(Table_NFI[[#This Row],[Pcode]]="","",OFFSET(CampList[Priority],MATCH(Table_NFI[[#This Row],[Pcode]],CampList[CP_Pcode],0)-1,0,1,1))</f>
        <v>P4</v>
      </c>
      <c r="AU1076" s="293">
        <f>IFERROR(Table_NFI[[#This Row],[Kitchen Set]]/VLOOKUP(Table_NFI[[#This Row],[Camp Name]],CL,4,0),"")</f>
        <v>7.1209330877839165E-4</v>
      </c>
      <c r="AV1076" s="461" t="s">
        <v>1092</v>
      </c>
      <c r="AW1076" s="463"/>
    </row>
    <row r="1077" spans="1:49" s="472" customFormat="1" ht="15.75" customHeight="1" x14ac:dyDescent="0.25">
      <c r="A1077" s="297">
        <f t="shared" si="16"/>
        <v>61.033333333333331</v>
      </c>
      <c r="B1077" s="460">
        <v>40905</v>
      </c>
      <c r="C1077" s="461" t="s">
        <v>452</v>
      </c>
      <c r="D1077" s="461" t="s">
        <v>903</v>
      </c>
      <c r="E1077" s="461" t="s">
        <v>380</v>
      </c>
      <c r="F1077" s="461" t="s">
        <v>310</v>
      </c>
      <c r="G1077" s="290" t="s">
        <v>313</v>
      </c>
      <c r="H1077" s="291"/>
      <c r="I1077" s="291"/>
      <c r="J1077" s="291"/>
      <c r="K1077" s="291">
        <v>31</v>
      </c>
      <c r="L1077" s="292">
        <v>19</v>
      </c>
      <c r="M1077" s="292">
        <v>31</v>
      </c>
      <c r="N1077" s="292">
        <v>19</v>
      </c>
      <c r="O1077" s="292">
        <v>19</v>
      </c>
      <c r="P1077" s="294">
        <v>19</v>
      </c>
      <c r="Q1077" s="294">
        <v>19</v>
      </c>
      <c r="R1077" s="294"/>
      <c r="S1077" s="294"/>
      <c r="T1077" s="294"/>
      <c r="U1077" s="294"/>
      <c r="V1077" s="431"/>
      <c r="W1077" s="331"/>
      <c r="X1077" s="331"/>
      <c r="Y1077" s="294">
        <f>IF(NFI_Expiration=1,IF($A1077&lt;VLOOKUP(H$5,NFI,5,0),1,0)*Table_NFI[[#This Row],[Hygiene Kit]],Table_NFI[Hygiene Kit])</f>
        <v>0</v>
      </c>
      <c r="Z1077" s="294">
        <f>IF(NFI_Expiration=1,IF($A1077&lt;VLOOKUP(I$5,NFI,5,0),1,0)*Table_NFI[[#This Row],[NFI Core Kit]],Table_NFI[NFI Core Kit])</f>
        <v>0</v>
      </c>
      <c r="AA1077" s="294">
        <f>IF(NFI_Expiration=1,IF($A1077&lt;VLOOKUP(J$5,NFI,5,0),1,0)*Table_NFI[[#This Row],[Sanitary Kit]],Table_NFI[Sanitary Kit])</f>
        <v>0</v>
      </c>
      <c r="AB1077" s="294">
        <f>IF(NFI_Expiration=1,IF($A1077&lt;VLOOKUP(K$5,NFI,5,0),1,0)*Table_NFI[[#This Row],[Mosquito net]],Table_NFI[Mosquito net])</f>
        <v>0</v>
      </c>
      <c r="AC1077" s="294">
        <f>IF(NFI_Expiration=1,IF($A1077&lt;VLOOKUP(L$5,NFI,5,0),1,0)*Table_NFI[[#This Row],[Tarpaulin]],Table_NFI[[#This Row],[Tarpaulin]])</f>
        <v>0</v>
      </c>
      <c r="AD1077" s="294">
        <f>IF(NFI_Expiration=1,IF($A1077&lt;VLOOKUP(M$5,NFI,5,0),1,0)*Table_NFI[[#This Row],[Blanket]],Table_NFI[[#This Row],[Blanket]])</f>
        <v>0</v>
      </c>
      <c r="AE1077" s="294">
        <f>IF(NFI_Expiration=1,IF($A1077&lt;VLOOKUP(N$5,NFI,5,0),1,0)*Table_NFI[[#This Row],[Kitchen Set]],Table_NFI[Kitchen Set])</f>
        <v>0</v>
      </c>
      <c r="AF1077" s="294">
        <f>IF(NFI_Expiration=1,IF($A1077&lt;VLOOKUP(O$5,NFI,5,0),1,0)*Table_NFI[[#This Row],[Clothes Kit]],Table_NFI[Clothes Kit])</f>
        <v>0</v>
      </c>
      <c r="AG1077" s="294">
        <f>IF(NFI_Expiration=1,IF($A1077&lt;VLOOKUP(P$5,NFI,5,0),1,0)*Table_NFI[[#This Row],[Plastic Bucket]],Table_NFI[Plastic Bucket])</f>
        <v>0</v>
      </c>
      <c r="AH1077" s="294">
        <f>IF(NFI_Expiration=1,IF($A1077&lt;VLOOKUP(Q$5,NFI,5,0),1,0)*Table_NFI[[#This Row],[Plastic Mat]],Table_NFI[Plastic Mat])*IF(Table_NFI[[#This Row],[Distribution Date]]&gt;"2014-04-01",1,2.5)</f>
        <v>0</v>
      </c>
      <c r="AI1077" s="294">
        <f>IF(NFI_Expiration=1,IF($A1077&lt;VLOOKUP(R$5,NFI,5,0),1,0)*Table_NFI[[#This Row],[Winter Clothes Adult]],Table_NFI[Winter Clothes Adult])</f>
        <v>0</v>
      </c>
      <c r="AJ1077" s="294">
        <f>IF(NFI_Expiration=1,IF($A1077&lt;VLOOKUP(S$5,NFI,5,0),1,0)*Table_NFI[[#This Row],[Winter Clothes Children]],Table_NFI[Winter Clothes Children])</f>
        <v>0</v>
      </c>
      <c r="AK1077" s="294">
        <f>IF(NFI_Expiration=1,IF($A1077&lt;VLOOKUP(T$5,NFI,5,0),1,0)*Table_NFI[[#This Row],[Winter Items Other]],Table_NFI[Winter Items Other])</f>
        <v>0</v>
      </c>
      <c r="AL1077" s="294">
        <f>IF(NFI_Expiration=1,IF($A1077&lt;VLOOKUP(M$5,NFI,5,0),1,0)*Table_NFI[[#This Row],[Winter Blanket]],Table_NFI[[#This Row],[Winter Blanket]])</f>
        <v>0</v>
      </c>
      <c r="AM1077" s="294">
        <f>IF(Table_NFI[[#This Row],[Winter Clothes Adult]]+Table_NFI[[#This Row],[Winter Clothes Children]]+Table_NFI[[#This Row],[Winter Items Other]]+Table_NFI[[#This Row],[Winter Blanket]]&gt;0,1,0)</f>
        <v>0</v>
      </c>
      <c r="AN1077" s="331">
        <f>IF(NFI_Expiration=1,IF($A1077&lt;VLOOKUP(V$5,NFI,5,0),1,0)*Table_NFI[[#This Row],[Jerry Can]],Table_NFI[Jerry Can])</f>
        <v>0</v>
      </c>
      <c r="AO1077" s="331">
        <f>IF(NFI_Expiration=1,IF($A1077&lt;VLOOKUP(V$5,NFI,5,0),1,0)*Table_NFI[[#This Row],[Shelter Tool kit]],Table_NFI[Shelter Tool kit])</f>
        <v>0</v>
      </c>
      <c r="AP1077" s="331">
        <f>IF(NFI_Expiration=1,IF($A1077&lt;VLOOKUP(V$5,NFI,5,0),1,0)*Table_NFI[[#This Row],[Tent]],Table_NFI[Tent])</f>
        <v>0</v>
      </c>
      <c r="AQ1077" s="467" t="str">
        <f>IFERROR(VLOOKUP(Table_NFI[[#This Row],[Camp Name]],CL,2,0),"")</f>
        <v>MMR001CMP028</v>
      </c>
      <c r="AR1077" s="835">
        <f ca="1">IF(Table_NFI[[#This Row],[Pcode]]="","",IF(OFFSET(CampList[Opening Date],MATCH(Table_NFI[[#This Row],[Pcode]],CampList[CP_Pcode],0)-1,0,1,1)&gt;=NFI_Monitor_Date,1,0))</f>
        <v>0</v>
      </c>
      <c r="AS1077" s="467" t="str">
        <f>IFERROR(VLOOKUP(Table_NFI[[#This Row],[Camp Name]],CL,3,0),"")</f>
        <v>Open</v>
      </c>
      <c r="AT1077" s="294" t="str">
        <f ca="1">IF(Table_NFI[[#This Row],[Pcode]]="","",OFFSET(CampList[Priority],MATCH(Table_NFI[[#This Row],[Pcode]],CampList[CP_Pcode],0)-1,0,1,1))</f>
        <v>P4</v>
      </c>
      <c r="AU1077" s="293">
        <f>IFERROR(Table_NFI[[#This Row],[Kitchen Set]]/VLOOKUP(Table_NFI[[#This Row],[Camp Name]],CL,4,0),"")</f>
        <v>4.6688782405700946E-4</v>
      </c>
      <c r="AV1077" s="461" t="s">
        <v>1092</v>
      </c>
      <c r="AW1077" s="463"/>
    </row>
    <row r="1078" spans="1:49" s="472" customFormat="1" ht="15.75" customHeight="1" x14ac:dyDescent="0.25">
      <c r="A1078" s="297">
        <f t="shared" si="16"/>
        <v>61.1</v>
      </c>
      <c r="B1078" s="460">
        <v>40903</v>
      </c>
      <c r="C1078" s="461" t="s">
        <v>452</v>
      </c>
      <c r="D1078" s="461" t="s">
        <v>460</v>
      </c>
      <c r="E1078" s="461" t="s">
        <v>380</v>
      </c>
      <c r="F1078" s="290" t="s">
        <v>310</v>
      </c>
      <c r="G1078" s="290" t="s">
        <v>342</v>
      </c>
      <c r="H1078" s="291"/>
      <c r="I1078" s="291"/>
      <c r="J1078" s="291"/>
      <c r="K1078" s="291">
        <v>54</v>
      </c>
      <c r="L1078" s="292">
        <v>33</v>
      </c>
      <c r="M1078" s="292">
        <v>54</v>
      </c>
      <c r="N1078" s="292">
        <v>33</v>
      </c>
      <c r="O1078" s="292">
        <v>33</v>
      </c>
      <c r="P1078" s="294">
        <v>33</v>
      </c>
      <c r="Q1078" s="294">
        <v>33</v>
      </c>
      <c r="R1078" s="294"/>
      <c r="S1078" s="294"/>
      <c r="T1078" s="294"/>
      <c r="U1078" s="294"/>
      <c r="V1078" s="431"/>
      <c r="W1078" s="331"/>
      <c r="X1078" s="331"/>
      <c r="Y1078" s="294">
        <f>IF(NFI_Expiration=1,IF($A1078&lt;VLOOKUP(H$5,NFI,5,0),1,0)*Table_NFI[[#This Row],[Hygiene Kit]],Table_NFI[Hygiene Kit])</f>
        <v>0</v>
      </c>
      <c r="Z1078" s="294">
        <f>IF(NFI_Expiration=1,IF($A1078&lt;VLOOKUP(I$5,NFI,5,0),1,0)*Table_NFI[[#This Row],[NFI Core Kit]],Table_NFI[NFI Core Kit])</f>
        <v>0</v>
      </c>
      <c r="AA1078" s="294">
        <f>IF(NFI_Expiration=1,IF($A1078&lt;VLOOKUP(J$5,NFI,5,0),1,0)*Table_NFI[[#This Row],[Sanitary Kit]],Table_NFI[Sanitary Kit])</f>
        <v>0</v>
      </c>
      <c r="AB1078" s="294">
        <f>IF(NFI_Expiration=1,IF($A1078&lt;VLOOKUP(K$5,NFI,5,0),1,0)*Table_NFI[[#This Row],[Mosquito net]],Table_NFI[Mosquito net])</f>
        <v>0</v>
      </c>
      <c r="AC1078" s="294">
        <f>IF(NFI_Expiration=1,IF($A1078&lt;VLOOKUP(L$5,NFI,5,0),1,0)*Table_NFI[[#This Row],[Tarpaulin]],Table_NFI[[#This Row],[Tarpaulin]])</f>
        <v>0</v>
      </c>
      <c r="AD1078" s="294">
        <f>IF(NFI_Expiration=1,IF($A1078&lt;VLOOKUP(M$5,NFI,5,0),1,0)*Table_NFI[[#This Row],[Blanket]],Table_NFI[[#This Row],[Blanket]])</f>
        <v>0</v>
      </c>
      <c r="AE1078" s="294">
        <f>IF(NFI_Expiration=1,IF($A1078&lt;VLOOKUP(N$5,NFI,5,0),1,0)*Table_NFI[[#This Row],[Kitchen Set]],Table_NFI[Kitchen Set])</f>
        <v>0</v>
      </c>
      <c r="AF1078" s="294">
        <f>IF(NFI_Expiration=1,IF($A1078&lt;VLOOKUP(O$5,NFI,5,0),1,0)*Table_NFI[[#This Row],[Clothes Kit]],Table_NFI[Clothes Kit])</f>
        <v>0</v>
      </c>
      <c r="AG1078" s="294">
        <f>IF(NFI_Expiration=1,IF($A1078&lt;VLOOKUP(P$5,NFI,5,0),1,0)*Table_NFI[[#This Row],[Plastic Bucket]],Table_NFI[Plastic Bucket])</f>
        <v>0</v>
      </c>
      <c r="AH1078" s="294">
        <f>IF(NFI_Expiration=1,IF($A1078&lt;VLOOKUP(Q$5,NFI,5,0),1,0)*Table_NFI[[#This Row],[Plastic Mat]],Table_NFI[Plastic Mat])*IF(Table_NFI[[#This Row],[Distribution Date]]&gt;"2014-04-01",1,2.5)</f>
        <v>0</v>
      </c>
      <c r="AI1078" s="294">
        <f>IF(NFI_Expiration=1,IF($A1078&lt;VLOOKUP(R$5,NFI,5,0),1,0)*Table_NFI[[#This Row],[Winter Clothes Adult]],Table_NFI[Winter Clothes Adult])</f>
        <v>0</v>
      </c>
      <c r="AJ1078" s="294">
        <f>IF(NFI_Expiration=1,IF($A1078&lt;VLOOKUP(S$5,NFI,5,0),1,0)*Table_NFI[[#This Row],[Winter Clothes Children]],Table_NFI[Winter Clothes Children])</f>
        <v>0</v>
      </c>
      <c r="AK1078" s="294">
        <f>IF(NFI_Expiration=1,IF($A1078&lt;VLOOKUP(T$5,NFI,5,0),1,0)*Table_NFI[[#This Row],[Winter Items Other]],Table_NFI[Winter Items Other])</f>
        <v>0</v>
      </c>
      <c r="AL1078" s="294">
        <f>IF(NFI_Expiration=1,IF($A1078&lt;VLOOKUP(M$5,NFI,5,0),1,0)*Table_NFI[[#This Row],[Winter Blanket]],Table_NFI[[#This Row],[Winter Blanket]])</f>
        <v>0</v>
      </c>
      <c r="AM1078" s="294">
        <f>IF(Table_NFI[[#This Row],[Winter Clothes Adult]]+Table_NFI[[#This Row],[Winter Clothes Children]]+Table_NFI[[#This Row],[Winter Items Other]]+Table_NFI[[#This Row],[Winter Blanket]]&gt;0,1,0)</f>
        <v>0</v>
      </c>
      <c r="AN1078" s="331">
        <f>IF(NFI_Expiration=1,IF($A1078&lt;VLOOKUP(V$5,NFI,5,0),1,0)*Table_NFI[[#This Row],[Jerry Can]],Table_NFI[Jerry Can])</f>
        <v>0</v>
      </c>
      <c r="AO1078" s="331">
        <f>IF(NFI_Expiration=1,IF($A1078&lt;VLOOKUP(V$5,NFI,5,0),1,0)*Table_NFI[[#This Row],[Shelter Tool kit]],Table_NFI[Shelter Tool kit])</f>
        <v>0</v>
      </c>
      <c r="AP1078" s="331">
        <f>IF(NFI_Expiration=1,IF($A1078&lt;VLOOKUP(V$5,NFI,5,0),1,0)*Table_NFI[[#This Row],[Tent]],Table_NFI[Tent])</f>
        <v>0</v>
      </c>
      <c r="AQ1078" s="467" t="str">
        <f>IFERROR(VLOOKUP(Table_NFI[[#This Row],[Camp Name]],CL,2,0),"")</f>
        <v>MMR001CMP025</v>
      </c>
      <c r="AR1078" s="835">
        <f ca="1">IF(Table_NFI[[#This Row],[Pcode]]="","",IF(OFFSET(CampList[Opening Date],MATCH(Table_NFI[[#This Row],[Pcode]],CampList[CP_Pcode],0)-1,0,1,1)&gt;=NFI_Monitor_Date,1,0))</f>
        <v>0</v>
      </c>
      <c r="AS1078" s="467" t="str">
        <f>IFERROR(VLOOKUP(Table_NFI[[#This Row],[Camp Name]],CL,3,0),"")</f>
        <v>Open</v>
      </c>
      <c r="AT1078" s="294" t="str">
        <f ca="1">IF(Table_NFI[[#This Row],[Pcode]]="","",OFFSET(CampList[Priority],MATCH(Table_NFI[[#This Row],[Pcode]],CampList[CP_Pcode],0)-1,0,1,1))</f>
        <v>P4</v>
      </c>
      <c r="AU1078" s="293">
        <f>IFERROR(Table_NFI[[#This Row],[Kitchen Set]]/VLOOKUP(Table_NFI[[#This Row],[Camp Name]],CL,4,0),"")</f>
        <v>8.1091043125691112E-4</v>
      </c>
      <c r="AV1078" s="461" t="s">
        <v>1092</v>
      </c>
      <c r="AW1078" s="463"/>
    </row>
    <row r="1079" spans="1:49" s="472" customFormat="1" ht="15.75" customHeight="1" x14ac:dyDescent="0.25">
      <c r="A1079" s="297">
        <f t="shared" si="16"/>
        <v>61.233333333333334</v>
      </c>
      <c r="B1079" s="460">
        <v>40899</v>
      </c>
      <c r="C1079" s="461" t="s">
        <v>452</v>
      </c>
      <c r="D1079" s="461" t="s">
        <v>452</v>
      </c>
      <c r="E1079" s="461" t="s">
        <v>380</v>
      </c>
      <c r="F1079" s="290" t="s">
        <v>310</v>
      </c>
      <c r="G1079" s="290" t="s">
        <v>318</v>
      </c>
      <c r="H1079" s="291"/>
      <c r="I1079" s="291"/>
      <c r="J1079" s="291"/>
      <c r="K1079" s="291">
        <v>0</v>
      </c>
      <c r="L1079" s="292">
        <v>0</v>
      </c>
      <c r="M1079" s="292">
        <v>0</v>
      </c>
      <c r="N1079" s="292">
        <v>0</v>
      </c>
      <c r="O1079" s="292">
        <v>4</v>
      </c>
      <c r="P1079" s="294">
        <v>4</v>
      </c>
      <c r="Q1079" s="294">
        <v>4</v>
      </c>
      <c r="R1079" s="294"/>
      <c r="S1079" s="294"/>
      <c r="T1079" s="294"/>
      <c r="U1079" s="294"/>
      <c r="V1079" s="431"/>
      <c r="W1079" s="331"/>
      <c r="X1079" s="331"/>
      <c r="Y1079" s="294">
        <f>IF(NFI_Expiration=1,IF($A1079&lt;VLOOKUP(H$5,NFI,5,0),1,0)*Table_NFI[[#This Row],[Hygiene Kit]],Table_NFI[Hygiene Kit])</f>
        <v>0</v>
      </c>
      <c r="Z1079" s="294">
        <f>IF(NFI_Expiration=1,IF($A1079&lt;VLOOKUP(I$5,NFI,5,0),1,0)*Table_NFI[[#This Row],[NFI Core Kit]],Table_NFI[NFI Core Kit])</f>
        <v>0</v>
      </c>
      <c r="AA1079" s="294">
        <f>IF(NFI_Expiration=1,IF($A1079&lt;VLOOKUP(J$5,NFI,5,0),1,0)*Table_NFI[[#This Row],[Sanitary Kit]],Table_NFI[Sanitary Kit])</f>
        <v>0</v>
      </c>
      <c r="AB1079" s="294">
        <f>IF(NFI_Expiration=1,IF($A1079&lt;VLOOKUP(K$5,NFI,5,0),1,0)*Table_NFI[[#This Row],[Mosquito net]],Table_NFI[Mosquito net])</f>
        <v>0</v>
      </c>
      <c r="AC1079" s="294">
        <f>IF(NFI_Expiration=1,IF($A1079&lt;VLOOKUP(L$5,NFI,5,0),1,0)*Table_NFI[[#This Row],[Tarpaulin]],Table_NFI[[#This Row],[Tarpaulin]])</f>
        <v>0</v>
      </c>
      <c r="AD1079" s="294">
        <f>IF(NFI_Expiration=1,IF($A1079&lt;VLOOKUP(M$5,NFI,5,0),1,0)*Table_NFI[[#This Row],[Blanket]],Table_NFI[[#This Row],[Blanket]])</f>
        <v>0</v>
      </c>
      <c r="AE1079" s="294">
        <f>IF(NFI_Expiration=1,IF($A1079&lt;VLOOKUP(N$5,NFI,5,0),1,0)*Table_NFI[[#This Row],[Kitchen Set]],Table_NFI[Kitchen Set])</f>
        <v>0</v>
      </c>
      <c r="AF1079" s="294">
        <f>IF(NFI_Expiration=1,IF($A1079&lt;VLOOKUP(O$5,NFI,5,0),1,0)*Table_NFI[[#This Row],[Clothes Kit]],Table_NFI[Clothes Kit])</f>
        <v>0</v>
      </c>
      <c r="AG1079" s="294">
        <f>IF(NFI_Expiration=1,IF($A1079&lt;VLOOKUP(P$5,NFI,5,0),1,0)*Table_NFI[[#This Row],[Plastic Bucket]],Table_NFI[Plastic Bucket])</f>
        <v>0</v>
      </c>
      <c r="AH1079" s="294">
        <f>IF(NFI_Expiration=1,IF($A1079&lt;VLOOKUP(Q$5,NFI,5,0),1,0)*Table_NFI[[#This Row],[Plastic Mat]],Table_NFI[Plastic Mat])*IF(Table_NFI[[#This Row],[Distribution Date]]&gt;"2014-04-01",1,2.5)</f>
        <v>0</v>
      </c>
      <c r="AI1079" s="294">
        <f>IF(NFI_Expiration=1,IF($A1079&lt;VLOOKUP(R$5,NFI,5,0),1,0)*Table_NFI[[#This Row],[Winter Clothes Adult]],Table_NFI[Winter Clothes Adult])</f>
        <v>0</v>
      </c>
      <c r="AJ1079" s="294">
        <f>IF(NFI_Expiration=1,IF($A1079&lt;VLOOKUP(S$5,NFI,5,0),1,0)*Table_NFI[[#This Row],[Winter Clothes Children]],Table_NFI[Winter Clothes Children])</f>
        <v>0</v>
      </c>
      <c r="AK1079" s="294">
        <f>IF(NFI_Expiration=1,IF($A1079&lt;VLOOKUP(T$5,NFI,5,0),1,0)*Table_NFI[[#This Row],[Winter Items Other]],Table_NFI[Winter Items Other])</f>
        <v>0</v>
      </c>
      <c r="AL1079" s="294">
        <f>IF(NFI_Expiration=1,IF($A1079&lt;VLOOKUP(M$5,NFI,5,0),1,0)*Table_NFI[[#This Row],[Winter Blanket]],Table_NFI[[#This Row],[Winter Blanket]])</f>
        <v>0</v>
      </c>
      <c r="AM1079" s="294">
        <f>IF(Table_NFI[[#This Row],[Winter Clothes Adult]]+Table_NFI[[#This Row],[Winter Clothes Children]]+Table_NFI[[#This Row],[Winter Items Other]]+Table_NFI[[#This Row],[Winter Blanket]]&gt;0,1,0)</f>
        <v>0</v>
      </c>
      <c r="AN1079" s="331">
        <f>IF(NFI_Expiration=1,IF($A1079&lt;VLOOKUP(V$5,NFI,5,0),1,0)*Table_NFI[[#This Row],[Jerry Can]],Table_NFI[Jerry Can])</f>
        <v>0</v>
      </c>
      <c r="AO1079" s="331">
        <f>IF(NFI_Expiration=1,IF($A1079&lt;VLOOKUP(V$5,NFI,5,0),1,0)*Table_NFI[[#This Row],[Shelter Tool kit]],Table_NFI[Shelter Tool kit])</f>
        <v>0</v>
      </c>
      <c r="AP1079" s="331">
        <f>IF(NFI_Expiration=1,IF($A1079&lt;VLOOKUP(V$5,NFI,5,0),1,0)*Table_NFI[[#This Row],[Tent]],Table_NFI[Tent])</f>
        <v>0</v>
      </c>
      <c r="AQ1079" s="467" t="str">
        <f>IFERROR(VLOOKUP(Table_NFI[[#This Row],[Camp Name]],CL,2,0),"")</f>
        <v>MMR001CMP032</v>
      </c>
      <c r="AR1079" s="835">
        <f ca="1">IF(Table_NFI[[#This Row],[Pcode]]="","",IF(OFFSET(CampList[Opening Date],MATCH(Table_NFI[[#This Row],[Pcode]],CampList[CP_Pcode],0)-1,0,1,1)&gt;=NFI_Monitor_Date,1,0))</f>
        <v>0</v>
      </c>
      <c r="AS1079" s="467" t="str">
        <f>IFERROR(VLOOKUP(Table_NFI[[#This Row],[Camp Name]],CL,3,0),"")</f>
        <v>Open</v>
      </c>
      <c r="AT1079" s="294" t="str">
        <f ca="1">IF(Table_NFI[[#This Row],[Pcode]]="","",OFFSET(CampList[Priority],MATCH(Table_NFI[[#This Row],[Pcode]],CampList[CP_Pcode],0)-1,0,1,1))</f>
        <v>P4</v>
      </c>
      <c r="AU1079" s="293">
        <f>IFERROR(Table_NFI[[#This Row],[Kitchen Set]]/VLOOKUP(Table_NFI[[#This Row],[Camp Name]],CL,4,0),"")</f>
        <v>0</v>
      </c>
      <c r="AV1079" s="461" t="s">
        <v>1092</v>
      </c>
      <c r="AW1079" s="463"/>
    </row>
    <row r="1080" spans="1:49" s="472" customFormat="1" ht="15.75" customHeight="1" x14ac:dyDescent="0.25">
      <c r="A1080" s="297">
        <f t="shared" si="16"/>
        <v>61.533333333333331</v>
      </c>
      <c r="B1080" s="460">
        <v>40890</v>
      </c>
      <c r="C1080" s="461" t="s">
        <v>452</v>
      </c>
      <c r="D1080" s="462" t="s">
        <v>572</v>
      </c>
      <c r="E1080" s="461" t="s">
        <v>380</v>
      </c>
      <c r="F1080" s="290" t="s">
        <v>185</v>
      </c>
      <c r="G1080" s="290" t="s">
        <v>194</v>
      </c>
      <c r="H1080" s="291"/>
      <c r="I1080" s="291"/>
      <c r="J1080" s="291"/>
      <c r="K1080" s="291">
        <v>250</v>
      </c>
      <c r="L1080" s="292">
        <v>125</v>
      </c>
      <c r="M1080" s="292">
        <v>250</v>
      </c>
      <c r="N1080" s="292">
        <v>125</v>
      </c>
      <c r="O1080" s="292">
        <v>125</v>
      </c>
      <c r="P1080" s="294">
        <v>125</v>
      </c>
      <c r="Q1080" s="294">
        <v>125</v>
      </c>
      <c r="R1080" s="294"/>
      <c r="S1080" s="294"/>
      <c r="T1080" s="294"/>
      <c r="U1080" s="294"/>
      <c r="V1080" s="431"/>
      <c r="W1080" s="331"/>
      <c r="X1080" s="331"/>
      <c r="Y1080" s="294">
        <f>IF(NFI_Expiration=1,IF($A1080&lt;VLOOKUP(H$5,NFI,5,0),1,0)*Table_NFI[[#This Row],[Hygiene Kit]],Table_NFI[Hygiene Kit])</f>
        <v>0</v>
      </c>
      <c r="Z1080" s="294">
        <f>IF(NFI_Expiration=1,IF($A1080&lt;VLOOKUP(I$5,NFI,5,0),1,0)*Table_NFI[[#This Row],[NFI Core Kit]],Table_NFI[NFI Core Kit])</f>
        <v>0</v>
      </c>
      <c r="AA1080" s="294">
        <f>IF(NFI_Expiration=1,IF($A1080&lt;VLOOKUP(J$5,NFI,5,0),1,0)*Table_NFI[[#This Row],[Sanitary Kit]],Table_NFI[Sanitary Kit])</f>
        <v>0</v>
      </c>
      <c r="AB1080" s="294">
        <f>IF(NFI_Expiration=1,IF($A1080&lt;VLOOKUP(K$5,NFI,5,0),1,0)*Table_NFI[[#This Row],[Mosquito net]],Table_NFI[Mosquito net])</f>
        <v>0</v>
      </c>
      <c r="AC1080" s="294">
        <f>IF(NFI_Expiration=1,IF($A1080&lt;VLOOKUP(L$5,NFI,5,0),1,0)*Table_NFI[[#This Row],[Tarpaulin]],Table_NFI[[#This Row],[Tarpaulin]])</f>
        <v>0</v>
      </c>
      <c r="AD1080" s="294">
        <f>IF(NFI_Expiration=1,IF($A1080&lt;VLOOKUP(M$5,NFI,5,0),1,0)*Table_NFI[[#This Row],[Blanket]],Table_NFI[[#This Row],[Blanket]])</f>
        <v>0</v>
      </c>
      <c r="AE1080" s="294">
        <f>IF(NFI_Expiration=1,IF($A1080&lt;VLOOKUP(N$5,NFI,5,0),1,0)*Table_NFI[[#This Row],[Kitchen Set]],Table_NFI[Kitchen Set])</f>
        <v>0</v>
      </c>
      <c r="AF1080" s="294">
        <f>IF(NFI_Expiration=1,IF($A1080&lt;VLOOKUP(O$5,NFI,5,0),1,0)*Table_NFI[[#This Row],[Clothes Kit]],Table_NFI[Clothes Kit])</f>
        <v>0</v>
      </c>
      <c r="AG1080" s="294">
        <f>IF(NFI_Expiration=1,IF($A1080&lt;VLOOKUP(P$5,NFI,5,0),1,0)*Table_NFI[[#This Row],[Plastic Bucket]],Table_NFI[Plastic Bucket])</f>
        <v>0</v>
      </c>
      <c r="AH1080" s="294">
        <f>IF(NFI_Expiration=1,IF($A1080&lt;VLOOKUP(Q$5,NFI,5,0),1,0)*Table_NFI[[#This Row],[Plastic Mat]],Table_NFI[Plastic Mat])*IF(Table_NFI[[#This Row],[Distribution Date]]&gt;"2014-04-01",1,2.5)</f>
        <v>0</v>
      </c>
      <c r="AI1080" s="294">
        <f>IF(NFI_Expiration=1,IF($A1080&lt;VLOOKUP(R$5,NFI,5,0),1,0)*Table_NFI[[#This Row],[Winter Clothes Adult]],Table_NFI[Winter Clothes Adult])</f>
        <v>0</v>
      </c>
      <c r="AJ1080" s="294">
        <f>IF(NFI_Expiration=1,IF($A1080&lt;VLOOKUP(S$5,NFI,5,0),1,0)*Table_NFI[[#This Row],[Winter Clothes Children]],Table_NFI[Winter Clothes Children])</f>
        <v>0</v>
      </c>
      <c r="AK1080" s="294">
        <f>IF(NFI_Expiration=1,IF($A1080&lt;VLOOKUP(T$5,NFI,5,0),1,0)*Table_NFI[[#This Row],[Winter Items Other]],Table_NFI[Winter Items Other])</f>
        <v>0</v>
      </c>
      <c r="AL1080" s="294">
        <f>IF(NFI_Expiration=1,IF($A1080&lt;VLOOKUP(M$5,NFI,5,0),1,0)*Table_NFI[[#This Row],[Winter Blanket]],Table_NFI[[#This Row],[Winter Blanket]])</f>
        <v>0</v>
      </c>
      <c r="AM1080" s="294">
        <f>IF(Table_NFI[[#This Row],[Winter Clothes Adult]]+Table_NFI[[#This Row],[Winter Clothes Children]]+Table_NFI[[#This Row],[Winter Items Other]]+Table_NFI[[#This Row],[Winter Blanket]]&gt;0,1,0)</f>
        <v>0</v>
      </c>
      <c r="AN1080" s="331">
        <f>IF(NFI_Expiration=1,IF($A1080&lt;VLOOKUP(V$5,NFI,5,0),1,0)*Table_NFI[[#This Row],[Jerry Can]],Table_NFI[Jerry Can])</f>
        <v>0</v>
      </c>
      <c r="AO1080" s="331">
        <f>IF(NFI_Expiration=1,IF($A1080&lt;VLOOKUP(V$5,NFI,5,0),1,0)*Table_NFI[[#This Row],[Shelter Tool kit]],Table_NFI[Shelter Tool kit])</f>
        <v>0</v>
      </c>
      <c r="AP1080" s="331">
        <f>IF(NFI_Expiration=1,IF($A1080&lt;VLOOKUP(V$5,NFI,5,0),1,0)*Table_NFI[[#This Row],[Tent]],Table_NFI[Tent])</f>
        <v>0</v>
      </c>
      <c r="AQ1080" s="467" t="str">
        <f>IFERROR(VLOOKUP(Table_NFI[[#This Row],[Camp Name]],CL,2,0),"")</f>
        <v>MMR001CMP122</v>
      </c>
      <c r="AR1080" s="835">
        <f ca="1">IF(Table_NFI[[#This Row],[Pcode]]="","",IF(OFFSET(CampList[Opening Date],MATCH(Table_NFI[[#This Row],[Pcode]],CampList[CP_Pcode],0)-1,0,1,1)&gt;=NFI_Monitor_Date,1,0))</f>
        <v>0</v>
      </c>
      <c r="AS1080" s="467" t="str">
        <f>IFERROR(VLOOKUP(Table_NFI[[#This Row],[Camp Name]],CL,3,0),"")</f>
        <v>Open</v>
      </c>
      <c r="AT1080" s="294" t="str">
        <f ca="1">IF(Table_NFI[[#This Row],[Pcode]]="","",OFFSET(CampList[Priority],MATCH(Table_NFI[[#This Row],[Pcode]],CampList[CP_Pcode],0)-1,0,1,1))</f>
        <v>P2</v>
      </c>
      <c r="AU1080" s="293">
        <f>IFERROR(Table_NFI[[#This Row],[Kitchen Set]]/VLOOKUP(Table_NFI[[#This Row],[Camp Name]],CL,4,0),"")</f>
        <v>3.0716304214276936E-3</v>
      </c>
      <c r="AV1080" s="461" t="s">
        <v>1092</v>
      </c>
      <c r="AW1080" s="463"/>
    </row>
    <row r="1081" spans="1:49" s="472" customFormat="1" ht="15.75" customHeight="1" x14ac:dyDescent="0.25">
      <c r="A1081" s="297">
        <f t="shared" si="16"/>
        <v>61.533333333333331</v>
      </c>
      <c r="B1081" s="460">
        <v>40890</v>
      </c>
      <c r="C1081" s="461" t="s">
        <v>452</v>
      </c>
      <c r="D1081" s="462" t="s">
        <v>572</v>
      </c>
      <c r="E1081" s="461" t="s">
        <v>380</v>
      </c>
      <c r="F1081" s="290" t="s">
        <v>185</v>
      </c>
      <c r="G1081" s="290" t="s">
        <v>196</v>
      </c>
      <c r="H1081" s="291"/>
      <c r="I1081" s="291"/>
      <c r="J1081" s="291"/>
      <c r="K1081" s="291">
        <v>250</v>
      </c>
      <c r="L1081" s="292">
        <v>125</v>
      </c>
      <c r="M1081" s="292">
        <v>250</v>
      </c>
      <c r="N1081" s="292">
        <v>125</v>
      </c>
      <c r="O1081" s="292">
        <v>125</v>
      </c>
      <c r="P1081" s="294">
        <v>125</v>
      </c>
      <c r="Q1081" s="294">
        <v>125</v>
      </c>
      <c r="R1081" s="294"/>
      <c r="S1081" s="294"/>
      <c r="T1081" s="294"/>
      <c r="U1081" s="294"/>
      <c r="V1081" s="431"/>
      <c r="W1081" s="331"/>
      <c r="X1081" s="331"/>
      <c r="Y1081" s="294">
        <f>IF(NFI_Expiration=1,IF($A1081&lt;VLOOKUP(H$5,NFI,5,0),1,0)*Table_NFI[[#This Row],[Hygiene Kit]],Table_NFI[Hygiene Kit])</f>
        <v>0</v>
      </c>
      <c r="Z1081" s="294">
        <f>IF(NFI_Expiration=1,IF($A1081&lt;VLOOKUP(I$5,NFI,5,0),1,0)*Table_NFI[[#This Row],[NFI Core Kit]],Table_NFI[NFI Core Kit])</f>
        <v>0</v>
      </c>
      <c r="AA1081" s="294">
        <f>IF(NFI_Expiration=1,IF($A1081&lt;VLOOKUP(J$5,NFI,5,0),1,0)*Table_NFI[[#This Row],[Sanitary Kit]],Table_NFI[Sanitary Kit])</f>
        <v>0</v>
      </c>
      <c r="AB1081" s="294">
        <f>IF(NFI_Expiration=1,IF($A1081&lt;VLOOKUP(K$5,NFI,5,0),1,0)*Table_NFI[[#This Row],[Mosquito net]],Table_NFI[Mosquito net])</f>
        <v>0</v>
      </c>
      <c r="AC1081" s="294">
        <f>IF(NFI_Expiration=1,IF($A1081&lt;VLOOKUP(L$5,NFI,5,0),1,0)*Table_NFI[[#This Row],[Tarpaulin]],Table_NFI[[#This Row],[Tarpaulin]])</f>
        <v>0</v>
      </c>
      <c r="AD1081" s="294">
        <f>IF(NFI_Expiration=1,IF($A1081&lt;VLOOKUP(M$5,NFI,5,0),1,0)*Table_NFI[[#This Row],[Blanket]],Table_NFI[[#This Row],[Blanket]])</f>
        <v>0</v>
      </c>
      <c r="AE1081" s="294">
        <f>IF(NFI_Expiration=1,IF($A1081&lt;VLOOKUP(N$5,NFI,5,0),1,0)*Table_NFI[[#This Row],[Kitchen Set]],Table_NFI[Kitchen Set])</f>
        <v>0</v>
      </c>
      <c r="AF1081" s="294">
        <f>IF(NFI_Expiration=1,IF($A1081&lt;VLOOKUP(O$5,NFI,5,0),1,0)*Table_NFI[[#This Row],[Clothes Kit]],Table_NFI[Clothes Kit])</f>
        <v>0</v>
      </c>
      <c r="AG1081" s="294">
        <f>IF(NFI_Expiration=1,IF($A1081&lt;VLOOKUP(P$5,NFI,5,0),1,0)*Table_NFI[[#This Row],[Plastic Bucket]],Table_NFI[Plastic Bucket])</f>
        <v>0</v>
      </c>
      <c r="AH1081" s="294">
        <f>IF(NFI_Expiration=1,IF($A1081&lt;VLOOKUP(Q$5,NFI,5,0),1,0)*Table_NFI[[#This Row],[Plastic Mat]],Table_NFI[Plastic Mat])*IF(Table_NFI[[#This Row],[Distribution Date]]&gt;"2014-04-01",1,2.5)</f>
        <v>0</v>
      </c>
      <c r="AI1081" s="294">
        <f>IF(NFI_Expiration=1,IF($A1081&lt;VLOOKUP(R$5,NFI,5,0),1,0)*Table_NFI[[#This Row],[Winter Clothes Adult]],Table_NFI[Winter Clothes Adult])</f>
        <v>0</v>
      </c>
      <c r="AJ1081" s="294">
        <f>IF(NFI_Expiration=1,IF($A1081&lt;VLOOKUP(S$5,NFI,5,0),1,0)*Table_NFI[[#This Row],[Winter Clothes Children]],Table_NFI[Winter Clothes Children])</f>
        <v>0</v>
      </c>
      <c r="AK1081" s="294">
        <f>IF(NFI_Expiration=1,IF($A1081&lt;VLOOKUP(T$5,NFI,5,0),1,0)*Table_NFI[[#This Row],[Winter Items Other]],Table_NFI[Winter Items Other])</f>
        <v>0</v>
      </c>
      <c r="AL1081" s="294">
        <f>IF(NFI_Expiration=1,IF($A1081&lt;VLOOKUP(M$5,NFI,5,0),1,0)*Table_NFI[[#This Row],[Winter Blanket]],Table_NFI[[#This Row],[Winter Blanket]])</f>
        <v>0</v>
      </c>
      <c r="AM1081" s="294">
        <f>IF(Table_NFI[[#This Row],[Winter Clothes Adult]]+Table_NFI[[#This Row],[Winter Clothes Children]]+Table_NFI[[#This Row],[Winter Items Other]]+Table_NFI[[#This Row],[Winter Blanket]]&gt;0,1,0)</f>
        <v>0</v>
      </c>
      <c r="AN1081" s="331">
        <f>IF(NFI_Expiration=1,IF($A1081&lt;VLOOKUP(V$5,NFI,5,0),1,0)*Table_NFI[[#This Row],[Jerry Can]],Table_NFI[Jerry Can])</f>
        <v>0</v>
      </c>
      <c r="AO1081" s="331">
        <f>IF(NFI_Expiration=1,IF($A1081&lt;VLOOKUP(V$5,NFI,5,0),1,0)*Table_NFI[[#This Row],[Shelter Tool kit]],Table_NFI[Shelter Tool kit])</f>
        <v>0</v>
      </c>
      <c r="AP1081" s="331">
        <f>IF(NFI_Expiration=1,IF($A1081&lt;VLOOKUP(V$5,NFI,5,0),1,0)*Table_NFI[[#This Row],[Tent]],Table_NFI[Tent])</f>
        <v>0</v>
      </c>
      <c r="AQ1081" s="467" t="str">
        <f>IFERROR(VLOOKUP(Table_NFI[[#This Row],[Camp Name]],CL,2,0),"")</f>
        <v>MMR001CMP121</v>
      </c>
      <c r="AR1081" s="835">
        <f ca="1">IF(Table_NFI[[#This Row],[Pcode]]="","",IF(OFFSET(CampList[Opening Date],MATCH(Table_NFI[[#This Row],[Pcode]],CampList[CP_Pcode],0)-1,0,1,1)&gt;=NFI_Monitor_Date,1,0))</f>
        <v>0</v>
      </c>
      <c r="AS1081" s="467" t="str">
        <f>IFERROR(VLOOKUP(Table_NFI[[#This Row],[Camp Name]],CL,3,0),"")</f>
        <v>Open</v>
      </c>
      <c r="AT1081" s="294" t="str">
        <f ca="1">IF(Table_NFI[[#This Row],[Pcode]]="","",OFFSET(CampList[Priority],MATCH(Table_NFI[[#This Row],[Pcode]],CampList[CP_Pcode],0)-1,0,1,1))</f>
        <v>P2</v>
      </c>
      <c r="AU1081" s="293">
        <f>IFERROR(Table_NFI[[#This Row],[Kitchen Set]]/VLOOKUP(Table_NFI[[#This Row],[Camp Name]],CL,4,0),"")</f>
        <v>3.0442512359660019E-3</v>
      </c>
      <c r="AV1081" s="461" t="s">
        <v>1092</v>
      </c>
      <c r="AW1081" s="463"/>
    </row>
    <row r="1082" spans="1:49" s="472" customFormat="1" ht="14.45" customHeight="1" x14ac:dyDescent="0.25">
      <c r="A1082" s="297">
        <f t="shared" si="16"/>
        <v>61.533333333333331</v>
      </c>
      <c r="B1082" s="460">
        <v>40890</v>
      </c>
      <c r="C1082" s="461" t="s">
        <v>452</v>
      </c>
      <c r="D1082" s="462" t="s">
        <v>572</v>
      </c>
      <c r="E1082" s="461" t="s">
        <v>380</v>
      </c>
      <c r="F1082" s="290" t="s">
        <v>310</v>
      </c>
      <c r="G1082" s="290" t="s">
        <v>322</v>
      </c>
      <c r="H1082" s="291"/>
      <c r="I1082" s="291"/>
      <c r="J1082" s="291"/>
      <c r="K1082" s="291">
        <v>250</v>
      </c>
      <c r="L1082" s="292">
        <v>125</v>
      </c>
      <c r="M1082" s="292">
        <v>250</v>
      </c>
      <c r="N1082" s="292">
        <v>125</v>
      </c>
      <c r="O1082" s="292">
        <v>125</v>
      </c>
      <c r="P1082" s="294">
        <v>125</v>
      </c>
      <c r="Q1082" s="294">
        <v>125</v>
      </c>
      <c r="R1082" s="294"/>
      <c r="S1082" s="294"/>
      <c r="T1082" s="294"/>
      <c r="U1082" s="294"/>
      <c r="V1082" s="431"/>
      <c r="W1082" s="331"/>
      <c r="X1082" s="331"/>
      <c r="Y1082" s="294">
        <f>IF(NFI_Expiration=1,IF($A1082&lt;VLOOKUP(H$5,NFI,5,0),1,0)*Table_NFI[[#This Row],[Hygiene Kit]],Table_NFI[Hygiene Kit])</f>
        <v>0</v>
      </c>
      <c r="Z1082" s="294">
        <f>IF(NFI_Expiration=1,IF($A1082&lt;VLOOKUP(I$5,NFI,5,0),1,0)*Table_NFI[[#This Row],[NFI Core Kit]],Table_NFI[NFI Core Kit])</f>
        <v>0</v>
      </c>
      <c r="AA1082" s="294">
        <f>IF(NFI_Expiration=1,IF($A1082&lt;VLOOKUP(J$5,NFI,5,0),1,0)*Table_NFI[[#This Row],[Sanitary Kit]],Table_NFI[Sanitary Kit])</f>
        <v>0</v>
      </c>
      <c r="AB1082" s="294">
        <f>IF(NFI_Expiration=1,IF($A1082&lt;VLOOKUP(K$5,NFI,5,0),1,0)*Table_NFI[[#This Row],[Mosquito net]],Table_NFI[Mosquito net])</f>
        <v>0</v>
      </c>
      <c r="AC1082" s="294">
        <f>IF(NFI_Expiration=1,IF($A1082&lt;VLOOKUP(L$5,NFI,5,0),1,0)*Table_NFI[[#This Row],[Tarpaulin]],Table_NFI[[#This Row],[Tarpaulin]])</f>
        <v>0</v>
      </c>
      <c r="AD1082" s="294">
        <f>IF(NFI_Expiration=1,IF($A1082&lt;VLOOKUP(M$5,NFI,5,0),1,0)*Table_NFI[[#This Row],[Blanket]],Table_NFI[[#This Row],[Blanket]])</f>
        <v>0</v>
      </c>
      <c r="AE1082" s="294">
        <f>IF(NFI_Expiration=1,IF($A1082&lt;VLOOKUP(N$5,NFI,5,0),1,0)*Table_NFI[[#This Row],[Kitchen Set]],Table_NFI[Kitchen Set])</f>
        <v>0</v>
      </c>
      <c r="AF1082" s="294">
        <f>IF(NFI_Expiration=1,IF($A1082&lt;VLOOKUP(O$5,NFI,5,0),1,0)*Table_NFI[[#This Row],[Clothes Kit]],Table_NFI[Clothes Kit])</f>
        <v>0</v>
      </c>
      <c r="AG1082" s="294">
        <f>IF(NFI_Expiration=1,IF($A1082&lt;VLOOKUP(P$5,NFI,5,0),1,0)*Table_NFI[[#This Row],[Plastic Bucket]],Table_NFI[Plastic Bucket])</f>
        <v>0</v>
      </c>
      <c r="AH1082" s="294">
        <f>IF(NFI_Expiration=1,IF($A1082&lt;VLOOKUP(Q$5,NFI,5,0),1,0)*Table_NFI[[#This Row],[Plastic Mat]],Table_NFI[Plastic Mat])*IF(Table_NFI[[#This Row],[Distribution Date]]&gt;"2014-04-01",1,2.5)</f>
        <v>0</v>
      </c>
      <c r="AI1082" s="294">
        <f>IF(NFI_Expiration=1,IF($A1082&lt;VLOOKUP(R$5,NFI,5,0),1,0)*Table_NFI[[#This Row],[Winter Clothes Adult]],Table_NFI[Winter Clothes Adult])</f>
        <v>0</v>
      </c>
      <c r="AJ1082" s="294">
        <f>IF(NFI_Expiration=1,IF($A1082&lt;VLOOKUP(S$5,NFI,5,0),1,0)*Table_NFI[[#This Row],[Winter Clothes Children]],Table_NFI[Winter Clothes Children])</f>
        <v>0</v>
      </c>
      <c r="AK1082" s="294">
        <f>IF(NFI_Expiration=1,IF($A1082&lt;VLOOKUP(T$5,NFI,5,0),1,0)*Table_NFI[[#This Row],[Winter Items Other]],Table_NFI[Winter Items Other])</f>
        <v>0</v>
      </c>
      <c r="AL1082" s="294">
        <f>IF(NFI_Expiration=1,IF($A1082&lt;VLOOKUP(M$5,NFI,5,0),1,0)*Table_NFI[[#This Row],[Winter Blanket]],Table_NFI[[#This Row],[Winter Blanket]])</f>
        <v>0</v>
      </c>
      <c r="AM1082" s="294">
        <f>IF(Table_NFI[[#This Row],[Winter Clothes Adult]]+Table_NFI[[#This Row],[Winter Clothes Children]]+Table_NFI[[#This Row],[Winter Items Other]]+Table_NFI[[#This Row],[Winter Blanket]]&gt;0,1,0)</f>
        <v>0</v>
      </c>
      <c r="AN1082" s="331">
        <f>IF(NFI_Expiration=1,IF($A1082&lt;VLOOKUP(V$5,NFI,5,0),1,0)*Table_NFI[[#This Row],[Jerry Can]],Table_NFI[Jerry Can])</f>
        <v>0</v>
      </c>
      <c r="AO1082" s="331">
        <f>IF(NFI_Expiration=1,IF($A1082&lt;VLOOKUP(V$5,NFI,5,0),1,0)*Table_NFI[[#This Row],[Shelter Tool kit]],Table_NFI[Shelter Tool kit])</f>
        <v>0</v>
      </c>
      <c r="AP1082" s="331">
        <f>IF(NFI_Expiration=1,IF($A1082&lt;VLOOKUP(V$5,NFI,5,0),1,0)*Table_NFI[[#This Row],[Tent]],Table_NFI[Tent])</f>
        <v>0</v>
      </c>
      <c r="AQ1082" s="467" t="str">
        <f>IFERROR(VLOOKUP(Table_NFI[[#This Row],[Camp Name]],CL,2,0),"")</f>
        <v>MMR001CMP119</v>
      </c>
      <c r="AR1082" s="835">
        <f ca="1">IF(Table_NFI[[#This Row],[Pcode]]="","",IF(OFFSET(CampList[Opening Date],MATCH(Table_NFI[[#This Row],[Pcode]],CampList[CP_Pcode],0)-1,0,1,1)&gt;=NFI_Monitor_Date,1,0))</f>
        <v>0</v>
      </c>
      <c r="AS1082" s="467" t="str">
        <f>IFERROR(VLOOKUP(Table_NFI[[#This Row],[Camp Name]],CL,3,0),"")</f>
        <v>Open</v>
      </c>
      <c r="AT1082" s="294" t="str">
        <f ca="1">IF(Table_NFI[[#This Row],[Pcode]]="","",OFFSET(CampList[Priority],MATCH(Table_NFI[[#This Row],[Pcode]],CampList[CP_Pcode],0)-1,0,1,1))</f>
        <v>P2</v>
      </c>
      <c r="AU1082" s="293">
        <f>IFERROR(Table_NFI[[#This Row],[Kitchen Set]]/VLOOKUP(Table_NFI[[#This Row],[Camp Name]],CL,4,0),"")</f>
        <v>3.0716304214276936E-3</v>
      </c>
      <c r="AV1082" s="461" t="s">
        <v>1092</v>
      </c>
      <c r="AW1082" s="463"/>
    </row>
    <row r="1083" spans="1:49" s="472" customFormat="1" ht="15.75" customHeight="1" x14ac:dyDescent="0.25">
      <c r="A1083" s="297">
        <f t="shared" si="16"/>
        <v>61.533333333333331</v>
      </c>
      <c r="B1083" s="460">
        <v>40890</v>
      </c>
      <c r="C1083" s="461" t="s">
        <v>452</v>
      </c>
      <c r="D1083" s="462" t="s">
        <v>572</v>
      </c>
      <c r="E1083" s="461" t="s">
        <v>380</v>
      </c>
      <c r="F1083" s="290" t="s">
        <v>310</v>
      </c>
      <c r="G1083" s="290" t="s">
        <v>1245</v>
      </c>
      <c r="H1083" s="291"/>
      <c r="I1083" s="291"/>
      <c r="J1083" s="291"/>
      <c r="K1083" s="291">
        <v>250</v>
      </c>
      <c r="L1083" s="292">
        <v>125</v>
      </c>
      <c r="M1083" s="292">
        <v>250</v>
      </c>
      <c r="N1083" s="292">
        <v>125</v>
      </c>
      <c r="O1083" s="292">
        <v>125</v>
      </c>
      <c r="P1083" s="294">
        <v>125</v>
      </c>
      <c r="Q1083" s="294">
        <v>125</v>
      </c>
      <c r="R1083" s="294"/>
      <c r="S1083" s="294"/>
      <c r="T1083" s="294"/>
      <c r="U1083" s="294"/>
      <c r="V1083" s="431"/>
      <c r="W1083" s="331"/>
      <c r="X1083" s="331"/>
      <c r="Y1083" s="294">
        <f>IF(NFI_Expiration=1,IF($A1083&lt;VLOOKUP(H$5,NFI,5,0),1,0)*Table_NFI[[#This Row],[Hygiene Kit]],Table_NFI[Hygiene Kit])</f>
        <v>0</v>
      </c>
      <c r="Z1083" s="294">
        <f>IF(NFI_Expiration=1,IF($A1083&lt;VLOOKUP(I$5,NFI,5,0),1,0)*Table_NFI[[#This Row],[NFI Core Kit]],Table_NFI[NFI Core Kit])</f>
        <v>0</v>
      </c>
      <c r="AA1083" s="294">
        <f>IF(NFI_Expiration=1,IF($A1083&lt;VLOOKUP(J$5,NFI,5,0),1,0)*Table_NFI[[#This Row],[Sanitary Kit]],Table_NFI[Sanitary Kit])</f>
        <v>0</v>
      </c>
      <c r="AB1083" s="294">
        <f>IF(NFI_Expiration=1,IF($A1083&lt;VLOOKUP(K$5,NFI,5,0),1,0)*Table_NFI[[#This Row],[Mosquito net]],Table_NFI[Mosquito net])</f>
        <v>0</v>
      </c>
      <c r="AC1083" s="294">
        <f>IF(NFI_Expiration=1,IF($A1083&lt;VLOOKUP(L$5,NFI,5,0),1,0)*Table_NFI[[#This Row],[Tarpaulin]],Table_NFI[[#This Row],[Tarpaulin]])</f>
        <v>0</v>
      </c>
      <c r="AD1083" s="294">
        <f>IF(NFI_Expiration=1,IF($A1083&lt;VLOOKUP(M$5,NFI,5,0),1,0)*Table_NFI[[#This Row],[Blanket]],Table_NFI[[#This Row],[Blanket]])</f>
        <v>0</v>
      </c>
      <c r="AE1083" s="294">
        <f>IF(NFI_Expiration=1,IF($A1083&lt;VLOOKUP(N$5,NFI,5,0),1,0)*Table_NFI[[#This Row],[Kitchen Set]],Table_NFI[Kitchen Set])</f>
        <v>0</v>
      </c>
      <c r="AF1083" s="294">
        <f>IF(NFI_Expiration=1,IF($A1083&lt;VLOOKUP(O$5,NFI,5,0),1,0)*Table_NFI[[#This Row],[Clothes Kit]],Table_NFI[Clothes Kit])</f>
        <v>0</v>
      </c>
      <c r="AG1083" s="294">
        <f>IF(NFI_Expiration=1,IF($A1083&lt;VLOOKUP(P$5,NFI,5,0),1,0)*Table_NFI[[#This Row],[Plastic Bucket]],Table_NFI[Plastic Bucket])</f>
        <v>0</v>
      </c>
      <c r="AH1083" s="294">
        <f>IF(NFI_Expiration=1,IF($A1083&lt;VLOOKUP(Q$5,NFI,5,0),1,0)*Table_NFI[[#This Row],[Plastic Mat]],Table_NFI[Plastic Mat])*IF(Table_NFI[[#This Row],[Distribution Date]]&gt;"2014-04-01",1,2.5)</f>
        <v>0</v>
      </c>
      <c r="AI1083" s="294">
        <f>IF(NFI_Expiration=1,IF($A1083&lt;VLOOKUP(R$5,NFI,5,0),1,0)*Table_NFI[[#This Row],[Winter Clothes Adult]],Table_NFI[Winter Clothes Adult])</f>
        <v>0</v>
      </c>
      <c r="AJ1083" s="294">
        <f>IF(NFI_Expiration=1,IF($A1083&lt;VLOOKUP(S$5,NFI,5,0),1,0)*Table_NFI[[#This Row],[Winter Clothes Children]],Table_NFI[Winter Clothes Children])</f>
        <v>0</v>
      </c>
      <c r="AK1083" s="294">
        <f>IF(NFI_Expiration=1,IF($A1083&lt;VLOOKUP(T$5,NFI,5,0),1,0)*Table_NFI[[#This Row],[Winter Items Other]],Table_NFI[Winter Items Other])</f>
        <v>0</v>
      </c>
      <c r="AL1083" s="294">
        <f>IF(NFI_Expiration=1,IF($A1083&lt;VLOOKUP(M$5,NFI,5,0),1,0)*Table_NFI[[#This Row],[Winter Blanket]],Table_NFI[[#This Row],[Winter Blanket]])</f>
        <v>0</v>
      </c>
      <c r="AM1083" s="294">
        <f>IF(Table_NFI[[#This Row],[Winter Clothes Adult]]+Table_NFI[[#This Row],[Winter Clothes Children]]+Table_NFI[[#This Row],[Winter Items Other]]+Table_NFI[[#This Row],[Winter Blanket]]&gt;0,1,0)</f>
        <v>0</v>
      </c>
      <c r="AN1083" s="331">
        <f>IF(NFI_Expiration=1,IF($A1083&lt;VLOOKUP(V$5,NFI,5,0),1,0)*Table_NFI[[#This Row],[Jerry Can]],Table_NFI[Jerry Can])</f>
        <v>0</v>
      </c>
      <c r="AO1083" s="331">
        <f>IF(NFI_Expiration=1,IF($A1083&lt;VLOOKUP(V$5,NFI,5,0),1,0)*Table_NFI[[#This Row],[Shelter Tool kit]],Table_NFI[Shelter Tool kit])</f>
        <v>0</v>
      </c>
      <c r="AP1083" s="331">
        <f>IF(NFI_Expiration=1,IF($A1083&lt;VLOOKUP(V$5,NFI,5,0),1,0)*Table_NFI[[#This Row],[Tent]],Table_NFI[Tent])</f>
        <v>0</v>
      </c>
      <c r="AQ1083" s="467" t="str">
        <f>IFERROR(VLOOKUP(Table_NFI[[#This Row],[Camp Name]],CL,2,0),"")</f>
        <v>MMR001CMP111</v>
      </c>
      <c r="AR1083" s="835">
        <f ca="1">IF(Table_NFI[[#This Row],[Pcode]]="","",IF(OFFSET(CampList[Opening Date],MATCH(Table_NFI[[#This Row],[Pcode]],CampList[CP_Pcode],0)-1,0,1,1)&gt;=NFI_Monitor_Date,1,0))</f>
        <v>0</v>
      </c>
      <c r="AS1083" s="467" t="str">
        <f>IFERROR(VLOOKUP(Table_NFI[[#This Row],[Camp Name]],CL,3,0),"")</f>
        <v>Open</v>
      </c>
      <c r="AT1083" s="294" t="str">
        <f ca="1">IF(Table_NFI[[#This Row],[Pcode]]="","",OFFSET(CampList[Priority],MATCH(Table_NFI[[#This Row],[Pcode]],CampList[CP_Pcode],0)-1,0,1,1))</f>
        <v>P2</v>
      </c>
      <c r="AU1083" s="293">
        <f>IFERROR(Table_NFI[[#This Row],[Kitchen Set]]/VLOOKUP(Table_NFI[[#This Row],[Camp Name]],CL,4,0),"")</f>
        <v>3.0601253427340385E-3</v>
      </c>
      <c r="AV1083" s="461" t="s">
        <v>1092</v>
      </c>
      <c r="AW1083" s="463"/>
    </row>
    <row r="1084" spans="1:49" s="472" customFormat="1" ht="15.75" customHeight="1" x14ac:dyDescent="0.25">
      <c r="A1084" s="297">
        <f t="shared" si="16"/>
        <v>61.6</v>
      </c>
      <c r="B1084" s="460">
        <v>40888</v>
      </c>
      <c r="C1084" s="461" t="s">
        <v>452</v>
      </c>
      <c r="D1084" s="461" t="s">
        <v>460</v>
      </c>
      <c r="E1084" s="461" t="s">
        <v>380</v>
      </c>
      <c r="F1084" s="290" t="s">
        <v>237</v>
      </c>
      <c r="G1084" s="290" t="s">
        <v>261</v>
      </c>
      <c r="H1084" s="291"/>
      <c r="I1084" s="291"/>
      <c r="J1084" s="291"/>
      <c r="K1084" s="291">
        <v>6</v>
      </c>
      <c r="L1084" s="292">
        <v>4</v>
      </c>
      <c r="M1084" s="292">
        <v>6</v>
      </c>
      <c r="N1084" s="292">
        <v>4</v>
      </c>
      <c r="O1084" s="292">
        <v>4</v>
      </c>
      <c r="P1084" s="294">
        <v>4</v>
      </c>
      <c r="Q1084" s="294">
        <v>4</v>
      </c>
      <c r="R1084" s="294"/>
      <c r="S1084" s="294"/>
      <c r="T1084" s="294"/>
      <c r="U1084" s="294"/>
      <c r="V1084" s="431"/>
      <c r="W1084" s="331"/>
      <c r="X1084" s="331"/>
      <c r="Y1084" s="294">
        <f>IF(NFI_Expiration=1,IF($A1084&lt;VLOOKUP(H$5,NFI,5,0),1,0)*Table_NFI[[#This Row],[Hygiene Kit]],Table_NFI[Hygiene Kit])</f>
        <v>0</v>
      </c>
      <c r="Z1084" s="294">
        <f>IF(NFI_Expiration=1,IF($A1084&lt;VLOOKUP(I$5,NFI,5,0),1,0)*Table_NFI[[#This Row],[NFI Core Kit]],Table_NFI[NFI Core Kit])</f>
        <v>0</v>
      </c>
      <c r="AA1084" s="294">
        <f>IF(NFI_Expiration=1,IF($A1084&lt;VLOOKUP(J$5,NFI,5,0),1,0)*Table_NFI[[#This Row],[Sanitary Kit]],Table_NFI[Sanitary Kit])</f>
        <v>0</v>
      </c>
      <c r="AB1084" s="294">
        <f>IF(NFI_Expiration=1,IF($A1084&lt;VLOOKUP(K$5,NFI,5,0),1,0)*Table_NFI[[#This Row],[Mosquito net]],Table_NFI[Mosquito net])</f>
        <v>0</v>
      </c>
      <c r="AC1084" s="294">
        <f>IF(NFI_Expiration=1,IF($A1084&lt;VLOOKUP(L$5,NFI,5,0),1,0)*Table_NFI[[#This Row],[Tarpaulin]],Table_NFI[[#This Row],[Tarpaulin]])</f>
        <v>0</v>
      </c>
      <c r="AD1084" s="294">
        <f>IF(NFI_Expiration=1,IF($A1084&lt;VLOOKUP(M$5,NFI,5,0),1,0)*Table_NFI[[#This Row],[Blanket]],Table_NFI[[#This Row],[Blanket]])</f>
        <v>0</v>
      </c>
      <c r="AE1084" s="294">
        <f>IF(NFI_Expiration=1,IF($A1084&lt;VLOOKUP(N$5,NFI,5,0),1,0)*Table_NFI[[#This Row],[Kitchen Set]],Table_NFI[Kitchen Set])</f>
        <v>0</v>
      </c>
      <c r="AF1084" s="294">
        <f>IF(NFI_Expiration=1,IF($A1084&lt;VLOOKUP(O$5,NFI,5,0),1,0)*Table_NFI[[#This Row],[Clothes Kit]],Table_NFI[Clothes Kit])</f>
        <v>0</v>
      </c>
      <c r="AG1084" s="294">
        <f>IF(NFI_Expiration=1,IF($A1084&lt;VLOOKUP(P$5,NFI,5,0),1,0)*Table_NFI[[#This Row],[Plastic Bucket]],Table_NFI[Plastic Bucket])</f>
        <v>0</v>
      </c>
      <c r="AH1084" s="294">
        <f>IF(NFI_Expiration=1,IF($A1084&lt;VLOOKUP(Q$5,NFI,5,0),1,0)*Table_NFI[[#This Row],[Plastic Mat]],Table_NFI[Plastic Mat])*IF(Table_NFI[[#This Row],[Distribution Date]]&gt;"2014-04-01",1,2.5)</f>
        <v>0</v>
      </c>
      <c r="AI1084" s="294">
        <f>IF(NFI_Expiration=1,IF($A1084&lt;VLOOKUP(R$5,NFI,5,0),1,0)*Table_NFI[[#This Row],[Winter Clothes Adult]],Table_NFI[Winter Clothes Adult])</f>
        <v>0</v>
      </c>
      <c r="AJ1084" s="294">
        <f>IF(NFI_Expiration=1,IF($A1084&lt;VLOOKUP(S$5,NFI,5,0),1,0)*Table_NFI[[#This Row],[Winter Clothes Children]],Table_NFI[Winter Clothes Children])</f>
        <v>0</v>
      </c>
      <c r="AK1084" s="294">
        <f>IF(NFI_Expiration=1,IF($A1084&lt;VLOOKUP(T$5,NFI,5,0),1,0)*Table_NFI[[#This Row],[Winter Items Other]],Table_NFI[Winter Items Other])</f>
        <v>0</v>
      </c>
      <c r="AL1084" s="294">
        <f>IF(NFI_Expiration=1,IF($A1084&lt;VLOOKUP(M$5,NFI,5,0),1,0)*Table_NFI[[#This Row],[Winter Blanket]],Table_NFI[[#This Row],[Winter Blanket]])</f>
        <v>0</v>
      </c>
      <c r="AM1084" s="294">
        <f>IF(Table_NFI[[#This Row],[Winter Clothes Adult]]+Table_NFI[[#This Row],[Winter Clothes Children]]+Table_NFI[[#This Row],[Winter Items Other]]+Table_NFI[[#This Row],[Winter Blanket]]&gt;0,1,0)</f>
        <v>0</v>
      </c>
      <c r="AN1084" s="331">
        <f>IF(NFI_Expiration=1,IF($A1084&lt;VLOOKUP(V$5,NFI,5,0),1,0)*Table_NFI[[#This Row],[Jerry Can]],Table_NFI[Jerry Can])</f>
        <v>0</v>
      </c>
      <c r="AO1084" s="331">
        <f>IF(NFI_Expiration=1,IF($A1084&lt;VLOOKUP(V$5,NFI,5,0),1,0)*Table_NFI[[#This Row],[Shelter Tool kit]],Table_NFI[Shelter Tool kit])</f>
        <v>0</v>
      </c>
      <c r="AP1084" s="331">
        <f>IF(NFI_Expiration=1,IF($A1084&lt;VLOOKUP(V$5,NFI,5,0),1,0)*Table_NFI[[#This Row],[Tent]],Table_NFI[Tent])</f>
        <v>0</v>
      </c>
      <c r="AQ1084" s="467" t="str">
        <f>IFERROR(VLOOKUP(Table_NFI[[#This Row],[Camp Name]],CL,2,0),"")</f>
        <v>MMR001CMP008</v>
      </c>
      <c r="AR1084" s="835">
        <f ca="1">IF(Table_NFI[[#This Row],[Pcode]]="","",IF(OFFSET(CampList[Opening Date],MATCH(Table_NFI[[#This Row],[Pcode]],CampList[CP_Pcode],0)-1,0,1,1)&gt;=NFI_Monitor_Date,1,0))</f>
        <v>0</v>
      </c>
      <c r="AS1084" s="467" t="str">
        <f>IFERROR(VLOOKUP(Table_NFI[[#This Row],[Camp Name]],CL,3,0),"")</f>
        <v>Open</v>
      </c>
      <c r="AT1084" s="294" t="str">
        <f ca="1">IF(Table_NFI[[#This Row],[Pcode]]="","",OFFSET(CampList[Priority],MATCH(Table_NFI[[#This Row],[Pcode]],CampList[CP_Pcode],0)-1,0,1,1))</f>
        <v>P4</v>
      </c>
      <c r="AU1084" s="293">
        <f>IFERROR(Table_NFI[[#This Row],[Kitchen Set]]/VLOOKUP(Table_NFI[[#This Row],[Camp Name]],CL,4,0),"")</f>
        <v>9.8219766728054015E-5</v>
      </c>
      <c r="AV1084" s="461" t="s">
        <v>1092</v>
      </c>
      <c r="AW1084" s="463"/>
    </row>
    <row r="1085" spans="1:49" s="472" customFormat="1" ht="15.75" customHeight="1" x14ac:dyDescent="0.25">
      <c r="A1085" s="297">
        <f t="shared" si="16"/>
        <v>61.6</v>
      </c>
      <c r="B1085" s="460">
        <v>40888</v>
      </c>
      <c r="C1085" s="461" t="s">
        <v>452</v>
      </c>
      <c r="D1085" s="462" t="s">
        <v>460</v>
      </c>
      <c r="E1085" s="461" t="s">
        <v>380</v>
      </c>
      <c r="F1085" s="290" t="s">
        <v>237</v>
      </c>
      <c r="G1085" s="290" t="s">
        <v>277</v>
      </c>
      <c r="H1085" s="291"/>
      <c r="I1085" s="291"/>
      <c r="J1085" s="291"/>
      <c r="K1085" s="291">
        <v>2</v>
      </c>
      <c r="L1085" s="292">
        <v>2</v>
      </c>
      <c r="M1085" s="292">
        <v>2</v>
      </c>
      <c r="N1085" s="292">
        <v>2</v>
      </c>
      <c r="O1085" s="292">
        <v>2</v>
      </c>
      <c r="P1085" s="294">
        <v>2</v>
      </c>
      <c r="Q1085" s="294">
        <v>2</v>
      </c>
      <c r="R1085" s="294"/>
      <c r="S1085" s="294"/>
      <c r="T1085" s="294"/>
      <c r="U1085" s="294"/>
      <c r="V1085" s="431"/>
      <c r="W1085" s="331"/>
      <c r="X1085" s="331"/>
      <c r="Y1085" s="294">
        <f>IF(NFI_Expiration=1,IF($A1085&lt;VLOOKUP(H$5,NFI,5,0),1,0)*Table_NFI[[#This Row],[Hygiene Kit]],Table_NFI[Hygiene Kit])</f>
        <v>0</v>
      </c>
      <c r="Z1085" s="294">
        <f>IF(NFI_Expiration=1,IF($A1085&lt;VLOOKUP(I$5,NFI,5,0),1,0)*Table_NFI[[#This Row],[NFI Core Kit]],Table_NFI[NFI Core Kit])</f>
        <v>0</v>
      </c>
      <c r="AA1085" s="294">
        <f>IF(NFI_Expiration=1,IF($A1085&lt;VLOOKUP(J$5,NFI,5,0),1,0)*Table_NFI[[#This Row],[Sanitary Kit]],Table_NFI[Sanitary Kit])</f>
        <v>0</v>
      </c>
      <c r="AB1085" s="294">
        <f>IF(NFI_Expiration=1,IF($A1085&lt;VLOOKUP(K$5,NFI,5,0),1,0)*Table_NFI[[#This Row],[Mosquito net]],Table_NFI[Mosquito net])</f>
        <v>0</v>
      </c>
      <c r="AC1085" s="294">
        <f>IF(NFI_Expiration=1,IF($A1085&lt;VLOOKUP(L$5,NFI,5,0),1,0)*Table_NFI[[#This Row],[Tarpaulin]],Table_NFI[[#This Row],[Tarpaulin]])</f>
        <v>0</v>
      </c>
      <c r="AD1085" s="294">
        <f>IF(NFI_Expiration=1,IF($A1085&lt;VLOOKUP(M$5,NFI,5,0),1,0)*Table_NFI[[#This Row],[Blanket]],Table_NFI[[#This Row],[Blanket]])</f>
        <v>0</v>
      </c>
      <c r="AE1085" s="294">
        <f>IF(NFI_Expiration=1,IF($A1085&lt;VLOOKUP(N$5,NFI,5,0),1,0)*Table_NFI[[#This Row],[Kitchen Set]],Table_NFI[Kitchen Set])</f>
        <v>0</v>
      </c>
      <c r="AF1085" s="294">
        <f>IF(NFI_Expiration=1,IF($A1085&lt;VLOOKUP(O$5,NFI,5,0),1,0)*Table_NFI[[#This Row],[Clothes Kit]],Table_NFI[Clothes Kit])</f>
        <v>0</v>
      </c>
      <c r="AG1085" s="294">
        <f>IF(NFI_Expiration=1,IF($A1085&lt;VLOOKUP(P$5,NFI,5,0),1,0)*Table_NFI[[#This Row],[Plastic Bucket]],Table_NFI[Plastic Bucket])</f>
        <v>0</v>
      </c>
      <c r="AH1085" s="294">
        <f>IF(NFI_Expiration=1,IF($A1085&lt;VLOOKUP(Q$5,NFI,5,0),1,0)*Table_NFI[[#This Row],[Plastic Mat]],Table_NFI[Plastic Mat])*IF(Table_NFI[[#This Row],[Distribution Date]]&gt;"2014-04-01",1,2.5)</f>
        <v>0</v>
      </c>
      <c r="AI1085" s="294">
        <f>IF(NFI_Expiration=1,IF($A1085&lt;VLOOKUP(R$5,NFI,5,0),1,0)*Table_NFI[[#This Row],[Winter Clothes Adult]],Table_NFI[Winter Clothes Adult])</f>
        <v>0</v>
      </c>
      <c r="AJ1085" s="294">
        <f>IF(NFI_Expiration=1,IF($A1085&lt;VLOOKUP(S$5,NFI,5,0),1,0)*Table_NFI[[#This Row],[Winter Clothes Children]],Table_NFI[Winter Clothes Children])</f>
        <v>0</v>
      </c>
      <c r="AK1085" s="294">
        <f>IF(NFI_Expiration=1,IF($A1085&lt;VLOOKUP(T$5,NFI,5,0),1,0)*Table_NFI[[#This Row],[Winter Items Other]],Table_NFI[Winter Items Other])</f>
        <v>0</v>
      </c>
      <c r="AL1085" s="294">
        <f>IF(NFI_Expiration=1,IF($A1085&lt;VLOOKUP(M$5,NFI,5,0),1,0)*Table_NFI[[#This Row],[Winter Blanket]],Table_NFI[[#This Row],[Winter Blanket]])</f>
        <v>0</v>
      </c>
      <c r="AM1085" s="294">
        <f>IF(Table_NFI[[#This Row],[Winter Clothes Adult]]+Table_NFI[[#This Row],[Winter Clothes Children]]+Table_NFI[[#This Row],[Winter Items Other]]+Table_NFI[[#This Row],[Winter Blanket]]&gt;0,1,0)</f>
        <v>0</v>
      </c>
      <c r="AN1085" s="331">
        <f>IF(NFI_Expiration=1,IF($A1085&lt;VLOOKUP(V$5,NFI,5,0),1,0)*Table_NFI[[#This Row],[Jerry Can]],Table_NFI[Jerry Can])</f>
        <v>0</v>
      </c>
      <c r="AO1085" s="331">
        <f>IF(NFI_Expiration=1,IF($A1085&lt;VLOOKUP(V$5,NFI,5,0),1,0)*Table_NFI[[#This Row],[Shelter Tool kit]],Table_NFI[Shelter Tool kit])</f>
        <v>0</v>
      </c>
      <c r="AP1085" s="331">
        <f>IF(NFI_Expiration=1,IF($A1085&lt;VLOOKUP(V$5,NFI,5,0),1,0)*Table_NFI[[#This Row],[Tent]],Table_NFI[Tent])</f>
        <v>0</v>
      </c>
      <c r="AQ1085" s="467" t="str">
        <f>IFERROR(VLOOKUP(Table_NFI[[#This Row],[Camp Name]],CL,2,0),"")</f>
        <v>MMR001CMP006</v>
      </c>
      <c r="AR1085" s="835">
        <f ca="1">IF(Table_NFI[[#This Row],[Pcode]]="","",IF(OFFSET(CampList[Opening Date],MATCH(Table_NFI[[#This Row],[Pcode]],CampList[CP_Pcode],0)-1,0,1,1)&gt;=NFI_Monitor_Date,1,0))</f>
        <v>0</v>
      </c>
      <c r="AS1085" s="467" t="str">
        <f>IFERROR(VLOOKUP(Table_NFI[[#This Row],[Camp Name]],CL,3,0),"")</f>
        <v>Open</v>
      </c>
      <c r="AT1085" s="294" t="str">
        <f ca="1">IF(Table_NFI[[#This Row],[Pcode]]="","",OFFSET(CampList[Priority],MATCH(Table_NFI[[#This Row],[Pcode]],CampList[CP_Pcode],0)-1,0,1,1))</f>
        <v>P4</v>
      </c>
      <c r="AU1085" s="293">
        <f>IFERROR(Table_NFI[[#This Row],[Kitchen Set]]/VLOOKUP(Table_NFI[[#This Row],[Camp Name]],CL,4,0),"")</f>
        <v>4.9072529198154875E-5</v>
      </c>
      <c r="AV1085" s="461" t="s">
        <v>1092</v>
      </c>
      <c r="AW1085" s="463"/>
    </row>
    <row r="1086" spans="1:49" s="472" customFormat="1" ht="15.75" customHeight="1" x14ac:dyDescent="0.25">
      <c r="A1086" s="297">
        <f t="shared" si="16"/>
        <v>61.6</v>
      </c>
      <c r="B1086" s="460">
        <v>40888</v>
      </c>
      <c r="C1086" s="461" t="s">
        <v>452</v>
      </c>
      <c r="D1086" s="462" t="s">
        <v>460</v>
      </c>
      <c r="E1086" s="461" t="s">
        <v>380</v>
      </c>
      <c r="F1086" s="290" t="s">
        <v>237</v>
      </c>
      <c r="G1086" s="290" t="s">
        <v>275</v>
      </c>
      <c r="H1086" s="291"/>
      <c r="I1086" s="291"/>
      <c r="J1086" s="291"/>
      <c r="K1086" s="291">
        <v>3</v>
      </c>
      <c r="L1086" s="292">
        <v>2</v>
      </c>
      <c r="M1086" s="292">
        <v>3</v>
      </c>
      <c r="N1086" s="292">
        <v>2</v>
      </c>
      <c r="O1086" s="292">
        <v>2</v>
      </c>
      <c r="P1086" s="294">
        <v>2</v>
      </c>
      <c r="Q1086" s="294">
        <v>2</v>
      </c>
      <c r="R1086" s="294"/>
      <c r="S1086" s="294"/>
      <c r="T1086" s="294"/>
      <c r="U1086" s="294"/>
      <c r="V1086" s="431"/>
      <c r="W1086" s="331"/>
      <c r="X1086" s="331"/>
      <c r="Y1086" s="294">
        <f>IF(NFI_Expiration=1,IF($A1086&lt;VLOOKUP(H$5,NFI,5,0),1,0)*Table_NFI[[#This Row],[Hygiene Kit]],Table_NFI[Hygiene Kit])</f>
        <v>0</v>
      </c>
      <c r="Z1086" s="294">
        <f>IF(NFI_Expiration=1,IF($A1086&lt;VLOOKUP(I$5,NFI,5,0),1,0)*Table_NFI[[#This Row],[NFI Core Kit]],Table_NFI[NFI Core Kit])</f>
        <v>0</v>
      </c>
      <c r="AA1086" s="294">
        <f>IF(NFI_Expiration=1,IF($A1086&lt;VLOOKUP(J$5,NFI,5,0),1,0)*Table_NFI[[#This Row],[Sanitary Kit]],Table_NFI[Sanitary Kit])</f>
        <v>0</v>
      </c>
      <c r="AB1086" s="294">
        <f>IF(NFI_Expiration=1,IF($A1086&lt;VLOOKUP(K$5,NFI,5,0),1,0)*Table_NFI[[#This Row],[Mosquito net]],Table_NFI[Mosquito net])</f>
        <v>0</v>
      </c>
      <c r="AC1086" s="294">
        <f>IF(NFI_Expiration=1,IF($A1086&lt;VLOOKUP(L$5,NFI,5,0),1,0)*Table_NFI[[#This Row],[Tarpaulin]],Table_NFI[[#This Row],[Tarpaulin]])</f>
        <v>0</v>
      </c>
      <c r="AD1086" s="294">
        <f>IF(NFI_Expiration=1,IF($A1086&lt;VLOOKUP(M$5,NFI,5,0),1,0)*Table_NFI[[#This Row],[Blanket]],Table_NFI[[#This Row],[Blanket]])</f>
        <v>0</v>
      </c>
      <c r="AE1086" s="294">
        <f>IF(NFI_Expiration=1,IF($A1086&lt;VLOOKUP(N$5,NFI,5,0),1,0)*Table_NFI[[#This Row],[Kitchen Set]],Table_NFI[Kitchen Set])</f>
        <v>0</v>
      </c>
      <c r="AF1086" s="294">
        <f>IF(NFI_Expiration=1,IF($A1086&lt;VLOOKUP(O$5,NFI,5,0),1,0)*Table_NFI[[#This Row],[Clothes Kit]],Table_NFI[Clothes Kit])</f>
        <v>0</v>
      </c>
      <c r="AG1086" s="294">
        <f>IF(NFI_Expiration=1,IF($A1086&lt;VLOOKUP(P$5,NFI,5,0),1,0)*Table_NFI[[#This Row],[Plastic Bucket]],Table_NFI[Plastic Bucket])</f>
        <v>0</v>
      </c>
      <c r="AH1086" s="294">
        <f>IF(NFI_Expiration=1,IF($A1086&lt;VLOOKUP(Q$5,NFI,5,0),1,0)*Table_NFI[[#This Row],[Plastic Mat]],Table_NFI[Plastic Mat])*IF(Table_NFI[[#This Row],[Distribution Date]]&gt;"2014-04-01",1,2.5)</f>
        <v>0</v>
      </c>
      <c r="AI1086" s="294">
        <f>IF(NFI_Expiration=1,IF($A1086&lt;VLOOKUP(R$5,NFI,5,0),1,0)*Table_NFI[[#This Row],[Winter Clothes Adult]],Table_NFI[Winter Clothes Adult])</f>
        <v>0</v>
      </c>
      <c r="AJ1086" s="294">
        <f>IF(NFI_Expiration=1,IF($A1086&lt;VLOOKUP(S$5,NFI,5,0),1,0)*Table_NFI[[#This Row],[Winter Clothes Children]],Table_NFI[Winter Clothes Children])</f>
        <v>0</v>
      </c>
      <c r="AK1086" s="294">
        <f>IF(NFI_Expiration=1,IF($A1086&lt;VLOOKUP(T$5,NFI,5,0),1,0)*Table_NFI[[#This Row],[Winter Items Other]],Table_NFI[Winter Items Other])</f>
        <v>0</v>
      </c>
      <c r="AL1086" s="294">
        <f>IF(NFI_Expiration=1,IF($A1086&lt;VLOOKUP(M$5,NFI,5,0),1,0)*Table_NFI[[#This Row],[Winter Blanket]],Table_NFI[[#This Row],[Winter Blanket]])</f>
        <v>0</v>
      </c>
      <c r="AM1086" s="294">
        <f>IF(Table_NFI[[#This Row],[Winter Clothes Adult]]+Table_NFI[[#This Row],[Winter Clothes Children]]+Table_NFI[[#This Row],[Winter Items Other]]+Table_NFI[[#This Row],[Winter Blanket]]&gt;0,1,0)</f>
        <v>0</v>
      </c>
      <c r="AN1086" s="331">
        <f>IF(NFI_Expiration=1,IF($A1086&lt;VLOOKUP(V$5,NFI,5,0),1,0)*Table_NFI[[#This Row],[Jerry Can]],Table_NFI[Jerry Can])</f>
        <v>0</v>
      </c>
      <c r="AO1086" s="331">
        <f>IF(NFI_Expiration=1,IF($A1086&lt;VLOOKUP(V$5,NFI,5,0),1,0)*Table_NFI[[#This Row],[Shelter Tool kit]],Table_NFI[Shelter Tool kit])</f>
        <v>0</v>
      </c>
      <c r="AP1086" s="331">
        <f>IF(NFI_Expiration=1,IF($A1086&lt;VLOOKUP(V$5,NFI,5,0),1,0)*Table_NFI[[#This Row],[Tent]],Table_NFI[Tent])</f>
        <v>0</v>
      </c>
      <c r="AQ1086" s="467" t="str">
        <f>IFERROR(VLOOKUP(Table_NFI[[#This Row],[Camp Name]],CL,2,0),"")</f>
        <v>MMR001CMP005</v>
      </c>
      <c r="AR1086" s="835">
        <f ca="1">IF(Table_NFI[[#This Row],[Pcode]]="","",IF(OFFSET(CampList[Opening Date],MATCH(Table_NFI[[#This Row],[Pcode]],CampList[CP_Pcode],0)-1,0,1,1)&gt;=NFI_Monitor_Date,1,0))</f>
        <v>0</v>
      </c>
      <c r="AS1086" s="467" t="str">
        <f>IFERROR(VLOOKUP(Table_NFI[[#This Row],[Camp Name]],CL,3,0),"")</f>
        <v>Open</v>
      </c>
      <c r="AT1086" s="294" t="str">
        <f ca="1">IF(Table_NFI[[#This Row],[Pcode]]="","",OFFSET(CampList[Priority],MATCH(Table_NFI[[#This Row],[Pcode]],CampList[CP_Pcode],0)-1,0,1,1))</f>
        <v>P4</v>
      </c>
      <c r="AU1086" s="293">
        <f>IFERROR(Table_NFI[[#This Row],[Kitchen Set]]/VLOOKUP(Table_NFI[[#This Row],[Camp Name]],CL,4,0),"")</f>
        <v>4.8999191513340027E-5</v>
      </c>
      <c r="AV1086" s="461" t="s">
        <v>1092</v>
      </c>
      <c r="AW1086" s="463"/>
    </row>
    <row r="1087" spans="1:49" s="472" customFormat="1" ht="15.75" customHeight="1" x14ac:dyDescent="0.25">
      <c r="A1087" s="297">
        <f t="shared" si="16"/>
        <v>61.6</v>
      </c>
      <c r="B1087" s="460">
        <v>40888</v>
      </c>
      <c r="C1087" s="461" t="s">
        <v>452</v>
      </c>
      <c r="D1087" s="461" t="s">
        <v>903</v>
      </c>
      <c r="E1087" s="461" t="s">
        <v>380</v>
      </c>
      <c r="F1087" s="461" t="s">
        <v>237</v>
      </c>
      <c r="G1087" s="290" t="s">
        <v>918</v>
      </c>
      <c r="H1087" s="291"/>
      <c r="I1087" s="291"/>
      <c r="J1087" s="291"/>
      <c r="K1087" s="291">
        <v>88</v>
      </c>
      <c r="L1087" s="292">
        <v>49</v>
      </c>
      <c r="M1087" s="292">
        <v>88</v>
      </c>
      <c r="N1087" s="292">
        <v>49</v>
      </c>
      <c r="O1087" s="292">
        <v>49</v>
      </c>
      <c r="P1087" s="294">
        <v>49</v>
      </c>
      <c r="Q1087" s="294">
        <v>49</v>
      </c>
      <c r="R1087" s="294"/>
      <c r="S1087" s="294"/>
      <c r="T1087" s="294"/>
      <c r="U1087" s="294"/>
      <c r="V1087" s="431"/>
      <c r="W1087" s="331"/>
      <c r="X1087" s="331"/>
      <c r="Y1087" s="294">
        <f>IF(NFI_Expiration=1,IF($A1087&lt;VLOOKUP(H$5,NFI,5,0),1,0)*Table_NFI[[#This Row],[Hygiene Kit]],Table_NFI[Hygiene Kit])</f>
        <v>0</v>
      </c>
      <c r="Z1087" s="294">
        <f>IF(NFI_Expiration=1,IF($A1087&lt;VLOOKUP(I$5,NFI,5,0),1,0)*Table_NFI[[#This Row],[NFI Core Kit]],Table_NFI[NFI Core Kit])</f>
        <v>0</v>
      </c>
      <c r="AA1087" s="294">
        <f>IF(NFI_Expiration=1,IF($A1087&lt;VLOOKUP(J$5,NFI,5,0),1,0)*Table_NFI[[#This Row],[Sanitary Kit]],Table_NFI[Sanitary Kit])</f>
        <v>0</v>
      </c>
      <c r="AB1087" s="294">
        <f>IF(NFI_Expiration=1,IF($A1087&lt;VLOOKUP(K$5,NFI,5,0),1,0)*Table_NFI[[#This Row],[Mosquito net]],Table_NFI[Mosquito net])</f>
        <v>0</v>
      </c>
      <c r="AC1087" s="294">
        <f>IF(NFI_Expiration=1,IF($A1087&lt;VLOOKUP(L$5,NFI,5,0),1,0)*Table_NFI[[#This Row],[Tarpaulin]],Table_NFI[[#This Row],[Tarpaulin]])</f>
        <v>0</v>
      </c>
      <c r="AD1087" s="294">
        <f>IF(NFI_Expiration=1,IF($A1087&lt;VLOOKUP(M$5,NFI,5,0),1,0)*Table_NFI[[#This Row],[Blanket]],Table_NFI[[#This Row],[Blanket]])</f>
        <v>0</v>
      </c>
      <c r="AE1087" s="294">
        <f>IF(NFI_Expiration=1,IF($A1087&lt;VLOOKUP(N$5,NFI,5,0),1,0)*Table_NFI[[#This Row],[Kitchen Set]],Table_NFI[Kitchen Set])</f>
        <v>0</v>
      </c>
      <c r="AF1087" s="294">
        <f>IF(NFI_Expiration=1,IF($A1087&lt;VLOOKUP(O$5,NFI,5,0),1,0)*Table_NFI[[#This Row],[Clothes Kit]],Table_NFI[Clothes Kit])</f>
        <v>0</v>
      </c>
      <c r="AG1087" s="294">
        <f>IF(NFI_Expiration=1,IF($A1087&lt;VLOOKUP(P$5,NFI,5,0),1,0)*Table_NFI[[#This Row],[Plastic Bucket]],Table_NFI[Plastic Bucket])</f>
        <v>0</v>
      </c>
      <c r="AH1087" s="294">
        <f>IF(NFI_Expiration=1,IF($A1087&lt;VLOOKUP(Q$5,NFI,5,0),1,0)*Table_NFI[[#This Row],[Plastic Mat]],Table_NFI[Plastic Mat])*IF(Table_NFI[[#This Row],[Distribution Date]]&gt;"2014-04-01",1,2.5)</f>
        <v>0</v>
      </c>
      <c r="AI1087" s="294">
        <f>IF(NFI_Expiration=1,IF($A1087&lt;VLOOKUP(R$5,NFI,5,0),1,0)*Table_NFI[[#This Row],[Winter Clothes Adult]],Table_NFI[Winter Clothes Adult])</f>
        <v>0</v>
      </c>
      <c r="AJ1087" s="294">
        <f>IF(NFI_Expiration=1,IF($A1087&lt;VLOOKUP(S$5,NFI,5,0),1,0)*Table_NFI[[#This Row],[Winter Clothes Children]],Table_NFI[Winter Clothes Children])</f>
        <v>0</v>
      </c>
      <c r="AK1087" s="294">
        <f>IF(NFI_Expiration=1,IF($A1087&lt;VLOOKUP(T$5,NFI,5,0),1,0)*Table_NFI[[#This Row],[Winter Items Other]],Table_NFI[Winter Items Other])</f>
        <v>0</v>
      </c>
      <c r="AL1087" s="294">
        <f>IF(NFI_Expiration=1,IF($A1087&lt;VLOOKUP(M$5,NFI,5,0),1,0)*Table_NFI[[#This Row],[Winter Blanket]],Table_NFI[[#This Row],[Winter Blanket]])</f>
        <v>0</v>
      </c>
      <c r="AM1087" s="294">
        <f>IF(Table_NFI[[#This Row],[Winter Clothes Adult]]+Table_NFI[[#This Row],[Winter Clothes Children]]+Table_NFI[[#This Row],[Winter Items Other]]+Table_NFI[[#This Row],[Winter Blanket]]&gt;0,1,0)</f>
        <v>0</v>
      </c>
      <c r="AN1087" s="331">
        <f>IF(NFI_Expiration=1,IF($A1087&lt;VLOOKUP(V$5,NFI,5,0),1,0)*Table_NFI[[#This Row],[Jerry Can]],Table_NFI[Jerry Can])</f>
        <v>0</v>
      </c>
      <c r="AO1087" s="331">
        <f>IF(NFI_Expiration=1,IF($A1087&lt;VLOOKUP(V$5,NFI,5,0),1,0)*Table_NFI[[#This Row],[Shelter Tool kit]],Table_NFI[Shelter Tool kit])</f>
        <v>0</v>
      </c>
      <c r="AP1087" s="331">
        <f>IF(NFI_Expiration=1,IF($A1087&lt;VLOOKUP(V$5,NFI,5,0),1,0)*Table_NFI[[#This Row],[Tent]],Table_NFI[Tent])</f>
        <v>0</v>
      </c>
      <c r="AQ1087" s="467" t="str">
        <f>IFERROR(VLOOKUP(Table_NFI[[#This Row],[Camp Name]],CL,2,0),"")</f>
        <v/>
      </c>
      <c r="AR1087" s="835" t="str">
        <f ca="1">IF(Table_NFI[[#This Row],[Pcode]]="","",IF(OFFSET(CampList[Opening Date],MATCH(Table_NFI[[#This Row],[Pcode]],CampList[CP_Pcode],0)-1,0,1,1)&gt;=NFI_Monitor_Date,1,0))</f>
        <v/>
      </c>
      <c r="AS1087" s="467" t="str">
        <f>IFERROR(VLOOKUP(Table_NFI[[#This Row],[Camp Name]],CL,3,0),"")</f>
        <v/>
      </c>
      <c r="AT1087" s="294" t="str">
        <f ca="1">IF(Table_NFI[[#This Row],[Pcode]]="","",OFFSET(CampList[Priority],MATCH(Table_NFI[[#This Row],[Pcode]],CampList[CP_Pcode],0)-1,0,1,1))</f>
        <v/>
      </c>
      <c r="AU1087" s="293" t="str">
        <f>IFERROR(Table_NFI[[#This Row],[Kitchen Set]]/VLOOKUP(Table_NFI[[#This Row],[Camp Name]],CL,4,0),"")</f>
        <v/>
      </c>
      <c r="AV1087" s="461" t="s">
        <v>1092</v>
      </c>
      <c r="AW1087" s="463"/>
    </row>
    <row r="1088" spans="1:49" s="472" customFormat="1" ht="15.75" customHeight="1" x14ac:dyDescent="0.25">
      <c r="A1088" s="297">
        <f t="shared" si="16"/>
        <v>61.666666666666664</v>
      </c>
      <c r="B1088" s="460">
        <v>40886</v>
      </c>
      <c r="C1088" s="461" t="s">
        <v>452</v>
      </c>
      <c r="D1088" s="462" t="s">
        <v>460</v>
      </c>
      <c r="E1088" s="461" t="s">
        <v>380</v>
      </c>
      <c r="F1088" s="290" t="s">
        <v>237</v>
      </c>
      <c r="G1088" s="290" t="s">
        <v>240</v>
      </c>
      <c r="H1088" s="291"/>
      <c r="I1088" s="291"/>
      <c r="J1088" s="291"/>
      <c r="K1088" s="291">
        <v>13</v>
      </c>
      <c r="L1088" s="292">
        <v>6</v>
      </c>
      <c r="M1088" s="292">
        <v>13</v>
      </c>
      <c r="N1088" s="292">
        <v>6</v>
      </c>
      <c r="O1088" s="292">
        <v>6</v>
      </c>
      <c r="P1088" s="294">
        <v>6</v>
      </c>
      <c r="Q1088" s="294">
        <v>6</v>
      </c>
      <c r="R1088" s="294"/>
      <c r="S1088" s="294"/>
      <c r="T1088" s="294"/>
      <c r="U1088" s="294"/>
      <c r="V1088" s="431"/>
      <c r="W1088" s="331"/>
      <c r="X1088" s="331"/>
      <c r="Y1088" s="294">
        <f>IF(NFI_Expiration=1,IF($A1088&lt;VLOOKUP(H$5,NFI,5,0),1,0)*Table_NFI[[#This Row],[Hygiene Kit]],Table_NFI[Hygiene Kit])</f>
        <v>0</v>
      </c>
      <c r="Z1088" s="294">
        <f>IF(NFI_Expiration=1,IF($A1088&lt;VLOOKUP(I$5,NFI,5,0),1,0)*Table_NFI[[#This Row],[NFI Core Kit]],Table_NFI[NFI Core Kit])</f>
        <v>0</v>
      </c>
      <c r="AA1088" s="294">
        <f>IF(NFI_Expiration=1,IF($A1088&lt;VLOOKUP(J$5,NFI,5,0),1,0)*Table_NFI[[#This Row],[Sanitary Kit]],Table_NFI[Sanitary Kit])</f>
        <v>0</v>
      </c>
      <c r="AB1088" s="294">
        <f>IF(NFI_Expiration=1,IF($A1088&lt;VLOOKUP(K$5,NFI,5,0),1,0)*Table_NFI[[#This Row],[Mosquito net]],Table_NFI[Mosquito net])</f>
        <v>0</v>
      </c>
      <c r="AC1088" s="294">
        <f>IF(NFI_Expiration=1,IF($A1088&lt;VLOOKUP(L$5,NFI,5,0),1,0)*Table_NFI[[#This Row],[Tarpaulin]],Table_NFI[[#This Row],[Tarpaulin]])</f>
        <v>0</v>
      </c>
      <c r="AD1088" s="294">
        <f>IF(NFI_Expiration=1,IF($A1088&lt;VLOOKUP(M$5,NFI,5,0),1,0)*Table_NFI[[#This Row],[Blanket]],Table_NFI[[#This Row],[Blanket]])</f>
        <v>0</v>
      </c>
      <c r="AE1088" s="294">
        <f>IF(NFI_Expiration=1,IF($A1088&lt;VLOOKUP(N$5,NFI,5,0),1,0)*Table_NFI[[#This Row],[Kitchen Set]],Table_NFI[Kitchen Set])</f>
        <v>0</v>
      </c>
      <c r="AF1088" s="294">
        <f>IF(NFI_Expiration=1,IF($A1088&lt;VLOOKUP(O$5,NFI,5,0),1,0)*Table_NFI[[#This Row],[Clothes Kit]],Table_NFI[Clothes Kit])</f>
        <v>0</v>
      </c>
      <c r="AG1088" s="294">
        <f>IF(NFI_Expiration=1,IF($A1088&lt;VLOOKUP(P$5,NFI,5,0),1,0)*Table_NFI[[#This Row],[Plastic Bucket]],Table_NFI[Plastic Bucket])</f>
        <v>0</v>
      </c>
      <c r="AH1088" s="294">
        <f>IF(NFI_Expiration=1,IF($A1088&lt;VLOOKUP(Q$5,NFI,5,0),1,0)*Table_NFI[[#This Row],[Plastic Mat]],Table_NFI[Plastic Mat])*IF(Table_NFI[[#This Row],[Distribution Date]]&gt;"2014-04-01",1,2.5)</f>
        <v>0</v>
      </c>
      <c r="AI1088" s="294">
        <f>IF(NFI_Expiration=1,IF($A1088&lt;VLOOKUP(R$5,NFI,5,0),1,0)*Table_NFI[[#This Row],[Winter Clothes Adult]],Table_NFI[Winter Clothes Adult])</f>
        <v>0</v>
      </c>
      <c r="AJ1088" s="294">
        <f>IF(NFI_Expiration=1,IF($A1088&lt;VLOOKUP(S$5,NFI,5,0),1,0)*Table_NFI[[#This Row],[Winter Clothes Children]],Table_NFI[Winter Clothes Children])</f>
        <v>0</v>
      </c>
      <c r="AK1088" s="294">
        <f>IF(NFI_Expiration=1,IF($A1088&lt;VLOOKUP(T$5,NFI,5,0),1,0)*Table_NFI[[#This Row],[Winter Items Other]],Table_NFI[Winter Items Other])</f>
        <v>0</v>
      </c>
      <c r="AL1088" s="294">
        <f>IF(NFI_Expiration=1,IF($A1088&lt;VLOOKUP(M$5,NFI,5,0),1,0)*Table_NFI[[#This Row],[Winter Blanket]],Table_NFI[[#This Row],[Winter Blanket]])</f>
        <v>0</v>
      </c>
      <c r="AM1088" s="294">
        <f>IF(Table_NFI[[#This Row],[Winter Clothes Adult]]+Table_NFI[[#This Row],[Winter Clothes Children]]+Table_NFI[[#This Row],[Winter Items Other]]+Table_NFI[[#This Row],[Winter Blanket]]&gt;0,1,0)</f>
        <v>0</v>
      </c>
      <c r="AN1088" s="331">
        <f>IF(NFI_Expiration=1,IF($A1088&lt;VLOOKUP(V$5,NFI,5,0),1,0)*Table_NFI[[#This Row],[Jerry Can]],Table_NFI[Jerry Can])</f>
        <v>0</v>
      </c>
      <c r="AO1088" s="331">
        <f>IF(NFI_Expiration=1,IF($A1088&lt;VLOOKUP(V$5,NFI,5,0),1,0)*Table_NFI[[#This Row],[Shelter Tool kit]],Table_NFI[Shelter Tool kit])</f>
        <v>0</v>
      </c>
      <c r="AP1088" s="331">
        <f>IF(NFI_Expiration=1,IF($A1088&lt;VLOOKUP(V$5,NFI,5,0),1,0)*Table_NFI[[#This Row],[Tent]],Table_NFI[Tent])</f>
        <v>0</v>
      </c>
      <c r="AQ1088" s="467" t="str">
        <f>IFERROR(VLOOKUP(Table_NFI[[#This Row],[Camp Name]],CL,2,0),"")</f>
        <v>MMR001CMP015</v>
      </c>
      <c r="AR1088" s="835">
        <f ca="1">IF(Table_NFI[[#This Row],[Pcode]]="","",IF(OFFSET(CampList[Opening Date],MATCH(Table_NFI[[#This Row],[Pcode]],CampList[CP_Pcode],0)-1,0,1,1)&gt;=NFI_Monitor_Date,1,0))</f>
        <v>0</v>
      </c>
      <c r="AS1088" s="467" t="str">
        <f>IFERROR(VLOOKUP(Table_NFI[[#This Row],[Camp Name]],CL,3,0),"")</f>
        <v>Open</v>
      </c>
      <c r="AT1088" s="294" t="str">
        <f ca="1">IF(Table_NFI[[#This Row],[Pcode]]="","",OFFSET(CampList[Priority],MATCH(Table_NFI[[#This Row],[Pcode]],CampList[CP_Pcode],0)-1,0,1,1))</f>
        <v>P4</v>
      </c>
      <c r="AU1088" s="293">
        <f>IFERROR(Table_NFI[[#This Row],[Kitchen Set]]/VLOOKUP(Table_NFI[[#This Row],[Camp Name]],CL,4,0),"")</f>
        <v>1.4777233209368765E-4</v>
      </c>
      <c r="AV1088" s="461" t="s">
        <v>1092</v>
      </c>
      <c r="AW1088" s="463"/>
    </row>
    <row r="1089" spans="1:49" s="472" customFormat="1" ht="15.75" customHeight="1" x14ac:dyDescent="0.25">
      <c r="A1089" s="297">
        <f t="shared" si="16"/>
        <v>61.8</v>
      </c>
      <c r="B1089" s="460">
        <v>40882</v>
      </c>
      <c r="C1089" s="461" t="s">
        <v>452</v>
      </c>
      <c r="D1089" s="462" t="s">
        <v>506</v>
      </c>
      <c r="E1089" s="461" t="s">
        <v>380</v>
      </c>
      <c r="F1089" s="290" t="s">
        <v>237</v>
      </c>
      <c r="G1089" s="290" t="s">
        <v>253</v>
      </c>
      <c r="H1089" s="291"/>
      <c r="I1089" s="291"/>
      <c r="J1089" s="291"/>
      <c r="K1089" s="291">
        <v>80</v>
      </c>
      <c r="L1089" s="292">
        <v>45</v>
      </c>
      <c r="M1089" s="292">
        <v>80</v>
      </c>
      <c r="N1089" s="292">
        <v>45</v>
      </c>
      <c r="O1089" s="292">
        <v>45</v>
      </c>
      <c r="P1089" s="294">
        <v>45</v>
      </c>
      <c r="Q1089" s="294">
        <v>45</v>
      </c>
      <c r="R1089" s="294"/>
      <c r="S1089" s="294"/>
      <c r="T1089" s="294"/>
      <c r="U1089" s="294"/>
      <c r="V1089" s="431"/>
      <c r="W1089" s="331"/>
      <c r="X1089" s="331"/>
      <c r="Y1089" s="294">
        <f>IF(NFI_Expiration=1,IF($A1089&lt;VLOOKUP(H$5,NFI,5,0),1,0)*Table_NFI[[#This Row],[Hygiene Kit]],Table_NFI[Hygiene Kit])</f>
        <v>0</v>
      </c>
      <c r="Z1089" s="294">
        <f>IF(NFI_Expiration=1,IF($A1089&lt;VLOOKUP(I$5,NFI,5,0),1,0)*Table_NFI[[#This Row],[NFI Core Kit]],Table_NFI[NFI Core Kit])</f>
        <v>0</v>
      </c>
      <c r="AA1089" s="294">
        <f>IF(NFI_Expiration=1,IF($A1089&lt;VLOOKUP(J$5,NFI,5,0),1,0)*Table_NFI[[#This Row],[Sanitary Kit]],Table_NFI[Sanitary Kit])</f>
        <v>0</v>
      </c>
      <c r="AB1089" s="294">
        <f>IF(NFI_Expiration=1,IF($A1089&lt;VLOOKUP(K$5,NFI,5,0),1,0)*Table_NFI[[#This Row],[Mosquito net]],Table_NFI[Mosquito net])</f>
        <v>0</v>
      </c>
      <c r="AC1089" s="294">
        <f>IF(NFI_Expiration=1,IF($A1089&lt;VLOOKUP(L$5,NFI,5,0),1,0)*Table_NFI[[#This Row],[Tarpaulin]],Table_NFI[[#This Row],[Tarpaulin]])</f>
        <v>0</v>
      </c>
      <c r="AD1089" s="294">
        <f>IF(NFI_Expiration=1,IF($A1089&lt;VLOOKUP(M$5,NFI,5,0),1,0)*Table_NFI[[#This Row],[Blanket]],Table_NFI[[#This Row],[Blanket]])</f>
        <v>0</v>
      </c>
      <c r="AE1089" s="294">
        <f>IF(NFI_Expiration=1,IF($A1089&lt;VLOOKUP(N$5,NFI,5,0),1,0)*Table_NFI[[#This Row],[Kitchen Set]],Table_NFI[Kitchen Set])</f>
        <v>0</v>
      </c>
      <c r="AF1089" s="294">
        <f>IF(NFI_Expiration=1,IF($A1089&lt;VLOOKUP(O$5,NFI,5,0),1,0)*Table_NFI[[#This Row],[Clothes Kit]],Table_NFI[Clothes Kit])</f>
        <v>0</v>
      </c>
      <c r="AG1089" s="294">
        <f>IF(NFI_Expiration=1,IF($A1089&lt;VLOOKUP(P$5,NFI,5,0),1,0)*Table_NFI[[#This Row],[Plastic Bucket]],Table_NFI[Plastic Bucket])</f>
        <v>0</v>
      </c>
      <c r="AH1089" s="294">
        <f>IF(NFI_Expiration=1,IF($A1089&lt;VLOOKUP(Q$5,NFI,5,0),1,0)*Table_NFI[[#This Row],[Plastic Mat]],Table_NFI[Plastic Mat])*IF(Table_NFI[[#This Row],[Distribution Date]]&gt;"2014-04-01",1,2.5)</f>
        <v>0</v>
      </c>
      <c r="AI1089" s="294">
        <f>IF(NFI_Expiration=1,IF($A1089&lt;VLOOKUP(R$5,NFI,5,0),1,0)*Table_NFI[[#This Row],[Winter Clothes Adult]],Table_NFI[Winter Clothes Adult])</f>
        <v>0</v>
      </c>
      <c r="AJ1089" s="294">
        <f>IF(NFI_Expiration=1,IF($A1089&lt;VLOOKUP(S$5,NFI,5,0),1,0)*Table_NFI[[#This Row],[Winter Clothes Children]],Table_NFI[Winter Clothes Children])</f>
        <v>0</v>
      </c>
      <c r="AK1089" s="294">
        <f>IF(NFI_Expiration=1,IF($A1089&lt;VLOOKUP(T$5,NFI,5,0),1,0)*Table_NFI[[#This Row],[Winter Items Other]],Table_NFI[Winter Items Other])</f>
        <v>0</v>
      </c>
      <c r="AL1089" s="294">
        <f>IF(NFI_Expiration=1,IF($A1089&lt;VLOOKUP(M$5,NFI,5,0),1,0)*Table_NFI[[#This Row],[Winter Blanket]],Table_NFI[[#This Row],[Winter Blanket]])</f>
        <v>0</v>
      </c>
      <c r="AM1089" s="294">
        <f>IF(Table_NFI[[#This Row],[Winter Clothes Adult]]+Table_NFI[[#This Row],[Winter Clothes Children]]+Table_NFI[[#This Row],[Winter Items Other]]+Table_NFI[[#This Row],[Winter Blanket]]&gt;0,1,0)</f>
        <v>0</v>
      </c>
      <c r="AN1089" s="331">
        <f>IF(NFI_Expiration=1,IF($A1089&lt;VLOOKUP(V$5,NFI,5,0),1,0)*Table_NFI[[#This Row],[Jerry Can]],Table_NFI[Jerry Can])</f>
        <v>0</v>
      </c>
      <c r="AO1089" s="331">
        <f>IF(NFI_Expiration=1,IF($A1089&lt;VLOOKUP(V$5,NFI,5,0),1,0)*Table_NFI[[#This Row],[Shelter Tool kit]],Table_NFI[Shelter Tool kit])</f>
        <v>0</v>
      </c>
      <c r="AP1089" s="331">
        <f>IF(NFI_Expiration=1,IF($A1089&lt;VLOOKUP(V$5,NFI,5,0),1,0)*Table_NFI[[#This Row],[Tent]],Table_NFI[Tent])</f>
        <v>0</v>
      </c>
      <c r="AQ1089" s="467" t="str">
        <f>IFERROR(VLOOKUP(Table_NFI[[#This Row],[Camp Name]],CL,2,0),"")</f>
        <v>MMR001CMP018</v>
      </c>
      <c r="AR1089" s="835">
        <f ca="1">IF(Table_NFI[[#This Row],[Pcode]]="","",IF(OFFSET(CampList[Opening Date],MATCH(Table_NFI[[#This Row],[Pcode]],CampList[CP_Pcode],0)-1,0,1,1)&gt;=NFI_Monitor_Date,1,0))</f>
        <v>0</v>
      </c>
      <c r="AS1089" s="467" t="str">
        <f>IFERROR(VLOOKUP(Table_NFI[[#This Row],[Camp Name]],CL,3,0),"")</f>
        <v>Open</v>
      </c>
      <c r="AT1089" s="294" t="str">
        <f ca="1">IF(Table_NFI[[#This Row],[Pcode]]="","",OFFSET(CampList[Priority],MATCH(Table_NFI[[#This Row],[Pcode]],CampList[CP_Pcode],0)-1,0,1,1))</f>
        <v>P4</v>
      </c>
      <c r="AU1089" s="293">
        <f>IFERROR(Table_NFI[[#This Row],[Kitchen Set]]/VLOOKUP(Table_NFI[[#This Row],[Camp Name]],CL,4,0),"")</f>
        <v>1.1049723756906078E-3</v>
      </c>
      <c r="AV1089" s="461" t="s">
        <v>1092</v>
      </c>
      <c r="AW1089" s="463"/>
    </row>
    <row r="1090" spans="1:49" s="472" customFormat="1" ht="15.75" customHeight="1" x14ac:dyDescent="0.25">
      <c r="A1090" s="297">
        <f t="shared" si="16"/>
        <v>61.833333333333336</v>
      </c>
      <c r="B1090" s="460">
        <v>40881</v>
      </c>
      <c r="C1090" s="461" t="s">
        <v>452</v>
      </c>
      <c r="D1090" s="462" t="s">
        <v>460</v>
      </c>
      <c r="E1090" s="461" t="s">
        <v>380</v>
      </c>
      <c r="F1090" s="290" t="s">
        <v>237</v>
      </c>
      <c r="G1090" s="290" t="s">
        <v>281</v>
      </c>
      <c r="H1090" s="291"/>
      <c r="I1090" s="291"/>
      <c r="J1090" s="291"/>
      <c r="K1090" s="291">
        <v>52</v>
      </c>
      <c r="L1090" s="292">
        <v>27</v>
      </c>
      <c r="M1090" s="292">
        <v>52</v>
      </c>
      <c r="N1090" s="292">
        <v>27</v>
      </c>
      <c r="O1090" s="292">
        <v>27</v>
      </c>
      <c r="P1090" s="294">
        <v>27</v>
      </c>
      <c r="Q1090" s="294">
        <v>27</v>
      </c>
      <c r="R1090" s="294"/>
      <c r="S1090" s="294"/>
      <c r="T1090" s="294"/>
      <c r="U1090" s="294"/>
      <c r="V1090" s="431"/>
      <c r="W1090" s="331"/>
      <c r="X1090" s="331"/>
      <c r="Y1090" s="294">
        <f>IF(NFI_Expiration=1,IF($A1090&lt;VLOOKUP(H$5,NFI,5,0),1,0)*Table_NFI[[#This Row],[Hygiene Kit]],Table_NFI[Hygiene Kit])</f>
        <v>0</v>
      </c>
      <c r="Z1090" s="294">
        <f>IF(NFI_Expiration=1,IF($A1090&lt;VLOOKUP(I$5,NFI,5,0),1,0)*Table_NFI[[#This Row],[NFI Core Kit]],Table_NFI[NFI Core Kit])</f>
        <v>0</v>
      </c>
      <c r="AA1090" s="294">
        <f>IF(NFI_Expiration=1,IF($A1090&lt;VLOOKUP(J$5,NFI,5,0),1,0)*Table_NFI[[#This Row],[Sanitary Kit]],Table_NFI[Sanitary Kit])</f>
        <v>0</v>
      </c>
      <c r="AB1090" s="294">
        <f>IF(NFI_Expiration=1,IF($A1090&lt;VLOOKUP(K$5,NFI,5,0),1,0)*Table_NFI[[#This Row],[Mosquito net]],Table_NFI[Mosquito net])</f>
        <v>0</v>
      </c>
      <c r="AC1090" s="294">
        <f>IF(NFI_Expiration=1,IF($A1090&lt;VLOOKUP(L$5,NFI,5,0),1,0)*Table_NFI[[#This Row],[Tarpaulin]],Table_NFI[[#This Row],[Tarpaulin]])</f>
        <v>0</v>
      </c>
      <c r="AD1090" s="294">
        <f>IF(NFI_Expiration=1,IF($A1090&lt;VLOOKUP(M$5,NFI,5,0),1,0)*Table_NFI[[#This Row],[Blanket]],Table_NFI[[#This Row],[Blanket]])</f>
        <v>0</v>
      </c>
      <c r="AE1090" s="294">
        <f>IF(NFI_Expiration=1,IF($A1090&lt;VLOOKUP(N$5,NFI,5,0),1,0)*Table_NFI[[#This Row],[Kitchen Set]],Table_NFI[Kitchen Set])</f>
        <v>0</v>
      </c>
      <c r="AF1090" s="294">
        <f>IF(NFI_Expiration=1,IF($A1090&lt;VLOOKUP(O$5,NFI,5,0),1,0)*Table_NFI[[#This Row],[Clothes Kit]],Table_NFI[Clothes Kit])</f>
        <v>0</v>
      </c>
      <c r="AG1090" s="294">
        <f>IF(NFI_Expiration=1,IF($A1090&lt;VLOOKUP(P$5,NFI,5,0),1,0)*Table_NFI[[#This Row],[Plastic Bucket]],Table_NFI[Plastic Bucket])</f>
        <v>0</v>
      </c>
      <c r="AH1090" s="294">
        <f>IF(NFI_Expiration=1,IF($A1090&lt;VLOOKUP(Q$5,NFI,5,0),1,0)*Table_NFI[[#This Row],[Plastic Mat]],Table_NFI[Plastic Mat])*IF(Table_NFI[[#This Row],[Distribution Date]]&gt;"2014-04-01",1,2.5)</f>
        <v>0</v>
      </c>
      <c r="AI1090" s="294">
        <f>IF(NFI_Expiration=1,IF($A1090&lt;VLOOKUP(R$5,NFI,5,0),1,0)*Table_NFI[[#This Row],[Winter Clothes Adult]],Table_NFI[Winter Clothes Adult])</f>
        <v>0</v>
      </c>
      <c r="AJ1090" s="294">
        <f>IF(NFI_Expiration=1,IF($A1090&lt;VLOOKUP(S$5,NFI,5,0),1,0)*Table_NFI[[#This Row],[Winter Clothes Children]],Table_NFI[Winter Clothes Children])</f>
        <v>0</v>
      </c>
      <c r="AK1090" s="294">
        <f>IF(NFI_Expiration=1,IF($A1090&lt;VLOOKUP(T$5,NFI,5,0),1,0)*Table_NFI[[#This Row],[Winter Items Other]],Table_NFI[Winter Items Other])</f>
        <v>0</v>
      </c>
      <c r="AL1090" s="294">
        <f>IF(NFI_Expiration=1,IF($A1090&lt;VLOOKUP(M$5,NFI,5,0),1,0)*Table_NFI[[#This Row],[Winter Blanket]],Table_NFI[[#This Row],[Winter Blanket]])</f>
        <v>0</v>
      </c>
      <c r="AM1090" s="294">
        <f>IF(Table_NFI[[#This Row],[Winter Clothes Adult]]+Table_NFI[[#This Row],[Winter Clothes Children]]+Table_NFI[[#This Row],[Winter Items Other]]+Table_NFI[[#This Row],[Winter Blanket]]&gt;0,1,0)</f>
        <v>0</v>
      </c>
      <c r="AN1090" s="331">
        <f>IF(NFI_Expiration=1,IF($A1090&lt;VLOOKUP(V$5,NFI,5,0),1,0)*Table_NFI[[#This Row],[Jerry Can]],Table_NFI[Jerry Can])</f>
        <v>0</v>
      </c>
      <c r="AO1090" s="331">
        <f>IF(NFI_Expiration=1,IF($A1090&lt;VLOOKUP(V$5,NFI,5,0),1,0)*Table_NFI[[#This Row],[Shelter Tool kit]],Table_NFI[Shelter Tool kit])</f>
        <v>0</v>
      </c>
      <c r="AP1090" s="331">
        <f>IF(NFI_Expiration=1,IF($A1090&lt;VLOOKUP(V$5,NFI,5,0),1,0)*Table_NFI[[#This Row],[Tent]],Table_NFI[Tent])</f>
        <v>0</v>
      </c>
      <c r="AQ1090" s="467" t="str">
        <f>IFERROR(VLOOKUP(Table_NFI[[#This Row],[Camp Name]],CL,2,0),"")</f>
        <v>MMR001CMP009</v>
      </c>
      <c r="AR1090" s="835">
        <f ca="1">IF(Table_NFI[[#This Row],[Pcode]]="","",IF(OFFSET(CampList[Opening Date],MATCH(Table_NFI[[#This Row],[Pcode]],CampList[CP_Pcode],0)-1,0,1,1)&gt;=NFI_Monitor_Date,1,0))</f>
        <v>0</v>
      </c>
      <c r="AS1090" s="467" t="str">
        <f>IFERROR(VLOOKUP(Table_NFI[[#This Row],[Camp Name]],CL,3,0),"")</f>
        <v>Open</v>
      </c>
      <c r="AT1090" s="294" t="str">
        <f ca="1">IF(Table_NFI[[#This Row],[Pcode]]="","",OFFSET(CampList[Priority],MATCH(Table_NFI[[#This Row],[Pcode]],CampList[CP_Pcode],0)-1,0,1,1))</f>
        <v>P4</v>
      </c>
      <c r="AU1090" s="293">
        <f>IFERROR(Table_NFI[[#This Row],[Kitchen Set]]/VLOOKUP(Table_NFI[[#This Row],[Camp Name]],CL,4,0),"")</f>
        <v>6.6298342541436467E-4</v>
      </c>
      <c r="AV1090" s="461" t="s">
        <v>1092</v>
      </c>
      <c r="AW1090" s="463"/>
    </row>
    <row r="1091" spans="1:49" s="472" customFormat="1" ht="15.75" customHeight="1" x14ac:dyDescent="0.25">
      <c r="A1091" s="297">
        <f t="shared" si="16"/>
        <v>62.366666666666667</v>
      </c>
      <c r="B1091" s="460">
        <v>40865</v>
      </c>
      <c r="C1091" s="461" t="s">
        <v>452</v>
      </c>
      <c r="D1091" s="462" t="s">
        <v>452</v>
      </c>
      <c r="E1091" s="461" t="s">
        <v>380</v>
      </c>
      <c r="F1091" s="290" t="s">
        <v>237</v>
      </c>
      <c r="G1091" s="290" t="s">
        <v>906</v>
      </c>
      <c r="H1091" s="291"/>
      <c r="I1091" s="291"/>
      <c r="J1091" s="291"/>
      <c r="K1091" s="291">
        <v>24</v>
      </c>
      <c r="L1091" s="292">
        <v>3</v>
      </c>
      <c r="M1091" s="292">
        <v>24</v>
      </c>
      <c r="N1091" s="292">
        <v>3</v>
      </c>
      <c r="O1091" s="292">
        <v>3</v>
      </c>
      <c r="P1091" s="294">
        <v>3</v>
      </c>
      <c r="Q1091" s="294">
        <v>3</v>
      </c>
      <c r="R1091" s="294"/>
      <c r="S1091" s="294"/>
      <c r="T1091" s="294"/>
      <c r="U1091" s="294"/>
      <c r="V1091" s="431"/>
      <c r="W1091" s="331"/>
      <c r="X1091" s="331"/>
      <c r="Y1091" s="294">
        <f>IF(NFI_Expiration=1,IF($A1091&lt;VLOOKUP(H$5,NFI,5,0),1,0)*Table_NFI[[#This Row],[Hygiene Kit]],Table_NFI[Hygiene Kit])</f>
        <v>0</v>
      </c>
      <c r="Z1091" s="294">
        <f>IF(NFI_Expiration=1,IF($A1091&lt;VLOOKUP(I$5,NFI,5,0),1,0)*Table_NFI[[#This Row],[NFI Core Kit]],Table_NFI[NFI Core Kit])</f>
        <v>0</v>
      </c>
      <c r="AA1091" s="294">
        <f>IF(NFI_Expiration=1,IF($A1091&lt;VLOOKUP(J$5,NFI,5,0),1,0)*Table_NFI[[#This Row],[Sanitary Kit]],Table_NFI[Sanitary Kit])</f>
        <v>0</v>
      </c>
      <c r="AB1091" s="294">
        <f>IF(NFI_Expiration=1,IF($A1091&lt;VLOOKUP(K$5,NFI,5,0),1,0)*Table_NFI[[#This Row],[Mosquito net]],Table_NFI[Mosquito net])</f>
        <v>0</v>
      </c>
      <c r="AC1091" s="294">
        <f>IF(NFI_Expiration=1,IF($A1091&lt;VLOOKUP(L$5,NFI,5,0),1,0)*Table_NFI[[#This Row],[Tarpaulin]],Table_NFI[[#This Row],[Tarpaulin]])</f>
        <v>0</v>
      </c>
      <c r="AD1091" s="294">
        <f>IF(NFI_Expiration=1,IF($A1091&lt;VLOOKUP(M$5,NFI,5,0),1,0)*Table_NFI[[#This Row],[Blanket]],Table_NFI[[#This Row],[Blanket]])</f>
        <v>0</v>
      </c>
      <c r="AE1091" s="294">
        <f>IF(NFI_Expiration=1,IF($A1091&lt;VLOOKUP(N$5,NFI,5,0),1,0)*Table_NFI[[#This Row],[Kitchen Set]],Table_NFI[Kitchen Set])</f>
        <v>0</v>
      </c>
      <c r="AF1091" s="294">
        <f>IF(NFI_Expiration=1,IF($A1091&lt;VLOOKUP(O$5,NFI,5,0),1,0)*Table_NFI[[#This Row],[Clothes Kit]],Table_NFI[Clothes Kit])</f>
        <v>0</v>
      </c>
      <c r="AG1091" s="294">
        <f>IF(NFI_Expiration=1,IF($A1091&lt;VLOOKUP(P$5,NFI,5,0),1,0)*Table_NFI[[#This Row],[Plastic Bucket]],Table_NFI[Plastic Bucket])</f>
        <v>0</v>
      </c>
      <c r="AH1091" s="294">
        <f>IF(NFI_Expiration=1,IF($A1091&lt;VLOOKUP(Q$5,NFI,5,0),1,0)*Table_NFI[[#This Row],[Plastic Mat]],Table_NFI[Plastic Mat])*IF(Table_NFI[[#This Row],[Distribution Date]]&gt;"2014-04-01",1,2.5)</f>
        <v>0</v>
      </c>
      <c r="AI1091" s="294">
        <f>IF(NFI_Expiration=1,IF($A1091&lt;VLOOKUP(R$5,NFI,5,0),1,0)*Table_NFI[[#This Row],[Winter Clothes Adult]],Table_NFI[Winter Clothes Adult])</f>
        <v>0</v>
      </c>
      <c r="AJ1091" s="294">
        <f>IF(NFI_Expiration=1,IF($A1091&lt;VLOOKUP(S$5,NFI,5,0),1,0)*Table_NFI[[#This Row],[Winter Clothes Children]],Table_NFI[Winter Clothes Children])</f>
        <v>0</v>
      </c>
      <c r="AK1091" s="294">
        <f>IF(NFI_Expiration=1,IF($A1091&lt;VLOOKUP(T$5,NFI,5,0),1,0)*Table_NFI[[#This Row],[Winter Items Other]],Table_NFI[Winter Items Other])</f>
        <v>0</v>
      </c>
      <c r="AL1091" s="294">
        <f>IF(NFI_Expiration=1,IF($A1091&lt;VLOOKUP(M$5,NFI,5,0),1,0)*Table_NFI[[#This Row],[Winter Blanket]],Table_NFI[[#This Row],[Winter Blanket]])</f>
        <v>0</v>
      </c>
      <c r="AM1091" s="294">
        <f>IF(Table_NFI[[#This Row],[Winter Clothes Adult]]+Table_NFI[[#This Row],[Winter Clothes Children]]+Table_NFI[[#This Row],[Winter Items Other]]+Table_NFI[[#This Row],[Winter Blanket]]&gt;0,1,0)</f>
        <v>0</v>
      </c>
      <c r="AN1091" s="331">
        <f>IF(NFI_Expiration=1,IF($A1091&lt;VLOOKUP(V$5,NFI,5,0),1,0)*Table_NFI[[#This Row],[Jerry Can]],Table_NFI[Jerry Can])</f>
        <v>0</v>
      </c>
      <c r="AO1091" s="331">
        <f>IF(NFI_Expiration=1,IF($A1091&lt;VLOOKUP(V$5,NFI,5,0),1,0)*Table_NFI[[#This Row],[Shelter Tool kit]],Table_NFI[Shelter Tool kit])</f>
        <v>0</v>
      </c>
      <c r="AP1091" s="331">
        <f>IF(NFI_Expiration=1,IF($A1091&lt;VLOOKUP(V$5,NFI,5,0),1,0)*Table_NFI[[#This Row],[Tent]],Table_NFI[Tent])</f>
        <v>0</v>
      </c>
      <c r="AQ1091" s="467" t="str">
        <f>IFERROR(VLOOKUP(Table_NFI[[#This Row],[Camp Name]],CL,2,0),"")</f>
        <v/>
      </c>
      <c r="AR1091" s="835" t="str">
        <f ca="1">IF(Table_NFI[[#This Row],[Pcode]]="","",IF(OFFSET(CampList[Opening Date],MATCH(Table_NFI[[#This Row],[Pcode]],CampList[CP_Pcode],0)-1,0,1,1)&gt;=NFI_Monitor_Date,1,0))</f>
        <v/>
      </c>
      <c r="AS1091" s="467" t="str">
        <f>IFERROR(VLOOKUP(Table_NFI[[#This Row],[Camp Name]],CL,3,0),"")</f>
        <v/>
      </c>
      <c r="AT1091" s="294" t="str">
        <f ca="1">IF(Table_NFI[[#This Row],[Pcode]]="","",OFFSET(CampList[Priority],MATCH(Table_NFI[[#This Row],[Pcode]],CampList[CP_Pcode],0)-1,0,1,1))</f>
        <v/>
      </c>
      <c r="AU1091" s="293" t="str">
        <f>IFERROR(Table_NFI[[#This Row],[Kitchen Set]]/VLOOKUP(Table_NFI[[#This Row],[Camp Name]],CL,4,0),"")</f>
        <v/>
      </c>
      <c r="AV1091" s="461" t="s">
        <v>1092</v>
      </c>
      <c r="AW1091" s="463"/>
    </row>
    <row r="1092" spans="1:49" s="472" customFormat="1" ht="15.75" customHeight="1" x14ac:dyDescent="0.25">
      <c r="A1092" s="297">
        <f t="shared" si="16"/>
        <v>62.366666666666667</v>
      </c>
      <c r="B1092" s="460">
        <v>40865</v>
      </c>
      <c r="C1092" s="461" t="s">
        <v>452</v>
      </c>
      <c r="D1092" s="462" t="s">
        <v>452</v>
      </c>
      <c r="E1092" s="461" t="s">
        <v>380</v>
      </c>
      <c r="F1092" s="290" t="s">
        <v>237</v>
      </c>
      <c r="G1092" s="290" t="s">
        <v>283</v>
      </c>
      <c r="H1092" s="291"/>
      <c r="I1092" s="291"/>
      <c r="J1092" s="291"/>
      <c r="K1092" s="291">
        <v>175</v>
      </c>
      <c r="L1092" s="292">
        <v>0</v>
      </c>
      <c r="M1092" s="292">
        <v>175</v>
      </c>
      <c r="N1092" s="292">
        <v>0</v>
      </c>
      <c r="O1092" s="292">
        <v>0</v>
      </c>
      <c r="P1092" s="294"/>
      <c r="Q1092" s="294"/>
      <c r="R1092" s="294"/>
      <c r="S1092" s="294"/>
      <c r="T1092" s="294"/>
      <c r="U1092" s="294"/>
      <c r="V1092" s="431"/>
      <c r="W1092" s="331"/>
      <c r="X1092" s="331"/>
      <c r="Y1092" s="294">
        <f>IF(NFI_Expiration=1,IF($A1092&lt;VLOOKUP(H$5,NFI,5,0),1,0)*Table_NFI[[#This Row],[Hygiene Kit]],Table_NFI[Hygiene Kit])</f>
        <v>0</v>
      </c>
      <c r="Z1092" s="294">
        <f>IF(NFI_Expiration=1,IF($A1092&lt;VLOOKUP(I$5,NFI,5,0),1,0)*Table_NFI[[#This Row],[NFI Core Kit]],Table_NFI[NFI Core Kit])</f>
        <v>0</v>
      </c>
      <c r="AA1092" s="294">
        <f>IF(NFI_Expiration=1,IF($A1092&lt;VLOOKUP(J$5,NFI,5,0),1,0)*Table_NFI[[#This Row],[Sanitary Kit]],Table_NFI[Sanitary Kit])</f>
        <v>0</v>
      </c>
      <c r="AB1092" s="294">
        <f>IF(NFI_Expiration=1,IF($A1092&lt;VLOOKUP(K$5,NFI,5,0),1,0)*Table_NFI[[#This Row],[Mosquito net]],Table_NFI[Mosquito net])</f>
        <v>0</v>
      </c>
      <c r="AC1092" s="294">
        <f>IF(NFI_Expiration=1,IF($A1092&lt;VLOOKUP(L$5,NFI,5,0),1,0)*Table_NFI[[#This Row],[Tarpaulin]],Table_NFI[[#This Row],[Tarpaulin]])</f>
        <v>0</v>
      </c>
      <c r="AD1092" s="294">
        <f>IF(NFI_Expiration=1,IF($A1092&lt;VLOOKUP(M$5,NFI,5,0),1,0)*Table_NFI[[#This Row],[Blanket]],Table_NFI[[#This Row],[Blanket]])</f>
        <v>0</v>
      </c>
      <c r="AE1092" s="294">
        <f>IF(NFI_Expiration=1,IF($A1092&lt;VLOOKUP(N$5,NFI,5,0),1,0)*Table_NFI[[#This Row],[Kitchen Set]],Table_NFI[Kitchen Set])</f>
        <v>0</v>
      </c>
      <c r="AF1092" s="294">
        <f>IF(NFI_Expiration=1,IF($A1092&lt;VLOOKUP(O$5,NFI,5,0),1,0)*Table_NFI[[#This Row],[Clothes Kit]],Table_NFI[Clothes Kit])</f>
        <v>0</v>
      </c>
      <c r="AG1092" s="294">
        <f>IF(NFI_Expiration=1,IF($A1092&lt;VLOOKUP(P$5,NFI,5,0),1,0)*Table_NFI[[#This Row],[Plastic Bucket]],Table_NFI[Plastic Bucket])</f>
        <v>0</v>
      </c>
      <c r="AH1092" s="294">
        <f>IF(NFI_Expiration=1,IF($A1092&lt;VLOOKUP(Q$5,NFI,5,0),1,0)*Table_NFI[[#This Row],[Plastic Mat]],Table_NFI[Plastic Mat])*IF(Table_NFI[[#This Row],[Distribution Date]]&gt;"2014-04-01",1,2.5)</f>
        <v>0</v>
      </c>
      <c r="AI1092" s="294">
        <f>IF(NFI_Expiration=1,IF($A1092&lt;VLOOKUP(R$5,NFI,5,0),1,0)*Table_NFI[[#This Row],[Winter Clothes Adult]],Table_NFI[Winter Clothes Adult])</f>
        <v>0</v>
      </c>
      <c r="AJ1092" s="294">
        <f>IF(NFI_Expiration=1,IF($A1092&lt;VLOOKUP(S$5,NFI,5,0),1,0)*Table_NFI[[#This Row],[Winter Clothes Children]],Table_NFI[Winter Clothes Children])</f>
        <v>0</v>
      </c>
      <c r="AK1092" s="294">
        <f>IF(NFI_Expiration=1,IF($A1092&lt;VLOOKUP(T$5,NFI,5,0),1,0)*Table_NFI[[#This Row],[Winter Items Other]],Table_NFI[Winter Items Other])</f>
        <v>0</v>
      </c>
      <c r="AL1092" s="294">
        <f>IF(NFI_Expiration=1,IF($A1092&lt;VLOOKUP(M$5,NFI,5,0),1,0)*Table_NFI[[#This Row],[Winter Blanket]],Table_NFI[[#This Row],[Winter Blanket]])</f>
        <v>0</v>
      </c>
      <c r="AM1092" s="294">
        <f>IF(Table_NFI[[#This Row],[Winter Clothes Adult]]+Table_NFI[[#This Row],[Winter Clothes Children]]+Table_NFI[[#This Row],[Winter Items Other]]+Table_NFI[[#This Row],[Winter Blanket]]&gt;0,1,0)</f>
        <v>0</v>
      </c>
      <c r="AN1092" s="331">
        <f>IF(NFI_Expiration=1,IF($A1092&lt;VLOOKUP(V$5,NFI,5,0),1,0)*Table_NFI[[#This Row],[Jerry Can]],Table_NFI[Jerry Can])</f>
        <v>0</v>
      </c>
      <c r="AO1092" s="331">
        <f>IF(NFI_Expiration=1,IF($A1092&lt;VLOOKUP(V$5,NFI,5,0),1,0)*Table_NFI[[#This Row],[Shelter Tool kit]],Table_NFI[Shelter Tool kit])</f>
        <v>0</v>
      </c>
      <c r="AP1092" s="331">
        <f>IF(NFI_Expiration=1,IF($A1092&lt;VLOOKUP(V$5,NFI,5,0),1,0)*Table_NFI[[#This Row],[Tent]],Table_NFI[Tent])</f>
        <v>0</v>
      </c>
      <c r="AQ1092" s="467" t="str">
        <f>IFERROR(VLOOKUP(Table_NFI[[#This Row],[Camp Name]],CL,2,0),"")</f>
        <v>MMR001CMP022</v>
      </c>
      <c r="AR1092" s="835">
        <f ca="1">IF(Table_NFI[[#This Row],[Pcode]]="","",IF(OFFSET(CampList[Opening Date],MATCH(Table_NFI[[#This Row],[Pcode]],CampList[CP_Pcode],0)-1,0,1,1)&gt;=NFI_Monitor_Date,1,0))</f>
        <v>0</v>
      </c>
      <c r="AS1092" s="467" t="str">
        <f>IFERROR(VLOOKUP(Table_NFI[[#This Row],[Camp Name]],CL,3,0),"")</f>
        <v>Open</v>
      </c>
      <c r="AT1092" s="294" t="str">
        <f ca="1">IF(Table_NFI[[#This Row],[Pcode]]="","",OFFSET(CampList[Priority],MATCH(Table_NFI[[#This Row],[Pcode]],CampList[CP_Pcode],0)-1,0,1,1))</f>
        <v>P4</v>
      </c>
      <c r="AU1092" s="293">
        <f>IFERROR(Table_NFI[[#This Row],[Kitchen Set]]/VLOOKUP(Table_NFI[[#This Row],[Camp Name]],CL,4,0),"")</f>
        <v>0</v>
      </c>
      <c r="AV1092" s="461" t="s">
        <v>1092</v>
      </c>
      <c r="AW1092" s="463"/>
    </row>
    <row r="1093" spans="1:49" s="472" customFormat="1" ht="15.75" customHeight="1" x14ac:dyDescent="0.25">
      <c r="A1093" s="297">
        <f t="shared" si="16"/>
        <v>62.43333333333333</v>
      </c>
      <c r="B1093" s="460">
        <v>40863</v>
      </c>
      <c r="C1093" s="461" t="s">
        <v>452</v>
      </c>
      <c r="D1093" s="462" t="s">
        <v>460</v>
      </c>
      <c r="E1093" s="461" t="s">
        <v>380</v>
      </c>
      <c r="F1093" s="290" t="s">
        <v>237</v>
      </c>
      <c r="G1093" s="290" t="s">
        <v>269</v>
      </c>
      <c r="H1093" s="291"/>
      <c r="I1093" s="291"/>
      <c r="J1093" s="291"/>
      <c r="K1093" s="291">
        <v>92</v>
      </c>
      <c r="L1093" s="292">
        <v>53</v>
      </c>
      <c r="M1093" s="292">
        <v>92</v>
      </c>
      <c r="N1093" s="292">
        <v>53</v>
      </c>
      <c r="O1093" s="292">
        <v>53</v>
      </c>
      <c r="P1093" s="294">
        <v>53</v>
      </c>
      <c r="Q1093" s="294">
        <v>53</v>
      </c>
      <c r="R1093" s="294"/>
      <c r="S1093" s="294"/>
      <c r="T1093" s="294"/>
      <c r="U1093" s="294"/>
      <c r="V1093" s="431"/>
      <c r="W1093" s="331"/>
      <c r="X1093" s="331"/>
      <c r="Y1093" s="294">
        <f>IF(NFI_Expiration=1,IF($A1093&lt;VLOOKUP(H$5,NFI,5,0),1,0)*Table_NFI[[#This Row],[Hygiene Kit]],Table_NFI[Hygiene Kit])</f>
        <v>0</v>
      </c>
      <c r="Z1093" s="294">
        <f>IF(NFI_Expiration=1,IF($A1093&lt;VLOOKUP(I$5,NFI,5,0),1,0)*Table_NFI[[#This Row],[NFI Core Kit]],Table_NFI[NFI Core Kit])</f>
        <v>0</v>
      </c>
      <c r="AA1093" s="294">
        <f>IF(NFI_Expiration=1,IF($A1093&lt;VLOOKUP(J$5,NFI,5,0),1,0)*Table_NFI[[#This Row],[Sanitary Kit]],Table_NFI[Sanitary Kit])</f>
        <v>0</v>
      </c>
      <c r="AB1093" s="294">
        <f>IF(NFI_Expiration=1,IF($A1093&lt;VLOOKUP(K$5,NFI,5,0),1,0)*Table_NFI[[#This Row],[Mosquito net]],Table_NFI[Mosquito net])</f>
        <v>0</v>
      </c>
      <c r="AC1093" s="294">
        <f>IF(NFI_Expiration=1,IF($A1093&lt;VLOOKUP(L$5,NFI,5,0),1,0)*Table_NFI[[#This Row],[Tarpaulin]],Table_NFI[[#This Row],[Tarpaulin]])</f>
        <v>0</v>
      </c>
      <c r="AD1093" s="294">
        <f>IF(NFI_Expiration=1,IF($A1093&lt;VLOOKUP(M$5,NFI,5,0),1,0)*Table_NFI[[#This Row],[Blanket]],Table_NFI[[#This Row],[Blanket]])</f>
        <v>0</v>
      </c>
      <c r="AE1093" s="294">
        <f>IF(NFI_Expiration=1,IF($A1093&lt;VLOOKUP(N$5,NFI,5,0),1,0)*Table_NFI[[#This Row],[Kitchen Set]],Table_NFI[Kitchen Set])</f>
        <v>0</v>
      </c>
      <c r="AF1093" s="294">
        <f>IF(NFI_Expiration=1,IF($A1093&lt;VLOOKUP(O$5,NFI,5,0),1,0)*Table_NFI[[#This Row],[Clothes Kit]],Table_NFI[Clothes Kit])</f>
        <v>0</v>
      </c>
      <c r="AG1093" s="294">
        <f>IF(NFI_Expiration=1,IF($A1093&lt;VLOOKUP(P$5,NFI,5,0),1,0)*Table_NFI[[#This Row],[Plastic Bucket]],Table_NFI[Plastic Bucket])</f>
        <v>0</v>
      </c>
      <c r="AH1093" s="294">
        <f>IF(NFI_Expiration=1,IF($A1093&lt;VLOOKUP(Q$5,NFI,5,0),1,0)*Table_NFI[[#This Row],[Plastic Mat]],Table_NFI[Plastic Mat])*IF(Table_NFI[[#This Row],[Distribution Date]]&gt;"2014-04-01",1,2.5)</f>
        <v>0</v>
      </c>
      <c r="AI1093" s="294">
        <f>IF(NFI_Expiration=1,IF($A1093&lt;VLOOKUP(R$5,NFI,5,0),1,0)*Table_NFI[[#This Row],[Winter Clothes Adult]],Table_NFI[Winter Clothes Adult])</f>
        <v>0</v>
      </c>
      <c r="AJ1093" s="294">
        <f>IF(NFI_Expiration=1,IF($A1093&lt;VLOOKUP(S$5,NFI,5,0),1,0)*Table_NFI[[#This Row],[Winter Clothes Children]],Table_NFI[Winter Clothes Children])</f>
        <v>0</v>
      </c>
      <c r="AK1093" s="294">
        <f>IF(NFI_Expiration=1,IF($A1093&lt;VLOOKUP(T$5,NFI,5,0),1,0)*Table_NFI[[#This Row],[Winter Items Other]],Table_NFI[Winter Items Other])</f>
        <v>0</v>
      </c>
      <c r="AL1093" s="294">
        <f>IF(NFI_Expiration=1,IF($A1093&lt;VLOOKUP(M$5,NFI,5,0),1,0)*Table_NFI[[#This Row],[Winter Blanket]],Table_NFI[[#This Row],[Winter Blanket]])</f>
        <v>0</v>
      </c>
      <c r="AM1093" s="294">
        <f>IF(Table_NFI[[#This Row],[Winter Clothes Adult]]+Table_NFI[[#This Row],[Winter Clothes Children]]+Table_NFI[[#This Row],[Winter Items Other]]+Table_NFI[[#This Row],[Winter Blanket]]&gt;0,1,0)</f>
        <v>0</v>
      </c>
      <c r="AN1093" s="331">
        <f>IF(NFI_Expiration=1,IF($A1093&lt;VLOOKUP(V$5,NFI,5,0),1,0)*Table_NFI[[#This Row],[Jerry Can]],Table_NFI[Jerry Can])</f>
        <v>0</v>
      </c>
      <c r="AO1093" s="331">
        <f>IF(NFI_Expiration=1,IF($A1093&lt;VLOOKUP(V$5,NFI,5,0),1,0)*Table_NFI[[#This Row],[Shelter Tool kit]],Table_NFI[Shelter Tool kit])</f>
        <v>0</v>
      </c>
      <c r="AP1093" s="331">
        <f>IF(NFI_Expiration=1,IF($A1093&lt;VLOOKUP(V$5,NFI,5,0),1,0)*Table_NFI[[#This Row],[Tent]],Table_NFI[Tent])</f>
        <v>0</v>
      </c>
      <c r="AQ1093" s="467" t="str">
        <f>IFERROR(VLOOKUP(Table_NFI[[#This Row],[Camp Name]],CL,2,0),"")</f>
        <v>MMR001CMP002</v>
      </c>
      <c r="AR1093" s="835">
        <f ca="1">IF(Table_NFI[[#This Row],[Pcode]]="","",IF(OFFSET(CampList[Opening Date],MATCH(Table_NFI[[#This Row],[Pcode]],CampList[CP_Pcode],0)-1,0,1,1)&gt;=NFI_Monitor_Date,1,0))</f>
        <v>0</v>
      </c>
      <c r="AS1093" s="467" t="str">
        <f>IFERROR(VLOOKUP(Table_NFI[[#This Row],[Camp Name]],CL,3,0),"")</f>
        <v>Open</v>
      </c>
      <c r="AT1093" s="294" t="str">
        <f ca="1">IF(Table_NFI[[#This Row],[Pcode]]="","",OFFSET(CampList[Priority],MATCH(Table_NFI[[#This Row],[Pcode]],CampList[CP_Pcode],0)-1,0,1,1))</f>
        <v>P4</v>
      </c>
      <c r="AU1093" s="293">
        <f>IFERROR(Table_NFI[[#This Row],[Kitchen Set]]/VLOOKUP(Table_NFI[[#This Row],[Camp Name]],CL,4,0),"")</f>
        <v>1.3023712986853422E-3</v>
      </c>
      <c r="AV1093" s="461" t="s">
        <v>1092</v>
      </c>
      <c r="AW1093" s="463"/>
    </row>
    <row r="1094" spans="1:49" s="472" customFormat="1" ht="14.45" customHeight="1" x14ac:dyDescent="0.25">
      <c r="A1094" s="297">
        <f t="shared" ref="A1094:A1157" si="17">IF(ISBLANK(B1094),"",(Report_Date-B1094)/30)</f>
        <v>62.43333333333333</v>
      </c>
      <c r="B1094" s="460">
        <v>40863</v>
      </c>
      <c r="C1094" s="461" t="s">
        <v>452</v>
      </c>
      <c r="D1094" s="462" t="s">
        <v>460</v>
      </c>
      <c r="E1094" s="461" t="s">
        <v>380</v>
      </c>
      <c r="F1094" s="290" t="s">
        <v>237</v>
      </c>
      <c r="G1094" s="290" t="s">
        <v>281</v>
      </c>
      <c r="H1094" s="291"/>
      <c r="I1094" s="291"/>
      <c r="J1094" s="291"/>
      <c r="K1094" s="291">
        <v>63</v>
      </c>
      <c r="L1094" s="292">
        <v>30</v>
      </c>
      <c r="M1094" s="292">
        <v>63</v>
      </c>
      <c r="N1094" s="292">
        <v>30</v>
      </c>
      <c r="O1094" s="292">
        <v>30</v>
      </c>
      <c r="P1094" s="294">
        <v>30</v>
      </c>
      <c r="Q1094" s="294">
        <v>30</v>
      </c>
      <c r="R1094" s="294"/>
      <c r="S1094" s="294"/>
      <c r="T1094" s="294"/>
      <c r="U1094" s="294"/>
      <c r="V1094" s="431"/>
      <c r="W1094" s="331"/>
      <c r="X1094" s="331"/>
      <c r="Y1094" s="294">
        <f>IF(NFI_Expiration=1,IF($A1094&lt;VLOOKUP(H$5,NFI,5,0),1,0)*Table_NFI[[#This Row],[Hygiene Kit]],Table_NFI[Hygiene Kit])</f>
        <v>0</v>
      </c>
      <c r="Z1094" s="294">
        <f>IF(NFI_Expiration=1,IF($A1094&lt;VLOOKUP(I$5,NFI,5,0),1,0)*Table_NFI[[#This Row],[NFI Core Kit]],Table_NFI[NFI Core Kit])</f>
        <v>0</v>
      </c>
      <c r="AA1094" s="294">
        <f>IF(NFI_Expiration=1,IF($A1094&lt;VLOOKUP(J$5,NFI,5,0),1,0)*Table_NFI[[#This Row],[Sanitary Kit]],Table_NFI[Sanitary Kit])</f>
        <v>0</v>
      </c>
      <c r="AB1094" s="294">
        <f>IF(NFI_Expiration=1,IF($A1094&lt;VLOOKUP(K$5,NFI,5,0),1,0)*Table_NFI[[#This Row],[Mosquito net]],Table_NFI[Mosquito net])</f>
        <v>0</v>
      </c>
      <c r="AC1094" s="294">
        <f>IF(NFI_Expiration=1,IF($A1094&lt;VLOOKUP(L$5,NFI,5,0),1,0)*Table_NFI[[#This Row],[Tarpaulin]],Table_NFI[[#This Row],[Tarpaulin]])</f>
        <v>0</v>
      </c>
      <c r="AD1094" s="294">
        <f>IF(NFI_Expiration=1,IF($A1094&lt;VLOOKUP(M$5,NFI,5,0),1,0)*Table_NFI[[#This Row],[Blanket]],Table_NFI[[#This Row],[Blanket]])</f>
        <v>0</v>
      </c>
      <c r="AE1094" s="294">
        <f>IF(NFI_Expiration=1,IF($A1094&lt;VLOOKUP(N$5,NFI,5,0),1,0)*Table_NFI[[#This Row],[Kitchen Set]],Table_NFI[Kitchen Set])</f>
        <v>0</v>
      </c>
      <c r="AF1094" s="294">
        <f>IF(NFI_Expiration=1,IF($A1094&lt;VLOOKUP(O$5,NFI,5,0),1,0)*Table_NFI[[#This Row],[Clothes Kit]],Table_NFI[Clothes Kit])</f>
        <v>0</v>
      </c>
      <c r="AG1094" s="294">
        <f>IF(NFI_Expiration=1,IF($A1094&lt;VLOOKUP(P$5,NFI,5,0),1,0)*Table_NFI[[#This Row],[Plastic Bucket]],Table_NFI[Plastic Bucket])</f>
        <v>0</v>
      </c>
      <c r="AH1094" s="294">
        <f>IF(NFI_Expiration=1,IF($A1094&lt;VLOOKUP(Q$5,NFI,5,0),1,0)*Table_NFI[[#This Row],[Plastic Mat]],Table_NFI[Plastic Mat])*IF(Table_NFI[[#This Row],[Distribution Date]]&gt;"2014-04-01",1,2.5)</f>
        <v>0</v>
      </c>
      <c r="AI1094" s="294">
        <f>IF(NFI_Expiration=1,IF($A1094&lt;VLOOKUP(R$5,NFI,5,0),1,0)*Table_NFI[[#This Row],[Winter Clothes Adult]],Table_NFI[Winter Clothes Adult])</f>
        <v>0</v>
      </c>
      <c r="AJ1094" s="294">
        <f>IF(NFI_Expiration=1,IF($A1094&lt;VLOOKUP(S$5,NFI,5,0),1,0)*Table_NFI[[#This Row],[Winter Clothes Children]],Table_NFI[Winter Clothes Children])</f>
        <v>0</v>
      </c>
      <c r="AK1094" s="294">
        <f>IF(NFI_Expiration=1,IF($A1094&lt;VLOOKUP(T$5,NFI,5,0),1,0)*Table_NFI[[#This Row],[Winter Items Other]],Table_NFI[Winter Items Other])</f>
        <v>0</v>
      </c>
      <c r="AL1094" s="294">
        <f>IF(NFI_Expiration=1,IF($A1094&lt;VLOOKUP(M$5,NFI,5,0),1,0)*Table_NFI[[#This Row],[Winter Blanket]],Table_NFI[[#This Row],[Winter Blanket]])</f>
        <v>0</v>
      </c>
      <c r="AM1094" s="294">
        <f>IF(Table_NFI[[#This Row],[Winter Clothes Adult]]+Table_NFI[[#This Row],[Winter Clothes Children]]+Table_NFI[[#This Row],[Winter Items Other]]+Table_NFI[[#This Row],[Winter Blanket]]&gt;0,1,0)</f>
        <v>0</v>
      </c>
      <c r="AN1094" s="331">
        <f>IF(NFI_Expiration=1,IF($A1094&lt;VLOOKUP(V$5,NFI,5,0),1,0)*Table_NFI[[#This Row],[Jerry Can]],Table_NFI[Jerry Can])</f>
        <v>0</v>
      </c>
      <c r="AO1094" s="331">
        <f>IF(NFI_Expiration=1,IF($A1094&lt;VLOOKUP(V$5,NFI,5,0),1,0)*Table_NFI[[#This Row],[Shelter Tool kit]],Table_NFI[Shelter Tool kit])</f>
        <v>0</v>
      </c>
      <c r="AP1094" s="331">
        <f>IF(NFI_Expiration=1,IF($A1094&lt;VLOOKUP(V$5,NFI,5,0),1,0)*Table_NFI[[#This Row],[Tent]],Table_NFI[Tent])</f>
        <v>0</v>
      </c>
      <c r="AQ1094" s="467" t="str">
        <f>IFERROR(VLOOKUP(Table_NFI[[#This Row],[Camp Name]],CL,2,0),"")</f>
        <v>MMR001CMP009</v>
      </c>
      <c r="AR1094" s="835">
        <f ca="1">IF(Table_NFI[[#This Row],[Pcode]]="","",IF(OFFSET(CampList[Opening Date],MATCH(Table_NFI[[#This Row],[Pcode]],CampList[CP_Pcode],0)-1,0,1,1)&gt;=NFI_Monitor_Date,1,0))</f>
        <v>0</v>
      </c>
      <c r="AS1094" s="467" t="str">
        <f>IFERROR(VLOOKUP(Table_NFI[[#This Row],[Camp Name]],CL,3,0),"")</f>
        <v>Open</v>
      </c>
      <c r="AT1094" s="294" t="str">
        <f ca="1">IF(Table_NFI[[#This Row],[Pcode]]="","",OFFSET(CampList[Priority],MATCH(Table_NFI[[#This Row],[Pcode]],CampList[CP_Pcode],0)-1,0,1,1))</f>
        <v>P4</v>
      </c>
      <c r="AU1094" s="293">
        <f>IFERROR(Table_NFI[[#This Row],[Kitchen Set]]/VLOOKUP(Table_NFI[[#This Row],[Camp Name]],CL,4,0),"")</f>
        <v>7.3664825046040514E-4</v>
      </c>
      <c r="AV1094" s="461" t="s">
        <v>1092</v>
      </c>
      <c r="AW1094" s="463"/>
    </row>
    <row r="1095" spans="1:49" s="472" customFormat="1" ht="15.75" customHeight="1" x14ac:dyDescent="0.25">
      <c r="A1095" s="297">
        <f t="shared" si="17"/>
        <v>62.43333333333333</v>
      </c>
      <c r="B1095" s="460">
        <v>40863</v>
      </c>
      <c r="C1095" s="461" t="s">
        <v>452</v>
      </c>
      <c r="D1095" s="461" t="s">
        <v>460</v>
      </c>
      <c r="E1095" s="461" t="s">
        <v>380</v>
      </c>
      <c r="F1095" s="290" t="s">
        <v>237</v>
      </c>
      <c r="G1095" s="290" t="s">
        <v>251</v>
      </c>
      <c r="H1095" s="291"/>
      <c r="I1095" s="291"/>
      <c r="J1095" s="291"/>
      <c r="K1095" s="291">
        <v>53</v>
      </c>
      <c r="L1095" s="292">
        <v>31</v>
      </c>
      <c r="M1095" s="292">
        <v>53</v>
      </c>
      <c r="N1095" s="292">
        <v>31</v>
      </c>
      <c r="O1095" s="292">
        <v>31</v>
      </c>
      <c r="P1095" s="294">
        <v>31</v>
      </c>
      <c r="Q1095" s="294">
        <v>31</v>
      </c>
      <c r="R1095" s="294"/>
      <c r="S1095" s="294"/>
      <c r="T1095" s="294"/>
      <c r="U1095" s="294"/>
      <c r="V1095" s="431"/>
      <c r="W1095" s="331"/>
      <c r="X1095" s="331"/>
      <c r="Y1095" s="294">
        <f>IF(NFI_Expiration=1,IF($A1095&lt;VLOOKUP(H$5,NFI,5,0),1,0)*Table_NFI[[#This Row],[Hygiene Kit]],Table_NFI[Hygiene Kit])</f>
        <v>0</v>
      </c>
      <c r="Z1095" s="294">
        <f>IF(NFI_Expiration=1,IF($A1095&lt;VLOOKUP(I$5,NFI,5,0),1,0)*Table_NFI[[#This Row],[NFI Core Kit]],Table_NFI[NFI Core Kit])</f>
        <v>0</v>
      </c>
      <c r="AA1095" s="294">
        <f>IF(NFI_Expiration=1,IF($A1095&lt;VLOOKUP(J$5,NFI,5,0),1,0)*Table_NFI[[#This Row],[Sanitary Kit]],Table_NFI[Sanitary Kit])</f>
        <v>0</v>
      </c>
      <c r="AB1095" s="294">
        <f>IF(NFI_Expiration=1,IF($A1095&lt;VLOOKUP(K$5,NFI,5,0),1,0)*Table_NFI[[#This Row],[Mosquito net]],Table_NFI[Mosquito net])</f>
        <v>0</v>
      </c>
      <c r="AC1095" s="294">
        <f>IF(NFI_Expiration=1,IF($A1095&lt;VLOOKUP(L$5,NFI,5,0),1,0)*Table_NFI[[#This Row],[Tarpaulin]],Table_NFI[[#This Row],[Tarpaulin]])</f>
        <v>0</v>
      </c>
      <c r="AD1095" s="294">
        <f>IF(NFI_Expiration=1,IF($A1095&lt;VLOOKUP(M$5,NFI,5,0),1,0)*Table_NFI[[#This Row],[Blanket]],Table_NFI[[#This Row],[Blanket]])</f>
        <v>0</v>
      </c>
      <c r="AE1095" s="294">
        <f>IF(NFI_Expiration=1,IF($A1095&lt;VLOOKUP(N$5,NFI,5,0),1,0)*Table_NFI[[#This Row],[Kitchen Set]],Table_NFI[Kitchen Set])</f>
        <v>0</v>
      </c>
      <c r="AF1095" s="294">
        <f>IF(NFI_Expiration=1,IF($A1095&lt;VLOOKUP(O$5,NFI,5,0),1,0)*Table_NFI[[#This Row],[Clothes Kit]],Table_NFI[Clothes Kit])</f>
        <v>0</v>
      </c>
      <c r="AG1095" s="294">
        <f>IF(NFI_Expiration=1,IF($A1095&lt;VLOOKUP(P$5,NFI,5,0),1,0)*Table_NFI[[#This Row],[Plastic Bucket]],Table_NFI[Plastic Bucket])</f>
        <v>0</v>
      </c>
      <c r="AH1095" s="294">
        <f>IF(NFI_Expiration=1,IF($A1095&lt;VLOOKUP(Q$5,NFI,5,0),1,0)*Table_NFI[[#This Row],[Plastic Mat]],Table_NFI[Plastic Mat])*IF(Table_NFI[[#This Row],[Distribution Date]]&gt;"2014-04-01",1,2.5)</f>
        <v>0</v>
      </c>
      <c r="AI1095" s="294">
        <f>IF(NFI_Expiration=1,IF($A1095&lt;VLOOKUP(R$5,NFI,5,0),1,0)*Table_NFI[[#This Row],[Winter Clothes Adult]],Table_NFI[Winter Clothes Adult])</f>
        <v>0</v>
      </c>
      <c r="AJ1095" s="294">
        <f>IF(NFI_Expiration=1,IF($A1095&lt;VLOOKUP(S$5,NFI,5,0),1,0)*Table_NFI[[#This Row],[Winter Clothes Children]],Table_NFI[Winter Clothes Children])</f>
        <v>0</v>
      </c>
      <c r="AK1095" s="294">
        <f>IF(NFI_Expiration=1,IF($A1095&lt;VLOOKUP(T$5,NFI,5,0),1,0)*Table_NFI[[#This Row],[Winter Items Other]],Table_NFI[Winter Items Other])</f>
        <v>0</v>
      </c>
      <c r="AL1095" s="294">
        <f>IF(NFI_Expiration=1,IF($A1095&lt;VLOOKUP(M$5,NFI,5,0),1,0)*Table_NFI[[#This Row],[Winter Blanket]],Table_NFI[[#This Row],[Winter Blanket]])</f>
        <v>0</v>
      </c>
      <c r="AM1095" s="294">
        <f>IF(Table_NFI[[#This Row],[Winter Clothes Adult]]+Table_NFI[[#This Row],[Winter Clothes Children]]+Table_NFI[[#This Row],[Winter Items Other]]+Table_NFI[[#This Row],[Winter Blanket]]&gt;0,1,0)</f>
        <v>0</v>
      </c>
      <c r="AN1095" s="331">
        <f>IF(NFI_Expiration=1,IF($A1095&lt;VLOOKUP(V$5,NFI,5,0),1,0)*Table_NFI[[#This Row],[Jerry Can]],Table_NFI[Jerry Can])</f>
        <v>0</v>
      </c>
      <c r="AO1095" s="331">
        <f>IF(NFI_Expiration=1,IF($A1095&lt;VLOOKUP(V$5,NFI,5,0),1,0)*Table_NFI[[#This Row],[Shelter Tool kit]],Table_NFI[Shelter Tool kit])</f>
        <v>0</v>
      </c>
      <c r="AP1095" s="331">
        <f>IF(NFI_Expiration=1,IF($A1095&lt;VLOOKUP(V$5,NFI,5,0),1,0)*Table_NFI[[#This Row],[Tent]],Table_NFI[Tent])</f>
        <v>0</v>
      </c>
      <c r="AQ1095" s="467" t="str">
        <f>IFERROR(VLOOKUP(Table_NFI[[#This Row],[Camp Name]],CL,2,0),"")</f>
        <v>MMR001CMP003</v>
      </c>
      <c r="AR1095" s="835">
        <f ca="1">IF(Table_NFI[[#This Row],[Pcode]]="","",IF(OFFSET(CampList[Opening Date],MATCH(Table_NFI[[#This Row],[Pcode]],CampList[CP_Pcode],0)-1,0,1,1)&gt;=NFI_Monitor_Date,1,0))</f>
        <v>0</v>
      </c>
      <c r="AS1095" s="467" t="str">
        <f>IFERROR(VLOOKUP(Table_NFI[[#This Row],[Camp Name]],CL,3,0),"")</f>
        <v>Open</v>
      </c>
      <c r="AT1095" s="294" t="str">
        <f ca="1">IF(Table_NFI[[#This Row],[Pcode]]="","",OFFSET(CampList[Priority],MATCH(Table_NFI[[#This Row],[Pcode]],CampList[CP_Pcode],0)-1,0,1,1))</f>
        <v>P4</v>
      </c>
      <c r="AU1095" s="293">
        <f>IFERROR(Table_NFI[[#This Row],[Kitchen Set]]/VLOOKUP(Table_NFI[[#This Row],[Camp Name]],CL,4,0),"")</f>
        <v>7.6120319214241863E-4</v>
      </c>
      <c r="AV1095" s="461" t="s">
        <v>1092</v>
      </c>
      <c r="AW1095" s="463"/>
    </row>
    <row r="1096" spans="1:49" s="472" customFormat="1" ht="15.75" customHeight="1" x14ac:dyDescent="0.25">
      <c r="A1096" s="297">
        <f t="shared" si="17"/>
        <v>62.466666666666669</v>
      </c>
      <c r="B1096" s="460">
        <v>40862</v>
      </c>
      <c r="C1096" s="461" t="s">
        <v>452</v>
      </c>
      <c r="D1096" s="462" t="s">
        <v>460</v>
      </c>
      <c r="E1096" s="461" t="s">
        <v>380</v>
      </c>
      <c r="F1096" s="290" t="s">
        <v>237</v>
      </c>
      <c r="G1096" s="290" t="s">
        <v>275</v>
      </c>
      <c r="H1096" s="291"/>
      <c r="I1096" s="291"/>
      <c r="J1096" s="291"/>
      <c r="K1096" s="291">
        <v>30</v>
      </c>
      <c r="L1096" s="292">
        <v>17</v>
      </c>
      <c r="M1096" s="292">
        <v>30</v>
      </c>
      <c r="N1096" s="292">
        <v>17</v>
      </c>
      <c r="O1096" s="292">
        <v>17</v>
      </c>
      <c r="P1096" s="294">
        <v>17</v>
      </c>
      <c r="Q1096" s="294">
        <v>17</v>
      </c>
      <c r="R1096" s="294"/>
      <c r="S1096" s="294"/>
      <c r="T1096" s="294"/>
      <c r="U1096" s="294"/>
      <c r="V1096" s="431"/>
      <c r="W1096" s="331"/>
      <c r="X1096" s="331"/>
      <c r="Y1096" s="294">
        <f>IF(NFI_Expiration=1,IF($A1096&lt;VLOOKUP(H$5,NFI,5,0),1,0)*Table_NFI[[#This Row],[Hygiene Kit]],Table_NFI[Hygiene Kit])</f>
        <v>0</v>
      </c>
      <c r="Z1096" s="294">
        <f>IF(NFI_Expiration=1,IF($A1096&lt;VLOOKUP(I$5,NFI,5,0),1,0)*Table_NFI[[#This Row],[NFI Core Kit]],Table_NFI[NFI Core Kit])</f>
        <v>0</v>
      </c>
      <c r="AA1096" s="294">
        <f>IF(NFI_Expiration=1,IF($A1096&lt;VLOOKUP(J$5,NFI,5,0),1,0)*Table_NFI[[#This Row],[Sanitary Kit]],Table_NFI[Sanitary Kit])</f>
        <v>0</v>
      </c>
      <c r="AB1096" s="294">
        <f>IF(NFI_Expiration=1,IF($A1096&lt;VLOOKUP(K$5,NFI,5,0),1,0)*Table_NFI[[#This Row],[Mosquito net]],Table_NFI[Mosquito net])</f>
        <v>0</v>
      </c>
      <c r="AC1096" s="294">
        <f>IF(NFI_Expiration=1,IF($A1096&lt;VLOOKUP(L$5,NFI,5,0),1,0)*Table_NFI[[#This Row],[Tarpaulin]],Table_NFI[[#This Row],[Tarpaulin]])</f>
        <v>0</v>
      </c>
      <c r="AD1096" s="294">
        <f>IF(NFI_Expiration=1,IF($A1096&lt;VLOOKUP(M$5,NFI,5,0),1,0)*Table_NFI[[#This Row],[Blanket]],Table_NFI[[#This Row],[Blanket]])</f>
        <v>0</v>
      </c>
      <c r="AE1096" s="294">
        <f>IF(NFI_Expiration=1,IF($A1096&lt;VLOOKUP(N$5,NFI,5,0),1,0)*Table_NFI[[#This Row],[Kitchen Set]],Table_NFI[Kitchen Set])</f>
        <v>0</v>
      </c>
      <c r="AF1096" s="294">
        <f>IF(NFI_Expiration=1,IF($A1096&lt;VLOOKUP(O$5,NFI,5,0),1,0)*Table_NFI[[#This Row],[Clothes Kit]],Table_NFI[Clothes Kit])</f>
        <v>0</v>
      </c>
      <c r="AG1096" s="294">
        <f>IF(NFI_Expiration=1,IF($A1096&lt;VLOOKUP(P$5,NFI,5,0),1,0)*Table_NFI[[#This Row],[Plastic Bucket]],Table_NFI[Plastic Bucket])</f>
        <v>0</v>
      </c>
      <c r="AH1096" s="294">
        <f>IF(NFI_Expiration=1,IF($A1096&lt;VLOOKUP(Q$5,NFI,5,0),1,0)*Table_NFI[[#This Row],[Plastic Mat]],Table_NFI[Plastic Mat])*IF(Table_NFI[[#This Row],[Distribution Date]]&gt;"2014-04-01",1,2.5)</f>
        <v>0</v>
      </c>
      <c r="AI1096" s="294">
        <f>IF(NFI_Expiration=1,IF($A1096&lt;VLOOKUP(R$5,NFI,5,0),1,0)*Table_NFI[[#This Row],[Winter Clothes Adult]],Table_NFI[Winter Clothes Adult])</f>
        <v>0</v>
      </c>
      <c r="AJ1096" s="294">
        <f>IF(NFI_Expiration=1,IF($A1096&lt;VLOOKUP(S$5,NFI,5,0),1,0)*Table_NFI[[#This Row],[Winter Clothes Children]],Table_NFI[Winter Clothes Children])</f>
        <v>0</v>
      </c>
      <c r="AK1096" s="294">
        <f>IF(NFI_Expiration=1,IF($A1096&lt;VLOOKUP(T$5,NFI,5,0),1,0)*Table_NFI[[#This Row],[Winter Items Other]],Table_NFI[Winter Items Other])</f>
        <v>0</v>
      </c>
      <c r="AL1096" s="294">
        <f>IF(NFI_Expiration=1,IF($A1096&lt;VLOOKUP(M$5,NFI,5,0),1,0)*Table_NFI[[#This Row],[Winter Blanket]],Table_NFI[[#This Row],[Winter Blanket]])</f>
        <v>0</v>
      </c>
      <c r="AM1096" s="294">
        <f>IF(Table_NFI[[#This Row],[Winter Clothes Adult]]+Table_NFI[[#This Row],[Winter Clothes Children]]+Table_NFI[[#This Row],[Winter Items Other]]+Table_NFI[[#This Row],[Winter Blanket]]&gt;0,1,0)</f>
        <v>0</v>
      </c>
      <c r="AN1096" s="331">
        <f>IF(NFI_Expiration=1,IF($A1096&lt;VLOOKUP(V$5,NFI,5,0),1,0)*Table_NFI[[#This Row],[Jerry Can]],Table_NFI[Jerry Can])</f>
        <v>0</v>
      </c>
      <c r="AO1096" s="331">
        <f>IF(NFI_Expiration=1,IF($A1096&lt;VLOOKUP(V$5,NFI,5,0),1,0)*Table_NFI[[#This Row],[Shelter Tool kit]],Table_NFI[Shelter Tool kit])</f>
        <v>0</v>
      </c>
      <c r="AP1096" s="331">
        <f>IF(NFI_Expiration=1,IF($A1096&lt;VLOOKUP(V$5,NFI,5,0),1,0)*Table_NFI[[#This Row],[Tent]],Table_NFI[Tent])</f>
        <v>0</v>
      </c>
      <c r="AQ1096" s="467" t="str">
        <f>IFERROR(VLOOKUP(Table_NFI[[#This Row],[Camp Name]],CL,2,0),"")</f>
        <v>MMR001CMP005</v>
      </c>
      <c r="AR1096" s="835">
        <f ca="1">IF(Table_NFI[[#This Row],[Pcode]]="","",IF(OFFSET(CampList[Opening Date],MATCH(Table_NFI[[#This Row],[Pcode]],CampList[CP_Pcode],0)-1,0,1,1)&gt;=NFI_Monitor_Date,1,0))</f>
        <v>0</v>
      </c>
      <c r="AS1096" s="467" t="str">
        <f>IFERROR(VLOOKUP(Table_NFI[[#This Row],[Camp Name]],CL,3,0),"")</f>
        <v>Open</v>
      </c>
      <c r="AT1096" s="294" t="str">
        <f ca="1">IF(Table_NFI[[#This Row],[Pcode]]="","",OFFSET(CampList[Priority],MATCH(Table_NFI[[#This Row],[Pcode]],CampList[CP_Pcode],0)-1,0,1,1))</f>
        <v>P4</v>
      </c>
      <c r="AU1096" s="293">
        <f>IFERROR(Table_NFI[[#This Row],[Kitchen Set]]/VLOOKUP(Table_NFI[[#This Row],[Camp Name]],CL,4,0),"")</f>
        <v>4.1649312786339027E-4</v>
      </c>
      <c r="AV1096" s="461" t="s">
        <v>1092</v>
      </c>
      <c r="AW1096" s="463"/>
    </row>
    <row r="1097" spans="1:49" s="472" customFormat="1" ht="15.75" customHeight="1" x14ac:dyDescent="0.25">
      <c r="A1097" s="297">
        <f t="shared" si="17"/>
        <v>62.5</v>
      </c>
      <c r="B1097" s="460">
        <v>40861</v>
      </c>
      <c r="C1097" s="461" t="s">
        <v>452</v>
      </c>
      <c r="D1097" s="462" t="s">
        <v>460</v>
      </c>
      <c r="E1097" s="461" t="s">
        <v>380</v>
      </c>
      <c r="F1097" s="290" t="s">
        <v>237</v>
      </c>
      <c r="G1097" s="290" t="s">
        <v>257</v>
      </c>
      <c r="H1097" s="291"/>
      <c r="I1097" s="291"/>
      <c r="J1097" s="291"/>
      <c r="K1097" s="291">
        <v>47</v>
      </c>
      <c r="L1097" s="292">
        <v>28</v>
      </c>
      <c r="M1097" s="292">
        <v>47</v>
      </c>
      <c r="N1097" s="292">
        <v>28</v>
      </c>
      <c r="O1097" s="292">
        <v>28</v>
      </c>
      <c r="P1097" s="294">
        <v>28</v>
      </c>
      <c r="Q1097" s="294">
        <v>28</v>
      </c>
      <c r="R1097" s="294"/>
      <c r="S1097" s="294"/>
      <c r="T1097" s="294"/>
      <c r="U1097" s="294"/>
      <c r="V1097" s="431"/>
      <c r="W1097" s="331"/>
      <c r="X1097" s="331"/>
      <c r="Y1097" s="294">
        <f>IF(NFI_Expiration=1,IF($A1097&lt;VLOOKUP(H$5,NFI,5,0),1,0)*Table_NFI[[#This Row],[Hygiene Kit]],Table_NFI[Hygiene Kit])</f>
        <v>0</v>
      </c>
      <c r="Z1097" s="294">
        <f>IF(NFI_Expiration=1,IF($A1097&lt;VLOOKUP(I$5,NFI,5,0),1,0)*Table_NFI[[#This Row],[NFI Core Kit]],Table_NFI[NFI Core Kit])</f>
        <v>0</v>
      </c>
      <c r="AA1097" s="294">
        <f>IF(NFI_Expiration=1,IF($A1097&lt;VLOOKUP(J$5,NFI,5,0),1,0)*Table_NFI[[#This Row],[Sanitary Kit]],Table_NFI[Sanitary Kit])</f>
        <v>0</v>
      </c>
      <c r="AB1097" s="294">
        <f>IF(NFI_Expiration=1,IF($A1097&lt;VLOOKUP(K$5,NFI,5,0),1,0)*Table_NFI[[#This Row],[Mosquito net]],Table_NFI[Mosquito net])</f>
        <v>0</v>
      </c>
      <c r="AC1097" s="294">
        <f>IF(NFI_Expiration=1,IF($A1097&lt;VLOOKUP(L$5,NFI,5,0),1,0)*Table_NFI[[#This Row],[Tarpaulin]],Table_NFI[[#This Row],[Tarpaulin]])</f>
        <v>0</v>
      </c>
      <c r="AD1097" s="294">
        <f>IF(NFI_Expiration=1,IF($A1097&lt;VLOOKUP(M$5,NFI,5,0),1,0)*Table_NFI[[#This Row],[Blanket]],Table_NFI[[#This Row],[Blanket]])</f>
        <v>0</v>
      </c>
      <c r="AE1097" s="294">
        <f>IF(NFI_Expiration=1,IF($A1097&lt;VLOOKUP(N$5,NFI,5,0),1,0)*Table_NFI[[#This Row],[Kitchen Set]],Table_NFI[Kitchen Set])</f>
        <v>0</v>
      </c>
      <c r="AF1097" s="294">
        <f>IF(NFI_Expiration=1,IF($A1097&lt;VLOOKUP(O$5,NFI,5,0),1,0)*Table_NFI[[#This Row],[Clothes Kit]],Table_NFI[Clothes Kit])</f>
        <v>0</v>
      </c>
      <c r="AG1097" s="294">
        <f>IF(NFI_Expiration=1,IF($A1097&lt;VLOOKUP(P$5,NFI,5,0),1,0)*Table_NFI[[#This Row],[Plastic Bucket]],Table_NFI[Plastic Bucket])</f>
        <v>0</v>
      </c>
      <c r="AH1097" s="294">
        <f>IF(NFI_Expiration=1,IF($A1097&lt;VLOOKUP(Q$5,NFI,5,0),1,0)*Table_NFI[[#This Row],[Plastic Mat]],Table_NFI[Plastic Mat])*IF(Table_NFI[[#This Row],[Distribution Date]]&gt;"2014-04-01",1,2.5)</f>
        <v>0</v>
      </c>
      <c r="AI1097" s="294">
        <f>IF(NFI_Expiration=1,IF($A1097&lt;VLOOKUP(R$5,NFI,5,0),1,0)*Table_NFI[[#This Row],[Winter Clothes Adult]],Table_NFI[Winter Clothes Adult])</f>
        <v>0</v>
      </c>
      <c r="AJ1097" s="294">
        <f>IF(NFI_Expiration=1,IF($A1097&lt;VLOOKUP(S$5,NFI,5,0),1,0)*Table_NFI[[#This Row],[Winter Clothes Children]],Table_NFI[Winter Clothes Children])</f>
        <v>0</v>
      </c>
      <c r="AK1097" s="294">
        <f>IF(NFI_Expiration=1,IF($A1097&lt;VLOOKUP(T$5,NFI,5,0),1,0)*Table_NFI[[#This Row],[Winter Items Other]],Table_NFI[Winter Items Other])</f>
        <v>0</v>
      </c>
      <c r="AL1097" s="294">
        <f>IF(NFI_Expiration=1,IF($A1097&lt;VLOOKUP(M$5,NFI,5,0),1,0)*Table_NFI[[#This Row],[Winter Blanket]],Table_NFI[[#This Row],[Winter Blanket]])</f>
        <v>0</v>
      </c>
      <c r="AM1097" s="294">
        <f>IF(Table_NFI[[#This Row],[Winter Clothes Adult]]+Table_NFI[[#This Row],[Winter Clothes Children]]+Table_NFI[[#This Row],[Winter Items Other]]+Table_NFI[[#This Row],[Winter Blanket]]&gt;0,1,0)</f>
        <v>0</v>
      </c>
      <c r="AN1097" s="331">
        <f>IF(NFI_Expiration=1,IF($A1097&lt;VLOOKUP(V$5,NFI,5,0),1,0)*Table_NFI[[#This Row],[Jerry Can]],Table_NFI[Jerry Can])</f>
        <v>0</v>
      </c>
      <c r="AO1097" s="331">
        <f>IF(NFI_Expiration=1,IF($A1097&lt;VLOOKUP(V$5,NFI,5,0),1,0)*Table_NFI[[#This Row],[Shelter Tool kit]],Table_NFI[Shelter Tool kit])</f>
        <v>0</v>
      </c>
      <c r="AP1097" s="331">
        <f>IF(NFI_Expiration=1,IF($A1097&lt;VLOOKUP(V$5,NFI,5,0),1,0)*Table_NFI[[#This Row],[Tent]],Table_NFI[Tent])</f>
        <v>0</v>
      </c>
      <c r="AQ1097" s="467" t="str">
        <f>IFERROR(VLOOKUP(Table_NFI[[#This Row],[Camp Name]],CL,2,0),"")</f>
        <v>MMR001CMP013</v>
      </c>
      <c r="AR1097" s="835">
        <f ca="1">IF(Table_NFI[[#This Row],[Pcode]]="","",IF(OFFSET(CampList[Opening Date],MATCH(Table_NFI[[#This Row],[Pcode]],CampList[CP_Pcode],0)-1,0,1,1)&gt;=NFI_Monitor_Date,1,0))</f>
        <v>0</v>
      </c>
      <c r="AS1097" s="467" t="str">
        <f>IFERROR(VLOOKUP(Table_NFI[[#This Row],[Camp Name]],CL,3,0),"")</f>
        <v>Open</v>
      </c>
      <c r="AT1097" s="294" t="str">
        <f ca="1">IF(Table_NFI[[#This Row],[Pcode]]="","",OFFSET(CampList[Priority],MATCH(Table_NFI[[#This Row],[Pcode]],CampList[CP_Pcode],0)-1,0,1,1))</f>
        <v>P4</v>
      </c>
      <c r="AU1097" s="293">
        <f>IFERROR(Table_NFI[[#This Row],[Kitchen Set]]/VLOOKUP(Table_NFI[[#This Row],[Camp Name]],CL,4,0),"")</f>
        <v>6.8444596543547874E-4</v>
      </c>
      <c r="AV1097" s="461" t="s">
        <v>1092</v>
      </c>
      <c r="AW1097" s="463"/>
    </row>
    <row r="1098" spans="1:49" s="472" customFormat="1" ht="15.75" customHeight="1" x14ac:dyDescent="0.25">
      <c r="A1098" s="297">
        <f t="shared" si="17"/>
        <v>62.5</v>
      </c>
      <c r="B1098" s="460">
        <v>40861</v>
      </c>
      <c r="C1098" s="461" t="s">
        <v>452</v>
      </c>
      <c r="D1098" s="462" t="s">
        <v>460</v>
      </c>
      <c r="E1098" s="461" t="s">
        <v>380</v>
      </c>
      <c r="F1098" s="290" t="s">
        <v>237</v>
      </c>
      <c r="G1098" s="290" t="s">
        <v>240</v>
      </c>
      <c r="H1098" s="291"/>
      <c r="I1098" s="291"/>
      <c r="J1098" s="291"/>
      <c r="K1098" s="291">
        <v>52</v>
      </c>
      <c r="L1098" s="292">
        <v>25</v>
      </c>
      <c r="M1098" s="292">
        <v>52</v>
      </c>
      <c r="N1098" s="292">
        <v>25</v>
      </c>
      <c r="O1098" s="292">
        <v>25</v>
      </c>
      <c r="P1098" s="294">
        <v>25</v>
      </c>
      <c r="Q1098" s="294">
        <v>25</v>
      </c>
      <c r="R1098" s="294"/>
      <c r="S1098" s="294"/>
      <c r="T1098" s="294"/>
      <c r="U1098" s="294"/>
      <c r="V1098" s="431"/>
      <c r="W1098" s="331"/>
      <c r="X1098" s="331"/>
      <c r="Y1098" s="294">
        <f>IF(NFI_Expiration=1,IF($A1098&lt;VLOOKUP(H$5,NFI,5,0),1,0)*Table_NFI[[#This Row],[Hygiene Kit]],Table_NFI[Hygiene Kit])</f>
        <v>0</v>
      </c>
      <c r="Z1098" s="294">
        <f>IF(NFI_Expiration=1,IF($A1098&lt;VLOOKUP(I$5,NFI,5,0),1,0)*Table_NFI[[#This Row],[NFI Core Kit]],Table_NFI[NFI Core Kit])</f>
        <v>0</v>
      </c>
      <c r="AA1098" s="294">
        <f>IF(NFI_Expiration=1,IF($A1098&lt;VLOOKUP(J$5,NFI,5,0),1,0)*Table_NFI[[#This Row],[Sanitary Kit]],Table_NFI[Sanitary Kit])</f>
        <v>0</v>
      </c>
      <c r="AB1098" s="294">
        <f>IF(NFI_Expiration=1,IF($A1098&lt;VLOOKUP(K$5,NFI,5,0),1,0)*Table_NFI[[#This Row],[Mosquito net]],Table_NFI[Mosquito net])</f>
        <v>0</v>
      </c>
      <c r="AC1098" s="294">
        <f>IF(NFI_Expiration=1,IF($A1098&lt;VLOOKUP(L$5,NFI,5,0),1,0)*Table_NFI[[#This Row],[Tarpaulin]],Table_NFI[[#This Row],[Tarpaulin]])</f>
        <v>0</v>
      </c>
      <c r="AD1098" s="294">
        <f>IF(NFI_Expiration=1,IF($A1098&lt;VLOOKUP(M$5,NFI,5,0),1,0)*Table_NFI[[#This Row],[Blanket]],Table_NFI[[#This Row],[Blanket]])</f>
        <v>0</v>
      </c>
      <c r="AE1098" s="294">
        <f>IF(NFI_Expiration=1,IF($A1098&lt;VLOOKUP(N$5,NFI,5,0),1,0)*Table_NFI[[#This Row],[Kitchen Set]],Table_NFI[Kitchen Set])</f>
        <v>0</v>
      </c>
      <c r="AF1098" s="294">
        <f>IF(NFI_Expiration=1,IF($A1098&lt;VLOOKUP(O$5,NFI,5,0),1,0)*Table_NFI[[#This Row],[Clothes Kit]],Table_NFI[Clothes Kit])</f>
        <v>0</v>
      </c>
      <c r="AG1098" s="294">
        <f>IF(NFI_Expiration=1,IF($A1098&lt;VLOOKUP(P$5,NFI,5,0),1,0)*Table_NFI[[#This Row],[Plastic Bucket]],Table_NFI[Plastic Bucket])</f>
        <v>0</v>
      </c>
      <c r="AH1098" s="294">
        <f>IF(NFI_Expiration=1,IF($A1098&lt;VLOOKUP(Q$5,NFI,5,0),1,0)*Table_NFI[[#This Row],[Plastic Mat]],Table_NFI[Plastic Mat])*IF(Table_NFI[[#This Row],[Distribution Date]]&gt;"2014-04-01",1,2.5)</f>
        <v>0</v>
      </c>
      <c r="AI1098" s="294">
        <f>IF(NFI_Expiration=1,IF($A1098&lt;VLOOKUP(R$5,NFI,5,0),1,0)*Table_NFI[[#This Row],[Winter Clothes Adult]],Table_NFI[Winter Clothes Adult])</f>
        <v>0</v>
      </c>
      <c r="AJ1098" s="294">
        <f>IF(NFI_Expiration=1,IF($A1098&lt;VLOOKUP(S$5,NFI,5,0),1,0)*Table_NFI[[#This Row],[Winter Clothes Children]],Table_NFI[Winter Clothes Children])</f>
        <v>0</v>
      </c>
      <c r="AK1098" s="294">
        <f>IF(NFI_Expiration=1,IF($A1098&lt;VLOOKUP(T$5,NFI,5,0),1,0)*Table_NFI[[#This Row],[Winter Items Other]],Table_NFI[Winter Items Other])</f>
        <v>0</v>
      </c>
      <c r="AL1098" s="294">
        <f>IF(NFI_Expiration=1,IF($A1098&lt;VLOOKUP(M$5,NFI,5,0),1,0)*Table_NFI[[#This Row],[Winter Blanket]],Table_NFI[[#This Row],[Winter Blanket]])</f>
        <v>0</v>
      </c>
      <c r="AM1098" s="294">
        <f>IF(Table_NFI[[#This Row],[Winter Clothes Adult]]+Table_NFI[[#This Row],[Winter Clothes Children]]+Table_NFI[[#This Row],[Winter Items Other]]+Table_NFI[[#This Row],[Winter Blanket]]&gt;0,1,0)</f>
        <v>0</v>
      </c>
      <c r="AN1098" s="331">
        <f>IF(NFI_Expiration=1,IF($A1098&lt;VLOOKUP(V$5,NFI,5,0),1,0)*Table_NFI[[#This Row],[Jerry Can]],Table_NFI[Jerry Can])</f>
        <v>0</v>
      </c>
      <c r="AO1098" s="331">
        <f>IF(NFI_Expiration=1,IF($A1098&lt;VLOOKUP(V$5,NFI,5,0),1,0)*Table_NFI[[#This Row],[Shelter Tool kit]],Table_NFI[Shelter Tool kit])</f>
        <v>0</v>
      </c>
      <c r="AP1098" s="331">
        <f>IF(NFI_Expiration=1,IF($A1098&lt;VLOOKUP(V$5,NFI,5,0),1,0)*Table_NFI[[#This Row],[Tent]],Table_NFI[Tent])</f>
        <v>0</v>
      </c>
      <c r="AQ1098" s="467" t="str">
        <f>IFERROR(VLOOKUP(Table_NFI[[#This Row],[Camp Name]],CL,2,0),"")</f>
        <v>MMR001CMP015</v>
      </c>
      <c r="AR1098" s="835">
        <f ca="1">IF(Table_NFI[[#This Row],[Pcode]]="","",IF(OFFSET(CampList[Opening Date],MATCH(Table_NFI[[#This Row],[Pcode]],CampList[CP_Pcode],0)-1,0,1,1)&gt;=NFI_Monitor_Date,1,0))</f>
        <v>0</v>
      </c>
      <c r="AS1098" s="467" t="str">
        <f>IFERROR(VLOOKUP(Table_NFI[[#This Row],[Camp Name]],CL,3,0),"")</f>
        <v>Open</v>
      </c>
      <c r="AT1098" s="294" t="str">
        <f ca="1">IF(Table_NFI[[#This Row],[Pcode]]="","",OFFSET(CampList[Priority],MATCH(Table_NFI[[#This Row],[Pcode]],CampList[CP_Pcode],0)-1,0,1,1))</f>
        <v>P4</v>
      </c>
      <c r="AU1098" s="293">
        <f>IFERROR(Table_NFI[[#This Row],[Kitchen Set]]/VLOOKUP(Table_NFI[[#This Row],[Camp Name]],CL,4,0),"")</f>
        <v>6.1571805039036529E-4</v>
      </c>
      <c r="AV1098" s="461" t="s">
        <v>1092</v>
      </c>
      <c r="AW1098" s="463"/>
    </row>
    <row r="1099" spans="1:49" s="472" customFormat="1" ht="15.75" customHeight="1" x14ac:dyDescent="0.25">
      <c r="A1099" s="297">
        <f t="shared" si="17"/>
        <v>62.5</v>
      </c>
      <c r="B1099" s="460">
        <v>40861</v>
      </c>
      <c r="C1099" s="461" t="s">
        <v>452</v>
      </c>
      <c r="D1099" s="462" t="s">
        <v>460</v>
      </c>
      <c r="E1099" s="461" t="s">
        <v>380</v>
      </c>
      <c r="F1099" s="290" t="s">
        <v>237</v>
      </c>
      <c r="G1099" s="290" t="s">
        <v>259</v>
      </c>
      <c r="H1099" s="291"/>
      <c r="I1099" s="291"/>
      <c r="J1099" s="291"/>
      <c r="K1099" s="291">
        <v>57</v>
      </c>
      <c r="L1099" s="292">
        <v>30</v>
      </c>
      <c r="M1099" s="292">
        <v>57</v>
      </c>
      <c r="N1099" s="292">
        <v>30</v>
      </c>
      <c r="O1099" s="292">
        <v>30</v>
      </c>
      <c r="P1099" s="294">
        <v>30</v>
      </c>
      <c r="Q1099" s="294">
        <v>30</v>
      </c>
      <c r="R1099" s="294"/>
      <c r="S1099" s="294"/>
      <c r="T1099" s="294"/>
      <c r="U1099" s="294"/>
      <c r="V1099" s="431"/>
      <c r="W1099" s="331"/>
      <c r="X1099" s="331"/>
      <c r="Y1099" s="294">
        <f>IF(NFI_Expiration=1,IF($A1099&lt;VLOOKUP(H$5,NFI,5,0),1,0)*Table_NFI[[#This Row],[Hygiene Kit]],Table_NFI[Hygiene Kit])</f>
        <v>0</v>
      </c>
      <c r="Z1099" s="294">
        <f>IF(NFI_Expiration=1,IF($A1099&lt;VLOOKUP(I$5,NFI,5,0),1,0)*Table_NFI[[#This Row],[NFI Core Kit]],Table_NFI[NFI Core Kit])</f>
        <v>0</v>
      </c>
      <c r="AA1099" s="294">
        <f>IF(NFI_Expiration=1,IF($A1099&lt;VLOOKUP(J$5,NFI,5,0),1,0)*Table_NFI[[#This Row],[Sanitary Kit]],Table_NFI[Sanitary Kit])</f>
        <v>0</v>
      </c>
      <c r="AB1099" s="294">
        <f>IF(NFI_Expiration=1,IF($A1099&lt;VLOOKUP(K$5,NFI,5,0),1,0)*Table_NFI[[#This Row],[Mosquito net]],Table_NFI[Mosquito net])</f>
        <v>0</v>
      </c>
      <c r="AC1099" s="294">
        <f>IF(NFI_Expiration=1,IF($A1099&lt;VLOOKUP(L$5,NFI,5,0),1,0)*Table_NFI[[#This Row],[Tarpaulin]],Table_NFI[[#This Row],[Tarpaulin]])</f>
        <v>0</v>
      </c>
      <c r="AD1099" s="294">
        <f>IF(NFI_Expiration=1,IF($A1099&lt;VLOOKUP(M$5,NFI,5,0),1,0)*Table_NFI[[#This Row],[Blanket]],Table_NFI[[#This Row],[Blanket]])</f>
        <v>0</v>
      </c>
      <c r="AE1099" s="294">
        <f>IF(NFI_Expiration=1,IF($A1099&lt;VLOOKUP(N$5,NFI,5,0),1,0)*Table_NFI[[#This Row],[Kitchen Set]],Table_NFI[Kitchen Set])</f>
        <v>0</v>
      </c>
      <c r="AF1099" s="294">
        <f>IF(NFI_Expiration=1,IF($A1099&lt;VLOOKUP(O$5,NFI,5,0),1,0)*Table_NFI[[#This Row],[Clothes Kit]],Table_NFI[Clothes Kit])</f>
        <v>0</v>
      </c>
      <c r="AG1099" s="294">
        <f>IF(NFI_Expiration=1,IF($A1099&lt;VLOOKUP(P$5,NFI,5,0),1,0)*Table_NFI[[#This Row],[Plastic Bucket]],Table_NFI[Plastic Bucket])</f>
        <v>0</v>
      </c>
      <c r="AH1099" s="294">
        <f>IF(NFI_Expiration=1,IF($A1099&lt;VLOOKUP(Q$5,NFI,5,0),1,0)*Table_NFI[[#This Row],[Plastic Mat]],Table_NFI[Plastic Mat])*IF(Table_NFI[[#This Row],[Distribution Date]]&gt;"2014-04-01",1,2.5)</f>
        <v>0</v>
      </c>
      <c r="AI1099" s="294">
        <f>IF(NFI_Expiration=1,IF($A1099&lt;VLOOKUP(R$5,NFI,5,0),1,0)*Table_NFI[[#This Row],[Winter Clothes Adult]],Table_NFI[Winter Clothes Adult])</f>
        <v>0</v>
      </c>
      <c r="AJ1099" s="294">
        <f>IF(NFI_Expiration=1,IF($A1099&lt;VLOOKUP(S$5,NFI,5,0),1,0)*Table_NFI[[#This Row],[Winter Clothes Children]],Table_NFI[Winter Clothes Children])</f>
        <v>0</v>
      </c>
      <c r="AK1099" s="294">
        <f>IF(NFI_Expiration=1,IF($A1099&lt;VLOOKUP(T$5,NFI,5,0),1,0)*Table_NFI[[#This Row],[Winter Items Other]],Table_NFI[Winter Items Other])</f>
        <v>0</v>
      </c>
      <c r="AL1099" s="294">
        <f>IF(NFI_Expiration=1,IF($A1099&lt;VLOOKUP(M$5,NFI,5,0),1,0)*Table_NFI[[#This Row],[Winter Blanket]],Table_NFI[[#This Row],[Winter Blanket]])</f>
        <v>0</v>
      </c>
      <c r="AM1099" s="294">
        <f>IF(Table_NFI[[#This Row],[Winter Clothes Adult]]+Table_NFI[[#This Row],[Winter Clothes Children]]+Table_NFI[[#This Row],[Winter Items Other]]+Table_NFI[[#This Row],[Winter Blanket]]&gt;0,1,0)</f>
        <v>0</v>
      </c>
      <c r="AN1099" s="331">
        <f>IF(NFI_Expiration=1,IF($A1099&lt;VLOOKUP(V$5,NFI,5,0),1,0)*Table_NFI[[#This Row],[Jerry Can]],Table_NFI[Jerry Can])</f>
        <v>0</v>
      </c>
      <c r="AO1099" s="331">
        <f>IF(NFI_Expiration=1,IF($A1099&lt;VLOOKUP(V$5,NFI,5,0),1,0)*Table_NFI[[#This Row],[Shelter Tool kit]],Table_NFI[Shelter Tool kit])</f>
        <v>0</v>
      </c>
      <c r="AP1099" s="331">
        <f>IF(NFI_Expiration=1,IF($A1099&lt;VLOOKUP(V$5,NFI,5,0),1,0)*Table_NFI[[#This Row],[Tent]],Table_NFI[Tent])</f>
        <v>0</v>
      </c>
      <c r="AQ1099" s="467" t="str">
        <f>IFERROR(VLOOKUP(Table_NFI[[#This Row],[Camp Name]],CL,2,0),"")</f>
        <v>MMR001CMP016</v>
      </c>
      <c r="AR1099" s="835">
        <f ca="1">IF(Table_NFI[[#This Row],[Pcode]]="","",IF(OFFSET(CampList[Opening Date],MATCH(Table_NFI[[#This Row],[Pcode]],CampList[CP_Pcode],0)-1,0,1,1)&gt;=NFI_Monitor_Date,1,0))</f>
        <v>0</v>
      </c>
      <c r="AS1099" s="467" t="str">
        <f>IFERROR(VLOOKUP(Table_NFI[[#This Row],[Camp Name]],CL,3,0),"")</f>
        <v>Open</v>
      </c>
      <c r="AT1099" s="294" t="str">
        <f ca="1">IF(Table_NFI[[#This Row],[Pcode]]="","",OFFSET(CampList[Priority],MATCH(Table_NFI[[#This Row],[Pcode]],CampList[CP_Pcode],0)-1,0,1,1))</f>
        <v>P4</v>
      </c>
      <c r="AU1099" s="293">
        <f>IFERROR(Table_NFI[[#This Row],[Kitchen Set]]/VLOOKUP(Table_NFI[[#This Row],[Camp Name]],CL,4,0),"")</f>
        <v>7.3608793797232315E-4</v>
      </c>
      <c r="AV1099" s="461" t="s">
        <v>1092</v>
      </c>
      <c r="AW1099" s="463"/>
    </row>
    <row r="1100" spans="1:49" s="472" customFormat="1" ht="15.75" customHeight="1" x14ac:dyDescent="0.25">
      <c r="A1100" s="297">
        <f t="shared" si="17"/>
        <v>62.833333333333336</v>
      </c>
      <c r="B1100" s="460">
        <v>40851</v>
      </c>
      <c r="C1100" s="461" t="s">
        <v>452</v>
      </c>
      <c r="D1100" s="462" t="s">
        <v>460</v>
      </c>
      <c r="E1100" s="461" t="s">
        <v>380</v>
      </c>
      <c r="F1100" s="290" t="s">
        <v>237</v>
      </c>
      <c r="G1100" s="290" t="s">
        <v>253</v>
      </c>
      <c r="H1100" s="291"/>
      <c r="I1100" s="291"/>
      <c r="J1100" s="291"/>
      <c r="K1100" s="291">
        <v>208</v>
      </c>
      <c r="L1100" s="292">
        <v>102</v>
      </c>
      <c r="M1100" s="292">
        <v>208</v>
      </c>
      <c r="N1100" s="292">
        <v>102</v>
      </c>
      <c r="O1100" s="292">
        <v>102</v>
      </c>
      <c r="P1100" s="294">
        <v>102</v>
      </c>
      <c r="Q1100" s="294">
        <v>102</v>
      </c>
      <c r="R1100" s="294"/>
      <c r="S1100" s="294"/>
      <c r="T1100" s="294"/>
      <c r="U1100" s="294"/>
      <c r="V1100" s="431"/>
      <c r="W1100" s="331"/>
      <c r="X1100" s="331"/>
      <c r="Y1100" s="294">
        <f>IF(NFI_Expiration=1,IF($A1100&lt;VLOOKUP(H$5,NFI,5,0),1,0)*Table_NFI[[#This Row],[Hygiene Kit]],Table_NFI[Hygiene Kit])</f>
        <v>0</v>
      </c>
      <c r="Z1100" s="294">
        <f>IF(NFI_Expiration=1,IF($A1100&lt;VLOOKUP(I$5,NFI,5,0),1,0)*Table_NFI[[#This Row],[NFI Core Kit]],Table_NFI[NFI Core Kit])</f>
        <v>0</v>
      </c>
      <c r="AA1100" s="294">
        <f>IF(NFI_Expiration=1,IF($A1100&lt;VLOOKUP(J$5,NFI,5,0),1,0)*Table_NFI[[#This Row],[Sanitary Kit]],Table_NFI[Sanitary Kit])</f>
        <v>0</v>
      </c>
      <c r="AB1100" s="294">
        <f>IF(NFI_Expiration=1,IF($A1100&lt;VLOOKUP(K$5,NFI,5,0),1,0)*Table_NFI[[#This Row],[Mosquito net]],Table_NFI[Mosquito net])</f>
        <v>0</v>
      </c>
      <c r="AC1100" s="294">
        <f>IF(NFI_Expiration=1,IF($A1100&lt;VLOOKUP(L$5,NFI,5,0),1,0)*Table_NFI[[#This Row],[Tarpaulin]],Table_NFI[[#This Row],[Tarpaulin]])</f>
        <v>0</v>
      </c>
      <c r="AD1100" s="294">
        <f>IF(NFI_Expiration=1,IF($A1100&lt;VLOOKUP(M$5,NFI,5,0),1,0)*Table_NFI[[#This Row],[Blanket]],Table_NFI[[#This Row],[Blanket]])</f>
        <v>0</v>
      </c>
      <c r="AE1100" s="294">
        <f>IF(NFI_Expiration=1,IF($A1100&lt;VLOOKUP(N$5,NFI,5,0),1,0)*Table_NFI[[#This Row],[Kitchen Set]],Table_NFI[Kitchen Set])</f>
        <v>0</v>
      </c>
      <c r="AF1100" s="294">
        <f>IF(NFI_Expiration=1,IF($A1100&lt;VLOOKUP(O$5,NFI,5,0),1,0)*Table_NFI[[#This Row],[Clothes Kit]],Table_NFI[Clothes Kit])</f>
        <v>0</v>
      </c>
      <c r="AG1100" s="294">
        <f>IF(NFI_Expiration=1,IF($A1100&lt;VLOOKUP(P$5,NFI,5,0),1,0)*Table_NFI[[#This Row],[Plastic Bucket]],Table_NFI[Plastic Bucket])</f>
        <v>0</v>
      </c>
      <c r="AH1100" s="294">
        <f>IF(NFI_Expiration=1,IF($A1100&lt;VLOOKUP(Q$5,NFI,5,0),1,0)*Table_NFI[[#This Row],[Plastic Mat]],Table_NFI[Plastic Mat])*IF(Table_NFI[[#This Row],[Distribution Date]]&gt;"2014-04-01",1,2.5)</f>
        <v>0</v>
      </c>
      <c r="AI1100" s="294">
        <f>IF(NFI_Expiration=1,IF($A1100&lt;VLOOKUP(R$5,NFI,5,0),1,0)*Table_NFI[[#This Row],[Winter Clothes Adult]],Table_NFI[Winter Clothes Adult])</f>
        <v>0</v>
      </c>
      <c r="AJ1100" s="294">
        <f>IF(NFI_Expiration=1,IF($A1100&lt;VLOOKUP(S$5,NFI,5,0),1,0)*Table_NFI[[#This Row],[Winter Clothes Children]],Table_NFI[Winter Clothes Children])</f>
        <v>0</v>
      </c>
      <c r="AK1100" s="294">
        <f>IF(NFI_Expiration=1,IF($A1100&lt;VLOOKUP(T$5,NFI,5,0),1,0)*Table_NFI[[#This Row],[Winter Items Other]],Table_NFI[Winter Items Other])</f>
        <v>0</v>
      </c>
      <c r="AL1100" s="294">
        <f>IF(NFI_Expiration=1,IF($A1100&lt;VLOOKUP(M$5,NFI,5,0),1,0)*Table_NFI[[#This Row],[Winter Blanket]],Table_NFI[[#This Row],[Winter Blanket]])</f>
        <v>0</v>
      </c>
      <c r="AM1100" s="294">
        <f>IF(Table_NFI[[#This Row],[Winter Clothes Adult]]+Table_NFI[[#This Row],[Winter Clothes Children]]+Table_NFI[[#This Row],[Winter Items Other]]+Table_NFI[[#This Row],[Winter Blanket]]&gt;0,1,0)</f>
        <v>0</v>
      </c>
      <c r="AN1100" s="331">
        <f>IF(NFI_Expiration=1,IF($A1100&lt;VLOOKUP(V$5,NFI,5,0),1,0)*Table_NFI[[#This Row],[Jerry Can]],Table_NFI[Jerry Can])</f>
        <v>0</v>
      </c>
      <c r="AO1100" s="331">
        <f>IF(NFI_Expiration=1,IF($A1100&lt;VLOOKUP(V$5,NFI,5,0),1,0)*Table_NFI[[#This Row],[Shelter Tool kit]],Table_NFI[Shelter Tool kit])</f>
        <v>0</v>
      </c>
      <c r="AP1100" s="331">
        <f>IF(NFI_Expiration=1,IF($A1100&lt;VLOOKUP(V$5,NFI,5,0),1,0)*Table_NFI[[#This Row],[Tent]],Table_NFI[Tent])</f>
        <v>0</v>
      </c>
      <c r="AQ1100" s="467" t="str">
        <f>IFERROR(VLOOKUP(Table_NFI[[#This Row],[Camp Name]],CL,2,0),"")</f>
        <v>MMR001CMP018</v>
      </c>
      <c r="AR1100" s="835">
        <f ca="1">IF(Table_NFI[[#This Row],[Pcode]]="","",IF(OFFSET(CampList[Opening Date],MATCH(Table_NFI[[#This Row],[Pcode]],CampList[CP_Pcode],0)-1,0,1,1)&gt;=NFI_Monitor_Date,1,0))</f>
        <v>0</v>
      </c>
      <c r="AS1100" s="467" t="str">
        <f>IFERROR(VLOOKUP(Table_NFI[[#This Row],[Camp Name]],CL,3,0),"")</f>
        <v>Open</v>
      </c>
      <c r="AT1100" s="294" t="str">
        <f ca="1">IF(Table_NFI[[#This Row],[Pcode]]="","",OFFSET(CampList[Priority],MATCH(Table_NFI[[#This Row],[Pcode]],CampList[CP_Pcode],0)-1,0,1,1))</f>
        <v>P4</v>
      </c>
      <c r="AU1100" s="293">
        <f>IFERROR(Table_NFI[[#This Row],[Kitchen Set]]/VLOOKUP(Table_NFI[[#This Row],[Camp Name]],CL,4,0),"")</f>
        <v>2.5046040515653775E-3</v>
      </c>
      <c r="AV1100" s="461" t="s">
        <v>1092</v>
      </c>
      <c r="AW1100" s="463"/>
    </row>
    <row r="1101" spans="1:49" s="472" customFormat="1" ht="15.75" customHeight="1" x14ac:dyDescent="0.25">
      <c r="A1101" s="297">
        <f t="shared" si="17"/>
        <v>62.833333333333336</v>
      </c>
      <c r="B1101" s="460">
        <v>40851</v>
      </c>
      <c r="C1101" s="461" t="s">
        <v>452</v>
      </c>
      <c r="D1101" s="462" t="s">
        <v>460</v>
      </c>
      <c r="E1101" s="461" t="s">
        <v>380</v>
      </c>
      <c r="F1101" s="290" t="s">
        <v>237</v>
      </c>
      <c r="G1101" s="290" t="s">
        <v>267</v>
      </c>
      <c r="H1101" s="291"/>
      <c r="I1101" s="291"/>
      <c r="J1101" s="291"/>
      <c r="K1101" s="291">
        <v>10</v>
      </c>
      <c r="L1101" s="292">
        <v>6</v>
      </c>
      <c r="M1101" s="292">
        <v>10</v>
      </c>
      <c r="N1101" s="292">
        <v>6</v>
      </c>
      <c r="O1101" s="292">
        <v>6</v>
      </c>
      <c r="P1101" s="294">
        <v>6</v>
      </c>
      <c r="Q1101" s="294">
        <v>6</v>
      </c>
      <c r="R1101" s="294"/>
      <c r="S1101" s="294"/>
      <c r="T1101" s="294"/>
      <c r="U1101" s="294"/>
      <c r="V1101" s="431"/>
      <c r="W1101" s="331"/>
      <c r="X1101" s="331"/>
      <c r="Y1101" s="294">
        <f>IF(NFI_Expiration=1,IF($A1101&lt;VLOOKUP(H$5,NFI,5,0),1,0)*Table_NFI[[#This Row],[Hygiene Kit]],Table_NFI[Hygiene Kit])</f>
        <v>0</v>
      </c>
      <c r="Z1101" s="294">
        <f>IF(NFI_Expiration=1,IF($A1101&lt;VLOOKUP(I$5,NFI,5,0),1,0)*Table_NFI[[#This Row],[NFI Core Kit]],Table_NFI[NFI Core Kit])</f>
        <v>0</v>
      </c>
      <c r="AA1101" s="294">
        <f>IF(NFI_Expiration=1,IF($A1101&lt;VLOOKUP(J$5,NFI,5,0),1,0)*Table_NFI[[#This Row],[Sanitary Kit]],Table_NFI[Sanitary Kit])</f>
        <v>0</v>
      </c>
      <c r="AB1101" s="294">
        <f>IF(NFI_Expiration=1,IF($A1101&lt;VLOOKUP(K$5,NFI,5,0),1,0)*Table_NFI[[#This Row],[Mosquito net]],Table_NFI[Mosquito net])</f>
        <v>0</v>
      </c>
      <c r="AC1101" s="294">
        <f>IF(NFI_Expiration=1,IF($A1101&lt;VLOOKUP(L$5,NFI,5,0),1,0)*Table_NFI[[#This Row],[Tarpaulin]],Table_NFI[[#This Row],[Tarpaulin]])</f>
        <v>0</v>
      </c>
      <c r="AD1101" s="294">
        <f>IF(NFI_Expiration=1,IF($A1101&lt;VLOOKUP(M$5,NFI,5,0),1,0)*Table_NFI[[#This Row],[Blanket]],Table_NFI[[#This Row],[Blanket]])</f>
        <v>0</v>
      </c>
      <c r="AE1101" s="294">
        <f>IF(NFI_Expiration=1,IF($A1101&lt;VLOOKUP(N$5,NFI,5,0),1,0)*Table_NFI[[#This Row],[Kitchen Set]],Table_NFI[Kitchen Set])</f>
        <v>0</v>
      </c>
      <c r="AF1101" s="294">
        <f>IF(NFI_Expiration=1,IF($A1101&lt;VLOOKUP(O$5,NFI,5,0),1,0)*Table_NFI[[#This Row],[Clothes Kit]],Table_NFI[Clothes Kit])</f>
        <v>0</v>
      </c>
      <c r="AG1101" s="294">
        <f>IF(NFI_Expiration=1,IF($A1101&lt;VLOOKUP(P$5,NFI,5,0),1,0)*Table_NFI[[#This Row],[Plastic Bucket]],Table_NFI[Plastic Bucket])</f>
        <v>0</v>
      </c>
      <c r="AH1101" s="294">
        <f>IF(NFI_Expiration=1,IF($A1101&lt;VLOOKUP(Q$5,NFI,5,0),1,0)*Table_NFI[[#This Row],[Plastic Mat]],Table_NFI[Plastic Mat])*IF(Table_NFI[[#This Row],[Distribution Date]]&gt;"2014-04-01",1,2.5)</f>
        <v>0</v>
      </c>
      <c r="AI1101" s="294">
        <f>IF(NFI_Expiration=1,IF($A1101&lt;VLOOKUP(R$5,NFI,5,0),1,0)*Table_NFI[[#This Row],[Winter Clothes Adult]],Table_NFI[Winter Clothes Adult])</f>
        <v>0</v>
      </c>
      <c r="AJ1101" s="294">
        <f>IF(NFI_Expiration=1,IF($A1101&lt;VLOOKUP(S$5,NFI,5,0),1,0)*Table_NFI[[#This Row],[Winter Clothes Children]],Table_NFI[Winter Clothes Children])</f>
        <v>0</v>
      </c>
      <c r="AK1101" s="294">
        <f>IF(NFI_Expiration=1,IF($A1101&lt;VLOOKUP(T$5,NFI,5,0),1,0)*Table_NFI[[#This Row],[Winter Items Other]],Table_NFI[Winter Items Other])</f>
        <v>0</v>
      </c>
      <c r="AL1101" s="294">
        <f>IF(NFI_Expiration=1,IF($A1101&lt;VLOOKUP(M$5,NFI,5,0),1,0)*Table_NFI[[#This Row],[Winter Blanket]],Table_NFI[[#This Row],[Winter Blanket]])</f>
        <v>0</v>
      </c>
      <c r="AM1101" s="294">
        <f>IF(Table_NFI[[#This Row],[Winter Clothes Adult]]+Table_NFI[[#This Row],[Winter Clothes Children]]+Table_NFI[[#This Row],[Winter Items Other]]+Table_NFI[[#This Row],[Winter Blanket]]&gt;0,1,0)</f>
        <v>0</v>
      </c>
      <c r="AN1101" s="331">
        <f>IF(NFI_Expiration=1,IF($A1101&lt;VLOOKUP(V$5,NFI,5,0),1,0)*Table_NFI[[#This Row],[Jerry Can]],Table_NFI[Jerry Can])</f>
        <v>0</v>
      </c>
      <c r="AO1101" s="331">
        <f>IF(NFI_Expiration=1,IF($A1101&lt;VLOOKUP(V$5,NFI,5,0),1,0)*Table_NFI[[#This Row],[Shelter Tool kit]],Table_NFI[Shelter Tool kit])</f>
        <v>0</v>
      </c>
      <c r="AP1101" s="331">
        <f>IF(NFI_Expiration=1,IF($A1101&lt;VLOOKUP(V$5,NFI,5,0),1,0)*Table_NFI[[#This Row],[Tent]],Table_NFI[Tent])</f>
        <v>0</v>
      </c>
      <c r="AQ1101" s="467" t="str">
        <f>IFERROR(VLOOKUP(Table_NFI[[#This Row],[Camp Name]],CL,2,0),"")</f>
        <v>MMR001CMP017</v>
      </c>
      <c r="AR1101" s="835">
        <f ca="1">IF(Table_NFI[[#This Row],[Pcode]]="","",IF(OFFSET(CampList[Opening Date],MATCH(Table_NFI[[#This Row],[Pcode]],CampList[CP_Pcode],0)-1,0,1,1)&gt;=NFI_Monitor_Date,1,0))</f>
        <v>0</v>
      </c>
      <c r="AS1101" s="467" t="str">
        <f>IFERROR(VLOOKUP(Table_NFI[[#This Row],[Camp Name]],CL,3,0),"")</f>
        <v>Closed</v>
      </c>
      <c r="AT1101" s="294" t="str">
        <f ca="1">IF(Table_NFI[[#This Row],[Pcode]]="","",OFFSET(CampList[Priority],MATCH(Table_NFI[[#This Row],[Pcode]],CampList[CP_Pcode],0)-1,0,1,1))</f>
        <v>P4</v>
      </c>
      <c r="AU1101" s="293">
        <f>IFERROR(Table_NFI[[#This Row],[Kitchen Set]]/VLOOKUP(Table_NFI[[#This Row],[Camp Name]],CL,4,0),"")</f>
        <v>1.4699757454002008E-4</v>
      </c>
      <c r="AV1101" s="461" t="s">
        <v>1092</v>
      </c>
      <c r="AW1101" s="463"/>
    </row>
    <row r="1102" spans="1:49" s="472" customFormat="1" ht="15.75" customHeight="1" x14ac:dyDescent="0.25">
      <c r="A1102" s="297">
        <f t="shared" si="17"/>
        <v>62.866666666666667</v>
      </c>
      <c r="B1102" s="460">
        <v>40850</v>
      </c>
      <c r="C1102" s="461" t="s">
        <v>452</v>
      </c>
      <c r="D1102" s="462" t="s">
        <v>506</v>
      </c>
      <c r="E1102" s="461" t="s">
        <v>380</v>
      </c>
      <c r="F1102" s="290" t="s">
        <v>237</v>
      </c>
      <c r="G1102" s="290" t="s">
        <v>253</v>
      </c>
      <c r="H1102" s="291"/>
      <c r="I1102" s="291"/>
      <c r="J1102" s="291"/>
      <c r="K1102" s="291">
        <v>106</v>
      </c>
      <c r="L1102" s="292">
        <v>52</v>
      </c>
      <c r="M1102" s="292">
        <v>106</v>
      </c>
      <c r="N1102" s="292">
        <v>52</v>
      </c>
      <c r="O1102" s="292">
        <v>52</v>
      </c>
      <c r="P1102" s="294">
        <v>52</v>
      </c>
      <c r="Q1102" s="294">
        <v>52</v>
      </c>
      <c r="R1102" s="294"/>
      <c r="S1102" s="294"/>
      <c r="T1102" s="294"/>
      <c r="U1102" s="294"/>
      <c r="V1102" s="431"/>
      <c r="W1102" s="331"/>
      <c r="X1102" s="331"/>
      <c r="Y1102" s="294">
        <f>IF(NFI_Expiration=1,IF($A1102&lt;VLOOKUP(H$5,NFI,5,0),1,0)*Table_NFI[[#This Row],[Hygiene Kit]],Table_NFI[Hygiene Kit])</f>
        <v>0</v>
      </c>
      <c r="Z1102" s="294">
        <f>IF(NFI_Expiration=1,IF($A1102&lt;VLOOKUP(I$5,NFI,5,0),1,0)*Table_NFI[[#This Row],[NFI Core Kit]],Table_NFI[NFI Core Kit])</f>
        <v>0</v>
      </c>
      <c r="AA1102" s="294">
        <f>IF(NFI_Expiration=1,IF($A1102&lt;VLOOKUP(J$5,NFI,5,0),1,0)*Table_NFI[[#This Row],[Sanitary Kit]],Table_NFI[Sanitary Kit])</f>
        <v>0</v>
      </c>
      <c r="AB1102" s="294">
        <f>IF(NFI_Expiration=1,IF($A1102&lt;VLOOKUP(K$5,NFI,5,0),1,0)*Table_NFI[[#This Row],[Mosquito net]],Table_NFI[Mosquito net])</f>
        <v>0</v>
      </c>
      <c r="AC1102" s="294">
        <f>IF(NFI_Expiration=1,IF($A1102&lt;VLOOKUP(L$5,NFI,5,0),1,0)*Table_NFI[[#This Row],[Tarpaulin]],Table_NFI[[#This Row],[Tarpaulin]])</f>
        <v>0</v>
      </c>
      <c r="AD1102" s="294">
        <f>IF(NFI_Expiration=1,IF($A1102&lt;VLOOKUP(M$5,NFI,5,0),1,0)*Table_NFI[[#This Row],[Blanket]],Table_NFI[[#This Row],[Blanket]])</f>
        <v>0</v>
      </c>
      <c r="AE1102" s="294">
        <f>IF(NFI_Expiration=1,IF($A1102&lt;VLOOKUP(N$5,NFI,5,0),1,0)*Table_NFI[[#This Row],[Kitchen Set]],Table_NFI[Kitchen Set])</f>
        <v>0</v>
      </c>
      <c r="AF1102" s="294">
        <f>IF(NFI_Expiration=1,IF($A1102&lt;VLOOKUP(O$5,NFI,5,0),1,0)*Table_NFI[[#This Row],[Clothes Kit]],Table_NFI[Clothes Kit])</f>
        <v>0</v>
      </c>
      <c r="AG1102" s="294">
        <f>IF(NFI_Expiration=1,IF($A1102&lt;VLOOKUP(P$5,NFI,5,0),1,0)*Table_NFI[[#This Row],[Plastic Bucket]],Table_NFI[Plastic Bucket])</f>
        <v>0</v>
      </c>
      <c r="AH1102" s="294">
        <f>IF(NFI_Expiration=1,IF($A1102&lt;VLOOKUP(Q$5,NFI,5,0),1,0)*Table_NFI[[#This Row],[Plastic Mat]],Table_NFI[Plastic Mat])*IF(Table_NFI[[#This Row],[Distribution Date]]&gt;"2014-04-01",1,2.5)</f>
        <v>0</v>
      </c>
      <c r="AI1102" s="294">
        <f>IF(NFI_Expiration=1,IF($A1102&lt;VLOOKUP(R$5,NFI,5,0),1,0)*Table_NFI[[#This Row],[Winter Clothes Adult]],Table_NFI[Winter Clothes Adult])</f>
        <v>0</v>
      </c>
      <c r="AJ1102" s="294">
        <f>IF(NFI_Expiration=1,IF($A1102&lt;VLOOKUP(S$5,NFI,5,0),1,0)*Table_NFI[[#This Row],[Winter Clothes Children]],Table_NFI[Winter Clothes Children])</f>
        <v>0</v>
      </c>
      <c r="AK1102" s="294">
        <f>IF(NFI_Expiration=1,IF($A1102&lt;VLOOKUP(T$5,NFI,5,0),1,0)*Table_NFI[[#This Row],[Winter Items Other]],Table_NFI[Winter Items Other])</f>
        <v>0</v>
      </c>
      <c r="AL1102" s="294">
        <f>IF(NFI_Expiration=1,IF($A1102&lt;VLOOKUP(M$5,NFI,5,0),1,0)*Table_NFI[[#This Row],[Winter Blanket]],Table_NFI[[#This Row],[Winter Blanket]])</f>
        <v>0</v>
      </c>
      <c r="AM1102" s="294">
        <f>IF(Table_NFI[[#This Row],[Winter Clothes Adult]]+Table_NFI[[#This Row],[Winter Clothes Children]]+Table_NFI[[#This Row],[Winter Items Other]]+Table_NFI[[#This Row],[Winter Blanket]]&gt;0,1,0)</f>
        <v>0</v>
      </c>
      <c r="AN1102" s="331">
        <f>IF(NFI_Expiration=1,IF($A1102&lt;VLOOKUP(V$5,NFI,5,0),1,0)*Table_NFI[[#This Row],[Jerry Can]],Table_NFI[Jerry Can])</f>
        <v>0</v>
      </c>
      <c r="AO1102" s="331">
        <f>IF(NFI_Expiration=1,IF($A1102&lt;VLOOKUP(V$5,NFI,5,0),1,0)*Table_NFI[[#This Row],[Shelter Tool kit]],Table_NFI[Shelter Tool kit])</f>
        <v>0</v>
      </c>
      <c r="AP1102" s="331">
        <f>IF(NFI_Expiration=1,IF($A1102&lt;VLOOKUP(V$5,NFI,5,0),1,0)*Table_NFI[[#This Row],[Tent]],Table_NFI[Tent])</f>
        <v>0</v>
      </c>
      <c r="AQ1102" s="467" t="str">
        <f>IFERROR(VLOOKUP(Table_NFI[[#This Row],[Camp Name]],CL,2,0),"")</f>
        <v>MMR001CMP018</v>
      </c>
      <c r="AR1102" s="835">
        <f ca="1">IF(Table_NFI[[#This Row],[Pcode]]="","",IF(OFFSET(CampList[Opening Date],MATCH(Table_NFI[[#This Row],[Pcode]],CampList[CP_Pcode],0)-1,0,1,1)&gt;=NFI_Monitor_Date,1,0))</f>
        <v>0</v>
      </c>
      <c r="AS1102" s="467" t="str">
        <f>IFERROR(VLOOKUP(Table_NFI[[#This Row],[Camp Name]],CL,3,0),"")</f>
        <v>Open</v>
      </c>
      <c r="AT1102" s="294" t="str">
        <f ca="1">IF(Table_NFI[[#This Row],[Pcode]]="","",OFFSET(CampList[Priority],MATCH(Table_NFI[[#This Row],[Pcode]],CampList[CP_Pcode],0)-1,0,1,1))</f>
        <v>P4</v>
      </c>
      <c r="AU1102" s="293">
        <f>IFERROR(Table_NFI[[#This Row],[Kitchen Set]]/VLOOKUP(Table_NFI[[#This Row],[Camp Name]],CL,4,0),"")</f>
        <v>1.2768569674647024E-3</v>
      </c>
      <c r="AV1102" s="461" t="s">
        <v>1092</v>
      </c>
      <c r="AW1102" s="463"/>
    </row>
    <row r="1103" spans="1:49" s="472" customFormat="1" ht="15.75" customHeight="1" x14ac:dyDescent="0.25">
      <c r="A1103" s="297">
        <f t="shared" si="17"/>
        <v>62.866666666666667</v>
      </c>
      <c r="B1103" s="460">
        <v>40850</v>
      </c>
      <c r="C1103" s="461" t="s">
        <v>452</v>
      </c>
      <c r="D1103" s="462" t="s">
        <v>460</v>
      </c>
      <c r="E1103" s="461" t="s">
        <v>380</v>
      </c>
      <c r="F1103" s="290" t="s">
        <v>237</v>
      </c>
      <c r="G1103" s="290" t="s">
        <v>285</v>
      </c>
      <c r="H1103" s="291"/>
      <c r="I1103" s="291"/>
      <c r="J1103" s="291"/>
      <c r="K1103" s="291">
        <v>116</v>
      </c>
      <c r="L1103" s="292">
        <v>49</v>
      </c>
      <c r="M1103" s="292">
        <v>116</v>
      </c>
      <c r="N1103" s="292">
        <v>49</v>
      </c>
      <c r="O1103" s="292">
        <v>49</v>
      </c>
      <c r="P1103" s="294">
        <v>49</v>
      </c>
      <c r="Q1103" s="294">
        <v>49</v>
      </c>
      <c r="R1103" s="294"/>
      <c r="S1103" s="294"/>
      <c r="T1103" s="294"/>
      <c r="U1103" s="294"/>
      <c r="V1103" s="431"/>
      <c r="W1103" s="331"/>
      <c r="X1103" s="331"/>
      <c r="Y1103" s="294">
        <f>IF(NFI_Expiration=1,IF($A1103&lt;VLOOKUP(H$5,NFI,5,0),1,0)*Table_NFI[[#This Row],[Hygiene Kit]],Table_NFI[Hygiene Kit])</f>
        <v>0</v>
      </c>
      <c r="Z1103" s="294">
        <f>IF(NFI_Expiration=1,IF($A1103&lt;VLOOKUP(I$5,NFI,5,0),1,0)*Table_NFI[[#This Row],[NFI Core Kit]],Table_NFI[NFI Core Kit])</f>
        <v>0</v>
      </c>
      <c r="AA1103" s="294">
        <f>IF(NFI_Expiration=1,IF($A1103&lt;VLOOKUP(J$5,NFI,5,0),1,0)*Table_NFI[[#This Row],[Sanitary Kit]],Table_NFI[Sanitary Kit])</f>
        <v>0</v>
      </c>
      <c r="AB1103" s="294">
        <f>IF(NFI_Expiration=1,IF($A1103&lt;VLOOKUP(K$5,NFI,5,0),1,0)*Table_NFI[[#This Row],[Mosquito net]],Table_NFI[Mosquito net])</f>
        <v>0</v>
      </c>
      <c r="AC1103" s="294">
        <f>IF(NFI_Expiration=1,IF($A1103&lt;VLOOKUP(L$5,NFI,5,0),1,0)*Table_NFI[[#This Row],[Tarpaulin]],Table_NFI[[#This Row],[Tarpaulin]])</f>
        <v>0</v>
      </c>
      <c r="AD1103" s="294">
        <f>IF(NFI_Expiration=1,IF($A1103&lt;VLOOKUP(M$5,NFI,5,0),1,0)*Table_NFI[[#This Row],[Blanket]],Table_NFI[[#This Row],[Blanket]])</f>
        <v>0</v>
      </c>
      <c r="AE1103" s="294">
        <f>IF(NFI_Expiration=1,IF($A1103&lt;VLOOKUP(N$5,NFI,5,0),1,0)*Table_NFI[[#This Row],[Kitchen Set]],Table_NFI[Kitchen Set])</f>
        <v>0</v>
      </c>
      <c r="AF1103" s="294">
        <f>IF(NFI_Expiration=1,IF($A1103&lt;VLOOKUP(O$5,NFI,5,0),1,0)*Table_NFI[[#This Row],[Clothes Kit]],Table_NFI[Clothes Kit])</f>
        <v>0</v>
      </c>
      <c r="AG1103" s="294">
        <f>IF(NFI_Expiration=1,IF($A1103&lt;VLOOKUP(P$5,NFI,5,0),1,0)*Table_NFI[[#This Row],[Plastic Bucket]],Table_NFI[Plastic Bucket])</f>
        <v>0</v>
      </c>
      <c r="AH1103" s="294">
        <f>IF(NFI_Expiration=1,IF($A1103&lt;VLOOKUP(Q$5,NFI,5,0),1,0)*Table_NFI[[#This Row],[Plastic Mat]],Table_NFI[Plastic Mat])*IF(Table_NFI[[#This Row],[Distribution Date]]&gt;"2014-04-01",1,2.5)</f>
        <v>0</v>
      </c>
      <c r="AI1103" s="294">
        <f>IF(NFI_Expiration=1,IF($A1103&lt;VLOOKUP(R$5,NFI,5,0),1,0)*Table_NFI[[#This Row],[Winter Clothes Adult]],Table_NFI[Winter Clothes Adult])</f>
        <v>0</v>
      </c>
      <c r="AJ1103" s="294">
        <f>IF(NFI_Expiration=1,IF($A1103&lt;VLOOKUP(S$5,NFI,5,0),1,0)*Table_NFI[[#This Row],[Winter Clothes Children]],Table_NFI[Winter Clothes Children])</f>
        <v>0</v>
      </c>
      <c r="AK1103" s="294">
        <f>IF(NFI_Expiration=1,IF($A1103&lt;VLOOKUP(T$5,NFI,5,0),1,0)*Table_NFI[[#This Row],[Winter Items Other]],Table_NFI[Winter Items Other])</f>
        <v>0</v>
      </c>
      <c r="AL1103" s="294">
        <f>IF(NFI_Expiration=1,IF($A1103&lt;VLOOKUP(M$5,NFI,5,0),1,0)*Table_NFI[[#This Row],[Winter Blanket]],Table_NFI[[#This Row],[Winter Blanket]])</f>
        <v>0</v>
      </c>
      <c r="AM1103" s="294">
        <f>IF(Table_NFI[[#This Row],[Winter Clothes Adult]]+Table_NFI[[#This Row],[Winter Clothes Children]]+Table_NFI[[#This Row],[Winter Items Other]]+Table_NFI[[#This Row],[Winter Blanket]]&gt;0,1,0)</f>
        <v>0</v>
      </c>
      <c r="AN1103" s="331">
        <f>IF(NFI_Expiration=1,IF($A1103&lt;VLOOKUP(V$5,NFI,5,0),1,0)*Table_NFI[[#This Row],[Jerry Can]],Table_NFI[Jerry Can])</f>
        <v>0</v>
      </c>
      <c r="AO1103" s="331">
        <f>IF(NFI_Expiration=1,IF($A1103&lt;VLOOKUP(V$5,NFI,5,0),1,0)*Table_NFI[[#This Row],[Shelter Tool kit]],Table_NFI[Shelter Tool kit])</f>
        <v>0</v>
      </c>
      <c r="AP1103" s="331">
        <f>IF(NFI_Expiration=1,IF($A1103&lt;VLOOKUP(V$5,NFI,5,0),1,0)*Table_NFI[[#This Row],[Tent]],Table_NFI[Tent])</f>
        <v>0</v>
      </c>
      <c r="AQ1103" s="467" t="str">
        <f>IFERROR(VLOOKUP(Table_NFI[[#This Row],[Camp Name]],CL,2,0),"")</f>
        <v>MMR001CMP014</v>
      </c>
      <c r="AR1103" s="835">
        <f ca="1">IF(Table_NFI[[#This Row],[Pcode]]="","",IF(OFFSET(CampList[Opening Date],MATCH(Table_NFI[[#This Row],[Pcode]],CampList[CP_Pcode],0)-1,0,1,1)&gt;=NFI_Monitor_Date,1,0))</f>
        <v>0</v>
      </c>
      <c r="AS1103" s="467" t="str">
        <f>IFERROR(VLOOKUP(Table_NFI[[#This Row],[Camp Name]],CL,3,0),"")</f>
        <v>Open</v>
      </c>
      <c r="AT1103" s="294" t="str">
        <f ca="1">IF(Table_NFI[[#This Row],[Pcode]]="","",OFFSET(CampList[Priority],MATCH(Table_NFI[[#This Row],[Pcode]],CampList[CP_Pcode],0)-1,0,1,1))</f>
        <v>P4</v>
      </c>
      <c r="AU1103" s="293">
        <f>IFERROR(Table_NFI[[#This Row],[Kitchen Set]]/VLOOKUP(Table_NFI[[#This Row],[Camp Name]],CL,4,0),"")</f>
        <v>1.204079125199656E-3</v>
      </c>
      <c r="AV1103" s="461" t="s">
        <v>1092</v>
      </c>
      <c r="AW1103" s="463"/>
    </row>
    <row r="1104" spans="1:49" s="472" customFormat="1" ht="15.75" customHeight="1" x14ac:dyDescent="0.25">
      <c r="A1104" s="297">
        <f t="shared" si="17"/>
        <v>62.866666666666667</v>
      </c>
      <c r="B1104" s="460">
        <v>40850</v>
      </c>
      <c r="C1104" s="461" t="s">
        <v>452</v>
      </c>
      <c r="D1104" s="462" t="s">
        <v>506</v>
      </c>
      <c r="E1104" s="461" t="s">
        <v>380</v>
      </c>
      <c r="F1104" s="290" t="s">
        <v>237</v>
      </c>
      <c r="G1104" s="290" t="s">
        <v>281</v>
      </c>
      <c r="H1104" s="291"/>
      <c r="I1104" s="291"/>
      <c r="J1104" s="291"/>
      <c r="K1104" s="291">
        <v>18</v>
      </c>
      <c r="L1104" s="292">
        <v>8</v>
      </c>
      <c r="M1104" s="292">
        <v>18</v>
      </c>
      <c r="N1104" s="292">
        <v>8</v>
      </c>
      <c r="O1104" s="292">
        <v>8</v>
      </c>
      <c r="P1104" s="294">
        <v>8</v>
      </c>
      <c r="Q1104" s="294">
        <v>8</v>
      </c>
      <c r="R1104" s="294"/>
      <c r="S1104" s="294"/>
      <c r="T1104" s="294"/>
      <c r="U1104" s="294"/>
      <c r="V1104" s="431"/>
      <c r="W1104" s="331"/>
      <c r="X1104" s="331"/>
      <c r="Y1104" s="294">
        <f>IF(NFI_Expiration=1,IF($A1104&lt;VLOOKUP(H$5,NFI,5,0),1,0)*Table_NFI[[#This Row],[Hygiene Kit]],Table_NFI[Hygiene Kit])</f>
        <v>0</v>
      </c>
      <c r="Z1104" s="294">
        <f>IF(NFI_Expiration=1,IF($A1104&lt;VLOOKUP(I$5,NFI,5,0),1,0)*Table_NFI[[#This Row],[NFI Core Kit]],Table_NFI[NFI Core Kit])</f>
        <v>0</v>
      </c>
      <c r="AA1104" s="294">
        <f>IF(NFI_Expiration=1,IF($A1104&lt;VLOOKUP(J$5,NFI,5,0),1,0)*Table_NFI[[#This Row],[Sanitary Kit]],Table_NFI[Sanitary Kit])</f>
        <v>0</v>
      </c>
      <c r="AB1104" s="294">
        <f>IF(NFI_Expiration=1,IF($A1104&lt;VLOOKUP(K$5,NFI,5,0),1,0)*Table_NFI[[#This Row],[Mosquito net]],Table_NFI[Mosquito net])</f>
        <v>0</v>
      </c>
      <c r="AC1104" s="294">
        <f>IF(NFI_Expiration=1,IF($A1104&lt;VLOOKUP(L$5,NFI,5,0),1,0)*Table_NFI[[#This Row],[Tarpaulin]],Table_NFI[[#This Row],[Tarpaulin]])</f>
        <v>0</v>
      </c>
      <c r="AD1104" s="294">
        <f>IF(NFI_Expiration=1,IF($A1104&lt;VLOOKUP(M$5,NFI,5,0),1,0)*Table_NFI[[#This Row],[Blanket]],Table_NFI[[#This Row],[Blanket]])</f>
        <v>0</v>
      </c>
      <c r="AE1104" s="294">
        <f>IF(NFI_Expiration=1,IF($A1104&lt;VLOOKUP(N$5,NFI,5,0),1,0)*Table_NFI[[#This Row],[Kitchen Set]],Table_NFI[Kitchen Set])</f>
        <v>0</v>
      </c>
      <c r="AF1104" s="294">
        <f>IF(NFI_Expiration=1,IF($A1104&lt;VLOOKUP(O$5,NFI,5,0),1,0)*Table_NFI[[#This Row],[Clothes Kit]],Table_NFI[Clothes Kit])</f>
        <v>0</v>
      </c>
      <c r="AG1104" s="294">
        <f>IF(NFI_Expiration=1,IF($A1104&lt;VLOOKUP(P$5,NFI,5,0),1,0)*Table_NFI[[#This Row],[Plastic Bucket]],Table_NFI[Plastic Bucket])</f>
        <v>0</v>
      </c>
      <c r="AH1104" s="294">
        <f>IF(NFI_Expiration=1,IF($A1104&lt;VLOOKUP(Q$5,NFI,5,0),1,0)*Table_NFI[[#This Row],[Plastic Mat]],Table_NFI[Plastic Mat])*IF(Table_NFI[[#This Row],[Distribution Date]]&gt;"2014-04-01",1,2.5)</f>
        <v>0</v>
      </c>
      <c r="AI1104" s="294">
        <f>IF(NFI_Expiration=1,IF($A1104&lt;VLOOKUP(R$5,NFI,5,0),1,0)*Table_NFI[[#This Row],[Winter Clothes Adult]],Table_NFI[Winter Clothes Adult])</f>
        <v>0</v>
      </c>
      <c r="AJ1104" s="294">
        <f>IF(NFI_Expiration=1,IF($A1104&lt;VLOOKUP(S$5,NFI,5,0),1,0)*Table_NFI[[#This Row],[Winter Clothes Children]],Table_NFI[Winter Clothes Children])</f>
        <v>0</v>
      </c>
      <c r="AK1104" s="294">
        <f>IF(NFI_Expiration=1,IF($A1104&lt;VLOOKUP(T$5,NFI,5,0),1,0)*Table_NFI[[#This Row],[Winter Items Other]],Table_NFI[Winter Items Other])</f>
        <v>0</v>
      </c>
      <c r="AL1104" s="294">
        <f>IF(NFI_Expiration=1,IF($A1104&lt;VLOOKUP(M$5,NFI,5,0),1,0)*Table_NFI[[#This Row],[Winter Blanket]],Table_NFI[[#This Row],[Winter Blanket]])</f>
        <v>0</v>
      </c>
      <c r="AM1104" s="294">
        <f>IF(Table_NFI[[#This Row],[Winter Clothes Adult]]+Table_NFI[[#This Row],[Winter Clothes Children]]+Table_NFI[[#This Row],[Winter Items Other]]+Table_NFI[[#This Row],[Winter Blanket]]&gt;0,1,0)</f>
        <v>0</v>
      </c>
      <c r="AN1104" s="331">
        <f>IF(NFI_Expiration=1,IF($A1104&lt;VLOOKUP(V$5,NFI,5,0),1,0)*Table_NFI[[#This Row],[Jerry Can]],Table_NFI[Jerry Can])</f>
        <v>0</v>
      </c>
      <c r="AO1104" s="331">
        <f>IF(NFI_Expiration=1,IF($A1104&lt;VLOOKUP(V$5,NFI,5,0),1,0)*Table_NFI[[#This Row],[Shelter Tool kit]],Table_NFI[Shelter Tool kit])</f>
        <v>0</v>
      </c>
      <c r="AP1104" s="331">
        <f>IF(NFI_Expiration=1,IF($A1104&lt;VLOOKUP(V$5,NFI,5,0),1,0)*Table_NFI[[#This Row],[Tent]],Table_NFI[Tent])</f>
        <v>0</v>
      </c>
      <c r="AQ1104" s="467" t="str">
        <f>IFERROR(VLOOKUP(Table_NFI[[#This Row],[Camp Name]],CL,2,0),"")</f>
        <v>MMR001CMP009</v>
      </c>
      <c r="AR1104" s="835">
        <f ca="1">IF(Table_NFI[[#This Row],[Pcode]]="","",IF(OFFSET(CampList[Opening Date],MATCH(Table_NFI[[#This Row],[Pcode]],CampList[CP_Pcode],0)-1,0,1,1)&gt;=NFI_Monitor_Date,1,0))</f>
        <v>0</v>
      </c>
      <c r="AS1104" s="467" t="str">
        <f>IFERROR(VLOOKUP(Table_NFI[[#This Row],[Camp Name]],CL,3,0),"")</f>
        <v>Open</v>
      </c>
      <c r="AT1104" s="294" t="str">
        <f ca="1">IF(Table_NFI[[#This Row],[Pcode]]="","",OFFSET(CampList[Priority],MATCH(Table_NFI[[#This Row],[Pcode]],CampList[CP_Pcode],0)-1,0,1,1))</f>
        <v>P4</v>
      </c>
      <c r="AU1104" s="293">
        <f>IFERROR(Table_NFI[[#This Row],[Kitchen Set]]/VLOOKUP(Table_NFI[[#This Row],[Camp Name]],CL,4,0),"")</f>
        <v>1.9643953345610803E-4</v>
      </c>
      <c r="AV1104" s="461" t="s">
        <v>1092</v>
      </c>
      <c r="AW1104" s="463"/>
    </row>
    <row r="1105" spans="1:49" s="472" customFormat="1" ht="15.75" customHeight="1" x14ac:dyDescent="0.25">
      <c r="A1105" s="297">
        <f t="shared" si="17"/>
        <v>62.866666666666667</v>
      </c>
      <c r="B1105" s="460">
        <v>40850</v>
      </c>
      <c r="C1105" s="461" t="s">
        <v>452</v>
      </c>
      <c r="D1105" s="462" t="s">
        <v>460</v>
      </c>
      <c r="E1105" s="461" t="s">
        <v>380</v>
      </c>
      <c r="F1105" s="290" t="s">
        <v>237</v>
      </c>
      <c r="G1105" s="290" t="s">
        <v>238</v>
      </c>
      <c r="H1105" s="291"/>
      <c r="I1105" s="291"/>
      <c r="J1105" s="291"/>
      <c r="K1105" s="291">
        <v>73</v>
      </c>
      <c r="L1105" s="292">
        <v>34</v>
      </c>
      <c r="M1105" s="292">
        <v>73</v>
      </c>
      <c r="N1105" s="292">
        <v>34</v>
      </c>
      <c r="O1105" s="292">
        <v>34</v>
      </c>
      <c r="P1105" s="294">
        <v>34</v>
      </c>
      <c r="Q1105" s="294">
        <v>34</v>
      </c>
      <c r="R1105" s="294"/>
      <c r="S1105" s="294"/>
      <c r="T1105" s="294"/>
      <c r="U1105" s="294"/>
      <c r="V1105" s="431"/>
      <c r="W1105" s="331"/>
      <c r="X1105" s="331"/>
      <c r="Y1105" s="294">
        <f>IF(NFI_Expiration=1,IF($A1105&lt;VLOOKUP(H$5,NFI,5,0),1,0)*Table_NFI[[#This Row],[Hygiene Kit]],Table_NFI[Hygiene Kit])</f>
        <v>0</v>
      </c>
      <c r="Z1105" s="294">
        <f>IF(NFI_Expiration=1,IF($A1105&lt;VLOOKUP(I$5,NFI,5,0),1,0)*Table_NFI[[#This Row],[NFI Core Kit]],Table_NFI[NFI Core Kit])</f>
        <v>0</v>
      </c>
      <c r="AA1105" s="294">
        <f>IF(NFI_Expiration=1,IF($A1105&lt;VLOOKUP(J$5,NFI,5,0),1,0)*Table_NFI[[#This Row],[Sanitary Kit]],Table_NFI[Sanitary Kit])</f>
        <v>0</v>
      </c>
      <c r="AB1105" s="294">
        <f>IF(NFI_Expiration=1,IF($A1105&lt;VLOOKUP(K$5,NFI,5,0),1,0)*Table_NFI[[#This Row],[Mosquito net]],Table_NFI[Mosquito net])</f>
        <v>0</v>
      </c>
      <c r="AC1105" s="294">
        <f>IF(NFI_Expiration=1,IF($A1105&lt;VLOOKUP(L$5,NFI,5,0),1,0)*Table_NFI[[#This Row],[Tarpaulin]],Table_NFI[[#This Row],[Tarpaulin]])</f>
        <v>0</v>
      </c>
      <c r="AD1105" s="294">
        <f>IF(NFI_Expiration=1,IF($A1105&lt;VLOOKUP(M$5,NFI,5,0),1,0)*Table_NFI[[#This Row],[Blanket]],Table_NFI[[#This Row],[Blanket]])</f>
        <v>0</v>
      </c>
      <c r="AE1105" s="294">
        <f>IF(NFI_Expiration=1,IF($A1105&lt;VLOOKUP(N$5,NFI,5,0),1,0)*Table_NFI[[#This Row],[Kitchen Set]],Table_NFI[Kitchen Set])</f>
        <v>0</v>
      </c>
      <c r="AF1105" s="294">
        <f>IF(NFI_Expiration=1,IF($A1105&lt;VLOOKUP(O$5,NFI,5,0),1,0)*Table_NFI[[#This Row],[Clothes Kit]],Table_NFI[Clothes Kit])</f>
        <v>0</v>
      </c>
      <c r="AG1105" s="294">
        <f>IF(NFI_Expiration=1,IF($A1105&lt;VLOOKUP(P$5,NFI,5,0),1,0)*Table_NFI[[#This Row],[Plastic Bucket]],Table_NFI[Plastic Bucket])</f>
        <v>0</v>
      </c>
      <c r="AH1105" s="294">
        <f>IF(NFI_Expiration=1,IF($A1105&lt;VLOOKUP(Q$5,NFI,5,0),1,0)*Table_NFI[[#This Row],[Plastic Mat]],Table_NFI[Plastic Mat])*IF(Table_NFI[[#This Row],[Distribution Date]]&gt;"2014-04-01",1,2.5)</f>
        <v>0</v>
      </c>
      <c r="AI1105" s="294">
        <f>IF(NFI_Expiration=1,IF($A1105&lt;VLOOKUP(R$5,NFI,5,0),1,0)*Table_NFI[[#This Row],[Winter Clothes Adult]],Table_NFI[Winter Clothes Adult])</f>
        <v>0</v>
      </c>
      <c r="AJ1105" s="294">
        <f>IF(NFI_Expiration=1,IF($A1105&lt;VLOOKUP(S$5,NFI,5,0),1,0)*Table_NFI[[#This Row],[Winter Clothes Children]],Table_NFI[Winter Clothes Children])</f>
        <v>0</v>
      </c>
      <c r="AK1105" s="294">
        <f>IF(NFI_Expiration=1,IF($A1105&lt;VLOOKUP(T$5,NFI,5,0),1,0)*Table_NFI[[#This Row],[Winter Items Other]],Table_NFI[Winter Items Other])</f>
        <v>0</v>
      </c>
      <c r="AL1105" s="294">
        <f>IF(NFI_Expiration=1,IF($A1105&lt;VLOOKUP(M$5,NFI,5,0),1,0)*Table_NFI[[#This Row],[Winter Blanket]],Table_NFI[[#This Row],[Winter Blanket]])</f>
        <v>0</v>
      </c>
      <c r="AM1105" s="294">
        <f>IF(Table_NFI[[#This Row],[Winter Clothes Adult]]+Table_NFI[[#This Row],[Winter Clothes Children]]+Table_NFI[[#This Row],[Winter Items Other]]+Table_NFI[[#This Row],[Winter Blanket]]&gt;0,1,0)</f>
        <v>0</v>
      </c>
      <c r="AN1105" s="331">
        <f>IF(NFI_Expiration=1,IF($A1105&lt;VLOOKUP(V$5,NFI,5,0),1,0)*Table_NFI[[#This Row],[Jerry Can]],Table_NFI[Jerry Can])</f>
        <v>0</v>
      </c>
      <c r="AO1105" s="331">
        <f>IF(NFI_Expiration=1,IF($A1105&lt;VLOOKUP(V$5,NFI,5,0),1,0)*Table_NFI[[#This Row],[Shelter Tool kit]],Table_NFI[Shelter Tool kit])</f>
        <v>0</v>
      </c>
      <c r="AP1105" s="331">
        <f>IF(NFI_Expiration=1,IF($A1105&lt;VLOOKUP(V$5,NFI,5,0),1,0)*Table_NFI[[#This Row],[Tent]],Table_NFI[Tent])</f>
        <v>0</v>
      </c>
      <c r="AQ1105" s="467" t="str">
        <f>IFERROR(VLOOKUP(Table_NFI[[#This Row],[Camp Name]],CL,2,0),"")</f>
        <v>MMR001CMP001</v>
      </c>
      <c r="AR1105" s="835">
        <f ca="1">IF(Table_NFI[[#This Row],[Pcode]]="","",IF(OFFSET(CampList[Opening Date],MATCH(Table_NFI[[#This Row],[Pcode]],CampList[CP_Pcode],0)-1,0,1,1)&gt;=NFI_Monitor_Date,1,0))</f>
        <v>0</v>
      </c>
      <c r="AS1105" s="467" t="str">
        <f>IFERROR(VLOOKUP(Table_NFI[[#This Row],[Camp Name]],CL,3,0),"")</f>
        <v>Open</v>
      </c>
      <c r="AT1105" s="294" t="str">
        <f ca="1">IF(Table_NFI[[#This Row],[Pcode]]="","",OFFSET(CampList[Priority],MATCH(Table_NFI[[#This Row],[Pcode]],CampList[CP_Pcode],0)-1,0,1,1))</f>
        <v>P4</v>
      </c>
      <c r="AU1105" s="293">
        <f>IFERROR(Table_NFI[[#This Row],[Kitchen Set]]/VLOOKUP(Table_NFI[[#This Row],[Camp Name]],CL,4,0),"")</f>
        <v>8.3548347462833277E-4</v>
      </c>
      <c r="AV1105" s="461" t="s">
        <v>1092</v>
      </c>
      <c r="AW1105" s="463"/>
    </row>
    <row r="1106" spans="1:49" s="472" customFormat="1" ht="15.75" customHeight="1" x14ac:dyDescent="0.25">
      <c r="A1106" s="297">
        <f t="shared" si="17"/>
        <v>62.866666666666667</v>
      </c>
      <c r="B1106" s="460">
        <v>40850</v>
      </c>
      <c r="C1106" s="461" t="s">
        <v>452</v>
      </c>
      <c r="D1106" s="462" t="s">
        <v>506</v>
      </c>
      <c r="E1106" s="461" t="s">
        <v>380</v>
      </c>
      <c r="F1106" s="290" t="s">
        <v>237</v>
      </c>
      <c r="G1106" s="290" t="s">
        <v>249</v>
      </c>
      <c r="H1106" s="291"/>
      <c r="I1106" s="291"/>
      <c r="J1106" s="291"/>
      <c r="K1106" s="291">
        <v>18</v>
      </c>
      <c r="L1106" s="292">
        <v>8</v>
      </c>
      <c r="M1106" s="292">
        <v>18</v>
      </c>
      <c r="N1106" s="292">
        <v>8</v>
      </c>
      <c r="O1106" s="292">
        <v>8</v>
      </c>
      <c r="P1106" s="294">
        <v>8</v>
      </c>
      <c r="Q1106" s="294">
        <v>8</v>
      </c>
      <c r="R1106" s="294"/>
      <c r="S1106" s="294"/>
      <c r="T1106" s="294"/>
      <c r="U1106" s="294"/>
      <c r="V1106" s="431"/>
      <c r="W1106" s="331"/>
      <c r="X1106" s="331"/>
      <c r="Y1106" s="294">
        <f>IF(NFI_Expiration=1,IF($A1106&lt;VLOOKUP(H$5,NFI,5,0),1,0)*Table_NFI[[#This Row],[Hygiene Kit]],Table_NFI[Hygiene Kit])</f>
        <v>0</v>
      </c>
      <c r="Z1106" s="294">
        <f>IF(NFI_Expiration=1,IF($A1106&lt;VLOOKUP(I$5,NFI,5,0),1,0)*Table_NFI[[#This Row],[NFI Core Kit]],Table_NFI[NFI Core Kit])</f>
        <v>0</v>
      </c>
      <c r="AA1106" s="294">
        <f>IF(NFI_Expiration=1,IF($A1106&lt;VLOOKUP(J$5,NFI,5,0),1,0)*Table_NFI[[#This Row],[Sanitary Kit]],Table_NFI[Sanitary Kit])</f>
        <v>0</v>
      </c>
      <c r="AB1106" s="294">
        <f>IF(NFI_Expiration=1,IF($A1106&lt;VLOOKUP(K$5,NFI,5,0),1,0)*Table_NFI[[#This Row],[Mosquito net]],Table_NFI[Mosquito net])</f>
        <v>0</v>
      </c>
      <c r="AC1106" s="294">
        <f>IF(NFI_Expiration=1,IF($A1106&lt;VLOOKUP(L$5,NFI,5,0),1,0)*Table_NFI[[#This Row],[Tarpaulin]],Table_NFI[[#This Row],[Tarpaulin]])</f>
        <v>0</v>
      </c>
      <c r="AD1106" s="294">
        <f>IF(NFI_Expiration=1,IF($A1106&lt;VLOOKUP(M$5,NFI,5,0),1,0)*Table_NFI[[#This Row],[Blanket]],Table_NFI[[#This Row],[Blanket]])</f>
        <v>0</v>
      </c>
      <c r="AE1106" s="294">
        <f>IF(NFI_Expiration=1,IF($A1106&lt;VLOOKUP(N$5,NFI,5,0),1,0)*Table_NFI[[#This Row],[Kitchen Set]],Table_NFI[Kitchen Set])</f>
        <v>0</v>
      </c>
      <c r="AF1106" s="294">
        <f>IF(NFI_Expiration=1,IF($A1106&lt;VLOOKUP(O$5,NFI,5,0),1,0)*Table_NFI[[#This Row],[Clothes Kit]],Table_NFI[Clothes Kit])</f>
        <v>0</v>
      </c>
      <c r="AG1106" s="294">
        <f>IF(NFI_Expiration=1,IF($A1106&lt;VLOOKUP(P$5,NFI,5,0),1,0)*Table_NFI[[#This Row],[Plastic Bucket]],Table_NFI[Plastic Bucket])</f>
        <v>0</v>
      </c>
      <c r="AH1106" s="294">
        <f>IF(NFI_Expiration=1,IF($A1106&lt;VLOOKUP(Q$5,NFI,5,0),1,0)*Table_NFI[[#This Row],[Plastic Mat]],Table_NFI[Plastic Mat])*IF(Table_NFI[[#This Row],[Distribution Date]]&gt;"2014-04-01",1,2.5)</f>
        <v>0</v>
      </c>
      <c r="AI1106" s="294">
        <f>IF(NFI_Expiration=1,IF($A1106&lt;VLOOKUP(R$5,NFI,5,0),1,0)*Table_NFI[[#This Row],[Winter Clothes Adult]],Table_NFI[Winter Clothes Adult])</f>
        <v>0</v>
      </c>
      <c r="AJ1106" s="294">
        <f>IF(NFI_Expiration=1,IF($A1106&lt;VLOOKUP(S$5,NFI,5,0),1,0)*Table_NFI[[#This Row],[Winter Clothes Children]],Table_NFI[Winter Clothes Children])</f>
        <v>0</v>
      </c>
      <c r="AK1106" s="294">
        <f>IF(NFI_Expiration=1,IF($A1106&lt;VLOOKUP(T$5,NFI,5,0),1,0)*Table_NFI[[#This Row],[Winter Items Other]],Table_NFI[Winter Items Other])</f>
        <v>0</v>
      </c>
      <c r="AL1106" s="294">
        <f>IF(NFI_Expiration=1,IF($A1106&lt;VLOOKUP(M$5,NFI,5,0),1,0)*Table_NFI[[#This Row],[Winter Blanket]],Table_NFI[[#This Row],[Winter Blanket]])</f>
        <v>0</v>
      </c>
      <c r="AM1106" s="294">
        <f>IF(Table_NFI[[#This Row],[Winter Clothes Adult]]+Table_NFI[[#This Row],[Winter Clothes Children]]+Table_NFI[[#This Row],[Winter Items Other]]+Table_NFI[[#This Row],[Winter Blanket]]&gt;0,1,0)</f>
        <v>0</v>
      </c>
      <c r="AN1106" s="331">
        <f>IF(NFI_Expiration=1,IF($A1106&lt;VLOOKUP(V$5,NFI,5,0),1,0)*Table_NFI[[#This Row],[Jerry Can]],Table_NFI[Jerry Can])</f>
        <v>0</v>
      </c>
      <c r="AO1106" s="331">
        <f>IF(NFI_Expiration=1,IF($A1106&lt;VLOOKUP(V$5,NFI,5,0),1,0)*Table_NFI[[#This Row],[Shelter Tool kit]],Table_NFI[Shelter Tool kit])</f>
        <v>0</v>
      </c>
      <c r="AP1106" s="331">
        <f>IF(NFI_Expiration=1,IF($A1106&lt;VLOOKUP(V$5,NFI,5,0),1,0)*Table_NFI[[#This Row],[Tent]],Table_NFI[Tent])</f>
        <v>0</v>
      </c>
      <c r="AQ1106" s="467" t="str">
        <f>IFERROR(VLOOKUP(Table_NFI[[#This Row],[Camp Name]],CL,2,0),"")</f>
        <v>MMR001CMP004</v>
      </c>
      <c r="AR1106" s="835">
        <f ca="1">IF(Table_NFI[[#This Row],[Pcode]]="","",IF(OFFSET(CampList[Opening Date],MATCH(Table_NFI[[#This Row],[Pcode]],CampList[CP_Pcode],0)-1,0,1,1)&gt;=NFI_Monitor_Date,1,0))</f>
        <v>0</v>
      </c>
      <c r="AS1106" s="467" t="str">
        <f>IFERROR(VLOOKUP(Table_NFI[[#This Row],[Camp Name]],CL,3,0),"")</f>
        <v>Open</v>
      </c>
      <c r="AT1106" s="294" t="str">
        <f ca="1">IF(Table_NFI[[#This Row],[Pcode]]="","",OFFSET(CampList[Priority],MATCH(Table_NFI[[#This Row],[Pcode]],CampList[CP_Pcode],0)-1,0,1,1))</f>
        <v>P4</v>
      </c>
      <c r="AU1106" s="293">
        <f>IFERROR(Table_NFI[[#This Row],[Kitchen Set]]/VLOOKUP(Table_NFI[[#This Row],[Camp Name]],CL,4,0),"")</f>
        <v>1.962901167926195E-4</v>
      </c>
      <c r="AV1106" s="461" t="s">
        <v>1092</v>
      </c>
      <c r="AW1106" s="463"/>
    </row>
    <row r="1107" spans="1:49" s="472" customFormat="1" ht="15.75" customHeight="1" x14ac:dyDescent="0.25">
      <c r="A1107" s="297">
        <f t="shared" si="17"/>
        <v>62.9</v>
      </c>
      <c r="B1107" s="460">
        <v>40849</v>
      </c>
      <c r="C1107" s="461" t="s">
        <v>452</v>
      </c>
      <c r="D1107" s="462" t="s">
        <v>460</v>
      </c>
      <c r="E1107" s="461" t="s">
        <v>380</v>
      </c>
      <c r="F1107" s="290" t="s">
        <v>237</v>
      </c>
      <c r="G1107" s="290" t="s">
        <v>243</v>
      </c>
      <c r="H1107" s="291"/>
      <c r="I1107" s="291"/>
      <c r="J1107" s="291"/>
      <c r="K1107" s="291">
        <v>0</v>
      </c>
      <c r="L1107" s="292">
        <v>5</v>
      </c>
      <c r="M1107" s="292">
        <v>0</v>
      </c>
      <c r="N1107" s="292">
        <v>5</v>
      </c>
      <c r="O1107" s="292">
        <v>5</v>
      </c>
      <c r="P1107" s="294">
        <v>5</v>
      </c>
      <c r="Q1107" s="294">
        <v>5</v>
      </c>
      <c r="R1107" s="294"/>
      <c r="S1107" s="294"/>
      <c r="T1107" s="294"/>
      <c r="U1107" s="294"/>
      <c r="V1107" s="431"/>
      <c r="W1107" s="331"/>
      <c r="X1107" s="331"/>
      <c r="Y1107" s="294">
        <f>IF(NFI_Expiration=1,IF($A1107&lt;VLOOKUP(H$5,NFI,5,0),1,0)*Table_NFI[[#This Row],[Hygiene Kit]],Table_NFI[Hygiene Kit])</f>
        <v>0</v>
      </c>
      <c r="Z1107" s="294">
        <f>IF(NFI_Expiration=1,IF($A1107&lt;VLOOKUP(I$5,NFI,5,0),1,0)*Table_NFI[[#This Row],[NFI Core Kit]],Table_NFI[NFI Core Kit])</f>
        <v>0</v>
      </c>
      <c r="AA1107" s="294">
        <f>IF(NFI_Expiration=1,IF($A1107&lt;VLOOKUP(J$5,NFI,5,0),1,0)*Table_NFI[[#This Row],[Sanitary Kit]],Table_NFI[Sanitary Kit])</f>
        <v>0</v>
      </c>
      <c r="AB1107" s="294">
        <f>IF(NFI_Expiration=1,IF($A1107&lt;VLOOKUP(K$5,NFI,5,0),1,0)*Table_NFI[[#This Row],[Mosquito net]],Table_NFI[Mosquito net])</f>
        <v>0</v>
      </c>
      <c r="AC1107" s="294">
        <f>IF(NFI_Expiration=1,IF($A1107&lt;VLOOKUP(L$5,NFI,5,0),1,0)*Table_NFI[[#This Row],[Tarpaulin]],Table_NFI[[#This Row],[Tarpaulin]])</f>
        <v>0</v>
      </c>
      <c r="AD1107" s="294">
        <f>IF(NFI_Expiration=1,IF($A1107&lt;VLOOKUP(M$5,NFI,5,0),1,0)*Table_NFI[[#This Row],[Blanket]],Table_NFI[[#This Row],[Blanket]])</f>
        <v>0</v>
      </c>
      <c r="AE1107" s="294">
        <f>IF(NFI_Expiration=1,IF($A1107&lt;VLOOKUP(N$5,NFI,5,0),1,0)*Table_NFI[[#This Row],[Kitchen Set]],Table_NFI[Kitchen Set])</f>
        <v>0</v>
      </c>
      <c r="AF1107" s="294">
        <f>IF(NFI_Expiration=1,IF($A1107&lt;VLOOKUP(O$5,NFI,5,0),1,0)*Table_NFI[[#This Row],[Clothes Kit]],Table_NFI[Clothes Kit])</f>
        <v>0</v>
      </c>
      <c r="AG1107" s="294">
        <f>IF(NFI_Expiration=1,IF($A1107&lt;VLOOKUP(P$5,NFI,5,0),1,0)*Table_NFI[[#This Row],[Plastic Bucket]],Table_NFI[Plastic Bucket])</f>
        <v>0</v>
      </c>
      <c r="AH1107" s="294">
        <f>IF(NFI_Expiration=1,IF($A1107&lt;VLOOKUP(Q$5,NFI,5,0),1,0)*Table_NFI[[#This Row],[Plastic Mat]],Table_NFI[Plastic Mat])*IF(Table_NFI[[#This Row],[Distribution Date]]&gt;"2014-04-01",1,2.5)</f>
        <v>0</v>
      </c>
      <c r="AI1107" s="294">
        <f>IF(NFI_Expiration=1,IF($A1107&lt;VLOOKUP(R$5,NFI,5,0),1,0)*Table_NFI[[#This Row],[Winter Clothes Adult]],Table_NFI[Winter Clothes Adult])</f>
        <v>0</v>
      </c>
      <c r="AJ1107" s="294">
        <f>IF(NFI_Expiration=1,IF($A1107&lt;VLOOKUP(S$5,NFI,5,0),1,0)*Table_NFI[[#This Row],[Winter Clothes Children]],Table_NFI[Winter Clothes Children])</f>
        <v>0</v>
      </c>
      <c r="AK1107" s="294">
        <f>IF(NFI_Expiration=1,IF($A1107&lt;VLOOKUP(T$5,NFI,5,0),1,0)*Table_NFI[[#This Row],[Winter Items Other]],Table_NFI[Winter Items Other])</f>
        <v>0</v>
      </c>
      <c r="AL1107" s="294">
        <f>IF(NFI_Expiration=1,IF($A1107&lt;VLOOKUP(M$5,NFI,5,0),1,0)*Table_NFI[[#This Row],[Winter Blanket]],Table_NFI[[#This Row],[Winter Blanket]])</f>
        <v>0</v>
      </c>
      <c r="AM1107" s="294">
        <f>IF(Table_NFI[[#This Row],[Winter Clothes Adult]]+Table_NFI[[#This Row],[Winter Clothes Children]]+Table_NFI[[#This Row],[Winter Items Other]]+Table_NFI[[#This Row],[Winter Blanket]]&gt;0,1,0)</f>
        <v>0</v>
      </c>
      <c r="AN1107" s="331">
        <f>IF(NFI_Expiration=1,IF($A1107&lt;VLOOKUP(V$5,NFI,5,0),1,0)*Table_NFI[[#This Row],[Jerry Can]],Table_NFI[Jerry Can])</f>
        <v>0</v>
      </c>
      <c r="AO1107" s="331">
        <f>IF(NFI_Expiration=1,IF($A1107&lt;VLOOKUP(V$5,NFI,5,0),1,0)*Table_NFI[[#This Row],[Shelter Tool kit]],Table_NFI[Shelter Tool kit])</f>
        <v>0</v>
      </c>
      <c r="AP1107" s="331">
        <f>IF(NFI_Expiration=1,IF($A1107&lt;VLOOKUP(V$5,NFI,5,0),1,0)*Table_NFI[[#This Row],[Tent]],Table_NFI[Tent])</f>
        <v>0</v>
      </c>
      <c r="AQ1107" s="467" t="str">
        <f>IFERROR(VLOOKUP(Table_NFI[[#This Row],[Camp Name]],CL,2,0),"")</f>
        <v>MMR001CMP012</v>
      </c>
      <c r="AR1107" s="835">
        <f ca="1">IF(Table_NFI[[#This Row],[Pcode]]="","",IF(OFFSET(CampList[Opening Date],MATCH(Table_NFI[[#This Row],[Pcode]],CampList[CP_Pcode],0)-1,0,1,1)&gt;=NFI_Monitor_Date,1,0))</f>
        <v>0</v>
      </c>
      <c r="AS1107" s="467" t="str">
        <f>IFERROR(VLOOKUP(Table_NFI[[#This Row],[Camp Name]],CL,3,0),"")</f>
        <v>Open</v>
      </c>
      <c r="AT1107" s="294" t="str">
        <f ca="1">IF(Table_NFI[[#This Row],[Pcode]]="","",OFFSET(CampList[Priority],MATCH(Table_NFI[[#This Row],[Pcode]],CampList[CP_Pcode],0)-1,0,1,1))</f>
        <v>P4</v>
      </c>
      <c r="AU1107" s="293">
        <f>IFERROR(Table_NFI[[#This Row],[Kitchen Set]]/VLOOKUP(Table_NFI[[#This Row],[Camp Name]],CL,4,0),"")</f>
        <v>1.2286521685710776E-4</v>
      </c>
      <c r="AV1107" s="461" t="s">
        <v>1092</v>
      </c>
      <c r="AW1107" s="463"/>
    </row>
    <row r="1108" spans="1:49" s="472" customFormat="1" ht="15.75" customHeight="1" x14ac:dyDescent="0.25">
      <c r="A1108" s="297">
        <f t="shared" si="17"/>
        <v>62.9</v>
      </c>
      <c r="B1108" s="460">
        <v>40849</v>
      </c>
      <c r="C1108" s="461" t="s">
        <v>452</v>
      </c>
      <c r="D1108" s="462" t="s">
        <v>460</v>
      </c>
      <c r="E1108" s="461" t="s">
        <v>380</v>
      </c>
      <c r="F1108" s="290" t="s">
        <v>237</v>
      </c>
      <c r="G1108" s="290" t="s">
        <v>245</v>
      </c>
      <c r="H1108" s="291"/>
      <c r="I1108" s="291"/>
      <c r="J1108" s="291"/>
      <c r="K1108" s="291">
        <v>0</v>
      </c>
      <c r="L1108" s="292">
        <v>6</v>
      </c>
      <c r="M1108" s="292">
        <v>0</v>
      </c>
      <c r="N1108" s="292">
        <v>6</v>
      </c>
      <c r="O1108" s="292">
        <v>6</v>
      </c>
      <c r="P1108" s="294">
        <v>6</v>
      </c>
      <c r="Q1108" s="294">
        <v>6</v>
      </c>
      <c r="R1108" s="294"/>
      <c r="S1108" s="294"/>
      <c r="T1108" s="294"/>
      <c r="U1108" s="294"/>
      <c r="V1108" s="431"/>
      <c r="W1108" s="331"/>
      <c r="X1108" s="331"/>
      <c r="Y1108" s="294">
        <f>IF(NFI_Expiration=1,IF($A1108&lt;VLOOKUP(H$5,NFI,5,0),1,0)*Table_NFI[[#This Row],[Hygiene Kit]],Table_NFI[Hygiene Kit])</f>
        <v>0</v>
      </c>
      <c r="Z1108" s="294">
        <f>IF(NFI_Expiration=1,IF($A1108&lt;VLOOKUP(I$5,NFI,5,0),1,0)*Table_NFI[[#This Row],[NFI Core Kit]],Table_NFI[NFI Core Kit])</f>
        <v>0</v>
      </c>
      <c r="AA1108" s="294">
        <f>IF(NFI_Expiration=1,IF($A1108&lt;VLOOKUP(J$5,NFI,5,0),1,0)*Table_NFI[[#This Row],[Sanitary Kit]],Table_NFI[Sanitary Kit])</f>
        <v>0</v>
      </c>
      <c r="AB1108" s="294">
        <f>IF(NFI_Expiration=1,IF($A1108&lt;VLOOKUP(K$5,NFI,5,0),1,0)*Table_NFI[[#This Row],[Mosquito net]],Table_NFI[Mosquito net])</f>
        <v>0</v>
      </c>
      <c r="AC1108" s="294">
        <f>IF(NFI_Expiration=1,IF($A1108&lt;VLOOKUP(L$5,NFI,5,0),1,0)*Table_NFI[[#This Row],[Tarpaulin]],Table_NFI[[#This Row],[Tarpaulin]])</f>
        <v>0</v>
      </c>
      <c r="AD1108" s="294">
        <f>IF(NFI_Expiration=1,IF($A1108&lt;VLOOKUP(M$5,NFI,5,0),1,0)*Table_NFI[[#This Row],[Blanket]],Table_NFI[[#This Row],[Blanket]])</f>
        <v>0</v>
      </c>
      <c r="AE1108" s="294">
        <f>IF(NFI_Expiration=1,IF($A1108&lt;VLOOKUP(N$5,NFI,5,0),1,0)*Table_NFI[[#This Row],[Kitchen Set]],Table_NFI[Kitchen Set])</f>
        <v>0</v>
      </c>
      <c r="AF1108" s="294">
        <f>IF(NFI_Expiration=1,IF($A1108&lt;VLOOKUP(O$5,NFI,5,0),1,0)*Table_NFI[[#This Row],[Clothes Kit]],Table_NFI[Clothes Kit])</f>
        <v>0</v>
      </c>
      <c r="AG1108" s="294">
        <f>IF(NFI_Expiration=1,IF($A1108&lt;VLOOKUP(P$5,NFI,5,0),1,0)*Table_NFI[[#This Row],[Plastic Bucket]],Table_NFI[Plastic Bucket])</f>
        <v>0</v>
      </c>
      <c r="AH1108" s="294">
        <f>IF(NFI_Expiration=1,IF($A1108&lt;VLOOKUP(Q$5,NFI,5,0),1,0)*Table_NFI[[#This Row],[Plastic Mat]],Table_NFI[Plastic Mat])*IF(Table_NFI[[#This Row],[Distribution Date]]&gt;"2014-04-01",1,2.5)</f>
        <v>0</v>
      </c>
      <c r="AI1108" s="294">
        <f>IF(NFI_Expiration=1,IF($A1108&lt;VLOOKUP(R$5,NFI,5,0),1,0)*Table_NFI[[#This Row],[Winter Clothes Adult]],Table_NFI[Winter Clothes Adult])</f>
        <v>0</v>
      </c>
      <c r="AJ1108" s="294">
        <f>IF(NFI_Expiration=1,IF($A1108&lt;VLOOKUP(S$5,NFI,5,0),1,0)*Table_NFI[[#This Row],[Winter Clothes Children]],Table_NFI[Winter Clothes Children])</f>
        <v>0</v>
      </c>
      <c r="AK1108" s="294">
        <f>IF(NFI_Expiration=1,IF($A1108&lt;VLOOKUP(T$5,NFI,5,0),1,0)*Table_NFI[[#This Row],[Winter Items Other]],Table_NFI[Winter Items Other])</f>
        <v>0</v>
      </c>
      <c r="AL1108" s="294">
        <f>IF(NFI_Expiration=1,IF($A1108&lt;VLOOKUP(M$5,NFI,5,0),1,0)*Table_NFI[[#This Row],[Winter Blanket]],Table_NFI[[#This Row],[Winter Blanket]])</f>
        <v>0</v>
      </c>
      <c r="AM1108" s="294">
        <f>IF(Table_NFI[[#This Row],[Winter Clothes Adult]]+Table_NFI[[#This Row],[Winter Clothes Children]]+Table_NFI[[#This Row],[Winter Items Other]]+Table_NFI[[#This Row],[Winter Blanket]]&gt;0,1,0)</f>
        <v>0</v>
      </c>
      <c r="AN1108" s="331">
        <f>IF(NFI_Expiration=1,IF($A1108&lt;VLOOKUP(V$5,NFI,5,0),1,0)*Table_NFI[[#This Row],[Jerry Can]],Table_NFI[Jerry Can])</f>
        <v>0</v>
      </c>
      <c r="AO1108" s="331">
        <f>IF(NFI_Expiration=1,IF($A1108&lt;VLOOKUP(V$5,NFI,5,0),1,0)*Table_NFI[[#This Row],[Shelter Tool kit]],Table_NFI[Shelter Tool kit])</f>
        <v>0</v>
      </c>
      <c r="AP1108" s="331">
        <f>IF(NFI_Expiration=1,IF($A1108&lt;VLOOKUP(V$5,NFI,5,0),1,0)*Table_NFI[[#This Row],[Tent]],Table_NFI[Tent])</f>
        <v>0</v>
      </c>
      <c r="AQ1108" s="467" t="str">
        <f>IFERROR(VLOOKUP(Table_NFI[[#This Row],[Camp Name]],CL,2,0),"")</f>
        <v>MMR001CMP010</v>
      </c>
      <c r="AR1108" s="835">
        <f ca="1">IF(Table_NFI[[#This Row],[Pcode]]="","",IF(OFFSET(CampList[Opening Date],MATCH(Table_NFI[[#This Row],[Pcode]],CampList[CP_Pcode],0)-1,0,1,1)&gt;=NFI_Monitor_Date,1,0))</f>
        <v>0</v>
      </c>
      <c r="AS1108" s="467" t="str">
        <f>IFERROR(VLOOKUP(Table_NFI[[#This Row],[Camp Name]],CL,3,0),"")</f>
        <v>Open</v>
      </c>
      <c r="AT1108" s="294" t="str">
        <f ca="1">IF(Table_NFI[[#This Row],[Pcode]]="","",OFFSET(CampList[Priority],MATCH(Table_NFI[[#This Row],[Pcode]],CampList[CP_Pcode],0)-1,0,1,1))</f>
        <v>P4</v>
      </c>
      <c r="AU1108" s="293">
        <f>IFERROR(Table_NFI[[#This Row],[Kitchen Set]]/VLOOKUP(Table_NFI[[#This Row],[Camp Name]],CL,4,0),"")</f>
        <v>1.474382602285293E-4</v>
      </c>
      <c r="AV1108" s="461" t="s">
        <v>1092</v>
      </c>
      <c r="AW1108" s="463"/>
    </row>
    <row r="1109" spans="1:49" s="472" customFormat="1" ht="14.45" customHeight="1" x14ac:dyDescent="0.25">
      <c r="A1109" s="297">
        <f t="shared" si="17"/>
        <v>62.9</v>
      </c>
      <c r="B1109" s="460">
        <v>40849</v>
      </c>
      <c r="C1109" s="461" t="s">
        <v>452</v>
      </c>
      <c r="D1109" s="462" t="s">
        <v>460</v>
      </c>
      <c r="E1109" s="461" t="s">
        <v>380</v>
      </c>
      <c r="F1109" s="290" t="s">
        <v>237</v>
      </c>
      <c r="G1109" s="290" t="s">
        <v>247</v>
      </c>
      <c r="H1109" s="291"/>
      <c r="I1109" s="291"/>
      <c r="J1109" s="291"/>
      <c r="K1109" s="291">
        <v>39</v>
      </c>
      <c r="L1109" s="292">
        <v>8</v>
      </c>
      <c r="M1109" s="292">
        <v>39</v>
      </c>
      <c r="N1109" s="292">
        <v>8</v>
      </c>
      <c r="O1109" s="292">
        <v>8</v>
      </c>
      <c r="P1109" s="294">
        <v>8</v>
      </c>
      <c r="Q1109" s="294">
        <v>8</v>
      </c>
      <c r="R1109" s="294"/>
      <c r="S1109" s="294"/>
      <c r="T1109" s="294"/>
      <c r="U1109" s="294"/>
      <c r="V1109" s="431"/>
      <c r="W1109" s="331"/>
      <c r="X1109" s="331"/>
      <c r="Y1109" s="294">
        <f>IF(NFI_Expiration=1,IF($A1109&lt;VLOOKUP(H$5,NFI,5,0),1,0)*Table_NFI[[#This Row],[Hygiene Kit]],Table_NFI[Hygiene Kit])</f>
        <v>0</v>
      </c>
      <c r="Z1109" s="294">
        <f>IF(NFI_Expiration=1,IF($A1109&lt;VLOOKUP(I$5,NFI,5,0),1,0)*Table_NFI[[#This Row],[NFI Core Kit]],Table_NFI[NFI Core Kit])</f>
        <v>0</v>
      </c>
      <c r="AA1109" s="294">
        <f>IF(NFI_Expiration=1,IF($A1109&lt;VLOOKUP(J$5,NFI,5,0),1,0)*Table_NFI[[#This Row],[Sanitary Kit]],Table_NFI[Sanitary Kit])</f>
        <v>0</v>
      </c>
      <c r="AB1109" s="294">
        <f>IF(NFI_Expiration=1,IF($A1109&lt;VLOOKUP(K$5,NFI,5,0),1,0)*Table_NFI[[#This Row],[Mosquito net]],Table_NFI[Mosquito net])</f>
        <v>0</v>
      </c>
      <c r="AC1109" s="294">
        <f>IF(NFI_Expiration=1,IF($A1109&lt;VLOOKUP(L$5,NFI,5,0),1,0)*Table_NFI[[#This Row],[Tarpaulin]],Table_NFI[[#This Row],[Tarpaulin]])</f>
        <v>0</v>
      </c>
      <c r="AD1109" s="294">
        <f>IF(NFI_Expiration=1,IF($A1109&lt;VLOOKUP(M$5,NFI,5,0),1,0)*Table_NFI[[#This Row],[Blanket]],Table_NFI[[#This Row],[Blanket]])</f>
        <v>0</v>
      </c>
      <c r="AE1109" s="294">
        <f>IF(NFI_Expiration=1,IF($A1109&lt;VLOOKUP(N$5,NFI,5,0),1,0)*Table_NFI[[#This Row],[Kitchen Set]],Table_NFI[Kitchen Set])</f>
        <v>0</v>
      </c>
      <c r="AF1109" s="294">
        <f>IF(NFI_Expiration=1,IF($A1109&lt;VLOOKUP(O$5,NFI,5,0),1,0)*Table_NFI[[#This Row],[Clothes Kit]],Table_NFI[Clothes Kit])</f>
        <v>0</v>
      </c>
      <c r="AG1109" s="294">
        <f>IF(NFI_Expiration=1,IF($A1109&lt;VLOOKUP(P$5,NFI,5,0),1,0)*Table_NFI[[#This Row],[Plastic Bucket]],Table_NFI[Plastic Bucket])</f>
        <v>0</v>
      </c>
      <c r="AH1109" s="294">
        <f>IF(NFI_Expiration=1,IF($A1109&lt;VLOOKUP(Q$5,NFI,5,0),1,0)*Table_NFI[[#This Row],[Plastic Mat]],Table_NFI[Plastic Mat])*IF(Table_NFI[[#This Row],[Distribution Date]]&gt;"2014-04-01",1,2.5)</f>
        <v>0</v>
      </c>
      <c r="AI1109" s="294">
        <f>IF(NFI_Expiration=1,IF($A1109&lt;VLOOKUP(R$5,NFI,5,0),1,0)*Table_NFI[[#This Row],[Winter Clothes Adult]],Table_NFI[Winter Clothes Adult])</f>
        <v>0</v>
      </c>
      <c r="AJ1109" s="294">
        <f>IF(NFI_Expiration=1,IF($A1109&lt;VLOOKUP(S$5,NFI,5,0),1,0)*Table_NFI[[#This Row],[Winter Clothes Children]],Table_NFI[Winter Clothes Children])</f>
        <v>0</v>
      </c>
      <c r="AK1109" s="294">
        <f>IF(NFI_Expiration=1,IF($A1109&lt;VLOOKUP(T$5,NFI,5,0),1,0)*Table_NFI[[#This Row],[Winter Items Other]],Table_NFI[Winter Items Other])</f>
        <v>0</v>
      </c>
      <c r="AL1109" s="294">
        <f>IF(NFI_Expiration=1,IF($A1109&lt;VLOOKUP(M$5,NFI,5,0),1,0)*Table_NFI[[#This Row],[Winter Blanket]],Table_NFI[[#This Row],[Winter Blanket]])</f>
        <v>0</v>
      </c>
      <c r="AM1109" s="294">
        <f>IF(Table_NFI[[#This Row],[Winter Clothes Adult]]+Table_NFI[[#This Row],[Winter Clothes Children]]+Table_NFI[[#This Row],[Winter Items Other]]+Table_NFI[[#This Row],[Winter Blanket]]&gt;0,1,0)</f>
        <v>0</v>
      </c>
      <c r="AN1109" s="331">
        <f>IF(NFI_Expiration=1,IF($A1109&lt;VLOOKUP(V$5,NFI,5,0),1,0)*Table_NFI[[#This Row],[Jerry Can]],Table_NFI[Jerry Can])</f>
        <v>0</v>
      </c>
      <c r="AO1109" s="331">
        <f>IF(NFI_Expiration=1,IF($A1109&lt;VLOOKUP(V$5,NFI,5,0),1,0)*Table_NFI[[#This Row],[Shelter Tool kit]],Table_NFI[Shelter Tool kit])</f>
        <v>0</v>
      </c>
      <c r="AP1109" s="331">
        <f>IF(NFI_Expiration=1,IF($A1109&lt;VLOOKUP(V$5,NFI,5,0),1,0)*Table_NFI[[#This Row],[Tent]],Table_NFI[Tent])</f>
        <v>0</v>
      </c>
      <c r="AQ1109" s="467" t="str">
        <f>IFERROR(VLOOKUP(Table_NFI[[#This Row],[Camp Name]],CL,2,0),"")</f>
        <v>MMR001CMP011</v>
      </c>
      <c r="AR1109" s="835">
        <f ca="1">IF(Table_NFI[[#This Row],[Pcode]]="","",IF(OFFSET(CampList[Opening Date],MATCH(Table_NFI[[#This Row],[Pcode]],CampList[CP_Pcode],0)-1,0,1,1)&gt;=NFI_Monitor_Date,1,0))</f>
        <v>0</v>
      </c>
      <c r="AS1109" s="467" t="str">
        <f>IFERROR(VLOOKUP(Table_NFI[[#This Row],[Camp Name]],CL,3,0),"")</f>
        <v>Open</v>
      </c>
      <c r="AT1109" s="294" t="str">
        <f ca="1">IF(Table_NFI[[#This Row],[Pcode]]="","",OFFSET(CampList[Priority],MATCH(Table_NFI[[#This Row],[Pcode]],CampList[CP_Pcode],0)-1,0,1,1))</f>
        <v>P4</v>
      </c>
      <c r="AU1109" s="293">
        <f>IFERROR(Table_NFI[[#This Row],[Kitchen Set]]/VLOOKUP(Table_NFI[[#This Row],[Camp Name]],CL,4,0),"")</f>
        <v>1.965843469713724E-4</v>
      </c>
      <c r="AV1109" s="461" t="s">
        <v>1092</v>
      </c>
      <c r="AW1109" s="463"/>
    </row>
    <row r="1110" spans="1:49" s="464" customFormat="1" ht="14.45" customHeight="1" x14ac:dyDescent="0.25">
      <c r="A1110" s="297">
        <f t="shared" si="17"/>
        <v>62.9</v>
      </c>
      <c r="B1110" s="460">
        <v>40849</v>
      </c>
      <c r="C1110" s="461" t="s">
        <v>452</v>
      </c>
      <c r="D1110" s="462" t="s">
        <v>460</v>
      </c>
      <c r="E1110" s="461" t="s">
        <v>380</v>
      </c>
      <c r="F1110" s="290" t="s">
        <v>237</v>
      </c>
      <c r="G1110" s="290" t="s">
        <v>261</v>
      </c>
      <c r="H1110" s="291"/>
      <c r="I1110" s="291"/>
      <c r="J1110" s="291"/>
      <c r="K1110" s="291">
        <v>112</v>
      </c>
      <c r="L1110" s="292">
        <v>68</v>
      </c>
      <c r="M1110" s="292">
        <v>112</v>
      </c>
      <c r="N1110" s="292">
        <v>68</v>
      </c>
      <c r="O1110" s="292">
        <v>68</v>
      </c>
      <c r="P1110" s="294">
        <v>68</v>
      </c>
      <c r="Q1110" s="294">
        <v>68</v>
      </c>
      <c r="R1110" s="294"/>
      <c r="S1110" s="294"/>
      <c r="T1110" s="294"/>
      <c r="U1110" s="294"/>
      <c r="V1110" s="431"/>
      <c r="W1110" s="331"/>
      <c r="X1110" s="331"/>
      <c r="Y1110" s="294">
        <f>IF(NFI_Expiration=1,IF($A1110&lt;VLOOKUP(H$5,NFI,5,0),1,0)*Table_NFI[[#This Row],[Hygiene Kit]],Table_NFI[Hygiene Kit])</f>
        <v>0</v>
      </c>
      <c r="Z1110" s="294">
        <f>IF(NFI_Expiration=1,IF($A1110&lt;VLOOKUP(I$5,NFI,5,0),1,0)*Table_NFI[[#This Row],[NFI Core Kit]],Table_NFI[NFI Core Kit])</f>
        <v>0</v>
      </c>
      <c r="AA1110" s="294">
        <f>IF(NFI_Expiration=1,IF($A1110&lt;VLOOKUP(J$5,NFI,5,0),1,0)*Table_NFI[[#This Row],[Sanitary Kit]],Table_NFI[Sanitary Kit])</f>
        <v>0</v>
      </c>
      <c r="AB1110" s="294">
        <f>IF(NFI_Expiration=1,IF($A1110&lt;VLOOKUP(K$5,NFI,5,0),1,0)*Table_NFI[[#This Row],[Mosquito net]],Table_NFI[Mosquito net])</f>
        <v>0</v>
      </c>
      <c r="AC1110" s="294">
        <f>IF(NFI_Expiration=1,IF($A1110&lt;VLOOKUP(L$5,NFI,5,0),1,0)*Table_NFI[[#This Row],[Tarpaulin]],Table_NFI[[#This Row],[Tarpaulin]])</f>
        <v>0</v>
      </c>
      <c r="AD1110" s="294">
        <f>IF(NFI_Expiration=1,IF($A1110&lt;VLOOKUP(M$5,NFI,5,0),1,0)*Table_NFI[[#This Row],[Blanket]],Table_NFI[[#This Row],[Blanket]])</f>
        <v>0</v>
      </c>
      <c r="AE1110" s="294">
        <f>IF(NFI_Expiration=1,IF($A1110&lt;VLOOKUP(N$5,NFI,5,0),1,0)*Table_NFI[[#This Row],[Kitchen Set]],Table_NFI[Kitchen Set])</f>
        <v>0</v>
      </c>
      <c r="AF1110" s="294">
        <f>IF(NFI_Expiration=1,IF($A1110&lt;VLOOKUP(O$5,NFI,5,0),1,0)*Table_NFI[[#This Row],[Clothes Kit]],Table_NFI[Clothes Kit])</f>
        <v>0</v>
      </c>
      <c r="AG1110" s="294">
        <f>IF(NFI_Expiration=1,IF($A1110&lt;VLOOKUP(P$5,NFI,5,0),1,0)*Table_NFI[[#This Row],[Plastic Bucket]],Table_NFI[Plastic Bucket])</f>
        <v>0</v>
      </c>
      <c r="AH1110" s="294">
        <f>IF(NFI_Expiration=1,IF($A1110&lt;VLOOKUP(Q$5,NFI,5,0),1,0)*Table_NFI[[#This Row],[Plastic Mat]],Table_NFI[Plastic Mat])*IF(Table_NFI[[#This Row],[Distribution Date]]&gt;"2014-04-01",1,2.5)</f>
        <v>0</v>
      </c>
      <c r="AI1110" s="294">
        <f>IF(NFI_Expiration=1,IF($A1110&lt;VLOOKUP(R$5,NFI,5,0),1,0)*Table_NFI[[#This Row],[Winter Clothes Adult]],Table_NFI[Winter Clothes Adult])</f>
        <v>0</v>
      </c>
      <c r="AJ1110" s="294">
        <f>IF(NFI_Expiration=1,IF($A1110&lt;VLOOKUP(S$5,NFI,5,0),1,0)*Table_NFI[[#This Row],[Winter Clothes Children]],Table_NFI[Winter Clothes Children])</f>
        <v>0</v>
      </c>
      <c r="AK1110" s="294">
        <f>IF(NFI_Expiration=1,IF($A1110&lt;VLOOKUP(T$5,NFI,5,0),1,0)*Table_NFI[[#This Row],[Winter Items Other]],Table_NFI[Winter Items Other])</f>
        <v>0</v>
      </c>
      <c r="AL1110" s="294">
        <f>IF(NFI_Expiration=1,IF($A1110&lt;VLOOKUP(M$5,NFI,5,0),1,0)*Table_NFI[[#This Row],[Winter Blanket]],Table_NFI[[#This Row],[Winter Blanket]])</f>
        <v>0</v>
      </c>
      <c r="AM1110" s="294">
        <f>IF(Table_NFI[[#This Row],[Winter Clothes Adult]]+Table_NFI[[#This Row],[Winter Clothes Children]]+Table_NFI[[#This Row],[Winter Items Other]]+Table_NFI[[#This Row],[Winter Blanket]]&gt;0,1,0)</f>
        <v>0</v>
      </c>
      <c r="AN1110" s="331">
        <f>IF(NFI_Expiration=1,IF($A1110&lt;VLOOKUP(V$5,NFI,5,0),1,0)*Table_NFI[[#This Row],[Jerry Can]],Table_NFI[Jerry Can])</f>
        <v>0</v>
      </c>
      <c r="AO1110" s="331">
        <f>IF(NFI_Expiration=1,IF($A1110&lt;VLOOKUP(V$5,NFI,5,0),1,0)*Table_NFI[[#This Row],[Shelter Tool kit]],Table_NFI[Shelter Tool kit])</f>
        <v>0</v>
      </c>
      <c r="AP1110" s="331">
        <f>IF(NFI_Expiration=1,IF($A1110&lt;VLOOKUP(V$5,NFI,5,0),1,0)*Table_NFI[[#This Row],[Tent]],Table_NFI[Tent])</f>
        <v>0</v>
      </c>
      <c r="AQ1110" s="467" t="str">
        <f>IFERROR(VLOOKUP(Table_NFI[[#This Row],[Camp Name]],CL,2,0),"")</f>
        <v>MMR001CMP008</v>
      </c>
      <c r="AR1110" s="835">
        <f ca="1">IF(Table_NFI[[#This Row],[Pcode]]="","",IF(OFFSET(CampList[Opening Date],MATCH(Table_NFI[[#This Row],[Pcode]],CampList[CP_Pcode],0)-1,0,1,1)&gt;=NFI_Monitor_Date,1,0))</f>
        <v>0</v>
      </c>
      <c r="AS1110" s="467" t="str">
        <f>IFERROR(VLOOKUP(Table_NFI[[#This Row],[Camp Name]],CL,3,0),"")</f>
        <v>Open</v>
      </c>
      <c r="AT1110" s="294" t="str">
        <f ca="1">IF(Table_NFI[[#This Row],[Pcode]]="","",OFFSET(CampList[Priority],MATCH(Table_NFI[[#This Row],[Pcode]],CampList[CP_Pcode],0)-1,0,1,1))</f>
        <v>P4</v>
      </c>
      <c r="AU1110" s="293">
        <f>IFERROR(Table_NFI[[#This Row],[Kitchen Set]]/VLOOKUP(Table_NFI[[#This Row],[Camp Name]],CL,4,0),"")</f>
        <v>1.6697360343769184E-3</v>
      </c>
      <c r="AV1110" s="461" t="s">
        <v>1092</v>
      </c>
      <c r="AW1110" s="463"/>
    </row>
    <row r="1111" spans="1:49" s="464" customFormat="1" ht="14.45" customHeight="1" x14ac:dyDescent="0.25">
      <c r="A1111" s="297">
        <f t="shared" si="17"/>
        <v>62.9</v>
      </c>
      <c r="B1111" s="460">
        <v>40849</v>
      </c>
      <c r="C1111" s="461" t="s">
        <v>452</v>
      </c>
      <c r="D1111" s="461" t="s">
        <v>460</v>
      </c>
      <c r="E1111" s="461" t="s">
        <v>380</v>
      </c>
      <c r="F1111" s="290" t="s">
        <v>237</v>
      </c>
      <c r="G1111" s="290" t="s">
        <v>277</v>
      </c>
      <c r="H1111" s="291"/>
      <c r="I1111" s="291"/>
      <c r="J1111" s="291"/>
      <c r="K1111" s="291">
        <v>219</v>
      </c>
      <c r="L1111" s="292">
        <v>117</v>
      </c>
      <c r="M1111" s="292">
        <v>219</v>
      </c>
      <c r="N1111" s="292">
        <v>117</v>
      </c>
      <c r="O1111" s="292">
        <v>117</v>
      </c>
      <c r="P1111" s="294">
        <v>117</v>
      </c>
      <c r="Q1111" s="294">
        <v>117</v>
      </c>
      <c r="R1111" s="294"/>
      <c r="S1111" s="294"/>
      <c r="T1111" s="294"/>
      <c r="U1111" s="294"/>
      <c r="V1111" s="431"/>
      <c r="W1111" s="331"/>
      <c r="X1111" s="331"/>
      <c r="Y1111" s="294">
        <f>IF(NFI_Expiration=1,IF($A1111&lt;VLOOKUP(H$5,NFI,5,0),1,0)*Table_NFI[[#This Row],[Hygiene Kit]],Table_NFI[Hygiene Kit])</f>
        <v>0</v>
      </c>
      <c r="Z1111" s="294">
        <f>IF(NFI_Expiration=1,IF($A1111&lt;VLOOKUP(I$5,NFI,5,0),1,0)*Table_NFI[[#This Row],[NFI Core Kit]],Table_NFI[NFI Core Kit])</f>
        <v>0</v>
      </c>
      <c r="AA1111" s="294">
        <f>IF(NFI_Expiration=1,IF($A1111&lt;VLOOKUP(J$5,NFI,5,0),1,0)*Table_NFI[[#This Row],[Sanitary Kit]],Table_NFI[Sanitary Kit])</f>
        <v>0</v>
      </c>
      <c r="AB1111" s="294">
        <f>IF(NFI_Expiration=1,IF($A1111&lt;VLOOKUP(K$5,NFI,5,0),1,0)*Table_NFI[[#This Row],[Mosquito net]],Table_NFI[Mosquito net])</f>
        <v>0</v>
      </c>
      <c r="AC1111" s="294">
        <f>IF(NFI_Expiration=1,IF($A1111&lt;VLOOKUP(L$5,NFI,5,0),1,0)*Table_NFI[[#This Row],[Tarpaulin]],Table_NFI[[#This Row],[Tarpaulin]])</f>
        <v>0</v>
      </c>
      <c r="AD1111" s="294">
        <f>IF(NFI_Expiration=1,IF($A1111&lt;VLOOKUP(M$5,NFI,5,0),1,0)*Table_NFI[[#This Row],[Blanket]],Table_NFI[[#This Row],[Blanket]])</f>
        <v>0</v>
      </c>
      <c r="AE1111" s="294">
        <f>IF(NFI_Expiration=1,IF($A1111&lt;VLOOKUP(N$5,NFI,5,0),1,0)*Table_NFI[[#This Row],[Kitchen Set]],Table_NFI[Kitchen Set])</f>
        <v>0</v>
      </c>
      <c r="AF1111" s="294">
        <f>IF(NFI_Expiration=1,IF($A1111&lt;VLOOKUP(O$5,NFI,5,0),1,0)*Table_NFI[[#This Row],[Clothes Kit]],Table_NFI[Clothes Kit])</f>
        <v>0</v>
      </c>
      <c r="AG1111" s="294">
        <f>IF(NFI_Expiration=1,IF($A1111&lt;VLOOKUP(P$5,NFI,5,0),1,0)*Table_NFI[[#This Row],[Plastic Bucket]],Table_NFI[Plastic Bucket])</f>
        <v>0</v>
      </c>
      <c r="AH1111" s="294">
        <f>IF(NFI_Expiration=1,IF($A1111&lt;VLOOKUP(Q$5,NFI,5,0),1,0)*Table_NFI[[#This Row],[Plastic Mat]],Table_NFI[Plastic Mat])*IF(Table_NFI[[#This Row],[Distribution Date]]&gt;"2014-04-01",1,2.5)</f>
        <v>0</v>
      </c>
      <c r="AI1111" s="294">
        <f>IF(NFI_Expiration=1,IF($A1111&lt;VLOOKUP(R$5,NFI,5,0),1,0)*Table_NFI[[#This Row],[Winter Clothes Adult]],Table_NFI[Winter Clothes Adult])</f>
        <v>0</v>
      </c>
      <c r="AJ1111" s="294">
        <f>IF(NFI_Expiration=1,IF($A1111&lt;VLOOKUP(S$5,NFI,5,0),1,0)*Table_NFI[[#This Row],[Winter Clothes Children]],Table_NFI[Winter Clothes Children])</f>
        <v>0</v>
      </c>
      <c r="AK1111" s="294">
        <f>IF(NFI_Expiration=1,IF($A1111&lt;VLOOKUP(T$5,NFI,5,0),1,0)*Table_NFI[[#This Row],[Winter Items Other]],Table_NFI[Winter Items Other])</f>
        <v>0</v>
      </c>
      <c r="AL1111" s="294">
        <f>IF(NFI_Expiration=1,IF($A1111&lt;VLOOKUP(M$5,NFI,5,0),1,0)*Table_NFI[[#This Row],[Winter Blanket]],Table_NFI[[#This Row],[Winter Blanket]])</f>
        <v>0</v>
      </c>
      <c r="AM1111" s="294">
        <f>IF(Table_NFI[[#This Row],[Winter Clothes Adult]]+Table_NFI[[#This Row],[Winter Clothes Children]]+Table_NFI[[#This Row],[Winter Items Other]]+Table_NFI[[#This Row],[Winter Blanket]]&gt;0,1,0)</f>
        <v>0</v>
      </c>
      <c r="AN1111" s="331">
        <f>IF(NFI_Expiration=1,IF($A1111&lt;VLOOKUP(V$5,NFI,5,0),1,0)*Table_NFI[[#This Row],[Jerry Can]],Table_NFI[Jerry Can])</f>
        <v>0</v>
      </c>
      <c r="AO1111" s="331">
        <f>IF(NFI_Expiration=1,IF($A1111&lt;VLOOKUP(V$5,NFI,5,0),1,0)*Table_NFI[[#This Row],[Shelter Tool kit]],Table_NFI[Shelter Tool kit])</f>
        <v>0</v>
      </c>
      <c r="AP1111" s="331">
        <f>IF(NFI_Expiration=1,IF($A1111&lt;VLOOKUP(V$5,NFI,5,0),1,0)*Table_NFI[[#This Row],[Tent]],Table_NFI[Tent])</f>
        <v>0</v>
      </c>
      <c r="AQ1111" s="467" t="str">
        <f>IFERROR(VLOOKUP(Table_NFI[[#This Row],[Camp Name]],CL,2,0),"")</f>
        <v>MMR001CMP006</v>
      </c>
      <c r="AR1111" s="835">
        <f ca="1">IF(Table_NFI[[#This Row],[Pcode]]="","",IF(OFFSET(CampList[Opening Date],MATCH(Table_NFI[[#This Row],[Pcode]],CampList[CP_Pcode],0)-1,0,1,1)&gt;=NFI_Monitor_Date,1,0))</f>
        <v>0</v>
      </c>
      <c r="AS1111" s="467" t="str">
        <f>IFERROR(VLOOKUP(Table_NFI[[#This Row],[Camp Name]],CL,3,0),"")</f>
        <v>Open</v>
      </c>
      <c r="AT1111" s="294" t="str">
        <f ca="1">IF(Table_NFI[[#This Row],[Pcode]]="","",OFFSET(CampList[Priority],MATCH(Table_NFI[[#This Row],[Pcode]],CampList[CP_Pcode],0)-1,0,1,1))</f>
        <v>P4</v>
      </c>
      <c r="AU1111" s="293">
        <f>IFERROR(Table_NFI[[#This Row],[Kitchen Set]]/VLOOKUP(Table_NFI[[#This Row],[Camp Name]],CL,4,0),"")</f>
        <v>2.87074295809206E-3</v>
      </c>
      <c r="AV1111" s="461" t="s">
        <v>1092</v>
      </c>
      <c r="AW1111" s="463"/>
    </row>
    <row r="1112" spans="1:49" ht="14.45" customHeight="1" x14ac:dyDescent="0.25">
      <c r="A1112" s="297">
        <f t="shared" si="17"/>
        <v>62.9</v>
      </c>
      <c r="B1112" s="460">
        <v>40849</v>
      </c>
      <c r="C1112" s="461" t="s">
        <v>452</v>
      </c>
      <c r="D1112" s="462" t="s">
        <v>460</v>
      </c>
      <c r="E1112" s="461" t="s">
        <v>380</v>
      </c>
      <c r="F1112" s="290" t="s">
        <v>237</v>
      </c>
      <c r="G1112" s="290" t="s">
        <v>279</v>
      </c>
      <c r="H1112" s="291"/>
      <c r="I1112" s="291"/>
      <c r="J1112" s="291"/>
      <c r="K1112" s="291">
        <v>2</v>
      </c>
      <c r="L1112" s="292">
        <v>1</v>
      </c>
      <c r="M1112" s="292">
        <v>2</v>
      </c>
      <c r="N1112" s="292">
        <v>1</v>
      </c>
      <c r="O1112" s="292">
        <v>1</v>
      </c>
      <c r="P1112" s="294">
        <v>1</v>
      </c>
      <c r="Q1112" s="294">
        <v>1</v>
      </c>
      <c r="R1112" s="294"/>
      <c r="S1112" s="294"/>
      <c r="T1112" s="294"/>
      <c r="U1112" s="294"/>
      <c r="V1112" s="431"/>
      <c r="W1112" s="331"/>
      <c r="X1112" s="331"/>
      <c r="Y1112" s="294">
        <f>IF(NFI_Expiration=1,IF($A1112&lt;VLOOKUP(H$5,NFI,5,0),1,0)*Table_NFI[[#This Row],[Hygiene Kit]],Table_NFI[Hygiene Kit])</f>
        <v>0</v>
      </c>
      <c r="Z1112" s="294">
        <f>IF(NFI_Expiration=1,IF($A1112&lt;VLOOKUP(I$5,NFI,5,0),1,0)*Table_NFI[[#This Row],[NFI Core Kit]],Table_NFI[NFI Core Kit])</f>
        <v>0</v>
      </c>
      <c r="AA1112" s="294">
        <f>IF(NFI_Expiration=1,IF($A1112&lt;VLOOKUP(J$5,NFI,5,0),1,0)*Table_NFI[[#This Row],[Sanitary Kit]],Table_NFI[Sanitary Kit])</f>
        <v>0</v>
      </c>
      <c r="AB1112" s="294">
        <f>IF(NFI_Expiration=1,IF($A1112&lt;VLOOKUP(K$5,NFI,5,0),1,0)*Table_NFI[[#This Row],[Mosquito net]],Table_NFI[Mosquito net])</f>
        <v>0</v>
      </c>
      <c r="AC1112" s="294">
        <f>IF(NFI_Expiration=1,IF($A1112&lt;VLOOKUP(L$5,NFI,5,0),1,0)*Table_NFI[[#This Row],[Tarpaulin]],Table_NFI[[#This Row],[Tarpaulin]])</f>
        <v>0</v>
      </c>
      <c r="AD1112" s="294">
        <f>IF(NFI_Expiration=1,IF($A1112&lt;VLOOKUP(M$5,NFI,5,0),1,0)*Table_NFI[[#This Row],[Blanket]],Table_NFI[[#This Row],[Blanket]])</f>
        <v>0</v>
      </c>
      <c r="AE1112" s="294">
        <f>IF(NFI_Expiration=1,IF($A1112&lt;VLOOKUP(N$5,NFI,5,0),1,0)*Table_NFI[[#This Row],[Kitchen Set]],Table_NFI[Kitchen Set])</f>
        <v>0</v>
      </c>
      <c r="AF1112" s="294">
        <f>IF(NFI_Expiration=1,IF($A1112&lt;VLOOKUP(O$5,NFI,5,0),1,0)*Table_NFI[[#This Row],[Clothes Kit]],Table_NFI[Clothes Kit])</f>
        <v>0</v>
      </c>
      <c r="AG1112" s="294">
        <f>IF(NFI_Expiration=1,IF($A1112&lt;VLOOKUP(P$5,NFI,5,0),1,0)*Table_NFI[[#This Row],[Plastic Bucket]],Table_NFI[Plastic Bucket])</f>
        <v>0</v>
      </c>
      <c r="AH1112" s="294">
        <f>IF(NFI_Expiration=1,IF($A1112&lt;VLOOKUP(Q$5,NFI,5,0),1,0)*Table_NFI[[#This Row],[Plastic Mat]],Table_NFI[Plastic Mat])*IF(Table_NFI[[#This Row],[Distribution Date]]&gt;"2014-04-01",1,2.5)</f>
        <v>0</v>
      </c>
      <c r="AI1112" s="294">
        <f>IF(NFI_Expiration=1,IF($A1112&lt;VLOOKUP(R$5,NFI,5,0),1,0)*Table_NFI[[#This Row],[Winter Clothes Adult]],Table_NFI[Winter Clothes Adult])</f>
        <v>0</v>
      </c>
      <c r="AJ1112" s="294">
        <f>IF(NFI_Expiration=1,IF($A1112&lt;VLOOKUP(S$5,NFI,5,0),1,0)*Table_NFI[[#This Row],[Winter Clothes Children]],Table_NFI[Winter Clothes Children])</f>
        <v>0</v>
      </c>
      <c r="AK1112" s="294">
        <f>IF(NFI_Expiration=1,IF($A1112&lt;VLOOKUP(T$5,NFI,5,0),1,0)*Table_NFI[[#This Row],[Winter Items Other]],Table_NFI[Winter Items Other])</f>
        <v>0</v>
      </c>
      <c r="AL1112" s="294">
        <f>IF(NFI_Expiration=1,IF($A1112&lt;VLOOKUP(M$5,NFI,5,0),1,0)*Table_NFI[[#This Row],[Winter Blanket]],Table_NFI[[#This Row],[Winter Blanket]])</f>
        <v>0</v>
      </c>
      <c r="AM1112" s="294">
        <f>IF(Table_NFI[[#This Row],[Winter Clothes Adult]]+Table_NFI[[#This Row],[Winter Clothes Children]]+Table_NFI[[#This Row],[Winter Items Other]]+Table_NFI[[#This Row],[Winter Blanket]]&gt;0,1,0)</f>
        <v>0</v>
      </c>
      <c r="AN1112" s="331">
        <f>IF(NFI_Expiration=1,IF($A1112&lt;VLOOKUP(V$5,NFI,5,0),1,0)*Table_NFI[[#This Row],[Jerry Can]],Table_NFI[Jerry Can])</f>
        <v>0</v>
      </c>
      <c r="AO1112" s="331">
        <f>IF(NFI_Expiration=1,IF($A1112&lt;VLOOKUP(V$5,NFI,5,0),1,0)*Table_NFI[[#This Row],[Shelter Tool kit]],Table_NFI[Shelter Tool kit])</f>
        <v>0</v>
      </c>
      <c r="AP1112" s="331">
        <f>IF(NFI_Expiration=1,IF($A1112&lt;VLOOKUP(V$5,NFI,5,0),1,0)*Table_NFI[[#This Row],[Tent]],Table_NFI[Tent])</f>
        <v>0</v>
      </c>
      <c r="AQ1112" s="467" t="str">
        <f>IFERROR(VLOOKUP(Table_NFI[[#This Row],[Camp Name]],CL,2,0),"")</f>
        <v>MMR001CMP007</v>
      </c>
      <c r="AR1112" s="835">
        <f ca="1">IF(Table_NFI[[#This Row],[Pcode]]="","",IF(OFFSET(CampList[Opening Date],MATCH(Table_NFI[[#This Row],[Pcode]],CampList[CP_Pcode],0)-1,0,1,1)&gt;=NFI_Monitor_Date,1,0))</f>
        <v>0</v>
      </c>
      <c r="AS1112" s="467" t="str">
        <f>IFERROR(VLOOKUP(Table_NFI[[#This Row],[Camp Name]],CL,3,0),"")</f>
        <v>Open</v>
      </c>
      <c r="AT1112" s="294" t="str">
        <f ca="1">IF(Table_NFI[[#This Row],[Pcode]]="","",OFFSET(CampList[Priority],MATCH(Table_NFI[[#This Row],[Pcode]],CampList[CP_Pcode],0)-1,0,1,1))</f>
        <v>P4</v>
      </c>
      <c r="AU1112" s="293">
        <f>IFERROR(Table_NFI[[#This Row],[Kitchen Set]]/VLOOKUP(Table_NFI[[#This Row],[Camp Name]],CL,4,0),"")</f>
        <v>2.4444498765552813E-5</v>
      </c>
      <c r="AV1112" s="461" t="s">
        <v>1092</v>
      </c>
      <c r="AW1112" s="463"/>
    </row>
    <row r="1113" spans="1:49" ht="14.45" customHeight="1" x14ac:dyDescent="0.25">
      <c r="A1113" s="297" t="str">
        <f t="shared" si="17"/>
        <v/>
      </c>
      <c r="B1113" s="460"/>
      <c r="C1113" s="465"/>
      <c r="D1113" s="465"/>
      <c r="E1113" s="465"/>
      <c r="F1113" s="465"/>
      <c r="G1113" s="465"/>
      <c r="H1113" s="292"/>
      <c r="I1113" s="292"/>
      <c r="J1113" s="292"/>
      <c r="K1113" s="292"/>
      <c r="L1113" s="292"/>
      <c r="M1113" s="292"/>
      <c r="N1113" s="292"/>
      <c r="O1113" s="292"/>
      <c r="P1113" s="294"/>
      <c r="Q1113" s="294"/>
      <c r="R1113" s="294"/>
      <c r="S1113" s="294"/>
      <c r="T1113" s="294"/>
      <c r="U1113" s="294"/>
      <c r="V1113" s="431"/>
      <c r="W1113" s="331"/>
      <c r="X1113" s="331"/>
      <c r="Y1113" s="294">
        <f>IF(NFI_Expiration=1,IF($A1113&lt;VLOOKUP(H$5,NFI,5,0),1,0)*Table_NFI[[#This Row],[Hygiene Kit]],Table_NFI[Hygiene Kit])</f>
        <v>0</v>
      </c>
      <c r="Z1113" s="294">
        <f>IF(NFI_Expiration=1,IF($A1113&lt;VLOOKUP(I$5,NFI,5,0),1,0)*Table_NFI[[#This Row],[NFI Core Kit]],Table_NFI[NFI Core Kit])</f>
        <v>0</v>
      </c>
      <c r="AA1113" s="294">
        <f>IF(NFI_Expiration=1,IF($A1113&lt;VLOOKUP(J$5,NFI,5,0),1,0)*Table_NFI[[#This Row],[Sanitary Kit]],Table_NFI[Sanitary Kit])</f>
        <v>0</v>
      </c>
      <c r="AB1113" s="294">
        <f>IF(NFI_Expiration=1,IF($A1113&lt;VLOOKUP(K$5,NFI,5,0),1,0)*Table_NFI[[#This Row],[Mosquito net]],Table_NFI[Mosquito net])</f>
        <v>0</v>
      </c>
      <c r="AC1113" s="294">
        <f>IF(NFI_Expiration=1,IF($A1113&lt;VLOOKUP(L$5,NFI,5,0),1,0)*Table_NFI[[#This Row],[Tarpaulin]],Table_NFI[[#This Row],[Tarpaulin]])</f>
        <v>0</v>
      </c>
      <c r="AD1113" s="294">
        <f>IF(NFI_Expiration=1,IF($A1113&lt;VLOOKUP(M$5,NFI,5,0),1,0)*Table_NFI[[#This Row],[Blanket]],Table_NFI[[#This Row],[Blanket]])</f>
        <v>0</v>
      </c>
      <c r="AE1113" s="294">
        <f>IF(NFI_Expiration=1,IF($A1113&lt;VLOOKUP(N$5,NFI,5,0),1,0)*Table_NFI[[#This Row],[Kitchen Set]],Table_NFI[Kitchen Set])</f>
        <v>0</v>
      </c>
      <c r="AF1113" s="294">
        <f>IF(NFI_Expiration=1,IF($A1113&lt;VLOOKUP(O$5,NFI,5,0),1,0)*Table_NFI[[#This Row],[Clothes Kit]],Table_NFI[Clothes Kit])</f>
        <v>0</v>
      </c>
      <c r="AG1113" s="294">
        <f>IF(NFI_Expiration=1,IF($A1113&lt;VLOOKUP(P$5,NFI,5,0),1,0)*Table_NFI[[#This Row],[Plastic Bucket]],Table_NFI[Plastic Bucket])</f>
        <v>0</v>
      </c>
      <c r="AH1113" s="294">
        <f>IF(NFI_Expiration=1,IF($A1113&lt;VLOOKUP(Q$5,NFI,5,0),1,0)*Table_NFI[[#This Row],[Plastic Mat]],Table_NFI[Plastic Mat])*IF(Table_NFI[[#This Row],[Distribution Date]]&gt;"2014-04-01",1,2.5)</f>
        <v>0</v>
      </c>
      <c r="AI1113" s="294">
        <f>IF(NFI_Expiration=1,IF($A1113&lt;VLOOKUP(R$5,NFI,5,0),1,0)*Table_NFI[[#This Row],[Winter Clothes Adult]],Table_NFI[Winter Clothes Adult])</f>
        <v>0</v>
      </c>
      <c r="AJ1113" s="294">
        <f>IF(NFI_Expiration=1,IF($A1113&lt;VLOOKUP(S$5,NFI,5,0),1,0)*Table_NFI[[#This Row],[Winter Clothes Children]],Table_NFI[Winter Clothes Children])</f>
        <v>0</v>
      </c>
      <c r="AK1113" s="294">
        <f>IF(NFI_Expiration=1,IF($A1113&lt;VLOOKUP(T$5,NFI,5,0),1,0)*Table_NFI[[#This Row],[Winter Items Other]],Table_NFI[Winter Items Other])</f>
        <v>0</v>
      </c>
      <c r="AL1113" s="294">
        <f>IF(NFI_Expiration=1,IF($A1113&lt;VLOOKUP(M$5,NFI,5,0),1,0)*Table_NFI[[#This Row],[Winter Blanket]],Table_NFI[[#This Row],[Winter Blanket]])</f>
        <v>0</v>
      </c>
      <c r="AM1113" s="294">
        <f>IF(Table_NFI[[#This Row],[Winter Clothes Adult]]+Table_NFI[[#This Row],[Winter Clothes Children]]+Table_NFI[[#This Row],[Winter Items Other]]+Table_NFI[[#This Row],[Winter Blanket]]&gt;0,1,0)</f>
        <v>0</v>
      </c>
      <c r="AN1113" s="331">
        <f>IF(NFI_Expiration=1,IF($A1113&lt;VLOOKUP(V$5,NFI,5,0),1,0)*Table_NFI[[#This Row],[Jerry Can]],Table_NFI[Jerry Can])</f>
        <v>0</v>
      </c>
      <c r="AO1113" s="331">
        <f>IF(NFI_Expiration=1,IF($A1113&lt;VLOOKUP(V$5,NFI,5,0),1,0)*Table_NFI[[#This Row],[Shelter Tool kit]],Table_NFI[Shelter Tool kit])</f>
        <v>0</v>
      </c>
      <c r="AP1113" s="331">
        <f>IF(NFI_Expiration=1,IF($A1113&lt;VLOOKUP(V$5,NFI,5,0),1,0)*Table_NFI[[#This Row],[Tent]],Table_NFI[Tent])</f>
        <v>0</v>
      </c>
      <c r="AQ1113" s="467" t="str">
        <f>IFERROR(VLOOKUP(Table_NFI[[#This Row],[Camp Name]],CL,2,0),"")</f>
        <v/>
      </c>
      <c r="AR1113" s="835" t="str">
        <f ca="1">IF(Table_NFI[[#This Row],[Pcode]]="","",IF(OFFSET(CampList[Opening Date],MATCH(Table_NFI[[#This Row],[Pcode]],CampList[CP_Pcode],0)-1,0,1,1)&gt;=NFI_Monitor_Date,1,0))</f>
        <v/>
      </c>
      <c r="AS1113" s="467" t="str">
        <f>IFERROR(VLOOKUP(Table_NFI[[#This Row],[Camp Name]],CL,3,0),"")</f>
        <v/>
      </c>
      <c r="AT1113" s="294" t="str">
        <f ca="1">IF(Table_NFI[[#This Row],[Pcode]]="","",OFFSET(CampList[Priority],MATCH(Table_NFI[[#This Row],[Pcode]],CampList[CP_Pcode],0)-1,0,1,1))</f>
        <v/>
      </c>
      <c r="AU1113" s="293" t="str">
        <f>IFERROR(Table_NFI[[#This Row],[Kitchen Set]]/VLOOKUP(Table_NFI[[#This Row],[Camp Name]],CL,4,0),"")</f>
        <v/>
      </c>
      <c r="AV1113" s="461"/>
      <c r="AW1113" s="468"/>
    </row>
    <row r="1114" spans="1:49" ht="14.45" customHeight="1" x14ac:dyDescent="0.25">
      <c r="A1114" s="297" t="str">
        <f t="shared" si="17"/>
        <v/>
      </c>
      <c r="B1114" s="460"/>
      <c r="C1114" s="465"/>
      <c r="D1114" s="465"/>
      <c r="E1114" s="465"/>
      <c r="F1114" s="465"/>
      <c r="G1114" s="465"/>
      <c r="H1114" s="292"/>
      <c r="I1114" s="292"/>
      <c r="J1114" s="292"/>
      <c r="K1114" s="292"/>
      <c r="L1114" s="292"/>
      <c r="M1114" s="292"/>
      <c r="N1114" s="292"/>
      <c r="O1114" s="292"/>
      <c r="P1114" s="294"/>
      <c r="Q1114" s="294"/>
      <c r="R1114" s="294"/>
      <c r="S1114" s="294"/>
      <c r="T1114" s="294"/>
      <c r="U1114" s="294"/>
      <c r="V1114" s="431"/>
      <c r="W1114" s="331"/>
      <c r="X1114" s="331"/>
      <c r="Y1114" s="294">
        <f>IF(NFI_Expiration=1,IF($A1114&lt;VLOOKUP(H$5,NFI,5,0),1,0)*Table_NFI[[#This Row],[Hygiene Kit]],Table_NFI[Hygiene Kit])</f>
        <v>0</v>
      </c>
      <c r="Z1114" s="294">
        <f>IF(NFI_Expiration=1,IF($A1114&lt;VLOOKUP(I$5,NFI,5,0),1,0)*Table_NFI[[#This Row],[NFI Core Kit]],Table_NFI[NFI Core Kit])</f>
        <v>0</v>
      </c>
      <c r="AA1114" s="294">
        <f>IF(NFI_Expiration=1,IF($A1114&lt;VLOOKUP(J$5,NFI,5,0),1,0)*Table_NFI[[#This Row],[Sanitary Kit]],Table_NFI[Sanitary Kit])</f>
        <v>0</v>
      </c>
      <c r="AB1114" s="294">
        <f>IF(NFI_Expiration=1,IF($A1114&lt;VLOOKUP(K$5,NFI,5,0),1,0)*Table_NFI[[#This Row],[Mosquito net]],Table_NFI[Mosquito net])</f>
        <v>0</v>
      </c>
      <c r="AC1114" s="294">
        <f>IF(NFI_Expiration=1,IF($A1114&lt;VLOOKUP(L$5,NFI,5,0),1,0)*Table_NFI[[#This Row],[Tarpaulin]],Table_NFI[[#This Row],[Tarpaulin]])</f>
        <v>0</v>
      </c>
      <c r="AD1114" s="294">
        <f>IF(NFI_Expiration=1,IF($A1114&lt;VLOOKUP(M$5,NFI,5,0),1,0)*Table_NFI[[#This Row],[Blanket]],Table_NFI[[#This Row],[Blanket]])</f>
        <v>0</v>
      </c>
      <c r="AE1114" s="294">
        <f>IF(NFI_Expiration=1,IF($A1114&lt;VLOOKUP(N$5,NFI,5,0),1,0)*Table_NFI[[#This Row],[Kitchen Set]],Table_NFI[Kitchen Set])</f>
        <v>0</v>
      </c>
      <c r="AF1114" s="294">
        <f>IF(NFI_Expiration=1,IF($A1114&lt;VLOOKUP(O$5,NFI,5,0),1,0)*Table_NFI[[#This Row],[Clothes Kit]],Table_NFI[Clothes Kit])</f>
        <v>0</v>
      </c>
      <c r="AG1114" s="294">
        <f>IF(NFI_Expiration=1,IF($A1114&lt;VLOOKUP(P$5,NFI,5,0),1,0)*Table_NFI[[#This Row],[Plastic Bucket]],Table_NFI[Plastic Bucket])</f>
        <v>0</v>
      </c>
      <c r="AH1114" s="294">
        <f>IF(NFI_Expiration=1,IF($A1114&lt;VLOOKUP(Q$5,NFI,5,0),1,0)*Table_NFI[[#This Row],[Plastic Mat]],Table_NFI[Plastic Mat])*IF(Table_NFI[[#This Row],[Distribution Date]]&gt;"2014-04-01",1,2.5)</f>
        <v>0</v>
      </c>
      <c r="AI1114" s="294">
        <f>IF(NFI_Expiration=1,IF($A1114&lt;VLOOKUP(R$5,NFI,5,0),1,0)*Table_NFI[[#This Row],[Winter Clothes Adult]],Table_NFI[Winter Clothes Adult])</f>
        <v>0</v>
      </c>
      <c r="AJ1114" s="294">
        <f>IF(NFI_Expiration=1,IF($A1114&lt;VLOOKUP(S$5,NFI,5,0),1,0)*Table_NFI[[#This Row],[Winter Clothes Children]],Table_NFI[Winter Clothes Children])</f>
        <v>0</v>
      </c>
      <c r="AK1114" s="294">
        <f>IF(NFI_Expiration=1,IF($A1114&lt;VLOOKUP(T$5,NFI,5,0),1,0)*Table_NFI[[#This Row],[Winter Items Other]],Table_NFI[Winter Items Other])</f>
        <v>0</v>
      </c>
      <c r="AL1114" s="294">
        <f>IF(NFI_Expiration=1,IF($A1114&lt;VLOOKUP(M$5,NFI,5,0),1,0)*Table_NFI[[#This Row],[Winter Blanket]],Table_NFI[[#This Row],[Winter Blanket]])</f>
        <v>0</v>
      </c>
      <c r="AM1114" s="294">
        <f>IF(Table_NFI[[#This Row],[Winter Clothes Adult]]+Table_NFI[[#This Row],[Winter Clothes Children]]+Table_NFI[[#This Row],[Winter Items Other]]+Table_NFI[[#This Row],[Winter Blanket]]&gt;0,1,0)</f>
        <v>0</v>
      </c>
      <c r="AN1114" s="331">
        <f>IF(NFI_Expiration=1,IF($A1114&lt;VLOOKUP(V$5,NFI,5,0),1,0)*Table_NFI[[#This Row],[Jerry Can]],Table_NFI[Jerry Can])</f>
        <v>0</v>
      </c>
      <c r="AO1114" s="331">
        <f>IF(NFI_Expiration=1,IF($A1114&lt;VLOOKUP(V$5,NFI,5,0),1,0)*Table_NFI[[#This Row],[Shelter Tool kit]],Table_NFI[Shelter Tool kit])</f>
        <v>0</v>
      </c>
      <c r="AP1114" s="331">
        <f>IF(NFI_Expiration=1,IF($A1114&lt;VLOOKUP(V$5,NFI,5,0),1,0)*Table_NFI[[#This Row],[Tent]],Table_NFI[Tent])</f>
        <v>0</v>
      </c>
      <c r="AQ1114" s="467" t="str">
        <f>IFERROR(VLOOKUP(Table_NFI[[#This Row],[Camp Name]],CL,2,0),"")</f>
        <v/>
      </c>
      <c r="AR1114" s="835" t="str">
        <f ca="1">IF(Table_NFI[[#This Row],[Pcode]]="","",IF(OFFSET(CampList[Opening Date],MATCH(Table_NFI[[#This Row],[Pcode]],CampList[CP_Pcode],0)-1,0,1,1)&gt;=NFI_Monitor_Date,1,0))</f>
        <v/>
      </c>
      <c r="AS1114" s="467" t="str">
        <f>IFERROR(VLOOKUP(Table_NFI[[#This Row],[Camp Name]],CL,3,0),"")</f>
        <v/>
      </c>
      <c r="AT1114" s="294" t="str">
        <f ca="1">IF(Table_NFI[[#This Row],[Pcode]]="","",OFFSET(CampList[Priority],MATCH(Table_NFI[[#This Row],[Pcode]],CampList[CP_Pcode],0)-1,0,1,1))</f>
        <v/>
      </c>
      <c r="AU1114" s="293" t="str">
        <f>IFERROR(Table_NFI[[#This Row],[Kitchen Set]]/VLOOKUP(Table_NFI[[#This Row],[Camp Name]],CL,4,0),"")</f>
        <v/>
      </c>
      <c r="AV1114" s="461"/>
      <c r="AW1114" s="468"/>
    </row>
    <row r="1115" spans="1:49" ht="14.45" customHeight="1" x14ac:dyDescent="0.25">
      <c r="A1115" s="297" t="str">
        <f t="shared" si="17"/>
        <v/>
      </c>
      <c r="B1115" s="460"/>
      <c r="C1115" s="465"/>
      <c r="D1115" s="465"/>
      <c r="E1115" s="465"/>
      <c r="F1115" s="465"/>
      <c r="G1115" s="465"/>
      <c r="H1115" s="292"/>
      <c r="I1115" s="292"/>
      <c r="J1115" s="292"/>
      <c r="K1115" s="292"/>
      <c r="L1115" s="292"/>
      <c r="M1115" s="292"/>
      <c r="N1115" s="292"/>
      <c r="O1115" s="292"/>
      <c r="P1115" s="294"/>
      <c r="Q1115" s="294"/>
      <c r="R1115" s="294"/>
      <c r="S1115" s="294"/>
      <c r="T1115" s="294"/>
      <c r="U1115" s="294"/>
      <c r="V1115" s="431"/>
      <c r="W1115" s="331"/>
      <c r="X1115" s="331"/>
      <c r="Y1115" s="294">
        <f>IF(NFI_Expiration=1,IF($A1115&lt;VLOOKUP(H$5,NFI,5,0),1,0)*Table_NFI[[#This Row],[Hygiene Kit]],Table_NFI[Hygiene Kit])</f>
        <v>0</v>
      </c>
      <c r="Z1115" s="294">
        <f>IF(NFI_Expiration=1,IF($A1115&lt;VLOOKUP(I$5,NFI,5,0),1,0)*Table_NFI[[#This Row],[NFI Core Kit]],Table_NFI[NFI Core Kit])</f>
        <v>0</v>
      </c>
      <c r="AA1115" s="294">
        <f>IF(NFI_Expiration=1,IF($A1115&lt;VLOOKUP(J$5,NFI,5,0),1,0)*Table_NFI[[#This Row],[Sanitary Kit]],Table_NFI[Sanitary Kit])</f>
        <v>0</v>
      </c>
      <c r="AB1115" s="294">
        <f>IF(NFI_Expiration=1,IF($A1115&lt;VLOOKUP(K$5,NFI,5,0),1,0)*Table_NFI[[#This Row],[Mosquito net]],Table_NFI[Mosquito net])</f>
        <v>0</v>
      </c>
      <c r="AC1115" s="294">
        <f>IF(NFI_Expiration=1,IF($A1115&lt;VLOOKUP(L$5,NFI,5,0),1,0)*Table_NFI[[#This Row],[Tarpaulin]],Table_NFI[[#This Row],[Tarpaulin]])</f>
        <v>0</v>
      </c>
      <c r="AD1115" s="294">
        <f>IF(NFI_Expiration=1,IF($A1115&lt;VLOOKUP(M$5,NFI,5,0),1,0)*Table_NFI[[#This Row],[Blanket]],Table_NFI[[#This Row],[Blanket]])</f>
        <v>0</v>
      </c>
      <c r="AE1115" s="294">
        <f>IF(NFI_Expiration=1,IF($A1115&lt;VLOOKUP(N$5,NFI,5,0),1,0)*Table_NFI[[#This Row],[Kitchen Set]],Table_NFI[Kitchen Set])</f>
        <v>0</v>
      </c>
      <c r="AF1115" s="294">
        <f>IF(NFI_Expiration=1,IF($A1115&lt;VLOOKUP(O$5,NFI,5,0),1,0)*Table_NFI[[#This Row],[Clothes Kit]],Table_NFI[Clothes Kit])</f>
        <v>0</v>
      </c>
      <c r="AG1115" s="294">
        <f>IF(NFI_Expiration=1,IF($A1115&lt;VLOOKUP(P$5,NFI,5,0),1,0)*Table_NFI[[#This Row],[Plastic Bucket]],Table_NFI[Plastic Bucket])</f>
        <v>0</v>
      </c>
      <c r="AH1115" s="294">
        <f>IF(NFI_Expiration=1,IF($A1115&lt;VLOOKUP(Q$5,NFI,5,0),1,0)*Table_NFI[[#This Row],[Plastic Mat]],Table_NFI[Plastic Mat])*IF(Table_NFI[[#This Row],[Distribution Date]]&gt;"2014-04-01",1,2.5)</f>
        <v>0</v>
      </c>
      <c r="AI1115" s="294">
        <f>IF(NFI_Expiration=1,IF($A1115&lt;VLOOKUP(R$5,NFI,5,0),1,0)*Table_NFI[[#This Row],[Winter Clothes Adult]],Table_NFI[Winter Clothes Adult])</f>
        <v>0</v>
      </c>
      <c r="AJ1115" s="294">
        <f>IF(NFI_Expiration=1,IF($A1115&lt;VLOOKUP(S$5,NFI,5,0),1,0)*Table_NFI[[#This Row],[Winter Clothes Children]],Table_NFI[Winter Clothes Children])</f>
        <v>0</v>
      </c>
      <c r="AK1115" s="294">
        <f>IF(NFI_Expiration=1,IF($A1115&lt;VLOOKUP(T$5,NFI,5,0),1,0)*Table_NFI[[#This Row],[Winter Items Other]],Table_NFI[Winter Items Other])</f>
        <v>0</v>
      </c>
      <c r="AL1115" s="294">
        <f>IF(NFI_Expiration=1,IF($A1115&lt;VLOOKUP(M$5,NFI,5,0),1,0)*Table_NFI[[#This Row],[Winter Blanket]],Table_NFI[[#This Row],[Winter Blanket]])</f>
        <v>0</v>
      </c>
      <c r="AM1115" s="294">
        <f>IF(Table_NFI[[#This Row],[Winter Clothes Adult]]+Table_NFI[[#This Row],[Winter Clothes Children]]+Table_NFI[[#This Row],[Winter Items Other]]+Table_NFI[[#This Row],[Winter Blanket]]&gt;0,1,0)</f>
        <v>0</v>
      </c>
      <c r="AN1115" s="331">
        <f>IF(NFI_Expiration=1,IF($A1115&lt;VLOOKUP(V$5,NFI,5,0),1,0)*Table_NFI[[#This Row],[Jerry Can]],Table_NFI[Jerry Can])</f>
        <v>0</v>
      </c>
      <c r="AO1115" s="331">
        <f>IF(NFI_Expiration=1,IF($A1115&lt;VLOOKUP(V$5,NFI,5,0),1,0)*Table_NFI[[#This Row],[Shelter Tool kit]],Table_NFI[Shelter Tool kit])</f>
        <v>0</v>
      </c>
      <c r="AP1115" s="331">
        <f>IF(NFI_Expiration=1,IF($A1115&lt;VLOOKUP(V$5,NFI,5,0),1,0)*Table_NFI[[#This Row],[Tent]],Table_NFI[Tent])</f>
        <v>0</v>
      </c>
      <c r="AQ1115" s="467" t="str">
        <f>IFERROR(VLOOKUP(Table_NFI[[#This Row],[Camp Name]],CL,2,0),"")</f>
        <v/>
      </c>
      <c r="AR1115" s="835" t="str">
        <f ca="1">IF(Table_NFI[[#This Row],[Pcode]]="","",IF(OFFSET(CampList[Opening Date],MATCH(Table_NFI[[#This Row],[Pcode]],CampList[CP_Pcode],0)-1,0,1,1)&gt;=NFI_Monitor_Date,1,0))</f>
        <v/>
      </c>
      <c r="AS1115" s="467" t="str">
        <f>IFERROR(VLOOKUP(Table_NFI[[#This Row],[Camp Name]],CL,3,0),"")</f>
        <v/>
      </c>
      <c r="AT1115" s="294" t="str">
        <f ca="1">IF(Table_NFI[[#This Row],[Pcode]]="","",OFFSET(CampList[Priority],MATCH(Table_NFI[[#This Row],[Pcode]],CampList[CP_Pcode],0)-1,0,1,1))</f>
        <v/>
      </c>
      <c r="AU1115" s="293" t="str">
        <f>IFERROR(Table_NFI[[#This Row],[Kitchen Set]]/VLOOKUP(Table_NFI[[#This Row],[Camp Name]],CL,4,0),"")</f>
        <v/>
      </c>
      <c r="AV1115" s="461"/>
      <c r="AW1115" s="468"/>
    </row>
    <row r="1116" spans="1:49" ht="14.45" customHeight="1" x14ac:dyDescent="0.25">
      <c r="A1116" s="297" t="str">
        <f t="shared" si="17"/>
        <v/>
      </c>
      <c r="B1116" s="460"/>
      <c r="C1116" s="465"/>
      <c r="D1116" s="465"/>
      <c r="E1116" s="465"/>
      <c r="F1116" s="465"/>
      <c r="G1116" s="465"/>
      <c r="H1116" s="292"/>
      <c r="I1116" s="292"/>
      <c r="J1116" s="292"/>
      <c r="K1116" s="292"/>
      <c r="L1116" s="292"/>
      <c r="M1116" s="292"/>
      <c r="N1116" s="292"/>
      <c r="O1116" s="292"/>
      <c r="P1116" s="294"/>
      <c r="Q1116" s="294"/>
      <c r="R1116" s="294"/>
      <c r="S1116" s="294"/>
      <c r="T1116" s="294"/>
      <c r="U1116" s="294"/>
      <c r="V1116" s="431"/>
      <c r="W1116" s="331"/>
      <c r="X1116" s="331"/>
      <c r="Y1116" s="294">
        <f>IF(NFI_Expiration=1,IF($A1116&lt;VLOOKUP(H$5,NFI,5,0),1,0)*Table_NFI[[#This Row],[Hygiene Kit]],Table_NFI[Hygiene Kit])</f>
        <v>0</v>
      </c>
      <c r="Z1116" s="294">
        <f>IF(NFI_Expiration=1,IF($A1116&lt;VLOOKUP(I$5,NFI,5,0),1,0)*Table_NFI[[#This Row],[NFI Core Kit]],Table_NFI[NFI Core Kit])</f>
        <v>0</v>
      </c>
      <c r="AA1116" s="294">
        <f>IF(NFI_Expiration=1,IF($A1116&lt;VLOOKUP(J$5,NFI,5,0),1,0)*Table_NFI[[#This Row],[Sanitary Kit]],Table_NFI[Sanitary Kit])</f>
        <v>0</v>
      </c>
      <c r="AB1116" s="294">
        <f>IF(NFI_Expiration=1,IF($A1116&lt;VLOOKUP(K$5,NFI,5,0),1,0)*Table_NFI[[#This Row],[Mosquito net]],Table_NFI[Mosquito net])</f>
        <v>0</v>
      </c>
      <c r="AC1116" s="294">
        <f>IF(NFI_Expiration=1,IF($A1116&lt;VLOOKUP(L$5,NFI,5,0),1,0)*Table_NFI[[#This Row],[Tarpaulin]],Table_NFI[[#This Row],[Tarpaulin]])</f>
        <v>0</v>
      </c>
      <c r="AD1116" s="294">
        <f>IF(NFI_Expiration=1,IF($A1116&lt;VLOOKUP(M$5,NFI,5,0),1,0)*Table_NFI[[#This Row],[Blanket]],Table_NFI[[#This Row],[Blanket]])</f>
        <v>0</v>
      </c>
      <c r="AE1116" s="294">
        <f>IF(NFI_Expiration=1,IF($A1116&lt;VLOOKUP(N$5,NFI,5,0),1,0)*Table_NFI[[#This Row],[Kitchen Set]],Table_NFI[Kitchen Set])</f>
        <v>0</v>
      </c>
      <c r="AF1116" s="294">
        <f>IF(NFI_Expiration=1,IF($A1116&lt;VLOOKUP(O$5,NFI,5,0),1,0)*Table_NFI[[#This Row],[Clothes Kit]],Table_NFI[Clothes Kit])</f>
        <v>0</v>
      </c>
      <c r="AG1116" s="294">
        <f>IF(NFI_Expiration=1,IF($A1116&lt;VLOOKUP(P$5,NFI,5,0),1,0)*Table_NFI[[#This Row],[Plastic Bucket]],Table_NFI[Plastic Bucket])</f>
        <v>0</v>
      </c>
      <c r="AH1116" s="294">
        <f>IF(NFI_Expiration=1,IF($A1116&lt;VLOOKUP(Q$5,NFI,5,0),1,0)*Table_NFI[[#This Row],[Plastic Mat]],Table_NFI[Plastic Mat])*IF(Table_NFI[[#This Row],[Distribution Date]]&gt;"2014-04-01",1,2.5)</f>
        <v>0</v>
      </c>
      <c r="AI1116" s="294">
        <f>IF(NFI_Expiration=1,IF($A1116&lt;VLOOKUP(R$5,NFI,5,0),1,0)*Table_NFI[[#This Row],[Winter Clothes Adult]],Table_NFI[Winter Clothes Adult])</f>
        <v>0</v>
      </c>
      <c r="AJ1116" s="294">
        <f>IF(NFI_Expiration=1,IF($A1116&lt;VLOOKUP(S$5,NFI,5,0),1,0)*Table_NFI[[#This Row],[Winter Clothes Children]],Table_NFI[Winter Clothes Children])</f>
        <v>0</v>
      </c>
      <c r="AK1116" s="294">
        <f>IF(NFI_Expiration=1,IF($A1116&lt;VLOOKUP(T$5,NFI,5,0),1,0)*Table_NFI[[#This Row],[Winter Items Other]],Table_NFI[Winter Items Other])</f>
        <v>0</v>
      </c>
      <c r="AL1116" s="294">
        <f>IF(NFI_Expiration=1,IF($A1116&lt;VLOOKUP(M$5,NFI,5,0),1,0)*Table_NFI[[#This Row],[Winter Blanket]],Table_NFI[[#This Row],[Winter Blanket]])</f>
        <v>0</v>
      </c>
      <c r="AM1116" s="294">
        <f>IF(Table_NFI[[#This Row],[Winter Clothes Adult]]+Table_NFI[[#This Row],[Winter Clothes Children]]+Table_NFI[[#This Row],[Winter Items Other]]+Table_NFI[[#This Row],[Winter Blanket]]&gt;0,1,0)</f>
        <v>0</v>
      </c>
      <c r="AN1116" s="331">
        <f>IF(NFI_Expiration=1,IF($A1116&lt;VLOOKUP(V$5,NFI,5,0),1,0)*Table_NFI[[#This Row],[Jerry Can]],Table_NFI[Jerry Can])</f>
        <v>0</v>
      </c>
      <c r="AO1116" s="331">
        <f>IF(NFI_Expiration=1,IF($A1116&lt;VLOOKUP(V$5,NFI,5,0),1,0)*Table_NFI[[#This Row],[Shelter Tool kit]],Table_NFI[Shelter Tool kit])</f>
        <v>0</v>
      </c>
      <c r="AP1116" s="331">
        <f>IF(NFI_Expiration=1,IF($A1116&lt;VLOOKUP(V$5,NFI,5,0),1,0)*Table_NFI[[#This Row],[Tent]],Table_NFI[Tent])</f>
        <v>0</v>
      </c>
      <c r="AQ1116" s="467" t="str">
        <f>IFERROR(VLOOKUP(Table_NFI[[#This Row],[Camp Name]],CL,2,0),"")</f>
        <v/>
      </c>
      <c r="AR1116" s="835" t="str">
        <f ca="1">IF(Table_NFI[[#This Row],[Pcode]]="","",IF(OFFSET(CampList[Opening Date],MATCH(Table_NFI[[#This Row],[Pcode]],CampList[CP_Pcode],0)-1,0,1,1)&gt;=NFI_Monitor_Date,1,0))</f>
        <v/>
      </c>
      <c r="AS1116" s="467" t="str">
        <f>IFERROR(VLOOKUP(Table_NFI[[#This Row],[Camp Name]],CL,3,0),"")</f>
        <v/>
      </c>
      <c r="AT1116" s="294" t="str">
        <f ca="1">IF(Table_NFI[[#This Row],[Pcode]]="","",OFFSET(CampList[Priority],MATCH(Table_NFI[[#This Row],[Pcode]],CampList[CP_Pcode],0)-1,0,1,1))</f>
        <v/>
      </c>
      <c r="AU1116" s="293" t="str">
        <f>IFERROR(Table_NFI[[#This Row],[Kitchen Set]]/VLOOKUP(Table_NFI[[#This Row],[Camp Name]],CL,4,0),"")</f>
        <v/>
      </c>
      <c r="AV1116" s="461"/>
      <c r="AW1116" s="468"/>
    </row>
    <row r="1117" spans="1:49" ht="14.45" customHeight="1" x14ac:dyDescent="0.25">
      <c r="A1117" s="297" t="str">
        <f t="shared" si="17"/>
        <v/>
      </c>
      <c r="B1117" s="460"/>
      <c r="C1117" s="465"/>
      <c r="D1117" s="465"/>
      <c r="E1117" s="465"/>
      <c r="F1117" s="465"/>
      <c r="G1117" s="465"/>
      <c r="H1117" s="292"/>
      <c r="I1117" s="292"/>
      <c r="J1117" s="292"/>
      <c r="K1117" s="292"/>
      <c r="L1117" s="292"/>
      <c r="M1117" s="292"/>
      <c r="N1117" s="292"/>
      <c r="O1117" s="292"/>
      <c r="P1117" s="294"/>
      <c r="Q1117" s="294"/>
      <c r="R1117" s="294"/>
      <c r="S1117" s="294"/>
      <c r="T1117" s="294"/>
      <c r="U1117" s="294"/>
      <c r="V1117" s="431"/>
      <c r="W1117" s="331"/>
      <c r="X1117" s="331"/>
      <c r="Y1117" s="294">
        <f>IF(NFI_Expiration=1,IF($A1117&lt;VLOOKUP(H$5,NFI,5,0),1,0)*Table_NFI[[#This Row],[Hygiene Kit]],Table_NFI[Hygiene Kit])</f>
        <v>0</v>
      </c>
      <c r="Z1117" s="294">
        <f>IF(NFI_Expiration=1,IF($A1117&lt;VLOOKUP(I$5,NFI,5,0),1,0)*Table_NFI[[#This Row],[NFI Core Kit]],Table_NFI[NFI Core Kit])</f>
        <v>0</v>
      </c>
      <c r="AA1117" s="294">
        <f>IF(NFI_Expiration=1,IF($A1117&lt;VLOOKUP(J$5,NFI,5,0),1,0)*Table_NFI[[#This Row],[Sanitary Kit]],Table_NFI[Sanitary Kit])</f>
        <v>0</v>
      </c>
      <c r="AB1117" s="294">
        <f>IF(NFI_Expiration=1,IF($A1117&lt;VLOOKUP(K$5,NFI,5,0),1,0)*Table_NFI[[#This Row],[Mosquito net]],Table_NFI[Mosquito net])</f>
        <v>0</v>
      </c>
      <c r="AC1117" s="294">
        <f>IF(NFI_Expiration=1,IF($A1117&lt;VLOOKUP(L$5,NFI,5,0),1,0)*Table_NFI[[#This Row],[Tarpaulin]],Table_NFI[[#This Row],[Tarpaulin]])</f>
        <v>0</v>
      </c>
      <c r="AD1117" s="294">
        <f>IF(NFI_Expiration=1,IF($A1117&lt;VLOOKUP(M$5,NFI,5,0),1,0)*Table_NFI[[#This Row],[Blanket]],Table_NFI[[#This Row],[Blanket]])</f>
        <v>0</v>
      </c>
      <c r="AE1117" s="294">
        <f>IF(NFI_Expiration=1,IF($A1117&lt;VLOOKUP(N$5,NFI,5,0),1,0)*Table_NFI[[#This Row],[Kitchen Set]],Table_NFI[Kitchen Set])</f>
        <v>0</v>
      </c>
      <c r="AF1117" s="294">
        <f>IF(NFI_Expiration=1,IF($A1117&lt;VLOOKUP(O$5,NFI,5,0),1,0)*Table_NFI[[#This Row],[Clothes Kit]],Table_NFI[Clothes Kit])</f>
        <v>0</v>
      </c>
      <c r="AG1117" s="294">
        <f>IF(NFI_Expiration=1,IF($A1117&lt;VLOOKUP(P$5,NFI,5,0),1,0)*Table_NFI[[#This Row],[Plastic Bucket]],Table_NFI[Plastic Bucket])</f>
        <v>0</v>
      </c>
      <c r="AH1117" s="294">
        <f>IF(NFI_Expiration=1,IF($A1117&lt;VLOOKUP(Q$5,NFI,5,0),1,0)*Table_NFI[[#This Row],[Plastic Mat]],Table_NFI[Plastic Mat])*IF(Table_NFI[[#This Row],[Distribution Date]]&gt;"2014-04-01",1,2.5)</f>
        <v>0</v>
      </c>
      <c r="AI1117" s="294">
        <f>IF(NFI_Expiration=1,IF($A1117&lt;VLOOKUP(R$5,NFI,5,0),1,0)*Table_NFI[[#This Row],[Winter Clothes Adult]],Table_NFI[Winter Clothes Adult])</f>
        <v>0</v>
      </c>
      <c r="AJ1117" s="294">
        <f>IF(NFI_Expiration=1,IF($A1117&lt;VLOOKUP(S$5,NFI,5,0),1,0)*Table_NFI[[#This Row],[Winter Clothes Children]],Table_NFI[Winter Clothes Children])</f>
        <v>0</v>
      </c>
      <c r="AK1117" s="294">
        <f>IF(NFI_Expiration=1,IF($A1117&lt;VLOOKUP(T$5,NFI,5,0),1,0)*Table_NFI[[#This Row],[Winter Items Other]],Table_NFI[Winter Items Other])</f>
        <v>0</v>
      </c>
      <c r="AL1117" s="294">
        <f>IF(NFI_Expiration=1,IF($A1117&lt;VLOOKUP(M$5,NFI,5,0),1,0)*Table_NFI[[#This Row],[Winter Blanket]],Table_NFI[[#This Row],[Winter Blanket]])</f>
        <v>0</v>
      </c>
      <c r="AM1117" s="294">
        <f>IF(Table_NFI[[#This Row],[Winter Clothes Adult]]+Table_NFI[[#This Row],[Winter Clothes Children]]+Table_NFI[[#This Row],[Winter Items Other]]+Table_NFI[[#This Row],[Winter Blanket]]&gt;0,1,0)</f>
        <v>0</v>
      </c>
      <c r="AN1117" s="331">
        <f>IF(NFI_Expiration=1,IF($A1117&lt;VLOOKUP(V$5,NFI,5,0),1,0)*Table_NFI[[#This Row],[Jerry Can]],Table_NFI[Jerry Can])</f>
        <v>0</v>
      </c>
      <c r="AO1117" s="331">
        <f>IF(NFI_Expiration=1,IF($A1117&lt;VLOOKUP(V$5,NFI,5,0),1,0)*Table_NFI[[#This Row],[Shelter Tool kit]],Table_NFI[Shelter Tool kit])</f>
        <v>0</v>
      </c>
      <c r="AP1117" s="331">
        <f>IF(NFI_Expiration=1,IF($A1117&lt;VLOOKUP(V$5,NFI,5,0),1,0)*Table_NFI[[#This Row],[Tent]],Table_NFI[Tent])</f>
        <v>0</v>
      </c>
      <c r="AQ1117" s="467" t="str">
        <f>IFERROR(VLOOKUP(Table_NFI[[#This Row],[Camp Name]],CL,2,0),"")</f>
        <v/>
      </c>
      <c r="AR1117" s="835" t="str">
        <f ca="1">IF(Table_NFI[[#This Row],[Pcode]]="","",IF(OFFSET(CampList[Opening Date],MATCH(Table_NFI[[#This Row],[Pcode]],CampList[CP_Pcode],0)-1,0,1,1)&gt;=NFI_Monitor_Date,1,0))</f>
        <v/>
      </c>
      <c r="AS1117" s="467" t="str">
        <f>IFERROR(VLOOKUP(Table_NFI[[#This Row],[Camp Name]],CL,3,0),"")</f>
        <v/>
      </c>
      <c r="AT1117" s="294" t="str">
        <f ca="1">IF(Table_NFI[[#This Row],[Pcode]]="","",OFFSET(CampList[Priority],MATCH(Table_NFI[[#This Row],[Pcode]],CampList[CP_Pcode],0)-1,0,1,1))</f>
        <v/>
      </c>
      <c r="AU1117" s="293" t="str">
        <f>IFERROR(Table_NFI[[#This Row],[Kitchen Set]]/VLOOKUP(Table_NFI[[#This Row],[Camp Name]],CL,4,0),"")</f>
        <v/>
      </c>
      <c r="AV1117" s="461"/>
      <c r="AW1117" s="468"/>
    </row>
    <row r="1118" spans="1:49" ht="14.45" customHeight="1" x14ac:dyDescent="0.25">
      <c r="A1118" s="297" t="str">
        <f t="shared" si="17"/>
        <v/>
      </c>
      <c r="B1118" s="460"/>
      <c r="C1118" s="465"/>
      <c r="D1118" s="465"/>
      <c r="E1118" s="465"/>
      <c r="F1118" s="465"/>
      <c r="G1118" s="465"/>
      <c r="H1118" s="292"/>
      <c r="I1118" s="292"/>
      <c r="J1118" s="292"/>
      <c r="K1118" s="292"/>
      <c r="L1118" s="292"/>
      <c r="M1118" s="292"/>
      <c r="N1118" s="292"/>
      <c r="O1118" s="292"/>
      <c r="P1118" s="294"/>
      <c r="Q1118" s="294"/>
      <c r="R1118" s="294"/>
      <c r="S1118" s="294"/>
      <c r="T1118" s="294"/>
      <c r="U1118" s="294"/>
      <c r="V1118" s="431"/>
      <c r="W1118" s="331"/>
      <c r="X1118" s="331"/>
      <c r="Y1118" s="294">
        <f>IF(NFI_Expiration=1,IF($A1118&lt;VLOOKUP(H$5,NFI,5,0),1,0)*Table_NFI[[#This Row],[Hygiene Kit]],Table_NFI[Hygiene Kit])</f>
        <v>0</v>
      </c>
      <c r="Z1118" s="294">
        <f>IF(NFI_Expiration=1,IF($A1118&lt;VLOOKUP(I$5,NFI,5,0),1,0)*Table_NFI[[#This Row],[NFI Core Kit]],Table_NFI[NFI Core Kit])</f>
        <v>0</v>
      </c>
      <c r="AA1118" s="294">
        <f>IF(NFI_Expiration=1,IF($A1118&lt;VLOOKUP(J$5,NFI,5,0),1,0)*Table_NFI[[#This Row],[Sanitary Kit]],Table_NFI[Sanitary Kit])</f>
        <v>0</v>
      </c>
      <c r="AB1118" s="294">
        <f>IF(NFI_Expiration=1,IF($A1118&lt;VLOOKUP(K$5,NFI,5,0),1,0)*Table_NFI[[#This Row],[Mosquito net]],Table_NFI[Mosquito net])</f>
        <v>0</v>
      </c>
      <c r="AC1118" s="294">
        <f>IF(NFI_Expiration=1,IF($A1118&lt;VLOOKUP(L$5,NFI,5,0),1,0)*Table_NFI[[#This Row],[Tarpaulin]],Table_NFI[[#This Row],[Tarpaulin]])</f>
        <v>0</v>
      </c>
      <c r="AD1118" s="294">
        <f>IF(NFI_Expiration=1,IF($A1118&lt;VLOOKUP(M$5,NFI,5,0),1,0)*Table_NFI[[#This Row],[Blanket]],Table_NFI[[#This Row],[Blanket]])</f>
        <v>0</v>
      </c>
      <c r="AE1118" s="294">
        <f>IF(NFI_Expiration=1,IF($A1118&lt;VLOOKUP(N$5,NFI,5,0),1,0)*Table_NFI[[#This Row],[Kitchen Set]],Table_NFI[Kitchen Set])</f>
        <v>0</v>
      </c>
      <c r="AF1118" s="294">
        <f>IF(NFI_Expiration=1,IF($A1118&lt;VLOOKUP(O$5,NFI,5,0),1,0)*Table_NFI[[#This Row],[Clothes Kit]],Table_NFI[Clothes Kit])</f>
        <v>0</v>
      </c>
      <c r="AG1118" s="294">
        <f>IF(NFI_Expiration=1,IF($A1118&lt;VLOOKUP(P$5,NFI,5,0),1,0)*Table_NFI[[#This Row],[Plastic Bucket]],Table_NFI[Plastic Bucket])</f>
        <v>0</v>
      </c>
      <c r="AH1118" s="294">
        <f>IF(NFI_Expiration=1,IF($A1118&lt;VLOOKUP(Q$5,NFI,5,0),1,0)*Table_NFI[[#This Row],[Plastic Mat]],Table_NFI[Plastic Mat])*IF(Table_NFI[[#This Row],[Distribution Date]]&gt;"2014-04-01",1,2.5)</f>
        <v>0</v>
      </c>
      <c r="AI1118" s="294">
        <f>IF(NFI_Expiration=1,IF($A1118&lt;VLOOKUP(R$5,NFI,5,0),1,0)*Table_NFI[[#This Row],[Winter Clothes Adult]],Table_NFI[Winter Clothes Adult])</f>
        <v>0</v>
      </c>
      <c r="AJ1118" s="294">
        <f>IF(NFI_Expiration=1,IF($A1118&lt;VLOOKUP(S$5,NFI,5,0),1,0)*Table_NFI[[#This Row],[Winter Clothes Children]],Table_NFI[Winter Clothes Children])</f>
        <v>0</v>
      </c>
      <c r="AK1118" s="294">
        <f>IF(NFI_Expiration=1,IF($A1118&lt;VLOOKUP(T$5,NFI,5,0),1,0)*Table_NFI[[#This Row],[Winter Items Other]],Table_NFI[Winter Items Other])</f>
        <v>0</v>
      </c>
      <c r="AL1118" s="294">
        <f>IF(NFI_Expiration=1,IF($A1118&lt;VLOOKUP(M$5,NFI,5,0),1,0)*Table_NFI[[#This Row],[Winter Blanket]],Table_NFI[[#This Row],[Winter Blanket]])</f>
        <v>0</v>
      </c>
      <c r="AM1118" s="294">
        <f>IF(Table_NFI[[#This Row],[Winter Clothes Adult]]+Table_NFI[[#This Row],[Winter Clothes Children]]+Table_NFI[[#This Row],[Winter Items Other]]+Table_NFI[[#This Row],[Winter Blanket]]&gt;0,1,0)</f>
        <v>0</v>
      </c>
      <c r="AN1118" s="331">
        <f>IF(NFI_Expiration=1,IF($A1118&lt;VLOOKUP(V$5,NFI,5,0),1,0)*Table_NFI[[#This Row],[Jerry Can]],Table_NFI[Jerry Can])</f>
        <v>0</v>
      </c>
      <c r="AO1118" s="331">
        <f>IF(NFI_Expiration=1,IF($A1118&lt;VLOOKUP(V$5,NFI,5,0),1,0)*Table_NFI[[#This Row],[Shelter Tool kit]],Table_NFI[Shelter Tool kit])</f>
        <v>0</v>
      </c>
      <c r="AP1118" s="331">
        <f>IF(NFI_Expiration=1,IF($A1118&lt;VLOOKUP(V$5,NFI,5,0),1,0)*Table_NFI[[#This Row],[Tent]],Table_NFI[Tent])</f>
        <v>0</v>
      </c>
      <c r="AQ1118" s="467" t="str">
        <f>IFERROR(VLOOKUP(Table_NFI[[#This Row],[Camp Name]],CL,2,0),"")</f>
        <v/>
      </c>
      <c r="AR1118" s="835" t="str">
        <f ca="1">IF(Table_NFI[[#This Row],[Pcode]]="","",IF(OFFSET(CampList[Opening Date],MATCH(Table_NFI[[#This Row],[Pcode]],CampList[CP_Pcode],0)-1,0,1,1)&gt;=NFI_Monitor_Date,1,0))</f>
        <v/>
      </c>
      <c r="AS1118" s="467" t="str">
        <f>IFERROR(VLOOKUP(Table_NFI[[#This Row],[Camp Name]],CL,3,0),"")</f>
        <v/>
      </c>
      <c r="AT1118" s="294" t="str">
        <f ca="1">IF(Table_NFI[[#This Row],[Pcode]]="","",OFFSET(CampList[Priority],MATCH(Table_NFI[[#This Row],[Pcode]],CampList[CP_Pcode],0)-1,0,1,1))</f>
        <v/>
      </c>
      <c r="AU1118" s="293" t="str">
        <f>IFERROR(Table_NFI[[#This Row],[Kitchen Set]]/VLOOKUP(Table_NFI[[#This Row],[Camp Name]],CL,4,0),"")</f>
        <v/>
      </c>
      <c r="AV1118" s="461"/>
      <c r="AW1118" s="468"/>
    </row>
    <row r="1119" spans="1:49" ht="14.45" customHeight="1" x14ac:dyDescent="0.25">
      <c r="A1119" s="297" t="str">
        <f t="shared" si="17"/>
        <v/>
      </c>
      <c r="B1119" s="460"/>
      <c r="C1119" s="465"/>
      <c r="D1119" s="465"/>
      <c r="E1119" s="465"/>
      <c r="F1119" s="465"/>
      <c r="G1119" s="465"/>
      <c r="H1119" s="292"/>
      <c r="I1119" s="292"/>
      <c r="J1119" s="292"/>
      <c r="K1119" s="292"/>
      <c r="L1119" s="292"/>
      <c r="M1119" s="292"/>
      <c r="N1119" s="292"/>
      <c r="O1119" s="292"/>
      <c r="P1119" s="294"/>
      <c r="Q1119" s="294"/>
      <c r="R1119" s="294"/>
      <c r="S1119" s="294"/>
      <c r="T1119" s="294"/>
      <c r="U1119" s="294"/>
      <c r="V1119" s="431"/>
      <c r="W1119" s="331"/>
      <c r="X1119" s="331"/>
      <c r="Y1119" s="294">
        <f>IF(NFI_Expiration=1,IF($A1119&lt;VLOOKUP(H$5,NFI,5,0),1,0)*Table_NFI[[#This Row],[Hygiene Kit]],Table_NFI[Hygiene Kit])</f>
        <v>0</v>
      </c>
      <c r="Z1119" s="294">
        <f>IF(NFI_Expiration=1,IF($A1119&lt;VLOOKUP(I$5,NFI,5,0),1,0)*Table_NFI[[#This Row],[NFI Core Kit]],Table_NFI[NFI Core Kit])</f>
        <v>0</v>
      </c>
      <c r="AA1119" s="294">
        <f>IF(NFI_Expiration=1,IF($A1119&lt;VLOOKUP(J$5,NFI,5,0),1,0)*Table_NFI[[#This Row],[Sanitary Kit]],Table_NFI[Sanitary Kit])</f>
        <v>0</v>
      </c>
      <c r="AB1119" s="294">
        <f>IF(NFI_Expiration=1,IF($A1119&lt;VLOOKUP(K$5,NFI,5,0),1,0)*Table_NFI[[#This Row],[Mosquito net]],Table_NFI[Mosquito net])</f>
        <v>0</v>
      </c>
      <c r="AC1119" s="294">
        <f>IF(NFI_Expiration=1,IF($A1119&lt;VLOOKUP(L$5,NFI,5,0),1,0)*Table_NFI[[#This Row],[Tarpaulin]],Table_NFI[[#This Row],[Tarpaulin]])</f>
        <v>0</v>
      </c>
      <c r="AD1119" s="294">
        <f>IF(NFI_Expiration=1,IF($A1119&lt;VLOOKUP(M$5,NFI,5,0),1,0)*Table_NFI[[#This Row],[Blanket]],Table_NFI[[#This Row],[Blanket]])</f>
        <v>0</v>
      </c>
      <c r="AE1119" s="294">
        <f>IF(NFI_Expiration=1,IF($A1119&lt;VLOOKUP(N$5,NFI,5,0),1,0)*Table_NFI[[#This Row],[Kitchen Set]],Table_NFI[Kitchen Set])</f>
        <v>0</v>
      </c>
      <c r="AF1119" s="294">
        <f>IF(NFI_Expiration=1,IF($A1119&lt;VLOOKUP(O$5,NFI,5,0),1,0)*Table_NFI[[#This Row],[Clothes Kit]],Table_NFI[Clothes Kit])</f>
        <v>0</v>
      </c>
      <c r="AG1119" s="294">
        <f>IF(NFI_Expiration=1,IF($A1119&lt;VLOOKUP(P$5,NFI,5,0),1,0)*Table_NFI[[#This Row],[Plastic Bucket]],Table_NFI[Plastic Bucket])</f>
        <v>0</v>
      </c>
      <c r="AH1119" s="294">
        <f>IF(NFI_Expiration=1,IF($A1119&lt;VLOOKUP(Q$5,NFI,5,0),1,0)*Table_NFI[[#This Row],[Plastic Mat]],Table_NFI[Plastic Mat])*IF(Table_NFI[[#This Row],[Distribution Date]]&gt;"2014-04-01",1,2.5)</f>
        <v>0</v>
      </c>
      <c r="AI1119" s="294">
        <f>IF(NFI_Expiration=1,IF($A1119&lt;VLOOKUP(R$5,NFI,5,0),1,0)*Table_NFI[[#This Row],[Winter Clothes Adult]],Table_NFI[Winter Clothes Adult])</f>
        <v>0</v>
      </c>
      <c r="AJ1119" s="294">
        <f>IF(NFI_Expiration=1,IF($A1119&lt;VLOOKUP(S$5,NFI,5,0),1,0)*Table_NFI[[#This Row],[Winter Clothes Children]],Table_NFI[Winter Clothes Children])</f>
        <v>0</v>
      </c>
      <c r="AK1119" s="294">
        <f>IF(NFI_Expiration=1,IF($A1119&lt;VLOOKUP(T$5,NFI,5,0),1,0)*Table_NFI[[#This Row],[Winter Items Other]],Table_NFI[Winter Items Other])</f>
        <v>0</v>
      </c>
      <c r="AL1119" s="294">
        <f>IF(NFI_Expiration=1,IF($A1119&lt;VLOOKUP(M$5,NFI,5,0),1,0)*Table_NFI[[#This Row],[Winter Blanket]],Table_NFI[[#This Row],[Winter Blanket]])</f>
        <v>0</v>
      </c>
      <c r="AM1119" s="294">
        <f>IF(Table_NFI[[#This Row],[Winter Clothes Adult]]+Table_NFI[[#This Row],[Winter Clothes Children]]+Table_NFI[[#This Row],[Winter Items Other]]+Table_NFI[[#This Row],[Winter Blanket]]&gt;0,1,0)</f>
        <v>0</v>
      </c>
      <c r="AN1119" s="331">
        <f>IF(NFI_Expiration=1,IF($A1119&lt;VLOOKUP(V$5,NFI,5,0),1,0)*Table_NFI[[#This Row],[Jerry Can]],Table_NFI[Jerry Can])</f>
        <v>0</v>
      </c>
      <c r="AO1119" s="331">
        <f>IF(NFI_Expiration=1,IF($A1119&lt;VLOOKUP(V$5,NFI,5,0),1,0)*Table_NFI[[#This Row],[Shelter Tool kit]],Table_NFI[Shelter Tool kit])</f>
        <v>0</v>
      </c>
      <c r="AP1119" s="331">
        <f>IF(NFI_Expiration=1,IF($A1119&lt;VLOOKUP(V$5,NFI,5,0),1,0)*Table_NFI[[#This Row],[Tent]],Table_NFI[Tent])</f>
        <v>0</v>
      </c>
      <c r="AQ1119" s="467" t="str">
        <f>IFERROR(VLOOKUP(Table_NFI[[#This Row],[Camp Name]],CL,2,0),"")</f>
        <v/>
      </c>
      <c r="AR1119" s="835" t="str">
        <f ca="1">IF(Table_NFI[[#This Row],[Pcode]]="","",IF(OFFSET(CampList[Opening Date],MATCH(Table_NFI[[#This Row],[Pcode]],CampList[CP_Pcode],0)-1,0,1,1)&gt;=NFI_Monitor_Date,1,0))</f>
        <v/>
      </c>
      <c r="AS1119" s="467" t="str">
        <f>IFERROR(VLOOKUP(Table_NFI[[#This Row],[Camp Name]],CL,3,0),"")</f>
        <v/>
      </c>
      <c r="AT1119" s="294" t="str">
        <f ca="1">IF(Table_NFI[[#This Row],[Pcode]]="","",OFFSET(CampList[Priority],MATCH(Table_NFI[[#This Row],[Pcode]],CampList[CP_Pcode],0)-1,0,1,1))</f>
        <v/>
      </c>
      <c r="AU1119" s="293" t="str">
        <f>IFERROR(Table_NFI[[#This Row],[Kitchen Set]]/VLOOKUP(Table_NFI[[#This Row],[Camp Name]],CL,4,0),"")</f>
        <v/>
      </c>
      <c r="AV1119" s="461"/>
      <c r="AW1119" s="468"/>
    </row>
    <row r="1120" spans="1:49" ht="14.45" customHeight="1" x14ac:dyDescent="0.25">
      <c r="A1120" s="297" t="str">
        <f t="shared" si="17"/>
        <v/>
      </c>
      <c r="B1120" s="460"/>
      <c r="C1120" s="465"/>
      <c r="D1120" s="465"/>
      <c r="E1120" s="465"/>
      <c r="F1120" s="465"/>
      <c r="G1120" s="465"/>
      <c r="H1120" s="292"/>
      <c r="I1120" s="292"/>
      <c r="J1120" s="292"/>
      <c r="K1120" s="292"/>
      <c r="L1120" s="292"/>
      <c r="M1120" s="292"/>
      <c r="N1120" s="292"/>
      <c r="O1120" s="292"/>
      <c r="P1120" s="294"/>
      <c r="Q1120" s="294"/>
      <c r="R1120" s="294"/>
      <c r="S1120" s="294"/>
      <c r="T1120" s="294"/>
      <c r="U1120" s="294"/>
      <c r="V1120" s="431"/>
      <c r="W1120" s="331"/>
      <c r="X1120" s="331"/>
      <c r="Y1120" s="294">
        <f>IF(NFI_Expiration=1,IF($A1120&lt;VLOOKUP(H$5,NFI,5,0),1,0)*Table_NFI[[#This Row],[Hygiene Kit]],Table_NFI[Hygiene Kit])</f>
        <v>0</v>
      </c>
      <c r="Z1120" s="294">
        <f>IF(NFI_Expiration=1,IF($A1120&lt;VLOOKUP(I$5,NFI,5,0),1,0)*Table_NFI[[#This Row],[NFI Core Kit]],Table_NFI[NFI Core Kit])</f>
        <v>0</v>
      </c>
      <c r="AA1120" s="294">
        <f>IF(NFI_Expiration=1,IF($A1120&lt;VLOOKUP(J$5,NFI,5,0),1,0)*Table_NFI[[#This Row],[Sanitary Kit]],Table_NFI[Sanitary Kit])</f>
        <v>0</v>
      </c>
      <c r="AB1120" s="294">
        <f>IF(NFI_Expiration=1,IF($A1120&lt;VLOOKUP(K$5,NFI,5,0),1,0)*Table_NFI[[#This Row],[Mosquito net]],Table_NFI[Mosquito net])</f>
        <v>0</v>
      </c>
      <c r="AC1120" s="294">
        <f>IF(NFI_Expiration=1,IF($A1120&lt;VLOOKUP(L$5,NFI,5,0),1,0)*Table_NFI[[#This Row],[Tarpaulin]],Table_NFI[[#This Row],[Tarpaulin]])</f>
        <v>0</v>
      </c>
      <c r="AD1120" s="294">
        <f>IF(NFI_Expiration=1,IF($A1120&lt;VLOOKUP(M$5,NFI,5,0),1,0)*Table_NFI[[#This Row],[Blanket]],Table_NFI[[#This Row],[Blanket]])</f>
        <v>0</v>
      </c>
      <c r="AE1120" s="294">
        <f>IF(NFI_Expiration=1,IF($A1120&lt;VLOOKUP(N$5,NFI,5,0),1,0)*Table_NFI[[#This Row],[Kitchen Set]],Table_NFI[Kitchen Set])</f>
        <v>0</v>
      </c>
      <c r="AF1120" s="294">
        <f>IF(NFI_Expiration=1,IF($A1120&lt;VLOOKUP(O$5,NFI,5,0),1,0)*Table_NFI[[#This Row],[Clothes Kit]],Table_NFI[Clothes Kit])</f>
        <v>0</v>
      </c>
      <c r="AG1120" s="294">
        <f>IF(NFI_Expiration=1,IF($A1120&lt;VLOOKUP(P$5,NFI,5,0),1,0)*Table_NFI[[#This Row],[Plastic Bucket]],Table_NFI[Plastic Bucket])</f>
        <v>0</v>
      </c>
      <c r="AH1120" s="294">
        <f>IF(NFI_Expiration=1,IF($A1120&lt;VLOOKUP(Q$5,NFI,5,0),1,0)*Table_NFI[[#This Row],[Plastic Mat]],Table_NFI[Plastic Mat])*IF(Table_NFI[[#This Row],[Distribution Date]]&gt;"2014-04-01",1,2.5)</f>
        <v>0</v>
      </c>
      <c r="AI1120" s="294">
        <f>IF(NFI_Expiration=1,IF($A1120&lt;VLOOKUP(R$5,NFI,5,0),1,0)*Table_NFI[[#This Row],[Winter Clothes Adult]],Table_NFI[Winter Clothes Adult])</f>
        <v>0</v>
      </c>
      <c r="AJ1120" s="294">
        <f>IF(NFI_Expiration=1,IF($A1120&lt;VLOOKUP(S$5,NFI,5,0),1,0)*Table_NFI[[#This Row],[Winter Clothes Children]],Table_NFI[Winter Clothes Children])</f>
        <v>0</v>
      </c>
      <c r="AK1120" s="294">
        <f>IF(NFI_Expiration=1,IF($A1120&lt;VLOOKUP(T$5,NFI,5,0),1,0)*Table_NFI[[#This Row],[Winter Items Other]],Table_NFI[Winter Items Other])</f>
        <v>0</v>
      </c>
      <c r="AL1120" s="294">
        <f>IF(NFI_Expiration=1,IF($A1120&lt;VLOOKUP(M$5,NFI,5,0),1,0)*Table_NFI[[#This Row],[Winter Blanket]],Table_NFI[[#This Row],[Winter Blanket]])</f>
        <v>0</v>
      </c>
      <c r="AM1120" s="294">
        <f>IF(Table_NFI[[#This Row],[Winter Clothes Adult]]+Table_NFI[[#This Row],[Winter Clothes Children]]+Table_NFI[[#This Row],[Winter Items Other]]+Table_NFI[[#This Row],[Winter Blanket]]&gt;0,1,0)</f>
        <v>0</v>
      </c>
      <c r="AN1120" s="331">
        <f>IF(NFI_Expiration=1,IF($A1120&lt;VLOOKUP(V$5,NFI,5,0),1,0)*Table_NFI[[#This Row],[Jerry Can]],Table_NFI[Jerry Can])</f>
        <v>0</v>
      </c>
      <c r="AO1120" s="331">
        <f>IF(NFI_Expiration=1,IF($A1120&lt;VLOOKUP(V$5,NFI,5,0),1,0)*Table_NFI[[#This Row],[Shelter Tool kit]],Table_NFI[Shelter Tool kit])</f>
        <v>0</v>
      </c>
      <c r="AP1120" s="331">
        <f>IF(NFI_Expiration=1,IF($A1120&lt;VLOOKUP(V$5,NFI,5,0),1,0)*Table_NFI[[#This Row],[Tent]],Table_NFI[Tent])</f>
        <v>0</v>
      </c>
      <c r="AQ1120" s="467" t="str">
        <f>IFERROR(VLOOKUP(Table_NFI[[#This Row],[Camp Name]],CL,2,0),"")</f>
        <v/>
      </c>
      <c r="AR1120" s="835" t="str">
        <f ca="1">IF(Table_NFI[[#This Row],[Pcode]]="","",IF(OFFSET(CampList[Opening Date],MATCH(Table_NFI[[#This Row],[Pcode]],CampList[CP_Pcode],0)-1,0,1,1)&gt;=NFI_Monitor_Date,1,0))</f>
        <v/>
      </c>
      <c r="AS1120" s="467" t="str">
        <f>IFERROR(VLOOKUP(Table_NFI[[#This Row],[Camp Name]],CL,3,0),"")</f>
        <v/>
      </c>
      <c r="AT1120" s="294" t="str">
        <f ca="1">IF(Table_NFI[[#This Row],[Pcode]]="","",OFFSET(CampList[Priority],MATCH(Table_NFI[[#This Row],[Pcode]],CampList[CP_Pcode],0)-1,0,1,1))</f>
        <v/>
      </c>
      <c r="AU1120" s="293" t="str">
        <f>IFERROR(Table_NFI[[#This Row],[Kitchen Set]]/VLOOKUP(Table_NFI[[#This Row],[Camp Name]],CL,4,0),"")</f>
        <v/>
      </c>
      <c r="AV1120" s="461"/>
      <c r="AW1120" s="468"/>
    </row>
    <row r="1121" spans="1:49" ht="14.45" customHeight="1" x14ac:dyDescent="0.25">
      <c r="A1121" s="297" t="str">
        <f t="shared" si="17"/>
        <v/>
      </c>
      <c r="B1121" s="460"/>
      <c r="C1121" s="465"/>
      <c r="D1121" s="465"/>
      <c r="E1121" s="465"/>
      <c r="F1121" s="465"/>
      <c r="G1121" s="465"/>
      <c r="H1121" s="292"/>
      <c r="I1121" s="292"/>
      <c r="J1121" s="292"/>
      <c r="K1121" s="292"/>
      <c r="L1121" s="292"/>
      <c r="M1121" s="292"/>
      <c r="N1121" s="292"/>
      <c r="O1121" s="292"/>
      <c r="P1121" s="294"/>
      <c r="Q1121" s="294"/>
      <c r="R1121" s="294"/>
      <c r="S1121" s="294"/>
      <c r="T1121" s="294"/>
      <c r="U1121" s="294"/>
      <c r="V1121" s="431"/>
      <c r="W1121" s="331"/>
      <c r="X1121" s="331"/>
      <c r="Y1121" s="294">
        <f>IF(NFI_Expiration=1,IF($A1121&lt;VLOOKUP(H$5,NFI,5,0),1,0)*Table_NFI[[#This Row],[Hygiene Kit]],Table_NFI[Hygiene Kit])</f>
        <v>0</v>
      </c>
      <c r="Z1121" s="294">
        <f>IF(NFI_Expiration=1,IF($A1121&lt;VLOOKUP(I$5,NFI,5,0),1,0)*Table_NFI[[#This Row],[NFI Core Kit]],Table_NFI[NFI Core Kit])</f>
        <v>0</v>
      </c>
      <c r="AA1121" s="294">
        <f>IF(NFI_Expiration=1,IF($A1121&lt;VLOOKUP(J$5,NFI,5,0),1,0)*Table_NFI[[#This Row],[Sanitary Kit]],Table_NFI[Sanitary Kit])</f>
        <v>0</v>
      </c>
      <c r="AB1121" s="294">
        <f>IF(NFI_Expiration=1,IF($A1121&lt;VLOOKUP(K$5,NFI,5,0),1,0)*Table_NFI[[#This Row],[Mosquito net]],Table_NFI[Mosquito net])</f>
        <v>0</v>
      </c>
      <c r="AC1121" s="294">
        <f>IF(NFI_Expiration=1,IF($A1121&lt;VLOOKUP(L$5,NFI,5,0),1,0)*Table_NFI[[#This Row],[Tarpaulin]],Table_NFI[[#This Row],[Tarpaulin]])</f>
        <v>0</v>
      </c>
      <c r="AD1121" s="294">
        <f>IF(NFI_Expiration=1,IF($A1121&lt;VLOOKUP(M$5,NFI,5,0),1,0)*Table_NFI[[#This Row],[Blanket]],Table_NFI[[#This Row],[Blanket]])</f>
        <v>0</v>
      </c>
      <c r="AE1121" s="294">
        <f>IF(NFI_Expiration=1,IF($A1121&lt;VLOOKUP(N$5,NFI,5,0),1,0)*Table_NFI[[#This Row],[Kitchen Set]],Table_NFI[Kitchen Set])</f>
        <v>0</v>
      </c>
      <c r="AF1121" s="294">
        <f>IF(NFI_Expiration=1,IF($A1121&lt;VLOOKUP(O$5,NFI,5,0),1,0)*Table_NFI[[#This Row],[Clothes Kit]],Table_NFI[Clothes Kit])</f>
        <v>0</v>
      </c>
      <c r="AG1121" s="294">
        <f>IF(NFI_Expiration=1,IF($A1121&lt;VLOOKUP(P$5,NFI,5,0),1,0)*Table_NFI[[#This Row],[Plastic Bucket]],Table_NFI[Plastic Bucket])</f>
        <v>0</v>
      </c>
      <c r="AH1121" s="294">
        <f>IF(NFI_Expiration=1,IF($A1121&lt;VLOOKUP(Q$5,NFI,5,0),1,0)*Table_NFI[[#This Row],[Plastic Mat]],Table_NFI[Plastic Mat])*IF(Table_NFI[[#This Row],[Distribution Date]]&gt;"2014-04-01",1,2.5)</f>
        <v>0</v>
      </c>
      <c r="AI1121" s="294">
        <f>IF(NFI_Expiration=1,IF($A1121&lt;VLOOKUP(R$5,NFI,5,0),1,0)*Table_NFI[[#This Row],[Winter Clothes Adult]],Table_NFI[Winter Clothes Adult])</f>
        <v>0</v>
      </c>
      <c r="AJ1121" s="294">
        <f>IF(NFI_Expiration=1,IF($A1121&lt;VLOOKUP(S$5,NFI,5,0),1,0)*Table_NFI[[#This Row],[Winter Clothes Children]],Table_NFI[Winter Clothes Children])</f>
        <v>0</v>
      </c>
      <c r="AK1121" s="294">
        <f>IF(NFI_Expiration=1,IF($A1121&lt;VLOOKUP(T$5,NFI,5,0),1,0)*Table_NFI[[#This Row],[Winter Items Other]],Table_NFI[Winter Items Other])</f>
        <v>0</v>
      </c>
      <c r="AL1121" s="294">
        <f>IF(NFI_Expiration=1,IF($A1121&lt;VLOOKUP(M$5,NFI,5,0),1,0)*Table_NFI[[#This Row],[Winter Blanket]],Table_NFI[[#This Row],[Winter Blanket]])</f>
        <v>0</v>
      </c>
      <c r="AM1121" s="294">
        <f>IF(Table_NFI[[#This Row],[Winter Clothes Adult]]+Table_NFI[[#This Row],[Winter Clothes Children]]+Table_NFI[[#This Row],[Winter Items Other]]+Table_NFI[[#This Row],[Winter Blanket]]&gt;0,1,0)</f>
        <v>0</v>
      </c>
      <c r="AN1121" s="331">
        <f>IF(NFI_Expiration=1,IF($A1121&lt;VLOOKUP(V$5,NFI,5,0),1,0)*Table_NFI[[#This Row],[Jerry Can]],Table_NFI[Jerry Can])</f>
        <v>0</v>
      </c>
      <c r="AO1121" s="331">
        <f>IF(NFI_Expiration=1,IF($A1121&lt;VLOOKUP(V$5,NFI,5,0),1,0)*Table_NFI[[#This Row],[Shelter Tool kit]],Table_NFI[Shelter Tool kit])</f>
        <v>0</v>
      </c>
      <c r="AP1121" s="331">
        <f>IF(NFI_Expiration=1,IF($A1121&lt;VLOOKUP(V$5,NFI,5,0),1,0)*Table_NFI[[#This Row],[Tent]],Table_NFI[Tent])</f>
        <v>0</v>
      </c>
      <c r="AQ1121" s="467" t="str">
        <f>IFERROR(VLOOKUP(Table_NFI[[#This Row],[Camp Name]],CL,2,0),"")</f>
        <v/>
      </c>
      <c r="AR1121" s="835" t="str">
        <f ca="1">IF(Table_NFI[[#This Row],[Pcode]]="","",IF(OFFSET(CampList[Opening Date],MATCH(Table_NFI[[#This Row],[Pcode]],CampList[CP_Pcode],0)-1,0,1,1)&gt;=NFI_Monitor_Date,1,0))</f>
        <v/>
      </c>
      <c r="AS1121" s="467" t="str">
        <f>IFERROR(VLOOKUP(Table_NFI[[#This Row],[Camp Name]],CL,3,0),"")</f>
        <v/>
      </c>
      <c r="AT1121" s="294" t="str">
        <f ca="1">IF(Table_NFI[[#This Row],[Pcode]]="","",OFFSET(CampList[Priority],MATCH(Table_NFI[[#This Row],[Pcode]],CampList[CP_Pcode],0)-1,0,1,1))</f>
        <v/>
      </c>
      <c r="AU1121" s="293" t="str">
        <f>IFERROR(Table_NFI[[#This Row],[Kitchen Set]]/VLOOKUP(Table_NFI[[#This Row],[Camp Name]],CL,4,0),"")</f>
        <v/>
      </c>
      <c r="AV1121" s="461"/>
      <c r="AW1121" s="468"/>
    </row>
    <row r="1122" spans="1:49" ht="14.45" customHeight="1" x14ac:dyDescent="0.25">
      <c r="A1122" s="297" t="str">
        <f t="shared" si="17"/>
        <v/>
      </c>
      <c r="B1122" s="460"/>
      <c r="C1122" s="465"/>
      <c r="D1122" s="465"/>
      <c r="E1122" s="465"/>
      <c r="F1122" s="465"/>
      <c r="G1122" s="465"/>
      <c r="H1122" s="292"/>
      <c r="I1122" s="292"/>
      <c r="J1122" s="292"/>
      <c r="K1122" s="292"/>
      <c r="L1122" s="292"/>
      <c r="M1122" s="292"/>
      <c r="N1122" s="292"/>
      <c r="O1122" s="292"/>
      <c r="P1122" s="294"/>
      <c r="Q1122" s="294"/>
      <c r="R1122" s="294"/>
      <c r="S1122" s="294"/>
      <c r="T1122" s="294"/>
      <c r="U1122" s="294"/>
      <c r="V1122" s="431"/>
      <c r="W1122" s="331"/>
      <c r="X1122" s="331"/>
      <c r="Y1122" s="294">
        <f>IF(NFI_Expiration=1,IF($A1122&lt;VLOOKUP(H$5,NFI,5,0),1,0)*Table_NFI[[#This Row],[Hygiene Kit]],Table_NFI[Hygiene Kit])</f>
        <v>0</v>
      </c>
      <c r="Z1122" s="294">
        <f>IF(NFI_Expiration=1,IF($A1122&lt;VLOOKUP(I$5,NFI,5,0),1,0)*Table_NFI[[#This Row],[NFI Core Kit]],Table_NFI[NFI Core Kit])</f>
        <v>0</v>
      </c>
      <c r="AA1122" s="294">
        <f>IF(NFI_Expiration=1,IF($A1122&lt;VLOOKUP(J$5,NFI,5,0),1,0)*Table_NFI[[#This Row],[Sanitary Kit]],Table_NFI[Sanitary Kit])</f>
        <v>0</v>
      </c>
      <c r="AB1122" s="294">
        <f>IF(NFI_Expiration=1,IF($A1122&lt;VLOOKUP(K$5,NFI,5,0),1,0)*Table_NFI[[#This Row],[Mosquito net]],Table_NFI[Mosquito net])</f>
        <v>0</v>
      </c>
      <c r="AC1122" s="294">
        <f>IF(NFI_Expiration=1,IF($A1122&lt;VLOOKUP(L$5,NFI,5,0),1,0)*Table_NFI[[#This Row],[Tarpaulin]],Table_NFI[[#This Row],[Tarpaulin]])</f>
        <v>0</v>
      </c>
      <c r="AD1122" s="294">
        <f>IF(NFI_Expiration=1,IF($A1122&lt;VLOOKUP(M$5,NFI,5,0),1,0)*Table_NFI[[#This Row],[Blanket]],Table_NFI[[#This Row],[Blanket]])</f>
        <v>0</v>
      </c>
      <c r="AE1122" s="294">
        <f>IF(NFI_Expiration=1,IF($A1122&lt;VLOOKUP(N$5,NFI,5,0),1,0)*Table_NFI[[#This Row],[Kitchen Set]],Table_NFI[Kitchen Set])</f>
        <v>0</v>
      </c>
      <c r="AF1122" s="294">
        <f>IF(NFI_Expiration=1,IF($A1122&lt;VLOOKUP(O$5,NFI,5,0),1,0)*Table_NFI[[#This Row],[Clothes Kit]],Table_NFI[Clothes Kit])</f>
        <v>0</v>
      </c>
      <c r="AG1122" s="294">
        <f>IF(NFI_Expiration=1,IF($A1122&lt;VLOOKUP(P$5,NFI,5,0),1,0)*Table_NFI[[#This Row],[Plastic Bucket]],Table_NFI[Plastic Bucket])</f>
        <v>0</v>
      </c>
      <c r="AH1122" s="294">
        <f>IF(NFI_Expiration=1,IF($A1122&lt;VLOOKUP(Q$5,NFI,5,0),1,0)*Table_NFI[[#This Row],[Plastic Mat]],Table_NFI[Plastic Mat])*IF(Table_NFI[[#This Row],[Distribution Date]]&gt;"2014-04-01",1,2.5)</f>
        <v>0</v>
      </c>
      <c r="AI1122" s="294">
        <f>IF(NFI_Expiration=1,IF($A1122&lt;VLOOKUP(R$5,NFI,5,0),1,0)*Table_NFI[[#This Row],[Winter Clothes Adult]],Table_NFI[Winter Clothes Adult])</f>
        <v>0</v>
      </c>
      <c r="AJ1122" s="294">
        <f>IF(NFI_Expiration=1,IF($A1122&lt;VLOOKUP(S$5,NFI,5,0),1,0)*Table_NFI[[#This Row],[Winter Clothes Children]],Table_NFI[Winter Clothes Children])</f>
        <v>0</v>
      </c>
      <c r="AK1122" s="294">
        <f>IF(NFI_Expiration=1,IF($A1122&lt;VLOOKUP(T$5,NFI,5,0),1,0)*Table_NFI[[#This Row],[Winter Items Other]],Table_NFI[Winter Items Other])</f>
        <v>0</v>
      </c>
      <c r="AL1122" s="294">
        <f>IF(NFI_Expiration=1,IF($A1122&lt;VLOOKUP(M$5,NFI,5,0),1,0)*Table_NFI[[#This Row],[Winter Blanket]],Table_NFI[[#This Row],[Winter Blanket]])</f>
        <v>0</v>
      </c>
      <c r="AM1122" s="294">
        <f>IF(Table_NFI[[#This Row],[Winter Clothes Adult]]+Table_NFI[[#This Row],[Winter Clothes Children]]+Table_NFI[[#This Row],[Winter Items Other]]+Table_NFI[[#This Row],[Winter Blanket]]&gt;0,1,0)</f>
        <v>0</v>
      </c>
      <c r="AN1122" s="331">
        <f>IF(NFI_Expiration=1,IF($A1122&lt;VLOOKUP(V$5,NFI,5,0),1,0)*Table_NFI[[#This Row],[Jerry Can]],Table_NFI[Jerry Can])</f>
        <v>0</v>
      </c>
      <c r="AO1122" s="331">
        <f>IF(NFI_Expiration=1,IF($A1122&lt;VLOOKUP(V$5,NFI,5,0),1,0)*Table_NFI[[#This Row],[Shelter Tool kit]],Table_NFI[Shelter Tool kit])</f>
        <v>0</v>
      </c>
      <c r="AP1122" s="331">
        <f>IF(NFI_Expiration=1,IF($A1122&lt;VLOOKUP(V$5,NFI,5,0),1,0)*Table_NFI[[#This Row],[Tent]],Table_NFI[Tent])</f>
        <v>0</v>
      </c>
      <c r="AQ1122" s="467" t="str">
        <f>IFERROR(VLOOKUP(Table_NFI[[#This Row],[Camp Name]],CL,2,0),"")</f>
        <v/>
      </c>
      <c r="AR1122" s="835" t="str">
        <f ca="1">IF(Table_NFI[[#This Row],[Pcode]]="","",IF(OFFSET(CampList[Opening Date],MATCH(Table_NFI[[#This Row],[Pcode]],CampList[CP_Pcode],0)-1,0,1,1)&gt;=NFI_Monitor_Date,1,0))</f>
        <v/>
      </c>
      <c r="AS1122" s="467" t="str">
        <f>IFERROR(VLOOKUP(Table_NFI[[#This Row],[Camp Name]],CL,3,0),"")</f>
        <v/>
      </c>
      <c r="AT1122" s="294" t="str">
        <f ca="1">IF(Table_NFI[[#This Row],[Pcode]]="","",OFFSET(CampList[Priority],MATCH(Table_NFI[[#This Row],[Pcode]],CampList[CP_Pcode],0)-1,0,1,1))</f>
        <v/>
      </c>
      <c r="AU1122" s="293" t="str">
        <f>IFERROR(Table_NFI[[#This Row],[Kitchen Set]]/VLOOKUP(Table_NFI[[#This Row],[Camp Name]],CL,4,0),"")</f>
        <v/>
      </c>
      <c r="AV1122" s="461"/>
      <c r="AW1122" s="468"/>
    </row>
    <row r="1123" spans="1:49" ht="14.45" customHeight="1" x14ac:dyDescent="0.25">
      <c r="A1123" s="297" t="str">
        <f t="shared" si="17"/>
        <v/>
      </c>
      <c r="B1123" s="460"/>
      <c r="C1123" s="465"/>
      <c r="D1123" s="465"/>
      <c r="E1123" s="465"/>
      <c r="F1123" s="465"/>
      <c r="G1123" s="465"/>
      <c r="H1123" s="292"/>
      <c r="I1123" s="292"/>
      <c r="J1123" s="292"/>
      <c r="K1123" s="292"/>
      <c r="L1123" s="292"/>
      <c r="M1123" s="292"/>
      <c r="N1123" s="292"/>
      <c r="O1123" s="292"/>
      <c r="P1123" s="294"/>
      <c r="Q1123" s="294"/>
      <c r="R1123" s="294"/>
      <c r="S1123" s="294"/>
      <c r="T1123" s="294"/>
      <c r="U1123" s="294"/>
      <c r="V1123" s="431"/>
      <c r="W1123" s="331"/>
      <c r="X1123" s="331"/>
      <c r="Y1123" s="294">
        <f>IF(NFI_Expiration=1,IF($A1123&lt;VLOOKUP(H$5,NFI,5,0),1,0)*Table_NFI[[#This Row],[Hygiene Kit]],Table_NFI[Hygiene Kit])</f>
        <v>0</v>
      </c>
      <c r="Z1123" s="294">
        <f>IF(NFI_Expiration=1,IF($A1123&lt;VLOOKUP(I$5,NFI,5,0),1,0)*Table_NFI[[#This Row],[NFI Core Kit]],Table_NFI[NFI Core Kit])</f>
        <v>0</v>
      </c>
      <c r="AA1123" s="294">
        <f>IF(NFI_Expiration=1,IF($A1123&lt;VLOOKUP(J$5,NFI,5,0),1,0)*Table_NFI[[#This Row],[Sanitary Kit]],Table_NFI[Sanitary Kit])</f>
        <v>0</v>
      </c>
      <c r="AB1123" s="294">
        <f>IF(NFI_Expiration=1,IF($A1123&lt;VLOOKUP(K$5,NFI,5,0),1,0)*Table_NFI[[#This Row],[Mosquito net]],Table_NFI[Mosquito net])</f>
        <v>0</v>
      </c>
      <c r="AC1123" s="294">
        <f>IF(NFI_Expiration=1,IF($A1123&lt;VLOOKUP(L$5,NFI,5,0),1,0)*Table_NFI[[#This Row],[Tarpaulin]],Table_NFI[[#This Row],[Tarpaulin]])</f>
        <v>0</v>
      </c>
      <c r="AD1123" s="294">
        <f>IF(NFI_Expiration=1,IF($A1123&lt;VLOOKUP(M$5,NFI,5,0),1,0)*Table_NFI[[#This Row],[Blanket]],Table_NFI[[#This Row],[Blanket]])</f>
        <v>0</v>
      </c>
      <c r="AE1123" s="294">
        <f>IF(NFI_Expiration=1,IF($A1123&lt;VLOOKUP(N$5,NFI,5,0),1,0)*Table_NFI[[#This Row],[Kitchen Set]],Table_NFI[Kitchen Set])</f>
        <v>0</v>
      </c>
      <c r="AF1123" s="294">
        <f>IF(NFI_Expiration=1,IF($A1123&lt;VLOOKUP(O$5,NFI,5,0),1,0)*Table_NFI[[#This Row],[Clothes Kit]],Table_NFI[Clothes Kit])</f>
        <v>0</v>
      </c>
      <c r="AG1123" s="294">
        <f>IF(NFI_Expiration=1,IF($A1123&lt;VLOOKUP(P$5,NFI,5,0),1,0)*Table_NFI[[#This Row],[Plastic Bucket]],Table_NFI[Plastic Bucket])</f>
        <v>0</v>
      </c>
      <c r="AH1123" s="294">
        <f>IF(NFI_Expiration=1,IF($A1123&lt;VLOOKUP(Q$5,NFI,5,0),1,0)*Table_NFI[[#This Row],[Plastic Mat]],Table_NFI[Plastic Mat])*IF(Table_NFI[[#This Row],[Distribution Date]]&gt;"2014-04-01",1,2.5)</f>
        <v>0</v>
      </c>
      <c r="AI1123" s="294">
        <f>IF(NFI_Expiration=1,IF($A1123&lt;VLOOKUP(R$5,NFI,5,0),1,0)*Table_NFI[[#This Row],[Winter Clothes Adult]],Table_NFI[Winter Clothes Adult])</f>
        <v>0</v>
      </c>
      <c r="AJ1123" s="294">
        <f>IF(NFI_Expiration=1,IF($A1123&lt;VLOOKUP(S$5,NFI,5,0),1,0)*Table_NFI[[#This Row],[Winter Clothes Children]],Table_NFI[Winter Clothes Children])</f>
        <v>0</v>
      </c>
      <c r="AK1123" s="294">
        <f>IF(NFI_Expiration=1,IF($A1123&lt;VLOOKUP(T$5,NFI,5,0),1,0)*Table_NFI[[#This Row],[Winter Items Other]],Table_NFI[Winter Items Other])</f>
        <v>0</v>
      </c>
      <c r="AL1123" s="294">
        <f>IF(NFI_Expiration=1,IF($A1123&lt;VLOOKUP(M$5,NFI,5,0),1,0)*Table_NFI[[#This Row],[Winter Blanket]],Table_NFI[[#This Row],[Winter Blanket]])</f>
        <v>0</v>
      </c>
      <c r="AM1123" s="294">
        <f>IF(Table_NFI[[#This Row],[Winter Clothes Adult]]+Table_NFI[[#This Row],[Winter Clothes Children]]+Table_NFI[[#This Row],[Winter Items Other]]+Table_NFI[[#This Row],[Winter Blanket]]&gt;0,1,0)</f>
        <v>0</v>
      </c>
      <c r="AN1123" s="331">
        <f>IF(NFI_Expiration=1,IF($A1123&lt;VLOOKUP(V$5,NFI,5,0),1,0)*Table_NFI[[#This Row],[Jerry Can]],Table_NFI[Jerry Can])</f>
        <v>0</v>
      </c>
      <c r="AO1123" s="331">
        <f>IF(NFI_Expiration=1,IF($A1123&lt;VLOOKUP(V$5,NFI,5,0),1,0)*Table_NFI[[#This Row],[Shelter Tool kit]],Table_NFI[Shelter Tool kit])</f>
        <v>0</v>
      </c>
      <c r="AP1123" s="331">
        <f>IF(NFI_Expiration=1,IF($A1123&lt;VLOOKUP(V$5,NFI,5,0),1,0)*Table_NFI[[#This Row],[Tent]],Table_NFI[Tent])</f>
        <v>0</v>
      </c>
      <c r="AQ1123" s="467" t="str">
        <f>IFERROR(VLOOKUP(Table_NFI[[#This Row],[Camp Name]],CL,2,0),"")</f>
        <v/>
      </c>
      <c r="AR1123" s="835" t="str">
        <f ca="1">IF(Table_NFI[[#This Row],[Pcode]]="","",IF(OFFSET(CampList[Opening Date],MATCH(Table_NFI[[#This Row],[Pcode]],CampList[CP_Pcode],0)-1,0,1,1)&gt;=NFI_Monitor_Date,1,0))</f>
        <v/>
      </c>
      <c r="AS1123" s="467" t="str">
        <f>IFERROR(VLOOKUP(Table_NFI[[#This Row],[Camp Name]],CL,3,0),"")</f>
        <v/>
      </c>
      <c r="AT1123" s="294" t="str">
        <f ca="1">IF(Table_NFI[[#This Row],[Pcode]]="","",OFFSET(CampList[Priority],MATCH(Table_NFI[[#This Row],[Pcode]],CampList[CP_Pcode],0)-1,0,1,1))</f>
        <v/>
      </c>
      <c r="AU1123" s="293" t="str">
        <f>IFERROR(Table_NFI[[#This Row],[Kitchen Set]]/VLOOKUP(Table_NFI[[#This Row],[Camp Name]],CL,4,0),"")</f>
        <v/>
      </c>
      <c r="AV1123" s="461"/>
      <c r="AW1123" s="468"/>
    </row>
    <row r="1124" spans="1:49" ht="14.45" customHeight="1" x14ac:dyDescent="0.25">
      <c r="A1124" s="297" t="str">
        <f t="shared" si="17"/>
        <v/>
      </c>
      <c r="B1124" s="460"/>
      <c r="C1124" s="465"/>
      <c r="D1124" s="465"/>
      <c r="E1124" s="465"/>
      <c r="F1124" s="465"/>
      <c r="G1124" s="465"/>
      <c r="H1124" s="292"/>
      <c r="I1124" s="292"/>
      <c r="J1124" s="292"/>
      <c r="K1124" s="292"/>
      <c r="L1124" s="292"/>
      <c r="M1124" s="292"/>
      <c r="N1124" s="292"/>
      <c r="O1124" s="292"/>
      <c r="P1124" s="294"/>
      <c r="Q1124" s="294"/>
      <c r="R1124" s="294"/>
      <c r="S1124" s="294"/>
      <c r="T1124" s="294"/>
      <c r="U1124" s="294"/>
      <c r="V1124" s="431"/>
      <c r="W1124" s="331"/>
      <c r="X1124" s="331"/>
      <c r="Y1124" s="294">
        <f>IF(NFI_Expiration=1,IF($A1124&lt;VLOOKUP(H$5,NFI,5,0),1,0)*Table_NFI[[#This Row],[Hygiene Kit]],Table_NFI[Hygiene Kit])</f>
        <v>0</v>
      </c>
      <c r="Z1124" s="294">
        <f>IF(NFI_Expiration=1,IF($A1124&lt;VLOOKUP(I$5,NFI,5,0),1,0)*Table_NFI[[#This Row],[NFI Core Kit]],Table_NFI[NFI Core Kit])</f>
        <v>0</v>
      </c>
      <c r="AA1124" s="294">
        <f>IF(NFI_Expiration=1,IF($A1124&lt;VLOOKUP(J$5,NFI,5,0),1,0)*Table_NFI[[#This Row],[Sanitary Kit]],Table_NFI[Sanitary Kit])</f>
        <v>0</v>
      </c>
      <c r="AB1124" s="294">
        <f>IF(NFI_Expiration=1,IF($A1124&lt;VLOOKUP(K$5,NFI,5,0),1,0)*Table_NFI[[#This Row],[Mosquito net]],Table_NFI[Mosquito net])</f>
        <v>0</v>
      </c>
      <c r="AC1124" s="294">
        <f>IF(NFI_Expiration=1,IF($A1124&lt;VLOOKUP(L$5,NFI,5,0),1,0)*Table_NFI[[#This Row],[Tarpaulin]],Table_NFI[[#This Row],[Tarpaulin]])</f>
        <v>0</v>
      </c>
      <c r="AD1124" s="294">
        <f>IF(NFI_Expiration=1,IF($A1124&lt;VLOOKUP(M$5,NFI,5,0),1,0)*Table_NFI[[#This Row],[Blanket]],Table_NFI[[#This Row],[Blanket]])</f>
        <v>0</v>
      </c>
      <c r="AE1124" s="294">
        <f>IF(NFI_Expiration=1,IF($A1124&lt;VLOOKUP(N$5,NFI,5,0),1,0)*Table_NFI[[#This Row],[Kitchen Set]],Table_NFI[Kitchen Set])</f>
        <v>0</v>
      </c>
      <c r="AF1124" s="294">
        <f>IF(NFI_Expiration=1,IF($A1124&lt;VLOOKUP(O$5,NFI,5,0),1,0)*Table_NFI[[#This Row],[Clothes Kit]],Table_NFI[Clothes Kit])</f>
        <v>0</v>
      </c>
      <c r="AG1124" s="294">
        <f>IF(NFI_Expiration=1,IF($A1124&lt;VLOOKUP(P$5,NFI,5,0),1,0)*Table_NFI[[#This Row],[Plastic Bucket]],Table_NFI[Plastic Bucket])</f>
        <v>0</v>
      </c>
      <c r="AH1124" s="294">
        <f>IF(NFI_Expiration=1,IF($A1124&lt;VLOOKUP(Q$5,NFI,5,0),1,0)*Table_NFI[[#This Row],[Plastic Mat]],Table_NFI[Plastic Mat])*IF(Table_NFI[[#This Row],[Distribution Date]]&gt;"2014-04-01",1,2.5)</f>
        <v>0</v>
      </c>
      <c r="AI1124" s="294">
        <f>IF(NFI_Expiration=1,IF($A1124&lt;VLOOKUP(R$5,NFI,5,0),1,0)*Table_NFI[[#This Row],[Winter Clothes Adult]],Table_NFI[Winter Clothes Adult])</f>
        <v>0</v>
      </c>
      <c r="AJ1124" s="294">
        <f>IF(NFI_Expiration=1,IF($A1124&lt;VLOOKUP(S$5,NFI,5,0),1,0)*Table_NFI[[#This Row],[Winter Clothes Children]],Table_NFI[Winter Clothes Children])</f>
        <v>0</v>
      </c>
      <c r="AK1124" s="294">
        <f>IF(NFI_Expiration=1,IF($A1124&lt;VLOOKUP(T$5,NFI,5,0),1,0)*Table_NFI[[#This Row],[Winter Items Other]],Table_NFI[Winter Items Other])</f>
        <v>0</v>
      </c>
      <c r="AL1124" s="294">
        <f>IF(NFI_Expiration=1,IF($A1124&lt;VLOOKUP(M$5,NFI,5,0),1,0)*Table_NFI[[#This Row],[Winter Blanket]],Table_NFI[[#This Row],[Winter Blanket]])</f>
        <v>0</v>
      </c>
      <c r="AM1124" s="294">
        <f>IF(Table_NFI[[#This Row],[Winter Clothes Adult]]+Table_NFI[[#This Row],[Winter Clothes Children]]+Table_NFI[[#This Row],[Winter Items Other]]+Table_NFI[[#This Row],[Winter Blanket]]&gt;0,1,0)</f>
        <v>0</v>
      </c>
      <c r="AN1124" s="331">
        <f>IF(NFI_Expiration=1,IF($A1124&lt;VLOOKUP(V$5,NFI,5,0),1,0)*Table_NFI[[#This Row],[Jerry Can]],Table_NFI[Jerry Can])</f>
        <v>0</v>
      </c>
      <c r="AO1124" s="331">
        <f>IF(NFI_Expiration=1,IF($A1124&lt;VLOOKUP(V$5,NFI,5,0),1,0)*Table_NFI[[#This Row],[Shelter Tool kit]],Table_NFI[Shelter Tool kit])</f>
        <v>0</v>
      </c>
      <c r="AP1124" s="331">
        <f>IF(NFI_Expiration=1,IF($A1124&lt;VLOOKUP(V$5,NFI,5,0),1,0)*Table_NFI[[#This Row],[Tent]],Table_NFI[Tent])</f>
        <v>0</v>
      </c>
      <c r="AQ1124" s="467" t="str">
        <f>IFERROR(VLOOKUP(Table_NFI[[#This Row],[Camp Name]],CL,2,0),"")</f>
        <v/>
      </c>
      <c r="AR1124" s="835" t="str">
        <f ca="1">IF(Table_NFI[[#This Row],[Pcode]]="","",IF(OFFSET(CampList[Opening Date],MATCH(Table_NFI[[#This Row],[Pcode]],CampList[CP_Pcode],0)-1,0,1,1)&gt;=NFI_Monitor_Date,1,0))</f>
        <v/>
      </c>
      <c r="AS1124" s="467" t="str">
        <f>IFERROR(VLOOKUP(Table_NFI[[#This Row],[Camp Name]],CL,3,0),"")</f>
        <v/>
      </c>
      <c r="AT1124" s="294" t="str">
        <f ca="1">IF(Table_NFI[[#This Row],[Pcode]]="","",OFFSET(CampList[Priority],MATCH(Table_NFI[[#This Row],[Pcode]],CampList[CP_Pcode],0)-1,0,1,1))</f>
        <v/>
      </c>
      <c r="AU1124" s="293" t="str">
        <f>IFERROR(Table_NFI[[#This Row],[Kitchen Set]]/VLOOKUP(Table_NFI[[#This Row],[Camp Name]],CL,4,0),"")</f>
        <v/>
      </c>
      <c r="AV1124" s="461"/>
      <c r="AW1124" s="468"/>
    </row>
    <row r="1125" spans="1:49" ht="14.45" customHeight="1" x14ac:dyDescent="0.25">
      <c r="A1125" s="297" t="str">
        <f t="shared" si="17"/>
        <v/>
      </c>
      <c r="B1125" s="460"/>
      <c r="C1125" s="465"/>
      <c r="D1125" s="465"/>
      <c r="E1125" s="465"/>
      <c r="F1125" s="465"/>
      <c r="G1125" s="465"/>
      <c r="H1125" s="292"/>
      <c r="I1125" s="292"/>
      <c r="J1125" s="292"/>
      <c r="K1125" s="292"/>
      <c r="L1125" s="292"/>
      <c r="M1125" s="292"/>
      <c r="N1125" s="292"/>
      <c r="O1125" s="292"/>
      <c r="P1125" s="294"/>
      <c r="Q1125" s="294"/>
      <c r="R1125" s="294"/>
      <c r="S1125" s="294"/>
      <c r="T1125" s="294"/>
      <c r="U1125" s="294"/>
      <c r="V1125" s="431"/>
      <c r="W1125" s="331"/>
      <c r="X1125" s="331"/>
      <c r="Y1125" s="294">
        <f>IF(NFI_Expiration=1,IF($A1125&lt;VLOOKUP(H$5,NFI,5,0),1,0)*Table_NFI[[#This Row],[Hygiene Kit]],Table_NFI[Hygiene Kit])</f>
        <v>0</v>
      </c>
      <c r="Z1125" s="294">
        <f>IF(NFI_Expiration=1,IF($A1125&lt;VLOOKUP(I$5,NFI,5,0),1,0)*Table_NFI[[#This Row],[NFI Core Kit]],Table_NFI[NFI Core Kit])</f>
        <v>0</v>
      </c>
      <c r="AA1125" s="294">
        <f>IF(NFI_Expiration=1,IF($A1125&lt;VLOOKUP(J$5,NFI,5,0),1,0)*Table_NFI[[#This Row],[Sanitary Kit]],Table_NFI[Sanitary Kit])</f>
        <v>0</v>
      </c>
      <c r="AB1125" s="294">
        <f>IF(NFI_Expiration=1,IF($A1125&lt;VLOOKUP(K$5,NFI,5,0),1,0)*Table_NFI[[#This Row],[Mosquito net]],Table_NFI[Mosquito net])</f>
        <v>0</v>
      </c>
      <c r="AC1125" s="294">
        <f>IF(NFI_Expiration=1,IF($A1125&lt;VLOOKUP(L$5,NFI,5,0),1,0)*Table_NFI[[#This Row],[Tarpaulin]],Table_NFI[[#This Row],[Tarpaulin]])</f>
        <v>0</v>
      </c>
      <c r="AD1125" s="294">
        <f>IF(NFI_Expiration=1,IF($A1125&lt;VLOOKUP(M$5,NFI,5,0),1,0)*Table_NFI[[#This Row],[Blanket]],Table_NFI[[#This Row],[Blanket]])</f>
        <v>0</v>
      </c>
      <c r="AE1125" s="294">
        <f>IF(NFI_Expiration=1,IF($A1125&lt;VLOOKUP(N$5,NFI,5,0),1,0)*Table_NFI[[#This Row],[Kitchen Set]],Table_NFI[Kitchen Set])</f>
        <v>0</v>
      </c>
      <c r="AF1125" s="294">
        <f>IF(NFI_Expiration=1,IF($A1125&lt;VLOOKUP(O$5,NFI,5,0),1,0)*Table_NFI[[#This Row],[Clothes Kit]],Table_NFI[Clothes Kit])</f>
        <v>0</v>
      </c>
      <c r="AG1125" s="294">
        <f>IF(NFI_Expiration=1,IF($A1125&lt;VLOOKUP(P$5,NFI,5,0),1,0)*Table_NFI[[#This Row],[Plastic Bucket]],Table_NFI[Plastic Bucket])</f>
        <v>0</v>
      </c>
      <c r="AH1125" s="294">
        <f>IF(NFI_Expiration=1,IF($A1125&lt;VLOOKUP(Q$5,NFI,5,0),1,0)*Table_NFI[[#This Row],[Plastic Mat]],Table_NFI[Plastic Mat])*IF(Table_NFI[[#This Row],[Distribution Date]]&gt;"2014-04-01",1,2.5)</f>
        <v>0</v>
      </c>
      <c r="AI1125" s="294">
        <f>IF(NFI_Expiration=1,IF($A1125&lt;VLOOKUP(R$5,NFI,5,0),1,0)*Table_NFI[[#This Row],[Winter Clothes Adult]],Table_NFI[Winter Clothes Adult])</f>
        <v>0</v>
      </c>
      <c r="AJ1125" s="294">
        <f>IF(NFI_Expiration=1,IF($A1125&lt;VLOOKUP(S$5,NFI,5,0),1,0)*Table_NFI[[#This Row],[Winter Clothes Children]],Table_NFI[Winter Clothes Children])</f>
        <v>0</v>
      </c>
      <c r="AK1125" s="294">
        <f>IF(NFI_Expiration=1,IF($A1125&lt;VLOOKUP(T$5,NFI,5,0),1,0)*Table_NFI[[#This Row],[Winter Items Other]],Table_NFI[Winter Items Other])</f>
        <v>0</v>
      </c>
      <c r="AL1125" s="294">
        <f>IF(NFI_Expiration=1,IF($A1125&lt;VLOOKUP(M$5,NFI,5,0),1,0)*Table_NFI[[#This Row],[Winter Blanket]],Table_NFI[[#This Row],[Winter Blanket]])</f>
        <v>0</v>
      </c>
      <c r="AM1125" s="294">
        <f>IF(Table_NFI[[#This Row],[Winter Clothes Adult]]+Table_NFI[[#This Row],[Winter Clothes Children]]+Table_NFI[[#This Row],[Winter Items Other]]+Table_NFI[[#This Row],[Winter Blanket]]&gt;0,1,0)</f>
        <v>0</v>
      </c>
      <c r="AN1125" s="331">
        <f>IF(NFI_Expiration=1,IF($A1125&lt;VLOOKUP(V$5,NFI,5,0),1,0)*Table_NFI[[#This Row],[Jerry Can]],Table_NFI[Jerry Can])</f>
        <v>0</v>
      </c>
      <c r="AO1125" s="331">
        <f>IF(NFI_Expiration=1,IF($A1125&lt;VLOOKUP(V$5,NFI,5,0),1,0)*Table_NFI[[#This Row],[Shelter Tool kit]],Table_NFI[Shelter Tool kit])</f>
        <v>0</v>
      </c>
      <c r="AP1125" s="331">
        <f>IF(NFI_Expiration=1,IF($A1125&lt;VLOOKUP(V$5,NFI,5,0),1,0)*Table_NFI[[#This Row],[Tent]],Table_NFI[Tent])</f>
        <v>0</v>
      </c>
      <c r="AQ1125" s="467" t="str">
        <f>IFERROR(VLOOKUP(Table_NFI[[#This Row],[Camp Name]],CL,2,0),"")</f>
        <v/>
      </c>
      <c r="AR1125" s="835" t="str">
        <f ca="1">IF(Table_NFI[[#This Row],[Pcode]]="","",IF(OFFSET(CampList[Opening Date],MATCH(Table_NFI[[#This Row],[Pcode]],CampList[CP_Pcode],0)-1,0,1,1)&gt;=NFI_Monitor_Date,1,0))</f>
        <v/>
      </c>
      <c r="AS1125" s="467" t="str">
        <f>IFERROR(VLOOKUP(Table_NFI[[#This Row],[Camp Name]],CL,3,0),"")</f>
        <v/>
      </c>
      <c r="AT1125" s="294" t="str">
        <f ca="1">IF(Table_NFI[[#This Row],[Pcode]]="","",OFFSET(CampList[Priority],MATCH(Table_NFI[[#This Row],[Pcode]],CampList[CP_Pcode],0)-1,0,1,1))</f>
        <v/>
      </c>
      <c r="AU1125" s="293" t="str">
        <f>IFERROR(Table_NFI[[#This Row],[Kitchen Set]]/VLOOKUP(Table_NFI[[#This Row],[Camp Name]],CL,4,0),"")</f>
        <v/>
      </c>
      <c r="AV1125" s="461"/>
      <c r="AW1125" s="468"/>
    </row>
    <row r="1126" spans="1:49" ht="14.45" customHeight="1" x14ac:dyDescent="0.25">
      <c r="A1126" s="297" t="str">
        <f t="shared" si="17"/>
        <v/>
      </c>
      <c r="B1126" s="460"/>
      <c r="C1126" s="465"/>
      <c r="D1126" s="465"/>
      <c r="E1126" s="465"/>
      <c r="F1126" s="465"/>
      <c r="G1126" s="465"/>
      <c r="H1126" s="292"/>
      <c r="I1126" s="292"/>
      <c r="J1126" s="292"/>
      <c r="K1126" s="292"/>
      <c r="L1126" s="292"/>
      <c r="M1126" s="292"/>
      <c r="N1126" s="292"/>
      <c r="O1126" s="292"/>
      <c r="P1126" s="294"/>
      <c r="Q1126" s="294"/>
      <c r="R1126" s="294"/>
      <c r="S1126" s="294"/>
      <c r="T1126" s="294"/>
      <c r="U1126" s="294"/>
      <c r="V1126" s="431"/>
      <c r="W1126" s="331"/>
      <c r="X1126" s="331"/>
      <c r="Y1126" s="294">
        <f>IF(NFI_Expiration=1,IF($A1126&lt;VLOOKUP(H$5,NFI,5,0),1,0)*Table_NFI[[#This Row],[Hygiene Kit]],Table_NFI[Hygiene Kit])</f>
        <v>0</v>
      </c>
      <c r="Z1126" s="294">
        <f>IF(NFI_Expiration=1,IF($A1126&lt;VLOOKUP(I$5,NFI,5,0),1,0)*Table_NFI[[#This Row],[NFI Core Kit]],Table_NFI[NFI Core Kit])</f>
        <v>0</v>
      </c>
      <c r="AA1126" s="294">
        <f>IF(NFI_Expiration=1,IF($A1126&lt;VLOOKUP(J$5,NFI,5,0),1,0)*Table_NFI[[#This Row],[Sanitary Kit]],Table_NFI[Sanitary Kit])</f>
        <v>0</v>
      </c>
      <c r="AB1126" s="294">
        <f>IF(NFI_Expiration=1,IF($A1126&lt;VLOOKUP(K$5,NFI,5,0),1,0)*Table_NFI[[#This Row],[Mosquito net]],Table_NFI[Mosquito net])</f>
        <v>0</v>
      </c>
      <c r="AC1126" s="294">
        <f>IF(NFI_Expiration=1,IF($A1126&lt;VLOOKUP(L$5,NFI,5,0),1,0)*Table_NFI[[#This Row],[Tarpaulin]],Table_NFI[[#This Row],[Tarpaulin]])</f>
        <v>0</v>
      </c>
      <c r="AD1126" s="294">
        <f>IF(NFI_Expiration=1,IF($A1126&lt;VLOOKUP(M$5,NFI,5,0),1,0)*Table_NFI[[#This Row],[Blanket]],Table_NFI[[#This Row],[Blanket]])</f>
        <v>0</v>
      </c>
      <c r="AE1126" s="294">
        <f>IF(NFI_Expiration=1,IF($A1126&lt;VLOOKUP(N$5,NFI,5,0),1,0)*Table_NFI[[#This Row],[Kitchen Set]],Table_NFI[Kitchen Set])</f>
        <v>0</v>
      </c>
      <c r="AF1126" s="294">
        <f>IF(NFI_Expiration=1,IF($A1126&lt;VLOOKUP(O$5,NFI,5,0),1,0)*Table_NFI[[#This Row],[Clothes Kit]],Table_NFI[Clothes Kit])</f>
        <v>0</v>
      </c>
      <c r="AG1126" s="294">
        <f>IF(NFI_Expiration=1,IF($A1126&lt;VLOOKUP(P$5,NFI,5,0),1,0)*Table_NFI[[#This Row],[Plastic Bucket]],Table_NFI[Plastic Bucket])</f>
        <v>0</v>
      </c>
      <c r="AH1126" s="294">
        <f>IF(NFI_Expiration=1,IF($A1126&lt;VLOOKUP(Q$5,NFI,5,0),1,0)*Table_NFI[[#This Row],[Plastic Mat]],Table_NFI[Plastic Mat])*IF(Table_NFI[[#This Row],[Distribution Date]]&gt;"2014-04-01",1,2.5)</f>
        <v>0</v>
      </c>
      <c r="AI1126" s="294">
        <f>IF(NFI_Expiration=1,IF($A1126&lt;VLOOKUP(R$5,NFI,5,0),1,0)*Table_NFI[[#This Row],[Winter Clothes Adult]],Table_NFI[Winter Clothes Adult])</f>
        <v>0</v>
      </c>
      <c r="AJ1126" s="294">
        <f>IF(NFI_Expiration=1,IF($A1126&lt;VLOOKUP(S$5,NFI,5,0),1,0)*Table_NFI[[#This Row],[Winter Clothes Children]],Table_NFI[Winter Clothes Children])</f>
        <v>0</v>
      </c>
      <c r="AK1126" s="294">
        <f>IF(NFI_Expiration=1,IF($A1126&lt;VLOOKUP(T$5,NFI,5,0),1,0)*Table_NFI[[#This Row],[Winter Items Other]],Table_NFI[Winter Items Other])</f>
        <v>0</v>
      </c>
      <c r="AL1126" s="294">
        <f>IF(NFI_Expiration=1,IF($A1126&lt;VLOOKUP(M$5,NFI,5,0),1,0)*Table_NFI[[#This Row],[Winter Blanket]],Table_NFI[[#This Row],[Winter Blanket]])</f>
        <v>0</v>
      </c>
      <c r="AM1126" s="294">
        <f>IF(Table_NFI[[#This Row],[Winter Clothes Adult]]+Table_NFI[[#This Row],[Winter Clothes Children]]+Table_NFI[[#This Row],[Winter Items Other]]+Table_NFI[[#This Row],[Winter Blanket]]&gt;0,1,0)</f>
        <v>0</v>
      </c>
      <c r="AN1126" s="331">
        <f>IF(NFI_Expiration=1,IF($A1126&lt;VLOOKUP(V$5,NFI,5,0),1,0)*Table_NFI[[#This Row],[Jerry Can]],Table_NFI[Jerry Can])</f>
        <v>0</v>
      </c>
      <c r="AO1126" s="331">
        <f>IF(NFI_Expiration=1,IF($A1126&lt;VLOOKUP(V$5,NFI,5,0),1,0)*Table_NFI[[#This Row],[Shelter Tool kit]],Table_NFI[Shelter Tool kit])</f>
        <v>0</v>
      </c>
      <c r="AP1126" s="331">
        <f>IF(NFI_Expiration=1,IF($A1126&lt;VLOOKUP(V$5,NFI,5,0),1,0)*Table_NFI[[#This Row],[Tent]],Table_NFI[Tent])</f>
        <v>0</v>
      </c>
      <c r="AQ1126" s="467" t="str">
        <f>IFERROR(VLOOKUP(Table_NFI[[#This Row],[Camp Name]],CL,2,0),"")</f>
        <v/>
      </c>
      <c r="AR1126" s="835" t="str">
        <f ca="1">IF(Table_NFI[[#This Row],[Pcode]]="","",IF(OFFSET(CampList[Opening Date],MATCH(Table_NFI[[#This Row],[Pcode]],CampList[CP_Pcode],0)-1,0,1,1)&gt;=NFI_Monitor_Date,1,0))</f>
        <v/>
      </c>
      <c r="AS1126" s="467" t="str">
        <f>IFERROR(VLOOKUP(Table_NFI[[#This Row],[Camp Name]],CL,3,0),"")</f>
        <v/>
      </c>
      <c r="AT1126" s="294" t="str">
        <f ca="1">IF(Table_NFI[[#This Row],[Pcode]]="","",OFFSET(CampList[Priority],MATCH(Table_NFI[[#This Row],[Pcode]],CampList[CP_Pcode],0)-1,0,1,1))</f>
        <v/>
      </c>
      <c r="AU1126" s="293" t="str">
        <f>IFERROR(Table_NFI[[#This Row],[Kitchen Set]]/VLOOKUP(Table_NFI[[#This Row],[Camp Name]],CL,4,0),"")</f>
        <v/>
      </c>
      <c r="AV1126" s="461"/>
      <c r="AW1126" s="468"/>
    </row>
    <row r="1127" spans="1:49" ht="14.45" customHeight="1" x14ac:dyDescent="0.25">
      <c r="A1127" s="297" t="str">
        <f t="shared" si="17"/>
        <v/>
      </c>
      <c r="B1127" s="460"/>
      <c r="C1127" s="465"/>
      <c r="D1127" s="465"/>
      <c r="E1127" s="465"/>
      <c r="F1127" s="465"/>
      <c r="G1127" s="465"/>
      <c r="H1127" s="292"/>
      <c r="I1127" s="292"/>
      <c r="J1127" s="292"/>
      <c r="K1127" s="292"/>
      <c r="L1127" s="292"/>
      <c r="M1127" s="292"/>
      <c r="N1127" s="292"/>
      <c r="O1127" s="292"/>
      <c r="P1127" s="294"/>
      <c r="Q1127" s="294"/>
      <c r="R1127" s="294"/>
      <c r="S1127" s="294"/>
      <c r="T1127" s="294"/>
      <c r="U1127" s="294"/>
      <c r="V1127" s="431"/>
      <c r="W1127" s="331"/>
      <c r="X1127" s="331"/>
      <c r="Y1127" s="294">
        <f>IF(NFI_Expiration=1,IF($A1127&lt;VLOOKUP(H$5,NFI,5,0),1,0)*Table_NFI[[#This Row],[Hygiene Kit]],Table_NFI[Hygiene Kit])</f>
        <v>0</v>
      </c>
      <c r="Z1127" s="294">
        <f>IF(NFI_Expiration=1,IF($A1127&lt;VLOOKUP(I$5,NFI,5,0),1,0)*Table_NFI[[#This Row],[NFI Core Kit]],Table_NFI[NFI Core Kit])</f>
        <v>0</v>
      </c>
      <c r="AA1127" s="294">
        <f>IF(NFI_Expiration=1,IF($A1127&lt;VLOOKUP(J$5,NFI,5,0),1,0)*Table_NFI[[#This Row],[Sanitary Kit]],Table_NFI[Sanitary Kit])</f>
        <v>0</v>
      </c>
      <c r="AB1127" s="294">
        <f>IF(NFI_Expiration=1,IF($A1127&lt;VLOOKUP(K$5,NFI,5,0),1,0)*Table_NFI[[#This Row],[Mosquito net]],Table_NFI[Mosquito net])</f>
        <v>0</v>
      </c>
      <c r="AC1127" s="294">
        <f>IF(NFI_Expiration=1,IF($A1127&lt;VLOOKUP(L$5,NFI,5,0),1,0)*Table_NFI[[#This Row],[Tarpaulin]],Table_NFI[[#This Row],[Tarpaulin]])</f>
        <v>0</v>
      </c>
      <c r="AD1127" s="294">
        <f>IF(NFI_Expiration=1,IF($A1127&lt;VLOOKUP(M$5,NFI,5,0),1,0)*Table_NFI[[#This Row],[Blanket]],Table_NFI[[#This Row],[Blanket]])</f>
        <v>0</v>
      </c>
      <c r="AE1127" s="294">
        <f>IF(NFI_Expiration=1,IF($A1127&lt;VLOOKUP(N$5,NFI,5,0),1,0)*Table_NFI[[#This Row],[Kitchen Set]],Table_NFI[Kitchen Set])</f>
        <v>0</v>
      </c>
      <c r="AF1127" s="294">
        <f>IF(NFI_Expiration=1,IF($A1127&lt;VLOOKUP(O$5,NFI,5,0),1,0)*Table_NFI[[#This Row],[Clothes Kit]],Table_NFI[Clothes Kit])</f>
        <v>0</v>
      </c>
      <c r="AG1127" s="294">
        <f>IF(NFI_Expiration=1,IF($A1127&lt;VLOOKUP(P$5,NFI,5,0),1,0)*Table_NFI[[#This Row],[Plastic Bucket]],Table_NFI[Plastic Bucket])</f>
        <v>0</v>
      </c>
      <c r="AH1127" s="294">
        <f>IF(NFI_Expiration=1,IF($A1127&lt;VLOOKUP(Q$5,NFI,5,0),1,0)*Table_NFI[[#This Row],[Plastic Mat]],Table_NFI[Plastic Mat])*IF(Table_NFI[[#This Row],[Distribution Date]]&gt;"2014-04-01",1,2.5)</f>
        <v>0</v>
      </c>
      <c r="AI1127" s="294">
        <f>IF(NFI_Expiration=1,IF($A1127&lt;VLOOKUP(R$5,NFI,5,0),1,0)*Table_NFI[[#This Row],[Winter Clothes Adult]],Table_NFI[Winter Clothes Adult])</f>
        <v>0</v>
      </c>
      <c r="AJ1127" s="294">
        <f>IF(NFI_Expiration=1,IF($A1127&lt;VLOOKUP(S$5,NFI,5,0),1,0)*Table_NFI[[#This Row],[Winter Clothes Children]],Table_NFI[Winter Clothes Children])</f>
        <v>0</v>
      </c>
      <c r="AK1127" s="294">
        <f>IF(NFI_Expiration=1,IF($A1127&lt;VLOOKUP(T$5,NFI,5,0),1,0)*Table_NFI[[#This Row],[Winter Items Other]],Table_NFI[Winter Items Other])</f>
        <v>0</v>
      </c>
      <c r="AL1127" s="294">
        <f>IF(NFI_Expiration=1,IF($A1127&lt;VLOOKUP(M$5,NFI,5,0),1,0)*Table_NFI[[#This Row],[Winter Blanket]],Table_NFI[[#This Row],[Winter Blanket]])</f>
        <v>0</v>
      </c>
      <c r="AM1127" s="294">
        <f>IF(Table_NFI[[#This Row],[Winter Clothes Adult]]+Table_NFI[[#This Row],[Winter Clothes Children]]+Table_NFI[[#This Row],[Winter Items Other]]+Table_NFI[[#This Row],[Winter Blanket]]&gt;0,1,0)</f>
        <v>0</v>
      </c>
      <c r="AN1127" s="331">
        <f>IF(NFI_Expiration=1,IF($A1127&lt;VLOOKUP(V$5,NFI,5,0),1,0)*Table_NFI[[#This Row],[Jerry Can]],Table_NFI[Jerry Can])</f>
        <v>0</v>
      </c>
      <c r="AO1127" s="331">
        <f>IF(NFI_Expiration=1,IF($A1127&lt;VLOOKUP(V$5,NFI,5,0),1,0)*Table_NFI[[#This Row],[Shelter Tool kit]],Table_NFI[Shelter Tool kit])</f>
        <v>0</v>
      </c>
      <c r="AP1127" s="331">
        <f>IF(NFI_Expiration=1,IF($A1127&lt;VLOOKUP(V$5,NFI,5,0),1,0)*Table_NFI[[#This Row],[Tent]],Table_NFI[Tent])</f>
        <v>0</v>
      </c>
      <c r="AQ1127" s="467" t="str">
        <f>IFERROR(VLOOKUP(Table_NFI[[#This Row],[Camp Name]],CL,2,0),"")</f>
        <v/>
      </c>
      <c r="AR1127" s="835" t="str">
        <f ca="1">IF(Table_NFI[[#This Row],[Pcode]]="","",IF(OFFSET(CampList[Opening Date],MATCH(Table_NFI[[#This Row],[Pcode]],CampList[CP_Pcode],0)-1,0,1,1)&gt;=NFI_Monitor_Date,1,0))</f>
        <v/>
      </c>
      <c r="AS1127" s="467" t="str">
        <f>IFERROR(VLOOKUP(Table_NFI[[#This Row],[Camp Name]],CL,3,0),"")</f>
        <v/>
      </c>
      <c r="AT1127" s="294" t="str">
        <f ca="1">IF(Table_NFI[[#This Row],[Pcode]]="","",OFFSET(CampList[Priority],MATCH(Table_NFI[[#This Row],[Pcode]],CampList[CP_Pcode],0)-1,0,1,1))</f>
        <v/>
      </c>
      <c r="AU1127" s="293" t="str">
        <f>IFERROR(Table_NFI[[#This Row],[Kitchen Set]]/VLOOKUP(Table_NFI[[#This Row],[Camp Name]],CL,4,0),"")</f>
        <v/>
      </c>
      <c r="AV1127" s="461"/>
      <c r="AW1127" s="468"/>
    </row>
    <row r="1128" spans="1:49" ht="14.45" customHeight="1" x14ac:dyDescent="0.25">
      <c r="A1128" s="297" t="str">
        <f t="shared" si="17"/>
        <v/>
      </c>
      <c r="B1128" s="460"/>
      <c r="C1128" s="465"/>
      <c r="D1128" s="465"/>
      <c r="E1128" s="465"/>
      <c r="F1128" s="465"/>
      <c r="G1128" s="465"/>
      <c r="H1128" s="292"/>
      <c r="I1128" s="292"/>
      <c r="J1128" s="292"/>
      <c r="K1128" s="292"/>
      <c r="L1128" s="292"/>
      <c r="M1128" s="292"/>
      <c r="N1128" s="292"/>
      <c r="O1128" s="292"/>
      <c r="P1128" s="294"/>
      <c r="Q1128" s="294"/>
      <c r="R1128" s="294"/>
      <c r="S1128" s="294"/>
      <c r="T1128" s="294"/>
      <c r="U1128" s="294"/>
      <c r="V1128" s="431"/>
      <c r="W1128" s="331"/>
      <c r="X1128" s="331"/>
      <c r="Y1128" s="294">
        <f>IF(NFI_Expiration=1,IF($A1128&lt;VLOOKUP(H$5,NFI,5,0),1,0)*Table_NFI[[#This Row],[Hygiene Kit]],Table_NFI[Hygiene Kit])</f>
        <v>0</v>
      </c>
      <c r="Z1128" s="294">
        <f>IF(NFI_Expiration=1,IF($A1128&lt;VLOOKUP(I$5,NFI,5,0),1,0)*Table_NFI[[#This Row],[NFI Core Kit]],Table_NFI[NFI Core Kit])</f>
        <v>0</v>
      </c>
      <c r="AA1128" s="294">
        <f>IF(NFI_Expiration=1,IF($A1128&lt;VLOOKUP(J$5,NFI,5,0),1,0)*Table_NFI[[#This Row],[Sanitary Kit]],Table_NFI[Sanitary Kit])</f>
        <v>0</v>
      </c>
      <c r="AB1128" s="294">
        <f>IF(NFI_Expiration=1,IF($A1128&lt;VLOOKUP(K$5,NFI,5,0),1,0)*Table_NFI[[#This Row],[Mosquito net]],Table_NFI[Mosquito net])</f>
        <v>0</v>
      </c>
      <c r="AC1128" s="294">
        <f>IF(NFI_Expiration=1,IF($A1128&lt;VLOOKUP(L$5,NFI,5,0),1,0)*Table_NFI[[#This Row],[Tarpaulin]],Table_NFI[[#This Row],[Tarpaulin]])</f>
        <v>0</v>
      </c>
      <c r="AD1128" s="294">
        <f>IF(NFI_Expiration=1,IF($A1128&lt;VLOOKUP(M$5,NFI,5,0),1,0)*Table_NFI[[#This Row],[Blanket]],Table_NFI[[#This Row],[Blanket]])</f>
        <v>0</v>
      </c>
      <c r="AE1128" s="294">
        <f>IF(NFI_Expiration=1,IF($A1128&lt;VLOOKUP(N$5,NFI,5,0),1,0)*Table_NFI[[#This Row],[Kitchen Set]],Table_NFI[Kitchen Set])</f>
        <v>0</v>
      </c>
      <c r="AF1128" s="294">
        <f>IF(NFI_Expiration=1,IF($A1128&lt;VLOOKUP(O$5,NFI,5,0),1,0)*Table_NFI[[#This Row],[Clothes Kit]],Table_NFI[Clothes Kit])</f>
        <v>0</v>
      </c>
      <c r="AG1128" s="294">
        <f>IF(NFI_Expiration=1,IF($A1128&lt;VLOOKUP(P$5,NFI,5,0),1,0)*Table_NFI[[#This Row],[Plastic Bucket]],Table_NFI[Plastic Bucket])</f>
        <v>0</v>
      </c>
      <c r="AH1128" s="294">
        <f>IF(NFI_Expiration=1,IF($A1128&lt;VLOOKUP(Q$5,NFI,5,0),1,0)*Table_NFI[[#This Row],[Plastic Mat]],Table_NFI[Plastic Mat])*IF(Table_NFI[[#This Row],[Distribution Date]]&gt;"2014-04-01",1,2.5)</f>
        <v>0</v>
      </c>
      <c r="AI1128" s="294">
        <f>IF(NFI_Expiration=1,IF($A1128&lt;VLOOKUP(R$5,NFI,5,0),1,0)*Table_NFI[[#This Row],[Winter Clothes Adult]],Table_NFI[Winter Clothes Adult])</f>
        <v>0</v>
      </c>
      <c r="AJ1128" s="294">
        <f>IF(NFI_Expiration=1,IF($A1128&lt;VLOOKUP(S$5,NFI,5,0),1,0)*Table_NFI[[#This Row],[Winter Clothes Children]],Table_NFI[Winter Clothes Children])</f>
        <v>0</v>
      </c>
      <c r="AK1128" s="294">
        <f>IF(NFI_Expiration=1,IF($A1128&lt;VLOOKUP(T$5,NFI,5,0),1,0)*Table_NFI[[#This Row],[Winter Items Other]],Table_NFI[Winter Items Other])</f>
        <v>0</v>
      </c>
      <c r="AL1128" s="294">
        <f>IF(NFI_Expiration=1,IF($A1128&lt;VLOOKUP(M$5,NFI,5,0),1,0)*Table_NFI[[#This Row],[Winter Blanket]],Table_NFI[[#This Row],[Winter Blanket]])</f>
        <v>0</v>
      </c>
      <c r="AM1128" s="294">
        <f>IF(Table_NFI[[#This Row],[Winter Clothes Adult]]+Table_NFI[[#This Row],[Winter Clothes Children]]+Table_NFI[[#This Row],[Winter Items Other]]+Table_NFI[[#This Row],[Winter Blanket]]&gt;0,1,0)</f>
        <v>0</v>
      </c>
      <c r="AN1128" s="331">
        <f>IF(NFI_Expiration=1,IF($A1128&lt;VLOOKUP(V$5,NFI,5,0),1,0)*Table_NFI[[#This Row],[Jerry Can]],Table_NFI[Jerry Can])</f>
        <v>0</v>
      </c>
      <c r="AO1128" s="331">
        <f>IF(NFI_Expiration=1,IF($A1128&lt;VLOOKUP(V$5,NFI,5,0),1,0)*Table_NFI[[#This Row],[Shelter Tool kit]],Table_NFI[Shelter Tool kit])</f>
        <v>0</v>
      </c>
      <c r="AP1128" s="331">
        <f>IF(NFI_Expiration=1,IF($A1128&lt;VLOOKUP(V$5,NFI,5,0),1,0)*Table_NFI[[#This Row],[Tent]],Table_NFI[Tent])</f>
        <v>0</v>
      </c>
      <c r="AQ1128" s="467" t="str">
        <f>IFERROR(VLOOKUP(Table_NFI[[#This Row],[Camp Name]],CL,2,0),"")</f>
        <v/>
      </c>
      <c r="AR1128" s="835" t="str">
        <f ca="1">IF(Table_NFI[[#This Row],[Pcode]]="","",IF(OFFSET(CampList[Opening Date],MATCH(Table_NFI[[#This Row],[Pcode]],CampList[CP_Pcode],0)-1,0,1,1)&gt;=NFI_Monitor_Date,1,0))</f>
        <v/>
      </c>
      <c r="AS1128" s="467" t="str">
        <f>IFERROR(VLOOKUP(Table_NFI[[#This Row],[Camp Name]],CL,3,0),"")</f>
        <v/>
      </c>
      <c r="AT1128" s="294" t="str">
        <f ca="1">IF(Table_NFI[[#This Row],[Pcode]]="","",OFFSET(CampList[Priority],MATCH(Table_NFI[[#This Row],[Pcode]],CampList[CP_Pcode],0)-1,0,1,1))</f>
        <v/>
      </c>
      <c r="AU1128" s="293" t="str">
        <f>IFERROR(Table_NFI[[#This Row],[Kitchen Set]]/VLOOKUP(Table_NFI[[#This Row],[Camp Name]],CL,4,0),"")</f>
        <v/>
      </c>
      <c r="AV1128" s="461"/>
      <c r="AW1128" s="468"/>
    </row>
    <row r="1129" spans="1:49" ht="14.45" customHeight="1" x14ac:dyDescent="0.25">
      <c r="A1129" s="297" t="str">
        <f t="shared" si="17"/>
        <v/>
      </c>
      <c r="B1129" s="460"/>
      <c r="C1129" s="465"/>
      <c r="D1129" s="465"/>
      <c r="E1129" s="465"/>
      <c r="F1129" s="465"/>
      <c r="G1129" s="465"/>
      <c r="H1129" s="292"/>
      <c r="I1129" s="292"/>
      <c r="J1129" s="292"/>
      <c r="K1129" s="292"/>
      <c r="L1129" s="292"/>
      <c r="M1129" s="292"/>
      <c r="N1129" s="292"/>
      <c r="O1129" s="292"/>
      <c r="P1129" s="294"/>
      <c r="Q1129" s="294"/>
      <c r="R1129" s="294"/>
      <c r="S1129" s="294"/>
      <c r="T1129" s="294"/>
      <c r="U1129" s="294"/>
      <c r="V1129" s="431"/>
      <c r="W1129" s="331"/>
      <c r="X1129" s="331"/>
      <c r="Y1129" s="294">
        <f>IF(NFI_Expiration=1,IF($A1129&lt;VLOOKUP(H$5,NFI,5,0),1,0)*Table_NFI[[#This Row],[Hygiene Kit]],Table_NFI[Hygiene Kit])</f>
        <v>0</v>
      </c>
      <c r="Z1129" s="294">
        <f>IF(NFI_Expiration=1,IF($A1129&lt;VLOOKUP(I$5,NFI,5,0),1,0)*Table_NFI[[#This Row],[NFI Core Kit]],Table_NFI[NFI Core Kit])</f>
        <v>0</v>
      </c>
      <c r="AA1129" s="294">
        <f>IF(NFI_Expiration=1,IF($A1129&lt;VLOOKUP(J$5,NFI,5,0),1,0)*Table_NFI[[#This Row],[Sanitary Kit]],Table_NFI[Sanitary Kit])</f>
        <v>0</v>
      </c>
      <c r="AB1129" s="294">
        <f>IF(NFI_Expiration=1,IF($A1129&lt;VLOOKUP(K$5,NFI,5,0),1,0)*Table_NFI[[#This Row],[Mosquito net]],Table_NFI[Mosquito net])</f>
        <v>0</v>
      </c>
      <c r="AC1129" s="294">
        <f>IF(NFI_Expiration=1,IF($A1129&lt;VLOOKUP(L$5,NFI,5,0),1,0)*Table_NFI[[#This Row],[Tarpaulin]],Table_NFI[[#This Row],[Tarpaulin]])</f>
        <v>0</v>
      </c>
      <c r="AD1129" s="294">
        <f>IF(NFI_Expiration=1,IF($A1129&lt;VLOOKUP(M$5,NFI,5,0),1,0)*Table_NFI[[#This Row],[Blanket]],Table_NFI[[#This Row],[Blanket]])</f>
        <v>0</v>
      </c>
      <c r="AE1129" s="294">
        <f>IF(NFI_Expiration=1,IF($A1129&lt;VLOOKUP(N$5,NFI,5,0),1,0)*Table_NFI[[#This Row],[Kitchen Set]],Table_NFI[Kitchen Set])</f>
        <v>0</v>
      </c>
      <c r="AF1129" s="294">
        <f>IF(NFI_Expiration=1,IF($A1129&lt;VLOOKUP(O$5,NFI,5,0),1,0)*Table_NFI[[#This Row],[Clothes Kit]],Table_NFI[Clothes Kit])</f>
        <v>0</v>
      </c>
      <c r="AG1129" s="294">
        <f>IF(NFI_Expiration=1,IF($A1129&lt;VLOOKUP(P$5,NFI,5,0),1,0)*Table_NFI[[#This Row],[Plastic Bucket]],Table_NFI[Plastic Bucket])</f>
        <v>0</v>
      </c>
      <c r="AH1129" s="294">
        <f>IF(NFI_Expiration=1,IF($A1129&lt;VLOOKUP(Q$5,NFI,5,0),1,0)*Table_NFI[[#This Row],[Plastic Mat]],Table_NFI[Plastic Mat])*IF(Table_NFI[[#This Row],[Distribution Date]]&gt;"2014-04-01",1,2.5)</f>
        <v>0</v>
      </c>
      <c r="AI1129" s="294">
        <f>IF(NFI_Expiration=1,IF($A1129&lt;VLOOKUP(R$5,NFI,5,0),1,0)*Table_NFI[[#This Row],[Winter Clothes Adult]],Table_NFI[Winter Clothes Adult])</f>
        <v>0</v>
      </c>
      <c r="AJ1129" s="294">
        <f>IF(NFI_Expiration=1,IF($A1129&lt;VLOOKUP(S$5,NFI,5,0),1,0)*Table_NFI[[#This Row],[Winter Clothes Children]],Table_NFI[Winter Clothes Children])</f>
        <v>0</v>
      </c>
      <c r="AK1129" s="294">
        <f>IF(NFI_Expiration=1,IF($A1129&lt;VLOOKUP(T$5,NFI,5,0),1,0)*Table_NFI[[#This Row],[Winter Items Other]],Table_NFI[Winter Items Other])</f>
        <v>0</v>
      </c>
      <c r="AL1129" s="294">
        <f>IF(NFI_Expiration=1,IF($A1129&lt;VLOOKUP(M$5,NFI,5,0),1,0)*Table_NFI[[#This Row],[Winter Blanket]],Table_NFI[[#This Row],[Winter Blanket]])</f>
        <v>0</v>
      </c>
      <c r="AM1129" s="294">
        <f>IF(Table_NFI[[#This Row],[Winter Clothes Adult]]+Table_NFI[[#This Row],[Winter Clothes Children]]+Table_NFI[[#This Row],[Winter Items Other]]+Table_NFI[[#This Row],[Winter Blanket]]&gt;0,1,0)</f>
        <v>0</v>
      </c>
      <c r="AN1129" s="331">
        <f>IF(NFI_Expiration=1,IF($A1129&lt;VLOOKUP(V$5,NFI,5,0),1,0)*Table_NFI[[#This Row],[Jerry Can]],Table_NFI[Jerry Can])</f>
        <v>0</v>
      </c>
      <c r="AO1129" s="331">
        <f>IF(NFI_Expiration=1,IF($A1129&lt;VLOOKUP(V$5,NFI,5,0),1,0)*Table_NFI[[#This Row],[Shelter Tool kit]],Table_NFI[Shelter Tool kit])</f>
        <v>0</v>
      </c>
      <c r="AP1129" s="331">
        <f>IF(NFI_Expiration=1,IF($A1129&lt;VLOOKUP(V$5,NFI,5,0),1,0)*Table_NFI[[#This Row],[Tent]],Table_NFI[Tent])</f>
        <v>0</v>
      </c>
      <c r="AQ1129" s="467" t="str">
        <f>IFERROR(VLOOKUP(Table_NFI[[#This Row],[Camp Name]],CL,2,0),"")</f>
        <v/>
      </c>
      <c r="AR1129" s="835" t="str">
        <f ca="1">IF(Table_NFI[[#This Row],[Pcode]]="","",IF(OFFSET(CampList[Opening Date],MATCH(Table_NFI[[#This Row],[Pcode]],CampList[CP_Pcode],0)-1,0,1,1)&gt;=NFI_Monitor_Date,1,0))</f>
        <v/>
      </c>
      <c r="AS1129" s="467" t="str">
        <f>IFERROR(VLOOKUP(Table_NFI[[#This Row],[Camp Name]],CL,3,0),"")</f>
        <v/>
      </c>
      <c r="AT1129" s="294" t="str">
        <f ca="1">IF(Table_NFI[[#This Row],[Pcode]]="","",OFFSET(CampList[Priority],MATCH(Table_NFI[[#This Row],[Pcode]],CampList[CP_Pcode],0)-1,0,1,1))</f>
        <v/>
      </c>
      <c r="AU1129" s="293" t="str">
        <f>IFERROR(Table_NFI[[#This Row],[Kitchen Set]]/VLOOKUP(Table_NFI[[#This Row],[Camp Name]],CL,4,0),"")</f>
        <v/>
      </c>
      <c r="AV1129" s="461"/>
      <c r="AW1129" s="468"/>
    </row>
    <row r="1130" spans="1:49" ht="14.45" customHeight="1" x14ac:dyDescent="0.25">
      <c r="A1130" s="297" t="str">
        <f t="shared" si="17"/>
        <v/>
      </c>
      <c r="B1130" s="460"/>
      <c r="C1130" s="465"/>
      <c r="D1130" s="465"/>
      <c r="E1130" s="465"/>
      <c r="F1130" s="465"/>
      <c r="G1130" s="465"/>
      <c r="H1130" s="292"/>
      <c r="I1130" s="292"/>
      <c r="J1130" s="292"/>
      <c r="K1130" s="292"/>
      <c r="L1130" s="292"/>
      <c r="M1130" s="292"/>
      <c r="N1130" s="292"/>
      <c r="O1130" s="292"/>
      <c r="P1130" s="294"/>
      <c r="Q1130" s="294"/>
      <c r="R1130" s="294"/>
      <c r="S1130" s="294"/>
      <c r="T1130" s="294"/>
      <c r="U1130" s="294"/>
      <c r="V1130" s="431"/>
      <c r="W1130" s="331"/>
      <c r="X1130" s="331"/>
      <c r="Y1130" s="294">
        <f>IF(NFI_Expiration=1,IF($A1130&lt;VLOOKUP(H$5,NFI,5,0),1,0)*Table_NFI[[#This Row],[Hygiene Kit]],Table_NFI[Hygiene Kit])</f>
        <v>0</v>
      </c>
      <c r="Z1130" s="294">
        <f>IF(NFI_Expiration=1,IF($A1130&lt;VLOOKUP(I$5,NFI,5,0),1,0)*Table_NFI[[#This Row],[NFI Core Kit]],Table_NFI[NFI Core Kit])</f>
        <v>0</v>
      </c>
      <c r="AA1130" s="294">
        <f>IF(NFI_Expiration=1,IF($A1130&lt;VLOOKUP(J$5,NFI,5,0),1,0)*Table_NFI[[#This Row],[Sanitary Kit]],Table_NFI[Sanitary Kit])</f>
        <v>0</v>
      </c>
      <c r="AB1130" s="294">
        <f>IF(NFI_Expiration=1,IF($A1130&lt;VLOOKUP(K$5,NFI,5,0),1,0)*Table_NFI[[#This Row],[Mosquito net]],Table_NFI[Mosquito net])</f>
        <v>0</v>
      </c>
      <c r="AC1130" s="294">
        <f>IF(NFI_Expiration=1,IF($A1130&lt;VLOOKUP(L$5,NFI,5,0),1,0)*Table_NFI[[#This Row],[Tarpaulin]],Table_NFI[[#This Row],[Tarpaulin]])</f>
        <v>0</v>
      </c>
      <c r="AD1130" s="294">
        <f>IF(NFI_Expiration=1,IF($A1130&lt;VLOOKUP(M$5,NFI,5,0),1,0)*Table_NFI[[#This Row],[Blanket]],Table_NFI[[#This Row],[Blanket]])</f>
        <v>0</v>
      </c>
      <c r="AE1130" s="294">
        <f>IF(NFI_Expiration=1,IF($A1130&lt;VLOOKUP(N$5,NFI,5,0),1,0)*Table_NFI[[#This Row],[Kitchen Set]],Table_NFI[Kitchen Set])</f>
        <v>0</v>
      </c>
      <c r="AF1130" s="294">
        <f>IF(NFI_Expiration=1,IF($A1130&lt;VLOOKUP(O$5,NFI,5,0),1,0)*Table_NFI[[#This Row],[Clothes Kit]],Table_NFI[Clothes Kit])</f>
        <v>0</v>
      </c>
      <c r="AG1130" s="294">
        <f>IF(NFI_Expiration=1,IF($A1130&lt;VLOOKUP(P$5,NFI,5,0),1,0)*Table_NFI[[#This Row],[Plastic Bucket]],Table_NFI[Plastic Bucket])</f>
        <v>0</v>
      </c>
      <c r="AH1130" s="294">
        <f>IF(NFI_Expiration=1,IF($A1130&lt;VLOOKUP(Q$5,NFI,5,0),1,0)*Table_NFI[[#This Row],[Plastic Mat]],Table_NFI[Plastic Mat])*IF(Table_NFI[[#This Row],[Distribution Date]]&gt;"2014-04-01",1,2.5)</f>
        <v>0</v>
      </c>
      <c r="AI1130" s="294">
        <f>IF(NFI_Expiration=1,IF($A1130&lt;VLOOKUP(R$5,NFI,5,0),1,0)*Table_NFI[[#This Row],[Winter Clothes Adult]],Table_NFI[Winter Clothes Adult])</f>
        <v>0</v>
      </c>
      <c r="AJ1130" s="294">
        <f>IF(NFI_Expiration=1,IF($A1130&lt;VLOOKUP(S$5,NFI,5,0),1,0)*Table_NFI[[#This Row],[Winter Clothes Children]],Table_NFI[Winter Clothes Children])</f>
        <v>0</v>
      </c>
      <c r="AK1130" s="294">
        <f>IF(NFI_Expiration=1,IF($A1130&lt;VLOOKUP(T$5,NFI,5,0),1,0)*Table_NFI[[#This Row],[Winter Items Other]],Table_NFI[Winter Items Other])</f>
        <v>0</v>
      </c>
      <c r="AL1130" s="294">
        <f>IF(NFI_Expiration=1,IF($A1130&lt;VLOOKUP(M$5,NFI,5,0),1,0)*Table_NFI[[#This Row],[Winter Blanket]],Table_NFI[[#This Row],[Winter Blanket]])</f>
        <v>0</v>
      </c>
      <c r="AM1130" s="294">
        <f>IF(Table_NFI[[#This Row],[Winter Clothes Adult]]+Table_NFI[[#This Row],[Winter Clothes Children]]+Table_NFI[[#This Row],[Winter Items Other]]+Table_NFI[[#This Row],[Winter Blanket]]&gt;0,1,0)</f>
        <v>0</v>
      </c>
      <c r="AN1130" s="331">
        <f>IF(NFI_Expiration=1,IF($A1130&lt;VLOOKUP(V$5,NFI,5,0),1,0)*Table_NFI[[#This Row],[Jerry Can]],Table_NFI[Jerry Can])</f>
        <v>0</v>
      </c>
      <c r="AO1130" s="331">
        <f>IF(NFI_Expiration=1,IF($A1130&lt;VLOOKUP(V$5,NFI,5,0),1,0)*Table_NFI[[#This Row],[Shelter Tool kit]],Table_NFI[Shelter Tool kit])</f>
        <v>0</v>
      </c>
      <c r="AP1130" s="331">
        <f>IF(NFI_Expiration=1,IF($A1130&lt;VLOOKUP(V$5,NFI,5,0),1,0)*Table_NFI[[#This Row],[Tent]],Table_NFI[Tent])</f>
        <v>0</v>
      </c>
      <c r="AQ1130" s="467" t="str">
        <f>IFERROR(VLOOKUP(Table_NFI[[#This Row],[Camp Name]],CL,2,0),"")</f>
        <v/>
      </c>
      <c r="AR1130" s="835" t="str">
        <f ca="1">IF(Table_NFI[[#This Row],[Pcode]]="","",IF(OFFSET(CampList[Opening Date],MATCH(Table_NFI[[#This Row],[Pcode]],CampList[CP_Pcode],0)-1,0,1,1)&gt;=NFI_Monitor_Date,1,0))</f>
        <v/>
      </c>
      <c r="AS1130" s="467" t="str">
        <f>IFERROR(VLOOKUP(Table_NFI[[#This Row],[Camp Name]],CL,3,0),"")</f>
        <v/>
      </c>
      <c r="AT1130" s="294" t="str">
        <f ca="1">IF(Table_NFI[[#This Row],[Pcode]]="","",OFFSET(CampList[Priority],MATCH(Table_NFI[[#This Row],[Pcode]],CampList[CP_Pcode],0)-1,0,1,1))</f>
        <v/>
      </c>
      <c r="AU1130" s="293" t="str">
        <f>IFERROR(Table_NFI[[#This Row],[Kitchen Set]]/VLOOKUP(Table_NFI[[#This Row],[Camp Name]],CL,4,0),"")</f>
        <v/>
      </c>
      <c r="AV1130" s="461"/>
      <c r="AW1130" s="468"/>
    </row>
    <row r="1131" spans="1:49" ht="14.45" customHeight="1" x14ac:dyDescent="0.25">
      <c r="A1131" s="297" t="str">
        <f t="shared" si="17"/>
        <v/>
      </c>
      <c r="B1131" s="460"/>
      <c r="C1131" s="465"/>
      <c r="D1131" s="465"/>
      <c r="E1131" s="465"/>
      <c r="F1131" s="465"/>
      <c r="G1131" s="465"/>
      <c r="H1131" s="292"/>
      <c r="I1131" s="292"/>
      <c r="J1131" s="292"/>
      <c r="K1131" s="292"/>
      <c r="L1131" s="292"/>
      <c r="M1131" s="292"/>
      <c r="N1131" s="292"/>
      <c r="O1131" s="292"/>
      <c r="P1131" s="294"/>
      <c r="Q1131" s="294"/>
      <c r="R1131" s="294"/>
      <c r="S1131" s="294"/>
      <c r="T1131" s="294"/>
      <c r="U1131" s="294"/>
      <c r="V1131" s="431"/>
      <c r="W1131" s="331"/>
      <c r="X1131" s="331"/>
      <c r="Y1131" s="294">
        <f>IF(NFI_Expiration=1,IF($A1131&lt;VLOOKUP(H$5,NFI,5,0),1,0)*Table_NFI[[#This Row],[Hygiene Kit]],Table_NFI[Hygiene Kit])</f>
        <v>0</v>
      </c>
      <c r="Z1131" s="294">
        <f>IF(NFI_Expiration=1,IF($A1131&lt;VLOOKUP(I$5,NFI,5,0),1,0)*Table_NFI[[#This Row],[NFI Core Kit]],Table_NFI[NFI Core Kit])</f>
        <v>0</v>
      </c>
      <c r="AA1131" s="294">
        <f>IF(NFI_Expiration=1,IF($A1131&lt;VLOOKUP(J$5,NFI,5,0),1,0)*Table_NFI[[#This Row],[Sanitary Kit]],Table_NFI[Sanitary Kit])</f>
        <v>0</v>
      </c>
      <c r="AB1131" s="294">
        <f>IF(NFI_Expiration=1,IF($A1131&lt;VLOOKUP(K$5,NFI,5,0),1,0)*Table_NFI[[#This Row],[Mosquito net]],Table_NFI[Mosquito net])</f>
        <v>0</v>
      </c>
      <c r="AC1131" s="294">
        <f>IF(NFI_Expiration=1,IF($A1131&lt;VLOOKUP(L$5,NFI,5,0),1,0)*Table_NFI[[#This Row],[Tarpaulin]],Table_NFI[[#This Row],[Tarpaulin]])</f>
        <v>0</v>
      </c>
      <c r="AD1131" s="294">
        <f>IF(NFI_Expiration=1,IF($A1131&lt;VLOOKUP(M$5,NFI,5,0),1,0)*Table_NFI[[#This Row],[Blanket]],Table_NFI[[#This Row],[Blanket]])</f>
        <v>0</v>
      </c>
      <c r="AE1131" s="294">
        <f>IF(NFI_Expiration=1,IF($A1131&lt;VLOOKUP(N$5,NFI,5,0),1,0)*Table_NFI[[#This Row],[Kitchen Set]],Table_NFI[Kitchen Set])</f>
        <v>0</v>
      </c>
      <c r="AF1131" s="294">
        <f>IF(NFI_Expiration=1,IF($A1131&lt;VLOOKUP(O$5,NFI,5,0),1,0)*Table_NFI[[#This Row],[Clothes Kit]],Table_NFI[Clothes Kit])</f>
        <v>0</v>
      </c>
      <c r="AG1131" s="294">
        <f>IF(NFI_Expiration=1,IF($A1131&lt;VLOOKUP(P$5,NFI,5,0),1,0)*Table_NFI[[#This Row],[Plastic Bucket]],Table_NFI[Plastic Bucket])</f>
        <v>0</v>
      </c>
      <c r="AH1131" s="294">
        <f>IF(NFI_Expiration=1,IF($A1131&lt;VLOOKUP(Q$5,NFI,5,0),1,0)*Table_NFI[[#This Row],[Plastic Mat]],Table_NFI[Plastic Mat])*IF(Table_NFI[[#This Row],[Distribution Date]]&gt;"2014-04-01",1,2.5)</f>
        <v>0</v>
      </c>
      <c r="AI1131" s="294">
        <f>IF(NFI_Expiration=1,IF($A1131&lt;VLOOKUP(R$5,NFI,5,0),1,0)*Table_NFI[[#This Row],[Winter Clothes Adult]],Table_NFI[Winter Clothes Adult])</f>
        <v>0</v>
      </c>
      <c r="AJ1131" s="294">
        <f>IF(NFI_Expiration=1,IF($A1131&lt;VLOOKUP(S$5,NFI,5,0),1,0)*Table_NFI[[#This Row],[Winter Clothes Children]],Table_NFI[Winter Clothes Children])</f>
        <v>0</v>
      </c>
      <c r="AK1131" s="294">
        <f>IF(NFI_Expiration=1,IF($A1131&lt;VLOOKUP(T$5,NFI,5,0),1,0)*Table_NFI[[#This Row],[Winter Items Other]],Table_NFI[Winter Items Other])</f>
        <v>0</v>
      </c>
      <c r="AL1131" s="294">
        <f>IF(NFI_Expiration=1,IF($A1131&lt;VLOOKUP(M$5,NFI,5,0),1,0)*Table_NFI[[#This Row],[Winter Blanket]],Table_NFI[[#This Row],[Winter Blanket]])</f>
        <v>0</v>
      </c>
      <c r="AM1131" s="294">
        <f>IF(Table_NFI[[#This Row],[Winter Clothes Adult]]+Table_NFI[[#This Row],[Winter Clothes Children]]+Table_NFI[[#This Row],[Winter Items Other]]+Table_NFI[[#This Row],[Winter Blanket]]&gt;0,1,0)</f>
        <v>0</v>
      </c>
      <c r="AN1131" s="331">
        <f>IF(NFI_Expiration=1,IF($A1131&lt;VLOOKUP(V$5,NFI,5,0),1,0)*Table_NFI[[#This Row],[Jerry Can]],Table_NFI[Jerry Can])</f>
        <v>0</v>
      </c>
      <c r="AO1131" s="331">
        <f>IF(NFI_Expiration=1,IF($A1131&lt;VLOOKUP(V$5,NFI,5,0),1,0)*Table_NFI[[#This Row],[Shelter Tool kit]],Table_NFI[Shelter Tool kit])</f>
        <v>0</v>
      </c>
      <c r="AP1131" s="331">
        <f>IF(NFI_Expiration=1,IF($A1131&lt;VLOOKUP(V$5,NFI,5,0),1,0)*Table_NFI[[#This Row],[Tent]],Table_NFI[Tent])</f>
        <v>0</v>
      </c>
      <c r="AQ1131" s="467" t="str">
        <f>IFERROR(VLOOKUP(Table_NFI[[#This Row],[Camp Name]],CL,2,0),"")</f>
        <v/>
      </c>
      <c r="AR1131" s="835" t="str">
        <f ca="1">IF(Table_NFI[[#This Row],[Pcode]]="","",IF(OFFSET(CampList[Opening Date],MATCH(Table_NFI[[#This Row],[Pcode]],CampList[CP_Pcode],0)-1,0,1,1)&gt;=NFI_Monitor_Date,1,0))</f>
        <v/>
      </c>
      <c r="AS1131" s="467" t="str">
        <f>IFERROR(VLOOKUP(Table_NFI[[#This Row],[Camp Name]],CL,3,0),"")</f>
        <v/>
      </c>
      <c r="AT1131" s="294" t="str">
        <f ca="1">IF(Table_NFI[[#This Row],[Pcode]]="","",OFFSET(CampList[Priority],MATCH(Table_NFI[[#This Row],[Pcode]],CampList[CP_Pcode],0)-1,0,1,1))</f>
        <v/>
      </c>
      <c r="AU1131" s="293" t="str">
        <f>IFERROR(Table_NFI[[#This Row],[Kitchen Set]]/VLOOKUP(Table_NFI[[#This Row],[Camp Name]],CL,4,0),"")</f>
        <v/>
      </c>
      <c r="AV1131" s="461"/>
      <c r="AW1131" s="468"/>
    </row>
    <row r="1132" spans="1:49" ht="14.45" customHeight="1" x14ac:dyDescent="0.25">
      <c r="A1132" s="297" t="str">
        <f t="shared" si="17"/>
        <v/>
      </c>
      <c r="B1132" s="460"/>
      <c r="C1132" s="465"/>
      <c r="D1132" s="465"/>
      <c r="E1132" s="465"/>
      <c r="F1132" s="465"/>
      <c r="G1132" s="465"/>
      <c r="H1132" s="292"/>
      <c r="I1132" s="292"/>
      <c r="J1132" s="292"/>
      <c r="K1132" s="292"/>
      <c r="L1132" s="292"/>
      <c r="M1132" s="292"/>
      <c r="N1132" s="292"/>
      <c r="O1132" s="292"/>
      <c r="P1132" s="294"/>
      <c r="Q1132" s="294"/>
      <c r="R1132" s="294"/>
      <c r="S1132" s="294"/>
      <c r="T1132" s="294"/>
      <c r="U1132" s="294"/>
      <c r="V1132" s="431"/>
      <c r="W1132" s="331"/>
      <c r="X1132" s="331"/>
      <c r="Y1132" s="294">
        <f>IF(NFI_Expiration=1,IF($A1132&lt;VLOOKUP(H$5,NFI,5,0),1,0)*Table_NFI[[#This Row],[Hygiene Kit]],Table_NFI[Hygiene Kit])</f>
        <v>0</v>
      </c>
      <c r="Z1132" s="294">
        <f>IF(NFI_Expiration=1,IF($A1132&lt;VLOOKUP(I$5,NFI,5,0),1,0)*Table_NFI[[#This Row],[NFI Core Kit]],Table_NFI[NFI Core Kit])</f>
        <v>0</v>
      </c>
      <c r="AA1132" s="294">
        <f>IF(NFI_Expiration=1,IF($A1132&lt;VLOOKUP(J$5,NFI,5,0),1,0)*Table_NFI[[#This Row],[Sanitary Kit]],Table_NFI[Sanitary Kit])</f>
        <v>0</v>
      </c>
      <c r="AB1132" s="294">
        <f>IF(NFI_Expiration=1,IF($A1132&lt;VLOOKUP(K$5,NFI,5,0),1,0)*Table_NFI[[#This Row],[Mosquito net]],Table_NFI[Mosquito net])</f>
        <v>0</v>
      </c>
      <c r="AC1132" s="294">
        <f>IF(NFI_Expiration=1,IF($A1132&lt;VLOOKUP(L$5,NFI,5,0),1,0)*Table_NFI[[#This Row],[Tarpaulin]],Table_NFI[[#This Row],[Tarpaulin]])</f>
        <v>0</v>
      </c>
      <c r="AD1132" s="294">
        <f>IF(NFI_Expiration=1,IF($A1132&lt;VLOOKUP(M$5,NFI,5,0),1,0)*Table_NFI[[#This Row],[Blanket]],Table_NFI[[#This Row],[Blanket]])</f>
        <v>0</v>
      </c>
      <c r="AE1132" s="294">
        <f>IF(NFI_Expiration=1,IF($A1132&lt;VLOOKUP(N$5,NFI,5,0),1,0)*Table_NFI[[#This Row],[Kitchen Set]],Table_NFI[Kitchen Set])</f>
        <v>0</v>
      </c>
      <c r="AF1132" s="294">
        <f>IF(NFI_Expiration=1,IF($A1132&lt;VLOOKUP(O$5,NFI,5,0),1,0)*Table_NFI[[#This Row],[Clothes Kit]],Table_NFI[Clothes Kit])</f>
        <v>0</v>
      </c>
      <c r="AG1132" s="294">
        <f>IF(NFI_Expiration=1,IF($A1132&lt;VLOOKUP(P$5,NFI,5,0),1,0)*Table_NFI[[#This Row],[Plastic Bucket]],Table_NFI[Plastic Bucket])</f>
        <v>0</v>
      </c>
      <c r="AH1132" s="294">
        <f>IF(NFI_Expiration=1,IF($A1132&lt;VLOOKUP(Q$5,NFI,5,0),1,0)*Table_NFI[[#This Row],[Plastic Mat]],Table_NFI[Plastic Mat])*IF(Table_NFI[[#This Row],[Distribution Date]]&gt;"2014-04-01",1,2.5)</f>
        <v>0</v>
      </c>
      <c r="AI1132" s="294">
        <f>IF(NFI_Expiration=1,IF($A1132&lt;VLOOKUP(R$5,NFI,5,0),1,0)*Table_NFI[[#This Row],[Winter Clothes Adult]],Table_NFI[Winter Clothes Adult])</f>
        <v>0</v>
      </c>
      <c r="AJ1132" s="294">
        <f>IF(NFI_Expiration=1,IF($A1132&lt;VLOOKUP(S$5,NFI,5,0),1,0)*Table_NFI[[#This Row],[Winter Clothes Children]],Table_NFI[Winter Clothes Children])</f>
        <v>0</v>
      </c>
      <c r="AK1132" s="294">
        <f>IF(NFI_Expiration=1,IF($A1132&lt;VLOOKUP(T$5,NFI,5,0),1,0)*Table_NFI[[#This Row],[Winter Items Other]],Table_NFI[Winter Items Other])</f>
        <v>0</v>
      </c>
      <c r="AL1132" s="294">
        <f>IF(NFI_Expiration=1,IF($A1132&lt;VLOOKUP(M$5,NFI,5,0),1,0)*Table_NFI[[#This Row],[Winter Blanket]],Table_NFI[[#This Row],[Winter Blanket]])</f>
        <v>0</v>
      </c>
      <c r="AM1132" s="294">
        <f>IF(Table_NFI[[#This Row],[Winter Clothes Adult]]+Table_NFI[[#This Row],[Winter Clothes Children]]+Table_NFI[[#This Row],[Winter Items Other]]+Table_NFI[[#This Row],[Winter Blanket]]&gt;0,1,0)</f>
        <v>0</v>
      </c>
      <c r="AN1132" s="331">
        <f>IF(NFI_Expiration=1,IF($A1132&lt;VLOOKUP(V$5,NFI,5,0),1,0)*Table_NFI[[#This Row],[Jerry Can]],Table_NFI[Jerry Can])</f>
        <v>0</v>
      </c>
      <c r="AO1132" s="331">
        <f>IF(NFI_Expiration=1,IF($A1132&lt;VLOOKUP(V$5,NFI,5,0),1,0)*Table_NFI[[#This Row],[Shelter Tool kit]],Table_NFI[Shelter Tool kit])</f>
        <v>0</v>
      </c>
      <c r="AP1132" s="331">
        <f>IF(NFI_Expiration=1,IF($A1132&lt;VLOOKUP(V$5,NFI,5,0),1,0)*Table_NFI[[#This Row],[Tent]],Table_NFI[Tent])</f>
        <v>0</v>
      </c>
      <c r="AQ1132" s="467" t="str">
        <f>IFERROR(VLOOKUP(Table_NFI[[#This Row],[Camp Name]],CL,2,0),"")</f>
        <v/>
      </c>
      <c r="AR1132" s="835" t="str">
        <f ca="1">IF(Table_NFI[[#This Row],[Pcode]]="","",IF(OFFSET(CampList[Opening Date],MATCH(Table_NFI[[#This Row],[Pcode]],CampList[CP_Pcode],0)-1,0,1,1)&gt;=NFI_Monitor_Date,1,0))</f>
        <v/>
      </c>
      <c r="AS1132" s="467" t="str">
        <f>IFERROR(VLOOKUP(Table_NFI[[#This Row],[Camp Name]],CL,3,0),"")</f>
        <v/>
      </c>
      <c r="AT1132" s="294" t="str">
        <f ca="1">IF(Table_NFI[[#This Row],[Pcode]]="","",OFFSET(CampList[Priority],MATCH(Table_NFI[[#This Row],[Pcode]],CampList[CP_Pcode],0)-1,0,1,1))</f>
        <v/>
      </c>
      <c r="AU1132" s="293" t="str">
        <f>IFERROR(Table_NFI[[#This Row],[Kitchen Set]]/VLOOKUP(Table_NFI[[#This Row],[Camp Name]],CL,4,0),"")</f>
        <v/>
      </c>
      <c r="AV1132" s="461"/>
      <c r="AW1132" s="468"/>
    </row>
    <row r="1133" spans="1:49" ht="14.45" customHeight="1" x14ac:dyDescent="0.25">
      <c r="A1133" s="297" t="str">
        <f t="shared" si="17"/>
        <v/>
      </c>
      <c r="B1133" s="460"/>
      <c r="C1133" s="465"/>
      <c r="D1133" s="465"/>
      <c r="E1133" s="465"/>
      <c r="F1133" s="465"/>
      <c r="G1133" s="465"/>
      <c r="H1133" s="292"/>
      <c r="I1133" s="292"/>
      <c r="J1133" s="292"/>
      <c r="K1133" s="292"/>
      <c r="L1133" s="292"/>
      <c r="M1133" s="292"/>
      <c r="N1133" s="292"/>
      <c r="O1133" s="292"/>
      <c r="P1133" s="294"/>
      <c r="Q1133" s="294"/>
      <c r="R1133" s="294"/>
      <c r="S1133" s="294"/>
      <c r="T1133" s="294"/>
      <c r="U1133" s="294"/>
      <c r="V1133" s="431"/>
      <c r="W1133" s="331"/>
      <c r="X1133" s="331"/>
      <c r="Y1133" s="294">
        <f>IF(NFI_Expiration=1,IF($A1133&lt;VLOOKUP(H$5,NFI,5,0),1,0)*Table_NFI[[#This Row],[Hygiene Kit]],Table_NFI[Hygiene Kit])</f>
        <v>0</v>
      </c>
      <c r="Z1133" s="294">
        <f>IF(NFI_Expiration=1,IF($A1133&lt;VLOOKUP(I$5,NFI,5,0),1,0)*Table_NFI[[#This Row],[NFI Core Kit]],Table_NFI[NFI Core Kit])</f>
        <v>0</v>
      </c>
      <c r="AA1133" s="294">
        <f>IF(NFI_Expiration=1,IF($A1133&lt;VLOOKUP(J$5,NFI,5,0),1,0)*Table_NFI[[#This Row],[Sanitary Kit]],Table_NFI[Sanitary Kit])</f>
        <v>0</v>
      </c>
      <c r="AB1133" s="294">
        <f>IF(NFI_Expiration=1,IF($A1133&lt;VLOOKUP(K$5,NFI,5,0),1,0)*Table_NFI[[#This Row],[Mosquito net]],Table_NFI[Mosquito net])</f>
        <v>0</v>
      </c>
      <c r="AC1133" s="294">
        <f>IF(NFI_Expiration=1,IF($A1133&lt;VLOOKUP(L$5,NFI,5,0),1,0)*Table_NFI[[#This Row],[Tarpaulin]],Table_NFI[[#This Row],[Tarpaulin]])</f>
        <v>0</v>
      </c>
      <c r="AD1133" s="294">
        <f>IF(NFI_Expiration=1,IF($A1133&lt;VLOOKUP(M$5,NFI,5,0),1,0)*Table_NFI[[#This Row],[Blanket]],Table_NFI[[#This Row],[Blanket]])</f>
        <v>0</v>
      </c>
      <c r="AE1133" s="294">
        <f>IF(NFI_Expiration=1,IF($A1133&lt;VLOOKUP(N$5,NFI,5,0),1,0)*Table_NFI[[#This Row],[Kitchen Set]],Table_NFI[Kitchen Set])</f>
        <v>0</v>
      </c>
      <c r="AF1133" s="294">
        <f>IF(NFI_Expiration=1,IF($A1133&lt;VLOOKUP(O$5,NFI,5,0),1,0)*Table_NFI[[#This Row],[Clothes Kit]],Table_NFI[Clothes Kit])</f>
        <v>0</v>
      </c>
      <c r="AG1133" s="294">
        <f>IF(NFI_Expiration=1,IF($A1133&lt;VLOOKUP(P$5,NFI,5,0),1,0)*Table_NFI[[#This Row],[Plastic Bucket]],Table_NFI[Plastic Bucket])</f>
        <v>0</v>
      </c>
      <c r="AH1133" s="294">
        <f>IF(NFI_Expiration=1,IF($A1133&lt;VLOOKUP(Q$5,NFI,5,0),1,0)*Table_NFI[[#This Row],[Plastic Mat]],Table_NFI[Plastic Mat])*IF(Table_NFI[[#This Row],[Distribution Date]]&gt;"2014-04-01",1,2.5)</f>
        <v>0</v>
      </c>
      <c r="AI1133" s="294">
        <f>IF(NFI_Expiration=1,IF($A1133&lt;VLOOKUP(R$5,NFI,5,0),1,0)*Table_NFI[[#This Row],[Winter Clothes Adult]],Table_NFI[Winter Clothes Adult])</f>
        <v>0</v>
      </c>
      <c r="AJ1133" s="294">
        <f>IF(NFI_Expiration=1,IF($A1133&lt;VLOOKUP(S$5,NFI,5,0),1,0)*Table_NFI[[#This Row],[Winter Clothes Children]],Table_NFI[Winter Clothes Children])</f>
        <v>0</v>
      </c>
      <c r="AK1133" s="294">
        <f>IF(NFI_Expiration=1,IF($A1133&lt;VLOOKUP(T$5,NFI,5,0),1,0)*Table_NFI[[#This Row],[Winter Items Other]],Table_NFI[Winter Items Other])</f>
        <v>0</v>
      </c>
      <c r="AL1133" s="294">
        <f>IF(NFI_Expiration=1,IF($A1133&lt;VLOOKUP(M$5,NFI,5,0),1,0)*Table_NFI[[#This Row],[Winter Blanket]],Table_NFI[[#This Row],[Winter Blanket]])</f>
        <v>0</v>
      </c>
      <c r="AM1133" s="294">
        <f>IF(Table_NFI[[#This Row],[Winter Clothes Adult]]+Table_NFI[[#This Row],[Winter Clothes Children]]+Table_NFI[[#This Row],[Winter Items Other]]+Table_NFI[[#This Row],[Winter Blanket]]&gt;0,1,0)</f>
        <v>0</v>
      </c>
      <c r="AN1133" s="331">
        <f>IF(NFI_Expiration=1,IF($A1133&lt;VLOOKUP(V$5,NFI,5,0),1,0)*Table_NFI[[#This Row],[Jerry Can]],Table_NFI[Jerry Can])</f>
        <v>0</v>
      </c>
      <c r="AO1133" s="331">
        <f>IF(NFI_Expiration=1,IF($A1133&lt;VLOOKUP(V$5,NFI,5,0),1,0)*Table_NFI[[#This Row],[Shelter Tool kit]],Table_NFI[Shelter Tool kit])</f>
        <v>0</v>
      </c>
      <c r="AP1133" s="331">
        <f>IF(NFI_Expiration=1,IF($A1133&lt;VLOOKUP(V$5,NFI,5,0),1,0)*Table_NFI[[#This Row],[Tent]],Table_NFI[Tent])</f>
        <v>0</v>
      </c>
      <c r="AQ1133" s="467" t="str">
        <f>IFERROR(VLOOKUP(Table_NFI[[#This Row],[Camp Name]],CL,2,0),"")</f>
        <v/>
      </c>
      <c r="AR1133" s="835" t="str">
        <f ca="1">IF(Table_NFI[[#This Row],[Pcode]]="","",IF(OFFSET(CampList[Opening Date],MATCH(Table_NFI[[#This Row],[Pcode]],CampList[CP_Pcode],0)-1,0,1,1)&gt;=NFI_Monitor_Date,1,0))</f>
        <v/>
      </c>
      <c r="AS1133" s="467" t="str">
        <f>IFERROR(VLOOKUP(Table_NFI[[#This Row],[Camp Name]],CL,3,0),"")</f>
        <v/>
      </c>
      <c r="AT1133" s="294" t="str">
        <f ca="1">IF(Table_NFI[[#This Row],[Pcode]]="","",OFFSET(CampList[Priority],MATCH(Table_NFI[[#This Row],[Pcode]],CampList[CP_Pcode],0)-1,0,1,1))</f>
        <v/>
      </c>
      <c r="AU1133" s="293" t="str">
        <f>IFERROR(Table_NFI[[#This Row],[Kitchen Set]]/VLOOKUP(Table_NFI[[#This Row],[Camp Name]],CL,4,0),"")</f>
        <v/>
      </c>
      <c r="AV1133" s="461"/>
      <c r="AW1133" s="468"/>
    </row>
    <row r="1134" spans="1:49" ht="14.45" customHeight="1" x14ac:dyDescent="0.25">
      <c r="A1134" s="297" t="str">
        <f t="shared" si="17"/>
        <v/>
      </c>
      <c r="B1134" s="460"/>
      <c r="C1134" s="465"/>
      <c r="D1134" s="465"/>
      <c r="E1134" s="465"/>
      <c r="F1134" s="465"/>
      <c r="G1134" s="465"/>
      <c r="H1134" s="292"/>
      <c r="I1134" s="292"/>
      <c r="J1134" s="292"/>
      <c r="K1134" s="292"/>
      <c r="L1134" s="292"/>
      <c r="M1134" s="292"/>
      <c r="N1134" s="292"/>
      <c r="O1134" s="292"/>
      <c r="P1134" s="294"/>
      <c r="Q1134" s="294"/>
      <c r="R1134" s="294"/>
      <c r="S1134" s="294"/>
      <c r="T1134" s="294"/>
      <c r="U1134" s="294"/>
      <c r="V1134" s="431"/>
      <c r="W1134" s="331"/>
      <c r="X1134" s="331"/>
      <c r="Y1134" s="294">
        <f>IF(NFI_Expiration=1,IF($A1134&lt;VLOOKUP(H$5,NFI,5,0),1,0)*Table_NFI[[#This Row],[Hygiene Kit]],Table_NFI[Hygiene Kit])</f>
        <v>0</v>
      </c>
      <c r="Z1134" s="294">
        <f>IF(NFI_Expiration=1,IF($A1134&lt;VLOOKUP(I$5,NFI,5,0),1,0)*Table_NFI[[#This Row],[NFI Core Kit]],Table_NFI[NFI Core Kit])</f>
        <v>0</v>
      </c>
      <c r="AA1134" s="294">
        <f>IF(NFI_Expiration=1,IF($A1134&lt;VLOOKUP(J$5,NFI,5,0),1,0)*Table_NFI[[#This Row],[Sanitary Kit]],Table_NFI[Sanitary Kit])</f>
        <v>0</v>
      </c>
      <c r="AB1134" s="294">
        <f>IF(NFI_Expiration=1,IF($A1134&lt;VLOOKUP(K$5,NFI,5,0),1,0)*Table_NFI[[#This Row],[Mosquito net]],Table_NFI[Mosquito net])</f>
        <v>0</v>
      </c>
      <c r="AC1134" s="294">
        <f>IF(NFI_Expiration=1,IF($A1134&lt;VLOOKUP(L$5,NFI,5,0),1,0)*Table_NFI[[#This Row],[Tarpaulin]],Table_NFI[[#This Row],[Tarpaulin]])</f>
        <v>0</v>
      </c>
      <c r="AD1134" s="294">
        <f>IF(NFI_Expiration=1,IF($A1134&lt;VLOOKUP(M$5,NFI,5,0),1,0)*Table_NFI[[#This Row],[Blanket]],Table_NFI[[#This Row],[Blanket]])</f>
        <v>0</v>
      </c>
      <c r="AE1134" s="294">
        <f>IF(NFI_Expiration=1,IF($A1134&lt;VLOOKUP(N$5,NFI,5,0),1,0)*Table_NFI[[#This Row],[Kitchen Set]],Table_NFI[Kitchen Set])</f>
        <v>0</v>
      </c>
      <c r="AF1134" s="294">
        <f>IF(NFI_Expiration=1,IF($A1134&lt;VLOOKUP(O$5,NFI,5,0),1,0)*Table_NFI[[#This Row],[Clothes Kit]],Table_NFI[Clothes Kit])</f>
        <v>0</v>
      </c>
      <c r="AG1134" s="294">
        <f>IF(NFI_Expiration=1,IF($A1134&lt;VLOOKUP(P$5,NFI,5,0),1,0)*Table_NFI[[#This Row],[Plastic Bucket]],Table_NFI[Plastic Bucket])</f>
        <v>0</v>
      </c>
      <c r="AH1134" s="294">
        <f>IF(NFI_Expiration=1,IF($A1134&lt;VLOOKUP(Q$5,NFI,5,0),1,0)*Table_NFI[[#This Row],[Plastic Mat]],Table_NFI[Plastic Mat])*IF(Table_NFI[[#This Row],[Distribution Date]]&gt;"2014-04-01",1,2.5)</f>
        <v>0</v>
      </c>
      <c r="AI1134" s="294">
        <f>IF(NFI_Expiration=1,IF($A1134&lt;VLOOKUP(R$5,NFI,5,0),1,0)*Table_NFI[[#This Row],[Winter Clothes Adult]],Table_NFI[Winter Clothes Adult])</f>
        <v>0</v>
      </c>
      <c r="AJ1134" s="294">
        <f>IF(NFI_Expiration=1,IF($A1134&lt;VLOOKUP(S$5,NFI,5,0),1,0)*Table_NFI[[#This Row],[Winter Clothes Children]],Table_NFI[Winter Clothes Children])</f>
        <v>0</v>
      </c>
      <c r="AK1134" s="294">
        <f>IF(NFI_Expiration=1,IF($A1134&lt;VLOOKUP(T$5,NFI,5,0),1,0)*Table_NFI[[#This Row],[Winter Items Other]],Table_NFI[Winter Items Other])</f>
        <v>0</v>
      </c>
      <c r="AL1134" s="294">
        <f>IF(NFI_Expiration=1,IF($A1134&lt;VLOOKUP(M$5,NFI,5,0),1,0)*Table_NFI[[#This Row],[Winter Blanket]],Table_NFI[[#This Row],[Winter Blanket]])</f>
        <v>0</v>
      </c>
      <c r="AM1134" s="294">
        <f>IF(Table_NFI[[#This Row],[Winter Clothes Adult]]+Table_NFI[[#This Row],[Winter Clothes Children]]+Table_NFI[[#This Row],[Winter Items Other]]+Table_NFI[[#This Row],[Winter Blanket]]&gt;0,1,0)</f>
        <v>0</v>
      </c>
      <c r="AN1134" s="331">
        <f>IF(NFI_Expiration=1,IF($A1134&lt;VLOOKUP(V$5,NFI,5,0),1,0)*Table_NFI[[#This Row],[Jerry Can]],Table_NFI[Jerry Can])</f>
        <v>0</v>
      </c>
      <c r="AO1134" s="331">
        <f>IF(NFI_Expiration=1,IF($A1134&lt;VLOOKUP(V$5,NFI,5,0),1,0)*Table_NFI[[#This Row],[Shelter Tool kit]],Table_NFI[Shelter Tool kit])</f>
        <v>0</v>
      </c>
      <c r="AP1134" s="331">
        <f>IF(NFI_Expiration=1,IF($A1134&lt;VLOOKUP(V$5,NFI,5,0),1,0)*Table_NFI[[#This Row],[Tent]],Table_NFI[Tent])</f>
        <v>0</v>
      </c>
      <c r="AQ1134" s="467" t="str">
        <f>IFERROR(VLOOKUP(Table_NFI[[#This Row],[Camp Name]],CL,2,0),"")</f>
        <v/>
      </c>
      <c r="AR1134" s="835" t="str">
        <f ca="1">IF(Table_NFI[[#This Row],[Pcode]]="","",IF(OFFSET(CampList[Opening Date],MATCH(Table_NFI[[#This Row],[Pcode]],CampList[CP_Pcode],0)-1,0,1,1)&gt;=NFI_Monitor_Date,1,0))</f>
        <v/>
      </c>
      <c r="AS1134" s="467" t="str">
        <f>IFERROR(VLOOKUP(Table_NFI[[#This Row],[Camp Name]],CL,3,0),"")</f>
        <v/>
      </c>
      <c r="AT1134" s="294" t="str">
        <f ca="1">IF(Table_NFI[[#This Row],[Pcode]]="","",OFFSET(CampList[Priority],MATCH(Table_NFI[[#This Row],[Pcode]],CampList[CP_Pcode],0)-1,0,1,1))</f>
        <v/>
      </c>
      <c r="AU1134" s="293" t="str">
        <f>IFERROR(Table_NFI[[#This Row],[Kitchen Set]]/VLOOKUP(Table_NFI[[#This Row],[Camp Name]],CL,4,0),"")</f>
        <v/>
      </c>
      <c r="AV1134" s="461"/>
      <c r="AW1134" s="468"/>
    </row>
    <row r="1135" spans="1:49" ht="14.45" customHeight="1" x14ac:dyDescent="0.25">
      <c r="A1135" s="297" t="str">
        <f t="shared" si="17"/>
        <v/>
      </c>
      <c r="B1135" s="460"/>
      <c r="C1135" s="465"/>
      <c r="D1135" s="465"/>
      <c r="E1135" s="465"/>
      <c r="F1135" s="465"/>
      <c r="G1135" s="465"/>
      <c r="H1135" s="292"/>
      <c r="I1135" s="292"/>
      <c r="J1135" s="292"/>
      <c r="K1135" s="292"/>
      <c r="L1135" s="292"/>
      <c r="M1135" s="292"/>
      <c r="N1135" s="292"/>
      <c r="O1135" s="292"/>
      <c r="P1135" s="294"/>
      <c r="Q1135" s="294"/>
      <c r="R1135" s="294"/>
      <c r="S1135" s="294"/>
      <c r="T1135" s="294"/>
      <c r="U1135" s="294"/>
      <c r="V1135" s="431"/>
      <c r="W1135" s="331"/>
      <c r="X1135" s="331"/>
      <c r="Y1135" s="294">
        <f>IF(NFI_Expiration=1,IF($A1135&lt;VLOOKUP(H$5,NFI,5,0),1,0)*Table_NFI[[#This Row],[Hygiene Kit]],Table_NFI[Hygiene Kit])</f>
        <v>0</v>
      </c>
      <c r="Z1135" s="294">
        <f>IF(NFI_Expiration=1,IF($A1135&lt;VLOOKUP(I$5,NFI,5,0),1,0)*Table_NFI[[#This Row],[NFI Core Kit]],Table_NFI[NFI Core Kit])</f>
        <v>0</v>
      </c>
      <c r="AA1135" s="294">
        <f>IF(NFI_Expiration=1,IF($A1135&lt;VLOOKUP(J$5,NFI,5,0),1,0)*Table_NFI[[#This Row],[Sanitary Kit]],Table_NFI[Sanitary Kit])</f>
        <v>0</v>
      </c>
      <c r="AB1135" s="294">
        <f>IF(NFI_Expiration=1,IF($A1135&lt;VLOOKUP(K$5,NFI,5,0),1,0)*Table_NFI[[#This Row],[Mosquito net]],Table_NFI[Mosquito net])</f>
        <v>0</v>
      </c>
      <c r="AC1135" s="294">
        <f>IF(NFI_Expiration=1,IF($A1135&lt;VLOOKUP(L$5,NFI,5,0),1,0)*Table_NFI[[#This Row],[Tarpaulin]],Table_NFI[[#This Row],[Tarpaulin]])</f>
        <v>0</v>
      </c>
      <c r="AD1135" s="294">
        <f>IF(NFI_Expiration=1,IF($A1135&lt;VLOOKUP(M$5,NFI,5,0),1,0)*Table_NFI[[#This Row],[Blanket]],Table_NFI[[#This Row],[Blanket]])</f>
        <v>0</v>
      </c>
      <c r="AE1135" s="294">
        <f>IF(NFI_Expiration=1,IF($A1135&lt;VLOOKUP(N$5,NFI,5,0),1,0)*Table_NFI[[#This Row],[Kitchen Set]],Table_NFI[Kitchen Set])</f>
        <v>0</v>
      </c>
      <c r="AF1135" s="294">
        <f>IF(NFI_Expiration=1,IF($A1135&lt;VLOOKUP(O$5,NFI,5,0),1,0)*Table_NFI[[#This Row],[Clothes Kit]],Table_NFI[Clothes Kit])</f>
        <v>0</v>
      </c>
      <c r="AG1135" s="294">
        <f>IF(NFI_Expiration=1,IF($A1135&lt;VLOOKUP(P$5,NFI,5,0),1,0)*Table_NFI[[#This Row],[Plastic Bucket]],Table_NFI[Plastic Bucket])</f>
        <v>0</v>
      </c>
      <c r="AH1135" s="294">
        <f>IF(NFI_Expiration=1,IF($A1135&lt;VLOOKUP(Q$5,NFI,5,0),1,0)*Table_NFI[[#This Row],[Plastic Mat]],Table_NFI[Plastic Mat])*IF(Table_NFI[[#This Row],[Distribution Date]]&gt;"2014-04-01",1,2.5)</f>
        <v>0</v>
      </c>
      <c r="AI1135" s="294">
        <f>IF(NFI_Expiration=1,IF($A1135&lt;VLOOKUP(R$5,NFI,5,0),1,0)*Table_NFI[[#This Row],[Winter Clothes Adult]],Table_NFI[Winter Clothes Adult])</f>
        <v>0</v>
      </c>
      <c r="AJ1135" s="294">
        <f>IF(NFI_Expiration=1,IF($A1135&lt;VLOOKUP(S$5,NFI,5,0),1,0)*Table_NFI[[#This Row],[Winter Clothes Children]],Table_NFI[Winter Clothes Children])</f>
        <v>0</v>
      </c>
      <c r="AK1135" s="294">
        <f>IF(NFI_Expiration=1,IF($A1135&lt;VLOOKUP(T$5,NFI,5,0),1,0)*Table_NFI[[#This Row],[Winter Items Other]],Table_NFI[Winter Items Other])</f>
        <v>0</v>
      </c>
      <c r="AL1135" s="294">
        <f>IF(NFI_Expiration=1,IF($A1135&lt;VLOOKUP(M$5,NFI,5,0),1,0)*Table_NFI[[#This Row],[Winter Blanket]],Table_NFI[[#This Row],[Winter Blanket]])</f>
        <v>0</v>
      </c>
      <c r="AM1135" s="294">
        <f>IF(Table_NFI[[#This Row],[Winter Clothes Adult]]+Table_NFI[[#This Row],[Winter Clothes Children]]+Table_NFI[[#This Row],[Winter Items Other]]+Table_NFI[[#This Row],[Winter Blanket]]&gt;0,1,0)</f>
        <v>0</v>
      </c>
      <c r="AN1135" s="331">
        <f>IF(NFI_Expiration=1,IF($A1135&lt;VLOOKUP(V$5,NFI,5,0),1,0)*Table_NFI[[#This Row],[Jerry Can]],Table_NFI[Jerry Can])</f>
        <v>0</v>
      </c>
      <c r="AO1135" s="331">
        <f>IF(NFI_Expiration=1,IF($A1135&lt;VLOOKUP(V$5,NFI,5,0),1,0)*Table_NFI[[#This Row],[Shelter Tool kit]],Table_NFI[Shelter Tool kit])</f>
        <v>0</v>
      </c>
      <c r="AP1135" s="331">
        <f>IF(NFI_Expiration=1,IF($A1135&lt;VLOOKUP(V$5,NFI,5,0),1,0)*Table_NFI[[#This Row],[Tent]],Table_NFI[Tent])</f>
        <v>0</v>
      </c>
      <c r="AQ1135" s="467" t="str">
        <f>IFERROR(VLOOKUP(Table_NFI[[#This Row],[Camp Name]],CL,2,0),"")</f>
        <v/>
      </c>
      <c r="AR1135" s="835" t="str">
        <f ca="1">IF(Table_NFI[[#This Row],[Pcode]]="","",IF(OFFSET(CampList[Opening Date],MATCH(Table_NFI[[#This Row],[Pcode]],CampList[CP_Pcode],0)-1,0,1,1)&gt;=NFI_Monitor_Date,1,0))</f>
        <v/>
      </c>
      <c r="AS1135" s="467" t="str">
        <f>IFERROR(VLOOKUP(Table_NFI[[#This Row],[Camp Name]],CL,3,0),"")</f>
        <v/>
      </c>
      <c r="AT1135" s="294" t="str">
        <f ca="1">IF(Table_NFI[[#This Row],[Pcode]]="","",OFFSET(CampList[Priority],MATCH(Table_NFI[[#This Row],[Pcode]],CampList[CP_Pcode],0)-1,0,1,1))</f>
        <v/>
      </c>
      <c r="AU1135" s="293" t="str">
        <f>IFERROR(Table_NFI[[#This Row],[Kitchen Set]]/VLOOKUP(Table_NFI[[#This Row],[Camp Name]],CL,4,0),"")</f>
        <v/>
      </c>
      <c r="AV1135" s="461"/>
      <c r="AW1135" s="468"/>
    </row>
    <row r="1136" spans="1:49" ht="14.45" customHeight="1" x14ac:dyDescent="0.25">
      <c r="A1136" s="297" t="str">
        <f t="shared" si="17"/>
        <v/>
      </c>
      <c r="B1136" s="460"/>
      <c r="C1136" s="465"/>
      <c r="D1136" s="465"/>
      <c r="E1136" s="465"/>
      <c r="F1136" s="465"/>
      <c r="G1136" s="465"/>
      <c r="H1136" s="292"/>
      <c r="I1136" s="292"/>
      <c r="J1136" s="292"/>
      <c r="K1136" s="292"/>
      <c r="L1136" s="292"/>
      <c r="M1136" s="292"/>
      <c r="N1136" s="292"/>
      <c r="O1136" s="292"/>
      <c r="P1136" s="294"/>
      <c r="Q1136" s="294"/>
      <c r="R1136" s="294"/>
      <c r="S1136" s="294"/>
      <c r="T1136" s="294"/>
      <c r="U1136" s="294"/>
      <c r="V1136" s="431"/>
      <c r="W1136" s="331"/>
      <c r="X1136" s="331"/>
      <c r="Y1136" s="294">
        <f>IF(NFI_Expiration=1,IF($A1136&lt;VLOOKUP(H$5,NFI,5,0),1,0)*Table_NFI[[#This Row],[Hygiene Kit]],Table_NFI[Hygiene Kit])</f>
        <v>0</v>
      </c>
      <c r="Z1136" s="294">
        <f>IF(NFI_Expiration=1,IF($A1136&lt;VLOOKUP(I$5,NFI,5,0),1,0)*Table_NFI[[#This Row],[NFI Core Kit]],Table_NFI[NFI Core Kit])</f>
        <v>0</v>
      </c>
      <c r="AA1136" s="294">
        <f>IF(NFI_Expiration=1,IF($A1136&lt;VLOOKUP(J$5,NFI,5,0),1,0)*Table_NFI[[#This Row],[Sanitary Kit]],Table_NFI[Sanitary Kit])</f>
        <v>0</v>
      </c>
      <c r="AB1136" s="294">
        <f>IF(NFI_Expiration=1,IF($A1136&lt;VLOOKUP(K$5,NFI,5,0),1,0)*Table_NFI[[#This Row],[Mosquito net]],Table_NFI[Mosquito net])</f>
        <v>0</v>
      </c>
      <c r="AC1136" s="294">
        <f>IF(NFI_Expiration=1,IF($A1136&lt;VLOOKUP(L$5,NFI,5,0),1,0)*Table_NFI[[#This Row],[Tarpaulin]],Table_NFI[[#This Row],[Tarpaulin]])</f>
        <v>0</v>
      </c>
      <c r="AD1136" s="294">
        <f>IF(NFI_Expiration=1,IF($A1136&lt;VLOOKUP(M$5,NFI,5,0),1,0)*Table_NFI[[#This Row],[Blanket]],Table_NFI[[#This Row],[Blanket]])</f>
        <v>0</v>
      </c>
      <c r="AE1136" s="294">
        <f>IF(NFI_Expiration=1,IF($A1136&lt;VLOOKUP(N$5,NFI,5,0),1,0)*Table_NFI[[#This Row],[Kitchen Set]],Table_NFI[Kitchen Set])</f>
        <v>0</v>
      </c>
      <c r="AF1136" s="294">
        <f>IF(NFI_Expiration=1,IF($A1136&lt;VLOOKUP(O$5,NFI,5,0),1,0)*Table_NFI[[#This Row],[Clothes Kit]],Table_NFI[Clothes Kit])</f>
        <v>0</v>
      </c>
      <c r="AG1136" s="294">
        <f>IF(NFI_Expiration=1,IF($A1136&lt;VLOOKUP(P$5,NFI,5,0),1,0)*Table_NFI[[#This Row],[Plastic Bucket]],Table_NFI[Plastic Bucket])</f>
        <v>0</v>
      </c>
      <c r="AH1136" s="294">
        <f>IF(NFI_Expiration=1,IF($A1136&lt;VLOOKUP(Q$5,NFI,5,0),1,0)*Table_NFI[[#This Row],[Plastic Mat]],Table_NFI[Plastic Mat])*IF(Table_NFI[[#This Row],[Distribution Date]]&gt;"2014-04-01",1,2.5)</f>
        <v>0</v>
      </c>
      <c r="AI1136" s="294">
        <f>IF(NFI_Expiration=1,IF($A1136&lt;VLOOKUP(R$5,NFI,5,0),1,0)*Table_NFI[[#This Row],[Winter Clothes Adult]],Table_NFI[Winter Clothes Adult])</f>
        <v>0</v>
      </c>
      <c r="AJ1136" s="294">
        <f>IF(NFI_Expiration=1,IF($A1136&lt;VLOOKUP(S$5,NFI,5,0),1,0)*Table_NFI[[#This Row],[Winter Clothes Children]],Table_NFI[Winter Clothes Children])</f>
        <v>0</v>
      </c>
      <c r="AK1136" s="294">
        <f>IF(NFI_Expiration=1,IF($A1136&lt;VLOOKUP(T$5,NFI,5,0),1,0)*Table_NFI[[#This Row],[Winter Items Other]],Table_NFI[Winter Items Other])</f>
        <v>0</v>
      </c>
      <c r="AL1136" s="294">
        <f>IF(NFI_Expiration=1,IF($A1136&lt;VLOOKUP(M$5,NFI,5,0),1,0)*Table_NFI[[#This Row],[Winter Blanket]],Table_NFI[[#This Row],[Winter Blanket]])</f>
        <v>0</v>
      </c>
      <c r="AM1136" s="294">
        <f>IF(Table_NFI[[#This Row],[Winter Clothes Adult]]+Table_NFI[[#This Row],[Winter Clothes Children]]+Table_NFI[[#This Row],[Winter Items Other]]+Table_NFI[[#This Row],[Winter Blanket]]&gt;0,1,0)</f>
        <v>0</v>
      </c>
      <c r="AN1136" s="331">
        <f>IF(NFI_Expiration=1,IF($A1136&lt;VLOOKUP(V$5,NFI,5,0),1,0)*Table_NFI[[#This Row],[Jerry Can]],Table_NFI[Jerry Can])</f>
        <v>0</v>
      </c>
      <c r="AO1136" s="331">
        <f>IF(NFI_Expiration=1,IF($A1136&lt;VLOOKUP(V$5,NFI,5,0),1,0)*Table_NFI[[#This Row],[Shelter Tool kit]],Table_NFI[Shelter Tool kit])</f>
        <v>0</v>
      </c>
      <c r="AP1136" s="331">
        <f>IF(NFI_Expiration=1,IF($A1136&lt;VLOOKUP(V$5,NFI,5,0),1,0)*Table_NFI[[#This Row],[Tent]],Table_NFI[Tent])</f>
        <v>0</v>
      </c>
      <c r="AQ1136" s="467" t="str">
        <f>IFERROR(VLOOKUP(Table_NFI[[#This Row],[Camp Name]],CL,2,0),"")</f>
        <v/>
      </c>
      <c r="AR1136" s="835" t="str">
        <f ca="1">IF(Table_NFI[[#This Row],[Pcode]]="","",IF(OFFSET(CampList[Opening Date],MATCH(Table_NFI[[#This Row],[Pcode]],CampList[CP_Pcode],0)-1,0,1,1)&gt;=NFI_Monitor_Date,1,0))</f>
        <v/>
      </c>
      <c r="AS1136" s="467" t="str">
        <f>IFERROR(VLOOKUP(Table_NFI[[#This Row],[Camp Name]],CL,3,0),"")</f>
        <v/>
      </c>
      <c r="AT1136" s="294" t="str">
        <f ca="1">IF(Table_NFI[[#This Row],[Pcode]]="","",OFFSET(CampList[Priority],MATCH(Table_NFI[[#This Row],[Pcode]],CampList[CP_Pcode],0)-1,0,1,1))</f>
        <v/>
      </c>
      <c r="AU1136" s="293" t="str">
        <f>IFERROR(Table_NFI[[#This Row],[Kitchen Set]]/VLOOKUP(Table_NFI[[#This Row],[Camp Name]],CL,4,0),"")</f>
        <v/>
      </c>
      <c r="AV1136" s="461"/>
      <c r="AW1136" s="468"/>
    </row>
    <row r="1137" spans="1:49" ht="14.45" customHeight="1" x14ac:dyDescent="0.25">
      <c r="A1137" s="297" t="str">
        <f t="shared" si="17"/>
        <v/>
      </c>
      <c r="B1137" s="460"/>
      <c r="C1137" s="465"/>
      <c r="D1137" s="465"/>
      <c r="E1137" s="465"/>
      <c r="F1137" s="465"/>
      <c r="G1137" s="465"/>
      <c r="H1137" s="292"/>
      <c r="I1137" s="292"/>
      <c r="J1137" s="292"/>
      <c r="K1137" s="292"/>
      <c r="L1137" s="292"/>
      <c r="M1137" s="292"/>
      <c r="N1137" s="292"/>
      <c r="O1137" s="292"/>
      <c r="P1137" s="294"/>
      <c r="Q1137" s="294"/>
      <c r="R1137" s="294"/>
      <c r="S1137" s="294"/>
      <c r="T1137" s="294"/>
      <c r="U1137" s="294"/>
      <c r="V1137" s="431"/>
      <c r="W1137" s="331"/>
      <c r="X1137" s="331"/>
      <c r="Y1137" s="294">
        <f>IF(NFI_Expiration=1,IF($A1137&lt;VLOOKUP(H$5,NFI,5,0),1,0)*Table_NFI[[#This Row],[Hygiene Kit]],Table_NFI[Hygiene Kit])</f>
        <v>0</v>
      </c>
      <c r="Z1137" s="294">
        <f>IF(NFI_Expiration=1,IF($A1137&lt;VLOOKUP(I$5,NFI,5,0),1,0)*Table_NFI[[#This Row],[NFI Core Kit]],Table_NFI[NFI Core Kit])</f>
        <v>0</v>
      </c>
      <c r="AA1137" s="294">
        <f>IF(NFI_Expiration=1,IF($A1137&lt;VLOOKUP(J$5,NFI,5,0),1,0)*Table_NFI[[#This Row],[Sanitary Kit]],Table_NFI[Sanitary Kit])</f>
        <v>0</v>
      </c>
      <c r="AB1137" s="294">
        <f>IF(NFI_Expiration=1,IF($A1137&lt;VLOOKUP(K$5,NFI,5,0),1,0)*Table_NFI[[#This Row],[Mosquito net]],Table_NFI[Mosquito net])</f>
        <v>0</v>
      </c>
      <c r="AC1137" s="294">
        <f>IF(NFI_Expiration=1,IF($A1137&lt;VLOOKUP(L$5,NFI,5,0),1,0)*Table_NFI[[#This Row],[Tarpaulin]],Table_NFI[[#This Row],[Tarpaulin]])</f>
        <v>0</v>
      </c>
      <c r="AD1137" s="294">
        <f>IF(NFI_Expiration=1,IF($A1137&lt;VLOOKUP(M$5,NFI,5,0),1,0)*Table_NFI[[#This Row],[Blanket]],Table_NFI[[#This Row],[Blanket]])</f>
        <v>0</v>
      </c>
      <c r="AE1137" s="294">
        <f>IF(NFI_Expiration=1,IF($A1137&lt;VLOOKUP(N$5,NFI,5,0),1,0)*Table_NFI[[#This Row],[Kitchen Set]],Table_NFI[Kitchen Set])</f>
        <v>0</v>
      </c>
      <c r="AF1137" s="294">
        <f>IF(NFI_Expiration=1,IF($A1137&lt;VLOOKUP(O$5,NFI,5,0),1,0)*Table_NFI[[#This Row],[Clothes Kit]],Table_NFI[Clothes Kit])</f>
        <v>0</v>
      </c>
      <c r="AG1137" s="294">
        <f>IF(NFI_Expiration=1,IF($A1137&lt;VLOOKUP(P$5,NFI,5,0),1,0)*Table_NFI[[#This Row],[Plastic Bucket]],Table_NFI[Plastic Bucket])</f>
        <v>0</v>
      </c>
      <c r="AH1137" s="294">
        <f>IF(NFI_Expiration=1,IF($A1137&lt;VLOOKUP(Q$5,NFI,5,0),1,0)*Table_NFI[[#This Row],[Plastic Mat]],Table_NFI[Plastic Mat])*IF(Table_NFI[[#This Row],[Distribution Date]]&gt;"2014-04-01",1,2.5)</f>
        <v>0</v>
      </c>
      <c r="AI1137" s="294">
        <f>IF(NFI_Expiration=1,IF($A1137&lt;VLOOKUP(R$5,NFI,5,0),1,0)*Table_NFI[[#This Row],[Winter Clothes Adult]],Table_NFI[Winter Clothes Adult])</f>
        <v>0</v>
      </c>
      <c r="AJ1137" s="294">
        <f>IF(NFI_Expiration=1,IF($A1137&lt;VLOOKUP(S$5,NFI,5,0),1,0)*Table_NFI[[#This Row],[Winter Clothes Children]],Table_NFI[Winter Clothes Children])</f>
        <v>0</v>
      </c>
      <c r="AK1137" s="294">
        <f>IF(NFI_Expiration=1,IF($A1137&lt;VLOOKUP(T$5,NFI,5,0),1,0)*Table_NFI[[#This Row],[Winter Items Other]],Table_NFI[Winter Items Other])</f>
        <v>0</v>
      </c>
      <c r="AL1137" s="294">
        <f>IF(NFI_Expiration=1,IF($A1137&lt;VLOOKUP(M$5,NFI,5,0),1,0)*Table_NFI[[#This Row],[Winter Blanket]],Table_NFI[[#This Row],[Winter Blanket]])</f>
        <v>0</v>
      </c>
      <c r="AM1137" s="294">
        <f>IF(Table_NFI[[#This Row],[Winter Clothes Adult]]+Table_NFI[[#This Row],[Winter Clothes Children]]+Table_NFI[[#This Row],[Winter Items Other]]+Table_NFI[[#This Row],[Winter Blanket]]&gt;0,1,0)</f>
        <v>0</v>
      </c>
      <c r="AN1137" s="331">
        <f>IF(NFI_Expiration=1,IF($A1137&lt;VLOOKUP(V$5,NFI,5,0),1,0)*Table_NFI[[#This Row],[Jerry Can]],Table_NFI[Jerry Can])</f>
        <v>0</v>
      </c>
      <c r="AO1137" s="331">
        <f>IF(NFI_Expiration=1,IF($A1137&lt;VLOOKUP(V$5,NFI,5,0),1,0)*Table_NFI[[#This Row],[Shelter Tool kit]],Table_NFI[Shelter Tool kit])</f>
        <v>0</v>
      </c>
      <c r="AP1137" s="331">
        <f>IF(NFI_Expiration=1,IF($A1137&lt;VLOOKUP(V$5,NFI,5,0),1,0)*Table_NFI[[#This Row],[Tent]],Table_NFI[Tent])</f>
        <v>0</v>
      </c>
      <c r="AQ1137" s="467" t="str">
        <f>IFERROR(VLOOKUP(Table_NFI[[#This Row],[Camp Name]],CL,2,0),"")</f>
        <v/>
      </c>
      <c r="AR1137" s="835" t="str">
        <f ca="1">IF(Table_NFI[[#This Row],[Pcode]]="","",IF(OFFSET(CampList[Opening Date],MATCH(Table_NFI[[#This Row],[Pcode]],CampList[CP_Pcode],0)-1,0,1,1)&gt;=NFI_Monitor_Date,1,0))</f>
        <v/>
      </c>
      <c r="AS1137" s="467" t="str">
        <f>IFERROR(VLOOKUP(Table_NFI[[#This Row],[Camp Name]],CL,3,0),"")</f>
        <v/>
      </c>
      <c r="AT1137" s="294" t="str">
        <f ca="1">IF(Table_NFI[[#This Row],[Pcode]]="","",OFFSET(CampList[Priority],MATCH(Table_NFI[[#This Row],[Pcode]],CampList[CP_Pcode],0)-1,0,1,1))</f>
        <v/>
      </c>
      <c r="AU1137" s="293" t="str">
        <f>IFERROR(Table_NFI[[#This Row],[Kitchen Set]]/VLOOKUP(Table_NFI[[#This Row],[Camp Name]],CL,4,0),"")</f>
        <v/>
      </c>
      <c r="AV1137" s="461"/>
      <c r="AW1137" s="468"/>
    </row>
    <row r="1138" spans="1:49" ht="14.45" customHeight="1" x14ac:dyDescent="0.25">
      <c r="A1138" s="297" t="str">
        <f t="shared" si="17"/>
        <v/>
      </c>
      <c r="B1138" s="460"/>
      <c r="C1138" s="465"/>
      <c r="D1138" s="465"/>
      <c r="E1138" s="465"/>
      <c r="F1138" s="465"/>
      <c r="G1138" s="465"/>
      <c r="H1138" s="292"/>
      <c r="I1138" s="292"/>
      <c r="J1138" s="292"/>
      <c r="K1138" s="292"/>
      <c r="L1138" s="292"/>
      <c r="M1138" s="292"/>
      <c r="N1138" s="292"/>
      <c r="O1138" s="292"/>
      <c r="P1138" s="294"/>
      <c r="Q1138" s="294"/>
      <c r="R1138" s="294"/>
      <c r="S1138" s="294"/>
      <c r="T1138" s="294"/>
      <c r="U1138" s="294"/>
      <c r="V1138" s="431"/>
      <c r="W1138" s="331"/>
      <c r="X1138" s="331"/>
      <c r="Y1138" s="294">
        <f>IF(NFI_Expiration=1,IF($A1138&lt;VLOOKUP(H$5,NFI,5,0),1,0)*Table_NFI[[#This Row],[Hygiene Kit]],Table_NFI[Hygiene Kit])</f>
        <v>0</v>
      </c>
      <c r="Z1138" s="294">
        <f>IF(NFI_Expiration=1,IF($A1138&lt;VLOOKUP(I$5,NFI,5,0),1,0)*Table_NFI[[#This Row],[NFI Core Kit]],Table_NFI[NFI Core Kit])</f>
        <v>0</v>
      </c>
      <c r="AA1138" s="294">
        <f>IF(NFI_Expiration=1,IF($A1138&lt;VLOOKUP(J$5,NFI,5,0),1,0)*Table_NFI[[#This Row],[Sanitary Kit]],Table_NFI[Sanitary Kit])</f>
        <v>0</v>
      </c>
      <c r="AB1138" s="294">
        <f>IF(NFI_Expiration=1,IF($A1138&lt;VLOOKUP(K$5,NFI,5,0),1,0)*Table_NFI[[#This Row],[Mosquito net]],Table_NFI[Mosquito net])</f>
        <v>0</v>
      </c>
      <c r="AC1138" s="294">
        <f>IF(NFI_Expiration=1,IF($A1138&lt;VLOOKUP(L$5,NFI,5,0),1,0)*Table_NFI[[#This Row],[Tarpaulin]],Table_NFI[[#This Row],[Tarpaulin]])</f>
        <v>0</v>
      </c>
      <c r="AD1138" s="294">
        <f>IF(NFI_Expiration=1,IF($A1138&lt;VLOOKUP(M$5,NFI,5,0),1,0)*Table_NFI[[#This Row],[Blanket]],Table_NFI[[#This Row],[Blanket]])</f>
        <v>0</v>
      </c>
      <c r="AE1138" s="294">
        <f>IF(NFI_Expiration=1,IF($A1138&lt;VLOOKUP(N$5,NFI,5,0),1,0)*Table_NFI[[#This Row],[Kitchen Set]],Table_NFI[Kitchen Set])</f>
        <v>0</v>
      </c>
      <c r="AF1138" s="294">
        <f>IF(NFI_Expiration=1,IF($A1138&lt;VLOOKUP(O$5,NFI,5,0),1,0)*Table_NFI[[#This Row],[Clothes Kit]],Table_NFI[Clothes Kit])</f>
        <v>0</v>
      </c>
      <c r="AG1138" s="294">
        <f>IF(NFI_Expiration=1,IF($A1138&lt;VLOOKUP(P$5,NFI,5,0),1,0)*Table_NFI[[#This Row],[Plastic Bucket]],Table_NFI[Plastic Bucket])</f>
        <v>0</v>
      </c>
      <c r="AH1138" s="294">
        <f>IF(NFI_Expiration=1,IF($A1138&lt;VLOOKUP(Q$5,NFI,5,0),1,0)*Table_NFI[[#This Row],[Plastic Mat]],Table_NFI[Plastic Mat])*IF(Table_NFI[[#This Row],[Distribution Date]]&gt;"2014-04-01",1,2.5)</f>
        <v>0</v>
      </c>
      <c r="AI1138" s="294">
        <f>IF(NFI_Expiration=1,IF($A1138&lt;VLOOKUP(R$5,NFI,5,0),1,0)*Table_NFI[[#This Row],[Winter Clothes Adult]],Table_NFI[Winter Clothes Adult])</f>
        <v>0</v>
      </c>
      <c r="AJ1138" s="294">
        <f>IF(NFI_Expiration=1,IF($A1138&lt;VLOOKUP(S$5,NFI,5,0),1,0)*Table_NFI[[#This Row],[Winter Clothes Children]],Table_NFI[Winter Clothes Children])</f>
        <v>0</v>
      </c>
      <c r="AK1138" s="294">
        <f>IF(NFI_Expiration=1,IF($A1138&lt;VLOOKUP(T$5,NFI,5,0),1,0)*Table_NFI[[#This Row],[Winter Items Other]],Table_NFI[Winter Items Other])</f>
        <v>0</v>
      </c>
      <c r="AL1138" s="294">
        <f>IF(NFI_Expiration=1,IF($A1138&lt;VLOOKUP(M$5,NFI,5,0),1,0)*Table_NFI[[#This Row],[Winter Blanket]],Table_NFI[[#This Row],[Winter Blanket]])</f>
        <v>0</v>
      </c>
      <c r="AM1138" s="294">
        <f>IF(Table_NFI[[#This Row],[Winter Clothes Adult]]+Table_NFI[[#This Row],[Winter Clothes Children]]+Table_NFI[[#This Row],[Winter Items Other]]+Table_NFI[[#This Row],[Winter Blanket]]&gt;0,1,0)</f>
        <v>0</v>
      </c>
      <c r="AN1138" s="331">
        <f>IF(NFI_Expiration=1,IF($A1138&lt;VLOOKUP(V$5,NFI,5,0),1,0)*Table_NFI[[#This Row],[Jerry Can]],Table_NFI[Jerry Can])</f>
        <v>0</v>
      </c>
      <c r="AO1138" s="331">
        <f>IF(NFI_Expiration=1,IF($A1138&lt;VLOOKUP(V$5,NFI,5,0),1,0)*Table_NFI[[#This Row],[Shelter Tool kit]],Table_NFI[Shelter Tool kit])</f>
        <v>0</v>
      </c>
      <c r="AP1138" s="331">
        <f>IF(NFI_Expiration=1,IF($A1138&lt;VLOOKUP(V$5,NFI,5,0),1,0)*Table_NFI[[#This Row],[Tent]],Table_NFI[Tent])</f>
        <v>0</v>
      </c>
      <c r="AQ1138" s="467" t="str">
        <f>IFERROR(VLOOKUP(Table_NFI[[#This Row],[Camp Name]],CL,2,0),"")</f>
        <v/>
      </c>
      <c r="AR1138" s="835" t="str">
        <f ca="1">IF(Table_NFI[[#This Row],[Pcode]]="","",IF(OFFSET(CampList[Opening Date],MATCH(Table_NFI[[#This Row],[Pcode]],CampList[CP_Pcode],0)-1,0,1,1)&gt;=NFI_Monitor_Date,1,0))</f>
        <v/>
      </c>
      <c r="AS1138" s="467" t="str">
        <f>IFERROR(VLOOKUP(Table_NFI[[#This Row],[Camp Name]],CL,3,0),"")</f>
        <v/>
      </c>
      <c r="AT1138" s="294" t="str">
        <f ca="1">IF(Table_NFI[[#This Row],[Pcode]]="","",OFFSET(CampList[Priority],MATCH(Table_NFI[[#This Row],[Pcode]],CampList[CP_Pcode],0)-1,0,1,1))</f>
        <v/>
      </c>
      <c r="AU1138" s="293" t="str">
        <f>IFERROR(Table_NFI[[#This Row],[Kitchen Set]]/VLOOKUP(Table_NFI[[#This Row],[Camp Name]],CL,4,0),"")</f>
        <v/>
      </c>
      <c r="AV1138" s="461"/>
      <c r="AW1138" s="468"/>
    </row>
    <row r="1139" spans="1:49" ht="14.45" customHeight="1" x14ac:dyDescent="0.25">
      <c r="A1139" s="297" t="str">
        <f t="shared" si="17"/>
        <v/>
      </c>
      <c r="B1139" s="460"/>
      <c r="C1139" s="465"/>
      <c r="D1139" s="465"/>
      <c r="E1139" s="465"/>
      <c r="F1139" s="465"/>
      <c r="G1139" s="465"/>
      <c r="H1139" s="292"/>
      <c r="I1139" s="292"/>
      <c r="J1139" s="292"/>
      <c r="K1139" s="292"/>
      <c r="L1139" s="292"/>
      <c r="M1139" s="292"/>
      <c r="N1139" s="292"/>
      <c r="O1139" s="292"/>
      <c r="P1139" s="294"/>
      <c r="Q1139" s="294"/>
      <c r="R1139" s="294"/>
      <c r="S1139" s="294"/>
      <c r="T1139" s="294"/>
      <c r="U1139" s="294"/>
      <c r="V1139" s="431"/>
      <c r="W1139" s="331"/>
      <c r="X1139" s="331"/>
      <c r="Y1139" s="294">
        <f>IF(NFI_Expiration=1,IF($A1139&lt;VLOOKUP(H$5,NFI,5,0),1,0)*Table_NFI[[#This Row],[Hygiene Kit]],Table_NFI[Hygiene Kit])</f>
        <v>0</v>
      </c>
      <c r="Z1139" s="294">
        <f>IF(NFI_Expiration=1,IF($A1139&lt;VLOOKUP(I$5,NFI,5,0),1,0)*Table_NFI[[#This Row],[NFI Core Kit]],Table_NFI[NFI Core Kit])</f>
        <v>0</v>
      </c>
      <c r="AA1139" s="294">
        <f>IF(NFI_Expiration=1,IF($A1139&lt;VLOOKUP(J$5,NFI,5,0),1,0)*Table_NFI[[#This Row],[Sanitary Kit]],Table_NFI[Sanitary Kit])</f>
        <v>0</v>
      </c>
      <c r="AB1139" s="294">
        <f>IF(NFI_Expiration=1,IF($A1139&lt;VLOOKUP(K$5,NFI,5,0),1,0)*Table_NFI[[#This Row],[Mosquito net]],Table_NFI[Mosquito net])</f>
        <v>0</v>
      </c>
      <c r="AC1139" s="294">
        <f>IF(NFI_Expiration=1,IF($A1139&lt;VLOOKUP(L$5,NFI,5,0),1,0)*Table_NFI[[#This Row],[Tarpaulin]],Table_NFI[[#This Row],[Tarpaulin]])</f>
        <v>0</v>
      </c>
      <c r="AD1139" s="294">
        <f>IF(NFI_Expiration=1,IF($A1139&lt;VLOOKUP(M$5,NFI,5,0),1,0)*Table_NFI[[#This Row],[Blanket]],Table_NFI[[#This Row],[Blanket]])</f>
        <v>0</v>
      </c>
      <c r="AE1139" s="294">
        <f>IF(NFI_Expiration=1,IF($A1139&lt;VLOOKUP(N$5,NFI,5,0),1,0)*Table_NFI[[#This Row],[Kitchen Set]],Table_NFI[Kitchen Set])</f>
        <v>0</v>
      </c>
      <c r="AF1139" s="294">
        <f>IF(NFI_Expiration=1,IF($A1139&lt;VLOOKUP(O$5,NFI,5,0),1,0)*Table_NFI[[#This Row],[Clothes Kit]],Table_NFI[Clothes Kit])</f>
        <v>0</v>
      </c>
      <c r="AG1139" s="294">
        <f>IF(NFI_Expiration=1,IF($A1139&lt;VLOOKUP(P$5,NFI,5,0),1,0)*Table_NFI[[#This Row],[Plastic Bucket]],Table_NFI[Plastic Bucket])</f>
        <v>0</v>
      </c>
      <c r="AH1139" s="294">
        <f>IF(NFI_Expiration=1,IF($A1139&lt;VLOOKUP(Q$5,NFI,5,0),1,0)*Table_NFI[[#This Row],[Plastic Mat]],Table_NFI[Plastic Mat])*IF(Table_NFI[[#This Row],[Distribution Date]]&gt;"2014-04-01",1,2.5)</f>
        <v>0</v>
      </c>
      <c r="AI1139" s="294">
        <f>IF(NFI_Expiration=1,IF($A1139&lt;VLOOKUP(R$5,NFI,5,0),1,0)*Table_NFI[[#This Row],[Winter Clothes Adult]],Table_NFI[Winter Clothes Adult])</f>
        <v>0</v>
      </c>
      <c r="AJ1139" s="294">
        <f>IF(NFI_Expiration=1,IF($A1139&lt;VLOOKUP(S$5,NFI,5,0),1,0)*Table_NFI[[#This Row],[Winter Clothes Children]],Table_NFI[Winter Clothes Children])</f>
        <v>0</v>
      </c>
      <c r="AK1139" s="294">
        <f>IF(NFI_Expiration=1,IF($A1139&lt;VLOOKUP(T$5,NFI,5,0),1,0)*Table_NFI[[#This Row],[Winter Items Other]],Table_NFI[Winter Items Other])</f>
        <v>0</v>
      </c>
      <c r="AL1139" s="294">
        <f>IF(NFI_Expiration=1,IF($A1139&lt;VLOOKUP(M$5,NFI,5,0),1,0)*Table_NFI[[#This Row],[Winter Blanket]],Table_NFI[[#This Row],[Winter Blanket]])</f>
        <v>0</v>
      </c>
      <c r="AM1139" s="294">
        <f>IF(Table_NFI[[#This Row],[Winter Clothes Adult]]+Table_NFI[[#This Row],[Winter Clothes Children]]+Table_NFI[[#This Row],[Winter Items Other]]+Table_NFI[[#This Row],[Winter Blanket]]&gt;0,1,0)</f>
        <v>0</v>
      </c>
      <c r="AN1139" s="331">
        <f>IF(NFI_Expiration=1,IF($A1139&lt;VLOOKUP(V$5,NFI,5,0),1,0)*Table_NFI[[#This Row],[Jerry Can]],Table_NFI[Jerry Can])</f>
        <v>0</v>
      </c>
      <c r="AO1139" s="331">
        <f>IF(NFI_Expiration=1,IF($A1139&lt;VLOOKUP(V$5,NFI,5,0),1,0)*Table_NFI[[#This Row],[Shelter Tool kit]],Table_NFI[Shelter Tool kit])</f>
        <v>0</v>
      </c>
      <c r="AP1139" s="331">
        <f>IF(NFI_Expiration=1,IF($A1139&lt;VLOOKUP(V$5,NFI,5,0),1,0)*Table_NFI[[#This Row],[Tent]],Table_NFI[Tent])</f>
        <v>0</v>
      </c>
      <c r="AQ1139" s="467" t="str">
        <f>IFERROR(VLOOKUP(Table_NFI[[#This Row],[Camp Name]],CL,2,0),"")</f>
        <v/>
      </c>
      <c r="AR1139" s="835" t="str">
        <f ca="1">IF(Table_NFI[[#This Row],[Pcode]]="","",IF(OFFSET(CampList[Opening Date],MATCH(Table_NFI[[#This Row],[Pcode]],CampList[CP_Pcode],0)-1,0,1,1)&gt;=NFI_Monitor_Date,1,0))</f>
        <v/>
      </c>
      <c r="AS1139" s="467" t="str">
        <f>IFERROR(VLOOKUP(Table_NFI[[#This Row],[Camp Name]],CL,3,0),"")</f>
        <v/>
      </c>
      <c r="AT1139" s="294" t="str">
        <f ca="1">IF(Table_NFI[[#This Row],[Pcode]]="","",OFFSET(CampList[Priority],MATCH(Table_NFI[[#This Row],[Pcode]],CampList[CP_Pcode],0)-1,0,1,1))</f>
        <v/>
      </c>
      <c r="AU1139" s="293" t="str">
        <f>IFERROR(Table_NFI[[#This Row],[Kitchen Set]]/VLOOKUP(Table_NFI[[#This Row],[Camp Name]],CL,4,0),"")</f>
        <v/>
      </c>
      <c r="AV1139" s="461"/>
      <c r="AW1139" s="468"/>
    </row>
    <row r="1140" spans="1:49" ht="14.45" customHeight="1" x14ac:dyDescent="0.25">
      <c r="A1140" s="297" t="str">
        <f t="shared" si="17"/>
        <v/>
      </c>
      <c r="B1140" s="460"/>
      <c r="C1140" s="465"/>
      <c r="D1140" s="465"/>
      <c r="E1140" s="465"/>
      <c r="F1140" s="465"/>
      <c r="G1140" s="465"/>
      <c r="H1140" s="292"/>
      <c r="I1140" s="292"/>
      <c r="J1140" s="292"/>
      <c r="K1140" s="292"/>
      <c r="L1140" s="292"/>
      <c r="M1140" s="292"/>
      <c r="N1140" s="292"/>
      <c r="O1140" s="292"/>
      <c r="P1140" s="294"/>
      <c r="Q1140" s="294"/>
      <c r="R1140" s="294"/>
      <c r="S1140" s="294"/>
      <c r="T1140" s="294"/>
      <c r="U1140" s="294"/>
      <c r="V1140" s="431"/>
      <c r="W1140" s="331"/>
      <c r="X1140" s="331"/>
      <c r="Y1140" s="294">
        <f>IF(NFI_Expiration=1,IF($A1140&lt;VLOOKUP(H$5,NFI,5,0),1,0)*Table_NFI[[#This Row],[Hygiene Kit]],Table_NFI[Hygiene Kit])</f>
        <v>0</v>
      </c>
      <c r="Z1140" s="294">
        <f>IF(NFI_Expiration=1,IF($A1140&lt;VLOOKUP(I$5,NFI,5,0),1,0)*Table_NFI[[#This Row],[NFI Core Kit]],Table_NFI[NFI Core Kit])</f>
        <v>0</v>
      </c>
      <c r="AA1140" s="294">
        <f>IF(NFI_Expiration=1,IF($A1140&lt;VLOOKUP(J$5,NFI,5,0),1,0)*Table_NFI[[#This Row],[Sanitary Kit]],Table_NFI[Sanitary Kit])</f>
        <v>0</v>
      </c>
      <c r="AB1140" s="294">
        <f>IF(NFI_Expiration=1,IF($A1140&lt;VLOOKUP(K$5,NFI,5,0),1,0)*Table_NFI[[#This Row],[Mosquito net]],Table_NFI[Mosquito net])</f>
        <v>0</v>
      </c>
      <c r="AC1140" s="294">
        <f>IF(NFI_Expiration=1,IF($A1140&lt;VLOOKUP(L$5,NFI,5,0),1,0)*Table_NFI[[#This Row],[Tarpaulin]],Table_NFI[[#This Row],[Tarpaulin]])</f>
        <v>0</v>
      </c>
      <c r="AD1140" s="294">
        <f>IF(NFI_Expiration=1,IF($A1140&lt;VLOOKUP(M$5,NFI,5,0),1,0)*Table_NFI[[#This Row],[Blanket]],Table_NFI[[#This Row],[Blanket]])</f>
        <v>0</v>
      </c>
      <c r="AE1140" s="294">
        <f>IF(NFI_Expiration=1,IF($A1140&lt;VLOOKUP(N$5,NFI,5,0),1,0)*Table_NFI[[#This Row],[Kitchen Set]],Table_NFI[Kitchen Set])</f>
        <v>0</v>
      </c>
      <c r="AF1140" s="294">
        <f>IF(NFI_Expiration=1,IF($A1140&lt;VLOOKUP(O$5,NFI,5,0),1,0)*Table_NFI[[#This Row],[Clothes Kit]],Table_NFI[Clothes Kit])</f>
        <v>0</v>
      </c>
      <c r="AG1140" s="294">
        <f>IF(NFI_Expiration=1,IF($A1140&lt;VLOOKUP(P$5,NFI,5,0),1,0)*Table_NFI[[#This Row],[Plastic Bucket]],Table_NFI[Plastic Bucket])</f>
        <v>0</v>
      </c>
      <c r="AH1140" s="294">
        <f>IF(NFI_Expiration=1,IF($A1140&lt;VLOOKUP(Q$5,NFI,5,0),1,0)*Table_NFI[[#This Row],[Plastic Mat]],Table_NFI[Plastic Mat])*IF(Table_NFI[[#This Row],[Distribution Date]]&gt;"2014-04-01",1,2.5)</f>
        <v>0</v>
      </c>
      <c r="AI1140" s="294">
        <f>IF(NFI_Expiration=1,IF($A1140&lt;VLOOKUP(R$5,NFI,5,0),1,0)*Table_NFI[[#This Row],[Winter Clothes Adult]],Table_NFI[Winter Clothes Adult])</f>
        <v>0</v>
      </c>
      <c r="AJ1140" s="294">
        <f>IF(NFI_Expiration=1,IF($A1140&lt;VLOOKUP(S$5,NFI,5,0),1,0)*Table_NFI[[#This Row],[Winter Clothes Children]],Table_NFI[Winter Clothes Children])</f>
        <v>0</v>
      </c>
      <c r="AK1140" s="294">
        <f>IF(NFI_Expiration=1,IF($A1140&lt;VLOOKUP(T$5,NFI,5,0),1,0)*Table_NFI[[#This Row],[Winter Items Other]],Table_NFI[Winter Items Other])</f>
        <v>0</v>
      </c>
      <c r="AL1140" s="294">
        <f>IF(NFI_Expiration=1,IF($A1140&lt;VLOOKUP(M$5,NFI,5,0),1,0)*Table_NFI[[#This Row],[Winter Blanket]],Table_NFI[[#This Row],[Winter Blanket]])</f>
        <v>0</v>
      </c>
      <c r="AM1140" s="294">
        <f>IF(Table_NFI[[#This Row],[Winter Clothes Adult]]+Table_NFI[[#This Row],[Winter Clothes Children]]+Table_NFI[[#This Row],[Winter Items Other]]+Table_NFI[[#This Row],[Winter Blanket]]&gt;0,1,0)</f>
        <v>0</v>
      </c>
      <c r="AN1140" s="331">
        <f>IF(NFI_Expiration=1,IF($A1140&lt;VLOOKUP(V$5,NFI,5,0),1,0)*Table_NFI[[#This Row],[Jerry Can]],Table_NFI[Jerry Can])</f>
        <v>0</v>
      </c>
      <c r="AO1140" s="331">
        <f>IF(NFI_Expiration=1,IF($A1140&lt;VLOOKUP(V$5,NFI,5,0),1,0)*Table_NFI[[#This Row],[Shelter Tool kit]],Table_NFI[Shelter Tool kit])</f>
        <v>0</v>
      </c>
      <c r="AP1140" s="331">
        <f>IF(NFI_Expiration=1,IF($A1140&lt;VLOOKUP(V$5,NFI,5,0),1,0)*Table_NFI[[#This Row],[Tent]],Table_NFI[Tent])</f>
        <v>0</v>
      </c>
      <c r="AQ1140" s="467" t="str">
        <f>IFERROR(VLOOKUP(Table_NFI[[#This Row],[Camp Name]],CL,2,0),"")</f>
        <v/>
      </c>
      <c r="AR1140" s="835" t="str">
        <f ca="1">IF(Table_NFI[[#This Row],[Pcode]]="","",IF(OFFSET(CampList[Opening Date],MATCH(Table_NFI[[#This Row],[Pcode]],CampList[CP_Pcode],0)-1,0,1,1)&gt;=NFI_Monitor_Date,1,0))</f>
        <v/>
      </c>
      <c r="AS1140" s="467" t="str">
        <f>IFERROR(VLOOKUP(Table_NFI[[#This Row],[Camp Name]],CL,3,0),"")</f>
        <v/>
      </c>
      <c r="AT1140" s="294" t="str">
        <f ca="1">IF(Table_NFI[[#This Row],[Pcode]]="","",OFFSET(CampList[Priority],MATCH(Table_NFI[[#This Row],[Pcode]],CampList[CP_Pcode],0)-1,0,1,1))</f>
        <v/>
      </c>
      <c r="AU1140" s="293" t="str">
        <f>IFERROR(Table_NFI[[#This Row],[Kitchen Set]]/VLOOKUP(Table_NFI[[#This Row],[Camp Name]],CL,4,0),"")</f>
        <v/>
      </c>
      <c r="AV1140" s="461"/>
      <c r="AW1140" s="468"/>
    </row>
    <row r="1141" spans="1:49" ht="14.45" customHeight="1" x14ac:dyDescent="0.25">
      <c r="A1141" s="297" t="str">
        <f t="shared" si="17"/>
        <v/>
      </c>
      <c r="B1141" s="460"/>
      <c r="C1141" s="465"/>
      <c r="D1141" s="465"/>
      <c r="E1141" s="465"/>
      <c r="F1141" s="465"/>
      <c r="G1141" s="465"/>
      <c r="H1141" s="292"/>
      <c r="I1141" s="292"/>
      <c r="J1141" s="292"/>
      <c r="K1141" s="292"/>
      <c r="L1141" s="292"/>
      <c r="M1141" s="292"/>
      <c r="N1141" s="292"/>
      <c r="O1141" s="292"/>
      <c r="P1141" s="294"/>
      <c r="Q1141" s="294"/>
      <c r="R1141" s="294"/>
      <c r="S1141" s="294"/>
      <c r="T1141" s="294"/>
      <c r="U1141" s="294"/>
      <c r="V1141" s="431"/>
      <c r="W1141" s="331"/>
      <c r="X1141" s="331"/>
      <c r="Y1141" s="294">
        <f>IF(NFI_Expiration=1,IF($A1141&lt;VLOOKUP(H$5,NFI,5,0),1,0)*Table_NFI[[#This Row],[Hygiene Kit]],Table_NFI[Hygiene Kit])</f>
        <v>0</v>
      </c>
      <c r="Z1141" s="294">
        <f>IF(NFI_Expiration=1,IF($A1141&lt;VLOOKUP(I$5,NFI,5,0),1,0)*Table_NFI[[#This Row],[NFI Core Kit]],Table_NFI[NFI Core Kit])</f>
        <v>0</v>
      </c>
      <c r="AA1141" s="294">
        <f>IF(NFI_Expiration=1,IF($A1141&lt;VLOOKUP(J$5,NFI,5,0),1,0)*Table_NFI[[#This Row],[Sanitary Kit]],Table_NFI[Sanitary Kit])</f>
        <v>0</v>
      </c>
      <c r="AB1141" s="294">
        <f>IF(NFI_Expiration=1,IF($A1141&lt;VLOOKUP(K$5,NFI,5,0),1,0)*Table_NFI[[#This Row],[Mosquito net]],Table_NFI[Mosquito net])</f>
        <v>0</v>
      </c>
      <c r="AC1141" s="294">
        <f>IF(NFI_Expiration=1,IF($A1141&lt;VLOOKUP(L$5,NFI,5,0),1,0)*Table_NFI[[#This Row],[Tarpaulin]],Table_NFI[[#This Row],[Tarpaulin]])</f>
        <v>0</v>
      </c>
      <c r="AD1141" s="294">
        <f>IF(NFI_Expiration=1,IF($A1141&lt;VLOOKUP(M$5,NFI,5,0),1,0)*Table_NFI[[#This Row],[Blanket]],Table_NFI[[#This Row],[Blanket]])</f>
        <v>0</v>
      </c>
      <c r="AE1141" s="294">
        <f>IF(NFI_Expiration=1,IF($A1141&lt;VLOOKUP(N$5,NFI,5,0),1,0)*Table_NFI[[#This Row],[Kitchen Set]],Table_NFI[Kitchen Set])</f>
        <v>0</v>
      </c>
      <c r="AF1141" s="294">
        <f>IF(NFI_Expiration=1,IF($A1141&lt;VLOOKUP(O$5,NFI,5,0),1,0)*Table_NFI[[#This Row],[Clothes Kit]],Table_NFI[Clothes Kit])</f>
        <v>0</v>
      </c>
      <c r="AG1141" s="294">
        <f>IF(NFI_Expiration=1,IF($A1141&lt;VLOOKUP(P$5,NFI,5,0),1,0)*Table_NFI[[#This Row],[Plastic Bucket]],Table_NFI[Plastic Bucket])</f>
        <v>0</v>
      </c>
      <c r="AH1141" s="294">
        <f>IF(NFI_Expiration=1,IF($A1141&lt;VLOOKUP(Q$5,NFI,5,0),1,0)*Table_NFI[[#This Row],[Plastic Mat]],Table_NFI[Plastic Mat])*IF(Table_NFI[[#This Row],[Distribution Date]]&gt;"2014-04-01",1,2.5)</f>
        <v>0</v>
      </c>
      <c r="AI1141" s="294">
        <f>IF(NFI_Expiration=1,IF($A1141&lt;VLOOKUP(R$5,NFI,5,0),1,0)*Table_NFI[[#This Row],[Winter Clothes Adult]],Table_NFI[Winter Clothes Adult])</f>
        <v>0</v>
      </c>
      <c r="AJ1141" s="294">
        <f>IF(NFI_Expiration=1,IF($A1141&lt;VLOOKUP(S$5,NFI,5,0),1,0)*Table_NFI[[#This Row],[Winter Clothes Children]],Table_NFI[Winter Clothes Children])</f>
        <v>0</v>
      </c>
      <c r="AK1141" s="294">
        <f>IF(NFI_Expiration=1,IF($A1141&lt;VLOOKUP(T$5,NFI,5,0),1,0)*Table_NFI[[#This Row],[Winter Items Other]],Table_NFI[Winter Items Other])</f>
        <v>0</v>
      </c>
      <c r="AL1141" s="294">
        <f>IF(NFI_Expiration=1,IF($A1141&lt;VLOOKUP(M$5,NFI,5,0),1,0)*Table_NFI[[#This Row],[Winter Blanket]],Table_NFI[[#This Row],[Winter Blanket]])</f>
        <v>0</v>
      </c>
      <c r="AM1141" s="294">
        <f>IF(Table_NFI[[#This Row],[Winter Clothes Adult]]+Table_NFI[[#This Row],[Winter Clothes Children]]+Table_NFI[[#This Row],[Winter Items Other]]+Table_NFI[[#This Row],[Winter Blanket]]&gt;0,1,0)</f>
        <v>0</v>
      </c>
      <c r="AN1141" s="331">
        <f>IF(NFI_Expiration=1,IF($A1141&lt;VLOOKUP(V$5,NFI,5,0),1,0)*Table_NFI[[#This Row],[Jerry Can]],Table_NFI[Jerry Can])</f>
        <v>0</v>
      </c>
      <c r="AO1141" s="331">
        <f>IF(NFI_Expiration=1,IF($A1141&lt;VLOOKUP(V$5,NFI,5,0),1,0)*Table_NFI[[#This Row],[Shelter Tool kit]],Table_NFI[Shelter Tool kit])</f>
        <v>0</v>
      </c>
      <c r="AP1141" s="331">
        <f>IF(NFI_Expiration=1,IF($A1141&lt;VLOOKUP(V$5,NFI,5,0),1,0)*Table_NFI[[#This Row],[Tent]],Table_NFI[Tent])</f>
        <v>0</v>
      </c>
      <c r="AQ1141" s="467" t="str">
        <f>IFERROR(VLOOKUP(Table_NFI[[#This Row],[Camp Name]],CL,2,0),"")</f>
        <v/>
      </c>
      <c r="AR1141" s="835" t="str">
        <f ca="1">IF(Table_NFI[[#This Row],[Pcode]]="","",IF(OFFSET(CampList[Opening Date],MATCH(Table_NFI[[#This Row],[Pcode]],CampList[CP_Pcode],0)-1,0,1,1)&gt;=NFI_Monitor_Date,1,0))</f>
        <v/>
      </c>
      <c r="AS1141" s="467" t="str">
        <f>IFERROR(VLOOKUP(Table_NFI[[#This Row],[Camp Name]],CL,3,0),"")</f>
        <v/>
      </c>
      <c r="AT1141" s="294" t="str">
        <f ca="1">IF(Table_NFI[[#This Row],[Pcode]]="","",OFFSET(CampList[Priority],MATCH(Table_NFI[[#This Row],[Pcode]],CampList[CP_Pcode],0)-1,0,1,1))</f>
        <v/>
      </c>
      <c r="AU1141" s="293" t="str">
        <f>IFERROR(Table_NFI[[#This Row],[Kitchen Set]]/VLOOKUP(Table_NFI[[#This Row],[Camp Name]],CL,4,0),"")</f>
        <v/>
      </c>
      <c r="AV1141" s="461"/>
      <c r="AW1141" s="468"/>
    </row>
    <row r="1142" spans="1:49" ht="14.45" customHeight="1" x14ac:dyDescent="0.25">
      <c r="A1142" s="297" t="str">
        <f t="shared" si="17"/>
        <v/>
      </c>
      <c r="B1142" s="460"/>
      <c r="C1142" s="465"/>
      <c r="D1142" s="465"/>
      <c r="E1142" s="465"/>
      <c r="F1142" s="465"/>
      <c r="G1142" s="465"/>
      <c r="H1142" s="292"/>
      <c r="I1142" s="292"/>
      <c r="J1142" s="292"/>
      <c r="K1142" s="292"/>
      <c r="L1142" s="292"/>
      <c r="M1142" s="292"/>
      <c r="N1142" s="292"/>
      <c r="O1142" s="292"/>
      <c r="P1142" s="294"/>
      <c r="Q1142" s="294"/>
      <c r="R1142" s="294"/>
      <c r="S1142" s="294"/>
      <c r="T1142" s="294"/>
      <c r="U1142" s="294"/>
      <c r="V1142" s="431"/>
      <c r="W1142" s="331"/>
      <c r="X1142" s="331"/>
      <c r="Y1142" s="294">
        <f>IF(NFI_Expiration=1,IF($A1142&lt;VLOOKUP(H$5,NFI,5,0),1,0)*Table_NFI[[#This Row],[Hygiene Kit]],Table_NFI[Hygiene Kit])</f>
        <v>0</v>
      </c>
      <c r="Z1142" s="294">
        <f>IF(NFI_Expiration=1,IF($A1142&lt;VLOOKUP(I$5,NFI,5,0),1,0)*Table_NFI[[#This Row],[NFI Core Kit]],Table_NFI[NFI Core Kit])</f>
        <v>0</v>
      </c>
      <c r="AA1142" s="294">
        <f>IF(NFI_Expiration=1,IF($A1142&lt;VLOOKUP(J$5,NFI,5,0),1,0)*Table_NFI[[#This Row],[Sanitary Kit]],Table_NFI[Sanitary Kit])</f>
        <v>0</v>
      </c>
      <c r="AB1142" s="294">
        <f>IF(NFI_Expiration=1,IF($A1142&lt;VLOOKUP(K$5,NFI,5,0),1,0)*Table_NFI[[#This Row],[Mosquito net]],Table_NFI[Mosquito net])</f>
        <v>0</v>
      </c>
      <c r="AC1142" s="294">
        <f>IF(NFI_Expiration=1,IF($A1142&lt;VLOOKUP(L$5,NFI,5,0),1,0)*Table_NFI[[#This Row],[Tarpaulin]],Table_NFI[[#This Row],[Tarpaulin]])</f>
        <v>0</v>
      </c>
      <c r="AD1142" s="294">
        <f>IF(NFI_Expiration=1,IF($A1142&lt;VLOOKUP(M$5,NFI,5,0),1,0)*Table_NFI[[#This Row],[Blanket]],Table_NFI[[#This Row],[Blanket]])</f>
        <v>0</v>
      </c>
      <c r="AE1142" s="294">
        <f>IF(NFI_Expiration=1,IF($A1142&lt;VLOOKUP(N$5,NFI,5,0),1,0)*Table_NFI[[#This Row],[Kitchen Set]],Table_NFI[Kitchen Set])</f>
        <v>0</v>
      </c>
      <c r="AF1142" s="294">
        <f>IF(NFI_Expiration=1,IF($A1142&lt;VLOOKUP(O$5,NFI,5,0),1,0)*Table_NFI[[#This Row],[Clothes Kit]],Table_NFI[Clothes Kit])</f>
        <v>0</v>
      </c>
      <c r="AG1142" s="294">
        <f>IF(NFI_Expiration=1,IF($A1142&lt;VLOOKUP(P$5,NFI,5,0),1,0)*Table_NFI[[#This Row],[Plastic Bucket]],Table_NFI[Plastic Bucket])</f>
        <v>0</v>
      </c>
      <c r="AH1142" s="294">
        <f>IF(NFI_Expiration=1,IF($A1142&lt;VLOOKUP(Q$5,NFI,5,0),1,0)*Table_NFI[[#This Row],[Plastic Mat]],Table_NFI[Plastic Mat])*IF(Table_NFI[[#This Row],[Distribution Date]]&gt;"2014-04-01",1,2.5)</f>
        <v>0</v>
      </c>
      <c r="AI1142" s="294">
        <f>IF(NFI_Expiration=1,IF($A1142&lt;VLOOKUP(R$5,NFI,5,0),1,0)*Table_NFI[[#This Row],[Winter Clothes Adult]],Table_NFI[Winter Clothes Adult])</f>
        <v>0</v>
      </c>
      <c r="AJ1142" s="294">
        <f>IF(NFI_Expiration=1,IF($A1142&lt;VLOOKUP(S$5,NFI,5,0),1,0)*Table_NFI[[#This Row],[Winter Clothes Children]],Table_NFI[Winter Clothes Children])</f>
        <v>0</v>
      </c>
      <c r="AK1142" s="294">
        <f>IF(NFI_Expiration=1,IF($A1142&lt;VLOOKUP(T$5,NFI,5,0),1,0)*Table_NFI[[#This Row],[Winter Items Other]],Table_NFI[Winter Items Other])</f>
        <v>0</v>
      </c>
      <c r="AL1142" s="294">
        <f>IF(NFI_Expiration=1,IF($A1142&lt;VLOOKUP(M$5,NFI,5,0),1,0)*Table_NFI[[#This Row],[Winter Blanket]],Table_NFI[[#This Row],[Winter Blanket]])</f>
        <v>0</v>
      </c>
      <c r="AM1142" s="294">
        <f>IF(Table_NFI[[#This Row],[Winter Clothes Adult]]+Table_NFI[[#This Row],[Winter Clothes Children]]+Table_NFI[[#This Row],[Winter Items Other]]+Table_NFI[[#This Row],[Winter Blanket]]&gt;0,1,0)</f>
        <v>0</v>
      </c>
      <c r="AN1142" s="331">
        <f>IF(NFI_Expiration=1,IF($A1142&lt;VLOOKUP(V$5,NFI,5,0),1,0)*Table_NFI[[#This Row],[Jerry Can]],Table_NFI[Jerry Can])</f>
        <v>0</v>
      </c>
      <c r="AO1142" s="331">
        <f>IF(NFI_Expiration=1,IF($A1142&lt;VLOOKUP(V$5,NFI,5,0),1,0)*Table_NFI[[#This Row],[Shelter Tool kit]],Table_NFI[Shelter Tool kit])</f>
        <v>0</v>
      </c>
      <c r="AP1142" s="331">
        <f>IF(NFI_Expiration=1,IF($A1142&lt;VLOOKUP(V$5,NFI,5,0),1,0)*Table_NFI[[#This Row],[Tent]],Table_NFI[Tent])</f>
        <v>0</v>
      </c>
      <c r="AQ1142" s="467" t="str">
        <f>IFERROR(VLOOKUP(Table_NFI[[#This Row],[Camp Name]],CL,2,0),"")</f>
        <v/>
      </c>
      <c r="AR1142" s="835" t="str">
        <f ca="1">IF(Table_NFI[[#This Row],[Pcode]]="","",IF(OFFSET(CampList[Opening Date],MATCH(Table_NFI[[#This Row],[Pcode]],CampList[CP_Pcode],0)-1,0,1,1)&gt;=NFI_Monitor_Date,1,0))</f>
        <v/>
      </c>
      <c r="AS1142" s="467" t="str">
        <f>IFERROR(VLOOKUP(Table_NFI[[#This Row],[Camp Name]],CL,3,0),"")</f>
        <v/>
      </c>
      <c r="AT1142" s="294" t="str">
        <f ca="1">IF(Table_NFI[[#This Row],[Pcode]]="","",OFFSET(CampList[Priority],MATCH(Table_NFI[[#This Row],[Pcode]],CampList[CP_Pcode],0)-1,0,1,1))</f>
        <v/>
      </c>
      <c r="AU1142" s="293" t="str">
        <f>IFERROR(Table_NFI[[#This Row],[Kitchen Set]]/VLOOKUP(Table_NFI[[#This Row],[Camp Name]],CL,4,0),"")</f>
        <v/>
      </c>
      <c r="AV1142" s="461"/>
      <c r="AW1142" s="468"/>
    </row>
    <row r="1143" spans="1:49" ht="14.45" customHeight="1" x14ac:dyDescent="0.25">
      <c r="A1143" s="297" t="str">
        <f t="shared" si="17"/>
        <v/>
      </c>
      <c r="B1143" s="460"/>
      <c r="C1143" s="465"/>
      <c r="D1143" s="465"/>
      <c r="E1143" s="465"/>
      <c r="F1143" s="465"/>
      <c r="G1143" s="465"/>
      <c r="H1143" s="292"/>
      <c r="I1143" s="292"/>
      <c r="J1143" s="292"/>
      <c r="K1143" s="292"/>
      <c r="L1143" s="292"/>
      <c r="M1143" s="292"/>
      <c r="N1143" s="292"/>
      <c r="O1143" s="292"/>
      <c r="P1143" s="294"/>
      <c r="Q1143" s="294"/>
      <c r="R1143" s="294"/>
      <c r="S1143" s="294"/>
      <c r="T1143" s="294"/>
      <c r="U1143" s="294"/>
      <c r="V1143" s="431"/>
      <c r="W1143" s="331"/>
      <c r="X1143" s="331"/>
      <c r="Y1143" s="294">
        <f>IF(NFI_Expiration=1,IF($A1143&lt;VLOOKUP(H$5,NFI,5,0),1,0)*Table_NFI[[#This Row],[Hygiene Kit]],Table_NFI[Hygiene Kit])</f>
        <v>0</v>
      </c>
      <c r="Z1143" s="294">
        <f>IF(NFI_Expiration=1,IF($A1143&lt;VLOOKUP(I$5,NFI,5,0),1,0)*Table_NFI[[#This Row],[NFI Core Kit]],Table_NFI[NFI Core Kit])</f>
        <v>0</v>
      </c>
      <c r="AA1143" s="294">
        <f>IF(NFI_Expiration=1,IF($A1143&lt;VLOOKUP(J$5,NFI,5,0),1,0)*Table_NFI[[#This Row],[Sanitary Kit]],Table_NFI[Sanitary Kit])</f>
        <v>0</v>
      </c>
      <c r="AB1143" s="294">
        <f>IF(NFI_Expiration=1,IF($A1143&lt;VLOOKUP(K$5,NFI,5,0),1,0)*Table_NFI[[#This Row],[Mosquito net]],Table_NFI[Mosquito net])</f>
        <v>0</v>
      </c>
      <c r="AC1143" s="294">
        <f>IF(NFI_Expiration=1,IF($A1143&lt;VLOOKUP(L$5,NFI,5,0),1,0)*Table_NFI[[#This Row],[Tarpaulin]],Table_NFI[[#This Row],[Tarpaulin]])</f>
        <v>0</v>
      </c>
      <c r="AD1143" s="294">
        <f>IF(NFI_Expiration=1,IF($A1143&lt;VLOOKUP(M$5,NFI,5,0),1,0)*Table_NFI[[#This Row],[Blanket]],Table_NFI[[#This Row],[Blanket]])</f>
        <v>0</v>
      </c>
      <c r="AE1143" s="294">
        <f>IF(NFI_Expiration=1,IF($A1143&lt;VLOOKUP(N$5,NFI,5,0),1,0)*Table_NFI[[#This Row],[Kitchen Set]],Table_NFI[Kitchen Set])</f>
        <v>0</v>
      </c>
      <c r="AF1143" s="294">
        <f>IF(NFI_Expiration=1,IF($A1143&lt;VLOOKUP(O$5,NFI,5,0),1,0)*Table_NFI[[#This Row],[Clothes Kit]],Table_NFI[Clothes Kit])</f>
        <v>0</v>
      </c>
      <c r="AG1143" s="294">
        <f>IF(NFI_Expiration=1,IF($A1143&lt;VLOOKUP(P$5,NFI,5,0),1,0)*Table_NFI[[#This Row],[Plastic Bucket]],Table_NFI[Plastic Bucket])</f>
        <v>0</v>
      </c>
      <c r="AH1143" s="294">
        <f>IF(NFI_Expiration=1,IF($A1143&lt;VLOOKUP(Q$5,NFI,5,0),1,0)*Table_NFI[[#This Row],[Plastic Mat]],Table_NFI[Plastic Mat])*IF(Table_NFI[[#This Row],[Distribution Date]]&gt;"2014-04-01",1,2.5)</f>
        <v>0</v>
      </c>
      <c r="AI1143" s="294">
        <f>IF(NFI_Expiration=1,IF($A1143&lt;VLOOKUP(R$5,NFI,5,0),1,0)*Table_NFI[[#This Row],[Winter Clothes Adult]],Table_NFI[Winter Clothes Adult])</f>
        <v>0</v>
      </c>
      <c r="AJ1143" s="294">
        <f>IF(NFI_Expiration=1,IF($A1143&lt;VLOOKUP(S$5,NFI,5,0),1,0)*Table_NFI[[#This Row],[Winter Clothes Children]],Table_NFI[Winter Clothes Children])</f>
        <v>0</v>
      </c>
      <c r="AK1143" s="294">
        <f>IF(NFI_Expiration=1,IF($A1143&lt;VLOOKUP(T$5,NFI,5,0),1,0)*Table_NFI[[#This Row],[Winter Items Other]],Table_NFI[Winter Items Other])</f>
        <v>0</v>
      </c>
      <c r="AL1143" s="294">
        <f>IF(NFI_Expiration=1,IF($A1143&lt;VLOOKUP(M$5,NFI,5,0),1,0)*Table_NFI[[#This Row],[Winter Blanket]],Table_NFI[[#This Row],[Winter Blanket]])</f>
        <v>0</v>
      </c>
      <c r="AM1143" s="294">
        <f>IF(Table_NFI[[#This Row],[Winter Clothes Adult]]+Table_NFI[[#This Row],[Winter Clothes Children]]+Table_NFI[[#This Row],[Winter Items Other]]+Table_NFI[[#This Row],[Winter Blanket]]&gt;0,1,0)</f>
        <v>0</v>
      </c>
      <c r="AN1143" s="331">
        <f>IF(NFI_Expiration=1,IF($A1143&lt;VLOOKUP(V$5,NFI,5,0),1,0)*Table_NFI[[#This Row],[Jerry Can]],Table_NFI[Jerry Can])</f>
        <v>0</v>
      </c>
      <c r="AO1143" s="331">
        <f>IF(NFI_Expiration=1,IF($A1143&lt;VLOOKUP(V$5,NFI,5,0),1,0)*Table_NFI[[#This Row],[Shelter Tool kit]],Table_NFI[Shelter Tool kit])</f>
        <v>0</v>
      </c>
      <c r="AP1143" s="331">
        <f>IF(NFI_Expiration=1,IF($A1143&lt;VLOOKUP(V$5,NFI,5,0),1,0)*Table_NFI[[#This Row],[Tent]],Table_NFI[Tent])</f>
        <v>0</v>
      </c>
      <c r="AQ1143" s="467" t="str">
        <f>IFERROR(VLOOKUP(Table_NFI[[#This Row],[Camp Name]],CL,2,0),"")</f>
        <v/>
      </c>
      <c r="AR1143" s="835" t="str">
        <f ca="1">IF(Table_NFI[[#This Row],[Pcode]]="","",IF(OFFSET(CampList[Opening Date],MATCH(Table_NFI[[#This Row],[Pcode]],CampList[CP_Pcode],0)-1,0,1,1)&gt;=NFI_Monitor_Date,1,0))</f>
        <v/>
      </c>
      <c r="AS1143" s="467" t="str">
        <f>IFERROR(VLOOKUP(Table_NFI[[#This Row],[Camp Name]],CL,3,0),"")</f>
        <v/>
      </c>
      <c r="AT1143" s="294" t="str">
        <f ca="1">IF(Table_NFI[[#This Row],[Pcode]]="","",OFFSET(CampList[Priority],MATCH(Table_NFI[[#This Row],[Pcode]],CampList[CP_Pcode],0)-1,0,1,1))</f>
        <v/>
      </c>
      <c r="AU1143" s="293" t="str">
        <f>IFERROR(Table_NFI[[#This Row],[Kitchen Set]]/VLOOKUP(Table_NFI[[#This Row],[Camp Name]],CL,4,0),"")</f>
        <v/>
      </c>
      <c r="AV1143" s="461"/>
      <c r="AW1143" s="468"/>
    </row>
    <row r="1144" spans="1:49" ht="14.45" customHeight="1" x14ac:dyDescent="0.25">
      <c r="A1144" s="297" t="str">
        <f t="shared" si="17"/>
        <v/>
      </c>
      <c r="B1144" s="460"/>
      <c r="C1144" s="465"/>
      <c r="D1144" s="465"/>
      <c r="E1144" s="465"/>
      <c r="F1144" s="465"/>
      <c r="G1144" s="465"/>
      <c r="H1144" s="292"/>
      <c r="I1144" s="292"/>
      <c r="J1144" s="292"/>
      <c r="K1144" s="292"/>
      <c r="L1144" s="292"/>
      <c r="M1144" s="292"/>
      <c r="N1144" s="292"/>
      <c r="O1144" s="292"/>
      <c r="P1144" s="294"/>
      <c r="Q1144" s="294"/>
      <c r="R1144" s="294"/>
      <c r="S1144" s="294"/>
      <c r="T1144" s="294"/>
      <c r="U1144" s="294"/>
      <c r="V1144" s="431"/>
      <c r="W1144" s="331"/>
      <c r="X1144" s="331"/>
      <c r="Y1144" s="294">
        <f>IF(NFI_Expiration=1,IF($A1144&lt;VLOOKUP(H$5,NFI,5,0),1,0)*Table_NFI[[#This Row],[Hygiene Kit]],Table_NFI[Hygiene Kit])</f>
        <v>0</v>
      </c>
      <c r="Z1144" s="294">
        <f>IF(NFI_Expiration=1,IF($A1144&lt;VLOOKUP(I$5,NFI,5,0),1,0)*Table_NFI[[#This Row],[NFI Core Kit]],Table_NFI[NFI Core Kit])</f>
        <v>0</v>
      </c>
      <c r="AA1144" s="294">
        <f>IF(NFI_Expiration=1,IF($A1144&lt;VLOOKUP(J$5,NFI,5,0),1,0)*Table_NFI[[#This Row],[Sanitary Kit]],Table_NFI[Sanitary Kit])</f>
        <v>0</v>
      </c>
      <c r="AB1144" s="294">
        <f>IF(NFI_Expiration=1,IF($A1144&lt;VLOOKUP(K$5,NFI,5,0),1,0)*Table_NFI[[#This Row],[Mosquito net]],Table_NFI[Mosquito net])</f>
        <v>0</v>
      </c>
      <c r="AC1144" s="294">
        <f>IF(NFI_Expiration=1,IF($A1144&lt;VLOOKUP(L$5,NFI,5,0),1,0)*Table_NFI[[#This Row],[Tarpaulin]],Table_NFI[[#This Row],[Tarpaulin]])</f>
        <v>0</v>
      </c>
      <c r="AD1144" s="294">
        <f>IF(NFI_Expiration=1,IF($A1144&lt;VLOOKUP(M$5,NFI,5,0),1,0)*Table_NFI[[#This Row],[Blanket]],Table_NFI[[#This Row],[Blanket]])</f>
        <v>0</v>
      </c>
      <c r="AE1144" s="294">
        <f>IF(NFI_Expiration=1,IF($A1144&lt;VLOOKUP(N$5,NFI,5,0),1,0)*Table_NFI[[#This Row],[Kitchen Set]],Table_NFI[Kitchen Set])</f>
        <v>0</v>
      </c>
      <c r="AF1144" s="294">
        <f>IF(NFI_Expiration=1,IF($A1144&lt;VLOOKUP(O$5,NFI,5,0),1,0)*Table_NFI[[#This Row],[Clothes Kit]],Table_NFI[Clothes Kit])</f>
        <v>0</v>
      </c>
      <c r="AG1144" s="294">
        <f>IF(NFI_Expiration=1,IF($A1144&lt;VLOOKUP(P$5,NFI,5,0),1,0)*Table_NFI[[#This Row],[Plastic Bucket]],Table_NFI[Plastic Bucket])</f>
        <v>0</v>
      </c>
      <c r="AH1144" s="294">
        <f>IF(NFI_Expiration=1,IF($A1144&lt;VLOOKUP(Q$5,NFI,5,0),1,0)*Table_NFI[[#This Row],[Plastic Mat]],Table_NFI[Plastic Mat])*IF(Table_NFI[[#This Row],[Distribution Date]]&gt;"2014-04-01",1,2.5)</f>
        <v>0</v>
      </c>
      <c r="AI1144" s="294">
        <f>IF(NFI_Expiration=1,IF($A1144&lt;VLOOKUP(R$5,NFI,5,0),1,0)*Table_NFI[[#This Row],[Winter Clothes Adult]],Table_NFI[Winter Clothes Adult])</f>
        <v>0</v>
      </c>
      <c r="AJ1144" s="294">
        <f>IF(NFI_Expiration=1,IF($A1144&lt;VLOOKUP(S$5,NFI,5,0),1,0)*Table_NFI[[#This Row],[Winter Clothes Children]],Table_NFI[Winter Clothes Children])</f>
        <v>0</v>
      </c>
      <c r="AK1144" s="294">
        <f>IF(NFI_Expiration=1,IF($A1144&lt;VLOOKUP(T$5,NFI,5,0),1,0)*Table_NFI[[#This Row],[Winter Items Other]],Table_NFI[Winter Items Other])</f>
        <v>0</v>
      </c>
      <c r="AL1144" s="294">
        <f>IF(NFI_Expiration=1,IF($A1144&lt;VLOOKUP(M$5,NFI,5,0),1,0)*Table_NFI[[#This Row],[Winter Blanket]],Table_NFI[[#This Row],[Winter Blanket]])</f>
        <v>0</v>
      </c>
      <c r="AM1144" s="294">
        <f>IF(Table_NFI[[#This Row],[Winter Clothes Adult]]+Table_NFI[[#This Row],[Winter Clothes Children]]+Table_NFI[[#This Row],[Winter Items Other]]+Table_NFI[[#This Row],[Winter Blanket]]&gt;0,1,0)</f>
        <v>0</v>
      </c>
      <c r="AN1144" s="331">
        <f>IF(NFI_Expiration=1,IF($A1144&lt;VLOOKUP(V$5,NFI,5,0),1,0)*Table_NFI[[#This Row],[Jerry Can]],Table_NFI[Jerry Can])</f>
        <v>0</v>
      </c>
      <c r="AO1144" s="331">
        <f>IF(NFI_Expiration=1,IF($A1144&lt;VLOOKUP(V$5,NFI,5,0),1,0)*Table_NFI[[#This Row],[Shelter Tool kit]],Table_NFI[Shelter Tool kit])</f>
        <v>0</v>
      </c>
      <c r="AP1144" s="331">
        <f>IF(NFI_Expiration=1,IF($A1144&lt;VLOOKUP(V$5,NFI,5,0),1,0)*Table_NFI[[#This Row],[Tent]],Table_NFI[Tent])</f>
        <v>0</v>
      </c>
      <c r="AQ1144" s="467" t="str">
        <f>IFERROR(VLOOKUP(Table_NFI[[#This Row],[Camp Name]],CL,2,0),"")</f>
        <v/>
      </c>
      <c r="AR1144" s="835" t="str">
        <f ca="1">IF(Table_NFI[[#This Row],[Pcode]]="","",IF(OFFSET(CampList[Opening Date],MATCH(Table_NFI[[#This Row],[Pcode]],CampList[CP_Pcode],0)-1,0,1,1)&gt;=NFI_Monitor_Date,1,0))</f>
        <v/>
      </c>
      <c r="AS1144" s="467" t="str">
        <f>IFERROR(VLOOKUP(Table_NFI[[#This Row],[Camp Name]],CL,3,0),"")</f>
        <v/>
      </c>
      <c r="AT1144" s="294" t="str">
        <f ca="1">IF(Table_NFI[[#This Row],[Pcode]]="","",OFFSET(CampList[Priority],MATCH(Table_NFI[[#This Row],[Pcode]],CampList[CP_Pcode],0)-1,0,1,1))</f>
        <v/>
      </c>
      <c r="AU1144" s="293" t="str">
        <f>IFERROR(Table_NFI[[#This Row],[Kitchen Set]]/VLOOKUP(Table_NFI[[#This Row],[Camp Name]],CL,4,0),"")</f>
        <v/>
      </c>
      <c r="AV1144" s="461"/>
      <c r="AW1144" s="468"/>
    </row>
    <row r="1145" spans="1:49" ht="14.45" customHeight="1" x14ac:dyDescent="0.25">
      <c r="A1145" s="297" t="str">
        <f t="shared" si="17"/>
        <v/>
      </c>
      <c r="B1145" s="460"/>
      <c r="C1145" s="461"/>
      <c r="D1145" s="461"/>
      <c r="E1145" s="461"/>
      <c r="F1145" s="461"/>
      <c r="G1145" s="461"/>
      <c r="H1145" s="291"/>
      <c r="I1145" s="291"/>
      <c r="J1145" s="291"/>
      <c r="K1145" s="291"/>
      <c r="L1145" s="292"/>
      <c r="M1145" s="292"/>
      <c r="N1145" s="292"/>
      <c r="O1145" s="292"/>
      <c r="P1145" s="294"/>
      <c r="Q1145" s="294"/>
      <c r="R1145" s="294"/>
      <c r="S1145" s="294"/>
      <c r="T1145" s="294"/>
      <c r="U1145" s="294"/>
      <c r="V1145" s="431"/>
      <c r="W1145" s="331"/>
      <c r="X1145" s="331"/>
      <c r="Y1145" s="294">
        <f>IF(NFI_Expiration=1,IF($A1145&lt;VLOOKUP(H$5,NFI,5,0),1,0)*Table_NFI[[#This Row],[Hygiene Kit]],Table_NFI[Hygiene Kit])</f>
        <v>0</v>
      </c>
      <c r="Z1145" s="294">
        <f>IF(NFI_Expiration=1,IF($A1145&lt;VLOOKUP(I$5,NFI,5,0),1,0)*Table_NFI[[#This Row],[NFI Core Kit]],Table_NFI[NFI Core Kit])</f>
        <v>0</v>
      </c>
      <c r="AA1145" s="294">
        <f>IF(NFI_Expiration=1,IF($A1145&lt;VLOOKUP(J$5,NFI,5,0),1,0)*Table_NFI[[#This Row],[Sanitary Kit]],Table_NFI[Sanitary Kit])</f>
        <v>0</v>
      </c>
      <c r="AB1145" s="294">
        <f>IF(NFI_Expiration=1,IF($A1145&lt;VLOOKUP(K$5,NFI,5,0),1,0)*Table_NFI[[#This Row],[Mosquito net]],Table_NFI[Mosquito net])</f>
        <v>0</v>
      </c>
      <c r="AC1145" s="294">
        <f>IF(NFI_Expiration=1,IF($A1145&lt;VLOOKUP(L$5,NFI,5,0),1,0)*Table_NFI[[#This Row],[Tarpaulin]],Table_NFI[[#This Row],[Tarpaulin]])</f>
        <v>0</v>
      </c>
      <c r="AD1145" s="294">
        <f>IF(NFI_Expiration=1,IF($A1145&lt;VLOOKUP(M$5,NFI,5,0),1,0)*Table_NFI[[#This Row],[Blanket]],Table_NFI[[#This Row],[Blanket]])</f>
        <v>0</v>
      </c>
      <c r="AE1145" s="294">
        <f>IF(NFI_Expiration=1,IF($A1145&lt;VLOOKUP(N$5,NFI,5,0),1,0)*Table_NFI[[#This Row],[Kitchen Set]],Table_NFI[Kitchen Set])</f>
        <v>0</v>
      </c>
      <c r="AF1145" s="294">
        <f>IF(NFI_Expiration=1,IF($A1145&lt;VLOOKUP(O$5,NFI,5,0),1,0)*Table_NFI[[#This Row],[Clothes Kit]],Table_NFI[Clothes Kit])</f>
        <v>0</v>
      </c>
      <c r="AG1145" s="294">
        <f>IF(NFI_Expiration=1,IF($A1145&lt;VLOOKUP(P$5,NFI,5,0),1,0)*Table_NFI[[#This Row],[Plastic Bucket]],Table_NFI[Plastic Bucket])</f>
        <v>0</v>
      </c>
      <c r="AH1145" s="294">
        <f>IF(NFI_Expiration=1,IF($A1145&lt;VLOOKUP(Q$5,NFI,5,0),1,0)*Table_NFI[[#This Row],[Plastic Mat]],Table_NFI[Plastic Mat])*IF(Table_NFI[[#This Row],[Distribution Date]]&gt;"2014-04-01",1,2.5)</f>
        <v>0</v>
      </c>
      <c r="AI1145" s="294">
        <f>IF(NFI_Expiration=1,IF($A1145&lt;VLOOKUP(R$5,NFI,5,0),1,0)*Table_NFI[[#This Row],[Winter Clothes Adult]],Table_NFI[Winter Clothes Adult])</f>
        <v>0</v>
      </c>
      <c r="AJ1145" s="294">
        <f>IF(NFI_Expiration=1,IF($A1145&lt;VLOOKUP(S$5,NFI,5,0),1,0)*Table_NFI[[#This Row],[Winter Clothes Children]],Table_NFI[Winter Clothes Children])</f>
        <v>0</v>
      </c>
      <c r="AK1145" s="294">
        <f>IF(NFI_Expiration=1,IF($A1145&lt;VLOOKUP(T$5,NFI,5,0),1,0)*Table_NFI[[#This Row],[Winter Items Other]],Table_NFI[Winter Items Other])</f>
        <v>0</v>
      </c>
      <c r="AL1145" s="294">
        <f>IF(NFI_Expiration=1,IF($A1145&lt;VLOOKUP(M$5,NFI,5,0),1,0)*Table_NFI[[#This Row],[Winter Blanket]],Table_NFI[[#This Row],[Winter Blanket]])</f>
        <v>0</v>
      </c>
      <c r="AM1145" s="294">
        <f>IF(Table_NFI[[#This Row],[Winter Clothes Adult]]+Table_NFI[[#This Row],[Winter Clothes Children]]+Table_NFI[[#This Row],[Winter Items Other]]+Table_NFI[[#This Row],[Winter Blanket]]&gt;0,1,0)</f>
        <v>0</v>
      </c>
      <c r="AN1145" s="331">
        <f>IF(NFI_Expiration=1,IF($A1145&lt;VLOOKUP(V$5,NFI,5,0),1,0)*Table_NFI[[#This Row],[Jerry Can]],Table_NFI[Jerry Can])</f>
        <v>0</v>
      </c>
      <c r="AO1145" s="331">
        <f>IF(NFI_Expiration=1,IF($A1145&lt;VLOOKUP(V$5,NFI,5,0),1,0)*Table_NFI[[#This Row],[Shelter Tool kit]],Table_NFI[Shelter Tool kit])</f>
        <v>0</v>
      </c>
      <c r="AP1145" s="331">
        <f>IF(NFI_Expiration=1,IF($A1145&lt;VLOOKUP(V$5,NFI,5,0),1,0)*Table_NFI[[#This Row],[Tent]],Table_NFI[Tent])</f>
        <v>0</v>
      </c>
      <c r="AQ1145" s="467" t="str">
        <f>IFERROR(VLOOKUP(Table_NFI[[#This Row],[Camp Name]],CL,2,0),"")</f>
        <v/>
      </c>
      <c r="AR1145" s="835" t="str">
        <f ca="1">IF(Table_NFI[[#This Row],[Pcode]]="","",IF(OFFSET(CampList[Opening Date],MATCH(Table_NFI[[#This Row],[Pcode]],CampList[CP_Pcode],0)-1,0,1,1)&gt;=NFI_Monitor_Date,1,0))</f>
        <v/>
      </c>
      <c r="AS1145" s="467" t="str">
        <f>IFERROR(VLOOKUP(Table_NFI[[#This Row],[Camp Name]],CL,3,0),"")</f>
        <v/>
      </c>
      <c r="AT1145" s="294" t="str">
        <f ca="1">IF(Table_NFI[[#This Row],[Pcode]]="","",OFFSET(CampList[Priority],MATCH(Table_NFI[[#This Row],[Pcode]],CampList[CP_Pcode],0)-1,0,1,1))</f>
        <v/>
      </c>
      <c r="AU1145" s="293" t="str">
        <f>IFERROR(Table_NFI[[#This Row],[Kitchen Set]]/VLOOKUP(Table_NFI[[#This Row],[Camp Name]],CL,4,0),"")</f>
        <v/>
      </c>
      <c r="AV1145" s="461"/>
      <c r="AW1145" s="463"/>
    </row>
    <row r="1146" spans="1:49" ht="14.45" customHeight="1" x14ac:dyDescent="0.25">
      <c r="A1146" s="297" t="str">
        <f t="shared" si="17"/>
        <v/>
      </c>
      <c r="B1146" s="460"/>
      <c r="C1146" s="461"/>
      <c r="D1146" s="461"/>
      <c r="E1146" s="461"/>
      <c r="F1146" s="461"/>
      <c r="G1146" s="461"/>
      <c r="H1146" s="291"/>
      <c r="I1146" s="291"/>
      <c r="J1146" s="291"/>
      <c r="K1146" s="291"/>
      <c r="L1146" s="292"/>
      <c r="M1146" s="292"/>
      <c r="N1146" s="292"/>
      <c r="O1146" s="292"/>
      <c r="P1146" s="294"/>
      <c r="Q1146" s="294"/>
      <c r="R1146" s="294"/>
      <c r="S1146" s="294"/>
      <c r="T1146" s="294"/>
      <c r="U1146" s="294"/>
      <c r="V1146" s="431"/>
      <c r="W1146" s="331"/>
      <c r="X1146" s="331"/>
      <c r="Y1146" s="294">
        <f>IF(NFI_Expiration=1,IF($A1146&lt;VLOOKUP(H$5,NFI,5,0),1,0)*Table_NFI[[#This Row],[Hygiene Kit]],Table_NFI[Hygiene Kit])</f>
        <v>0</v>
      </c>
      <c r="Z1146" s="294">
        <f>IF(NFI_Expiration=1,IF($A1146&lt;VLOOKUP(I$5,NFI,5,0),1,0)*Table_NFI[[#This Row],[NFI Core Kit]],Table_NFI[NFI Core Kit])</f>
        <v>0</v>
      </c>
      <c r="AA1146" s="294">
        <f>IF(NFI_Expiration=1,IF($A1146&lt;VLOOKUP(J$5,NFI,5,0),1,0)*Table_NFI[[#This Row],[Sanitary Kit]],Table_NFI[Sanitary Kit])</f>
        <v>0</v>
      </c>
      <c r="AB1146" s="294">
        <f>IF(NFI_Expiration=1,IF($A1146&lt;VLOOKUP(K$5,NFI,5,0),1,0)*Table_NFI[[#This Row],[Mosquito net]],Table_NFI[Mosquito net])</f>
        <v>0</v>
      </c>
      <c r="AC1146" s="294">
        <f>IF(NFI_Expiration=1,IF($A1146&lt;VLOOKUP(L$5,NFI,5,0),1,0)*Table_NFI[[#This Row],[Tarpaulin]],Table_NFI[[#This Row],[Tarpaulin]])</f>
        <v>0</v>
      </c>
      <c r="AD1146" s="294">
        <f>IF(NFI_Expiration=1,IF($A1146&lt;VLOOKUP(M$5,NFI,5,0),1,0)*Table_NFI[[#This Row],[Blanket]],Table_NFI[[#This Row],[Blanket]])</f>
        <v>0</v>
      </c>
      <c r="AE1146" s="294">
        <f>IF(NFI_Expiration=1,IF($A1146&lt;VLOOKUP(N$5,NFI,5,0),1,0)*Table_NFI[[#This Row],[Kitchen Set]],Table_NFI[Kitchen Set])</f>
        <v>0</v>
      </c>
      <c r="AF1146" s="294">
        <f>IF(NFI_Expiration=1,IF($A1146&lt;VLOOKUP(O$5,NFI,5,0),1,0)*Table_NFI[[#This Row],[Clothes Kit]],Table_NFI[Clothes Kit])</f>
        <v>0</v>
      </c>
      <c r="AG1146" s="294">
        <f>IF(NFI_Expiration=1,IF($A1146&lt;VLOOKUP(P$5,NFI,5,0),1,0)*Table_NFI[[#This Row],[Plastic Bucket]],Table_NFI[Plastic Bucket])</f>
        <v>0</v>
      </c>
      <c r="AH1146" s="294">
        <f>IF(NFI_Expiration=1,IF($A1146&lt;VLOOKUP(Q$5,NFI,5,0),1,0)*Table_NFI[[#This Row],[Plastic Mat]],Table_NFI[Plastic Mat])*IF(Table_NFI[[#This Row],[Distribution Date]]&gt;"2014-04-01",1,2.5)</f>
        <v>0</v>
      </c>
      <c r="AI1146" s="294">
        <f>IF(NFI_Expiration=1,IF($A1146&lt;VLOOKUP(R$5,NFI,5,0),1,0)*Table_NFI[[#This Row],[Winter Clothes Adult]],Table_NFI[Winter Clothes Adult])</f>
        <v>0</v>
      </c>
      <c r="AJ1146" s="294">
        <f>IF(NFI_Expiration=1,IF($A1146&lt;VLOOKUP(S$5,NFI,5,0),1,0)*Table_NFI[[#This Row],[Winter Clothes Children]],Table_NFI[Winter Clothes Children])</f>
        <v>0</v>
      </c>
      <c r="AK1146" s="294">
        <f>IF(NFI_Expiration=1,IF($A1146&lt;VLOOKUP(T$5,NFI,5,0),1,0)*Table_NFI[[#This Row],[Winter Items Other]],Table_NFI[Winter Items Other])</f>
        <v>0</v>
      </c>
      <c r="AL1146" s="294">
        <f>IF(NFI_Expiration=1,IF($A1146&lt;VLOOKUP(M$5,NFI,5,0),1,0)*Table_NFI[[#This Row],[Winter Blanket]],Table_NFI[[#This Row],[Winter Blanket]])</f>
        <v>0</v>
      </c>
      <c r="AM1146" s="294">
        <f>IF(Table_NFI[[#This Row],[Winter Clothes Adult]]+Table_NFI[[#This Row],[Winter Clothes Children]]+Table_NFI[[#This Row],[Winter Items Other]]+Table_NFI[[#This Row],[Winter Blanket]]&gt;0,1,0)</f>
        <v>0</v>
      </c>
      <c r="AN1146" s="331">
        <f>IF(NFI_Expiration=1,IF($A1146&lt;VLOOKUP(V$5,NFI,5,0),1,0)*Table_NFI[[#This Row],[Jerry Can]],Table_NFI[Jerry Can])</f>
        <v>0</v>
      </c>
      <c r="AO1146" s="331">
        <f>IF(NFI_Expiration=1,IF($A1146&lt;VLOOKUP(V$5,NFI,5,0),1,0)*Table_NFI[[#This Row],[Shelter Tool kit]],Table_NFI[Shelter Tool kit])</f>
        <v>0</v>
      </c>
      <c r="AP1146" s="331">
        <f>IF(NFI_Expiration=1,IF($A1146&lt;VLOOKUP(V$5,NFI,5,0),1,0)*Table_NFI[[#This Row],[Tent]],Table_NFI[Tent])</f>
        <v>0</v>
      </c>
      <c r="AQ1146" s="467" t="str">
        <f>IFERROR(VLOOKUP(Table_NFI[[#This Row],[Camp Name]],CL,2,0),"")</f>
        <v/>
      </c>
      <c r="AR1146" s="835" t="str">
        <f ca="1">IF(Table_NFI[[#This Row],[Pcode]]="","",IF(OFFSET(CampList[Opening Date],MATCH(Table_NFI[[#This Row],[Pcode]],CampList[CP_Pcode],0)-1,0,1,1)&gt;=NFI_Monitor_Date,1,0))</f>
        <v/>
      </c>
      <c r="AS1146" s="467" t="str">
        <f>IFERROR(VLOOKUP(Table_NFI[[#This Row],[Camp Name]],CL,3,0),"")</f>
        <v/>
      </c>
      <c r="AT1146" s="294" t="str">
        <f ca="1">IF(Table_NFI[[#This Row],[Pcode]]="","",OFFSET(CampList[Priority],MATCH(Table_NFI[[#This Row],[Pcode]],CampList[CP_Pcode],0)-1,0,1,1))</f>
        <v/>
      </c>
      <c r="AU1146" s="293" t="str">
        <f>IFERROR(Table_NFI[[#This Row],[Kitchen Set]]/VLOOKUP(Table_NFI[[#This Row],[Camp Name]],CL,4,0),"")</f>
        <v/>
      </c>
      <c r="AV1146" s="461"/>
      <c r="AW1146" s="463"/>
    </row>
    <row r="1147" spans="1:49" ht="14.45" customHeight="1" x14ac:dyDescent="0.25">
      <c r="A1147" s="297" t="str">
        <f t="shared" si="17"/>
        <v/>
      </c>
      <c r="B1147" s="460"/>
      <c r="C1147" s="461"/>
      <c r="D1147" s="461"/>
      <c r="E1147" s="461"/>
      <c r="F1147" s="461"/>
      <c r="G1147" s="461"/>
      <c r="H1147" s="291"/>
      <c r="I1147" s="291"/>
      <c r="J1147" s="291"/>
      <c r="K1147" s="291"/>
      <c r="L1147" s="292"/>
      <c r="M1147" s="292"/>
      <c r="N1147" s="292"/>
      <c r="O1147" s="292"/>
      <c r="P1147" s="294"/>
      <c r="Q1147" s="294"/>
      <c r="R1147" s="294"/>
      <c r="S1147" s="294"/>
      <c r="T1147" s="294"/>
      <c r="U1147" s="294"/>
      <c r="V1147" s="431"/>
      <c r="W1147" s="331"/>
      <c r="X1147" s="331"/>
      <c r="Y1147" s="294">
        <f>IF(NFI_Expiration=1,IF($A1147&lt;VLOOKUP(H$5,NFI,5,0),1,0)*Table_NFI[[#This Row],[Hygiene Kit]],Table_NFI[Hygiene Kit])</f>
        <v>0</v>
      </c>
      <c r="Z1147" s="294">
        <f>IF(NFI_Expiration=1,IF($A1147&lt;VLOOKUP(I$5,NFI,5,0),1,0)*Table_NFI[[#This Row],[NFI Core Kit]],Table_NFI[NFI Core Kit])</f>
        <v>0</v>
      </c>
      <c r="AA1147" s="294">
        <f>IF(NFI_Expiration=1,IF($A1147&lt;VLOOKUP(J$5,NFI,5,0),1,0)*Table_NFI[[#This Row],[Sanitary Kit]],Table_NFI[Sanitary Kit])</f>
        <v>0</v>
      </c>
      <c r="AB1147" s="294">
        <f>IF(NFI_Expiration=1,IF($A1147&lt;VLOOKUP(K$5,NFI,5,0),1,0)*Table_NFI[[#This Row],[Mosquito net]],Table_NFI[Mosquito net])</f>
        <v>0</v>
      </c>
      <c r="AC1147" s="294">
        <f>IF(NFI_Expiration=1,IF($A1147&lt;VLOOKUP(L$5,NFI,5,0),1,0)*Table_NFI[[#This Row],[Tarpaulin]],Table_NFI[[#This Row],[Tarpaulin]])</f>
        <v>0</v>
      </c>
      <c r="AD1147" s="294">
        <f>IF(NFI_Expiration=1,IF($A1147&lt;VLOOKUP(M$5,NFI,5,0),1,0)*Table_NFI[[#This Row],[Blanket]],Table_NFI[[#This Row],[Blanket]])</f>
        <v>0</v>
      </c>
      <c r="AE1147" s="294">
        <f>IF(NFI_Expiration=1,IF($A1147&lt;VLOOKUP(N$5,NFI,5,0),1,0)*Table_NFI[[#This Row],[Kitchen Set]],Table_NFI[Kitchen Set])</f>
        <v>0</v>
      </c>
      <c r="AF1147" s="294">
        <f>IF(NFI_Expiration=1,IF($A1147&lt;VLOOKUP(O$5,NFI,5,0),1,0)*Table_NFI[[#This Row],[Clothes Kit]],Table_NFI[Clothes Kit])</f>
        <v>0</v>
      </c>
      <c r="AG1147" s="294">
        <f>IF(NFI_Expiration=1,IF($A1147&lt;VLOOKUP(P$5,NFI,5,0),1,0)*Table_NFI[[#This Row],[Plastic Bucket]],Table_NFI[Plastic Bucket])</f>
        <v>0</v>
      </c>
      <c r="AH1147" s="294">
        <f>IF(NFI_Expiration=1,IF($A1147&lt;VLOOKUP(Q$5,NFI,5,0),1,0)*Table_NFI[[#This Row],[Plastic Mat]],Table_NFI[Plastic Mat])*IF(Table_NFI[[#This Row],[Distribution Date]]&gt;"2014-04-01",1,2.5)</f>
        <v>0</v>
      </c>
      <c r="AI1147" s="294">
        <f>IF(NFI_Expiration=1,IF($A1147&lt;VLOOKUP(R$5,NFI,5,0),1,0)*Table_NFI[[#This Row],[Winter Clothes Adult]],Table_NFI[Winter Clothes Adult])</f>
        <v>0</v>
      </c>
      <c r="AJ1147" s="294">
        <f>IF(NFI_Expiration=1,IF($A1147&lt;VLOOKUP(S$5,NFI,5,0),1,0)*Table_NFI[[#This Row],[Winter Clothes Children]],Table_NFI[Winter Clothes Children])</f>
        <v>0</v>
      </c>
      <c r="AK1147" s="294">
        <f>IF(NFI_Expiration=1,IF($A1147&lt;VLOOKUP(T$5,NFI,5,0),1,0)*Table_NFI[[#This Row],[Winter Items Other]],Table_NFI[Winter Items Other])</f>
        <v>0</v>
      </c>
      <c r="AL1147" s="294">
        <f>IF(NFI_Expiration=1,IF($A1147&lt;VLOOKUP(M$5,NFI,5,0),1,0)*Table_NFI[[#This Row],[Winter Blanket]],Table_NFI[[#This Row],[Winter Blanket]])</f>
        <v>0</v>
      </c>
      <c r="AM1147" s="294">
        <f>IF(Table_NFI[[#This Row],[Winter Clothes Adult]]+Table_NFI[[#This Row],[Winter Clothes Children]]+Table_NFI[[#This Row],[Winter Items Other]]+Table_NFI[[#This Row],[Winter Blanket]]&gt;0,1,0)</f>
        <v>0</v>
      </c>
      <c r="AN1147" s="331">
        <f>IF(NFI_Expiration=1,IF($A1147&lt;VLOOKUP(V$5,NFI,5,0),1,0)*Table_NFI[[#This Row],[Jerry Can]],Table_NFI[Jerry Can])</f>
        <v>0</v>
      </c>
      <c r="AO1147" s="331">
        <f>IF(NFI_Expiration=1,IF($A1147&lt;VLOOKUP(V$5,NFI,5,0),1,0)*Table_NFI[[#This Row],[Shelter Tool kit]],Table_NFI[Shelter Tool kit])</f>
        <v>0</v>
      </c>
      <c r="AP1147" s="331">
        <f>IF(NFI_Expiration=1,IF($A1147&lt;VLOOKUP(V$5,NFI,5,0),1,0)*Table_NFI[[#This Row],[Tent]],Table_NFI[Tent])</f>
        <v>0</v>
      </c>
      <c r="AQ1147" s="467" t="str">
        <f>IFERROR(VLOOKUP(Table_NFI[[#This Row],[Camp Name]],CL,2,0),"")</f>
        <v/>
      </c>
      <c r="AR1147" s="835" t="str">
        <f ca="1">IF(Table_NFI[[#This Row],[Pcode]]="","",IF(OFFSET(CampList[Opening Date],MATCH(Table_NFI[[#This Row],[Pcode]],CampList[CP_Pcode],0)-1,0,1,1)&gt;=NFI_Monitor_Date,1,0))</f>
        <v/>
      </c>
      <c r="AS1147" s="467" t="str">
        <f>IFERROR(VLOOKUP(Table_NFI[[#This Row],[Camp Name]],CL,3,0),"")</f>
        <v/>
      </c>
      <c r="AT1147" s="294" t="str">
        <f ca="1">IF(Table_NFI[[#This Row],[Pcode]]="","",OFFSET(CampList[Priority],MATCH(Table_NFI[[#This Row],[Pcode]],CampList[CP_Pcode],0)-1,0,1,1))</f>
        <v/>
      </c>
      <c r="AU1147" s="293" t="str">
        <f>IFERROR(Table_NFI[[#This Row],[Kitchen Set]]/VLOOKUP(Table_NFI[[#This Row],[Camp Name]],CL,4,0),"")</f>
        <v/>
      </c>
      <c r="AV1147" s="461"/>
      <c r="AW1147" s="463"/>
    </row>
    <row r="1148" spans="1:49" ht="14.45" customHeight="1" x14ac:dyDescent="0.25">
      <c r="A1148" s="297" t="str">
        <f t="shared" si="17"/>
        <v/>
      </c>
      <c r="B1148" s="460"/>
      <c r="C1148" s="461"/>
      <c r="D1148" s="461"/>
      <c r="E1148" s="461"/>
      <c r="F1148" s="461"/>
      <c r="G1148" s="461"/>
      <c r="H1148" s="291"/>
      <c r="I1148" s="291"/>
      <c r="J1148" s="291"/>
      <c r="K1148" s="291"/>
      <c r="L1148" s="292"/>
      <c r="M1148" s="292"/>
      <c r="N1148" s="292"/>
      <c r="O1148" s="292"/>
      <c r="P1148" s="294"/>
      <c r="Q1148" s="294"/>
      <c r="R1148" s="294"/>
      <c r="S1148" s="294"/>
      <c r="T1148" s="294"/>
      <c r="U1148" s="294"/>
      <c r="V1148" s="431"/>
      <c r="W1148" s="331"/>
      <c r="X1148" s="331"/>
      <c r="Y1148" s="294">
        <f>IF(NFI_Expiration=1,IF($A1148&lt;VLOOKUP(H$5,NFI,5,0),1,0)*Table_NFI[[#This Row],[Hygiene Kit]],Table_NFI[Hygiene Kit])</f>
        <v>0</v>
      </c>
      <c r="Z1148" s="294">
        <f>IF(NFI_Expiration=1,IF($A1148&lt;VLOOKUP(I$5,NFI,5,0),1,0)*Table_NFI[[#This Row],[NFI Core Kit]],Table_NFI[NFI Core Kit])</f>
        <v>0</v>
      </c>
      <c r="AA1148" s="294">
        <f>IF(NFI_Expiration=1,IF($A1148&lt;VLOOKUP(J$5,NFI,5,0),1,0)*Table_NFI[[#This Row],[Sanitary Kit]],Table_NFI[Sanitary Kit])</f>
        <v>0</v>
      </c>
      <c r="AB1148" s="294">
        <f>IF(NFI_Expiration=1,IF($A1148&lt;VLOOKUP(K$5,NFI,5,0),1,0)*Table_NFI[[#This Row],[Mosquito net]],Table_NFI[Mosquito net])</f>
        <v>0</v>
      </c>
      <c r="AC1148" s="294">
        <f>IF(NFI_Expiration=1,IF($A1148&lt;VLOOKUP(L$5,NFI,5,0),1,0)*Table_NFI[[#This Row],[Tarpaulin]],Table_NFI[[#This Row],[Tarpaulin]])</f>
        <v>0</v>
      </c>
      <c r="AD1148" s="294">
        <f>IF(NFI_Expiration=1,IF($A1148&lt;VLOOKUP(M$5,NFI,5,0),1,0)*Table_NFI[[#This Row],[Blanket]],Table_NFI[[#This Row],[Blanket]])</f>
        <v>0</v>
      </c>
      <c r="AE1148" s="294">
        <f>IF(NFI_Expiration=1,IF($A1148&lt;VLOOKUP(N$5,NFI,5,0),1,0)*Table_NFI[[#This Row],[Kitchen Set]],Table_NFI[Kitchen Set])</f>
        <v>0</v>
      </c>
      <c r="AF1148" s="294">
        <f>IF(NFI_Expiration=1,IF($A1148&lt;VLOOKUP(O$5,NFI,5,0),1,0)*Table_NFI[[#This Row],[Clothes Kit]],Table_NFI[Clothes Kit])</f>
        <v>0</v>
      </c>
      <c r="AG1148" s="294">
        <f>IF(NFI_Expiration=1,IF($A1148&lt;VLOOKUP(P$5,NFI,5,0),1,0)*Table_NFI[[#This Row],[Plastic Bucket]],Table_NFI[Plastic Bucket])</f>
        <v>0</v>
      </c>
      <c r="AH1148" s="294">
        <f>IF(NFI_Expiration=1,IF($A1148&lt;VLOOKUP(Q$5,NFI,5,0),1,0)*Table_NFI[[#This Row],[Plastic Mat]],Table_NFI[Plastic Mat])*IF(Table_NFI[[#This Row],[Distribution Date]]&gt;"2014-04-01",1,2.5)</f>
        <v>0</v>
      </c>
      <c r="AI1148" s="294">
        <f>IF(NFI_Expiration=1,IF($A1148&lt;VLOOKUP(R$5,NFI,5,0),1,0)*Table_NFI[[#This Row],[Winter Clothes Adult]],Table_NFI[Winter Clothes Adult])</f>
        <v>0</v>
      </c>
      <c r="AJ1148" s="294">
        <f>IF(NFI_Expiration=1,IF($A1148&lt;VLOOKUP(S$5,NFI,5,0),1,0)*Table_NFI[[#This Row],[Winter Clothes Children]],Table_NFI[Winter Clothes Children])</f>
        <v>0</v>
      </c>
      <c r="AK1148" s="294">
        <f>IF(NFI_Expiration=1,IF($A1148&lt;VLOOKUP(T$5,NFI,5,0),1,0)*Table_NFI[[#This Row],[Winter Items Other]],Table_NFI[Winter Items Other])</f>
        <v>0</v>
      </c>
      <c r="AL1148" s="294">
        <f>IF(NFI_Expiration=1,IF($A1148&lt;VLOOKUP(M$5,NFI,5,0),1,0)*Table_NFI[[#This Row],[Winter Blanket]],Table_NFI[[#This Row],[Winter Blanket]])</f>
        <v>0</v>
      </c>
      <c r="AM1148" s="294">
        <f>IF(Table_NFI[[#This Row],[Winter Clothes Adult]]+Table_NFI[[#This Row],[Winter Clothes Children]]+Table_NFI[[#This Row],[Winter Items Other]]+Table_NFI[[#This Row],[Winter Blanket]]&gt;0,1,0)</f>
        <v>0</v>
      </c>
      <c r="AN1148" s="331">
        <f>IF(NFI_Expiration=1,IF($A1148&lt;VLOOKUP(V$5,NFI,5,0),1,0)*Table_NFI[[#This Row],[Jerry Can]],Table_NFI[Jerry Can])</f>
        <v>0</v>
      </c>
      <c r="AO1148" s="331">
        <f>IF(NFI_Expiration=1,IF($A1148&lt;VLOOKUP(V$5,NFI,5,0),1,0)*Table_NFI[[#This Row],[Shelter Tool kit]],Table_NFI[Shelter Tool kit])</f>
        <v>0</v>
      </c>
      <c r="AP1148" s="331">
        <f>IF(NFI_Expiration=1,IF($A1148&lt;VLOOKUP(V$5,NFI,5,0),1,0)*Table_NFI[[#This Row],[Tent]],Table_NFI[Tent])</f>
        <v>0</v>
      </c>
      <c r="AQ1148" s="467" t="str">
        <f>IFERROR(VLOOKUP(Table_NFI[[#This Row],[Camp Name]],CL,2,0),"")</f>
        <v/>
      </c>
      <c r="AR1148" s="835" t="str">
        <f ca="1">IF(Table_NFI[[#This Row],[Pcode]]="","",IF(OFFSET(CampList[Opening Date],MATCH(Table_NFI[[#This Row],[Pcode]],CampList[CP_Pcode],0)-1,0,1,1)&gt;=NFI_Monitor_Date,1,0))</f>
        <v/>
      </c>
      <c r="AS1148" s="467" t="str">
        <f>IFERROR(VLOOKUP(Table_NFI[[#This Row],[Camp Name]],CL,3,0),"")</f>
        <v/>
      </c>
      <c r="AT1148" s="294" t="str">
        <f ca="1">IF(Table_NFI[[#This Row],[Pcode]]="","",OFFSET(CampList[Priority],MATCH(Table_NFI[[#This Row],[Pcode]],CampList[CP_Pcode],0)-1,0,1,1))</f>
        <v/>
      </c>
      <c r="AU1148" s="293" t="str">
        <f>IFERROR(Table_NFI[[#This Row],[Kitchen Set]]/VLOOKUP(Table_NFI[[#This Row],[Camp Name]],CL,4,0),"")</f>
        <v/>
      </c>
      <c r="AV1148" s="461"/>
      <c r="AW1148" s="463"/>
    </row>
    <row r="1149" spans="1:49" ht="14.45" customHeight="1" x14ac:dyDescent="0.25">
      <c r="A1149" s="297" t="str">
        <f t="shared" si="17"/>
        <v/>
      </c>
      <c r="B1149" s="460"/>
      <c r="C1149" s="461"/>
      <c r="D1149" s="461"/>
      <c r="E1149" s="461"/>
      <c r="F1149" s="461"/>
      <c r="G1149" s="461"/>
      <c r="H1149" s="291"/>
      <c r="I1149" s="291"/>
      <c r="J1149" s="291"/>
      <c r="K1149" s="291"/>
      <c r="L1149" s="292"/>
      <c r="M1149" s="292"/>
      <c r="N1149" s="292"/>
      <c r="O1149" s="292"/>
      <c r="P1149" s="294"/>
      <c r="Q1149" s="294"/>
      <c r="R1149" s="294"/>
      <c r="S1149" s="294"/>
      <c r="T1149" s="294"/>
      <c r="U1149" s="294"/>
      <c r="V1149" s="431"/>
      <c r="W1149" s="331"/>
      <c r="X1149" s="331"/>
      <c r="Y1149" s="294">
        <f>IF(NFI_Expiration=1,IF($A1149&lt;VLOOKUP(H$5,NFI,5,0),1,0)*Table_NFI[[#This Row],[Hygiene Kit]],Table_NFI[Hygiene Kit])</f>
        <v>0</v>
      </c>
      <c r="Z1149" s="294">
        <f>IF(NFI_Expiration=1,IF($A1149&lt;VLOOKUP(I$5,NFI,5,0),1,0)*Table_NFI[[#This Row],[NFI Core Kit]],Table_NFI[NFI Core Kit])</f>
        <v>0</v>
      </c>
      <c r="AA1149" s="294">
        <f>IF(NFI_Expiration=1,IF($A1149&lt;VLOOKUP(J$5,NFI,5,0),1,0)*Table_NFI[[#This Row],[Sanitary Kit]],Table_NFI[Sanitary Kit])</f>
        <v>0</v>
      </c>
      <c r="AB1149" s="294">
        <f>IF(NFI_Expiration=1,IF($A1149&lt;VLOOKUP(K$5,NFI,5,0),1,0)*Table_NFI[[#This Row],[Mosquito net]],Table_NFI[Mosquito net])</f>
        <v>0</v>
      </c>
      <c r="AC1149" s="294">
        <f>IF(NFI_Expiration=1,IF($A1149&lt;VLOOKUP(L$5,NFI,5,0),1,0)*Table_NFI[[#This Row],[Tarpaulin]],Table_NFI[[#This Row],[Tarpaulin]])</f>
        <v>0</v>
      </c>
      <c r="AD1149" s="294">
        <f>IF(NFI_Expiration=1,IF($A1149&lt;VLOOKUP(M$5,NFI,5,0),1,0)*Table_NFI[[#This Row],[Blanket]],Table_NFI[[#This Row],[Blanket]])</f>
        <v>0</v>
      </c>
      <c r="AE1149" s="294">
        <f>IF(NFI_Expiration=1,IF($A1149&lt;VLOOKUP(N$5,NFI,5,0),1,0)*Table_NFI[[#This Row],[Kitchen Set]],Table_NFI[Kitchen Set])</f>
        <v>0</v>
      </c>
      <c r="AF1149" s="294">
        <f>IF(NFI_Expiration=1,IF($A1149&lt;VLOOKUP(O$5,NFI,5,0),1,0)*Table_NFI[[#This Row],[Clothes Kit]],Table_NFI[Clothes Kit])</f>
        <v>0</v>
      </c>
      <c r="AG1149" s="294">
        <f>IF(NFI_Expiration=1,IF($A1149&lt;VLOOKUP(P$5,NFI,5,0),1,0)*Table_NFI[[#This Row],[Plastic Bucket]],Table_NFI[Plastic Bucket])</f>
        <v>0</v>
      </c>
      <c r="AH1149" s="294">
        <f>IF(NFI_Expiration=1,IF($A1149&lt;VLOOKUP(Q$5,NFI,5,0),1,0)*Table_NFI[[#This Row],[Plastic Mat]],Table_NFI[Plastic Mat])*IF(Table_NFI[[#This Row],[Distribution Date]]&gt;"2014-04-01",1,2.5)</f>
        <v>0</v>
      </c>
      <c r="AI1149" s="294">
        <f>IF(NFI_Expiration=1,IF($A1149&lt;VLOOKUP(R$5,NFI,5,0),1,0)*Table_NFI[[#This Row],[Winter Clothes Adult]],Table_NFI[Winter Clothes Adult])</f>
        <v>0</v>
      </c>
      <c r="AJ1149" s="294">
        <f>IF(NFI_Expiration=1,IF($A1149&lt;VLOOKUP(S$5,NFI,5,0),1,0)*Table_NFI[[#This Row],[Winter Clothes Children]],Table_NFI[Winter Clothes Children])</f>
        <v>0</v>
      </c>
      <c r="AK1149" s="294">
        <f>IF(NFI_Expiration=1,IF($A1149&lt;VLOOKUP(T$5,NFI,5,0),1,0)*Table_NFI[[#This Row],[Winter Items Other]],Table_NFI[Winter Items Other])</f>
        <v>0</v>
      </c>
      <c r="AL1149" s="294">
        <f>IF(NFI_Expiration=1,IF($A1149&lt;VLOOKUP(M$5,NFI,5,0),1,0)*Table_NFI[[#This Row],[Winter Blanket]],Table_NFI[[#This Row],[Winter Blanket]])</f>
        <v>0</v>
      </c>
      <c r="AM1149" s="294">
        <f>IF(Table_NFI[[#This Row],[Winter Clothes Adult]]+Table_NFI[[#This Row],[Winter Clothes Children]]+Table_NFI[[#This Row],[Winter Items Other]]+Table_NFI[[#This Row],[Winter Blanket]]&gt;0,1,0)</f>
        <v>0</v>
      </c>
      <c r="AN1149" s="331">
        <f>IF(NFI_Expiration=1,IF($A1149&lt;VLOOKUP(V$5,NFI,5,0),1,0)*Table_NFI[[#This Row],[Jerry Can]],Table_NFI[Jerry Can])</f>
        <v>0</v>
      </c>
      <c r="AO1149" s="331">
        <f>IF(NFI_Expiration=1,IF($A1149&lt;VLOOKUP(V$5,NFI,5,0),1,0)*Table_NFI[[#This Row],[Shelter Tool kit]],Table_NFI[Shelter Tool kit])</f>
        <v>0</v>
      </c>
      <c r="AP1149" s="331">
        <f>IF(NFI_Expiration=1,IF($A1149&lt;VLOOKUP(V$5,NFI,5,0),1,0)*Table_NFI[[#This Row],[Tent]],Table_NFI[Tent])</f>
        <v>0</v>
      </c>
      <c r="AQ1149" s="467" t="str">
        <f>IFERROR(VLOOKUP(Table_NFI[[#This Row],[Camp Name]],CL,2,0),"")</f>
        <v/>
      </c>
      <c r="AR1149" s="835" t="str">
        <f ca="1">IF(Table_NFI[[#This Row],[Pcode]]="","",IF(OFFSET(CampList[Opening Date],MATCH(Table_NFI[[#This Row],[Pcode]],CampList[CP_Pcode],0)-1,0,1,1)&gt;=NFI_Monitor_Date,1,0))</f>
        <v/>
      </c>
      <c r="AS1149" s="467" t="str">
        <f>IFERROR(VLOOKUP(Table_NFI[[#This Row],[Camp Name]],CL,3,0),"")</f>
        <v/>
      </c>
      <c r="AT1149" s="294" t="str">
        <f ca="1">IF(Table_NFI[[#This Row],[Pcode]]="","",OFFSET(CampList[Priority],MATCH(Table_NFI[[#This Row],[Pcode]],CampList[CP_Pcode],0)-1,0,1,1))</f>
        <v/>
      </c>
      <c r="AU1149" s="293" t="str">
        <f>IFERROR(Table_NFI[[#This Row],[Kitchen Set]]/VLOOKUP(Table_NFI[[#This Row],[Camp Name]],CL,4,0),"")</f>
        <v/>
      </c>
      <c r="AV1149" s="461"/>
      <c r="AW1149" s="463"/>
    </row>
    <row r="1150" spans="1:49" ht="14.45" customHeight="1" x14ac:dyDescent="0.25">
      <c r="A1150" s="297" t="str">
        <f t="shared" si="17"/>
        <v/>
      </c>
      <c r="B1150" s="460"/>
      <c r="C1150" s="461"/>
      <c r="D1150" s="461"/>
      <c r="E1150" s="461"/>
      <c r="F1150" s="461"/>
      <c r="G1150" s="461"/>
      <c r="H1150" s="291"/>
      <c r="I1150" s="291"/>
      <c r="J1150" s="291"/>
      <c r="K1150" s="291"/>
      <c r="L1150" s="292"/>
      <c r="M1150" s="292"/>
      <c r="N1150" s="292"/>
      <c r="O1150" s="292"/>
      <c r="P1150" s="294"/>
      <c r="Q1150" s="294"/>
      <c r="R1150" s="294"/>
      <c r="S1150" s="294"/>
      <c r="T1150" s="294"/>
      <c r="U1150" s="294"/>
      <c r="V1150" s="431"/>
      <c r="W1150" s="331"/>
      <c r="X1150" s="331"/>
      <c r="Y1150" s="294">
        <f>IF(NFI_Expiration=1,IF($A1150&lt;VLOOKUP(H$5,NFI,5,0),1,0)*Table_NFI[[#This Row],[Hygiene Kit]],Table_NFI[Hygiene Kit])</f>
        <v>0</v>
      </c>
      <c r="Z1150" s="294">
        <f>IF(NFI_Expiration=1,IF($A1150&lt;VLOOKUP(I$5,NFI,5,0),1,0)*Table_NFI[[#This Row],[NFI Core Kit]],Table_NFI[NFI Core Kit])</f>
        <v>0</v>
      </c>
      <c r="AA1150" s="294">
        <f>IF(NFI_Expiration=1,IF($A1150&lt;VLOOKUP(J$5,NFI,5,0),1,0)*Table_NFI[[#This Row],[Sanitary Kit]],Table_NFI[Sanitary Kit])</f>
        <v>0</v>
      </c>
      <c r="AB1150" s="294">
        <f>IF(NFI_Expiration=1,IF($A1150&lt;VLOOKUP(K$5,NFI,5,0),1,0)*Table_NFI[[#This Row],[Mosquito net]],Table_NFI[Mosquito net])</f>
        <v>0</v>
      </c>
      <c r="AC1150" s="294">
        <f>IF(NFI_Expiration=1,IF($A1150&lt;VLOOKUP(L$5,NFI,5,0),1,0)*Table_NFI[[#This Row],[Tarpaulin]],Table_NFI[[#This Row],[Tarpaulin]])</f>
        <v>0</v>
      </c>
      <c r="AD1150" s="294">
        <f>IF(NFI_Expiration=1,IF($A1150&lt;VLOOKUP(M$5,NFI,5,0),1,0)*Table_NFI[[#This Row],[Blanket]],Table_NFI[[#This Row],[Blanket]])</f>
        <v>0</v>
      </c>
      <c r="AE1150" s="294">
        <f>IF(NFI_Expiration=1,IF($A1150&lt;VLOOKUP(N$5,NFI,5,0),1,0)*Table_NFI[[#This Row],[Kitchen Set]],Table_NFI[Kitchen Set])</f>
        <v>0</v>
      </c>
      <c r="AF1150" s="294">
        <f>IF(NFI_Expiration=1,IF($A1150&lt;VLOOKUP(O$5,NFI,5,0),1,0)*Table_NFI[[#This Row],[Clothes Kit]],Table_NFI[Clothes Kit])</f>
        <v>0</v>
      </c>
      <c r="AG1150" s="294">
        <f>IF(NFI_Expiration=1,IF($A1150&lt;VLOOKUP(P$5,NFI,5,0),1,0)*Table_NFI[[#This Row],[Plastic Bucket]],Table_NFI[Plastic Bucket])</f>
        <v>0</v>
      </c>
      <c r="AH1150" s="294">
        <f>IF(NFI_Expiration=1,IF($A1150&lt;VLOOKUP(Q$5,NFI,5,0),1,0)*Table_NFI[[#This Row],[Plastic Mat]],Table_NFI[Plastic Mat])*IF(Table_NFI[[#This Row],[Distribution Date]]&gt;"2014-04-01",1,2.5)</f>
        <v>0</v>
      </c>
      <c r="AI1150" s="294">
        <f>IF(NFI_Expiration=1,IF($A1150&lt;VLOOKUP(R$5,NFI,5,0),1,0)*Table_NFI[[#This Row],[Winter Clothes Adult]],Table_NFI[Winter Clothes Adult])</f>
        <v>0</v>
      </c>
      <c r="AJ1150" s="294">
        <f>IF(NFI_Expiration=1,IF($A1150&lt;VLOOKUP(S$5,NFI,5,0),1,0)*Table_NFI[[#This Row],[Winter Clothes Children]],Table_NFI[Winter Clothes Children])</f>
        <v>0</v>
      </c>
      <c r="AK1150" s="294">
        <f>IF(NFI_Expiration=1,IF($A1150&lt;VLOOKUP(T$5,NFI,5,0),1,0)*Table_NFI[[#This Row],[Winter Items Other]],Table_NFI[Winter Items Other])</f>
        <v>0</v>
      </c>
      <c r="AL1150" s="294">
        <f>IF(NFI_Expiration=1,IF($A1150&lt;VLOOKUP(M$5,NFI,5,0),1,0)*Table_NFI[[#This Row],[Winter Blanket]],Table_NFI[[#This Row],[Winter Blanket]])</f>
        <v>0</v>
      </c>
      <c r="AM1150" s="294">
        <f>IF(Table_NFI[[#This Row],[Winter Clothes Adult]]+Table_NFI[[#This Row],[Winter Clothes Children]]+Table_NFI[[#This Row],[Winter Items Other]]+Table_NFI[[#This Row],[Winter Blanket]]&gt;0,1,0)</f>
        <v>0</v>
      </c>
      <c r="AN1150" s="331">
        <f>IF(NFI_Expiration=1,IF($A1150&lt;VLOOKUP(V$5,NFI,5,0),1,0)*Table_NFI[[#This Row],[Jerry Can]],Table_NFI[Jerry Can])</f>
        <v>0</v>
      </c>
      <c r="AO1150" s="331">
        <f>IF(NFI_Expiration=1,IF($A1150&lt;VLOOKUP(V$5,NFI,5,0),1,0)*Table_NFI[[#This Row],[Shelter Tool kit]],Table_NFI[Shelter Tool kit])</f>
        <v>0</v>
      </c>
      <c r="AP1150" s="331">
        <f>IF(NFI_Expiration=1,IF($A1150&lt;VLOOKUP(V$5,NFI,5,0),1,0)*Table_NFI[[#This Row],[Tent]],Table_NFI[Tent])</f>
        <v>0</v>
      </c>
      <c r="AQ1150" s="467" t="str">
        <f>IFERROR(VLOOKUP(Table_NFI[[#This Row],[Camp Name]],CL,2,0),"")</f>
        <v/>
      </c>
      <c r="AR1150" s="835" t="str">
        <f ca="1">IF(Table_NFI[[#This Row],[Pcode]]="","",IF(OFFSET(CampList[Opening Date],MATCH(Table_NFI[[#This Row],[Pcode]],CampList[CP_Pcode],0)-1,0,1,1)&gt;=NFI_Monitor_Date,1,0))</f>
        <v/>
      </c>
      <c r="AS1150" s="467" t="str">
        <f>IFERROR(VLOOKUP(Table_NFI[[#This Row],[Camp Name]],CL,3,0),"")</f>
        <v/>
      </c>
      <c r="AT1150" s="294" t="str">
        <f ca="1">IF(Table_NFI[[#This Row],[Pcode]]="","",OFFSET(CampList[Priority],MATCH(Table_NFI[[#This Row],[Pcode]],CampList[CP_Pcode],0)-1,0,1,1))</f>
        <v/>
      </c>
      <c r="AU1150" s="293" t="str">
        <f>IFERROR(Table_NFI[[#This Row],[Kitchen Set]]/VLOOKUP(Table_NFI[[#This Row],[Camp Name]],CL,4,0),"")</f>
        <v/>
      </c>
      <c r="AV1150" s="461"/>
      <c r="AW1150" s="463"/>
    </row>
    <row r="1151" spans="1:49" ht="14.45" customHeight="1" x14ac:dyDescent="0.25">
      <c r="A1151" s="297" t="str">
        <f t="shared" si="17"/>
        <v/>
      </c>
      <c r="B1151" s="460"/>
      <c r="C1151" s="461"/>
      <c r="D1151" s="461"/>
      <c r="E1151" s="461"/>
      <c r="F1151" s="461"/>
      <c r="G1151" s="461"/>
      <c r="H1151" s="291"/>
      <c r="I1151" s="291"/>
      <c r="J1151" s="291"/>
      <c r="K1151" s="291"/>
      <c r="L1151" s="292"/>
      <c r="M1151" s="292"/>
      <c r="N1151" s="292"/>
      <c r="O1151" s="292"/>
      <c r="P1151" s="294"/>
      <c r="Q1151" s="294"/>
      <c r="R1151" s="294"/>
      <c r="S1151" s="294"/>
      <c r="T1151" s="294"/>
      <c r="U1151" s="294"/>
      <c r="V1151" s="431"/>
      <c r="W1151" s="331"/>
      <c r="X1151" s="331"/>
      <c r="Y1151" s="294">
        <f>IF(NFI_Expiration=1,IF($A1151&lt;VLOOKUP(H$5,NFI,5,0),1,0)*Table_NFI[[#This Row],[Hygiene Kit]],Table_NFI[Hygiene Kit])</f>
        <v>0</v>
      </c>
      <c r="Z1151" s="294">
        <f>IF(NFI_Expiration=1,IF($A1151&lt;VLOOKUP(I$5,NFI,5,0),1,0)*Table_NFI[[#This Row],[NFI Core Kit]],Table_NFI[NFI Core Kit])</f>
        <v>0</v>
      </c>
      <c r="AA1151" s="294">
        <f>IF(NFI_Expiration=1,IF($A1151&lt;VLOOKUP(J$5,NFI,5,0),1,0)*Table_NFI[[#This Row],[Sanitary Kit]],Table_NFI[Sanitary Kit])</f>
        <v>0</v>
      </c>
      <c r="AB1151" s="294">
        <f>IF(NFI_Expiration=1,IF($A1151&lt;VLOOKUP(K$5,NFI,5,0),1,0)*Table_NFI[[#This Row],[Mosquito net]],Table_NFI[Mosquito net])</f>
        <v>0</v>
      </c>
      <c r="AC1151" s="294">
        <f>IF(NFI_Expiration=1,IF($A1151&lt;VLOOKUP(L$5,NFI,5,0),1,0)*Table_NFI[[#This Row],[Tarpaulin]],Table_NFI[[#This Row],[Tarpaulin]])</f>
        <v>0</v>
      </c>
      <c r="AD1151" s="294">
        <f>IF(NFI_Expiration=1,IF($A1151&lt;VLOOKUP(M$5,NFI,5,0),1,0)*Table_NFI[[#This Row],[Blanket]],Table_NFI[[#This Row],[Blanket]])</f>
        <v>0</v>
      </c>
      <c r="AE1151" s="294">
        <f>IF(NFI_Expiration=1,IF($A1151&lt;VLOOKUP(N$5,NFI,5,0),1,0)*Table_NFI[[#This Row],[Kitchen Set]],Table_NFI[Kitchen Set])</f>
        <v>0</v>
      </c>
      <c r="AF1151" s="294">
        <f>IF(NFI_Expiration=1,IF($A1151&lt;VLOOKUP(O$5,NFI,5,0),1,0)*Table_NFI[[#This Row],[Clothes Kit]],Table_NFI[Clothes Kit])</f>
        <v>0</v>
      </c>
      <c r="AG1151" s="294">
        <f>IF(NFI_Expiration=1,IF($A1151&lt;VLOOKUP(P$5,NFI,5,0),1,0)*Table_NFI[[#This Row],[Plastic Bucket]],Table_NFI[Plastic Bucket])</f>
        <v>0</v>
      </c>
      <c r="AH1151" s="294">
        <f>IF(NFI_Expiration=1,IF($A1151&lt;VLOOKUP(Q$5,NFI,5,0),1,0)*Table_NFI[[#This Row],[Plastic Mat]],Table_NFI[Plastic Mat])*IF(Table_NFI[[#This Row],[Distribution Date]]&gt;"2014-04-01",1,2.5)</f>
        <v>0</v>
      </c>
      <c r="AI1151" s="294">
        <f>IF(NFI_Expiration=1,IF($A1151&lt;VLOOKUP(R$5,NFI,5,0),1,0)*Table_NFI[[#This Row],[Winter Clothes Adult]],Table_NFI[Winter Clothes Adult])</f>
        <v>0</v>
      </c>
      <c r="AJ1151" s="294">
        <f>IF(NFI_Expiration=1,IF($A1151&lt;VLOOKUP(S$5,NFI,5,0),1,0)*Table_NFI[[#This Row],[Winter Clothes Children]],Table_NFI[Winter Clothes Children])</f>
        <v>0</v>
      </c>
      <c r="AK1151" s="294">
        <f>IF(NFI_Expiration=1,IF($A1151&lt;VLOOKUP(T$5,NFI,5,0),1,0)*Table_NFI[[#This Row],[Winter Items Other]],Table_NFI[Winter Items Other])</f>
        <v>0</v>
      </c>
      <c r="AL1151" s="294">
        <f>IF(NFI_Expiration=1,IF($A1151&lt;VLOOKUP(M$5,NFI,5,0),1,0)*Table_NFI[[#This Row],[Winter Blanket]],Table_NFI[[#This Row],[Winter Blanket]])</f>
        <v>0</v>
      </c>
      <c r="AM1151" s="294">
        <f>IF(Table_NFI[[#This Row],[Winter Clothes Adult]]+Table_NFI[[#This Row],[Winter Clothes Children]]+Table_NFI[[#This Row],[Winter Items Other]]+Table_NFI[[#This Row],[Winter Blanket]]&gt;0,1,0)</f>
        <v>0</v>
      </c>
      <c r="AN1151" s="331">
        <f>IF(NFI_Expiration=1,IF($A1151&lt;VLOOKUP(V$5,NFI,5,0),1,0)*Table_NFI[[#This Row],[Jerry Can]],Table_NFI[Jerry Can])</f>
        <v>0</v>
      </c>
      <c r="AO1151" s="331">
        <f>IF(NFI_Expiration=1,IF($A1151&lt;VLOOKUP(V$5,NFI,5,0),1,0)*Table_NFI[[#This Row],[Shelter Tool kit]],Table_NFI[Shelter Tool kit])</f>
        <v>0</v>
      </c>
      <c r="AP1151" s="331">
        <f>IF(NFI_Expiration=1,IF($A1151&lt;VLOOKUP(V$5,NFI,5,0),1,0)*Table_NFI[[#This Row],[Tent]],Table_NFI[Tent])</f>
        <v>0</v>
      </c>
      <c r="AQ1151" s="467" t="str">
        <f>IFERROR(VLOOKUP(Table_NFI[[#This Row],[Camp Name]],CL,2,0),"")</f>
        <v/>
      </c>
      <c r="AR1151" s="835" t="str">
        <f ca="1">IF(Table_NFI[[#This Row],[Pcode]]="","",IF(OFFSET(CampList[Opening Date],MATCH(Table_NFI[[#This Row],[Pcode]],CampList[CP_Pcode],0)-1,0,1,1)&gt;=NFI_Monitor_Date,1,0))</f>
        <v/>
      </c>
      <c r="AS1151" s="467" t="str">
        <f>IFERROR(VLOOKUP(Table_NFI[[#This Row],[Camp Name]],CL,3,0),"")</f>
        <v/>
      </c>
      <c r="AT1151" s="294" t="str">
        <f ca="1">IF(Table_NFI[[#This Row],[Pcode]]="","",OFFSET(CampList[Priority],MATCH(Table_NFI[[#This Row],[Pcode]],CampList[CP_Pcode],0)-1,0,1,1))</f>
        <v/>
      </c>
      <c r="AU1151" s="293" t="str">
        <f>IFERROR(Table_NFI[[#This Row],[Kitchen Set]]/VLOOKUP(Table_NFI[[#This Row],[Camp Name]],CL,4,0),"")</f>
        <v/>
      </c>
      <c r="AV1151" s="465"/>
      <c r="AW1151" s="468"/>
    </row>
    <row r="1152" spans="1:49" ht="14.45" customHeight="1" x14ac:dyDescent="0.25">
      <c r="A1152" s="297" t="str">
        <f t="shared" si="17"/>
        <v/>
      </c>
      <c r="B1152" s="460"/>
      <c r="C1152" s="465"/>
      <c r="D1152" s="465"/>
      <c r="E1152" s="465"/>
      <c r="F1152" s="461"/>
      <c r="G1152" s="465"/>
      <c r="H1152" s="292"/>
      <c r="I1152" s="292"/>
      <c r="J1152" s="292"/>
      <c r="K1152" s="292"/>
      <c r="L1152" s="292"/>
      <c r="M1152" s="292"/>
      <c r="N1152" s="292"/>
      <c r="O1152" s="292"/>
      <c r="P1152" s="294"/>
      <c r="Q1152" s="294"/>
      <c r="R1152" s="294"/>
      <c r="S1152" s="294"/>
      <c r="T1152" s="294"/>
      <c r="U1152" s="294"/>
      <c r="V1152" s="431"/>
      <c r="W1152" s="331"/>
      <c r="X1152" s="331"/>
      <c r="Y1152" s="294">
        <f>IF(NFI_Expiration=1,IF($A1152&lt;VLOOKUP(H$5,NFI,5,0),1,0)*Table_NFI[[#This Row],[Hygiene Kit]],Table_NFI[Hygiene Kit])</f>
        <v>0</v>
      </c>
      <c r="Z1152" s="294">
        <f>IF(NFI_Expiration=1,IF($A1152&lt;VLOOKUP(I$5,NFI,5,0),1,0)*Table_NFI[[#This Row],[NFI Core Kit]],Table_NFI[NFI Core Kit])</f>
        <v>0</v>
      </c>
      <c r="AA1152" s="294">
        <f>IF(NFI_Expiration=1,IF($A1152&lt;VLOOKUP(J$5,NFI,5,0),1,0)*Table_NFI[[#This Row],[Sanitary Kit]],Table_NFI[Sanitary Kit])</f>
        <v>0</v>
      </c>
      <c r="AB1152" s="294">
        <f>IF(NFI_Expiration=1,IF($A1152&lt;VLOOKUP(K$5,NFI,5,0),1,0)*Table_NFI[[#This Row],[Mosquito net]],Table_NFI[Mosquito net])</f>
        <v>0</v>
      </c>
      <c r="AC1152" s="294">
        <f>IF(NFI_Expiration=1,IF($A1152&lt;VLOOKUP(L$5,NFI,5,0),1,0)*Table_NFI[[#This Row],[Tarpaulin]],Table_NFI[[#This Row],[Tarpaulin]])</f>
        <v>0</v>
      </c>
      <c r="AD1152" s="294">
        <f>IF(NFI_Expiration=1,IF($A1152&lt;VLOOKUP(M$5,NFI,5,0),1,0)*Table_NFI[[#This Row],[Blanket]],Table_NFI[[#This Row],[Blanket]])</f>
        <v>0</v>
      </c>
      <c r="AE1152" s="294">
        <f>IF(NFI_Expiration=1,IF($A1152&lt;VLOOKUP(N$5,NFI,5,0),1,0)*Table_NFI[[#This Row],[Kitchen Set]],Table_NFI[Kitchen Set])</f>
        <v>0</v>
      </c>
      <c r="AF1152" s="294">
        <f>IF(NFI_Expiration=1,IF($A1152&lt;VLOOKUP(O$5,NFI,5,0),1,0)*Table_NFI[[#This Row],[Clothes Kit]],Table_NFI[Clothes Kit])</f>
        <v>0</v>
      </c>
      <c r="AG1152" s="294">
        <f>IF(NFI_Expiration=1,IF($A1152&lt;VLOOKUP(P$5,NFI,5,0),1,0)*Table_NFI[[#This Row],[Plastic Bucket]],Table_NFI[Plastic Bucket])</f>
        <v>0</v>
      </c>
      <c r="AH1152" s="294">
        <f>IF(NFI_Expiration=1,IF($A1152&lt;VLOOKUP(Q$5,NFI,5,0),1,0)*Table_NFI[[#This Row],[Plastic Mat]],Table_NFI[Plastic Mat])*IF(Table_NFI[[#This Row],[Distribution Date]]&gt;"2014-04-01",1,2.5)</f>
        <v>0</v>
      </c>
      <c r="AI1152" s="294">
        <f>IF(NFI_Expiration=1,IF($A1152&lt;VLOOKUP(R$5,NFI,5,0),1,0)*Table_NFI[[#This Row],[Winter Clothes Adult]],Table_NFI[Winter Clothes Adult])</f>
        <v>0</v>
      </c>
      <c r="AJ1152" s="294">
        <f>IF(NFI_Expiration=1,IF($A1152&lt;VLOOKUP(S$5,NFI,5,0),1,0)*Table_NFI[[#This Row],[Winter Clothes Children]],Table_NFI[Winter Clothes Children])</f>
        <v>0</v>
      </c>
      <c r="AK1152" s="294">
        <f>IF(NFI_Expiration=1,IF($A1152&lt;VLOOKUP(T$5,NFI,5,0),1,0)*Table_NFI[[#This Row],[Winter Items Other]],Table_NFI[Winter Items Other])</f>
        <v>0</v>
      </c>
      <c r="AL1152" s="294">
        <f>IF(NFI_Expiration=1,IF($A1152&lt;VLOOKUP(M$5,NFI,5,0),1,0)*Table_NFI[[#This Row],[Winter Blanket]],Table_NFI[[#This Row],[Winter Blanket]])</f>
        <v>0</v>
      </c>
      <c r="AM1152" s="294">
        <f>IF(Table_NFI[[#This Row],[Winter Clothes Adult]]+Table_NFI[[#This Row],[Winter Clothes Children]]+Table_NFI[[#This Row],[Winter Items Other]]+Table_NFI[[#This Row],[Winter Blanket]]&gt;0,1,0)</f>
        <v>0</v>
      </c>
      <c r="AN1152" s="331">
        <f>IF(NFI_Expiration=1,IF($A1152&lt;VLOOKUP(V$5,NFI,5,0),1,0)*Table_NFI[[#This Row],[Jerry Can]],Table_NFI[Jerry Can])</f>
        <v>0</v>
      </c>
      <c r="AO1152" s="331">
        <f>IF(NFI_Expiration=1,IF($A1152&lt;VLOOKUP(V$5,NFI,5,0),1,0)*Table_NFI[[#This Row],[Shelter Tool kit]],Table_NFI[Shelter Tool kit])</f>
        <v>0</v>
      </c>
      <c r="AP1152" s="331">
        <f>IF(NFI_Expiration=1,IF($A1152&lt;VLOOKUP(V$5,NFI,5,0),1,0)*Table_NFI[[#This Row],[Tent]],Table_NFI[Tent])</f>
        <v>0</v>
      </c>
      <c r="AQ1152" s="467" t="str">
        <f>IFERROR(VLOOKUP(Table_NFI[[#This Row],[Camp Name]],CL,2,0),"")</f>
        <v/>
      </c>
      <c r="AR1152" s="835" t="str">
        <f ca="1">IF(Table_NFI[[#This Row],[Pcode]]="","",IF(OFFSET(CampList[Opening Date],MATCH(Table_NFI[[#This Row],[Pcode]],CampList[CP_Pcode],0)-1,0,1,1)&gt;=NFI_Monitor_Date,1,0))</f>
        <v/>
      </c>
      <c r="AS1152" s="467" t="str">
        <f>IFERROR(VLOOKUP(Table_NFI[[#This Row],[Camp Name]],CL,3,0),"")</f>
        <v/>
      </c>
      <c r="AT1152" s="294" t="str">
        <f ca="1">IF(Table_NFI[[#This Row],[Pcode]]="","",OFFSET(CampList[Priority],MATCH(Table_NFI[[#This Row],[Pcode]],CampList[CP_Pcode],0)-1,0,1,1))</f>
        <v/>
      </c>
      <c r="AU1152" s="293" t="str">
        <f>IFERROR(Table_NFI[[#This Row],[Kitchen Set]]/VLOOKUP(Table_NFI[[#This Row],[Camp Name]],CL,4,0),"")</f>
        <v/>
      </c>
      <c r="AV1152" s="461"/>
      <c r="AW1152" s="483"/>
    </row>
    <row r="1153" spans="1:49" ht="14.45" customHeight="1" x14ac:dyDescent="0.25">
      <c r="A1153" s="297" t="str">
        <f t="shared" si="17"/>
        <v/>
      </c>
      <c r="B1153" s="460"/>
      <c r="C1153" s="461"/>
      <c r="D1153" s="461"/>
      <c r="E1153" s="461"/>
      <c r="F1153" s="461"/>
      <c r="G1153" s="461"/>
      <c r="H1153" s="291"/>
      <c r="I1153" s="291"/>
      <c r="J1153" s="291"/>
      <c r="K1153" s="291"/>
      <c r="L1153" s="292"/>
      <c r="M1153" s="292"/>
      <c r="N1153" s="292"/>
      <c r="O1153" s="292"/>
      <c r="P1153" s="294"/>
      <c r="Q1153" s="294"/>
      <c r="R1153" s="294"/>
      <c r="S1153" s="294"/>
      <c r="T1153" s="294"/>
      <c r="U1153" s="294"/>
      <c r="V1153" s="431"/>
      <c r="W1153" s="331"/>
      <c r="X1153" s="331"/>
      <c r="Y1153" s="294">
        <f>IF(NFI_Expiration=1,IF($A1153&lt;VLOOKUP(H$5,NFI,5,0),1,0)*Table_NFI[[#This Row],[Hygiene Kit]],Table_NFI[Hygiene Kit])</f>
        <v>0</v>
      </c>
      <c r="Z1153" s="294">
        <f>IF(NFI_Expiration=1,IF($A1153&lt;VLOOKUP(I$5,NFI,5,0),1,0)*Table_NFI[[#This Row],[NFI Core Kit]],Table_NFI[NFI Core Kit])</f>
        <v>0</v>
      </c>
      <c r="AA1153" s="294">
        <f>IF(NFI_Expiration=1,IF($A1153&lt;VLOOKUP(J$5,NFI,5,0),1,0)*Table_NFI[[#This Row],[Sanitary Kit]],Table_NFI[Sanitary Kit])</f>
        <v>0</v>
      </c>
      <c r="AB1153" s="294">
        <f>IF(NFI_Expiration=1,IF($A1153&lt;VLOOKUP(K$5,NFI,5,0),1,0)*Table_NFI[[#This Row],[Mosquito net]],Table_NFI[Mosquito net])</f>
        <v>0</v>
      </c>
      <c r="AC1153" s="294">
        <f>IF(NFI_Expiration=1,IF($A1153&lt;VLOOKUP(L$5,NFI,5,0),1,0)*Table_NFI[[#This Row],[Tarpaulin]],Table_NFI[[#This Row],[Tarpaulin]])</f>
        <v>0</v>
      </c>
      <c r="AD1153" s="294">
        <f>IF(NFI_Expiration=1,IF($A1153&lt;VLOOKUP(M$5,NFI,5,0),1,0)*Table_NFI[[#This Row],[Blanket]],Table_NFI[[#This Row],[Blanket]])</f>
        <v>0</v>
      </c>
      <c r="AE1153" s="294">
        <f>IF(NFI_Expiration=1,IF($A1153&lt;VLOOKUP(N$5,NFI,5,0),1,0)*Table_NFI[[#This Row],[Kitchen Set]],Table_NFI[Kitchen Set])</f>
        <v>0</v>
      </c>
      <c r="AF1153" s="294">
        <f>IF(NFI_Expiration=1,IF($A1153&lt;VLOOKUP(O$5,NFI,5,0),1,0)*Table_NFI[[#This Row],[Clothes Kit]],Table_NFI[Clothes Kit])</f>
        <v>0</v>
      </c>
      <c r="AG1153" s="294">
        <f>IF(NFI_Expiration=1,IF($A1153&lt;VLOOKUP(P$5,NFI,5,0),1,0)*Table_NFI[[#This Row],[Plastic Bucket]],Table_NFI[Plastic Bucket])</f>
        <v>0</v>
      </c>
      <c r="AH1153" s="294">
        <f>IF(NFI_Expiration=1,IF($A1153&lt;VLOOKUP(Q$5,NFI,5,0),1,0)*Table_NFI[[#This Row],[Plastic Mat]],Table_NFI[Plastic Mat])*IF(Table_NFI[[#This Row],[Distribution Date]]&gt;"2014-04-01",1,2.5)</f>
        <v>0</v>
      </c>
      <c r="AI1153" s="294">
        <f>IF(NFI_Expiration=1,IF($A1153&lt;VLOOKUP(R$5,NFI,5,0),1,0)*Table_NFI[[#This Row],[Winter Clothes Adult]],Table_NFI[Winter Clothes Adult])</f>
        <v>0</v>
      </c>
      <c r="AJ1153" s="294">
        <f>IF(NFI_Expiration=1,IF($A1153&lt;VLOOKUP(S$5,NFI,5,0),1,0)*Table_NFI[[#This Row],[Winter Clothes Children]],Table_NFI[Winter Clothes Children])</f>
        <v>0</v>
      </c>
      <c r="AK1153" s="294">
        <f>IF(NFI_Expiration=1,IF($A1153&lt;VLOOKUP(T$5,NFI,5,0),1,0)*Table_NFI[[#This Row],[Winter Items Other]],Table_NFI[Winter Items Other])</f>
        <v>0</v>
      </c>
      <c r="AL1153" s="294">
        <f>IF(NFI_Expiration=1,IF($A1153&lt;VLOOKUP(M$5,NFI,5,0),1,0)*Table_NFI[[#This Row],[Winter Blanket]],Table_NFI[[#This Row],[Winter Blanket]])</f>
        <v>0</v>
      </c>
      <c r="AM1153" s="294">
        <f>IF(Table_NFI[[#This Row],[Winter Clothes Adult]]+Table_NFI[[#This Row],[Winter Clothes Children]]+Table_NFI[[#This Row],[Winter Items Other]]+Table_NFI[[#This Row],[Winter Blanket]]&gt;0,1,0)</f>
        <v>0</v>
      </c>
      <c r="AN1153" s="331">
        <f>IF(NFI_Expiration=1,IF($A1153&lt;VLOOKUP(V$5,NFI,5,0),1,0)*Table_NFI[[#This Row],[Jerry Can]],Table_NFI[Jerry Can])</f>
        <v>0</v>
      </c>
      <c r="AO1153" s="331">
        <f>IF(NFI_Expiration=1,IF($A1153&lt;VLOOKUP(V$5,NFI,5,0),1,0)*Table_NFI[[#This Row],[Shelter Tool kit]],Table_NFI[Shelter Tool kit])</f>
        <v>0</v>
      </c>
      <c r="AP1153" s="331">
        <f>IF(NFI_Expiration=1,IF($A1153&lt;VLOOKUP(V$5,NFI,5,0),1,0)*Table_NFI[[#This Row],[Tent]],Table_NFI[Tent])</f>
        <v>0</v>
      </c>
      <c r="AQ1153" s="467" t="str">
        <f>IFERROR(VLOOKUP(Table_NFI[[#This Row],[Camp Name]],CL,2,0),"")</f>
        <v/>
      </c>
      <c r="AR1153" s="835" t="str">
        <f ca="1">IF(Table_NFI[[#This Row],[Pcode]]="","",IF(OFFSET(CampList[Opening Date],MATCH(Table_NFI[[#This Row],[Pcode]],CampList[CP_Pcode],0)-1,0,1,1)&gt;=NFI_Monitor_Date,1,0))</f>
        <v/>
      </c>
      <c r="AS1153" s="467" t="str">
        <f>IFERROR(VLOOKUP(Table_NFI[[#This Row],[Camp Name]],CL,3,0),"")</f>
        <v/>
      </c>
      <c r="AT1153" s="294" t="str">
        <f ca="1">IF(Table_NFI[[#This Row],[Pcode]]="","",OFFSET(CampList[Priority],MATCH(Table_NFI[[#This Row],[Pcode]],CampList[CP_Pcode],0)-1,0,1,1))</f>
        <v/>
      </c>
      <c r="AU1153" s="293" t="str">
        <f>IFERROR(Table_NFI[[#This Row],[Kitchen Set]]/VLOOKUP(Table_NFI[[#This Row],[Camp Name]],CL,4,0),"")</f>
        <v/>
      </c>
      <c r="AV1153" s="461"/>
      <c r="AW1153" s="463"/>
    </row>
    <row r="1154" spans="1:49" ht="14.45" customHeight="1" x14ac:dyDescent="0.25">
      <c r="A1154" s="297" t="str">
        <f t="shared" si="17"/>
        <v/>
      </c>
      <c r="B1154" s="460"/>
      <c r="C1154" s="465"/>
      <c r="D1154" s="465"/>
      <c r="E1154" s="461"/>
      <c r="F1154" s="461"/>
      <c r="G1154" s="461"/>
      <c r="H1154" s="292"/>
      <c r="I1154" s="292"/>
      <c r="J1154" s="292"/>
      <c r="K1154" s="292"/>
      <c r="L1154" s="292"/>
      <c r="M1154" s="292"/>
      <c r="N1154" s="292"/>
      <c r="O1154" s="292"/>
      <c r="P1154" s="294"/>
      <c r="Q1154" s="294"/>
      <c r="R1154" s="294"/>
      <c r="S1154" s="294"/>
      <c r="T1154" s="294"/>
      <c r="U1154" s="294"/>
      <c r="V1154" s="431"/>
      <c r="W1154" s="331"/>
      <c r="X1154" s="331"/>
      <c r="Y1154" s="294">
        <f>IF(NFI_Expiration=1,IF($A1154&lt;VLOOKUP(H$5,NFI,5,0),1,0)*Table_NFI[[#This Row],[Hygiene Kit]],Table_NFI[Hygiene Kit])</f>
        <v>0</v>
      </c>
      <c r="Z1154" s="294">
        <f>IF(NFI_Expiration=1,IF($A1154&lt;VLOOKUP(I$5,NFI,5,0),1,0)*Table_NFI[[#This Row],[NFI Core Kit]],Table_NFI[NFI Core Kit])</f>
        <v>0</v>
      </c>
      <c r="AA1154" s="294">
        <f>IF(NFI_Expiration=1,IF($A1154&lt;VLOOKUP(J$5,NFI,5,0),1,0)*Table_NFI[[#This Row],[Sanitary Kit]],Table_NFI[Sanitary Kit])</f>
        <v>0</v>
      </c>
      <c r="AB1154" s="294">
        <f>IF(NFI_Expiration=1,IF($A1154&lt;VLOOKUP(K$5,NFI,5,0),1,0)*Table_NFI[[#This Row],[Mosquito net]],Table_NFI[Mosquito net])</f>
        <v>0</v>
      </c>
      <c r="AC1154" s="294">
        <f>IF(NFI_Expiration=1,IF($A1154&lt;VLOOKUP(L$5,NFI,5,0),1,0)*Table_NFI[[#This Row],[Tarpaulin]],Table_NFI[[#This Row],[Tarpaulin]])</f>
        <v>0</v>
      </c>
      <c r="AD1154" s="294">
        <f>IF(NFI_Expiration=1,IF($A1154&lt;VLOOKUP(M$5,NFI,5,0),1,0)*Table_NFI[[#This Row],[Blanket]],Table_NFI[[#This Row],[Blanket]])</f>
        <v>0</v>
      </c>
      <c r="AE1154" s="294">
        <f>IF(NFI_Expiration=1,IF($A1154&lt;VLOOKUP(N$5,NFI,5,0),1,0)*Table_NFI[[#This Row],[Kitchen Set]],Table_NFI[Kitchen Set])</f>
        <v>0</v>
      </c>
      <c r="AF1154" s="294">
        <f>IF(NFI_Expiration=1,IF($A1154&lt;VLOOKUP(O$5,NFI,5,0),1,0)*Table_NFI[[#This Row],[Clothes Kit]],Table_NFI[Clothes Kit])</f>
        <v>0</v>
      </c>
      <c r="AG1154" s="294">
        <f>IF(NFI_Expiration=1,IF($A1154&lt;VLOOKUP(P$5,NFI,5,0),1,0)*Table_NFI[[#This Row],[Plastic Bucket]],Table_NFI[Plastic Bucket])</f>
        <v>0</v>
      </c>
      <c r="AH1154" s="294">
        <f>IF(NFI_Expiration=1,IF($A1154&lt;VLOOKUP(Q$5,NFI,5,0),1,0)*Table_NFI[[#This Row],[Plastic Mat]],Table_NFI[Plastic Mat])*IF(Table_NFI[[#This Row],[Distribution Date]]&gt;"2014-04-01",1,2.5)</f>
        <v>0</v>
      </c>
      <c r="AI1154" s="294">
        <f>IF(NFI_Expiration=1,IF($A1154&lt;VLOOKUP(R$5,NFI,5,0),1,0)*Table_NFI[[#This Row],[Winter Clothes Adult]],Table_NFI[Winter Clothes Adult])</f>
        <v>0</v>
      </c>
      <c r="AJ1154" s="294">
        <f>IF(NFI_Expiration=1,IF($A1154&lt;VLOOKUP(S$5,NFI,5,0),1,0)*Table_NFI[[#This Row],[Winter Clothes Children]],Table_NFI[Winter Clothes Children])</f>
        <v>0</v>
      </c>
      <c r="AK1154" s="294">
        <f>IF(NFI_Expiration=1,IF($A1154&lt;VLOOKUP(T$5,NFI,5,0),1,0)*Table_NFI[[#This Row],[Winter Items Other]],Table_NFI[Winter Items Other])</f>
        <v>0</v>
      </c>
      <c r="AL1154" s="294">
        <f>IF(NFI_Expiration=1,IF($A1154&lt;VLOOKUP(M$5,NFI,5,0),1,0)*Table_NFI[[#This Row],[Winter Blanket]],Table_NFI[[#This Row],[Winter Blanket]])</f>
        <v>0</v>
      </c>
      <c r="AM1154" s="294">
        <f>IF(Table_NFI[[#This Row],[Winter Clothes Adult]]+Table_NFI[[#This Row],[Winter Clothes Children]]+Table_NFI[[#This Row],[Winter Items Other]]+Table_NFI[[#This Row],[Winter Blanket]]&gt;0,1,0)</f>
        <v>0</v>
      </c>
      <c r="AN1154" s="331">
        <f>IF(NFI_Expiration=1,IF($A1154&lt;VLOOKUP(V$5,NFI,5,0),1,0)*Table_NFI[[#This Row],[Jerry Can]],Table_NFI[Jerry Can])</f>
        <v>0</v>
      </c>
      <c r="AO1154" s="331">
        <f>IF(NFI_Expiration=1,IF($A1154&lt;VLOOKUP(V$5,NFI,5,0),1,0)*Table_NFI[[#This Row],[Shelter Tool kit]],Table_NFI[Shelter Tool kit])</f>
        <v>0</v>
      </c>
      <c r="AP1154" s="331">
        <f>IF(NFI_Expiration=1,IF($A1154&lt;VLOOKUP(V$5,NFI,5,0),1,0)*Table_NFI[[#This Row],[Tent]],Table_NFI[Tent])</f>
        <v>0</v>
      </c>
      <c r="AQ1154" s="467" t="str">
        <f>IFERROR(VLOOKUP(Table_NFI[[#This Row],[Camp Name]],CL,2,0),"")</f>
        <v/>
      </c>
      <c r="AR1154" s="835" t="str">
        <f ca="1">IF(Table_NFI[[#This Row],[Pcode]]="","",IF(OFFSET(CampList[Opening Date],MATCH(Table_NFI[[#This Row],[Pcode]],CampList[CP_Pcode],0)-1,0,1,1)&gt;=NFI_Monitor_Date,1,0))</f>
        <v/>
      </c>
      <c r="AS1154" s="467" t="str">
        <f>IFERROR(VLOOKUP(Table_NFI[[#This Row],[Camp Name]],CL,3,0),"")</f>
        <v/>
      </c>
      <c r="AT1154" s="294" t="str">
        <f ca="1">IF(Table_NFI[[#This Row],[Pcode]]="","",OFFSET(CampList[Priority],MATCH(Table_NFI[[#This Row],[Pcode]],CampList[CP_Pcode],0)-1,0,1,1))</f>
        <v/>
      </c>
      <c r="AU1154" s="293" t="str">
        <f>IFERROR(Table_NFI[[#This Row],[Kitchen Set]]/VLOOKUP(Table_NFI[[#This Row],[Camp Name]],CL,4,0),"")</f>
        <v/>
      </c>
      <c r="AV1154" s="461"/>
      <c r="AW1154" s="463"/>
    </row>
    <row r="1155" spans="1:49" ht="14.45" customHeight="1" x14ac:dyDescent="0.25">
      <c r="A1155" s="297" t="str">
        <f t="shared" si="17"/>
        <v/>
      </c>
      <c r="B1155" s="460"/>
      <c r="C1155" s="461"/>
      <c r="D1155" s="461"/>
      <c r="E1155" s="461"/>
      <c r="F1155" s="461"/>
      <c r="G1155" s="461"/>
      <c r="H1155" s="291"/>
      <c r="I1155" s="291"/>
      <c r="J1155" s="291"/>
      <c r="K1155" s="291"/>
      <c r="L1155" s="292"/>
      <c r="M1155" s="292"/>
      <c r="N1155" s="292"/>
      <c r="O1155" s="292"/>
      <c r="P1155" s="294"/>
      <c r="Q1155" s="294"/>
      <c r="R1155" s="294"/>
      <c r="S1155" s="294"/>
      <c r="T1155" s="294"/>
      <c r="U1155" s="294"/>
      <c r="V1155" s="431"/>
      <c r="W1155" s="331"/>
      <c r="X1155" s="331"/>
      <c r="Y1155" s="294">
        <f>IF(NFI_Expiration=1,IF($A1155&lt;VLOOKUP(H$5,NFI,5,0),1,0)*Table_NFI[[#This Row],[Hygiene Kit]],Table_NFI[Hygiene Kit])</f>
        <v>0</v>
      </c>
      <c r="Z1155" s="294">
        <f>IF(NFI_Expiration=1,IF($A1155&lt;VLOOKUP(I$5,NFI,5,0),1,0)*Table_NFI[[#This Row],[NFI Core Kit]],Table_NFI[NFI Core Kit])</f>
        <v>0</v>
      </c>
      <c r="AA1155" s="294">
        <f>IF(NFI_Expiration=1,IF($A1155&lt;VLOOKUP(J$5,NFI,5,0),1,0)*Table_NFI[[#This Row],[Sanitary Kit]],Table_NFI[Sanitary Kit])</f>
        <v>0</v>
      </c>
      <c r="AB1155" s="294">
        <f>IF(NFI_Expiration=1,IF($A1155&lt;VLOOKUP(K$5,NFI,5,0),1,0)*Table_NFI[[#This Row],[Mosquito net]],Table_NFI[Mosquito net])</f>
        <v>0</v>
      </c>
      <c r="AC1155" s="294">
        <f>IF(NFI_Expiration=1,IF($A1155&lt;VLOOKUP(L$5,NFI,5,0),1,0)*Table_NFI[[#This Row],[Tarpaulin]],Table_NFI[[#This Row],[Tarpaulin]])</f>
        <v>0</v>
      </c>
      <c r="AD1155" s="294">
        <f>IF(NFI_Expiration=1,IF($A1155&lt;VLOOKUP(M$5,NFI,5,0),1,0)*Table_NFI[[#This Row],[Blanket]],Table_NFI[[#This Row],[Blanket]])</f>
        <v>0</v>
      </c>
      <c r="AE1155" s="294">
        <f>IF(NFI_Expiration=1,IF($A1155&lt;VLOOKUP(N$5,NFI,5,0),1,0)*Table_NFI[[#This Row],[Kitchen Set]],Table_NFI[Kitchen Set])</f>
        <v>0</v>
      </c>
      <c r="AF1155" s="294">
        <f>IF(NFI_Expiration=1,IF($A1155&lt;VLOOKUP(O$5,NFI,5,0),1,0)*Table_NFI[[#This Row],[Clothes Kit]],Table_NFI[Clothes Kit])</f>
        <v>0</v>
      </c>
      <c r="AG1155" s="294">
        <f>IF(NFI_Expiration=1,IF($A1155&lt;VLOOKUP(P$5,NFI,5,0),1,0)*Table_NFI[[#This Row],[Plastic Bucket]],Table_NFI[Plastic Bucket])</f>
        <v>0</v>
      </c>
      <c r="AH1155" s="294">
        <f>IF(NFI_Expiration=1,IF($A1155&lt;VLOOKUP(Q$5,NFI,5,0),1,0)*Table_NFI[[#This Row],[Plastic Mat]],Table_NFI[Plastic Mat])*IF(Table_NFI[[#This Row],[Distribution Date]]&gt;"2014-04-01",1,2.5)</f>
        <v>0</v>
      </c>
      <c r="AI1155" s="294">
        <f>IF(NFI_Expiration=1,IF($A1155&lt;VLOOKUP(R$5,NFI,5,0),1,0)*Table_NFI[[#This Row],[Winter Clothes Adult]],Table_NFI[Winter Clothes Adult])</f>
        <v>0</v>
      </c>
      <c r="AJ1155" s="294">
        <f>IF(NFI_Expiration=1,IF($A1155&lt;VLOOKUP(S$5,NFI,5,0),1,0)*Table_NFI[[#This Row],[Winter Clothes Children]],Table_NFI[Winter Clothes Children])</f>
        <v>0</v>
      </c>
      <c r="AK1155" s="294">
        <f>IF(NFI_Expiration=1,IF($A1155&lt;VLOOKUP(T$5,NFI,5,0),1,0)*Table_NFI[[#This Row],[Winter Items Other]],Table_NFI[Winter Items Other])</f>
        <v>0</v>
      </c>
      <c r="AL1155" s="294">
        <f>IF(NFI_Expiration=1,IF($A1155&lt;VLOOKUP(M$5,NFI,5,0),1,0)*Table_NFI[[#This Row],[Winter Blanket]],Table_NFI[[#This Row],[Winter Blanket]])</f>
        <v>0</v>
      </c>
      <c r="AM1155" s="294">
        <f>IF(Table_NFI[[#This Row],[Winter Clothes Adult]]+Table_NFI[[#This Row],[Winter Clothes Children]]+Table_NFI[[#This Row],[Winter Items Other]]+Table_NFI[[#This Row],[Winter Blanket]]&gt;0,1,0)</f>
        <v>0</v>
      </c>
      <c r="AN1155" s="331">
        <f>IF(NFI_Expiration=1,IF($A1155&lt;VLOOKUP(V$5,NFI,5,0),1,0)*Table_NFI[[#This Row],[Jerry Can]],Table_NFI[Jerry Can])</f>
        <v>0</v>
      </c>
      <c r="AO1155" s="331">
        <f>IF(NFI_Expiration=1,IF($A1155&lt;VLOOKUP(V$5,NFI,5,0),1,0)*Table_NFI[[#This Row],[Shelter Tool kit]],Table_NFI[Shelter Tool kit])</f>
        <v>0</v>
      </c>
      <c r="AP1155" s="331">
        <f>IF(NFI_Expiration=1,IF($A1155&lt;VLOOKUP(V$5,NFI,5,0),1,0)*Table_NFI[[#This Row],[Tent]],Table_NFI[Tent])</f>
        <v>0</v>
      </c>
      <c r="AQ1155" s="467" t="str">
        <f>IFERROR(VLOOKUP(Table_NFI[[#This Row],[Camp Name]],CL,2,0),"")</f>
        <v/>
      </c>
      <c r="AR1155" s="835" t="str">
        <f ca="1">IF(Table_NFI[[#This Row],[Pcode]]="","",IF(OFFSET(CampList[Opening Date],MATCH(Table_NFI[[#This Row],[Pcode]],CampList[CP_Pcode],0)-1,0,1,1)&gt;=NFI_Monitor_Date,1,0))</f>
        <v/>
      </c>
      <c r="AS1155" s="467" t="str">
        <f>IFERROR(VLOOKUP(Table_NFI[[#This Row],[Camp Name]],CL,3,0),"")</f>
        <v/>
      </c>
      <c r="AT1155" s="294" t="str">
        <f ca="1">IF(Table_NFI[[#This Row],[Pcode]]="","",OFFSET(CampList[Priority],MATCH(Table_NFI[[#This Row],[Pcode]],CampList[CP_Pcode],0)-1,0,1,1))</f>
        <v/>
      </c>
      <c r="AU1155" s="293" t="str">
        <f>IFERROR(Table_NFI[[#This Row],[Kitchen Set]]/VLOOKUP(Table_NFI[[#This Row],[Camp Name]],CL,4,0),"")</f>
        <v/>
      </c>
      <c r="AV1155" s="465"/>
      <c r="AW1155" s="468"/>
    </row>
    <row r="1156" spans="1:49" ht="14.45" customHeight="1" x14ac:dyDescent="0.25">
      <c r="A1156" s="297" t="str">
        <f t="shared" si="17"/>
        <v/>
      </c>
      <c r="B1156" s="460"/>
      <c r="C1156" s="461"/>
      <c r="D1156" s="461"/>
      <c r="E1156" s="461"/>
      <c r="F1156" s="461"/>
      <c r="G1156" s="461"/>
      <c r="H1156" s="291"/>
      <c r="I1156" s="291"/>
      <c r="J1156" s="291"/>
      <c r="K1156" s="291"/>
      <c r="L1156" s="292"/>
      <c r="M1156" s="292"/>
      <c r="N1156" s="292"/>
      <c r="O1156" s="292"/>
      <c r="P1156" s="294"/>
      <c r="Q1156" s="294"/>
      <c r="R1156" s="294"/>
      <c r="S1156" s="294"/>
      <c r="T1156" s="294"/>
      <c r="U1156" s="294"/>
      <c r="V1156" s="431"/>
      <c r="W1156" s="331"/>
      <c r="X1156" s="331"/>
      <c r="Y1156" s="294">
        <f>IF(NFI_Expiration=1,IF($A1156&lt;VLOOKUP(H$5,NFI,5,0),1,0)*Table_NFI[[#This Row],[Hygiene Kit]],Table_NFI[Hygiene Kit])</f>
        <v>0</v>
      </c>
      <c r="Z1156" s="294">
        <f>IF(NFI_Expiration=1,IF($A1156&lt;VLOOKUP(I$5,NFI,5,0),1,0)*Table_NFI[[#This Row],[NFI Core Kit]],Table_NFI[NFI Core Kit])</f>
        <v>0</v>
      </c>
      <c r="AA1156" s="294">
        <f>IF(NFI_Expiration=1,IF($A1156&lt;VLOOKUP(J$5,NFI,5,0),1,0)*Table_NFI[[#This Row],[Sanitary Kit]],Table_NFI[Sanitary Kit])</f>
        <v>0</v>
      </c>
      <c r="AB1156" s="294">
        <f>IF(NFI_Expiration=1,IF($A1156&lt;VLOOKUP(K$5,NFI,5,0),1,0)*Table_NFI[[#This Row],[Mosquito net]],Table_NFI[Mosquito net])</f>
        <v>0</v>
      </c>
      <c r="AC1156" s="294">
        <f>IF(NFI_Expiration=1,IF($A1156&lt;VLOOKUP(L$5,NFI,5,0),1,0)*Table_NFI[[#This Row],[Tarpaulin]],Table_NFI[[#This Row],[Tarpaulin]])</f>
        <v>0</v>
      </c>
      <c r="AD1156" s="294">
        <f>IF(NFI_Expiration=1,IF($A1156&lt;VLOOKUP(M$5,NFI,5,0),1,0)*Table_NFI[[#This Row],[Blanket]],Table_NFI[[#This Row],[Blanket]])</f>
        <v>0</v>
      </c>
      <c r="AE1156" s="294">
        <f>IF(NFI_Expiration=1,IF($A1156&lt;VLOOKUP(N$5,NFI,5,0),1,0)*Table_NFI[[#This Row],[Kitchen Set]],Table_NFI[Kitchen Set])</f>
        <v>0</v>
      </c>
      <c r="AF1156" s="294">
        <f>IF(NFI_Expiration=1,IF($A1156&lt;VLOOKUP(O$5,NFI,5,0),1,0)*Table_NFI[[#This Row],[Clothes Kit]],Table_NFI[Clothes Kit])</f>
        <v>0</v>
      </c>
      <c r="AG1156" s="294">
        <f>IF(NFI_Expiration=1,IF($A1156&lt;VLOOKUP(P$5,NFI,5,0),1,0)*Table_NFI[[#This Row],[Plastic Bucket]],Table_NFI[Plastic Bucket])</f>
        <v>0</v>
      </c>
      <c r="AH1156" s="294">
        <f>IF(NFI_Expiration=1,IF($A1156&lt;VLOOKUP(Q$5,NFI,5,0),1,0)*Table_NFI[[#This Row],[Plastic Mat]],Table_NFI[Plastic Mat])*IF(Table_NFI[[#This Row],[Distribution Date]]&gt;"2014-04-01",1,2.5)</f>
        <v>0</v>
      </c>
      <c r="AI1156" s="294">
        <f>IF(NFI_Expiration=1,IF($A1156&lt;VLOOKUP(R$5,NFI,5,0),1,0)*Table_NFI[[#This Row],[Winter Clothes Adult]],Table_NFI[Winter Clothes Adult])</f>
        <v>0</v>
      </c>
      <c r="AJ1156" s="294">
        <f>IF(NFI_Expiration=1,IF($A1156&lt;VLOOKUP(S$5,NFI,5,0),1,0)*Table_NFI[[#This Row],[Winter Clothes Children]],Table_NFI[Winter Clothes Children])</f>
        <v>0</v>
      </c>
      <c r="AK1156" s="294">
        <f>IF(NFI_Expiration=1,IF($A1156&lt;VLOOKUP(T$5,NFI,5,0),1,0)*Table_NFI[[#This Row],[Winter Items Other]],Table_NFI[Winter Items Other])</f>
        <v>0</v>
      </c>
      <c r="AL1156" s="294">
        <f>IF(NFI_Expiration=1,IF($A1156&lt;VLOOKUP(M$5,NFI,5,0),1,0)*Table_NFI[[#This Row],[Winter Blanket]],Table_NFI[[#This Row],[Winter Blanket]])</f>
        <v>0</v>
      </c>
      <c r="AM1156" s="294">
        <f>IF(Table_NFI[[#This Row],[Winter Clothes Adult]]+Table_NFI[[#This Row],[Winter Clothes Children]]+Table_NFI[[#This Row],[Winter Items Other]]+Table_NFI[[#This Row],[Winter Blanket]]&gt;0,1,0)</f>
        <v>0</v>
      </c>
      <c r="AN1156" s="331">
        <f>IF(NFI_Expiration=1,IF($A1156&lt;VLOOKUP(V$5,NFI,5,0),1,0)*Table_NFI[[#This Row],[Jerry Can]],Table_NFI[Jerry Can])</f>
        <v>0</v>
      </c>
      <c r="AO1156" s="331">
        <f>IF(NFI_Expiration=1,IF($A1156&lt;VLOOKUP(V$5,NFI,5,0),1,0)*Table_NFI[[#This Row],[Shelter Tool kit]],Table_NFI[Shelter Tool kit])</f>
        <v>0</v>
      </c>
      <c r="AP1156" s="331">
        <f>IF(NFI_Expiration=1,IF($A1156&lt;VLOOKUP(V$5,NFI,5,0),1,0)*Table_NFI[[#This Row],[Tent]],Table_NFI[Tent])</f>
        <v>0</v>
      </c>
      <c r="AQ1156" s="467" t="str">
        <f>IFERROR(VLOOKUP(Table_NFI[[#This Row],[Camp Name]],CL,2,0),"")</f>
        <v/>
      </c>
      <c r="AR1156" s="835" t="str">
        <f ca="1">IF(Table_NFI[[#This Row],[Pcode]]="","",IF(OFFSET(CampList[Opening Date],MATCH(Table_NFI[[#This Row],[Pcode]],CampList[CP_Pcode],0)-1,0,1,1)&gt;=NFI_Monitor_Date,1,0))</f>
        <v/>
      </c>
      <c r="AS1156" s="467" t="str">
        <f>IFERROR(VLOOKUP(Table_NFI[[#This Row],[Camp Name]],CL,3,0),"")</f>
        <v/>
      </c>
      <c r="AT1156" s="294" t="str">
        <f ca="1">IF(Table_NFI[[#This Row],[Pcode]]="","",OFFSET(CampList[Priority],MATCH(Table_NFI[[#This Row],[Pcode]],CampList[CP_Pcode],0)-1,0,1,1))</f>
        <v/>
      </c>
      <c r="AU1156" s="293" t="str">
        <f>IFERROR(Table_NFI[[#This Row],[Kitchen Set]]/VLOOKUP(Table_NFI[[#This Row],[Camp Name]],CL,4,0),"")</f>
        <v/>
      </c>
      <c r="AV1156" s="461"/>
      <c r="AW1156" s="463"/>
    </row>
    <row r="1157" spans="1:49" ht="14.45" customHeight="1" x14ac:dyDescent="0.25">
      <c r="A1157" s="297" t="str">
        <f t="shared" si="17"/>
        <v/>
      </c>
      <c r="B1157" s="460"/>
      <c r="C1157" s="461"/>
      <c r="D1157" s="461"/>
      <c r="E1157" s="461"/>
      <c r="F1157" s="461"/>
      <c r="G1157" s="461"/>
      <c r="H1157" s="291"/>
      <c r="I1157" s="291"/>
      <c r="J1157" s="291"/>
      <c r="K1157" s="291"/>
      <c r="L1157" s="292"/>
      <c r="M1157" s="292"/>
      <c r="N1157" s="292"/>
      <c r="O1157" s="292"/>
      <c r="P1157" s="294"/>
      <c r="Q1157" s="294"/>
      <c r="R1157" s="294"/>
      <c r="S1157" s="294"/>
      <c r="T1157" s="294"/>
      <c r="U1157" s="294"/>
      <c r="V1157" s="431"/>
      <c r="W1157" s="331"/>
      <c r="X1157" s="331"/>
      <c r="Y1157" s="294">
        <f>IF(NFI_Expiration=1,IF($A1157&lt;VLOOKUP(H$5,NFI,5,0),1,0)*Table_NFI[[#This Row],[Hygiene Kit]],Table_NFI[Hygiene Kit])</f>
        <v>0</v>
      </c>
      <c r="Z1157" s="294">
        <f>IF(NFI_Expiration=1,IF($A1157&lt;VLOOKUP(I$5,NFI,5,0),1,0)*Table_NFI[[#This Row],[NFI Core Kit]],Table_NFI[NFI Core Kit])</f>
        <v>0</v>
      </c>
      <c r="AA1157" s="294">
        <f>IF(NFI_Expiration=1,IF($A1157&lt;VLOOKUP(J$5,NFI,5,0),1,0)*Table_NFI[[#This Row],[Sanitary Kit]],Table_NFI[Sanitary Kit])</f>
        <v>0</v>
      </c>
      <c r="AB1157" s="294">
        <f>IF(NFI_Expiration=1,IF($A1157&lt;VLOOKUP(K$5,NFI,5,0),1,0)*Table_NFI[[#This Row],[Mosquito net]],Table_NFI[Mosquito net])</f>
        <v>0</v>
      </c>
      <c r="AC1157" s="294">
        <f>IF(NFI_Expiration=1,IF($A1157&lt;VLOOKUP(L$5,NFI,5,0),1,0)*Table_NFI[[#This Row],[Tarpaulin]],Table_NFI[[#This Row],[Tarpaulin]])</f>
        <v>0</v>
      </c>
      <c r="AD1157" s="294">
        <f>IF(NFI_Expiration=1,IF($A1157&lt;VLOOKUP(M$5,NFI,5,0),1,0)*Table_NFI[[#This Row],[Blanket]],Table_NFI[[#This Row],[Blanket]])</f>
        <v>0</v>
      </c>
      <c r="AE1157" s="294">
        <f>IF(NFI_Expiration=1,IF($A1157&lt;VLOOKUP(N$5,NFI,5,0),1,0)*Table_NFI[[#This Row],[Kitchen Set]],Table_NFI[Kitchen Set])</f>
        <v>0</v>
      </c>
      <c r="AF1157" s="294">
        <f>IF(NFI_Expiration=1,IF($A1157&lt;VLOOKUP(O$5,NFI,5,0),1,0)*Table_NFI[[#This Row],[Clothes Kit]],Table_NFI[Clothes Kit])</f>
        <v>0</v>
      </c>
      <c r="AG1157" s="294">
        <f>IF(NFI_Expiration=1,IF($A1157&lt;VLOOKUP(P$5,NFI,5,0),1,0)*Table_NFI[[#This Row],[Plastic Bucket]],Table_NFI[Plastic Bucket])</f>
        <v>0</v>
      </c>
      <c r="AH1157" s="294">
        <f>IF(NFI_Expiration=1,IF($A1157&lt;VLOOKUP(Q$5,NFI,5,0),1,0)*Table_NFI[[#This Row],[Plastic Mat]],Table_NFI[Plastic Mat])*IF(Table_NFI[[#This Row],[Distribution Date]]&gt;"2014-04-01",1,2.5)</f>
        <v>0</v>
      </c>
      <c r="AI1157" s="294">
        <f>IF(NFI_Expiration=1,IF($A1157&lt;VLOOKUP(R$5,NFI,5,0),1,0)*Table_NFI[[#This Row],[Winter Clothes Adult]],Table_NFI[Winter Clothes Adult])</f>
        <v>0</v>
      </c>
      <c r="AJ1157" s="294">
        <f>IF(NFI_Expiration=1,IF($A1157&lt;VLOOKUP(S$5,NFI,5,0),1,0)*Table_NFI[[#This Row],[Winter Clothes Children]],Table_NFI[Winter Clothes Children])</f>
        <v>0</v>
      </c>
      <c r="AK1157" s="294">
        <f>IF(NFI_Expiration=1,IF($A1157&lt;VLOOKUP(T$5,NFI,5,0),1,0)*Table_NFI[[#This Row],[Winter Items Other]],Table_NFI[Winter Items Other])</f>
        <v>0</v>
      </c>
      <c r="AL1157" s="294">
        <f>IF(NFI_Expiration=1,IF($A1157&lt;VLOOKUP(M$5,NFI,5,0),1,0)*Table_NFI[[#This Row],[Winter Blanket]],Table_NFI[[#This Row],[Winter Blanket]])</f>
        <v>0</v>
      </c>
      <c r="AM1157" s="294">
        <f>IF(Table_NFI[[#This Row],[Winter Clothes Adult]]+Table_NFI[[#This Row],[Winter Clothes Children]]+Table_NFI[[#This Row],[Winter Items Other]]+Table_NFI[[#This Row],[Winter Blanket]]&gt;0,1,0)</f>
        <v>0</v>
      </c>
      <c r="AN1157" s="331">
        <f>IF(NFI_Expiration=1,IF($A1157&lt;VLOOKUP(V$5,NFI,5,0),1,0)*Table_NFI[[#This Row],[Jerry Can]],Table_NFI[Jerry Can])</f>
        <v>0</v>
      </c>
      <c r="AO1157" s="331">
        <f>IF(NFI_Expiration=1,IF($A1157&lt;VLOOKUP(V$5,NFI,5,0),1,0)*Table_NFI[[#This Row],[Shelter Tool kit]],Table_NFI[Shelter Tool kit])</f>
        <v>0</v>
      </c>
      <c r="AP1157" s="331">
        <f>IF(NFI_Expiration=1,IF($A1157&lt;VLOOKUP(V$5,NFI,5,0),1,0)*Table_NFI[[#This Row],[Tent]],Table_NFI[Tent])</f>
        <v>0</v>
      </c>
      <c r="AQ1157" s="467" t="str">
        <f>IFERROR(VLOOKUP(Table_NFI[[#This Row],[Camp Name]],CL,2,0),"")</f>
        <v/>
      </c>
      <c r="AR1157" s="835" t="str">
        <f ca="1">IF(Table_NFI[[#This Row],[Pcode]]="","",IF(OFFSET(CampList[Opening Date],MATCH(Table_NFI[[#This Row],[Pcode]],CampList[CP_Pcode],0)-1,0,1,1)&gt;=NFI_Monitor_Date,1,0))</f>
        <v/>
      </c>
      <c r="AS1157" s="467" t="str">
        <f>IFERROR(VLOOKUP(Table_NFI[[#This Row],[Camp Name]],CL,3,0),"")</f>
        <v/>
      </c>
      <c r="AT1157" s="294" t="str">
        <f ca="1">IF(Table_NFI[[#This Row],[Pcode]]="","",OFFSET(CampList[Priority],MATCH(Table_NFI[[#This Row],[Pcode]],CampList[CP_Pcode],0)-1,0,1,1))</f>
        <v/>
      </c>
      <c r="AU1157" s="293" t="str">
        <f>IFERROR(Table_NFI[[#This Row],[Kitchen Set]]/VLOOKUP(Table_NFI[[#This Row],[Camp Name]],CL,4,0),"")</f>
        <v/>
      </c>
      <c r="AV1157" s="465"/>
      <c r="AW1157" s="468"/>
    </row>
    <row r="1158" spans="1:49" ht="14.45" customHeight="1" x14ac:dyDescent="0.25">
      <c r="A1158" s="297" t="str">
        <f t="shared" ref="A1158:A1221" si="18">IF(ISBLANK(B1158),"",(Report_Date-B1158)/30)</f>
        <v/>
      </c>
      <c r="B1158" s="460"/>
      <c r="C1158" s="461"/>
      <c r="D1158" s="465"/>
      <c r="E1158" s="465"/>
      <c r="F1158" s="465"/>
      <c r="G1158" s="465"/>
      <c r="H1158" s="292"/>
      <c r="I1158" s="292"/>
      <c r="J1158" s="292"/>
      <c r="K1158" s="292"/>
      <c r="L1158" s="292"/>
      <c r="M1158" s="292"/>
      <c r="N1158" s="292"/>
      <c r="O1158" s="292"/>
      <c r="P1158" s="294"/>
      <c r="Q1158" s="294"/>
      <c r="R1158" s="294"/>
      <c r="S1158" s="294"/>
      <c r="T1158" s="294"/>
      <c r="U1158" s="294"/>
      <c r="V1158" s="431"/>
      <c r="W1158" s="331"/>
      <c r="X1158" s="331"/>
      <c r="Y1158" s="294">
        <f>IF(NFI_Expiration=1,IF($A1158&lt;VLOOKUP(H$5,NFI,5,0),1,0)*Table_NFI[[#This Row],[Hygiene Kit]],Table_NFI[Hygiene Kit])</f>
        <v>0</v>
      </c>
      <c r="Z1158" s="294">
        <f>IF(NFI_Expiration=1,IF($A1158&lt;VLOOKUP(I$5,NFI,5,0),1,0)*Table_NFI[[#This Row],[NFI Core Kit]],Table_NFI[NFI Core Kit])</f>
        <v>0</v>
      </c>
      <c r="AA1158" s="294">
        <f>IF(NFI_Expiration=1,IF($A1158&lt;VLOOKUP(J$5,NFI,5,0),1,0)*Table_NFI[[#This Row],[Sanitary Kit]],Table_NFI[Sanitary Kit])</f>
        <v>0</v>
      </c>
      <c r="AB1158" s="294">
        <f>IF(NFI_Expiration=1,IF($A1158&lt;VLOOKUP(K$5,NFI,5,0),1,0)*Table_NFI[[#This Row],[Mosquito net]],Table_NFI[Mosquito net])</f>
        <v>0</v>
      </c>
      <c r="AC1158" s="294">
        <f>IF(NFI_Expiration=1,IF($A1158&lt;VLOOKUP(L$5,NFI,5,0),1,0)*Table_NFI[[#This Row],[Tarpaulin]],Table_NFI[[#This Row],[Tarpaulin]])</f>
        <v>0</v>
      </c>
      <c r="AD1158" s="294">
        <f>IF(NFI_Expiration=1,IF($A1158&lt;VLOOKUP(M$5,NFI,5,0),1,0)*Table_NFI[[#This Row],[Blanket]],Table_NFI[[#This Row],[Blanket]])</f>
        <v>0</v>
      </c>
      <c r="AE1158" s="294">
        <f>IF(NFI_Expiration=1,IF($A1158&lt;VLOOKUP(N$5,NFI,5,0),1,0)*Table_NFI[[#This Row],[Kitchen Set]],Table_NFI[Kitchen Set])</f>
        <v>0</v>
      </c>
      <c r="AF1158" s="294">
        <f>IF(NFI_Expiration=1,IF($A1158&lt;VLOOKUP(O$5,NFI,5,0),1,0)*Table_NFI[[#This Row],[Clothes Kit]],Table_NFI[Clothes Kit])</f>
        <v>0</v>
      </c>
      <c r="AG1158" s="294">
        <f>IF(NFI_Expiration=1,IF($A1158&lt;VLOOKUP(P$5,NFI,5,0),1,0)*Table_NFI[[#This Row],[Plastic Bucket]],Table_NFI[Plastic Bucket])</f>
        <v>0</v>
      </c>
      <c r="AH1158" s="294">
        <f>IF(NFI_Expiration=1,IF($A1158&lt;VLOOKUP(Q$5,NFI,5,0),1,0)*Table_NFI[[#This Row],[Plastic Mat]],Table_NFI[Plastic Mat])*IF(Table_NFI[[#This Row],[Distribution Date]]&gt;"2014-04-01",1,2.5)</f>
        <v>0</v>
      </c>
      <c r="AI1158" s="294">
        <f>IF(NFI_Expiration=1,IF($A1158&lt;VLOOKUP(R$5,NFI,5,0),1,0)*Table_NFI[[#This Row],[Winter Clothes Adult]],Table_NFI[Winter Clothes Adult])</f>
        <v>0</v>
      </c>
      <c r="AJ1158" s="294">
        <f>IF(NFI_Expiration=1,IF($A1158&lt;VLOOKUP(S$5,NFI,5,0),1,0)*Table_NFI[[#This Row],[Winter Clothes Children]],Table_NFI[Winter Clothes Children])</f>
        <v>0</v>
      </c>
      <c r="AK1158" s="294">
        <f>IF(NFI_Expiration=1,IF($A1158&lt;VLOOKUP(T$5,NFI,5,0),1,0)*Table_NFI[[#This Row],[Winter Items Other]],Table_NFI[Winter Items Other])</f>
        <v>0</v>
      </c>
      <c r="AL1158" s="294">
        <f>IF(NFI_Expiration=1,IF($A1158&lt;VLOOKUP(M$5,NFI,5,0),1,0)*Table_NFI[[#This Row],[Winter Blanket]],Table_NFI[[#This Row],[Winter Blanket]])</f>
        <v>0</v>
      </c>
      <c r="AM1158" s="294">
        <f>IF(Table_NFI[[#This Row],[Winter Clothes Adult]]+Table_NFI[[#This Row],[Winter Clothes Children]]+Table_NFI[[#This Row],[Winter Items Other]]+Table_NFI[[#This Row],[Winter Blanket]]&gt;0,1,0)</f>
        <v>0</v>
      </c>
      <c r="AN1158" s="331">
        <f>IF(NFI_Expiration=1,IF($A1158&lt;VLOOKUP(V$5,NFI,5,0),1,0)*Table_NFI[[#This Row],[Jerry Can]],Table_NFI[Jerry Can])</f>
        <v>0</v>
      </c>
      <c r="AO1158" s="331">
        <f>IF(NFI_Expiration=1,IF($A1158&lt;VLOOKUP(V$5,NFI,5,0),1,0)*Table_NFI[[#This Row],[Shelter Tool kit]],Table_NFI[Shelter Tool kit])</f>
        <v>0</v>
      </c>
      <c r="AP1158" s="331">
        <f>IF(NFI_Expiration=1,IF($A1158&lt;VLOOKUP(V$5,NFI,5,0),1,0)*Table_NFI[[#This Row],[Tent]],Table_NFI[Tent])</f>
        <v>0</v>
      </c>
      <c r="AQ1158" s="467" t="str">
        <f>IFERROR(VLOOKUP(Table_NFI[[#This Row],[Camp Name]],CL,2,0),"")</f>
        <v/>
      </c>
      <c r="AR1158" s="835" t="str">
        <f ca="1">IF(Table_NFI[[#This Row],[Pcode]]="","",IF(OFFSET(CampList[Opening Date],MATCH(Table_NFI[[#This Row],[Pcode]],CampList[CP_Pcode],0)-1,0,1,1)&gt;=NFI_Monitor_Date,1,0))</f>
        <v/>
      </c>
      <c r="AS1158" s="467" t="str">
        <f>IFERROR(VLOOKUP(Table_NFI[[#This Row],[Camp Name]],CL,3,0),"")</f>
        <v/>
      </c>
      <c r="AT1158" s="294" t="str">
        <f ca="1">IF(Table_NFI[[#This Row],[Pcode]]="","",OFFSET(CampList[Priority],MATCH(Table_NFI[[#This Row],[Pcode]],CampList[CP_Pcode],0)-1,0,1,1))</f>
        <v/>
      </c>
      <c r="AU1158" s="293" t="str">
        <f>IFERROR(Table_NFI[[#This Row],[Kitchen Set]]/VLOOKUP(Table_NFI[[#This Row],[Camp Name]],CL,4,0),"")</f>
        <v/>
      </c>
      <c r="AV1158" s="461"/>
      <c r="AW1158" s="479"/>
    </row>
    <row r="1159" spans="1:49" ht="14.45" customHeight="1" x14ac:dyDescent="0.25">
      <c r="A1159" s="297" t="str">
        <f t="shared" si="18"/>
        <v/>
      </c>
      <c r="B1159" s="460"/>
      <c r="C1159" s="461"/>
      <c r="D1159" s="465"/>
      <c r="E1159" s="465"/>
      <c r="F1159" s="465"/>
      <c r="G1159" s="465"/>
      <c r="H1159" s="292"/>
      <c r="I1159" s="292"/>
      <c r="J1159" s="292"/>
      <c r="K1159" s="292"/>
      <c r="L1159" s="292"/>
      <c r="M1159" s="292"/>
      <c r="N1159" s="292"/>
      <c r="O1159" s="292"/>
      <c r="P1159" s="294"/>
      <c r="Q1159" s="294"/>
      <c r="R1159" s="294"/>
      <c r="S1159" s="294"/>
      <c r="T1159" s="294"/>
      <c r="U1159" s="294"/>
      <c r="V1159" s="431"/>
      <c r="W1159" s="331"/>
      <c r="X1159" s="331"/>
      <c r="Y1159" s="294">
        <f>IF(NFI_Expiration=1,IF($A1159&lt;VLOOKUP(H$5,NFI,5,0),1,0)*Table_NFI[[#This Row],[Hygiene Kit]],Table_NFI[Hygiene Kit])</f>
        <v>0</v>
      </c>
      <c r="Z1159" s="294">
        <f>IF(NFI_Expiration=1,IF($A1159&lt;VLOOKUP(I$5,NFI,5,0),1,0)*Table_NFI[[#This Row],[NFI Core Kit]],Table_NFI[NFI Core Kit])</f>
        <v>0</v>
      </c>
      <c r="AA1159" s="294">
        <f>IF(NFI_Expiration=1,IF($A1159&lt;VLOOKUP(J$5,NFI,5,0),1,0)*Table_NFI[[#This Row],[Sanitary Kit]],Table_NFI[Sanitary Kit])</f>
        <v>0</v>
      </c>
      <c r="AB1159" s="294">
        <f>IF(NFI_Expiration=1,IF($A1159&lt;VLOOKUP(K$5,NFI,5,0),1,0)*Table_NFI[[#This Row],[Mosquito net]],Table_NFI[Mosquito net])</f>
        <v>0</v>
      </c>
      <c r="AC1159" s="294">
        <f>IF(NFI_Expiration=1,IF($A1159&lt;VLOOKUP(L$5,NFI,5,0),1,0)*Table_NFI[[#This Row],[Tarpaulin]],Table_NFI[[#This Row],[Tarpaulin]])</f>
        <v>0</v>
      </c>
      <c r="AD1159" s="294">
        <f>IF(NFI_Expiration=1,IF($A1159&lt;VLOOKUP(M$5,NFI,5,0),1,0)*Table_NFI[[#This Row],[Blanket]],Table_NFI[[#This Row],[Blanket]])</f>
        <v>0</v>
      </c>
      <c r="AE1159" s="294">
        <f>IF(NFI_Expiration=1,IF($A1159&lt;VLOOKUP(N$5,NFI,5,0),1,0)*Table_NFI[[#This Row],[Kitchen Set]],Table_NFI[Kitchen Set])</f>
        <v>0</v>
      </c>
      <c r="AF1159" s="294">
        <f>IF(NFI_Expiration=1,IF($A1159&lt;VLOOKUP(O$5,NFI,5,0),1,0)*Table_NFI[[#This Row],[Clothes Kit]],Table_NFI[Clothes Kit])</f>
        <v>0</v>
      </c>
      <c r="AG1159" s="294">
        <f>IF(NFI_Expiration=1,IF($A1159&lt;VLOOKUP(P$5,NFI,5,0),1,0)*Table_NFI[[#This Row],[Plastic Bucket]],Table_NFI[Plastic Bucket])</f>
        <v>0</v>
      </c>
      <c r="AH1159" s="294">
        <f>IF(NFI_Expiration=1,IF($A1159&lt;VLOOKUP(Q$5,NFI,5,0),1,0)*Table_NFI[[#This Row],[Plastic Mat]],Table_NFI[Plastic Mat])*IF(Table_NFI[[#This Row],[Distribution Date]]&gt;"2014-04-01",1,2.5)</f>
        <v>0</v>
      </c>
      <c r="AI1159" s="294">
        <f>IF(NFI_Expiration=1,IF($A1159&lt;VLOOKUP(R$5,NFI,5,0),1,0)*Table_NFI[[#This Row],[Winter Clothes Adult]],Table_NFI[Winter Clothes Adult])</f>
        <v>0</v>
      </c>
      <c r="AJ1159" s="294">
        <f>IF(NFI_Expiration=1,IF($A1159&lt;VLOOKUP(S$5,NFI,5,0),1,0)*Table_NFI[[#This Row],[Winter Clothes Children]],Table_NFI[Winter Clothes Children])</f>
        <v>0</v>
      </c>
      <c r="AK1159" s="294">
        <f>IF(NFI_Expiration=1,IF($A1159&lt;VLOOKUP(T$5,NFI,5,0),1,0)*Table_NFI[[#This Row],[Winter Items Other]],Table_NFI[Winter Items Other])</f>
        <v>0</v>
      </c>
      <c r="AL1159" s="294">
        <f>IF(NFI_Expiration=1,IF($A1159&lt;VLOOKUP(M$5,NFI,5,0),1,0)*Table_NFI[[#This Row],[Winter Blanket]],Table_NFI[[#This Row],[Winter Blanket]])</f>
        <v>0</v>
      </c>
      <c r="AM1159" s="294">
        <f>IF(Table_NFI[[#This Row],[Winter Clothes Adult]]+Table_NFI[[#This Row],[Winter Clothes Children]]+Table_NFI[[#This Row],[Winter Items Other]]+Table_NFI[[#This Row],[Winter Blanket]]&gt;0,1,0)</f>
        <v>0</v>
      </c>
      <c r="AN1159" s="331">
        <f>IF(NFI_Expiration=1,IF($A1159&lt;VLOOKUP(V$5,NFI,5,0),1,0)*Table_NFI[[#This Row],[Jerry Can]],Table_NFI[Jerry Can])</f>
        <v>0</v>
      </c>
      <c r="AO1159" s="331">
        <f>IF(NFI_Expiration=1,IF($A1159&lt;VLOOKUP(V$5,NFI,5,0),1,0)*Table_NFI[[#This Row],[Shelter Tool kit]],Table_NFI[Shelter Tool kit])</f>
        <v>0</v>
      </c>
      <c r="AP1159" s="331">
        <f>IF(NFI_Expiration=1,IF($A1159&lt;VLOOKUP(V$5,NFI,5,0),1,0)*Table_NFI[[#This Row],[Tent]],Table_NFI[Tent])</f>
        <v>0</v>
      </c>
      <c r="AQ1159" s="467" t="str">
        <f>IFERROR(VLOOKUP(Table_NFI[[#This Row],[Camp Name]],CL,2,0),"")</f>
        <v/>
      </c>
      <c r="AR1159" s="835" t="str">
        <f ca="1">IF(Table_NFI[[#This Row],[Pcode]]="","",IF(OFFSET(CampList[Opening Date],MATCH(Table_NFI[[#This Row],[Pcode]],CampList[CP_Pcode],0)-1,0,1,1)&gt;=NFI_Monitor_Date,1,0))</f>
        <v/>
      </c>
      <c r="AS1159" s="467" t="str">
        <f>IFERROR(VLOOKUP(Table_NFI[[#This Row],[Camp Name]],CL,3,0),"")</f>
        <v/>
      </c>
      <c r="AT1159" s="294" t="str">
        <f ca="1">IF(Table_NFI[[#This Row],[Pcode]]="","",OFFSET(CampList[Priority],MATCH(Table_NFI[[#This Row],[Pcode]],CampList[CP_Pcode],0)-1,0,1,1))</f>
        <v/>
      </c>
      <c r="AU1159" s="293" t="str">
        <f>IFERROR(Table_NFI[[#This Row],[Kitchen Set]]/VLOOKUP(Table_NFI[[#This Row],[Camp Name]],CL,4,0),"")</f>
        <v/>
      </c>
      <c r="AV1159" s="465"/>
      <c r="AW1159" s="483"/>
    </row>
    <row r="1160" spans="1:49" ht="14.45" customHeight="1" x14ac:dyDescent="0.25">
      <c r="A1160" s="297" t="str">
        <f t="shared" si="18"/>
        <v/>
      </c>
      <c r="B1160" s="460"/>
      <c r="C1160" s="461"/>
      <c r="D1160" s="465"/>
      <c r="E1160" s="465"/>
      <c r="F1160" s="465"/>
      <c r="G1160" s="465"/>
      <c r="H1160" s="292"/>
      <c r="I1160" s="292"/>
      <c r="J1160" s="292"/>
      <c r="K1160" s="292"/>
      <c r="L1160" s="292"/>
      <c r="M1160" s="292"/>
      <c r="N1160" s="292"/>
      <c r="O1160" s="292"/>
      <c r="P1160" s="294"/>
      <c r="Q1160" s="294"/>
      <c r="R1160" s="294"/>
      <c r="S1160" s="294"/>
      <c r="T1160" s="294"/>
      <c r="U1160" s="294"/>
      <c r="V1160" s="431"/>
      <c r="W1160" s="331"/>
      <c r="X1160" s="331"/>
      <c r="Y1160" s="294">
        <f>IF(NFI_Expiration=1,IF($A1160&lt;VLOOKUP(H$5,NFI,5,0),1,0)*Table_NFI[[#This Row],[Hygiene Kit]],Table_NFI[Hygiene Kit])</f>
        <v>0</v>
      </c>
      <c r="Z1160" s="294">
        <f>IF(NFI_Expiration=1,IF($A1160&lt;VLOOKUP(I$5,NFI,5,0),1,0)*Table_NFI[[#This Row],[NFI Core Kit]],Table_NFI[NFI Core Kit])</f>
        <v>0</v>
      </c>
      <c r="AA1160" s="294">
        <f>IF(NFI_Expiration=1,IF($A1160&lt;VLOOKUP(J$5,NFI,5,0),1,0)*Table_NFI[[#This Row],[Sanitary Kit]],Table_NFI[Sanitary Kit])</f>
        <v>0</v>
      </c>
      <c r="AB1160" s="294">
        <f>IF(NFI_Expiration=1,IF($A1160&lt;VLOOKUP(K$5,NFI,5,0),1,0)*Table_NFI[[#This Row],[Mosquito net]],Table_NFI[Mosquito net])</f>
        <v>0</v>
      </c>
      <c r="AC1160" s="294">
        <f>IF(NFI_Expiration=1,IF($A1160&lt;VLOOKUP(L$5,NFI,5,0),1,0)*Table_NFI[[#This Row],[Tarpaulin]],Table_NFI[[#This Row],[Tarpaulin]])</f>
        <v>0</v>
      </c>
      <c r="AD1160" s="294">
        <f>IF(NFI_Expiration=1,IF($A1160&lt;VLOOKUP(M$5,NFI,5,0),1,0)*Table_NFI[[#This Row],[Blanket]],Table_NFI[[#This Row],[Blanket]])</f>
        <v>0</v>
      </c>
      <c r="AE1160" s="294">
        <f>IF(NFI_Expiration=1,IF($A1160&lt;VLOOKUP(N$5,NFI,5,0),1,0)*Table_NFI[[#This Row],[Kitchen Set]],Table_NFI[Kitchen Set])</f>
        <v>0</v>
      </c>
      <c r="AF1160" s="294">
        <f>IF(NFI_Expiration=1,IF($A1160&lt;VLOOKUP(O$5,NFI,5,0),1,0)*Table_NFI[[#This Row],[Clothes Kit]],Table_NFI[Clothes Kit])</f>
        <v>0</v>
      </c>
      <c r="AG1160" s="294">
        <f>IF(NFI_Expiration=1,IF($A1160&lt;VLOOKUP(P$5,NFI,5,0),1,0)*Table_NFI[[#This Row],[Plastic Bucket]],Table_NFI[Plastic Bucket])</f>
        <v>0</v>
      </c>
      <c r="AH1160" s="294">
        <f>IF(NFI_Expiration=1,IF($A1160&lt;VLOOKUP(Q$5,NFI,5,0),1,0)*Table_NFI[[#This Row],[Plastic Mat]],Table_NFI[Plastic Mat])*IF(Table_NFI[[#This Row],[Distribution Date]]&gt;"2014-04-01",1,2.5)</f>
        <v>0</v>
      </c>
      <c r="AI1160" s="294">
        <f>IF(NFI_Expiration=1,IF($A1160&lt;VLOOKUP(R$5,NFI,5,0),1,0)*Table_NFI[[#This Row],[Winter Clothes Adult]],Table_NFI[Winter Clothes Adult])</f>
        <v>0</v>
      </c>
      <c r="AJ1160" s="294">
        <f>IF(NFI_Expiration=1,IF($A1160&lt;VLOOKUP(S$5,NFI,5,0),1,0)*Table_NFI[[#This Row],[Winter Clothes Children]],Table_NFI[Winter Clothes Children])</f>
        <v>0</v>
      </c>
      <c r="AK1160" s="294">
        <f>IF(NFI_Expiration=1,IF($A1160&lt;VLOOKUP(T$5,NFI,5,0),1,0)*Table_NFI[[#This Row],[Winter Items Other]],Table_NFI[Winter Items Other])</f>
        <v>0</v>
      </c>
      <c r="AL1160" s="294">
        <f>IF(NFI_Expiration=1,IF($A1160&lt;VLOOKUP(M$5,NFI,5,0),1,0)*Table_NFI[[#This Row],[Winter Blanket]],Table_NFI[[#This Row],[Winter Blanket]])</f>
        <v>0</v>
      </c>
      <c r="AM1160" s="294">
        <f>IF(Table_NFI[[#This Row],[Winter Clothes Adult]]+Table_NFI[[#This Row],[Winter Clothes Children]]+Table_NFI[[#This Row],[Winter Items Other]]+Table_NFI[[#This Row],[Winter Blanket]]&gt;0,1,0)</f>
        <v>0</v>
      </c>
      <c r="AN1160" s="331">
        <f>IF(NFI_Expiration=1,IF($A1160&lt;VLOOKUP(V$5,NFI,5,0),1,0)*Table_NFI[[#This Row],[Jerry Can]],Table_NFI[Jerry Can])</f>
        <v>0</v>
      </c>
      <c r="AO1160" s="331">
        <f>IF(NFI_Expiration=1,IF($A1160&lt;VLOOKUP(V$5,NFI,5,0),1,0)*Table_NFI[[#This Row],[Shelter Tool kit]],Table_NFI[Shelter Tool kit])</f>
        <v>0</v>
      </c>
      <c r="AP1160" s="331">
        <f>IF(NFI_Expiration=1,IF($A1160&lt;VLOOKUP(V$5,NFI,5,0),1,0)*Table_NFI[[#This Row],[Tent]],Table_NFI[Tent])</f>
        <v>0</v>
      </c>
      <c r="AQ1160" s="467" t="str">
        <f>IFERROR(VLOOKUP(Table_NFI[[#This Row],[Camp Name]],CL,2,0),"")</f>
        <v/>
      </c>
      <c r="AR1160" s="835" t="str">
        <f ca="1">IF(Table_NFI[[#This Row],[Pcode]]="","",IF(OFFSET(CampList[Opening Date],MATCH(Table_NFI[[#This Row],[Pcode]],CampList[CP_Pcode],0)-1,0,1,1)&gt;=NFI_Monitor_Date,1,0))</f>
        <v/>
      </c>
      <c r="AS1160" s="467" t="str">
        <f>IFERROR(VLOOKUP(Table_NFI[[#This Row],[Camp Name]],CL,3,0),"")</f>
        <v/>
      </c>
      <c r="AT1160" s="294" t="str">
        <f ca="1">IF(Table_NFI[[#This Row],[Pcode]]="","",OFFSET(CampList[Priority],MATCH(Table_NFI[[#This Row],[Pcode]],CampList[CP_Pcode],0)-1,0,1,1))</f>
        <v/>
      </c>
      <c r="AU1160" s="293" t="str">
        <f>IFERROR(Table_NFI[[#This Row],[Kitchen Set]]/VLOOKUP(Table_NFI[[#This Row],[Camp Name]],CL,4,0),"")</f>
        <v/>
      </c>
      <c r="AV1160" s="461"/>
      <c r="AW1160" s="463"/>
    </row>
    <row r="1161" spans="1:49" ht="14.45" customHeight="1" x14ac:dyDescent="0.25">
      <c r="A1161" s="297" t="str">
        <f t="shared" si="18"/>
        <v/>
      </c>
      <c r="B1161" s="460"/>
      <c r="C1161" s="461"/>
      <c r="D1161" s="465"/>
      <c r="E1161" s="465"/>
      <c r="F1161" s="465"/>
      <c r="G1161" s="465"/>
      <c r="H1161" s="292"/>
      <c r="I1161" s="292"/>
      <c r="J1161" s="292"/>
      <c r="K1161" s="292"/>
      <c r="L1161" s="292"/>
      <c r="M1161" s="292"/>
      <c r="N1161" s="292"/>
      <c r="O1161" s="292"/>
      <c r="P1161" s="294"/>
      <c r="Q1161" s="294"/>
      <c r="R1161" s="294"/>
      <c r="S1161" s="294"/>
      <c r="T1161" s="294"/>
      <c r="U1161" s="294"/>
      <c r="V1161" s="431"/>
      <c r="W1161" s="331"/>
      <c r="X1161" s="331"/>
      <c r="Y1161" s="294">
        <f>IF(NFI_Expiration=1,IF($A1161&lt;VLOOKUP(H$5,NFI,5,0),1,0)*Table_NFI[[#This Row],[Hygiene Kit]],Table_NFI[Hygiene Kit])</f>
        <v>0</v>
      </c>
      <c r="Z1161" s="294">
        <f>IF(NFI_Expiration=1,IF($A1161&lt;VLOOKUP(I$5,NFI,5,0),1,0)*Table_NFI[[#This Row],[NFI Core Kit]],Table_NFI[NFI Core Kit])</f>
        <v>0</v>
      </c>
      <c r="AA1161" s="294">
        <f>IF(NFI_Expiration=1,IF($A1161&lt;VLOOKUP(J$5,NFI,5,0),1,0)*Table_NFI[[#This Row],[Sanitary Kit]],Table_NFI[Sanitary Kit])</f>
        <v>0</v>
      </c>
      <c r="AB1161" s="294">
        <f>IF(NFI_Expiration=1,IF($A1161&lt;VLOOKUP(K$5,NFI,5,0),1,0)*Table_NFI[[#This Row],[Mosquito net]],Table_NFI[Mosquito net])</f>
        <v>0</v>
      </c>
      <c r="AC1161" s="294">
        <f>IF(NFI_Expiration=1,IF($A1161&lt;VLOOKUP(L$5,NFI,5,0),1,0)*Table_NFI[[#This Row],[Tarpaulin]],Table_NFI[[#This Row],[Tarpaulin]])</f>
        <v>0</v>
      </c>
      <c r="AD1161" s="294">
        <f>IF(NFI_Expiration=1,IF($A1161&lt;VLOOKUP(M$5,NFI,5,0),1,0)*Table_NFI[[#This Row],[Blanket]],Table_NFI[[#This Row],[Blanket]])</f>
        <v>0</v>
      </c>
      <c r="AE1161" s="294">
        <f>IF(NFI_Expiration=1,IF($A1161&lt;VLOOKUP(N$5,NFI,5,0),1,0)*Table_NFI[[#This Row],[Kitchen Set]],Table_NFI[Kitchen Set])</f>
        <v>0</v>
      </c>
      <c r="AF1161" s="294">
        <f>IF(NFI_Expiration=1,IF($A1161&lt;VLOOKUP(O$5,NFI,5,0),1,0)*Table_NFI[[#This Row],[Clothes Kit]],Table_NFI[Clothes Kit])</f>
        <v>0</v>
      </c>
      <c r="AG1161" s="294">
        <f>IF(NFI_Expiration=1,IF($A1161&lt;VLOOKUP(P$5,NFI,5,0),1,0)*Table_NFI[[#This Row],[Plastic Bucket]],Table_NFI[Plastic Bucket])</f>
        <v>0</v>
      </c>
      <c r="AH1161" s="294">
        <f>IF(NFI_Expiration=1,IF($A1161&lt;VLOOKUP(Q$5,NFI,5,0),1,0)*Table_NFI[[#This Row],[Plastic Mat]],Table_NFI[Plastic Mat])*IF(Table_NFI[[#This Row],[Distribution Date]]&gt;"2014-04-01",1,2.5)</f>
        <v>0</v>
      </c>
      <c r="AI1161" s="294">
        <f>IF(NFI_Expiration=1,IF($A1161&lt;VLOOKUP(R$5,NFI,5,0),1,0)*Table_NFI[[#This Row],[Winter Clothes Adult]],Table_NFI[Winter Clothes Adult])</f>
        <v>0</v>
      </c>
      <c r="AJ1161" s="294">
        <f>IF(NFI_Expiration=1,IF($A1161&lt;VLOOKUP(S$5,NFI,5,0),1,0)*Table_NFI[[#This Row],[Winter Clothes Children]],Table_NFI[Winter Clothes Children])</f>
        <v>0</v>
      </c>
      <c r="AK1161" s="294">
        <f>IF(NFI_Expiration=1,IF($A1161&lt;VLOOKUP(T$5,NFI,5,0),1,0)*Table_NFI[[#This Row],[Winter Items Other]],Table_NFI[Winter Items Other])</f>
        <v>0</v>
      </c>
      <c r="AL1161" s="294">
        <f>IF(NFI_Expiration=1,IF($A1161&lt;VLOOKUP(M$5,NFI,5,0),1,0)*Table_NFI[[#This Row],[Winter Blanket]],Table_NFI[[#This Row],[Winter Blanket]])</f>
        <v>0</v>
      </c>
      <c r="AM1161" s="294">
        <f>IF(Table_NFI[[#This Row],[Winter Clothes Adult]]+Table_NFI[[#This Row],[Winter Clothes Children]]+Table_NFI[[#This Row],[Winter Items Other]]+Table_NFI[[#This Row],[Winter Blanket]]&gt;0,1,0)</f>
        <v>0</v>
      </c>
      <c r="AN1161" s="331">
        <f>IF(NFI_Expiration=1,IF($A1161&lt;VLOOKUP(V$5,NFI,5,0),1,0)*Table_NFI[[#This Row],[Jerry Can]],Table_NFI[Jerry Can])</f>
        <v>0</v>
      </c>
      <c r="AO1161" s="331">
        <f>IF(NFI_Expiration=1,IF($A1161&lt;VLOOKUP(V$5,NFI,5,0),1,0)*Table_NFI[[#This Row],[Shelter Tool kit]],Table_NFI[Shelter Tool kit])</f>
        <v>0</v>
      </c>
      <c r="AP1161" s="331">
        <f>IF(NFI_Expiration=1,IF($A1161&lt;VLOOKUP(V$5,NFI,5,0),1,0)*Table_NFI[[#This Row],[Tent]],Table_NFI[Tent])</f>
        <v>0</v>
      </c>
      <c r="AQ1161" s="467" t="str">
        <f>IFERROR(VLOOKUP(Table_NFI[[#This Row],[Camp Name]],CL,2,0),"")</f>
        <v/>
      </c>
      <c r="AR1161" s="835" t="str">
        <f ca="1">IF(Table_NFI[[#This Row],[Pcode]]="","",IF(OFFSET(CampList[Opening Date],MATCH(Table_NFI[[#This Row],[Pcode]],CampList[CP_Pcode],0)-1,0,1,1)&gt;=NFI_Monitor_Date,1,0))</f>
        <v/>
      </c>
      <c r="AS1161" s="467" t="str">
        <f>IFERROR(VLOOKUP(Table_NFI[[#This Row],[Camp Name]],CL,3,0),"")</f>
        <v/>
      </c>
      <c r="AT1161" s="294" t="str">
        <f ca="1">IF(Table_NFI[[#This Row],[Pcode]]="","",OFFSET(CampList[Priority],MATCH(Table_NFI[[#This Row],[Pcode]],CampList[CP_Pcode],0)-1,0,1,1))</f>
        <v/>
      </c>
      <c r="AU1161" s="293" t="str">
        <f>IFERROR(Table_NFI[[#This Row],[Kitchen Set]]/VLOOKUP(Table_NFI[[#This Row],[Camp Name]],CL,4,0),"")</f>
        <v/>
      </c>
      <c r="AV1161" s="461"/>
      <c r="AW1161" s="463"/>
    </row>
    <row r="1162" spans="1:49" ht="14.45" customHeight="1" x14ac:dyDescent="0.25">
      <c r="A1162" s="297" t="str">
        <f t="shared" si="18"/>
        <v/>
      </c>
      <c r="B1162" s="460"/>
      <c r="C1162" s="461"/>
      <c r="D1162" s="465"/>
      <c r="E1162" s="465"/>
      <c r="F1162" s="465"/>
      <c r="G1162" s="465"/>
      <c r="H1162" s="292"/>
      <c r="I1162" s="292"/>
      <c r="J1162" s="292"/>
      <c r="K1162" s="292"/>
      <c r="L1162" s="292"/>
      <c r="M1162" s="292"/>
      <c r="N1162" s="292"/>
      <c r="O1162" s="292"/>
      <c r="P1162" s="294"/>
      <c r="Q1162" s="294"/>
      <c r="R1162" s="294"/>
      <c r="S1162" s="294"/>
      <c r="T1162" s="294"/>
      <c r="U1162" s="294"/>
      <c r="V1162" s="431"/>
      <c r="W1162" s="331"/>
      <c r="X1162" s="331"/>
      <c r="Y1162" s="294">
        <f>IF(NFI_Expiration=1,IF($A1162&lt;VLOOKUP(H$5,NFI,5,0),1,0)*Table_NFI[[#This Row],[Hygiene Kit]],Table_NFI[Hygiene Kit])</f>
        <v>0</v>
      </c>
      <c r="Z1162" s="294">
        <f>IF(NFI_Expiration=1,IF($A1162&lt;VLOOKUP(I$5,NFI,5,0),1,0)*Table_NFI[[#This Row],[NFI Core Kit]],Table_NFI[NFI Core Kit])</f>
        <v>0</v>
      </c>
      <c r="AA1162" s="294">
        <f>IF(NFI_Expiration=1,IF($A1162&lt;VLOOKUP(J$5,NFI,5,0),1,0)*Table_NFI[[#This Row],[Sanitary Kit]],Table_NFI[Sanitary Kit])</f>
        <v>0</v>
      </c>
      <c r="AB1162" s="294">
        <f>IF(NFI_Expiration=1,IF($A1162&lt;VLOOKUP(K$5,NFI,5,0),1,0)*Table_NFI[[#This Row],[Mosquito net]],Table_NFI[Mosquito net])</f>
        <v>0</v>
      </c>
      <c r="AC1162" s="294">
        <f>IF(NFI_Expiration=1,IF($A1162&lt;VLOOKUP(L$5,NFI,5,0),1,0)*Table_NFI[[#This Row],[Tarpaulin]],Table_NFI[[#This Row],[Tarpaulin]])</f>
        <v>0</v>
      </c>
      <c r="AD1162" s="294">
        <f>IF(NFI_Expiration=1,IF($A1162&lt;VLOOKUP(M$5,NFI,5,0),1,0)*Table_NFI[[#This Row],[Blanket]],Table_NFI[[#This Row],[Blanket]])</f>
        <v>0</v>
      </c>
      <c r="AE1162" s="294">
        <f>IF(NFI_Expiration=1,IF($A1162&lt;VLOOKUP(N$5,NFI,5,0),1,0)*Table_NFI[[#This Row],[Kitchen Set]],Table_NFI[Kitchen Set])</f>
        <v>0</v>
      </c>
      <c r="AF1162" s="294">
        <f>IF(NFI_Expiration=1,IF($A1162&lt;VLOOKUP(O$5,NFI,5,0),1,0)*Table_NFI[[#This Row],[Clothes Kit]],Table_NFI[Clothes Kit])</f>
        <v>0</v>
      </c>
      <c r="AG1162" s="294">
        <f>IF(NFI_Expiration=1,IF($A1162&lt;VLOOKUP(P$5,NFI,5,0),1,0)*Table_NFI[[#This Row],[Plastic Bucket]],Table_NFI[Plastic Bucket])</f>
        <v>0</v>
      </c>
      <c r="AH1162" s="294">
        <f>IF(NFI_Expiration=1,IF($A1162&lt;VLOOKUP(Q$5,NFI,5,0),1,0)*Table_NFI[[#This Row],[Plastic Mat]],Table_NFI[Plastic Mat])*IF(Table_NFI[[#This Row],[Distribution Date]]&gt;"2014-04-01",1,2.5)</f>
        <v>0</v>
      </c>
      <c r="AI1162" s="294">
        <f>IF(NFI_Expiration=1,IF($A1162&lt;VLOOKUP(R$5,NFI,5,0),1,0)*Table_NFI[[#This Row],[Winter Clothes Adult]],Table_NFI[Winter Clothes Adult])</f>
        <v>0</v>
      </c>
      <c r="AJ1162" s="294">
        <f>IF(NFI_Expiration=1,IF($A1162&lt;VLOOKUP(S$5,NFI,5,0),1,0)*Table_NFI[[#This Row],[Winter Clothes Children]],Table_NFI[Winter Clothes Children])</f>
        <v>0</v>
      </c>
      <c r="AK1162" s="294">
        <f>IF(NFI_Expiration=1,IF($A1162&lt;VLOOKUP(T$5,NFI,5,0),1,0)*Table_NFI[[#This Row],[Winter Items Other]],Table_NFI[Winter Items Other])</f>
        <v>0</v>
      </c>
      <c r="AL1162" s="294">
        <f>IF(NFI_Expiration=1,IF($A1162&lt;VLOOKUP(M$5,NFI,5,0),1,0)*Table_NFI[[#This Row],[Winter Blanket]],Table_NFI[[#This Row],[Winter Blanket]])</f>
        <v>0</v>
      </c>
      <c r="AM1162" s="294">
        <f>IF(Table_NFI[[#This Row],[Winter Clothes Adult]]+Table_NFI[[#This Row],[Winter Clothes Children]]+Table_NFI[[#This Row],[Winter Items Other]]+Table_NFI[[#This Row],[Winter Blanket]]&gt;0,1,0)</f>
        <v>0</v>
      </c>
      <c r="AN1162" s="331">
        <f>IF(NFI_Expiration=1,IF($A1162&lt;VLOOKUP(V$5,NFI,5,0),1,0)*Table_NFI[[#This Row],[Jerry Can]],Table_NFI[Jerry Can])</f>
        <v>0</v>
      </c>
      <c r="AO1162" s="331">
        <f>IF(NFI_Expiration=1,IF($A1162&lt;VLOOKUP(V$5,NFI,5,0),1,0)*Table_NFI[[#This Row],[Shelter Tool kit]],Table_NFI[Shelter Tool kit])</f>
        <v>0</v>
      </c>
      <c r="AP1162" s="331">
        <f>IF(NFI_Expiration=1,IF($A1162&lt;VLOOKUP(V$5,NFI,5,0),1,0)*Table_NFI[[#This Row],[Tent]],Table_NFI[Tent])</f>
        <v>0</v>
      </c>
      <c r="AQ1162" s="467" t="str">
        <f>IFERROR(VLOOKUP(Table_NFI[[#This Row],[Camp Name]],CL,2,0),"")</f>
        <v/>
      </c>
      <c r="AR1162" s="835" t="str">
        <f ca="1">IF(Table_NFI[[#This Row],[Pcode]]="","",IF(OFFSET(CampList[Opening Date],MATCH(Table_NFI[[#This Row],[Pcode]],CampList[CP_Pcode],0)-1,0,1,1)&gt;=NFI_Monitor_Date,1,0))</f>
        <v/>
      </c>
      <c r="AS1162" s="467" t="str">
        <f>IFERROR(VLOOKUP(Table_NFI[[#This Row],[Camp Name]],CL,3,0),"")</f>
        <v/>
      </c>
      <c r="AT1162" s="294" t="str">
        <f ca="1">IF(Table_NFI[[#This Row],[Pcode]]="","",OFFSET(CampList[Priority],MATCH(Table_NFI[[#This Row],[Pcode]],CampList[CP_Pcode],0)-1,0,1,1))</f>
        <v/>
      </c>
      <c r="AU1162" s="293" t="str">
        <f>IFERROR(Table_NFI[[#This Row],[Kitchen Set]]/VLOOKUP(Table_NFI[[#This Row],[Camp Name]],CL,4,0),"")</f>
        <v/>
      </c>
      <c r="AV1162" s="461"/>
      <c r="AW1162" s="483"/>
    </row>
    <row r="1163" spans="1:49" ht="14.45" customHeight="1" x14ac:dyDescent="0.25">
      <c r="A1163" s="297" t="str">
        <f t="shared" si="18"/>
        <v/>
      </c>
      <c r="B1163" s="460"/>
      <c r="C1163" s="461"/>
      <c r="D1163" s="465"/>
      <c r="E1163" s="465"/>
      <c r="F1163" s="465"/>
      <c r="G1163" s="465"/>
      <c r="H1163" s="292"/>
      <c r="I1163" s="292"/>
      <c r="J1163" s="292"/>
      <c r="K1163" s="292"/>
      <c r="L1163" s="292"/>
      <c r="M1163" s="292"/>
      <c r="N1163" s="292"/>
      <c r="O1163" s="292"/>
      <c r="P1163" s="294"/>
      <c r="Q1163" s="294"/>
      <c r="R1163" s="294"/>
      <c r="S1163" s="294"/>
      <c r="T1163" s="294"/>
      <c r="U1163" s="294"/>
      <c r="V1163" s="431"/>
      <c r="W1163" s="331"/>
      <c r="X1163" s="331"/>
      <c r="Y1163" s="294">
        <f>IF(NFI_Expiration=1,IF($A1163&lt;VLOOKUP(H$5,NFI,5,0),1,0)*Table_NFI[[#This Row],[Hygiene Kit]],Table_NFI[Hygiene Kit])</f>
        <v>0</v>
      </c>
      <c r="Z1163" s="294">
        <f>IF(NFI_Expiration=1,IF($A1163&lt;VLOOKUP(I$5,NFI,5,0),1,0)*Table_NFI[[#This Row],[NFI Core Kit]],Table_NFI[NFI Core Kit])</f>
        <v>0</v>
      </c>
      <c r="AA1163" s="294">
        <f>IF(NFI_Expiration=1,IF($A1163&lt;VLOOKUP(J$5,NFI,5,0),1,0)*Table_NFI[[#This Row],[Sanitary Kit]],Table_NFI[Sanitary Kit])</f>
        <v>0</v>
      </c>
      <c r="AB1163" s="294">
        <f>IF(NFI_Expiration=1,IF($A1163&lt;VLOOKUP(K$5,NFI,5,0),1,0)*Table_NFI[[#This Row],[Mosquito net]],Table_NFI[Mosquito net])</f>
        <v>0</v>
      </c>
      <c r="AC1163" s="294">
        <f>IF(NFI_Expiration=1,IF($A1163&lt;VLOOKUP(L$5,NFI,5,0),1,0)*Table_NFI[[#This Row],[Tarpaulin]],Table_NFI[[#This Row],[Tarpaulin]])</f>
        <v>0</v>
      </c>
      <c r="AD1163" s="294">
        <f>IF(NFI_Expiration=1,IF($A1163&lt;VLOOKUP(M$5,NFI,5,0),1,0)*Table_NFI[[#This Row],[Blanket]],Table_NFI[[#This Row],[Blanket]])</f>
        <v>0</v>
      </c>
      <c r="AE1163" s="294">
        <f>IF(NFI_Expiration=1,IF($A1163&lt;VLOOKUP(N$5,NFI,5,0),1,0)*Table_NFI[[#This Row],[Kitchen Set]],Table_NFI[Kitchen Set])</f>
        <v>0</v>
      </c>
      <c r="AF1163" s="294">
        <f>IF(NFI_Expiration=1,IF($A1163&lt;VLOOKUP(O$5,NFI,5,0),1,0)*Table_NFI[[#This Row],[Clothes Kit]],Table_NFI[Clothes Kit])</f>
        <v>0</v>
      </c>
      <c r="AG1163" s="294">
        <f>IF(NFI_Expiration=1,IF($A1163&lt;VLOOKUP(P$5,NFI,5,0),1,0)*Table_NFI[[#This Row],[Plastic Bucket]],Table_NFI[Plastic Bucket])</f>
        <v>0</v>
      </c>
      <c r="AH1163" s="294">
        <f>IF(NFI_Expiration=1,IF($A1163&lt;VLOOKUP(Q$5,NFI,5,0),1,0)*Table_NFI[[#This Row],[Plastic Mat]],Table_NFI[Plastic Mat])*IF(Table_NFI[[#This Row],[Distribution Date]]&gt;"2014-04-01",1,2.5)</f>
        <v>0</v>
      </c>
      <c r="AI1163" s="294">
        <f>IF(NFI_Expiration=1,IF($A1163&lt;VLOOKUP(R$5,NFI,5,0),1,0)*Table_NFI[[#This Row],[Winter Clothes Adult]],Table_NFI[Winter Clothes Adult])</f>
        <v>0</v>
      </c>
      <c r="AJ1163" s="294">
        <f>IF(NFI_Expiration=1,IF($A1163&lt;VLOOKUP(S$5,NFI,5,0),1,0)*Table_NFI[[#This Row],[Winter Clothes Children]],Table_NFI[Winter Clothes Children])</f>
        <v>0</v>
      </c>
      <c r="AK1163" s="294">
        <f>IF(NFI_Expiration=1,IF($A1163&lt;VLOOKUP(T$5,NFI,5,0),1,0)*Table_NFI[[#This Row],[Winter Items Other]],Table_NFI[Winter Items Other])</f>
        <v>0</v>
      </c>
      <c r="AL1163" s="294">
        <f>IF(NFI_Expiration=1,IF($A1163&lt;VLOOKUP(M$5,NFI,5,0),1,0)*Table_NFI[[#This Row],[Winter Blanket]],Table_NFI[[#This Row],[Winter Blanket]])</f>
        <v>0</v>
      </c>
      <c r="AM1163" s="294">
        <f>IF(Table_NFI[[#This Row],[Winter Clothes Adult]]+Table_NFI[[#This Row],[Winter Clothes Children]]+Table_NFI[[#This Row],[Winter Items Other]]+Table_NFI[[#This Row],[Winter Blanket]]&gt;0,1,0)</f>
        <v>0</v>
      </c>
      <c r="AN1163" s="331">
        <f>IF(NFI_Expiration=1,IF($A1163&lt;VLOOKUP(V$5,NFI,5,0),1,0)*Table_NFI[[#This Row],[Jerry Can]],Table_NFI[Jerry Can])</f>
        <v>0</v>
      </c>
      <c r="AO1163" s="331">
        <f>IF(NFI_Expiration=1,IF($A1163&lt;VLOOKUP(V$5,NFI,5,0),1,0)*Table_NFI[[#This Row],[Shelter Tool kit]],Table_NFI[Shelter Tool kit])</f>
        <v>0</v>
      </c>
      <c r="AP1163" s="331">
        <f>IF(NFI_Expiration=1,IF($A1163&lt;VLOOKUP(V$5,NFI,5,0),1,0)*Table_NFI[[#This Row],[Tent]],Table_NFI[Tent])</f>
        <v>0</v>
      </c>
      <c r="AQ1163" s="467" t="str">
        <f>IFERROR(VLOOKUP(Table_NFI[[#This Row],[Camp Name]],CL,2,0),"")</f>
        <v/>
      </c>
      <c r="AR1163" s="835" t="str">
        <f ca="1">IF(Table_NFI[[#This Row],[Pcode]]="","",IF(OFFSET(CampList[Opening Date],MATCH(Table_NFI[[#This Row],[Pcode]],CampList[CP_Pcode],0)-1,0,1,1)&gt;=NFI_Monitor_Date,1,0))</f>
        <v/>
      </c>
      <c r="AS1163" s="467" t="str">
        <f>IFERROR(VLOOKUP(Table_NFI[[#This Row],[Camp Name]],CL,3,0),"")</f>
        <v/>
      </c>
      <c r="AT1163" s="294" t="str">
        <f ca="1">IF(Table_NFI[[#This Row],[Pcode]]="","",OFFSET(CampList[Priority],MATCH(Table_NFI[[#This Row],[Pcode]],CampList[CP_Pcode],0)-1,0,1,1))</f>
        <v/>
      </c>
      <c r="AU1163" s="293" t="str">
        <f>IFERROR(Table_NFI[[#This Row],[Kitchen Set]]/VLOOKUP(Table_NFI[[#This Row],[Camp Name]],CL,4,0),"")</f>
        <v/>
      </c>
      <c r="AV1163" s="465"/>
      <c r="AW1163" s="468"/>
    </row>
    <row r="1164" spans="1:49" ht="14.45" customHeight="1" x14ac:dyDescent="0.25">
      <c r="A1164" s="297" t="str">
        <f t="shared" si="18"/>
        <v/>
      </c>
      <c r="B1164" s="460"/>
      <c r="C1164" s="461"/>
      <c r="D1164" s="465"/>
      <c r="E1164" s="465"/>
      <c r="F1164" s="465"/>
      <c r="G1164" s="465"/>
      <c r="H1164" s="292"/>
      <c r="I1164" s="292"/>
      <c r="J1164" s="292"/>
      <c r="K1164" s="292"/>
      <c r="L1164" s="292"/>
      <c r="M1164" s="292"/>
      <c r="N1164" s="292"/>
      <c r="O1164" s="292"/>
      <c r="P1164" s="294"/>
      <c r="Q1164" s="294"/>
      <c r="R1164" s="294"/>
      <c r="S1164" s="294"/>
      <c r="T1164" s="294"/>
      <c r="U1164" s="294"/>
      <c r="V1164" s="431"/>
      <c r="W1164" s="331"/>
      <c r="X1164" s="331"/>
      <c r="Y1164" s="294">
        <f>IF(NFI_Expiration=1,IF($A1164&lt;VLOOKUP(H$5,NFI,5,0),1,0)*Table_NFI[[#This Row],[Hygiene Kit]],Table_NFI[Hygiene Kit])</f>
        <v>0</v>
      </c>
      <c r="Z1164" s="294">
        <f>IF(NFI_Expiration=1,IF($A1164&lt;VLOOKUP(I$5,NFI,5,0),1,0)*Table_NFI[[#This Row],[NFI Core Kit]],Table_NFI[NFI Core Kit])</f>
        <v>0</v>
      </c>
      <c r="AA1164" s="294">
        <f>IF(NFI_Expiration=1,IF($A1164&lt;VLOOKUP(J$5,NFI,5,0),1,0)*Table_NFI[[#This Row],[Sanitary Kit]],Table_NFI[Sanitary Kit])</f>
        <v>0</v>
      </c>
      <c r="AB1164" s="294">
        <f>IF(NFI_Expiration=1,IF($A1164&lt;VLOOKUP(K$5,NFI,5,0),1,0)*Table_NFI[[#This Row],[Mosquito net]],Table_NFI[Mosquito net])</f>
        <v>0</v>
      </c>
      <c r="AC1164" s="294">
        <f>IF(NFI_Expiration=1,IF($A1164&lt;VLOOKUP(L$5,NFI,5,0),1,0)*Table_NFI[[#This Row],[Tarpaulin]],Table_NFI[[#This Row],[Tarpaulin]])</f>
        <v>0</v>
      </c>
      <c r="AD1164" s="294">
        <f>IF(NFI_Expiration=1,IF($A1164&lt;VLOOKUP(M$5,NFI,5,0),1,0)*Table_NFI[[#This Row],[Blanket]],Table_NFI[[#This Row],[Blanket]])</f>
        <v>0</v>
      </c>
      <c r="AE1164" s="294">
        <f>IF(NFI_Expiration=1,IF($A1164&lt;VLOOKUP(N$5,NFI,5,0),1,0)*Table_NFI[[#This Row],[Kitchen Set]],Table_NFI[Kitchen Set])</f>
        <v>0</v>
      </c>
      <c r="AF1164" s="294">
        <f>IF(NFI_Expiration=1,IF($A1164&lt;VLOOKUP(O$5,NFI,5,0),1,0)*Table_NFI[[#This Row],[Clothes Kit]],Table_NFI[Clothes Kit])</f>
        <v>0</v>
      </c>
      <c r="AG1164" s="294">
        <f>IF(NFI_Expiration=1,IF($A1164&lt;VLOOKUP(P$5,NFI,5,0),1,0)*Table_NFI[[#This Row],[Plastic Bucket]],Table_NFI[Plastic Bucket])</f>
        <v>0</v>
      </c>
      <c r="AH1164" s="294">
        <f>IF(NFI_Expiration=1,IF($A1164&lt;VLOOKUP(Q$5,NFI,5,0),1,0)*Table_NFI[[#This Row],[Plastic Mat]],Table_NFI[Plastic Mat])*IF(Table_NFI[[#This Row],[Distribution Date]]&gt;"2014-04-01",1,2.5)</f>
        <v>0</v>
      </c>
      <c r="AI1164" s="294">
        <f>IF(NFI_Expiration=1,IF($A1164&lt;VLOOKUP(R$5,NFI,5,0),1,0)*Table_NFI[[#This Row],[Winter Clothes Adult]],Table_NFI[Winter Clothes Adult])</f>
        <v>0</v>
      </c>
      <c r="AJ1164" s="294">
        <f>IF(NFI_Expiration=1,IF($A1164&lt;VLOOKUP(S$5,NFI,5,0),1,0)*Table_NFI[[#This Row],[Winter Clothes Children]],Table_NFI[Winter Clothes Children])</f>
        <v>0</v>
      </c>
      <c r="AK1164" s="294">
        <f>IF(NFI_Expiration=1,IF($A1164&lt;VLOOKUP(T$5,NFI,5,0),1,0)*Table_NFI[[#This Row],[Winter Items Other]],Table_NFI[Winter Items Other])</f>
        <v>0</v>
      </c>
      <c r="AL1164" s="294">
        <f>IF(NFI_Expiration=1,IF($A1164&lt;VLOOKUP(M$5,NFI,5,0),1,0)*Table_NFI[[#This Row],[Winter Blanket]],Table_NFI[[#This Row],[Winter Blanket]])</f>
        <v>0</v>
      </c>
      <c r="AM1164" s="294">
        <f>IF(Table_NFI[[#This Row],[Winter Clothes Adult]]+Table_NFI[[#This Row],[Winter Clothes Children]]+Table_NFI[[#This Row],[Winter Items Other]]+Table_NFI[[#This Row],[Winter Blanket]]&gt;0,1,0)</f>
        <v>0</v>
      </c>
      <c r="AN1164" s="331">
        <f>IF(NFI_Expiration=1,IF($A1164&lt;VLOOKUP(V$5,NFI,5,0),1,0)*Table_NFI[[#This Row],[Jerry Can]],Table_NFI[Jerry Can])</f>
        <v>0</v>
      </c>
      <c r="AO1164" s="331">
        <f>IF(NFI_Expiration=1,IF($A1164&lt;VLOOKUP(V$5,NFI,5,0),1,0)*Table_NFI[[#This Row],[Shelter Tool kit]],Table_NFI[Shelter Tool kit])</f>
        <v>0</v>
      </c>
      <c r="AP1164" s="331">
        <f>IF(NFI_Expiration=1,IF($A1164&lt;VLOOKUP(V$5,NFI,5,0),1,0)*Table_NFI[[#This Row],[Tent]],Table_NFI[Tent])</f>
        <v>0</v>
      </c>
      <c r="AQ1164" s="467" t="str">
        <f>IFERROR(VLOOKUP(Table_NFI[[#This Row],[Camp Name]],CL,2,0),"")</f>
        <v/>
      </c>
      <c r="AR1164" s="835" t="str">
        <f ca="1">IF(Table_NFI[[#This Row],[Pcode]]="","",IF(OFFSET(CampList[Opening Date],MATCH(Table_NFI[[#This Row],[Pcode]],CampList[CP_Pcode],0)-1,0,1,1)&gt;=NFI_Monitor_Date,1,0))</f>
        <v/>
      </c>
      <c r="AS1164" s="467" t="str">
        <f>IFERROR(VLOOKUP(Table_NFI[[#This Row],[Camp Name]],CL,3,0),"")</f>
        <v/>
      </c>
      <c r="AT1164" s="294" t="str">
        <f ca="1">IF(Table_NFI[[#This Row],[Pcode]]="","",OFFSET(CampList[Priority],MATCH(Table_NFI[[#This Row],[Pcode]],CampList[CP_Pcode],0)-1,0,1,1))</f>
        <v/>
      </c>
      <c r="AU1164" s="293" t="str">
        <f>IFERROR(Table_NFI[[#This Row],[Kitchen Set]]/VLOOKUP(Table_NFI[[#This Row],[Camp Name]],CL,4,0),"")</f>
        <v/>
      </c>
      <c r="AV1164" s="465"/>
      <c r="AW1164" s="468"/>
    </row>
    <row r="1165" spans="1:49" ht="14.45" customHeight="1" x14ac:dyDescent="0.25">
      <c r="A1165" s="297" t="str">
        <f t="shared" si="18"/>
        <v/>
      </c>
      <c r="B1165" s="460"/>
      <c r="C1165" s="461"/>
      <c r="D1165" s="465"/>
      <c r="E1165" s="465"/>
      <c r="F1165" s="465"/>
      <c r="G1165" s="465"/>
      <c r="H1165" s="292"/>
      <c r="I1165" s="292"/>
      <c r="J1165" s="292"/>
      <c r="K1165" s="292"/>
      <c r="L1165" s="292"/>
      <c r="M1165" s="292"/>
      <c r="N1165" s="292"/>
      <c r="O1165" s="292"/>
      <c r="P1165" s="294"/>
      <c r="Q1165" s="294"/>
      <c r="R1165" s="294"/>
      <c r="S1165" s="294"/>
      <c r="T1165" s="294"/>
      <c r="U1165" s="294"/>
      <c r="V1165" s="431"/>
      <c r="W1165" s="331"/>
      <c r="X1165" s="331"/>
      <c r="Y1165" s="294">
        <f>IF(NFI_Expiration=1,IF($A1165&lt;VLOOKUP(H$5,NFI,5,0),1,0)*Table_NFI[[#This Row],[Hygiene Kit]],Table_NFI[Hygiene Kit])</f>
        <v>0</v>
      </c>
      <c r="Z1165" s="294">
        <f>IF(NFI_Expiration=1,IF($A1165&lt;VLOOKUP(I$5,NFI,5,0),1,0)*Table_NFI[[#This Row],[NFI Core Kit]],Table_NFI[NFI Core Kit])</f>
        <v>0</v>
      </c>
      <c r="AA1165" s="294">
        <f>IF(NFI_Expiration=1,IF($A1165&lt;VLOOKUP(J$5,NFI,5,0),1,0)*Table_NFI[[#This Row],[Sanitary Kit]],Table_NFI[Sanitary Kit])</f>
        <v>0</v>
      </c>
      <c r="AB1165" s="294">
        <f>IF(NFI_Expiration=1,IF($A1165&lt;VLOOKUP(K$5,NFI,5,0),1,0)*Table_NFI[[#This Row],[Mosquito net]],Table_NFI[Mosquito net])</f>
        <v>0</v>
      </c>
      <c r="AC1165" s="294">
        <f>IF(NFI_Expiration=1,IF($A1165&lt;VLOOKUP(L$5,NFI,5,0),1,0)*Table_NFI[[#This Row],[Tarpaulin]],Table_NFI[[#This Row],[Tarpaulin]])</f>
        <v>0</v>
      </c>
      <c r="AD1165" s="294">
        <f>IF(NFI_Expiration=1,IF($A1165&lt;VLOOKUP(M$5,NFI,5,0),1,0)*Table_NFI[[#This Row],[Blanket]],Table_NFI[[#This Row],[Blanket]])</f>
        <v>0</v>
      </c>
      <c r="AE1165" s="294">
        <f>IF(NFI_Expiration=1,IF($A1165&lt;VLOOKUP(N$5,NFI,5,0),1,0)*Table_NFI[[#This Row],[Kitchen Set]],Table_NFI[Kitchen Set])</f>
        <v>0</v>
      </c>
      <c r="AF1165" s="294">
        <f>IF(NFI_Expiration=1,IF($A1165&lt;VLOOKUP(O$5,NFI,5,0),1,0)*Table_NFI[[#This Row],[Clothes Kit]],Table_NFI[Clothes Kit])</f>
        <v>0</v>
      </c>
      <c r="AG1165" s="294">
        <f>IF(NFI_Expiration=1,IF($A1165&lt;VLOOKUP(P$5,NFI,5,0),1,0)*Table_NFI[[#This Row],[Plastic Bucket]],Table_NFI[Plastic Bucket])</f>
        <v>0</v>
      </c>
      <c r="AH1165" s="294">
        <f>IF(NFI_Expiration=1,IF($A1165&lt;VLOOKUP(Q$5,NFI,5,0),1,0)*Table_NFI[[#This Row],[Plastic Mat]],Table_NFI[Plastic Mat])*IF(Table_NFI[[#This Row],[Distribution Date]]&gt;"2014-04-01",1,2.5)</f>
        <v>0</v>
      </c>
      <c r="AI1165" s="294">
        <f>IF(NFI_Expiration=1,IF($A1165&lt;VLOOKUP(R$5,NFI,5,0),1,0)*Table_NFI[[#This Row],[Winter Clothes Adult]],Table_NFI[Winter Clothes Adult])</f>
        <v>0</v>
      </c>
      <c r="AJ1165" s="294">
        <f>IF(NFI_Expiration=1,IF($A1165&lt;VLOOKUP(S$5,NFI,5,0),1,0)*Table_NFI[[#This Row],[Winter Clothes Children]],Table_NFI[Winter Clothes Children])</f>
        <v>0</v>
      </c>
      <c r="AK1165" s="294">
        <f>IF(NFI_Expiration=1,IF($A1165&lt;VLOOKUP(T$5,NFI,5,0),1,0)*Table_NFI[[#This Row],[Winter Items Other]],Table_NFI[Winter Items Other])</f>
        <v>0</v>
      </c>
      <c r="AL1165" s="294">
        <f>IF(NFI_Expiration=1,IF($A1165&lt;VLOOKUP(M$5,NFI,5,0),1,0)*Table_NFI[[#This Row],[Winter Blanket]],Table_NFI[[#This Row],[Winter Blanket]])</f>
        <v>0</v>
      </c>
      <c r="AM1165" s="294">
        <f>IF(Table_NFI[[#This Row],[Winter Clothes Adult]]+Table_NFI[[#This Row],[Winter Clothes Children]]+Table_NFI[[#This Row],[Winter Items Other]]+Table_NFI[[#This Row],[Winter Blanket]]&gt;0,1,0)</f>
        <v>0</v>
      </c>
      <c r="AN1165" s="331">
        <f>IF(NFI_Expiration=1,IF($A1165&lt;VLOOKUP(V$5,NFI,5,0),1,0)*Table_NFI[[#This Row],[Jerry Can]],Table_NFI[Jerry Can])</f>
        <v>0</v>
      </c>
      <c r="AO1165" s="331">
        <f>IF(NFI_Expiration=1,IF($A1165&lt;VLOOKUP(V$5,NFI,5,0),1,0)*Table_NFI[[#This Row],[Shelter Tool kit]],Table_NFI[Shelter Tool kit])</f>
        <v>0</v>
      </c>
      <c r="AP1165" s="331">
        <f>IF(NFI_Expiration=1,IF($A1165&lt;VLOOKUP(V$5,NFI,5,0),1,0)*Table_NFI[[#This Row],[Tent]],Table_NFI[Tent])</f>
        <v>0</v>
      </c>
      <c r="AQ1165" s="467" t="str">
        <f>IFERROR(VLOOKUP(Table_NFI[[#This Row],[Camp Name]],CL,2,0),"")</f>
        <v/>
      </c>
      <c r="AR1165" s="835" t="str">
        <f ca="1">IF(Table_NFI[[#This Row],[Pcode]]="","",IF(OFFSET(CampList[Opening Date],MATCH(Table_NFI[[#This Row],[Pcode]],CampList[CP_Pcode],0)-1,0,1,1)&gt;=NFI_Monitor_Date,1,0))</f>
        <v/>
      </c>
      <c r="AS1165" s="467" t="str">
        <f>IFERROR(VLOOKUP(Table_NFI[[#This Row],[Camp Name]],CL,3,0),"")</f>
        <v/>
      </c>
      <c r="AT1165" s="294" t="str">
        <f ca="1">IF(Table_NFI[[#This Row],[Pcode]]="","",OFFSET(CampList[Priority],MATCH(Table_NFI[[#This Row],[Pcode]],CampList[CP_Pcode],0)-1,0,1,1))</f>
        <v/>
      </c>
      <c r="AU1165" s="293" t="str">
        <f>IFERROR(Table_NFI[[#This Row],[Kitchen Set]]/VLOOKUP(Table_NFI[[#This Row],[Camp Name]],CL,4,0),"")</f>
        <v/>
      </c>
      <c r="AV1165" s="465"/>
      <c r="AW1165" s="468"/>
    </row>
    <row r="1166" spans="1:49" ht="14.45" customHeight="1" x14ac:dyDescent="0.25">
      <c r="A1166" s="297" t="str">
        <f t="shared" si="18"/>
        <v/>
      </c>
      <c r="B1166" s="460"/>
      <c r="C1166" s="461"/>
      <c r="D1166" s="465"/>
      <c r="E1166" s="465"/>
      <c r="F1166" s="465"/>
      <c r="G1166" s="465"/>
      <c r="H1166" s="292"/>
      <c r="I1166" s="292"/>
      <c r="J1166" s="292"/>
      <c r="K1166" s="292"/>
      <c r="L1166" s="292"/>
      <c r="M1166" s="292"/>
      <c r="N1166" s="292"/>
      <c r="O1166" s="292"/>
      <c r="P1166" s="294"/>
      <c r="Q1166" s="294"/>
      <c r="R1166" s="294"/>
      <c r="S1166" s="294"/>
      <c r="T1166" s="294"/>
      <c r="U1166" s="294"/>
      <c r="V1166" s="431"/>
      <c r="W1166" s="331"/>
      <c r="X1166" s="331"/>
      <c r="Y1166" s="294">
        <f>IF(NFI_Expiration=1,IF($A1166&lt;VLOOKUP(H$5,NFI,5,0),1,0)*Table_NFI[[#This Row],[Hygiene Kit]],Table_NFI[Hygiene Kit])</f>
        <v>0</v>
      </c>
      <c r="Z1166" s="294">
        <f>IF(NFI_Expiration=1,IF($A1166&lt;VLOOKUP(I$5,NFI,5,0),1,0)*Table_NFI[[#This Row],[NFI Core Kit]],Table_NFI[NFI Core Kit])</f>
        <v>0</v>
      </c>
      <c r="AA1166" s="294">
        <f>IF(NFI_Expiration=1,IF($A1166&lt;VLOOKUP(J$5,NFI,5,0),1,0)*Table_NFI[[#This Row],[Sanitary Kit]],Table_NFI[Sanitary Kit])</f>
        <v>0</v>
      </c>
      <c r="AB1166" s="294">
        <f>IF(NFI_Expiration=1,IF($A1166&lt;VLOOKUP(K$5,NFI,5,0),1,0)*Table_NFI[[#This Row],[Mosquito net]],Table_NFI[Mosquito net])</f>
        <v>0</v>
      </c>
      <c r="AC1166" s="294">
        <f>IF(NFI_Expiration=1,IF($A1166&lt;VLOOKUP(L$5,NFI,5,0),1,0)*Table_NFI[[#This Row],[Tarpaulin]],Table_NFI[[#This Row],[Tarpaulin]])</f>
        <v>0</v>
      </c>
      <c r="AD1166" s="294">
        <f>IF(NFI_Expiration=1,IF($A1166&lt;VLOOKUP(M$5,NFI,5,0),1,0)*Table_NFI[[#This Row],[Blanket]],Table_NFI[[#This Row],[Blanket]])</f>
        <v>0</v>
      </c>
      <c r="AE1166" s="294">
        <f>IF(NFI_Expiration=1,IF($A1166&lt;VLOOKUP(N$5,NFI,5,0),1,0)*Table_NFI[[#This Row],[Kitchen Set]],Table_NFI[Kitchen Set])</f>
        <v>0</v>
      </c>
      <c r="AF1166" s="294">
        <f>IF(NFI_Expiration=1,IF($A1166&lt;VLOOKUP(O$5,NFI,5,0),1,0)*Table_NFI[[#This Row],[Clothes Kit]],Table_NFI[Clothes Kit])</f>
        <v>0</v>
      </c>
      <c r="AG1166" s="294">
        <f>IF(NFI_Expiration=1,IF($A1166&lt;VLOOKUP(P$5,NFI,5,0),1,0)*Table_NFI[[#This Row],[Plastic Bucket]],Table_NFI[Plastic Bucket])</f>
        <v>0</v>
      </c>
      <c r="AH1166" s="294">
        <f>IF(NFI_Expiration=1,IF($A1166&lt;VLOOKUP(Q$5,NFI,5,0),1,0)*Table_NFI[[#This Row],[Plastic Mat]],Table_NFI[Plastic Mat])*IF(Table_NFI[[#This Row],[Distribution Date]]&gt;"2014-04-01",1,2.5)</f>
        <v>0</v>
      </c>
      <c r="AI1166" s="294">
        <f>IF(NFI_Expiration=1,IF($A1166&lt;VLOOKUP(R$5,NFI,5,0),1,0)*Table_NFI[[#This Row],[Winter Clothes Adult]],Table_NFI[Winter Clothes Adult])</f>
        <v>0</v>
      </c>
      <c r="AJ1166" s="294">
        <f>IF(NFI_Expiration=1,IF($A1166&lt;VLOOKUP(S$5,NFI,5,0),1,0)*Table_NFI[[#This Row],[Winter Clothes Children]],Table_NFI[Winter Clothes Children])</f>
        <v>0</v>
      </c>
      <c r="AK1166" s="294">
        <f>IF(NFI_Expiration=1,IF($A1166&lt;VLOOKUP(T$5,NFI,5,0),1,0)*Table_NFI[[#This Row],[Winter Items Other]],Table_NFI[Winter Items Other])</f>
        <v>0</v>
      </c>
      <c r="AL1166" s="294">
        <f>IF(NFI_Expiration=1,IF($A1166&lt;VLOOKUP(M$5,NFI,5,0),1,0)*Table_NFI[[#This Row],[Winter Blanket]],Table_NFI[[#This Row],[Winter Blanket]])</f>
        <v>0</v>
      </c>
      <c r="AM1166" s="294">
        <f>IF(Table_NFI[[#This Row],[Winter Clothes Adult]]+Table_NFI[[#This Row],[Winter Clothes Children]]+Table_NFI[[#This Row],[Winter Items Other]]+Table_NFI[[#This Row],[Winter Blanket]]&gt;0,1,0)</f>
        <v>0</v>
      </c>
      <c r="AN1166" s="331">
        <f>IF(NFI_Expiration=1,IF($A1166&lt;VLOOKUP(V$5,NFI,5,0),1,0)*Table_NFI[[#This Row],[Jerry Can]],Table_NFI[Jerry Can])</f>
        <v>0</v>
      </c>
      <c r="AO1166" s="331">
        <f>IF(NFI_Expiration=1,IF($A1166&lt;VLOOKUP(V$5,NFI,5,0),1,0)*Table_NFI[[#This Row],[Shelter Tool kit]],Table_NFI[Shelter Tool kit])</f>
        <v>0</v>
      </c>
      <c r="AP1166" s="331">
        <f>IF(NFI_Expiration=1,IF($A1166&lt;VLOOKUP(V$5,NFI,5,0),1,0)*Table_NFI[[#This Row],[Tent]],Table_NFI[Tent])</f>
        <v>0</v>
      </c>
      <c r="AQ1166" s="467" t="str">
        <f>IFERROR(VLOOKUP(Table_NFI[[#This Row],[Camp Name]],CL,2,0),"")</f>
        <v/>
      </c>
      <c r="AR1166" s="835" t="str">
        <f ca="1">IF(Table_NFI[[#This Row],[Pcode]]="","",IF(OFFSET(CampList[Opening Date],MATCH(Table_NFI[[#This Row],[Pcode]],CampList[CP_Pcode],0)-1,0,1,1)&gt;=NFI_Monitor_Date,1,0))</f>
        <v/>
      </c>
      <c r="AS1166" s="467" t="str">
        <f>IFERROR(VLOOKUP(Table_NFI[[#This Row],[Camp Name]],CL,3,0),"")</f>
        <v/>
      </c>
      <c r="AT1166" s="294" t="str">
        <f ca="1">IF(Table_NFI[[#This Row],[Pcode]]="","",OFFSET(CampList[Priority],MATCH(Table_NFI[[#This Row],[Pcode]],CampList[CP_Pcode],0)-1,0,1,1))</f>
        <v/>
      </c>
      <c r="AU1166" s="293" t="str">
        <f>IFERROR(Table_NFI[[#This Row],[Kitchen Set]]/VLOOKUP(Table_NFI[[#This Row],[Camp Name]],CL,4,0),"")</f>
        <v/>
      </c>
      <c r="AV1166" s="465"/>
      <c r="AW1166" s="468"/>
    </row>
    <row r="1167" spans="1:49" ht="14.45" customHeight="1" x14ac:dyDescent="0.25">
      <c r="A1167" s="297" t="str">
        <f t="shared" si="18"/>
        <v/>
      </c>
      <c r="B1167" s="460"/>
      <c r="C1167" s="461"/>
      <c r="D1167" s="465"/>
      <c r="E1167" s="465"/>
      <c r="F1167" s="465"/>
      <c r="G1167" s="465"/>
      <c r="H1167" s="292"/>
      <c r="I1167" s="292"/>
      <c r="J1167" s="292"/>
      <c r="K1167" s="292"/>
      <c r="L1167" s="292"/>
      <c r="M1167" s="292"/>
      <c r="N1167" s="292"/>
      <c r="O1167" s="292"/>
      <c r="P1167" s="294"/>
      <c r="Q1167" s="294"/>
      <c r="R1167" s="294"/>
      <c r="S1167" s="294"/>
      <c r="T1167" s="294"/>
      <c r="U1167" s="294"/>
      <c r="V1167" s="431"/>
      <c r="W1167" s="331"/>
      <c r="X1167" s="331"/>
      <c r="Y1167" s="294">
        <f>IF(NFI_Expiration=1,IF($A1167&lt;VLOOKUP(H$5,NFI,5,0),1,0)*Table_NFI[[#This Row],[Hygiene Kit]],Table_NFI[Hygiene Kit])</f>
        <v>0</v>
      </c>
      <c r="Z1167" s="294">
        <f>IF(NFI_Expiration=1,IF($A1167&lt;VLOOKUP(I$5,NFI,5,0),1,0)*Table_NFI[[#This Row],[NFI Core Kit]],Table_NFI[NFI Core Kit])</f>
        <v>0</v>
      </c>
      <c r="AA1167" s="294">
        <f>IF(NFI_Expiration=1,IF($A1167&lt;VLOOKUP(J$5,NFI,5,0),1,0)*Table_NFI[[#This Row],[Sanitary Kit]],Table_NFI[Sanitary Kit])</f>
        <v>0</v>
      </c>
      <c r="AB1167" s="294">
        <f>IF(NFI_Expiration=1,IF($A1167&lt;VLOOKUP(K$5,NFI,5,0),1,0)*Table_NFI[[#This Row],[Mosquito net]],Table_NFI[Mosquito net])</f>
        <v>0</v>
      </c>
      <c r="AC1167" s="294">
        <f>IF(NFI_Expiration=1,IF($A1167&lt;VLOOKUP(L$5,NFI,5,0),1,0)*Table_NFI[[#This Row],[Tarpaulin]],Table_NFI[[#This Row],[Tarpaulin]])</f>
        <v>0</v>
      </c>
      <c r="AD1167" s="294">
        <f>IF(NFI_Expiration=1,IF($A1167&lt;VLOOKUP(M$5,NFI,5,0),1,0)*Table_NFI[[#This Row],[Blanket]],Table_NFI[[#This Row],[Blanket]])</f>
        <v>0</v>
      </c>
      <c r="AE1167" s="294">
        <f>IF(NFI_Expiration=1,IF($A1167&lt;VLOOKUP(N$5,NFI,5,0),1,0)*Table_NFI[[#This Row],[Kitchen Set]],Table_NFI[Kitchen Set])</f>
        <v>0</v>
      </c>
      <c r="AF1167" s="294">
        <f>IF(NFI_Expiration=1,IF($A1167&lt;VLOOKUP(O$5,NFI,5,0),1,0)*Table_NFI[[#This Row],[Clothes Kit]],Table_NFI[Clothes Kit])</f>
        <v>0</v>
      </c>
      <c r="AG1167" s="294">
        <f>IF(NFI_Expiration=1,IF($A1167&lt;VLOOKUP(P$5,NFI,5,0),1,0)*Table_NFI[[#This Row],[Plastic Bucket]],Table_NFI[Plastic Bucket])</f>
        <v>0</v>
      </c>
      <c r="AH1167" s="294">
        <f>IF(NFI_Expiration=1,IF($A1167&lt;VLOOKUP(Q$5,NFI,5,0),1,0)*Table_NFI[[#This Row],[Plastic Mat]],Table_NFI[Plastic Mat])*IF(Table_NFI[[#This Row],[Distribution Date]]&gt;"2014-04-01",1,2.5)</f>
        <v>0</v>
      </c>
      <c r="AI1167" s="294">
        <f>IF(NFI_Expiration=1,IF($A1167&lt;VLOOKUP(R$5,NFI,5,0),1,0)*Table_NFI[[#This Row],[Winter Clothes Adult]],Table_NFI[Winter Clothes Adult])</f>
        <v>0</v>
      </c>
      <c r="AJ1167" s="294">
        <f>IF(NFI_Expiration=1,IF($A1167&lt;VLOOKUP(S$5,NFI,5,0),1,0)*Table_NFI[[#This Row],[Winter Clothes Children]],Table_NFI[Winter Clothes Children])</f>
        <v>0</v>
      </c>
      <c r="AK1167" s="294">
        <f>IF(NFI_Expiration=1,IF($A1167&lt;VLOOKUP(T$5,NFI,5,0),1,0)*Table_NFI[[#This Row],[Winter Items Other]],Table_NFI[Winter Items Other])</f>
        <v>0</v>
      </c>
      <c r="AL1167" s="294">
        <f>IF(NFI_Expiration=1,IF($A1167&lt;VLOOKUP(M$5,NFI,5,0),1,0)*Table_NFI[[#This Row],[Winter Blanket]],Table_NFI[[#This Row],[Winter Blanket]])</f>
        <v>0</v>
      </c>
      <c r="AM1167" s="294">
        <f>IF(Table_NFI[[#This Row],[Winter Clothes Adult]]+Table_NFI[[#This Row],[Winter Clothes Children]]+Table_NFI[[#This Row],[Winter Items Other]]+Table_NFI[[#This Row],[Winter Blanket]]&gt;0,1,0)</f>
        <v>0</v>
      </c>
      <c r="AN1167" s="331">
        <f>IF(NFI_Expiration=1,IF($A1167&lt;VLOOKUP(V$5,NFI,5,0),1,0)*Table_NFI[[#This Row],[Jerry Can]],Table_NFI[Jerry Can])</f>
        <v>0</v>
      </c>
      <c r="AO1167" s="331">
        <f>IF(NFI_Expiration=1,IF($A1167&lt;VLOOKUP(V$5,NFI,5,0),1,0)*Table_NFI[[#This Row],[Shelter Tool kit]],Table_NFI[Shelter Tool kit])</f>
        <v>0</v>
      </c>
      <c r="AP1167" s="331">
        <f>IF(NFI_Expiration=1,IF($A1167&lt;VLOOKUP(V$5,NFI,5,0),1,0)*Table_NFI[[#This Row],[Tent]],Table_NFI[Tent])</f>
        <v>0</v>
      </c>
      <c r="AQ1167" s="467" t="str">
        <f>IFERROR(VLOOKUP(Table_NFI[[#This Row],[Camp Name]],CL,2,0),"")</f>
        <v/>
      </c>
      <c r="AR1167" s="835" t="str">
        <f ca="1">IF(Table_NFI[[#This Row],[Pcode]]="","",IF(OFFSET(CampList[Opening Date],MATCH(Table_NFI[[#This Row],[Pcode]],CampList[CP_Pcode],0)-1,0,1,1)&gt;=NFI_Monitor_Date,1,0))</f>
        <v/>
      </c>
      <c r="AS1167" s="467" t="str">
        <f>IFERROR(VLOOKUP(Table_NFI[[#This Row],[Camp Name]],CL,3,0),"")</f>
        <v/>
      </c>
      <c r="AT1167" s="294" t="str">
        <f ca="1">IF(Table_NFI[[#This Row],[Pcode]]="","",OFFSET(CampList[Priority],MATCH(Table_NFI[[#This Row],[Pcode]],CampList[CP_Pcode],0)-1,0,1,1))</f>
        <v/>
      </c>
      <c r="AU1167" s="293" t="str">
        <f>IFERROR(Table_NFI[[#This Row],[Kitchen Set]]/VLOOKUP(Table_NFI[[#This Row],[Camp Name]],CL,4,0),"")</f>
        <v/>
      </c>
      <c r="AV1167" s="465"/>
      <c r="AW1167" s="468"/>
    </row>
    <row r="1168" spans="1:49" ht="14.45" customHeight="1" x14ac:dyDescent="0.25">
      <c r="A1168" s="297" t="str">
        <f t="shared" si="18"/>
        <v/>
      </c>
      <c r="B1168" s="460"/>
      <c r="C1168" s="461"/>
      <c r="D1168" s="465"/>
      <c r="E1168" s="465"/>
      <c r="F1168" s="465"/>
      <c r="G1168" s="465"/>
      <c r="H1168" s="292"/>
      <c r="I1168" s="292"/>
      <c r="J1168" s="292"/>
      <c r="K1168" s="292"/>
      <c r="L1168" s="292"/>
      <c r="M1168" s="292"/>
      <c r="N1168" s="292"/>
      <c r="O1168" s="292"/>
      <c r="P1168" s="294"/>
      <c r="Q1168" s="294"/>
      <c r="R1168" s="294"/>
      <c r="S1168" s="294"/>
      <c r="T1168" s="294"/>
      <c r="U1168" s="294"/>
      <c r="V1168" s="431"/>
      <c r="W1168" s="331"/>
      <c r="X1168" s="331"/>
      <c r="Y1168" s="294">
        <f>IF(NFI_Expiration=1,IF($A1168&lt;VLOOKUP(H$5,NFI,5,0),1,0)*Table_NFI[[#This Row],[Hygiene Kit]],Table_NFI[Hygiene Kit])</f>
        <v>0</v>
      </c>
      <c r="Z1168" s="294">
        <f>IF(NFI_Expiration=1,IF($A1168&lt;VLOOKUP(I$5,NFI,5,0),1,0)*Table_NFI[[#This Row],[NFI Core Kit]],Table_NFI[NFI Core Kit])</f>
        <v>0</v>
      </c>
      <c r="AA1168" s="294">
        <f>IF(NFI_Expiration=1,IF($A1168&lt;VLOOKUP(J$5,NFI,5,0),1,0)*Table_NFI[[#This Row],[Sanitary Kit]],Table_NFI[Sanitary Kit])</f>
        <v>0</v>
      </c>
      <c r="AB1168" s="294">
        <f>IF(NFI_Expiration=1,IF($A1168&lt;VLOOKUP(K$5,NFI,5,0),1,0)*Table_NFI[[#This Row],[Mosquito net]],Table_NFI[Mosquito net])</f>
        <v>0</v>
      </c>
      <c r="AC1168" s="294">
        <f>IF(NFI_Expiration=1,IF($A1168&lt;VLOOKUP(L$5,NFI,5,0),1,0)*Table_NFI[[#This Row],[Tarpaulin]],Table_NFI[[#This Row],[Tarpaulin]])</f>
        <v>0</v>
      </c>
      <c r="AD1168" s="294">
        <f>IF(NFI_Expiration=1,IF($A1168&lt;VLOOKUP(M$5,NFI,5,0),1,0)*Table_NFI[[#This Row],[Blanket]],Table_NFI[[#This Row],[Blanket]])</f>
        <v>0</v>
      </c>
      <c r="AE1168" s="294">
        <f>IF(NFI_Expiration=1,IF($A1168&lt;VLOOKUP(N$5,NFI,5,0),1,0)*Table_NFI[[#This Row],[Kitchen Set]],Table_NFI[Kitchen Set])</f>
        <v>0</v>
      </c>
      <c r="AF1168" s="294">
        <f>IF(NFI_Expiration=1,IF($A1168&lt;VLOOKUP(O$5,NFI,5,0),1,0)*Table_NFI[[#This Row],[Clothes Kit]],Table_NFI[Clothes Kit])</f>
        <v>0</v>
      </c>
      <c r="AG1168" s="294">
        <f>IF(NFI_Expiration=1,IF($A1168&lt;VLOOKUP(P$5,NFI,5,0),1,0)*Table_NFI[[#This Row],[Plastic Bucket]],Table_NFI[Plastic Bucket])</f>
        <v>0</v>
      </c>
      <c r="AH1168" s="294">
        <f>IF(NFI_Expiration=1,IF($A1168&lt;VLOOKUP(Q$5,NFI,5,0),1,0)*Table_NFI[[#This Row],[Plastic Mat]],Table_NFI[Plastic Mat])*IF(Table_NFI[[#This Row],[Distribution Date]]&gt;"2014-04-01",1,2.5)</f>
        <v>0</v>
      </c>
      <c r="AI1168" s="294">
        <f>IF(NFI_Expiration=1,IF($A1168&lt;VLOOKUP(R$5,NFI,5,0),1,0)*Table_NFI[[#This Row],[Winter Clothes Adult]],Table_NFI[Winter Clothes Adult])</f>
        <v>0</v>
      </c>
      <c r="AJ1168" s="294">
        <f>IF(NFI_Expiration=1,IF($A1168&lt;VLOOKUP(S$5,NFI,5,0),1,0)*Table_NFI[[#This Row],[Winter Clothes Children]],Table_NFI[Winter Clothes Children])</f>
        <v>0</v>
      </c>
      <c r="AK1168" s="294">
        <f>IF(NFI_Expiration=1,IF($A1168&lt;VLOOKUP(T$5,NFI,5,0),1,0)*Table_NFI[[#This Row],[Winter Items Other]],Table_NFI[Winter Items Other])</f>
        <v>0</v>
      </c>
      <c r="AL1168" s="294">
        <f>IF(NFI_Expiration=1,IF($A1168&lt;VLOOKUP(M$5,NFI,5,0),1,0)*Table_NFI[[#This Row],[Winter Blanket]],Table_NFI[[#This Row],[Winter Blanket]])</f>
        <v>0</v>
      </c>
      <c r="AM1168" s="294">
        <f>IF(Table_NFI[[#This Row],[Winter Clothes Adult]]+Table_NFI[[#This Row],[Winter Clothes Children]]+Table_NFI[[#This Row],[Winter Items Other]]+Table_NFI[[#This Row],[Winter Blanket]]&gt;0,1,0)</f>
        <v>0</v>
      </c>
      <c r="AN1168" s="331">
        <f>IF(NFI_Expiration=1,IF($A1168&lt;VLOOKUP(V$5,NFI,5,0),1,0)*Table_NFI[[#This Row],[Jerry Can]],Table_NFI[Jerry Can])</f>
        <v>0</v>
      </c>
      <c r="AO1168" s="331">
        <f>IF(NFI_Expiration=1,IF($A1168&lt;VLOOKUP(V$5,NFI,5,0),1,0)*Table_NFI[[#This Row],[Shelter Tool kit]],Table_NFI[Shelter Tool kit])</f>
        <v>0</v>
      </c>
      <c r="AP1168" s="331">
        <f>IF(NFI_Expiration=1,IF($A1168&lt;VLOOKUP(V$5,NFI,5,0),1,0)*Table_NFI[[#This Row],[Tent]],Table_NFI[Tent])</f>
        <v>0</v>
      </c>
      <c r="AQ1168" s="467" t="str">
        <f>IFERROR(VLOOKUP(Table_NFI[[#This Row],[Camp Name]],CL,2,0),"")</f>
        <v/>
      </c>
      <c r="AR1168" s="835" t="str">
        <f ca="1">IF(Table_NFI[[#This Row],[Pcode]]="","",IF(OFFSET(CampList[Opening Date],MATCH(Table_NFI[[#This Row],[Pcode]],CampList[CP_Pcode],0)-1,0,1,1)&gt;=NFI_Monitor_Date,1,0))</f>
        <v/>
      </c>
      <c r="AS1168" s="467" t="str">
        <f>IFERROR(VLOOKUP(Table_NFI[[#This Row],[Camp Name]],CL,3,0),"")</f>
        <v/>
      </c>
      <c r="AT1168" s="294" t="str">
        <f ca="1">IF(Table_NFI[[#This Row],[Pcode]]="","",OFFSET(CampList[Priority],MATCH(Table_NFI[[#This Row],[Pcode]],CampList[CP_Pcode],0)-1,0,1,1))</f>
        <v/>
      </c>
      <c r="AU1168" s="293" t="str">
        <f>IFERROR(Table_NFI[[#This Row],[Kitchen Set]]/VLOOKUP(Table_NFI[[#This Row],[Camp Name]],CL,4,0),"")</f>
        <v/>
      </c>
      <c r="AV1168" s="465"/>
      <c r="AW1168" s="468"/>
    </row>
    <row r="1169" spans="1:49" ht="14.45" customHeight="1" x14ac:dyDescent="0.25">
      <c r="A1169" s="297" t="str">
        <f t="shared" si="18"/>
        <v/>
      </c>
      <c r="B1169" s="460"/>
      <c r="C1169" s="461"/>
      <c r="D1169" s="465"/>
      <c r="E1169" s="465"/>
      <c r="F1169" s="465"/>
      <c r="G1169" s="465"/>
      <c r="H1169" s="292"/>
      <c r="I1169" s="292"/>
      <c r="J1169" s="292"/>
      <c r="K1169" s="292"/>
      <c r="L1169" s="292"/>
      <c r="M1169" s="292"/>
      <c r="N1169" s="292"/>
      <c r="O1169" s="292"/>
      <c r="P1169" s="294"/>
      <c r="Q1169" s="294"/>
      <c r="R1169" s="294"/>
      <c r="S1169" s="294"/>
      <c r="T1169" s="294"/>
      <c r="U1169" s="294"/>
      <c r="V1169" s="431"/>
      <c r="W1169" s="331"/>
      <c r="X1169" s="331"/>
      <c r="Y1169" s="294">
        <f>IF(NFI_Expiration=1,IF($A1169&lt;VLOOKUP(H$5,NFI,5,0),1,0)*Table_NFI[[#This Row],[Hygiene Kit]],Table_NFI[Hygiene Kit])</f>
        <v>0</v>
      </c>
      <c r="Z1169" s="294">
        <f>IF(NFI_Expiration=1,IF($A1169&lt;VLOOKUP(I$5,NFI,5,0),1,0)*Table_NFI[[#This Row],[NFI Core Kit]],Table_NFI[NFI Core Kit])</f>
        <v>0</v>
      </c>
      <c r="AA1169" s="294">
        <f>IF(NFI_Expiration=1,IF($A1169&lt;VLOOKUP(J$5,NFI,5,0),1,0)*Table_NFI[[#This Row],[Sanitary Kit]],Table_NFI[Sanitary Kit])</f>
        <v>0</v>
      </c>
      <c r="AB1169" s="294">
        <f>IF(NFI_Expiration=1,IF($A1169&lt;VLOOKUP(K$5,NFI,5,0),1,0)*Table_NFI[[#This Row],[Mosquito net]],Table_NFI[Mosquito net])</f>
        <v>0</v>
      </c>
      <c r="AC1169" s="294">
        <f>IF(NFI_Expiration=1,IF($A1169&lt;VLOOKUP(L$5,NFI,5,0),1,0)*Table_NFI[[#This Row],[Tarpaulin]],Table_NFI[[#This Row],[Tarpaulin]])</f>
        <v>0</v>
      </c>
      <c r="AD1169" s="294">
        <f>IF(NFI_Expiration=1,IF($A1169&lt;VLOOKUP(M$5,NFI,5,0),1,0)*Table_NFI[[#This Row],[Blanket]],Table_NFI[[#This Row],[Blanket]])</f>
        <v>0</v>
      </c>
      <c r="AE1169" s="294">
        <f>IF(NFI_Expiration=1,IF($A1169&lt;VLOOKUP(N$5,NFI,5,0),1,0)*Table_NFI[[#This Row],[Kitchen Set]],Table_NFI[Kitchen Set])</f>
        <v>0</v>
      </c>
      <c r="AF1169" s="294">
        <f>IF(NFI_Expiration=1,IF($A1169&lt;VLOOKUP(O$5,NFI,5,0),1,0)*Table_NFI[[#This Row],[Clothes Kit]],Table_NFI[Clothes Kit])</f>
        <v>0</v>
      </c>
      <c r="AG1169" s="294">
        <f>IF(NFI_Expiration=1,IF($A1169&lt;VLOOKUP(P$5,NFI,5,0),1,0)*Table_NFI[[#This Row],[Plastic Bucket]],Table_NFI[Plastic Bucket])</f>
        <v>0</v>
      </c>
      <c r="AH1169" s="294">
        <f>IF(NFI_Expiration=1,IF($A1169&lt;VLOOKUP(Q$5,NFI,5,0),1,0)*Table_NFI[[#This Row],[Plastic Mat]],Table_NFI[Plastic Mat])*IF(Table_NFI[[#This Row],[Distribution Date]]&gt;"2014-04-01",1,2.5)</f>
        <v>0</v>
      </c>
      <c r="AI1169" s="294">
        <f>IF(NFI_Expiration=1,IF($A1169&lt;VLOOKUP(R$5,NFI,5,0),1,0)*Table_NFI[[#This Row],[Winter Clothes Adult]],Table_NFI[Winter Clothes Adult])</f>
        <v>0</v>
      </c>
      <c r="AJ1169" s="294">
        <f>IF(NFI_Expiration=1,IF($A1169&lt;VLOOKUP(S$5,NFI,5,0),1,0)*Table_NFI[[#This Row],[Winter Clothes Children]],Table_NFI[Winter Clothes Children])</f>
        <v>0</v>
      </c>
      <c r="AK1169" s="294">
        <f>IF(NFI_Expiration=1,IF($A1169&lt;VLOOKUP(T$5,NFI,5,0),1,0)*Table_NFI[[#This Row],[Winter Items Other]],Table_NFI[Winter Items Other])</f>
        <v>0</v>
      </c>
      <c r="AL1169" s="294">
        <f>IF(NFI_Expiration=1,IF($A1169&lt;VLOOKUP(M$5,NFI,5,0),1,0)*Table_NFI[[#This Row],[Winter Blanket]],Table_NFI[[#This Row],[Winter Blanket]])</f>
        <v>0</v>
      </c>
      <c r="AM1169" s="294">
        <f>IF(Table_NFI[[#This Row],[Winter Clothes Adult]]+Table_NFI[[#This Row],[Winter Clothes Children]]+Table_NFI[[#This Row],[Winter Items Other]]+Table_NFI[[#This Row],[Winter Blanket]]&gt;0,1,0)</f>
        <v>0</v>
      </c>
      <c r="AN1169" s="331">
        <f>IF(NFI_Expiration=1,IF($A1169&lt;VLOOKUP(V$5,NFI,5,0),1,0)*Table_NFI[[#This Row],[Jerry Can]],Table_NFI[Jerry Can])</f>
        <v>0</v>
      </c>
      <c r="AO1169" s="331">
        <f>IF(NFI_Expiration=1,IF($A1169&lt;VLOOKUP(V$5,NFI,5,0),1,0)*Table_NFI[[#This Row],[Shelter Tool kit]],Table_NFI[Shelter Tool kit])</f>
        <v>0</v>
      </c>
      <c r="AP1169" s="331">
        <f>IF(NFI_Expiration=1,IF($A1169&lt;VLOOKUP(V$5,NFI,5,0),1,0)*Table_NFI[[#This Row],[Tent]],Table_NFI[Tent])</f>
        <v>0</v>
      </c>
      <c r="AQ1169" s="467" t="str">
        <f>IFERROR(VLOOKUP(Table_NFI[[#This Row],[Camp Name]],CL,2,0),"")</f>
        <v/>
      </c>
      <c r="AR1169" s="835" t="str">
        <f ca="1">IF(Table_NFI[[#This Row],[Pcode]]="","",IF(OFFSET(CampList[Opening Date],MATCH(Table_NFI[[#This Row],[Pcode]],CampList[CP_Pcode],0)-1,0,1,1)&gt;=NFI_Monitor_Date,1,0))</f>
        <v/>
      </c>
      <c r="AS1169" s="467" t="str">
        <f>IFERROR(VLOOKUP(Table_NFI[[#This Row],[Camp Name]],CL,3,0),"")</f>
        <v/>
      </c>
      <c r="AT1169" s="294" t="str">
        <f ca="1">IF(Table_NFI[[#This Row],[Pcode]]="","",OFFSET(CampList[Priority],MATCH(Table_NFI[[#This Row],[Pcode]],CampList[CP_Pcode],0)-1,0,1,1))</f>
        <v/>
      </c>
      <c r="AU1169" s="293" t="str">
        <f>IFERROR(Table_NFI[[#This Row],[Kitchen Set]]/VLOOKUP(Table_NFI[[#This Row],[Camp Name]],CL,4,0),"")</f>
        <v/>
      </c>
      <c r="AV1169" s="465"/>
      <c r="AW1169" s="468"/>
    </row>
    <row r="1170" spans="1:49" ht="14.45" customHeight="1" x14ac:dyDescent="0.25">
      <c r="A1170" s="297" t="str">
        <f t="shared" si="18"/>
        <v/>
      </c>
      <c r="B1170" s="460"/>
      <c r="C1170" s="461"/>
      <c r="D1170" s="465"/>
      <c r="E1170" s="465"/>
      <c r="F1170" s="465"/>
      <c r="G1170" s="465"/>
      <c r="H1170" s="292"/>
      <c r="I1170" s="292"/>
      <c r="J1170" s="292"/>
      <c r="K1170" s="292"/>
      <c r="L1170" s="292"/>
      <c r="M1170" s="292"/>
      <c r="N1170" s="292"/>
      <c r="O1170" s="292"/>
      <c r="P1170" s="294"/>
      <c r="Q1170" s="294"/>
      <c r="R1170" s="294"/>
      <c r="S1170" s="294"/>
      <c r="T1170" s="294"/>
      <c r="U1170" s="294"/>
      <c r="V1170" s="431"/>
      <c r="W1170" s="331"/>
      <c r="X1170" s="331"/>
      <c r="Y1170" s="294">
        <f>IF(NFI_Expiration=1,IF($A1170&lt;VLOOKUP(H$5,NFI,5,0),1,0)*Table_NFI[[#This Row],[Hygiene Kit]],Table_NFI[Hygiene Kit])</f>
        <v>0</v>
      </c>
      <c r="Z1170" s="294">
        <f>IF(NFI_Expiration=1,IF($A1170&lt;VLOOKUP(I$5,NFI,5,0),1,0)*Table_NFI[[#This Row],[NFI Core Kit]],Table_NFI[NFI Core Kit])</f>
        <v>0</v>
      </c>
      <c r="AA1170" s="294">
        <f>IF(NFI_Expiration=1,IF($A1170&lt;VLOOKUP(J$5,NFI,5,0),1,0)*Table_NFI[[#This Row],[Sanitary Kit]],Table_NFI[Sanitary Kit])</f>
        <v>0</v>
      </c>
      <c r="AB1170" s="294">
        <f>IF(NFI_Expiration=1,IF($A1170&lt;VLOOKUP(K$5,NFI,5,0),1,0)*Table_NFI[[#This Row],[Mosquito net]],Table_NFI[Mosquito net])</f>
        <v>0</v>
      </c>
      <c r="AC1170" s="294">
        <f>IF(NFI_Expiration=1,IF($A1170&lt;VLOOKUP(L$5,NFI,5,0),1,0)*Table_NFI[[#This Row],[Tarpaulin]],Table_NFI[[#This Row],[Tarpaulin]])</f>
        <v>0</v>
      </c>
      <c r="AD1170" s="294">
        <f>IF(NFI_Expiration=1,IF($A1170&lt;VLOOKUP(M$5,NFI,5,0),1,0)*Table_NFI[[#This Row],[Blanket]],Table_NFI[[#This Row],[Blanket]])</f>
        <v>0</v>
      </c>
      <c r="AE1170" s="294">
        <f>IF(NFI_Expiration=1,IF($A1170&lt;VLOOKUP(N$5,NFI,5,0),1,0)*Table_NFI[[#This Row],[Kitchen Set]],Table_NFI[Kitchen Set])</f>
        <v>0</v>
      </c>
      <c r="AF1170" s="294">
        <f>IF(NFI_Expiration=1,IF($A1170&lt;VLOOKUP(O$5,NFI,5,0),1,0)*Table_NFI[[#This Row],[Clothes Kit]],Table_NFI[Clothes Kit])</f>
        <v>0</v>
      </c>
      <c r="AG1170" s="294">
        <f>IF(NFI_Expiration=1,IF($A1170&lt;VLOOKUP(P$5,NFI,5,0),1,0)*Table_NFI[[#This Row],[Plastic Bucket]],Table_NFI[Plastic Bucket])</f>
        <v>0</v>
      </c>
      <c r="AH1170" s="294">
        <f>IF(NFI_Expiration=1,IF($A1170&lt;VLOOKUP(Q$5,NFI,5,0),1,0)*Table_NFI[[#This Row],[Plastic Mat]],Table_NFI[Plastic Mat])*IF(Table_NFI[[#This Row],[Distribution Date]]&gt;"2014-04-01",1,2.5)</f>
        <v>0</v>
      </c>
      <c r="AI1170" s="294">
        <f>IF(NFI_Expiration=1,IF($A1170&lt;VLOOKUP(R$5,NFI,5,0),1,0)*Table_NFI[[#This Row],[Winter Clothes Adult]],Table_NFI[Winter Clothes Adult])</f>
        <v>0</v>
      </c>
      <c r="AJ1170" s="294">
        <f>IF(NFI_Expiration=1,IF($A1170&lt;VLOOKUP(S$5,NFI,5,0),1,0)*Table_NFI[[#This Row],[Winter Clothes Children]],Table_NFI[Winter Clothes Children])</f>
        <v>0</v>
      </c>
      <c r="AK1170" s="294">
        <f>IF(NFI_Expiration=1,IF($A1170&lt;VLOOKUP(T$5,NFI,5,0),1,0)*Table_NFI[[#This Row],[Winter Items Other]],Table_NFI[Winter Items Other])</f>
        <v>0</v>
      </c>
      <c r="AL1170" s="294">
        <f>IF(NFI_Expiration=1,IF($A1170&lt;VLOOKUP(M$5,NFI,5,0),1,0)*Table_NFI[[#This Row],[Winter Blanket]],Table_NFI[[#This Row],[Winter Blanket]])</f>
        <v>0</v>
      </c>
      <c r="AM1170" s="294">
        <f>IF(Table_NFI[[#This Row],[Winter Clothes Adult]]+Table_NFI[[#This Row],[Winter Clothes Children]]+Table_NFI[[#This Row],[Winter Items Other]]+Table_NFI[[#This Row],[Winter Blanket]]&gt;0,1,0)</f>
        <v>0</v>
      </c>
      <c r="AN1170" s="331">
        <f>IF(NFI_Expiration=1,IF($A1170&lt;VLOOKUP(V$5,NFI,5,0),1,0)*Table_NFI[[#This Row],[Jerry Can]],Table_NFI[Jerry Can])</f>
        <v>0</v>
      </c>
      <c r="AO1170" s="331">
        <f>IF(NFI_Expiration=1,IF($A1170&lt;VLOOKUP(V$5,NFI,5,0),1,0)*Table_NFI[[#This Row],[Shelter Tool kit]],Table_NFI[Shelter Tool kit])</f>
        <v>0</v>
      </c>
      <c r="AP1170" s="331">
        <f>IF(NFI_Expiration=1,IF($A1170&lt;VLOOKUP(V$5,NFI,5,0),1,0)*Table_NFI[[#This Row],[Tent]],Table_NFI[Tent])</f>
        <v>0</v>
      </c>
      <c r="AQ1170" s="467" t="str">
        <f>IFERROR(VLOOKUP(Table_NFI[[#This Row],[Camp Name]],CL,2,0),"")</f>
        <v/>
      </c>
      <c r="AR1170" s="835" t="str">
        <f ca="1">IF(Table_NFI[[#This Row],[Pcode]]="","",IF(OFFSET(CampList[Opening Date],MATCH(Table_NFI[[#This Row],[Pcode]],CampList[CP_Pcode],0)-1,0,1,1)&gt;=NFI_Monitor_Date,1,0))</f>
        <v/>
      </c>
      <c r="AS1170" s="467" t="str">
        <f>IFERROR(VLOOKUP(Table_NFI[[#This Row],[Camp Name]],CL,3,0),"")</f>
        <v/>
      </c>
      <c r="AT1170" s="294" t="str">
        <f ca="1">IF(Table_NFI[[#This Row],[Pcode]]="","",OFFSET(CampList[Priority],MATCH(Table_NFI[[#This Row],[Pcode]],CampList[CP_Pcode],0)-1,0,1,1))</f>
        <v/>
      </c>
      <c r="AU1170" s="293" t="str">
        <f>IFERROR(Table_NFI[[#This Row],[Kitchen Set]]/VLOOKUP(Table_NFI[[#This Row],[Camp Name]],CL,4,0),"")</f>
        <v/>
      </c>
      <c r="AV1170" s="465"/>
      <c r="AW1170" s="468"/>
    </row>
    <row r="1171" spans="1:49" ht="14.45" customHeight="1" x14ac:dyDescent="0.25">
      <c r="A1171" s="297" t="str">
        <f t="shared" si="18"/>
        <v/>
      </c>
      <c r="B1171" s="460"/>
      <c r="C1171" s="461"/>
      <c r="D1171" s="465"/>
      <c r="E1171" s="465"/>
      <c r="F1171" s="465"/>
      <c r="G1171" s="465"/>
      <c r="H1171" s="292"/>
      <c r="I1171" s="292"/>
      <c r="J1171" s="292"/>
      <c r="K1171" s="292"/>
      <c r="L1171" s="292"/>
      <c r="M1171" s="292"/>
      <c r="N1171" s="292"/>
      <c r="O1171" s="292"/>
      <c r="P1171" s="294"/>
      <c r="Q1171" s="294"/>
      <c r="R1171" s="294"/>
      <c r="S1171" s="294"/>
      <c r="T1171" s="294"/>
      <c r="U1171" s="294"/>
      <c r="V1171" s="431"/>
      <c r="W1171" s="331"/>
      <c r="X1171" s="331"/>
      <c r="Y1171" s="294">
        <f>IF(NFI_Expiration=1,IF($A1171&lt;VLOOKUP(H$5,NFI,5,0),1,0)*Table_NFI[[#This Row],[Hygiene Kit]],Table_NFI[Hygiene Kit])</f>
        <v>0</v>
      </c>
      <c r="Z1171" s="294">
        <f>IF(NFI_Expiration=1,IF($A1171&lt;VLOOKUP(I$5,NFI,5,0),1,0)*Table_NFI[[#This Row],[NFI Core Kit]],Table_NFI[NFI Core Kit])</f>
        <v>0</v>
      </c>
      <c r="AA1171" s="294">
        <f>IF(NFI_Expiration=1,IF($A1171&lt;VLOOKUP(J$5,NFI,5,0),1,0)*Table_NFI[[#This Row],[Sanitary Kit]],Table_NFI[Sanitary Kit])</f>
        <v>0</v>
      </c>
      <c r="AB1171" s="294">
        <f>IF(NFI_Expiration=1,IF($A1171&lt;VLOOKUP(K$5,NFI,5,0),1,0)*Table_NFI[[#This Row],[Mosquito net]],Table_NFI[Mosquito net])</f>
        <v>0</v>
      </c>
      <c r="AC1171" s="294">
        <f>IF(NFI_Expiration=1,IF($A1171&lt;VLOOKUP(L$5,NFI,5,0),1,0)*Table_NFI[[#This Row],[Tarpaulin]],Table_NFI[[#This Row],[Tarpaulin]])</f>
        <v>0</v>
      </c>
      <c r="AD1171" s="294">
        <f>IF(NFI_Expiration=1,IF($A1171&lt;VLOOKUP(M$5,NFI,5,0),1,0)*Table_NFI[[#This Row],[Blanket]],Table_NFI[[#This Row],[Blanket]])</f>
        <v>0</v>
      </c>
      <c r="AE1171" s="294">
        <f>IF(NFI_Expiration=1,IF($A1171&lt;VLOOKUP(N$5,NFI,5,0),1,0)*Table_NFI[[#This Row],[Kitchen Set]],Table_NFI[Kitchen Set])</f>
        <v>0</v>
      </c>
      <c r="AF1171" s="294">
        <f>IF(NFI_Expiration=1,IF($A1171&lt;VLOOKUP(O$5,NFI,5,0),1,0)*Table_NFI[[#This Row],[Clothes Kit]],Table_NFI[Clothes Kit])</f>
        <v>0</v>
      </c>
      <c r="AG1171" s="294">
        <f>IF(NFI_Expiration=1,IF($A1171&lt;VLOOKUP(P$5,NFI,5,0),1,0)*Table_NFI[[#This Row],[Plastic Bucket]],Table_NFI[Plastic Bucket])</f>
        <v>0</v>
      </c>
      <c r="AH1171" s="294">
        <f>IF(NFI_Expiration=1,IF($A1171&lt;VLOOKUP(Q$5,NFI,5,0),1,0)*Table_NFI[[#This Row],[Plastic Mat]],Table_NFI[Plastic Mat])*IF(Table_NFI[[#This Row],[Distribution Date]]&gt;"2014-04-01",1,2.5)</f>
        <v>0</v>
      </c>
      <c r="AI1171" s="294">
        <f>IF(NFI_Expiration=1,IF($A1171&lt;VLOOKUP(R$5,NFI,5,0),1,0)*Table_NFI[[#This Row],[Winter Clothes Adult]],Table_NFI[Winter Clothes Adult])</f>
        <v>0</v>
      </c>
      <c r="AJ1171" s="294">
        <f>IF(NFI_Expiration=1,IF($A1171&lt;VLOOKUP(S$5,NFI,5,0),1,0)*Table_NFI[[#This Row],[Winter Clothes Children]],Table_NFI[Winter Clothes Children])</f>
        <v>0</v>
      </c>
      <c r="AK1171" s="294">
        <f>IF(NFI_Expiration=1,IF($A1171&lt;VLOOKUP(T$5,NFI,5,0),1,0)*Table_NFI[[#This Row],[Winter Items Other]],Table_NFI[Winter Items Other])</f>
        <v>0</v>
      </c>
      <c r="AL1171" s="294">
        <f>IF(NFI_Expiration=1,IF($A1171&lt;VLOOKUP(M$5,NFI,5,0),1,0)*Table_NFI[[#This Row],[Winter Blanket]],Table_NFI[[#This Row],[Winter Blanket]])</f>
        <v>0</v>
      </c>
      <c r="AM1171" s="294">
        <f>IF(Table_NFI[[#This Row],[Winter Clothes Adult]]+Table_NFI[[#This Row],[Winter Clothes Children]]+Table_NFI[[#This Row],[Winter Items Other]]+Table_NFI[[#This Row],[Winter Blanket]]&gt;0,1,0)</f>
        <v>0</v>
      </c>
      <c r="AN1171" s="331">
        <f>IF(NFI_Expiration=1,IF($A1171&lt;VLOOKUP(V$5,NFI,5,0),1,0)*Table_NFI[[#This Row],[Jerry Can]],Table_NFI[Jerry Can])</f>
        <v>0</v>
      </c>
      <c r="AO1171" s="331">
        <f>IF(NFI_Expiration=1,IF($A1171&lt;VLOOKUP(V$5,NFI,5,0),1,0)*Table_NFI[[#This Row],[Shelter Tool kit]],Table_NFI[Shelter Tool kit])</f>
        <v>0</v>
      </c>
      <c r="AP1171" s="331">
        <f>IF(NFI_Expiration=1,IF($A1171&lt;VLOOKUP(V$5,NFI,5,0),1,0)*Table_NFI[[#This Row],[Tent]],Table_NFI[Tent])</f>
        <v>0</v>
      </c>
      <c r="AQ1171" s="467" t="str">
        <f>IFERROR(VLOOKUP(Table_NFI[[#This Row],[Camp Name]],CL,2,0),"")</f>
        <v/>
      </c>
      <c r="AR1171" s="835" t="str">
        <f ca="1">IF(Table_NFI[[#This Row],[Pcode]]="","",IF(OFFSET(CampList[Opening Date],MATCH(Table_NFI[[#This Row],[Pcode]],CampList[CP_Pcode],0)-1,0,1,1)&gt;=NFI_Monitor_Date,1,0))</f>
        <v/>
      </c>
      <c r="AS1171" s="467" t="str">
        <f>IFERROR(VLOOKUP(Table_NFI[[#This Row],[Camp Name]],CL,3,0),"")</f>
        <v/>
      </c>
      <c r="AT1171" s="294" t="str">
        <f ca="1">IF(Table_NFI[[#This Row],[Pcode]]="","",OFFSET(CampList[Priority],MATCH(Table_NFI[[#This Row],[Pcode]],CampList[CP_Pcode],0)-1,0,1,1))</f>
        <v/>
      </c>
      <c r="AU1171" s="293" t="str">
        <f>IFERROR(Table_NFI[[#This Row],[Kitchen Set]]/VLOOKUP(Table_NFI[[#This Row],[Camp Name]],CL,4,0),"")</f>
        <v/>
      </c>
      <c r="AV1171" s="461"/>
      <c r="AW1171" s="463"/>
    </row>
    <row r="1172" spans="1:49" ht="14.45" customHeight="1" x14ac:dyDescent="0.25">
      <c r="A1172" s="297" t="str">
        <f t="shared" si="18"/>
        <v/>
      </c>
      <c r="B1172" s="460"/>
      <c r="C1172" s="461"/>
      <c r="D1172" s="465"/>
      <c r="E1172" s="465"/>
      <c r="F1172" s="465"/>
      <c r="G1172" s="465"/>
      <c r="H1172" s="292"/>
      <c r="I1172" s="292"/>
      <c r="J1172" s="292"/>
      <c r="K1172" s="292"/>
      <c r="L1172" s="292"/>
      <c r="M1172" s="292"/>
      <c r="N1172" s="292"/>
      <c r="O1172" s="292"/>
      <c r="P1172" s="294"/>
      <c r="Q1172" s="294"/>
      <c r="R1172" s="294"/>
      <c r="S1172" s="294"/>
      <c r="T1172" s="294"/>
      <c r="U1172" s="294"/>
      <c r="V1172" s="431"/>
      <c r="W1172" s="331"/>
      <c r="X1172" s="331"/>
      <c r="Y1172" s="294">
        <f>IF(NFI_Expiration=1,IF($A1172&lt;VLOOKUP(H$5,NFI,5,0),1,0)*Table_NFI[[#This Row],[Hygiene Kit]],Table_NFI[Hygiene Kit])</f>
        <v>0</v>
      </c>
      <c r="Z1172" s="294">
        <f>IF(NFI_Expiration=1,IF($A1172&lt;VLOOKUP(I$5,NFI,5,0),1,0)*Table_NFI[[#This Row],[NFI Core Kit]],Table_NFI[NFI Core Kit])</f>
        <v>0</v>
      </c>
      <c r="AA1172" s="294">
        <f>IF(NFI_Expiration=1,IF($A1172&lt;VLOOKUP(J$5,NFI,5,0),1,0)*Table_NFI[[#This Row],[Sanitary Kit]],Table_NFI[Sanitary Kit])</f>
        <v>0</v>
      </c>
      <c r="AB1172" s="294">
        <f>IF(NFI_Expiration=1,IF($A1172&lt;VLOOKUP(K$5,NFI,5,0),1,0)*Table_NFI[[#This Row],[Mosquito net]],Table_NFI[Mosquito net])</f>
        <v>0</v>
      </c>
      <c r="AC1172" s="294">
        <f>IF(NFI_Expiration=1,IF($A1172&lt;VLOOKUP(L$5,NFI,5,0),1,0)*Table_NFI[[#This Row],[Tarpaulin]],Table_NFI[[#This Row],[Tarpaulin]])</f>
        <v>0</v>
      </c>
      <c r="AD1172" s="294">
        <f>IF(NFI_Expiration=1,IF($A1172&lt;VLOOKUP(M$5,NFI,5,0),1,0)*Table_NFI[[#This Row],[Blanket]],Table_NFI[[#This Row],[Blanket]])</f>
        <v>0</v>
      </c>
      <c r="AE1172" s="294">
        <f>IF(NFI_Expiration=1,IF($A1172&lt;VLOOKUP(N$5,NFI,5,0),1,0)*Table_NFI[[#This Row],[Kitchen Set]],Table_NFI[Kitchen Set])</f>
        <v>0</v>
      </c>
      <c r="AF1172" s="294">
        <f>IF(NFI_Expiration=1,IF($A1172&lt;VLOOKUP(O$5,NFI,5,0),1,0)*Table_NFI[[#This Row],[Clothes Kit]],Table_NFI[Clothes Kit])</f>
        <v>0</v>
      </c>
      <c r="AG1172" s="294">
        <f>IF(NFI_Expiration=1,IF($A1172&lt;VLOOKUP(P$5,NFI,5,0),1,0)*Table_NFI[[#This Row],[Plastic Bucket]],Table_NFI[Plastic Bucket])</f>
        <v>0</v>
      </c>
      <c r="AH1172" s="294">
        <f>IF(NFI_Expiration=1,IF($A1172&lt;VLOOKUP(Q$5,NFI,5,0),1,0)*Table_NFI[[#This Row],[Plastic Mat]],Table_NFI[Plastic Mat])*IF(Table_NFI[[#This Row],[Distribution Date]]&gt;"2014-04-01",1,2.5)</f>
        <v>0</v>
      </c>
      <c r="AI1172" s="294">
        <f>IF(NFI_Expiration=1,IF($A1172&lt;VLOOKUP(R$5,NFI,5,0),1,0)*Table_NFI[[#This Row],[Winter Clothes Adult]],Table_NFI[Winter Clothes Adult])</f>
        <v>0</v>
      </c>
      <c r="AJ1172" s="294">
        <f>IF(NFI_Expiration=1,IF($A1172&lt;VLOOKUP(S$5,NFI,5,0),1,0)*Table_NFI[[#This Row],[Winter Clothes Children]],Table_NFI[Winter Clothes Children])</f>
        <v>0</v>
      </c>
      <c r="AK1172" s="294">
        <f>IF(NFI_Expiration=1,IF($A1172&lt;VLOOKUP(T$5,NFI,5,0),1,0)*Table_NFI[[#This Row],[Winter Items Other]],Table_NFI[Winter Items Other])</f>
        <v>0</v>
      </c>
      <c r="AL1172" s="294">
        <f>IF(NFI_Expiration=1,IF($A1172&lt;VLOOKUP(M$5,NFI,5,0),1,0)*Table_NFI[[#This Row],[Winter Blanket]],Table_NFI[[#This Row],[Winter Blanket]])</f>
        <v>0</v>
      </c>
      <c r="AM1172" s="294">
        <f>IF(Table_NFI[[#This Row],[Winter Clothes Adult]]+Table_NFI[[#This Row],[Winter Clothes Children]]+Table_NFI[[#This Row],[Winter Items Other]]+Table_NFI[[#This Row],[Winter Blanket]]&gt;0,1,0)</f>
        <v>0</v>
      </c>
      <c r="AN1172" s="331">
        <f>IF(NFI_Expiration=1,IF($A1172&lt;VLOOKUP(V$5,NFI,5,0),1,0)*Table_NFI[[#This Row],[Jerry Can]],Table_NFI[Jerry Can])</f>
        <v>0</v>
      </c>
      <c r="AO1172" s="331">
        <f>IF(NFI_Expiration=1,IF($A1172&lt;VLOOKUP(V$5,NFI,5,0),1,0)*Table_NFI[[#This Row],[Shelter Tool kit]],Table_NFI[Shelter Tool kit])</f>
        <v>0</v>
      </c>
      <c r="AP1172" s="331">
        <f>IF(NFI_Expiration=1,IF($A1172&lt;VLOOKUP(V$5,NFI,5,0),1,0)*Table_NFI[[#This Row],[Tent]],Table_NFI[Tent])</f>
        <v>0</v>
      </c>
      <c r="AQ1172" s="467" t="str">
        <f>IFERROR(VLOOKUP(Table_NFI[[#This Row],[Camp Name]],CL,2,0),"")</f>
        <v/>
      </c>
      <c r="AR1172" s="835" t="str">
        <f ca="1">IF(Table_NFI[[#This Row],[Pcode]]="","",IF(OFFSET(CampList[Opening Date],MATCH(Table_NFI[[#This Row],[Pcode]],CampList[CP_Pcode],0)-1,0,1,1)&gt;=NFI_Monitor_Date,1,0))</f>
        <v/>
      </c>
      <c r="AS1172" s="467" t="str">
        <f>IFERROR(VLOOKUP(Table_NFI[[#This Row],[Camp Name]],CL,3,0),"")</f>
        <v/>
      </c>
      <c r="AT1172" s="294" t="str">
        <f ca="1">IF(Table_NFI[[#This Row],[Pcode]]="","",OFFSET(CampList[Priority],MATCH(Table_NFI[[#This Row],[Pcode]],CampList[CP_Pcode],0)-1,0,1,1))</f>
        <v/>
      </c>
      <c r="AU1172" s="293" t="str">
        <f>IFERROR(Table_NFI[[#This Row],[Kitchen Set]]/VLOOKUP(Table_NFI[[#This Row],[Camp Name]],CL,4,0),"")</f>
        <v/>
      </c>
      <c r="AV1172" s="465"/>
      <c r="AW1172" s="468"/>
    </row>
    <row r="1173" spans="1:49" ht="14.45" customHeight="1" x14ac:dyDescent="0.25">
      <c r="A1173" s="297" t="str">
        <f t="shared" si="18"/>
        <v/>
      </c>
      <c r="B1173" s="460"/>
      <c r="C1173" s="461"/>
      <c r="D1173" s="465"/>
      <c r="E1173" s="465"/>
      <c r="F1173" s="465"/>
      <c r="G1173" s="465"/>
      <c r="H1173" s="292"/>
      <c r="I1173" s="292"/>
      <c r="J1173" s="292"/>
      <c r="K1173" s="292"/>
      <c r="L1173" s="292"/>
      <c r="M1173" s="292"/>
      <c r="N1173" s="292"/>
      <c r="O1173" s="292"/>
      <c r="P1173" s="294"/>
      <c r="Q1173" s="294"/>
      <c r="R1173" s="294"/>
      <c r="S1173" s="294"/>
      <c r="T1173" s="294"/>
      <c r="U1173" s="294"/>
      <c r="V1173" s="431"/>
      <c r="W1173" s="331"/>
      <c r="X1173" s="331"/>
      <c r="Y1173" s="294">
        <f>IF(NFI_Expiration=1,IF($A1173&lt;VLOOKUP(H$5,NFI,5,0),1,0)*Table_NFI[[#This Row],[Hygiene Kit]],Table_NFI[Hygiene Kit])</f>
        <v>0</v>
      </c>
      <c r="Z1173" s="294">
        <f>IF(NFI_Expiration=1,IF($A1173&lt;VLOOKUP(I$5,NFI,5,0),1,0)*Table_NFI[[#This Row],[NFI Core Kit]],Table_NFI[NFI Core Kit])</f>
        <v>0</v>
      </c>
      <c r="AA1173" s="294">
        <f>IF(NFI_Expiration=1,IF($A1173&lt;VLOOKUP(J$5,NFI,5,0),1,0)*Table_NFI[[#This Row],[Sanitary Kit]],Table_NFI[Sanitary Kit])</f>
        <v>0</v>
      </c>
      <c r="AB1173" s="294">
        <f>IF(NFI_Expiration=1,IF($A1173&lt;VLOOKUP(K$5,NFI,5,0),1,0)*Table_NFI[[#This Row],[Mosquito net]],Table_NFI[Mosquito net])</f>
        <v>0</v>
      </c>
      <c r="AC1173" s="294">
        <f>IF(NFI_Expiration=1,IF($A1173&lt;VLOOKUP(L$5,NFI,5,0),1,0)*Table_NFI[[#This Row],[Tarpaulin]],Table_NFI[[#This Row],[Tarpaulin]])</f>
        <v>0</v>
      </c>
      <c r="AD1173" s="294">
        <f>IF(NFI_Expiration=1,IF($A1173&lt;VLOOKUP(M$5,NFI,5,0),1,0)*Table_NFI[[#This Row],[Blanket]],Table_NFI[[#This Row],[Blanket]])</f>
        <v>0</v>
      </c>
      <c r="AE1173" s="294">
        <f>IF(NFI_Expiration=1,IF($A1173&lt;VLOOKUP(N$5,NFI,5,0),1,0)*Table_NFI[[#This Row],[Kitchen Set]],Table_NFI[Kitchen Set])</f>
        <v>0</v>
      </c>
      <c r="AF1173" s="294">
        <f>IF(NFI_Expiration=1,IF($A1173&lt;VLOOKUP(O$5,NFI,5,0),1,0)*Table_NFI[[#This Row],[Clothes Kit]],Table_NFI[Clothes Kit])</f>
        <v>0</v>
      </c>
      <c r="AG1173" s="294">
        <f>IF(NFI_Expiration=1,IF($A1173&lt;VLOOKUP(P$5,NFI,5,0),1,0)*Table_NFI[[#This Row],[Plastic Bucket]],Table_NFI[Plastic Bucket])</f>
        <v>0</v>
      </c>
      <c r="AH1173" s="294">
        <f>IF(NFI_Expiration=1,IF($A1173&lt;VLOOKUP(Q$5,NFI,5,0),1,0)*Table_NFI[[#This Row],[Plastic Mat]],Table_NFI[Plastic Mat])*IF(Table_NFI[[#This Row],[Distribution Date]]&gt;"2014-04-01",1,2.5)</f>
        <v>0</v>
      </c>
      <c r="AI1173" s="294">
        <f>IF(NFI_Expiration=1,IF($A1173&lt;VLOOKUP(R$5,NFI,5,0),1,0)*Table_NFI[[#This Row],[Winter Clothes Adult]],Table_NFI[Winter Clothes Adult])</f>
        <v>0</v>
      </c>
      <c r="AJ1173" s="294">
        <f>IF(NFI_Expiration=1,IF($A1173&lt;VLOOKUP(S$5,NFI,5,0),1,0)*Table_NFI[[#This Row],[Winter Clothes Children]],Table_NFI[Winter Clothes Children])</f>
        <v>0</v>
      </c>
      <c r="AK1173" s="294">
        <f>IF(NFI_Expiration=1,IF($A1173&lt;VLOOKUP(T$5,NFI,5,0),1,0)*Table_NFI[[#This Row],[Winter Items Other]],Table_NFI[Winter Items Other])</f>
        <v>0</v>
      </c>
      <c r="AL1173" s="294">
        <f>IF(NFI_Expiration=1,IF($A1173&lt;VLOOKUP(M$5,NFI,5,0),1,0)*Table_NFI[[#This Row],[Winter Blanket]],Table_NFI[[#This Row],[Winter Blanket]])</f>
        <v>0</v>
      </c>
      <c r="AM1173" s="294">
        <f>IF(Table_NFI[[#This Row],[Winter Clothes Adult]]+Table_NFI[[#This Row],[Winter Clothes Children]]+Table_NFI[[#This Row],[Winter Items Other]]+Table_NFI[[#This Row],[Winter Blanket]]&gt;0,1,0)</f>
        <v>0</v>
      </c>
      <c r="AN1173" s="331">
        <f>IF(NFI_Expiration=1,IF($A1173&lt;VLOOKUP(V$5,NFI,5,0),1,0)*Table_NFI[[#This Row],[Jerry Can]],Table_NFI[Jerry Can])</f>
        <v>0</v>
      </c>
      <c r="AO1173" s="331">
        <f>IF(NFI_Expiration=1,IF($A1173&lt;VLOOKUP(V$5,NFI,5,0),1,0)*Table_NFI[[#This Row],[Shelter Tool kit]],Table_NFI[Shelter Tool kit])</f>
        <v>0</v>
      </c>
      <c r="AP1173" s="331">
        <f>IF(NFI_Expiration=1,IF($A1173&lt;VLOOKUP(V$5,NFI,5,0),1,0)*Table_NFI[[#This Row],[Tent]],Table_NFI[Tent])</f>
        <v>0</v>
      </c>
      <c r="AQ1173" s="467" t="str">
        <f>IFERROR(VLOOKUP(Table_NFI[[#This Row],[Camp Name]],CL,2,0),"")</f>
        <v/>
      </c>
      <c r="AR1173" s="835" t="str">
        <f ca="1">IF(Table_NFI[[#This Row],[Pcode]]="","",IF(OFFSET(CampList[Opening Date],MATCH(Table_NFI[[#This Row],[Pcode]],CampList[CP_Pcode],0)-1,0,1,1)&gt;=NFI_Monitor_Date,1,0))</f>
        <v/>
      </c>
      <c r="AS1173" s="467" t="str">
        <f>IFERROR(VLOOKUP(Table_NFI[[#This Row],[Camp Name]],CL,3,0),"")</f>
        <v/>
      </c>
      <c r="AT1173" s="294" t="str">
        <f ca="1">IF(Table_NFI[[#This Row],[Pcode]]="","",OFFSET(CampList[Priority],MATCH(Table_NFI[[#This Row],[Pcode]],CampList[CP_Pcode],0)-1,0,1,1))</f>
        <v/>
      </c>
      <c r="AU1173" s="293" t="str">
        <f>IFERROR(Table_NFI[[#This Row],[Kitchen Set]]/VLOOKUP(Table_NFI[[#This Row],[Camp Name]],CL,4,0),"")</f>
        <v/>
      </c>
      <c r="AV1173" s="465"/>
      <c r="AW1173" s="468"/>
    </row>
    <row r="1174" spans="1:49" ht="14.45" customHeight="1" x14ac:dyDescent="0.25">
      <c r="A1174" s="297" t="str">
        <f t="shared" si="18"/>
        <v/>
      </c>
      <c r="B1174" s="460"/>
      <c r="C1174" s="461"/>
      <c r="D1174" s="465"/>
      <c r="E1174" s="465"/>
      <c r="F1174" s="465"/>
      <c r="G1174" s="465"/>
      <c r="H1174" s="292"/>
      <c r="I1174" s="292"/>
      <c r="J1174" s="292"/>
      <c r="K1174" s="292"/>
      <c r="L1174" s="292"/>
      <c r="M1174" s="292"/>
      <c r="N1174" s="292"/>
      <c r="O1174" s="292"/>
      <c r="P1174" s="294"/>
      <c r="Q1174" s="294"/>
      <c r="R1174" s="294"/>
      <c r="S1174" s="294"/>
      <c r="T1174" s="294"/>
      <c r="U1174" s="294"/>
      <c r="V1174" s="431"/>
      <c r="W1174" s="331"/>
      <c r="X1174" s="331"/>
      <c r="Y1174" s="294">
        <f>IF(NFI_Expiration=1,IF($A1174&lt;VLOOKUP(H$5,NFI,5,0),1,0)*Table_NFI[[#This Row],[Hygiene Kit]],Table_NFI[Hygiene Kit])</f>
        <v>0</v>
      </c>
      <c r="Z1174" s="294">
        <f>IF(NFI_Expiration=1,IF($A1174&lt;VLOOKUP(I$5,NFI,5,0),1,0)*Table_NFI[[#This Row],[NFI Core Kit]],Table_NFI[NFI Core Kit])</f>
        <v>0</v>
      </c>
      <c r="AA1174" s="294">
        <f>IF(NFI_Expiration=1,IF($A1174&lt;VLOOKUP(J$5,NFI,5,0),1,0)*Table_NFI[[#This Row],[Sanitary Kit]],Table_NFI[Sanitary Kit])</f>
        <v>0</v>
      </c>
      <c r="AB1174" s="294">
        <f>IF(NFI_Expiration=1,IF($A1174&lt;VLOOKUP(K$5,NFI,5,0),1,0)*Table_NFI[[#This Row],[Mosquito net]],Table_NFI[Mosquito net])</f>
        <v>0</v>
      </c>
      <c r="AC1174" s="294">
        <f>IF(NFI_Expiration=1,IF($A1174&lt;VLOOKUP(L$5,NFI,5,0),1,0)*Table_NFI[[#This Row],[Tarpaulin]],Table_NFI[[#This Row],[Tarpaulin]])</f>
        <v>0</v>
      </c>
      <c r="AD1174" s="294">
        <f>IF(NFI_Expiration=1,IF($A1174&lt;VLOOKUP(M$5,NFI,5,0),1,0)*Table_NFI[[#This Row],[Blanket]],Table_NFI[[#This Row],[Blanket]])</f>
        <v>0</v>
      </c>
      <c r="AE1174" s="294">
        <f>IF(NFI_Expiration=1,IF($A1174&lt;VLOOKUP(N$5,NFI,5,0),1,0)*Table_NFI[[#This Row],[Kitchen Set]],Table_NFI[Kitchen Set])</f>
        <v>0</v>
      </c>
      <c r="AF1174" s="294">
        <f>IF(NFI_Expiration=1,IF($A1174&lt;VLOOKUP(O$5,NFI,5,0),1,0)*Table_NFI[[#This Row],[Clothes Kit]],Table_NFI[Clothes Kit])</f>
        <v>0</v>
      </c>
      <c r="AG1174" s="294">
        <f>IF(NFI_Expiration=1,IF($A1174&lt;VLOOKUP(P$5,NFI,5,0),1,0)*Table_NFI[[#This Row],[Plastic Bucket]],Table_NFI[Plastic Bucket])</f>
        <v>0</v>
      </c>
      <c r="AH1174" s="294">
        <f>IF(NFI_Expiration=1,IF($A1174&lt;VLOOKUP(Q$5,NFI,5,0),1,0)*Table_NFI[[#This Row],[Plastic Mat]],Table_NFI[Plastic Mat])*IF(Table_NFI[[#This Row],[Distribution Date]]&gt;"2014-04-01",1,2.5)</f>
        <v>0</v>
      </c>
      <c r="AI1174" s="294">
        <f>IF(NFI_Expiration=1,IF($A1174&lt;VLOOKUP(R$5,NFI,5,0),1,0)*Table_NFI[[#This Row],[Winter Clothes Adult]],Table_NFI[Winter Clothes Adult])</f>
        <v>0</v>
      </c>
      <c r="AJ1174" s="294">
        <f>IF(NFI_Expiration=1,IF($A1174&lt;VLOOKUP(S$5,NFI,5,0),1,0)*Table_NFI[[#This Row],[Winter Clothes Children]],Table_NFI[Winter Clothes Children])</f>
        <v>0</v>
      </c>
      <c r="AK1174" s="294">
        <f>IF(NFI_Expiration=1,IF($A1174&lt;VLOOKUP(T$5,NFI,5,0),1,0)*Table_NFI[[#This Row],[Winter Items Other]],Table_NFI[Winter Items Other])</f>
        <v>0</v>
      </c>
      <c r="AL1174" s="294">
        <f>IF(NFI_Expiration=1,IF($A1174&lt;VLOOKUP(M$5,NFI,5,0),1,0)*Table_NFI[[#This Row],[Winter Blanket]],Table_NFI[[#This Row],[Winter Blanket]])</f>
        <v>0</v>
      </c>
      <c r="AM1174" s="294">
        <f>IF(Table_NFI[[#This Row],[Winter Clothes Adult]]+Table_NFI[[#This Row],[Winter Clothes Children]]+Table_NFI[[#This Row],[Winter Items Other]]+Table_NFI[[#This Row],[Winter Blanket]]&gt;0,1,0)</f>
        <v>0</v>
      </c>
      <c r="AN1174" s="331">
        <f>IF(NFI_Expiration=1,IF($A1174&lt;VLOOKUP(V$5,NFI,5,0),1,0)*Table_NFI[[#This Row],[Jerry Can]],Table_NFI[Jerry Can])</f>
        <v>0</v>
      </c>
      <c r="AO1174" s="331">
        <f>IF(NFI_Expiration=1,IF($A1174&lt;VLOOKUP(V$5,NFI,5,0),1,0)*Table_NFI[[#This Row],[Shelter Tool kit]],Table_NFI[Shelter Tool kit])</f>
        <v>0</v>
      </c>
      <c r="AP1174" s="331">
        <f>IF(NFI_Expiration=1,IF($A1174&lt;VLOOKUP(V$5,NFI,5,0),1,0)*Table_NFI[[#This Row],[Tent]],Table_NFI[Tent])</f>
        <v>0</v>
      </c>
      <c r="AQ1174" s="467" t="str">
        <f>IFERROR(VLOOKUP(Table_NFI[[#This Row],[Camp Name]],CL,2,0),"")</f>
        <v/>
      </c>
      <c r="AR1174" s="835" t="str">
        <f ca="1">IF(Table_NFI[[#This Row],[Pcode]]="","",IF(OFFSET(CampList[Opening Date],MATCH(Table_NFI[[#This Row],[Pcode]],CampList[CP_Pcode],0)-1,0,1,1)&gt;=NFI_Monitor_Date,1,0))</f>
        <v/>
      </c>
      <c r="AS1174" s="467" t="str">
        <f>IFERROR(VLOOKUP(Table_NFI[[#This Row],[Camp Name]],CL,3,0),"")</f>
        <v/>
      </c>
      <c r="AT1174" s="294" t="str">
        <f ca="1">IF(Table_NFI[[#This Row],[Pcode]]="","",OFFSET(CampList[Priority],MATCH(Table_NFI[[#This Row],[Pcode]],CampList[CP_Pcode],0)-1,0,1,1))</f>
        <v/>
      </c>
      <c r="AU1174" s="293" t="str">
        <f>IFERROR(Table_NFI[[#This Row],[Kitchen Set]]/VLOOKUP(Table_NFI[[#This Row],[Camp Name]],CL,4,0),"")</f>
        <v/>
      </c>
      <c r="AV1174" s="465"/>
      <c r="AW1174" s="468"/>
    </row>
    <row r="1175" spans="1:49" ht="14.45" customHeight="1" x14ac:dyDescent="0.25">
      <c r="A1175" s="297" t="str">
        <f t="shared" si="18"/>
        <v/>
      </c>
      <c r="B1175" s="460"/>
      <c r="C1175" s="461"/>
      <c r="D1175" s="465"/>
      <c r="E1175" s="465"/>
      <c r="F1175" s="465"/>
      <c r="G1175" s="465"/>
      <c r="H1175" s="292"/>
      <c r="I1175" s="292"/>
      <c r="J1175" s="292"/>
      <c r="K1175" s="292"/>
      <c r="L1175" s="292"/>
      <c r="M1175" s="292"/>
      <c r="N1175" s="292"/>
      <c r="O1175" s="292"/>
      <c r="P1175" s="294"/>
      <c r="Q1175" s="294"/>
      <c r="R1175" s="294"/>
      <c r="S1175" s="294"/>
      <c r="T1175" s="294"/>
      <c r="U1175" s="294"/>
      <c r="V1175" s="431"/>
      <c r="W1175" s="331"/>
      <c r="X1175" s="331"/>
      <c r="Y1175" s="294">
        <f>IF(NFI_Expiration=1,IF($A1175&lt;VLOOKUP(H$5,NFI,5,0),1,0)*Table_NFI[[#This Row],[Hygiene Kit]],Table_NFI[Hygiene Kit])</f>
        <v>0</v>
      </c>
      <c r="Z1175" s="294">
        <f>IF(NFI_Expiration=1,IF($A1175&lt;VLOOKUP(I$5,NFI,5,0),1,0)*Table_NFI[[#This Row],[NFI Core Kit]],Table_NFI[NFI Core Kit])</f>
        <v>0</v>
      </c>
      <c r="AA1175" s="294">
        <f>IF(NFI_Expiration=1,IF($A1175&lt;VLOOKUP(J$5,NFI,5,0),1,0)*Table_NFI[[#This Row],[Sanitary Kit]],Table_NFI[Sanitary Kit])</f>
        <v>0</v>
      </c>
      <c r="AB1175" s="294">
        <f>IF(NFI_Expiration=1,IF($A1175&lt;VLOOKUP(K$5,NFI,5,0),1,0)*Table_NFI[[#This Row],[Mosquito net]],Table_NFI[Mosquito net])</f>
        <v>0</v>
      </c>
      <c r="AC1175" s="294">
        <f>IF(NFI_Expiration=1,IF($A1175&lt;VLOOKUP(L$5,NFI,5,0),1,0)*Table_NFI[[#This Row],[Tarpaulin]],Table_NFI[[#This Row],[Tarpaulin]])</f>
        <v>0</v>
      </c>
      <c r="AD1175" s="294">
        <f>IF(NFI_Expiration=1,IF($A1175&lt;VLOOKUP(M$5,NFI,5,0),1,0)*Table_NFI[[#This Row],[Blanket]],Table_NFI[[#This Row],[Blanket]])</f>
        <v>0</v>
      </c>
      <c r="AE1175" s="294">
        <f>IF(NFI_Expiration=1,IF($A1175&lt;VLOOKUP(N$5,NFI,5,0),1,0)*Table_NFI[[#This Row],[Kitchen Set]],Table_NFI[Kitchen Set])</f>
        <v>0</v>
      </c>
      <c r="AF1175" s="294">
        <f>IF(NFI_Expiration=1,IF($A1175&lt;VLOOKUP(O$5,NFI,5,0),1,0)*Table_NFI[[#This Row],[Clothes Kit]],Table_NFI[Clothes Kit])</f>
        <v>0</v>
      </c>
      <c r="AG1175" s="294">
        <f>IF(NFI_Expiration=1,IF($A1175&lt;VLOOKUP(P$5,NFI,5,0),1,0)*Table_NFI[[#This Row],[Plastic Bucket]],Table_NFI[Plastic Bucket])</f>
        <v>0</v>
      </c>
      <c r="AH1175" s="294">
        <f>IF(NFI_Expiration=1,IF($A1175&lt;VLOOKUP(Q$5,NFI,5,0),1,0)*Table_NFI[[#This Row],[Plastic Mat]],Table_NFI[Plastic Mat])*IF(Table_NFI[[#This Row],[Distribution Date]]&gt;"2014-04-01",1,2.5)</f>
        <v>0</v>
      </c>
      <c r="AI1175" s="294">
        <f>IF(NFI_Expiration=1,IF($A1175&lt;VLOOKUP(R$5,NFI,5,0),1,0)*Table_NFI[[#This Row],[Winter Clothes Adult]],Table_NFI[Winter Clothes Adult])</f>
        <v>0</v>
      </c>
      <c r="AJ1175" s="294">
        <f>IF(NFI_Expiration=1,IF($A1175&lt;VLOOKUP(S$5,NFI,5,0),1,0)*Table_NFI[[#This Row],[Winter Clothes Children]],Table_NFI[Winter Clothes Children])</f>
        <v>0</v>
      </c>
      <c r="AK1175" s="294">
        <f>IF(NFI_Expiration=1,IF($A1175&lt;VLOOKUP(T$5,NFI,5,0),1,0)*Table_NFI[[#This Row],[Winter Items Other]],Table_NFI[Winter Items Other])</f>
        <v>0</v>
      </c>
      <c r="AL1175" s="294">
        <f>IF(NFI_Expiration=1,IF($A1175&lt;VLOOKUP(M$5,NFI,5,0),1,0)*Table_NFI[[#This Row],[Winter Blanket]],Table_NFI[[#This Row],[Winter Blanket]])</f>
        <v>0</v>
      </c>
      <c r="AM1175" s="294">
        <f>IF(Table_NFI[[#This Row],[Winter Clothes Adult]]+Table_NFI[[#This Row],[Winter Clothes Children]]+Table_NFI[[#This Row],[Winter Items Other]]+Table_NFI[[#This Row],[Winter Blanket]]&gt;0,1,0)</f>
        <v>0</v>
      </c>
      <c r="AN1175" s="331">
        <f>IF(NFI_Expiration=1,IF($A1175&lt;VLOOKUP(V$5,NFI,5,0),1,0)*Table_NFI[[#This Row],[Jerry Can]],Table_NFI[Jerry Can])</f>
        <v>0</v>
      </c>
      <c r="AO1175" s="331">
        <f>IF(NFI_Expiration=1,IF($A1175&lt;VLOOKUP(V$5,NFI,5,0),1,0)*Table_NFI[[#This Row],[Shelter Tool kit]],Table_NFI[Shelter Tool kit])</f>
        <v>0</v>
      </c>
      <c r="AP1175" s="331">
        <f>IF(NFI_Expiration=1,IF($A1175&lt;VLOOKUP(V$5,NFI,5,0),1,0)*Table_NFI[[#This Row],[Tent]],Table_NFI[Tent])</f>
        <v>0</v>
      </c>
      <c r="AQ1175" s="467" t="str">
        <f>IFERROR(VLOOKUP(Table_NFI[[#This Row],[Camp Name]],CL,2,0),"")</f>
        <v/>
      </c>
      <c r="AR1175" s="835" t="str">
        <f ca="1">IF(Table_NFI[[#This Row],[Pcode]]="","",IF(OFFSET(CampList[Opening Date],MATCH(Table_NFI[[#This Row],[Pcode]],CampList[CP_Pcode],0)-1,0,1,1)&gt;=NFI_Monitor_Date,1,0))</f>
        <v/>
      </c>
      <c r="AS1175" s="467" t="str">
        <f>IFERROR(VLOOKUP(Table_NFI[[#This Row],[Camp Name]],CL,3,0),"")</f>
        <v/>
      </c>
      <c r="AT1175" s="294" t="str">
        <f ca="1">IF(Table_NFI[[#This Row],[Pcode]]="","",OFFSET(CampList[Priority],MATCH(Table_NFI[[#This Row],[Pcode]],CampList[CP_Pcode],0)-1,0,1,1))</f>
        <v/>
      </c>
      <c r="AU1175" s="293" t="str">
        <f>IFERROR(Table_NFI[[#This Row],[Kitchen Set]]/VLOOKUP(Table_NFI[[#This Row],[Camp Name]],CL,4,0),"")</f>
        <v/>
      </c>
      <c r="AV1175" s="461"/>
      <c r="AW1175" s="483"/>
    </row>
    <row r="1176" spans="1:49" ht="14.45" customHeight="1" x14ac:dyDescent="0.25">
      <c r="A1176" s="297" t="str">
        <f t="shared" si="18"/>
        <v/>
      </c>
      <c r="B1176" s="460"/>
      <c r="C1176" s="465"/>
      <c r="D1176" s="465"/>
      <c r="E1176" s="465"/>
      <c r="F1176" s="465"/>
      <c r="G1176" s="465"/>
      <c r="H1176" s="292"/>
      <c r="I1176" s="292"/>
      <c r="J1176" s="292"/>
      <c r="K1176" s="292"/>
      <c r="L1176" s="292"/>
      <c r="M1176" s="292"/>
      <c r="N1176" s="292"/>
      <c r="O1176" s="292"/>
      <c r="P1176" s="294"/>
      <c r="Q1176" s="294"/>
      <c r="R1176" s="294"/>
      <c r="S1176" s="294"/>
      <c r="T1176" s="294"/>
      <c r="U1176" s="294"/>
      <c r="V1176" s="431"/>
      <c r="W1176" s="331"/>
      <c r="X1176" s="331"/>
      <c r="Y1176" s="294">
        <f>IF(NFI_Expiration=1,IF($A1176&lt;VLOOKUP(H$5,NFI,5,0),1,0)*Table_NFI[[#This Row],[Hygiene Kit]],Table_NFI[Hygiene Kit])</f>
        <v>0</v>
      </c>
      <c r="Z1176" s="294">
        <f>IF(NFI_Expiration=1,IF($A1176&lt;VLOOKUP(I$5,NFI,5,0),1,0)*Table_NFI[[#This Row],[NFI Core Kit]],Table_NFI[NFI Core Kit])</f>
        <v>0</v>
      </c>
      <c r="AA1176" s="294">
        <f>IF(NFI_Expiration=1,IF($A1176&lt;VLOOKUP(J$5,NFI,5,0),1,0)*Table_NFI[[#This Row],[Sanitary Kit]],Table_NFI[Sanitary Kit])</f>
        <v>0</v>
      </c>
      <c r="AB1176" s="294">
        <f>IF(NFI_Expiration=1,IF($A1176&lt;VLOOKUP(K$5,NFI,5,0),1,0)*Table_NFI[[#This Row],[Mosquito net]],Table_NFI[Mosquito net])</f>
        <v>0</v>
      </c>
      <c r="AC1176" s="294">
        <f>IF(NFI_Expiration=1,IF($A1176&lt;VLOOKUP(L$5,NFI,5,0),1,0)*Table_NFI[[#This Row],[Tarpaulin]],Table_NFI[[#This Row],[Tarpaulin]])</f>
        <v>0</v>
      </c>
      <c r="AD1176" s="294">
        <f>IF(NFI_Expiration=1,IF($A1176&lt;VLOOKUP(M$5,NFI,5,0),1,0)*Table_NFI[[#This Row],[Blanket]],Table_NFI[[#This Row],[Blanket]])</f>
        <v>0</v>
      </c>
      <c r="AE1176" s="294">
        <f>IF(NFI_Expiration=1,IF($A1176&lt;VLOOKUP(N$5,NFI,5,0),1,0)*Table_NFI[[#This Row],[Kitchen Set]],Table_NFI[Kitchen Set])</f>
        <v>0</v>
      </c>
      <c r="AF1176" s="294">
        <f>IF(NFI_Expiration=1,IF($A1176&lt;VLOOKUP(O$5,NFI,5,0),1,0)*Table_NFI[[#This Row],[Clothes Kit]],Table_NFI[Clothes Kit])</f>
        <v>0</v>
      </c>
      <c r="AG1176" s="294">
        <f>IF(NFI_Expiration=1,IF($A1176&lt;VLOOKUP(P$5,NFI,5,0),1,0)*Table_NFI[[#This Row],[Plastic Bucket]],Table_NFI[Plastic Bucket])</f>
        <v>0</v>
      </c>
      <c r="AH1176" s="294">
        <f>IF(NFI_Expiration=1,IF($A1176&lt;VLOOKUP(Q$5,NFI,5,0),1,0)*Table_NFI[[#This Row],[Plastic Mat]],Table_NFI[Plastic Mat])*IF(Table_NFI[[#This Row],[Distribution Date]]&gt;"2014-04-01",1,2.5)</f>
        <v>0</v>
      </c>
      <c r="AI1176" s="294">
        <f>IF(NFI_Expiration=1,IF($A1176&lt;VLOOKUP(R$5,NFI,5,0),1,0)*Table_NFI[[#This Row],[Winter Clothes Adult]],Table_NFI[Winter Clothes Adult])</f>
        <v>0</v>
      </c>
      <c r="AJ1176" s="294">
        <f>IF(NFI_Expiration=1,IF($A1176&lt;VLOOKUP(S$5,NFI,5,0),1,0)*Table_NFI[[#This Row],[Winter Clothes Children]],Table_NFI[Winter Clothes Children])</f>
        <v>0</v>
      </c>
      <c r="AK1176" s="294">
        <f>IF(NFI_Expiration=1,IF($A1176&lt;VLOOKUP(T$5,NFI,5,0),1,0)*Table_NFI[[#This Row],[Winter Items Other]],Table_NFI[Winter Items Other])</f>
        <v>0</v>
      </c>
      <c r="AL1176" s="294">
        <f>IF(NFI_Expiration=1,IF($A1176&lt;VLOOKUP(M$5,NFI,5,0),1,0)*Table_NFI[[#This Row],[Winter Blanket]],Table_NFI[[#This Row],[Winter Blanket]])</f>
        <v>0</v>
      </c>
      <c r="AM1176" s="294">
        <f>IF(Table_NFI[[#This Row],[Winter Clothes Adult]]+Table_NFI[[#This Row],[Winter Clothes Children]]+Table_NFI[[#This Row],[Winter Items Other]]+Table_NFI[[#This Row],[Winter Blanket]]&gt;0,1,0)</f>
        <v>0</v>
      </c>
      <c r="AN1176" s="331">
        <f>IF(NFI_Expiration=1,IF($A1176&lt;VLOOKUP(V$5,NFI,5,0),1,0)*Table_NFI[[#This Row],[Jerry Can]],Table_NFI[Jerry Can])</f>
        <v>0</v>
      </c>
      <c r="AO1176" s="331">
        <f>IF(NFI_Expiration=1,IF($A1176&lt;VLOOKUP(V$5,NFI,5,0),1,0)*Table_NFI[[#This Row],[Shelter Tool kit]],Table_NFI[Shelter Tool kit])</f>
        <v>0</v>
      </c>
      <c r="AP1176" s="331">
        <f>IF(NFI_Expiration=1,IF($A1176&lt;VLOOKUP(V$5,NFI,5,0),1,0)*Table_NFI[[#This Row],[Tent]],Table_NFI[Tent])</f>
        <v>0</v>
      </c>
      <c r="AQ1176" s="467" t="str">
        <f>IFERROR(VLOOKUP(Table_NFI[[#This Row],[Camp Name]],CL,2,0),"")</f>
        <v/>
      </c>
      <c r="AR1176" s="835" t="str">
        <f ca="1">IF(Table_NFI[[#This Row],[Pcode]]="","",IF(OFFSET(CampList[Opening Date],MATCH(Table_NFI[[#This Row],[Pcode]],CampList[CP_Pcode],0)-1,0,1,1)&gt;=NFI_Monitor_Date,1,0))</f>
        <v/>
      </c>
      <c r="AS1176" s="467" t="str">
        <f>IFERROR(VLOOKUP(Table_NFI[[#This Row],[Camp Name]],CL,3,0),"")</f>
        <v/>
      </c>
      <c r="AT1176" s="294" t="str">
        <f ca="1">IF(Table_NFI[[#This Row],[Pcode]]="","",OFFSET(CampList[Priority],MATCH(Table_NFI[[#This Row],[Pcode]],CampList[CP_Pcode],0)-1,0,1,1))</f>
        <v/>
      </c>
      <c r="AU1176" s="293" t="str">
        <f>IFERROR(Table_NFI[[#This Row],[Kitchen Set]]/VLOOKUP(Table_NFI[[#This Row],[Camp Name]],CL,4,0),"")</f>
        <v/>
      </c>
      <c r="AV1176" s="465"/>
      <c r="AW1176" s="468"/>
    </row>
    <row r="1177" spans="1:49" ht="14.45" customHeight="1" x14ac:dyDescent="0.25">
      <c r="A1177" s="297" t="str">
        <f t="shared" si="18"/>
        <v/>
      </c>
      <c r="B1177" s="460"/>
      <c r="C1177" s="461"/>
      <c r="D1177" s="461"/>
      <c r="E1177" s="461"/>
      <c r="F1177" s="461"/>
      <c r="G1177" s="290"/>
      <c r="H1177" s="291"/>
      <c r="I1177" s="292"/>
      <c r="J1177" s="294"/>
      <c r="K1177" s="294"/>
      <c r="L1177" s="292"/>
      <c r="M1177" s="292"/>
      <c r="N1177" s="292"/>
      <c r="O1177" s="292"/>
      <c r="P1177" s="294"/>
      <c r="Q1177" s="294"/>
      <c r="R1177" s="294"/>
      <c r="S1177" s="294"/>
      <c r="T1177" s="294"/>
      <c r="U1177" s="294"/>
      <c r="V1177" s="431"/>
      <c r="W1177" s="331"/>
      <c r="X1177" s="331"/>
      <c r="Y1177" s="294">
        <f>IF(NFI_Expiration=1,IF($A1177&lt;VLOOKUP(H$5,NFI,5,0),1,0)*Table_NFI[[#This Row],[Hygiene Kit]],Table_NFI[Hygiene Kit])</f>
        <v>0</v>
      </c>
      <c r="Z1177" s="294">
        <f>IF(NFI_Expiration=1,IF($A1177&lt;VLOOKUP(I$5,NFI,5,0),1,0)*Table_NFI[[#This Row],[NFI Core Kit]],Table_NFI[NFI Core Kit])</f>
        <v>0</v>
      </c>
      <c r="AA1177" s="294">
        <f>IF(NFI_Expiration=1,IF($A1177&lt;VLOOKUP(J$5,NFI,5,0),1,0)*Table_NFI[[#This Row],[Sanitary Kit]],Table_NFI[Sanitary Kit])</f>
        <v>0</v>
      </c>
      <c r="AB1177" s="294">
        <f>IF(NFI_Expiration=1,IF($A1177&lt;VLOOKUP(K$5,NFI,5,0),1,0)*Table_NFI[[#This Row],[Mosquito net]],Table_NFI[Mosquito net])</f>
        <v>0</v>
      </c>
      <c r="AC1177" s="294">
        <f>IF(NFI_Expiration=1,IF($A1177&lt;VLOOKUP(L$5,NFI,5,0),1,0)*Table_NFI[[#This Row],[Tarpaulin]],Table_NFI[[#This Row],[Tarpaulin]])</f>
        <v>0</v>
      </c>
      <c r="AD1177" s="294">
        <f>IF(NFI_Expiration=1,IF($A1177&lt;VLOOKUP(M$5,NFI,5,0),1,0)*Table_NFI[[#This Row],[Blanket]],Table_NFI[[#This Row],[Blanket]])</f>
        <v>0</v>
      </c>
      <c r="AE1177" s="294">
        <f>IF(NFI_Expiration=1,IF($A1177&lt;VLOOKUP(N$5,NFI,5,0),1,0)*Table_NFI[[#This Row],[Kitchen Set]],Table_NFI[Kitchen Set])</f>
        <v>0</v>
      </c>
      <c r="AF1177" s="294">
        <f>IF(NFI_Expiration=1,IF($A1177&lt;VLOOKUP(O$5,NFI,5,0),1,0)*Table_NFI[[#This Row],[Clothes Kit]],Table_NFI[Clothes Kit])</f>
        <v>0</v>
      </c>
      <c r="AG1177" s="294">
        <f>IF(NFI_Expiration=1,IF($A1177&lt;VLOOKUP(P$5,NFI,5,0),1,0)*Table_NFI[[#This Row],[Plastic Bucket]],Table_NFI[Plastic Bucket])</f>
        <v>0</v>
      </c>
      <c r="AH1177" s="294">
        <f>IF(NFI_Expiration=1,IF($A1177&lt;VLOOKUP(Q$5,NFI,5,0),1,0)*Table_NFI[[#This Row],[Plastic Mat]],Table_NFI[Plastic Mat])*IF(Table_NFI[[#This Row],[Distribution Date]]&gt;"2014-04-01",1,2.5)</f>
        <v>0</v>
      </c>
      <c r="AI1177" s="294">
        <f>IF(NFI_Expiration=1,IF($A1177&lt;VLOOKUP(R$5,NFI,5,0),1,0)*Table_NFI[[#This Row],[Winter Clothes Adult]],Table_NFI[Winter Clothes Adult])</f>
        <v>0</v>
      </c>
      <c r="AJ1177" s="294">
        <f>IF(NFI_Expiration=1,IF($A1177&lt;VLOOKUP(S$5,NFI,5,0),1,0)*Table_NFI[[#This Row],[Winter Clothes Children]],Table_NFI[Winter Clothes Children])</f>
        <v>0</v>
      </c>
      <c r="AK1177" s="294">
        <f>IF(NFI_Expiration=1,IF($A1177&lt;VLOOKUP(T$5,NFI,5,0),1,0)*Table_NFI[[#This Row],[Winter Items Other]],Table_NFI[Winter Items Other])</f>
        <v>0</v>
      </c>
      <c r="AL1177" s="294">
        <f>IF(NFI_Expiration=1,IF($A1177&lt;VLOOKUP(M$5,NFI,5,0),1,0)*Table_NFI[[#This Row],[Winter Blanket]],Table_NFI[[#This Row],[Winter Blanket]])</f>
        <v>0</v>
      </c>
      <c r="AM1177" s="294">
        <f>IF(Table_NFI[[#This Row],[Winter Clothes Adult]]+Table_NFI[[#This Row],[Winter Clothes Children]]+Table_NFI[[#This Row],[Winter Items Other]]+Table_NFI[[#This Row],[Winter Blanket]]&gt;0,1,0)</f>
        <v>0</v>
      </c>
      <c r="AN1177" s="331">
        <f>IF(NFI_Expiration=1,IF($A1177&lt;VLOOKUP(V$5,NFI,5,0),1,0)*Table_NFI[[#This Row],[Jerry Can]],Table_NFI[Jerry Can])</f>
        <v>0</v>
      </c>
      <c r="AO1177" s="331">
        <f>IF(NFI_Expiration=1,IF($A1177&lt;VLOOKUP(V$5,NFI,5,0),1,0)*Table_NFI[[#This Row],[Shelter Tool kit]],Table_NFI[Shelter Tool kit])</f>
        <v>0</v>
      </c>
      <c r="AP1177" s="331">
        <f>IF(NFI_Expiration=1,IF($A1177&lt;VLOOKUP(V$5,NFI,5,0),1,0)*Table_NFI[[#This Row],[Tent]],Table_NFI[Tent])</f>
        <v>0</v>
      </c>
      <c r="AQ1177" s="467" t="str">
        <f>IFERROR(VLOOKUP(Table_NFI[[#This Row],[Camp Name]],CL,2,0),"")</f>
        <v/>
      </c>
      <c r="AR1177" s="835" t="str">
        <f ca="1">IF(Table_NFI[[#This Row],[Pcode]]="","",IF(OFFSET(CampList[Opening Date],MATCH(Table_NFI[[#This Row],[Pcode]],CampList[CP_Pcode],0)-1,0,1,1)&gt;=NFI_Monitor_Date,1,0))</f>
        <v/>
      </c>
      <c r="AS1177" s="467" t="str">
        <f>IFERROR(VLOOKUP(Table_NFI[[#This Row],[Camp Name]],CL,3,0),"")</f>
        <v/>
      </c>
      <c r="AT1177" s="294" t="str">
        <f ca="1">IF(Table_NFI[[#This Row],[Pcode]]="","",OFFSET(CampList[Priority],MATCH(Table_NFI[[#This Row],[Pcode]],CampList[CP_Pcode],0)-1,0,1,1))</f>
        <v/>
      </c>
      <c r="AU1177" s="293" t="str">
        <f>IFERROR(Table_NFI[[#This Row],[Kitchen Set]]/VLOOKUP(Table_NFI[[#This Row],[Camp Name]],CL,4,0),"")</f>
        <v/>
      </c>
      <c r="AV1177" s="465"/>
      <c r="AW1177" s="468"/>
    </row>
    <row r="1178" spans="1:49" ht="14.45" customHeight="1" x14ac:dyDescent="0.25">
      <c r="A1178" s="297" t="str">
        <f t="shared" si="18"/>
        <v/>
      </c>
      <c r="B1178" s="460"/>
      <c r="C1178" s="461"/>
      <c r="D1178" s="465"/>
      <c r="E1178" s="465"/>
      <c r="F1178" s="465"/>
      <c r="G1178" s="465"/>
      <c r="H1178" s="292"/>
      <c r="I1178" s="292"/>
      <c r="J1178" s="292"/>
      <c r="K1178" s="292"/>
      <c r="L1178" s="292"/>
      <c r="M1178" s="292"/>
      <c r="N1178" s="292"/>
      <c r="O1178" s="292"/>
      <c r="P1178" s="294"/>
      <c r="Q1178" s="294"/>
      <c r="R1178" s="294"/>
      <c r="S1178" s="294"/>
      <c r="T1178" s="294"/>
      <c r="U1178" s="294"/>
      <c r="V1178" s="431"/>
      <c r="W1178" s="331"/>
      <c r="X1178" s="331"/>
      <c r="Y1178" s="294">
        <f>IF(NFI_Expiration=1,IF($A1178&lt;VLOOKUP(H$5,NFI,5,0),1,0)*Table_NFI[[#This Row],[Hygiene Kit]],Table_NFI[Hygiene Kit])</f>
        <v>0</v>
      </c>
      <c r="Z1178" s="294">
        <f>IF(NFI_Expiration=1,IF($A1178&lt;VLOOKUP(I$5,NFI,5,0),1,0)*Table_NFI[[#This Row],[NFI Core Kit]],Table_NFI[NFI Core Kit])</f>
        <v>0</v>
      </c>
      <c r="AA1178" s="294">
        <f>IF(NFI_Expiration=1,IF($A1178&lt;VLOOKUP(J$5,NFI,5,0),1,0)*Table_NFI[[#This Row],[Sanitary Kit]],Table_NFI[Sanitary Kit])</f>
        <v>0</v>
      </c>
      <c r="AB1178" s="294">
        <f>IF(NFI_Expiration=1,IF($A1178&lt;VLOOKUP(K$5,NFI,5,0),1,0)*Table_NFI[[#This Row],[Mosquito net]],Table_NFI[Mosquito net])</f>
        <v>0</v>
      </c>
      <c r="AC1178" s="294">
        <f>IF(NFI_Expiration=1,IF($A1178&lt;VLOOKUP(L$5,NFI,5,0),1,0)*Table_NFI[[#This Row],[Tarpaulin]],Table_NFI[[#This Row],[Tarpaulin]])</f>
        <v>0</v>
      </c>
      <c r="AD1178" s="294">
        <f>IF(NFI_Expiration=1,IF($A1178&lt;VLOOKUP(M$5,NFI,5,0),1,0)*Table_NFI[[#This Row],[Blanket]],Table_NFI[[#This Row],[Blanket]])</f>
        <v>0</v>
      </c>
      <c r="AE1178" s="294">
        <f>IF(NFI_Expiration=1,IF($A1178&lt;VLOOKUP(N$5,NFI,5,0),1,0)*Table_NFI[[#This Row],[Kitchen Set]],Table_NFI[Kitchen Set])</f>
        <v>0</v>
      </c>
      <c r="AF1178" s="294">
        <f>IF(NFI_Expiration=1,IF($A1178&lt;VLOOKUP(O$5,NFI,5,0),1,0)*Table_NFI[[#This Row],[Clothes Kit]],Table_NFI[Clothes Kit])</f>
        <v>0</v>
      </c>
      <c r="AG1178" s="294">
        <f>IF(NFI_Expiration=1,IF($A1178&lt;VLOOKUP(P$5,NFI,5,0),1,0)*Table_NFI[[#This Row],[Plastic Bucket]],Table_NFI[Plastic Bucket])</f>
        <v>0</v>
      </c>
      <c r="AH1178" s="294">
        <f>IF(NFI_Expiration=1,IF($A1178&lt;VLOOKUP(Q$5,NFI,5,0),1,0)*Table_NFI[[#This Row],[Plastic Mat]],Table_NFI[Plastic Mat])*IF(Table_NFI[[#This Row],[Distribution Date]]&gt;"2014-04-01",1,2.5)</f>
        <v>0</v>
      </c>
      <c r="AI1178" s="294">
        <f>IF(NFI_Expiration=1,IF($A1178&lt;VLOOKUP(R$5,NFI,5,0),1,0)*Table_NFI[[#This Row],[Winter Clothes Adult]],Table_NFI[Winter Clothes Adult])</f>
        <v>0</v>
      </c>
      <c r="AJ1178" s="294">
        <f>IF(NFI_Expiration=1,IF($A1178&lt;VLOOKUP(S$5,NFI,5,0),1,0)*Table_NFI[[#This Row],[Winter Clothes Children]],Table_NFI[Winter Clothes Children])</f>
        <v>0</v>
      </c>
      <c r="AK1178" s="294">
        <f>IF(NFI_Expiration=1,IF($A1178&lt;VLOOKUP(T$5,NFI,5,0),1,0)*Table_NFI[[#This Row],[Winter Items Other]],Table_NFI[Winter Items Other])</f>
        <v>0</v>
      </c>
      <c r="AL1178" s="294">
        <f>IF(NFI_Expiration=1,IF($A1178&lt;VLOOKUP(M$5,NFI,5,0),1,0)*Table_NFI[[#This Row],[Winter Blanket]],Table_NFI[[#This Row],[Winter Blanket]])</f>
        <v>0</v>
      </c>
      <c r="AM1178" s="294">
        <f>IF(Table_NFI[[#This Row],[Winter Clothes Adult]]+Table_NFI[[#This Row],[Winter Clothes Children]]+Table_NFI[[#This Row],[Winter Items Other]]+Table_NFI[[#This Row],[Winter Blanket]]&gt;0,1,0)</f>
        <v>0</v>
      </c>
      <c r="AN1178" s="331">
        <f>IF(NFI_Expiration=1,IF($A1178&lt;VLOOKUP(V$5,NFI,5,0),1,0)*Table_NFI[[#This Row],[Jerry Can]],Table_NFI[Jerry Can])</f>
        <v>0</v>
      </c>
      <c r="AO1178" s="331">
        <f>IF(NFI_Expiration=1,IF($A1178&lt;VLOOKUP(V$5,NFI,5,0),1,0)*Table_NFI[[#This Row],[Shelter Tool kit]],Table_NFI[Shelter Tool kit])</f>
        <v>0</v>
      </c>
      <c r="AP1178" s="331">
        <f>IF(NFI_Expiration=1,IF($A1178&lt;VLOOKUP(V$5,NFI,5,0),1,0)*Table_NFI[[#This Row],[Tent]],Table_NFI[Tent])</f>
        <v>0</v>
      </c>
      <c r="AQ1178" s="467" t="str">
        <f>IFERROR(VLOOKUP(Table_NFI[[#This Row],[Camp Name]],CL,2,0),"")</f>
        <v/>
      </c>
      <c r="AR1178" s="835" t="str">
        <f ca="1">IF(Table_NFI[[#This Row],[Pcode]]="","",IF(OFFSET(CampList[Opening Date],MATCH(Table_NFI[[#This Row],[Pcode]],CampList[CP_Pcode],0)-1,0,1,1)&gt;=NFI_Monitor_Date,1,0))</f>
        <v/>
      </c>
      <c r="AS1178" s="467" t="str">
        <f>IFERROR(VLOOKUP(Table_NFI[[#This Row],[Camp Name]],CL,3,0),"")</f>
        <v/>
      </c>
      <c r="AT1178" s="294" t="str">
        <f ca="1">IF(Table_NFI[[#This Row],[Pcode]]="","",OFFSET(CampList[Priority],MATCH(Table_NFI[[#This Row],[Pcode]],CampList[CP_Pcode],0)-1,0,1,1))</f>
        <v/>
      </c>
      <c r="AU1178" s="293" t="str">
        <f>IFERROR(Table_NFI[[#This Row],[Kitchen Set]]/VLOOKUP(Table_NFI[[#This Row],[Camp Name]],CL,4,0),"")</f>
        <v/>
      </c>
      <c r="AV1178" s="465"/>
      <c r="AW1178" s="468"/>
    </row>
    <row r="1179" spans="1:49" ht="14.45" customHeight="1" x14ac:dyDescent="0.25">
      <c r="A1179" s="297" t="str">
        <f t="shared" si="18"/>
        <v/>
      </c>
      <c r="B1179" s="460"/>
      <c r="C1179" s="461"/>
      <c r="D1179" s="461"/>
      <c r="E1179" s="461"/>
      <c r="F1179" s="461"/>
      <c r="G1179" s="461"/>
      <c r="H1179" s="291"/>
      <c r="I1179" s="294"/>
      <c r="J1179" s="294"/>
      <c r="K1179" s="294"/>
      <c r="L1179" s="292"/>
      <c r="M1179" s="292"/>
      <c r="N1179" s="292"/>
      <c r="O1179" s="292"/>
      <c r="P1179" s="294"/>
      <c r="Q1179" s="294"/>
      <c r="R1179" s="294"/>
      <c r="S1179" s="294"/>
      <c r="T1179" s="294"/>
      <c r="U1179" s="294"/>
      <c r="V1179" s="431"/>
      <c r="W1179" s="331"/>
      <c r="X1179" s="331"/>
      <c r="Y1179" s="294">
        <f>IF(NFI_Expiration=1,IF($A1179&lt;VLOOKUP(H$5,NFI,5,0),1,0)*Table_NFI[[#This Row],[Hygiene Kit]],Table_NFI[Hygiene Kit])</f>
        <v>0</v>
      </c>
      <c r="Z1179" s="294">
        <f>IF(NFI_Expiration=1,IF($A1179&lt;VLOOKUP(I$5,NFI,5,0),1,0)*Table_NFI[[#This Row],[NFI Core Kit]],Table_NFI[NFI Core Kit])</f>
        <v>0</v>
      </c>
      <c r="AA1179" s="294">
        <f>IF(NFI_Expiration=1,IF($A1179&lt;VLOOKUP(J$5,NFI,5,0),1,0)*Table_NFI[[#This Row],[Sanitary Kit]],Table_NFI[Sanitary Kit])</f>
        <v>0</v>
      </c>
      <c r="AB1179" s="294">
        <f>IF(NFI_Expiration=1,IF($A1179&lt;VLOOKUP(K$5,NFI,5,0),1,0)*Table_NFI[[#This Row],[Mosquito net]],Table_NFI[Mosquito net])</f>
        <v>0</v>
      </c>
      <c r="AC1179" s="294">
        <f>IF(NFI_Expiration=1,IF($A1179&lt;VLOOKUP(L$5,NFI,5,0),1,0)*Table_NFI[[#This Row],[Tarpaulin]],Table_NFI[[#This Row],[Tarpaulin]])</f>
        <v>0</v>
      </c>
      <c r="AD1179" s="294">
        <f>IF(NFI_Expiration=1,IF($A1179&lt;VLOOKUP(M$5,NFI,5,0),1,0)*Table_NFI[[#This Row],[Blanket]],Table_NFI[[#This Row],[Blanket]])</f>
        <v>0</v>
      </c>
      <c r="AE1179" s="294">
        <f>IF(NFI_Expiration=1,IF($A1179&lt;VLOOKUP(N$5,NFI,5,0),1,0)*Table_NFI[[#This Row],[Kitchen Set]],Table_NFI[Kitchen Set])</f>
        <v>0</v>
      </c>
      <c r="AF1179" s="294">
        <f>IF(NFI_Expiration=1,IF($A1179&lt;VLOOKUP(O$5,NFI,5,0),1,0)*Table_NFI[[#This Row],[Clothes Kit]],Table_NFI[Clothes Kit])</f>
        <v>0</v>
      </c>
      <c r="AG1179" s="294">
        <f>IF(NFI_Expiration=1,IF($A1179&lt;VLOOKUP(P$5,NFI,5,0),1,0)*Table_NFI[[#This Row],[Plastic Bucket]],Table_NFI[Plastic Bucket])</f>
        <v>0</v>
      </c>
      <c r="AH1179" s="294">
        <f>IF(NFI_Expiration=1,IF($A1179&lt;VLOOKUP(Q$5,NFI,5,0),1,0)*Table_NFI[[#This Row],[Plastic Mat]],Table_NFI[Plastic Mat])*IF(Table_NFI[[#This Row],[Distribution Date]]&gt;"2014-04-01",1,2.5)</f>
        <v>0</v>
      </c>
      <c r="AI1179" s="294">
        <f>IF(NFI_Expiration=1,IF($A1179&lt;VLOOKUP(R$5,NFI,5,0),1,0)*Table_NFI[[#This Row],[Winter Clothes Adult]],Table_NFI[Winter Clothes Adult])</f>
        <v>0</v>
      </c>
      <c r="AJ1179" s="294">
        <f>IF(NFI_Expiration=1,IF($A1179&lt;VLOOKUP(S$5,NFI,5,0),1,0)*Table_NFI[[#This Row],[Winter Clothes Children]],Table_NFI[Winter Clothes Children])</f>
        <v>0</v>
      </c>
      <c r="AK1179" s="294">
        <f>IF(NFI_Expiration=1,IF($A1179&lt;VLOOKUP(T$5,NFI,5,0),1,0)*Table_NFI[[#This Row],[Winter Items Other]],Table_NFI[Winter Items Other])</f>
        <v>0</v>
      </c>
      <c r="AL1179" s="294">
        <f>IF(NFI_Expiration=1,IF($A1179&lt;VLOOKUP(M$5,NFI,5,0),1,0)*Table_NFI[[#This Row],[Winter Blanket]],Table_NFI[[#This Row],[Winter Blanket]])</f>
        <v>0</v>
      </c>
      <c r="AM1179" s="294">
        <f>IF(Table_NFI[[#This Row],[Winter Clothes Adult]]+Table_NFI[[#This Row],[Winter Clothes Children]]+Table_NFI[[#This Row],[Winter Items Other]]+Table_NFI[[#This Row],[Winter Blanket]]&gt;0,1,0)</f>
        <v>0</v>
      </c>
      <c r="AN1179" s="331">
        <f>IF(NFI_Expiration=1,IF($A1179&lt;VLOOKUP(V$5,NFI,5,0),1,0)*Table_NFI[[#This Row],[Jerry Can]],Table_NFI[Jerry Can])</f>
        <v>0</v>
      </c>
      <c r="AO1179" s="331">
        <f>IF(NFI_Expiration=1,IF($A1179&lt;VLOOKUP(V$5,NFI,5,0),1,0)*Table_NFI[[#This Row],[Shelter Tool kit]],Table_NFI[Shelter Tool kit])</f>
        <v>0</v>
      </c>
      <c r="AP1179" s="331">
        <f>IF(NFI_Expiration=1,IF($A1179&lt;VLOOKUP(V$5,NFI,5,0),1,0)*Table_NFI[[#This Row],[Tent]],Table_NFI[Tent])</f>
        <v>0</v>
      </c>
      <c r="AQ1179" s="467" t="str">
        <f>IFERROR(VLOOKUP(Table_NFI[[#This Row],[Camp Name]],CL,2,0),"")</f>
        <v/>
      </c>
      <c r="AR1179" s="835" t="str">
        <f ca="1">IF(Table_NFI[[#This Row],[Pcode]]="","",IF(OFFSET(CampList[Opening Date],MATCH(Table_NFI[[#This Row],[Pcode]],CampList[CP_Pcode],0)-1,0,1,1)&gt;=NFI_Monitor_Date,1,0))</f>
        <v/>
      </c>
      <c r="AS1179" s="467" t="str">
        <f>IFERROR(VLOOKUP(Table_NFI[[#This Row],[Camp Name]],CL,3,0),"")</f>
        <v/>
      </c>
      <c r="AT1179" s="294" t="str">
        <f ca="1">IF(Table_NFI[[#This Row],[Pcode]]="","",OFFSET(CampList[Priority],MATCH(Table_NFI[[#This Row],[Pcode]],CampList[CP_Pcode],0)-1,0,1,1))</f>
        <v/>
      </c>
      <c r="AU1179" s="293" t="str">
        <f>IFERROR(Table_NFI[[#This Row],[Kitchen Set]]/VLOOKUP(Table_NFI[[#This Row],[Camp Name]],CL,4,0),"")</f>
        <v/>
      </c>
      <c r="AV1179" s="465"/>
      <c r="AW1179" s="468"/>
    </row>
    <row r="1180" spans="1:49" ht="14.45" customHeight="1" x14ac:dyDescent="0.25">
      <c r="A1180" s="297" t="str">
        <f t="shared" si="18"/>
        <v/>
      </c>
      <c r="B1180" s="460"/>
      <c r="C1180" s="461"/>
      <c r="D1180" s="465"/>
      <c r="E1180" s="465"/>
      <c r="F1180" s="465"/>
      <c r="G1180" s="465"/>
      <c r="H1180" s="292"/>
      <c r="I1180" s="292"/>
      <c r="J1180" s="292"/>
      <c r="K1180" s="292"/>
      <c r="L1180" s="292"/>
      <c r="M1180" s="292"/>
      <c r="N1180" s="292"/>
      <c r="O1180" s="292"/>
      <c r="P1180" s="294"/>
      <c r="Q1180" s="294"/>
      <c r="R1180" s="294"/>
      <c r="S1180" s="294"/>
      <c r="T1180" s="294"/>
      <c r="U1180" s="294"/>
      <c r="V1180" s="431"/>
      <c r="W1180" s="331"/>
      <c r="X1180" s="331"/>
      <c r="Y1180" s="294">
        <f>IF(NFI_Expiration=1,IF($A1180&lt;VLOOKUP(H$5,NFI,5,0),1,0)*Table_NFI[[#This Row],[Hygiene Kit]],Table_NFI[Hygiene Kit])</f>
        <v>0</v>
      </c>
      <c r="Z1180" s="294">
        <f>IF(NFI_Expiration=1,IF($A1180&lt;VLOOKUP(I$5,NFI,5,0),1,0)*Table_NFI[[#This Row],[NFI Core Kit]],Table_NFI[NFI Core Kit])</f>
        <v>0</v>
      </c>
      <c r="AA1180" s="294">
        <f>IF(NFI_Expiration=1,IF($A1180&lt;VLOOKUP(J$5,NFI,5,0),1,0)*Table_NFI[[#This Row],[Sanitary Kit]],Table_NFI[Sanitary Kit])</f>
        <v>0</v>
      </c>
      <c r="AB1180" s="294">
        <f>IF(NFI_Expiration=1,IF($A1180&lt;VLOOKUP(K$5,NFI,5,0),1,0)*Table_NFI[[#This Row],[Mosquito net]],Table_NFI[Mosquito net])</f>
        <v>0</v>
      </c>
      <c r="AC1180" s="294">
        <f>IF(NFI_Expiration=1,IF($A1180&lt;VLOOKUP(L$5,NFI,5,0),1,0)*Table_NFI[[#This Row],[Tarpaulin]],Table_NFI[[#This Row],[Tarpaulin]])</f>
        <v>0</v>
      </c>
      <c r="AD1180" s="294">
        <f>IF(NFI_Expiration=1,IF($A1180&lt;VLOOKUP(M$5,NFI,5,0),1,0)*Table_NFI[[#This Row],[Blanket]],Table_NFI[[#This Row],[Blanket]])</f>
        <v>0</v>
      </c>
      <c r="AE1180" s="294">
        <f>IF(NFI_Expiration=1,IF($A1180&lt;VLOOKUP(N$5,NFI,5,0),1,0)*Table_NFI[[#This Row],[Kitchen Set]],Table_NFI[Kitchen Set])</f>
        <v>0</v>
      </c>
      <c r="AF1180" s="294">
        <f>IF(NFI_Expiration=1,IF($A1180&lt;VLOOKUP(O$5,NFI,5,0),1,0)*Table_NFI[[#This Row],[Clothes Kit]],Table_NFI[Clothes Kit])</f>
        <v>0</v>
      </c>
      <c r="AG1180" s="294">
        <f>IF(NFI_Expiration=1,IF($A1180&lt;VLOOKUP(P$5,NFI,5,0),1,0)*Table_NFI[[#This Row],[Plastic Bucket]],Table_NFI[Plastic Bucket])</f>
        <v>0</v>
      </c>
      <c r="AH1180" s="294">
        <f>IF(NFI_Expiration=1,IF($A1180&lt;VLOOKUP(Q$5,NFI,5,0),1,0)*Table_NFI[[#This Row],[Plastic Mat]],Table_NFI[Plastic Mat])*IF(Table_NFI[[#This Row],[Distribution Date]]&gt;"2014-04-01",1,2.5)</f>
        <v>0</v>
      </c>
      <c r="AI1180" s="294">
        <f>IF(NFI_Expiration=1,IF($A1180&lt;VLOOKUP(R$5,NFI,5,0),1,0)*Table_NFI[[#This Row],[Winter Clothes Adult]],Table_NFI[Winter Clothes Adult])</f>
        <v>0</v>
      </c>
      <c r="AJ1180" s="294">
        <f>IF(NFI_Expiration=1,IF($A1180&lt;VLOOKUP(S$5,NFI,5,0),1,0)*Table_NFI[[#This Row],[Winter Clothes Children]],Table_NFI[Winter Clothes Children])</f>
        <v>0</v>
      </c>
      <c r="AK1180" s="294">
        <f>IF(NFI_Expiration=1,IF($A1180&lt;VLOOKUP(T$5,NFI,5,0),1,0)*Table_NFI[[#This Row],[Winter Items Other]],Table_NFI[Winter Items Other])</f>
        <v>0</v>
      </c>
      <c r="AL1180" s="294">
        <f>IF(NFI_Expiration=1,IF($A1180&lt;VLOOKUP(M$5,NFI,5,0),1,0)*Table_NFI[[#This Row],[Winter Blanket]],Table_NFI[[#This Row],[Winter Blanket]])</f>
        <v>0</v>
      </c>
      <c r="AM1180" s="294">
        <f>IF(Table_NFI[[#This Row],[Winter Clothes Adult]]+Table_NFI[[#This Row],[Winter Clothes Children]]+Table_NFI[[#This Row],[Winter Items Other]]+Table_NFI[[#This Row],[Winter Blanket]]&gt;0,1,0)</f>
        <v>0</v>
      </c>
      <c r="AN1180" s="331">
        <f>IF(NFI_Expiration=1,IF($A1180&lt;VLOOKUP(V$5,NFI,5,0),1,0)*Table_NFI[[#This Row],[Jerry Can]],Table_NFI[Jerry Can])</f>
        <v>0</v>
      </c>
      <c r="AO1180" s="331">
        <f>IF(NFI_Expiration=1,IF($A1180&lt;VLOOKUP(V$5,NFI,5,0),1,0)*Table_NFI[[#This Row],[Shelter Tool kit]],Table_NFI[Shelter Tool kit])</f>
        <v>0</v>
      </c>
      <c r="AP1180" s="331">
        <f>IF(NFI_Expiration=1,IF($A1180&lt;VLOOKUP(V$5,NFI,5,0),1,0)*Table_NFI[[#This Row],[Tent]],Table_NFI[Tent])</f>
        <v>0</v>
      </c>
      <c r="AQ1180" s="467" t="str">
        <f>IFERROR(VLOOKUP(Table_NFI[[#This Row],[Camp Name]],CL,2,0),"")</f>
        <v/>
      </c>
      <c r="AR1180" s="835" t="str">
        <f ca="1">IF(Table_NFI[[#This Row],[Pcode]]="","",IF(OFFSET(CampList[Opening Date],MATCH(Table_NFI[[#This Row],[Pcode]],CampList[CP_Pcode],0)-1,0,1,1)&gt;=NFI_Monitor_Date,1,0))</f>
        <v/>
      </c>
      <c r="AS1180" s="467" t="str">
        <f>IFERROR(VLOOKUP(Table_NFI[[#This Row],[Camp Name]],CL,3,0),"")</f>
        <v/>
      </c>
      <c r="AT1180" s="294" t="str">
        <f ca="1">IF(Table_NFI[[#This Row],[Pcode]]="","",OFFSET(CampList[Priority],MATCH(Table_NFI[[#This Row],[Pcode]],CampList[CP_Pcode],0)-1,0,1,1))</f>
        <v/>
      </c>
      <c r="AU1180" s="293" t="str">
        <f>IFERROR(Table_NFI[[#This Row],[Kitchen Set]]/VLOOKUP(Table_NFI[[#This Row],[Camp Name]],CL,4,0),"")</f>
        <v/>
      </c>
      <c r="AV1180" s="465"/>
      <c r="AW1180" s="468"/>
    </row>
    <row r="1181" spans="1:49" ht="14.45" customHeight="1" x14ac:dyDescent="0.25">
      <c r="A1181" s="297" t="str">
        <f t="shared" si="18"/>
        <v/>
      </c>
      <c r="B1181" s="460"/>
      <c r="C1181" s="461"/>
      <c r="D1181" s="461"/>
      <c r="E1181" s="461"/>
      <c r="F1181" s="461"/>
      <c r="G1181" s="461"/>
      <c r="H1181" s="292"/>
      <c r="I1181" s="292"/>
      <c r="J1181" s="292"/>
      <c r="K1181" s="292"/>
      <c r="L1181" s="292"/>
      <c r="M1181" s="292"/>
      <c r="N1181" s="292"/>
      <c r="O1181" s="292"/>
      <c r="P1181" s="294"/>
      <c r="Q1181" s="294"/>
      <c r="R1181" s="294"/>
      <c r="S1181" s="294"/>
      <c r="T1181" s="294"/>
      <c r="U1181" s="294"/>
      <c r="V1181" s="431"/>
      <c r="W1181" s="331"/>
      <c r="X1181" s="331"/>
      <c r="Y1181" s="294">
        <f>IF(NFI_Expiration=1,IF($A1181&lt;VLOOKUP(H$5,NFI,5,0),1,0)*Table_NFI[[#This Row],[Hygiene Kit]],Table_NFI[Hygiene Kit])</f>
        <v>0</v>
      </c>
      <c r="Z1181" s="294">
        <f>IF(NFI_Expiration=1,IF($A1181&lt;VLOOKUP(I$5,NFI,5,0),1,0)*Table_NFI[[#This Row],[NFI Core Kit]],Table_NFI[NFI Core Kit])</f>
        <v>0</v>
      </c>
      <c r="AA1181" s="294">
        <f>IF(NFI_Expiration=1,IF($A1181&lt;VLOOKUP(J$5,NFI,5,0),1,0)*Table_NFI[[#This Row],[Sanitary Kit]],Table_NFI[Sanitary Kit])</f>
        <v>0</v>
      </c>
      <c r="AB1181" s="294">
        <f>IF(NFI_Expiration=1,IF($A1181&lt;VLOOKUP(K$5,NFI,5,0),1,0)*Table_NFI[[#This Row],[Mosquito net]],Table_NFI[Mosquito net])</f>
        <v>0</v>
      </c>
      <c r="AC1181" s="294">
        <f>IF(NFI_Expiration=1,IF($A1181&lt;VLOOKUP(L$5,NFI,5,0),1,0)*Table_NFI[[#This Row],[Tarpaulin]],Table_NFI[[#This Row],[Tarpaulin]])</f>
        <v>0</v>
      </c>
      <c r="AD1181" s="294">
        <f>IF(NFI_Expiration=1,IF($A1181&lt;VLOOKUP(M$5,NFI,5,0),1,0)*Table_NFI[[#This Row],[Blanket]],Table_NFI[[#This Row],[Blanket]])</f>
        <v>0</v>
      </c>
      <c r="AE1181" s="294">
        <f>IF(NFI_Expiration=1,IF($A1181&lt;VLOOKUP(N$5,NFI,5,0),1,0)*Table_NFI[[#This Row],[Kitchen Set]],Table_NFI[Kitchen Set])</f>
        <v>0</v>
      </c>
      <c r="AF1181" s="294">
        <f>IF(NFI_Expiration=1,IF($A1181&lt;VLOOKUP(O$5,NFI,5,0),1,0)*Table_NFI[[#This Row],[Clothes Kit]],Table_NFI[Clothes Kit])</f>
        <v>0</v>
      </c>
      <c r="AG1181" s="294">
        <f>IF(NFI_Expiration=1,IF($A1181&lt;VLOOKUP(P$5,NFI,5,0),1,0)*Table_NFI[[#This Row],[Plastic Bucket]],Table_NFI[Plastic Bucket])</f>
        <v>0</v>
      </c>
      <c r="AH1181" s="294">
        <f>IF(NFI_Expiration=1,IF($A1181&lt;VLOOKUP(Q$5,NFI,5,0),1,0)*Table_NFI[[#This Row],[Plastic Mat]],Table_NFI[Plastic Mat])*IF(Table_NFI[[#This Row],[Distribution Date]]&gt;"2014-04-01",1,2.5)</f>
        <v>0</v>
      </c>
      <c r="AI1181" s="294">
        <f>IF(NFI_Expiration=1,IF($A1181&lt;VLOOKUP(R$5,NFI,5,0),1,0)*Table_NFI[[#This Row],[Winter Clothes Adult]],Table_NFI[Winter Clothes Adult])</f>
        <v>0</v>
      </c>
      <c r="AJ1181" s="294">
        <f>IF(NFI_Expiration=1,IF($A1181&lt;VLOOKUP(S$5,NFI,5,0),1,0)*Table_NFI[[#This Row],[Winter Clothes Children]],Table_NFI[Winter Clothes Children])</f>
        <v>0</v>
      </c>
      <c r="AK1181" s="294">
        <f>IF(NFI_Expiration=1,IF($A1181&lt;VLOOKUP(T$5,NFI,5,0),1,0)*Table_NFI[[#This Row],[Winter Items Other]],Table_NFI[Winter Items Other])</f>
        <v>0</v>
      </c>
      <c r="AL1181" s="294">
        <f>IF(NFI_Expiration=1,IF($A1181&lt;VLOOKUP(M$5,NFI,5,0),1,0)*Table_NFI[[#This Row],[Winter Blanket]],Table_NFI[[#This Row],[Winter Blanket]])</f>
        <v>0</v>
      </c>
      <c r="AM1181" s="294">
        <f>IF(Table_NFI[[#This Row],[Winter Clothes Adult]]+Table_NFI[[#This Row],[Winter Clothes Children]]+Table_NFI[[#This Row],[Winter Items Other]]+Table_NFI[[#This Row],[Winter Blanket]]&gt;0,1,0)</f>
        <v>0</v>
      </c>
      <c r="AN1181" s="331">
        <f>IF(NFI_Expiration=1,IF($A1181&lt;VLOOKUP(V$5,NFI,5,0),1,0)*Table_NFI[[#This Row],[Jerry Can]],Table_NFI[Jerry Can])</f>
        <v>0</v>
      </c>
      <c r="AO1181" s="331">
        <f>IF(NFI_Expiration=1,IF($A1181&lt;VLOOKUP(V$5,NFI,5,0),1,0)*Table_NFI[[#This Row],[Shelter Tool kit]],Table_NFI[Shelter Tool kit])</f>
        <v>0</v>
      </c>
      <c r="AP1181" s="331">
        <f>IF(NFI_Expiration=1,IF($A1181&lt;VLOOKUP(V$5,NFI,5,0),1,0)*Table_NFI[[#This Row],[Tent]],Table_NFI[Tent])</f>
        <v>0</v>
      </c>
      <c r="AQ1181" s="467" t="str">
        <f>IFERROR(VLOOKUP(Table_NFI[[#This Row],[Camp Name]],CL,2,0),"")</f>
        <v/>
      </c>
      <c r="AR1181" s="835" t="str">
        <f ca="1">IF(Table_NFI[[#This Row],[Pcode]]="","",IF(OFFSET(CampList[Opening Date],MATCH(Table_NFI[[#This Row],[Pcode]],CampList[CP_Pcode],0)-1,0,1,1)&gt;=NFI_Monitor_Date,1,0))</f>
        <v/>
      </c>
      <c r="AS1181" s="467" t="str">
        <f>IFERROR(VLOOKUP(Table_NFI[[#This Row],[Camp Name]],CL,3,0),"")</f>
        <v/>
      </c>
      <c r="AT1181" s="294" t="str">
        <f ca="1">IF(Table_NFI[[#This Row],[Pcode]]="","",OFFSET(CampList[Priority],MATCH(Table_NFI[[#This Row],[Pcode]],CampList[CP_Pcode],0)-1,0,1,1))</f>
        <v/>
      </c>
      <c r="AU1181" s="293" t="str">
        <f>IFERROR(Table_NFI[[#This Row],[Kitchen Set]]/VLOOKUP(Table_NFI[[#This Row],[Camp Name]],CL,4,0),"")</f>
        <v/>
      </c>
      <c r="AV1181" s="465"/>
      <c r="AW1181" s="468"/>
    </row>
    <row r="1182" spans="1:49" ht="14.45" customHeight="1" x14ac:dyDescent="0.25">
      <c r="A1182" s="297" t="str">
        <f t="shared" si="18"/>
        <v/>
      </c>
      <c r="B1182" s="460"/>
      <c r="C1182" s="461"/>
      <c r="D1182" s="461"/>
      <c r="E1182" s="461"/>
      <c r="F1182" s="461"/>
      <c r="G1182" s="461"/>
      <c r="H1182" s="292"/>
      <c r="I1182" s="292"/>
      <c r="J1182" s="292"/>
      <c r="K1182" s="292"/>
      <c r="L1182" s="292"/>
      <c r="M1182" s="292"/>
      <c r="N1182" s="292"/>
      <c r="O1182" s="292"/>
      <c r="P1182" s="294"/>
      <c r="Q1182" s="294"/>
      <c r="R1182" s="294"/>
      <c r="S1182" s="294"/>
      <c r="T1182" s="294"/>
      <c r="U1182" s="294"/>
      <c r="V1182" s="431"/>
      <c r="W1182" s="331"/>
      <c r="X1182" s="331"/>
      <c r="Y1182" s="294">
        <f>IF(NFI_Expiration=1,IF($A1182&lt;VLOOKUP(H$5,NFI,5,0),1,0)*Table_NFI[[#This Row],[Hygiene Kit]],Table_NFI[Hygiene Kit])</f>
        <v>0</v>
      </c>
      <c r="Z1182" s="294">
        <f>IF(NFI_Expiration=1,IF($A1182&lt;VLOOKUP(I$5,NFI,5,0),1,0)*Table_NFI[[#This Row],[NFI Core Kit]],Table_NFI[NFI Core Kit])</f>
        <v>0</v>
      </c>
      <c r="AA1182" s="294">
        <f>IF(NFI_Expiration=1,IF($A1182&lt;VLOOKUP(J$5,NFI,5,0),1,0)*Table_NFI[[#This Row],[Sanitary Kit]],Table_NFI[Sanitary Kit])</f>
        <v>0</v>
      </c>
      <c r="AB1182" s="294">
        <f>IF(NFI_Expiration=1,IF($A1182&lt;VLOOKUP(K$5,NFI,5,0),1,0)*Table_NFI[[#This Row],[Mosquito net]],Table_NFI[Mosquito net])</f>
        <v>0</v>
      </c>
      <c r="AC1182" s="294">
        <f>IF(NFI_Expiration=1,IF($A1182&lt;VLOOKUP(L$5,NFI,5,0),1,0)*Table_NFI[[#This Row],[Tarpaulin]],Table_NFI[[#This Row],[Tarpaulin]])</f>
        <v>0</v>
      </c>
      <c r="AD1182" s="294">
        <f>IF(NFI_Expiration=1,IF($A1182&lt;VLOOKUP(M$5,NFI,5,0),1,0)*Table_NFI[[#This Row],[Blanket]],Table_NFI[[#This Row],[Blanket]])</f>
        <v>0</v>
      </c>
      <c r="AE1182" s="294">
        <f>IF(NFI_Expiration=1,IF($A1182&lt;VLOOKUP(N$5,NFI,5,0),1,0)*Table_NFI[[#This Row],[Kitchen Set]],Table_NFI[Kitchen Set])</f>
        <v>0</v>
      </c>
      <c r="AF1182" s="294">
        <f>IF(NFI_Expiration=1,IF($A1182&lt;VLOOKUP(O$5,NFI,5,0),1,0)*Table_NFI[[#This Row],[Clothes Kit]],Table_NFI[Clothes Kit])</f>
        <v>0</v>
      </c>
      <c r="AG1182" s="294">
        <f>IF(NFI_Expiration=1,IF($A1182&lt;VLOOKUP(P$5,NFI,5,0),1,0)*Table_NFI[[#This Row],[Plastic Bucket]],Table_NFI[Plastic Bucket])</f>
        <v>0</v>
      </c>
      <c r="AH1182" s="294">
        <f>IF(NFI_Expiration=1,IF($A1182&lt;VLOOKUP(Q$5,NFI,5,0),1,0)*Table_NFI[[#This Row],[Plastic Mat]],Table_NFI[Plastic Mat])*IF(Table_NFI[[#This Row],[Distribution Date]]&gt;"2014-04-01",1,2.5)</f>
        <v>0</v>
      </c>
      <c r="AI1182" s="294">
        <f>IF(NFI_Expiration=1,IF($A1182&lt;VLOOKUP(R$5,NFI,5,0),1,0)*Table_NFI[[#This Row],[Winter Clothes Adult]],Table_NFI[Winter Clothes Adult])</f>
        <v>0</v>
      </c>
      <c r="AJ1182" s="294">
        <f>IF(NFI_Expiration=1,IF($A1182&lt;VLOOKUP(S$5,NFI,5,0),1,0)*Table_NFI[[#This Row],[Winter Clothes Children]],Table_NFI[Winter Clothes Children])</f>
        <v>0</v>
      </c>
      <c r="AK1182" s="294">
        <f>IF(NFI_Expiration=1,IF($A1182&lt;VLOOKUP(T$5,NFI,5,0),1,0)*Table_NFI[[#This Row],[Winter Items Other]],Table_NFI[Winter Items Other])</f>
        <v>0</v>
      </c>
      <c r="AL1182" s="294">
        <f>IF(NFI_Expiration=1,IF($A1182&lt;VLOOKUP(M$5,NFI,5,0),1,0)*Table_NFI[[#This Row],[Winter Blanket]],Table_NFI[[#This Row],[Winter Blanket]])</f>
        <v>0</v>
      </c>
      <c r="AM1182" s="294">
        <f>IF(Table_NFI[[#This Row],[Winter Clothes Adult]]+Table_NFI[[#This Row],[Winter Clothes Children]]+Table_NFI[[#This Row],[Winter Items Other]]+Table_NFI[[#This Row],[Winter Blanket]]&gt;0,1,0)</f>
        <v>0</v>
      </c>
      <c r="AN1182" s="331">
        <f>IF(NFI_Expiration=1,IF($A1182&lt;VLOOKUP(V$5,NFI,5,0),1,0)*Table_NFI[[#This Row],[Jerry Can]],Table_NFI[Jerry Can])</f>
        <v>0</v>
      </c>
      <c r="AO1182" s="331">
        <f>IF(NFI_Expiration=1,IF($A1182&lt;VLOOKUP(V$5,NFI,5,0),1,0)*Table_NFI[[#This Row],[Shelter Tool kit]],Table_NFI[Shelter Tool kit])</f>
        <v>0</v>
      </c>
      <c r="AP1182" s="331">
        <f>IF(NFI_Expiration=1,IF($A1182&lt;VLOOKUP(V$5,NFI,5,0),1,0)*Table_NFI[[#This Row],[Tent]],Table_NFI[Tent])</f>
        <v>0</v>
      </c>
      <c r="AQ1182" s="467" t="str">
        <f>IFERROR(VLOOKUP(Table_NFI[[#This Row],[Camp Name]],CL,2,0),"")</f>
        <v/>
      </c>
      <c r="AR1182" s="835" t="str">
        <f ca="1">IF(Table_NFI[[#This Row],[Pcode]]="","",IF(OFFSET(CampList[Opening Date],MATCH(Table_NFI[[#This Row],[Pcode]],CampList[CP_Pcode],0)-1,0,1,1)&gt;=NFI_Monitor_Date,1,0))</f>
        <v/>
      </c>
      <c r="AS1182" s="467" t="str">
        <f>IFERROR(VLOOKUP(Table_NFI[[#This Row],[Camp Name]],CL,3,0),"")</f>
        <v/>
      </c>
      <c r="AT1182" s="294" t="str">
        <f ca="1">IF(Table_NFI[[#This Row],[Pcode]]="","",OFFSET(CampList[Priority],MATCH(Table_NFI[[#This Row],[Pcode]],CampList[CP_Pcode],0)-1,0,1,1))</f>
        <v/>
      </c>
      <c r="AU1182" s="293" t="str">
        <f>IFERROR(Table_NFI[[#This Row],[Kitchen Set]]/VLOOKUP(Table_NFI[[#This Row],[Camp Name]],CL,4,0),"")</f>
        <v/>
      </c>
      <c r="AV1182" s="465"/>
      <c r="AW1182" s="468"/>
    </row>
    <row r="1183" spans="1:49" ht="14.45" customHeight="1" x14ac:dyDescent="0.25">
      <c r="A1183" s="297" t="str">
        <f t="shared" si="18"/>
        <v/>
      </c>
      <c r="B1183" s="460"/>
      <c r="C1183" s="461"/>
      <c r="D1183" s="461"/>
      <c r="E1183" s="461"/>
      <c r="F1183" s="461"/>
      <c r="G1183" s="461"/>
      <c r="H1183" s="291"/>
      <c r="I1183" s="294"/>
      <c r="J1183" s="294"/>
      <c r="K1183" s="294"/>
      <c r="L1183" s="292"/>
      <c r="M1183" s="292"/>
      <c r="N1183" s="292"/>
      <c r="O1183" s="292"/>
      <c r="P1183" s="294"/>
      <c r="Q1183" s="294"/>
      <c r="R1183" s="294"/>
      <c r="S1183" s="294"/>
      <c r="T1183" s="294"/>
      <c r="U1183" s="294"/>
      <c r="V1183" s="431"/>
      <c r="W1183" s="331"/>
      <c r="X1183" s="331"/>
      <c r="Y1183" s="294">
        <f>IF(NFI_Expiration=1,IF($A1183&lt;VLOOKUP(H$5,NFI,5,0),1,0)*Table_NFI[[#This Row],[Hygiene Kit]],Table_NFI[Hygiene Kit])</f>
        <v>0</v>
      </c>
      <c r="Z1183" s="294">
        <f>IF(NFI_Expiration=1,IF($A1183&lt;VLOOKUP(I$5,NFI,5,0),1,0)*Table_NFI[[#This Row],[NFI Core Kit]],Table_NFI[NFI Core Kit])</f>
        <v>0</v>
      </c>
      <c r="AA1183" s="294">
        <f>IF(NFI_Expiration=1,IF($A1183&lt;VLOOKUP(J$5,NFI,5,0),1,0)*Table_NFI[[#This Row],[Sanitary Kit]],Table_NFI[Sanitary Kit])</f>
        <v>0</v>
      </c>
      <c r="AB1183" s="294">
        <f>IF(NFI_Expiration=1,IF($A1183&lt;VLOOKUP(K$5,NFI,5,0),1,0)*Table_NFI[[#This Row],[Mosquito net]],Table_NFI[Mosquito net])</f>
        <v>0</v>
      </c>
      <c r="AC1183" s="294">
        <f>IF(NFI_Expiration=1,IF($A1183&lt;VLOOKUP(L$5,NFI,5,0),1,0)*Table_NFI[[#This Row],[Tarpaulin]],Table_NFI[[#This Row],[Tarpaulin]])</f>
        <v>0</v>
      </c>
      <c r="AD1183" s="294">
        <f>IF(NFI_Expiration=1,IF($A1183&lt;VLOOKUP(M$5,NFI,5,0),1,0)*Table_NFI[[#This Row],[Blanket]],Table_NFI[[#This Row],[Blanket]])</f>
        <v>0</v>
      </c>
      <c r="AE1183" s="294">
        <f>IF(NFI_Expiration=1,IF($A1183&lt;VLOOKUP(N$5,NFI,5,0),1,0)*Table_NFI[[#This Row],[Kitchen Set]],Table_NFI[Kitchen Set])</f>
        <v>0</v>
      </c>
      <c r="AF1183" s="294">
        <f>IF(NFI_Expiration=1,IF($A1183&lt;VLOOKUP(O$5,NFI,5,0),1,0)*Table_NFI[[#This Row],[Clothes Kit]],Table_NFI[Clothes Kit])</f>
        <v>0</v>
      </c>
      <c r="AG1183" s="294">
        <f>IF(NFI_Expiration=1,IF($A1183&lt;VLOOKUP(P$5,NFI,5,0),1,0)*Table_NFI[[#This Row],[Plastic Bucket]],Table_NFI[Plastic Bucket])</f>
        <v>0</v>
      </c>
      <c r="AH1183" s="294">
        <f>IF(NFI_Expiration=1,IF($A1183&lt;VLOOKUP(Q$5,NFI,5,0),1,0)*Table_NFI[[#This Row],[Plastic Mat]],Table_NFI[Plastic Mat])*IF(Table_NFI[[#This Row],[Distribution Date]]&gt;"2014-04-01",1,2.5)</f>
        <v>0</v>
      </c>
      <c r="AI1183" s="294">
        <f>IF(NFI_Expiration=1,IF($A1183&lt;VLOOKUP(R$5,NFI,5,0),1,0)*Table_NFI[[#This Row],[Winter Clothes Adult]],Table_NFI[Winter Clothes Adult])</f>
        <v>0</v>
      </c>
      <c r="AJ1183" s="294">
        <f>IF(NFI_Expiration=1,IF($A1183&lt;VLOOKUP(S$5,NFI,5,0),1,0)*Table_NFI[[#This Row],[Winter Clothes Children]],Table_NFI[Winter Clothes Children])</f>
        <v>0</v>
      </c>
      <c r="AK1183" s="294">
        <f>IF(NFI_Expiration=1,IF($A1183&lt;VLOOKUP(T$5,NFI,5,0),1,0)*Table_NFI[[#This Row],[Winter Items Other]],Table_NFI[Winter Items Other])</f>
        <v>0</v>
      </c>
      <c r="AL1183" s="294">
        <f>IF(NFI_Expiration=1,IF($A1183&lt;VLOOKUP(M$5,NFI,5,0),1,0)*Table_NFI[[#This Row],[Winter Blanket]],Table_NFI[[#This Row],[Winter Blanket]])</f>
        <v>0</v>
      </c>
      <c r="AM1183" s="294">
        <f>IF(Table_NFI[[#This Row],[Winter Clothes Adult]]+Table_NFI[[#This Row],[Winter Clothes Children]]+Table_NFI[[#This Row],[Winter Items Other]]+Table_NFI[[#This Row],[Winter Blanket]]&gt;0,1,0)</f>
        <v>0</v>
      </c>
      <c r="AN1183" s="331">
        <f>IF(NFI_Expiration=1,IF($A1183&lt;VLOOKUP(V$5,NFI,5,0),1,0)*Table_NFI[[#This Row],[Jerry Can]],Table_NFI[Jerry Can])</f>
        <v>0</v>
      </c>
      <c r="AO1183" s="331">
        <f>IF(NFI_Expiration=1,IF($A1183&lt;VLOOKUP(V$5,NFI,5,0),1,0)*Table_NFI[[#This Row],[Shelter Tool kit]],Table_NFI[Shelter Tool kit])</f>
        <v>0</v>
      </c>
      <c r="AP1183" s="331">
        <f>IF(NFI_Expiration=1,IF($A1183&lt;VLOOKUP(V$5,NFI,5,0),1,0)*Table_NFI[[#This Row],[Tent]],Table_NFI[Tent])</f>
        <v>0</v>
      </c>
      <c r="AQ1183" s="467" t="str">
        <f>IFERROR(VLOOKUP(Table_NFI[[#This Row],[Camp Name]],CL,2,0),"")</f>
        <v/>
      </c>
      <c r="AR1183" s="835" t="str">
        <f ca="1">IF(Table_NFI[[#This Row],[Pcode]]="","",IF(OFFSET(CampList[Opening Date],MATCH(Table_NFI[[#This Row],[Pcode]],CampList[CP_Pcode],0)-1,0,1,1)&gt;=NFI_Monitor_Date,1,0))</f>
        <v/>
      </c>
      <c r="AS1183" s="467" t="str">
        <f>IFERROR(VLOOKUP(Table_NFI[[#This Row],[Camp Name]],CL,3,0),"")</f>
        <v/>
      </c>
      <c r="AT1183" s="294" t="str">
        <f ca="1">IF(Table_NFI[[#This Row],[Pcode]]="","",OFFSET(CampList[Priority],MATCH(Table_NFI[[#This Row],[Pcode]],CampList[CP_Pcode],0)-1,0,1,1))</f>
        <v/>
      </c>
      <c r="AU1183" s="293" t="str">
        <f>IFERROR(Table_NFI[[#This Row],[Kitchen Set]]/VLOOKUP(Table_NFI[[#This Row],[Camp Name]],CL,4,0),"")</f>
        <v/>
      </c>
      <c r="AV1183" s="465"/>
      <c r="AW1183" s="463"/>
    </row>
    <row r="1184" spans="1:49" ht="14.45" customHeight="1" x14ac:dyDescent="0.25">
      <c r="A1184" s="297" t="str">
        <f t="shared" si="18"/>
        <v/>
      </c>
      <c r="B1184" s="460"/>
      <c r="C1184" s="461"/>
      <c r="D1184" s="465"/>
      <c r="E1184" s="465"/>
      <c r="F1184" s="465"/>
      <c r="G1184" s="465"/>
      <c r="H1184" s="292"/>
      <c r="I1184" s="292"/>
      <c r="J1184" s="292"/>
      <c r="K1184" s="292"/>
      <c r="L1184" s="292"/>
      <c r="M1184" s="292"/>
      <c r="N1184" s="292"/>
      <c r="O1184" s="292"/>
      <c r="P1184" s="294"/>
      <c r="Q1184" s="294"/>
      <c r="R1184" s="294"/>
      <c r="S1184" s="294"/>
      <c r="T1184" s="294"/>
      <c r="U1184" s="294"/>
      <c r="V1184" s="431"/>
      <c r="W1184" s="331"/>
      <c r="X1184" s="331"/>
      <c r="Y1184" s="294">
        <f>IF(NFI_Expiration=1,IF($A1184&lt;VLOOKUP(H$5,NFI,5,0),1,0)*Table_NFI[[#This Row],[Hygiene Kit]],Table_NFI[Hygiene Kit])</f>
        <v>0</v>
      </c>
      <c r="Z1184" s="294">
        <f>IF(NFI_Expiration=1,IF($A1184&lt;VLOOKUP(I$5,NFI,5,0),1,0)*Table_NFI[[#This Row],[NFI Core Kit]],Table_NFI[NFI Core Kit])</f>
        <v>0</v>
      </c>
      <c r="AA1184" s="294">
        <f>IF(NFI_Expiration=1,IF($A1184&lt;VLOOKUP(J$5,NFI,5,0),1,0)*Table_NFI[[#This Row],[Sanitary Kit]],Table_NFI[Sanitary Kit])</f>
        <v>0</v>
      </c>
      <c r="AB1184" s="294">
        <f>IF(NFI_Expiration=1,IF($A1184&lt;VLOOKUP(K$5,NFI,5,0),1,0)*Table_NFI[[#This Row],[Mosquito net]],Table_NFI[Mosquito net])</f>
        <v>0</v>
      </c>
      <c r="AC1184" s="294">
        <f>IF(NFI_Expiration=1,IF($A1184&lt;VLOOKUP(L$5,NFI,5,0),1,0)*Table_NFI[[#This Row],[Tarpaulin]],Table_NFI[[#This Row],[Tarpaulin]])</f>
        <v>0</v>
      </c>
      <c r="AD1184" s="294">
        <f>IF(NFI_Expiration=1,IF($A1184&lt;VLOOKUP(M$5,NFI,5,0),1,0)*Table_NFI[[#This Row],[Blanket]],Table_NFI[[#This Row],[Blanket]])</f>
        <v>0</v>
      </c>
      <c r="AE1184" s="294">
        <f>IF(NFI_Expiration=1,IF($A1184&lt;VLOOKUP(N$5,NFI,5,0),1,0)*Table_NFI[[#This Row],[Kitchen Set]],Table_NFI[Kitchen Set])</f>
        <v>0</v>
      </c>
      <c r="AF1184" s="294">
        <f>IF(NFI_Expiration=1,IF($A1184&lt;VLOOKUP(O$5,NFI,5,0),1,0)*Table_NFI[[#This Row],[Clothes Kit]],Table_NFI[Clothes Kit])</f>
        <v>0</v>
      </c>
      <c r="AG1184" s="294">
        <f>IF(NFI_Expiration=1,IF($A1184&lt;VLOOKUP(P$5,NFI,5,0),1,0)*Table_NFI[[#This Row],[Plastic Bucket]],Table_NFI[Plastic Bucket])</f>
        <v>0</v>
      </c>
      <c r="AH1184" s="294">
        <f>IF(NFI_Expiration=1,IF($A1184&lt;VLOOKUP(Q$5,NFI,5,0),1,0)*Table_NFI[[#This Row],[Plastic Mat]],Table_NFI[Plastic Mat])*IF(Table_NFI[[#This Row],[Distribution Date]]&gt;"2014-04-01",1,2.5)</f>
        <v>0</v>
      </c>
      <c r="AI1184" s="294">
        <f>IF(NFI_Expiration=1,IF($A1184&lt;VLOOKUP(R$5,NFI,5,0),1,0)*Table_NFI[[#This Row],[Winter Clothes Adult]],Table_NFI[Winter Clothes Adult])</f>
        <v>0</v>
      </c>
      <c r="AJ1184" s="294">
        <f>IF(NFI_Expiration=1,IF($A1184&lt;VLOOKUP(S$5,NFI,5,0),1,0)*Table_NFI[[#This Row],[Winter Clothes Children]],Table_NFI[Winter Clothes Children])</f>
        <v>0</v>
      </c>
      <c r="AK1184" s="294">
        <f>IF(NFI_Expiration=1,IF($A1184&lt;VLOOKUP(T$5,NFI,5,0),1,0)*Table_NFI[[#This Row],[Winter Items Other]],Table_NFI[Winter Items Other])</f>
        <v>0</v>
      </c>
      <c r="AL1184" s="294">
        <f>IF(NFI_Expiration=1,IF($A1184&lt;VLOOKUP(M$5,NFI,5,0),1,0)*Table_NFI[[#This Row],[Winter Blanket]],Table_NFI[[#This Row],[Winter Blanket]])</f>
        <v>0</v>
      </c>
      <c r="AM1184" s="294">
        <f>IF(Table_NFI[[#This Row],[Winter Clothes Adult]]+Table_NFI[[#This Row],[Winter Clothes Children]]+Table_NFI[[#This Row],[Winter Items Other]]+Table_NFI[[#This Row],[Winter Blanket]]&gt;0,1,0)</f>
        <v>0</v>
      </c>
      <c r="AN1184" s="331">
        <f>IF(NFI_Expiration=1,IF($A1184&lt;VLOOKUP(V$5,NFI,5,0),1,0)*Table_NFI[[#This Row],[Jerry Can]],Table_NFI[Jerry Can])</f>
        <v>0</v>
      </c>
      <c r="AO1184" s="331">
        <f>IF(NFI_Expiration=1,IF($A1184&lt;VLOOKUP(V$5,NFI,5,0),1,0)*Table_NFI[[#This Row],[Shelter Tool kit]],Table_NFI[Shelter Tool kit])</f>
        <v>0</v>
      </c>
      <c r="AP1184" s="331">
        <f>IF(NFI_Expiration=1,IF($A1184&lt;VLOOKUP(V$5,NFI,5,0),1,0)*Table_NFI[[#This Row],[Tent]],Table_NFI[Tent])</f>
        <v>0</v>
      </c>
      <c r="AQ1184" s="467" t="str">
        <f>IFERROR(VLOOKUP(Table_NFI[[#This Row],[Camp Name]],CL,2,0),"")</f>
        <v/>
      </c>
      <c r="AR1184" s="835" t="str">
        <f ca="1">IF(Table_NFI[[#This Row],[Pcode]]="","",IF(OFFSET(CampList[Opening Date],MATCH(Table_NFI[[#This Row],[Pcode]],CampList[CP_Pcode],0)-1,0,1,1)&gt;=NFI_Monitor_Date,1,0))</f>
        <v/>
      </c>
      <c r="AS1184" s="467" t="str">
        <f>IFERROR(VLOOKUP(Table_NFI[[#This Row],[Camp Name]],CL,3,0),"")</f>
        <v/>
      </c>
      <c r="AT1184" s="294" t="str">
        <f ca="1">IF(Table_NFI[[#This Row],[Pcode]]="","",OFFSET(CampList[Priority],MATCH(Table_NFI[[#This Row],[Pcode]],CampList[CP_Pcode],0)-1,0,1,1))</f>
        <v/>
      </c>
      <c r="AU1184" s="293" t="str">
        <f>IFERROR(Table_NFI[[#This Row],[Kitchen Set]]/VLOOKUP(Table_NFI[[#This Row],[Camp Name]],CL,4,0),"")</f>
        <v/>
      </c>
      <c r="AV1184" s="465"/>
      <c r="AW1184" s="468"/>
    </row>
    <row r="1185" spans="1:49" ht="14.45" customHeight="1" x14ac:dyDescent="0.25">
      <c r="A1185" s="297" t="str">
        <f t="shared" si="18"/>
        <v/>
      </c>
      <c r="B1185" s="460"/>
      <c r="C1185" s="461"/>
      <c r="D1185" s="461"/>
      <c r="E1185" s="461"/>
      <c r="F1185" s="290"/>
      <c r="G1185" s="290"/>
      <c r="H1185" s="291"/>
      <c r="I1185" s="291"/>
      <c r="J1185" s="291"/>
      <c r="K1185" s="291"/>
      <c r="L1185" s="292"/>
      <c r="M1185" s="292"/>
      <c r="N1185" s="292"/>
      <c r="O1185" s="292"/>
      <c r="P1185" s="294"/>
      <c r="Q1185" s="294"/>
      <c r="R1185" s="294"/>
      <c r="S1185" s="294"/>
      <c r="T1185" s="294"/>
      <c r="U1185" s="294"/>
      <c r="V1185" s="431"/>
      <c r="W1185" s="331"/>
      <c r="X1185" s="331"/>
      <c r="Y1185" s="294">
        <f>IF(NFI_Expiration=1,IF($A1185&lt;VLOOKUP(H$5,NFI,5,0),1,0)*Table_NFI[[#This Row],[Hygiene Kit]],Table_NFI[Hygiene Kit])</f>
        <v>0</v>
      </c>
      <c r="Z1185" s="294">
        <f>IF(NFI_Expiration=1,IF($A1185&lt;VLOOKUP(I$5,NFI,5,0),1,0)*Table_NFI[[#This Row],[NFI Core Kit]],Table_NFI[NFI Core Kit])</f>
        <v>0</v>
      </c>
      <c r="AA1185" s="294">
        <f>IF(NFI_Expiration=1,IF($A1185&lt;VLOOKUP(J$5,NFI,5,0),1,0)*Table_NFI[[#This Row],[Sanitary Kit]],Table_NFI[Sanitary Kit])</f>
        <v>0</v>
      </c>
      <c r="AB1185" s="294">
        <f>IF(NFI_Expiration=1,IF($A1185&lt;VLOOKUP(K$5,NFI,5,0),1,0)*Table_NFI[[#This Row],[Mosquito net]],Table_NFI[Mosquito net])</f>
        <v>0</v>
      </c>
      <c r="AC1185" s="294">
        <f>IF(NFI_Expiration=1,IF($A1185&lt;VLOOKUP(L$5,NFI,5,0),1,0)*Table_NFI[[#This Row],[Tarpaulin]],Table_NFI[[#This Row],[Tarpaulin]])</f>
        <v>0</v>
      </c>
      <c r="AD1185" s="294">
        <f>IF(NFI_Expiration=1,IF($A1185&lt;VLOOKUP(M$5,NFI,5,0),1,0)*Table_NFI[[#This Row],[Blanket]],Table_NFI[[#This Row],[Blanket]])</f>
        <v>0</v>
      </c>
      <c r="AE1185" s="294">
        <f>IF(NFI_Expiration=1,IF($A1185&lt;VLOOKUP(N$5,NFI,5,0),1,0)*Table_NFI[[#This Row],[Kitchen Set]],Table_NFI[Kitchen Set])</f>
        <v>0</v>
      </c>
      <c r="AF1185" s="294">
        <f>IF(NFI_Expiration=1,IF($A1185&lt;VLOOKUP(O$5,NFI,5,0),1,0)*Table_NFI[[#This Row],[Clothes Kit]],Table_NFI[Clothes Kit])</f>
        <v>0</v>
      </c>
      <c r="AG1185" s="294">
        <f>IF(NFI_Expiration=1,IF($A1185&lt;VLOOKUP(P$5,NFI,5,0),1,0)*Table_NFI[[#This Row],[Plastic Bucket]],Table_NFI[Plastic Bucket])</f>
        <v>0</v>
      </c>
      <c r="AH1185" s="294">
        <f>IF(NFI_Expiration=1,IF($A1185&lt;VLOOKUP(Q$5,NFI,5,0),1,0)*Table_NFI[[#This Row],[Plastic Mat]],Table_NFI[Plastic Mat])*IF(Table_NFI[[#This Row],[Distribution Date]]&gt;"2014-04-01",1,2.5)</f>
        <v>0</v>
      </c>
      <c r="AI1185" s="294">
        <f>IF(NFI_Expiration=1,IF($A1185&lt;VLOOKUP(R$5,NFI,5,0),1,0)*Table_NFI[[#This Row],[Winter Clothes Adult]],Table_NFI[Winter Clothes Adult])</f>
        <v>0</v>
      </c>
      <c r="AJ1185" s="294">
        <f>IF(NFI_Expiration=1,IF($A1185&lt;VLOOKUP(S$5,NFI,5,0),1,0)*Table_NFI[[#This Row],[Winter Clothes Children]],Table_NFI[Winter Clothes Children])</f>
        <v>0</v>
      </c>
      <c r="AK1185" s="294">
        <f>IF(NFI_Expiration=1,IF($A1185&lt;VLOOKUP(T$5,NFI,5,0),1,0)*Table_NFI[[#This Row],[Winter Items Other]],Table_NFI[Winter Items Other])</f>
        <v>0</v>
      </c>
      <c r="AL1185" s="294">
        <f>IF(NFI_Expiration=1,IF($A1185&lt;VLOOKUP(M$5,NFI,5,0),1,0)*Table_NFI[[#This Row],[Winter Blanket]],Table_NFI[[#This Row],[Winter Blanket]])</f>
        <v>0</v>
      </c>
      <c r="AM1185" s="294">
        <f>IF(Table_NFI[[#This Row],[Winter Clothes Adult]]+Table_NFI[[#This Row],[Winter Clothes Children]]+Table_NFI[[#This Row],[Winter Items Other]]+Table_NFI[[#This Row],[Winter Blanket]]&gt;0,1,0)</f>
        <v>0</v>
      </c>
      <c r="AN1185" s="331">
        <f>IF(NFI_Expiration=1,IF($A1185&lt;VLOOKUP(V$5,NFI,5,0),1,0)*Table_NFI[[#This Row],[Jerry Can]],Table_NFI[Jerry Can])</f>
        <v>0</v>
      </c>
      <c r="AO1185" s="331">
        <f>IF(NFI_Expiration=1,IF($A1185&lt;VLOOKUP(V$5,NFI,5,0),1,0)*Table_NFI[[#This Row],[Shelter Tool kit]],Table_NFI[Shelter Tool kit])</f>
        <v>0</v>
      </c>
      <c r="AP1185" s="331">
        <f>IF(NFI_Expiration=1,IF($A1185&lt;VLOOKUP(V$5,NFI,5,0),1,0)*Table_NFI[[#This Row],[Tent]],Table_NFI[Tent])</f>
        <v>0</v>
      </c>
      <c r="AQ1185" s="467" t="str">
        <f>IFERROR(VLOOKUP(Table_NFI[[#This Row],[Camp Name]],CL,2,0),"")</f>
        <v/>
      </c>
      <c r="AR1185" s="835" t="str">
        <f ca="1">IF(Table_NFI[[#This Row],[Pcode]]="","",IF(OFFSET(CampList[Opening Date],MATCH(Table_NFI[[#This Row],[Pcode]],CampList[CP_Pcode],0)-1,0,1,1)&gt;=NFI_Monitor_Date,1,0))</f>
        <v/>
      </c>
      <c r="AS1185" s="467" t="str">
        <f>IFERROR(VLOOKUP(Table_NFI[[#This Row],[Camp Name]],CL,3,0),"")</f>
        <v/>
      </c>
      <c r="AT1185" s="294" t="str">
        <f ca="1">IF(Table_NFI[[#This Row],[Pcode]]="","",OFFSET(CampList[Priority],MATCH(Table_NFI[[#This Row],[Pcode]],CampList[CP_Pcode],0)-1,0,1,1))</f>
        <v/>
      </c>
      <c r="AU1185" s="293" t="str">
        <f>IFERROR(Table_NFI[[#This Row],[Kitchen Set]]/VLOOKUP(Table_NFI[[#This Row],[Camp Name]],CL,4,0),"")</f>
        <v/>
      </c>
      <c r="AV1185" s="461"/>
      <c r="AW1185" s="479"/>
    </row>
    <row r="1186" spans="1:49" ht="14.45" customHeight="1" x14ac:dyDescent="0.25">
      <c r="A1186" s="297" t="str">
        <f t="shared" si="18"/>
        <v/>
      </c>
      <c r="B1186" s="460"/>
      <c r="C1186" s="461"/>
      <c r="D1186" s="461"/>
      <c r="E1186" s="461"/>
      <c r="F1186" s="290"/>
      <c r="G1186" s="290"/>
      <c r="H1186" s="291"/>
      <c r="I1186" s="291"/>
      <c r="J1186" s="291"/>
      <c r="K1186" s="291"/>
      <c r="L1186" s="292"/>
      <c r="M1186" s="292"/>
      <c r="N1186" s="292"/>
      <c r="O1186" s="292"/>
      <c r="P1186" s="294"/>
      <c r="Q1186" s="294"/>
      <c r="R1186" s="294"/>
      <c r="S1186" s="294"/>
      <c r="T1186" s="294"/>
      <c r="U1186" s="294"/>
      <c r="V1186" s="431"/>
      <c r="W1186" s="331"/>
      <c r="X1186" s="331"/>
      <c r="Y1186" s="294">
        <f>IF(NFI_Expiration=1,IF($A1186&lt;VLOOKUP(H$5,NFI,5,0),1,0)*Table_NFI[[#This Row],[Hygiene Kit]],Table_NFI[Hygiene Kit])</f>
        <v>0</v>
      </c>
      <c r="Z1186" s="294">
        <f>IF(NFI_Expiration=1,IF($A1186&lt;VLOOKUP(I$5,NFI,5,0),1,0)*Table_NFI[[#This Row],[NFI Core Kit]],Table_NFI[NFI Core Kit])</f>
        <v>0</v>
      </c>
      <c r="AA1186" s="294">
        <f>IF(NFI_Expiration=1,IF($A1186&lt;VLOOKUP(J$5,NFI,5,0),1,0)*Table_NFI[[#This Row],[Sanitary Kit]],Table_NFI[Sanitary Kit])</f>
        <v>0</v>
      </c>
      <c r="AB1186" s="294">
        <f>IF(NFI_Expiration=1,IF($A1186&lt;VLOOKUP(K$5,NFI,5,0),1,0)*Table_NFI[[#This Row],[Mosquito net]],Table_NFI[Mosquito net])</f>
        <v>0</v>
      </c>
      <c r="AC1186" s="294">
        <f>IF(NFI_Expiration=1,IF($A1186&lt;VLOOKUP(L$5,NFI,5,0),1,0)*Table_NFI[[#This Row],[Tarpaulin]],Table_NFI[[#This Row],[Tarpaulin]])</f>
        <v>0</v>
      </c>
      <c r="AD1186" s="294">
        <f>IF(NFI_Expiration=1,IF($A1186&lt;VLOOKUP(M$5,NFI,5,0),1,0)*Table_NFI[[#This Row],[Blanket]],Table_NFI[[#This Row],[Blanket]])</f>
        <v>0</v>
      </c>
      <c r="AE1186" s="294">
        <f>IF(NFI_Expiration=1,IF($A1186&lt;VLOOKUP(N$5,NFI,5,0),1,0)*Table_NFI[[#This Row],[Kitchen Set]],Table_NFI[Kitchen Set])</f>
        <v>0</v>
      </c>
      <c r="AF1186" s="294">
        <f>IF(NFI_Expiration=1,IF($A1186&lt;VLOOKUP(O$5,NFI,5,0),1,0)*Table_NFI[[#This Row],[Clothes Kit]],Table_NFI[Clothes Kit])</f>
        <v>0</v>
      </c>
      <c r="AG1186" s="294">
        <f>IF(NFI_Expiration=1,IF($A1186&lt;VLOOKUP(P$5,NFI,5,0),1,0)*Table_NFI[[#This Row],[Plastic Bucket]],Table_NFI[Plastic Bucket])</f>
        <v>0</v>
      </c>
      <c r="AH1186" s="294">
        <f>IF(NFI_Expiration=1,IF($A1186&lt;VLOOKUP(Q$5,NFI,5,0),1,0)*Table_NFI[[#This Row],[Plastic Mat]],Table_NFI[Plastic Mat])*IF(Table_NFI[[#This Row],[Distribution Date]]&gt;"2014-04-01",1,2.5)</f>
        <v>0</v>
      </c>
      <c r="AI1186" s="294">
        <f>IF(NFI_Expiration=1,IF($A1186&lt;VLOOKUP(R$5,NFI,5,0),1,0)*Table_NFI[[#This Row],[Winter Clothes Adult]],Table_NFI[Winter Clothes Adult])</f>
        <v>0</v>
      </c>
      <c r="AJ1186" s="294">
        <f>IF(NFI_Expiration=1,IF($A1186&lt;VLOOKUP(S$5,NFI,5,0),1,0)*Table_NFI[[#This Row],[Winter Clothes Children]],Table_NFI[Winter Clothes Children])</f>
        <v>0</v>
      </c>
      <c r="AK1186" s="294">
        <f>IF(NFI_Expiration=1,IF($A1186&lt;VLOOKUP(T$5,NFI,5,0),1,0)*Table_NFI[[#This Row],[Winter Items Other]],Table_NFI[Winter Items Other])</f>
        <v>0</v>
      </c>
      <c r="AL1186" s="294">
        <f>IF(NFI_Expiration=1,IF($A1186&lt;VLOOKUP(M$5,NFI,5,0),1,0)*Table_NFI[[#This Row],[Winter Blanket]],Table_NFI[[#This Row],[Winter Blanket]])</f>
        <v>0</v>
      </c>
      <c r="AM1186" s="294">
        <f>IF(Table_NFI[[#This Row],[Winter Clothes Adult]]+Table_NFI[[#This Row],[Winter Clothes Children]]+Table_NFI[[#This Row],[Winter Items Other]]+Table_NFI[[#This Row],[Winter Blanket]]&gt;0,1,0)</f>
        <v>0</v>
      </c>
      <c r="AN1186" s="331">
        <f>IF(NFI_Expiration=1,IF($A1186&lt;VLOOKUP(V$5,NFI,5,0),1,0)*Table_NFI[[#This Row],[Jerry Can]],Table_NFI[Jerry Can])</f>
        <v>0</v>
      </c>
      <c r="AO1186" s="331">
        <f>IF(NFI_Expiration=1,IF($A1186&lt;VLOOKUP(V$5,NFI,5,0),1,0)*Table_NFI[[#This Row],[Shelter Tool kit]],Table_NFI[Shelter Tool kit])</f>
        <v>0</v>
      </c>
      <c r="AP1186" s="331">
        <f>IF(NFI_Expiration=1,IF($A1186&lt;VLOOKUP(V$5,NFI,5,0),1,0)*Table_NFI[[#This Row],[Tent]],Table_NFI[Tent])</f>
        <v>0</v>
      </c>
      <c r="AQ1186" s="467" t="str">
        <f>IFERROR(VLOOKUP(Table_NFI[[#This Row],[Camp Name]],CL,2,0),"")</f>
        <v/>
      </c>
      <c r="AR1186" s="835" t="str">
        <f ca="1">IF(Table_NFI[[#This Row],[Pcode]]="","",IF(OFFSET(CampList[Opening Date],MATCH(Table_NFI[[#This Row],[Pcode]],CampList[CP_Pcode],0)-1,0,1,1)&gt;=NFI_Monitor_Date,1,0))</f>
        <v/>
      </c>
      <c r="AS1186" s="467" t="str">
        <f>IFERROR(VLOOKUP(Table_NFI[[#This Row],[Camp Name]],CL,3,0),"")</f>
        <v/>
      </c>
      <c r="AT1186" s="294" t="str">
        <f ca="1">IF(Table_NFI[[#This Row],[Pcode]]="","",OFFSET(CampList[Priority],MATCH(Table_NFI[[#This Row],[Pcode]],CampList[CP_Pcode],0)-1,0,1,1))</f>
        <v/>
      </c>
      <c r="AU1186" s="293" t="str">
        <f>IFERROR(Table_NFI[[#This Row],[Kitchen Set]]/VLOOKUP(Table_NFI[[#This Row],[Camp Name]],CL,4,0),"")</f>
        <v/>
      </c>
      <c r="AV1186" s="461"/>
      <c r="AW1186" s="463"/>
    </row>
    <row r="1187" spans="1:49" ht="14.45" customHeight="1" x14ac:dyDescent="0.25">
      <c r="A1187" s="297" t="str">
        <f t="shared" si="18"/>
        <v/>
      </c>
      <c r="B1187" s="460"/>
      <c r="C1187" s="465"/>
      <c r="D1187" s="465"/>
      <c r="E1187" s="465"/>
      <c r="F1187" s="465"/>
      <c r="G1187" s="465"/>
      <c r="H1187" s="292"/>
      <c r="I1187" s="292"/>
      <c r="J1187" s="292"/>
      <c r="K1187" s="292"/>
      <c r="L1187" s="292"/>
      <c r="M1187" s="292"/>
      <c r="N1187" s="292"/>
      <c r="O1187" s="292"/>
      <c r="P1187" s="294"/>
      <c r="Q1187" s="294"/>
      <c r="R1187" s="294"/>
      <c r="S1187" s="294"/>
      <c r="T1187" s="294"/>
      <c r="U1187" s="294"/>
      <c r="V1187" s="431"/>
      <c r="W1187" s="331"/>
      <c r="X1187" s="331"/>
      <c r="Y1187" s="294">
        <f>IF(NFI_Expiration=1,IF($A1187&lt;VLOOKUP(H$5,NFI,5,0),1,0)*Table_NFI[[#This Row],[Hygiene Kit]],Table_NFI[Hygiene Kit])</f>
        <v>0</v>
      </c>
      <c r="Z1187" s="294">
        <f>IF(NFI_Expiration=1,IF($A1187&lt;VLOOKUP(I$5,NFI,5,0),1,0)*Table_NFI[[#This Row],[NFI Core Kit]],Table_NFI[NFI Core Kit])</f>
        <v>0</v>
      </c>
      <c r="AA1187" s="294">
        <f>IF(NFI_Expiration=1,IF($A1187&lt;VLOOKUP(J$5,NFI,5,0),1,0)*Table_NFI[[#This Row],[Sanitary Kit]],Table_NFI[Sanitary Kit])</f>
        <v>0</v>
      </c>
      <c r="AB1187" s="294">
        <f>IF(NFI_Expiration=1,IF($A1187&lt;VLOOKUP(K$5,NFI,5,0),1,0)*Table_NFI[[#This Row],[Mosquito net]],Table_NFI[Mosquito net])</f>
        <v>0</v>
      </c>
      <c r="AC1187" s="294">
        <f>IF(NFI_Expiration=1,IF($A1187&lt;VLOOKUP(L$5,NFI,5,0),1,0)*Table_NFI[[#This Row],[Tarpaulin]],Table_NFI[[#This Row],[Tarpaulin]])</f>
        <v>0</v>
      </c>
      <c r="AD1187" s="294">
        <f>IF(NFI_Expiration=1,IF($A1187&lt;VLOOKUP(M$5,NFI,5,0),1,0)*Table_NFI[[#This Row],[Blanket]],Table_NFI[[#This Row],[Blanket]])</f>
        <v>0</v>
      </c>
      <c r="AE1187" s="294">
        <f>IF(NFI_Expiration=1,IF($A1187&lt;VLOOKUP(N$5,NFI,5,0),1,0)*Table_NFI[[#This Row],[Kitchen Set]],Table_NFI[Kitchen Set])</f>
        <v>0</v>
      </c>
      <c r="AF1187" s="294">
        <f>IF(NFI_Expiration=1,IF($A1187&lt;VLOOKUP(O$5,NFI,5,0),1,0)*Table_NFI[[#This Row],[Clothes Kit]],Table_NFI[Clothes Kit])</f>
        <v>0</v>
      </c>
      <c r="AG1187" s="294">
        <f>IF(NFI_Expiration=1,IF($A1187&lt;VLOOKUP(P$5,NFI,5,0),1,0)*Table_NFI[[#This Row],[Plastic Bucket]],Table_NFI[Plastic Bucket])</f>
        <v>0</v>
      </c>
      <c r="AH1187" s="294">
        <f>IF(NFI_Expiration=1,IF($A1187&lt;VLOOKUP(Q$5,NFI,5,0),1,0)*Table_NFI[[#This Row],[Plastic Mat]],Table_NFI[Plastic Mat])*IF(Table_NFI[[#This Row],[Distribution Date]]&gt;"2014-04-01",1,2.5)</f>
        <v>0</v>
      </c>
      <c r="AI1187" s="294">
        <f>IF(NFI_Expiration=1,IF($A1187&lt;VLOOKUP(R$5,NFI,5,0),1,0)*Table_NFI[[#This Row],[Winter Clothes Adult]],Table_NFI[Winter Clothes Adult])</f>
        <v>0</v>
      </c>
      <c r="AJ1187" s="294">
        <f>IF(NFI_Expiration=1,IF($A1187&lt;VLOOKUP(S$5,NFI,5,0),1,0)*Table_NFI[[#This Row],[Winter Clothes Children]],Table_NFI[Winter Clothes Children])</f>
        <v>0</v>
      </c>
      <c r="AK1187" s="294">
        <f>IF(NFI_Expiration=1,IF($A1187&lt;VLOOKUP(T$5,NFI,5,0),1,0)*Table_NFI[[#This Row],[Winter Items Other]],Table_NFI[Winter Items Other])</f>
        <v>0</v>
      </c>
      <c r="AL1187" s="294">
        <f>IF(NFI_Expiration=1,IF($A1187&lt;VLOOKUP(M$5,NFI,5,0),1,0)*Table_NFI[[#This Row],[Winter Blanket]],Table_NFI[[#This Row],[Winter Blanket]])</f>
        <v>0</v>
      </c>
      <c r="AM1187" s="294">
        <f>IF(Table_NFI[[#This Row],[Winter Clothes Adult]]+Table_NFI[[#This Row],[Winter Clothes Children]]+Table_NFI[[#This Row],[Winter Items Other]]+Table_NFI[[#This Row],[Winter Blanket]]&gt;0,1,0)</f>
        <v>0</v>
      </c>
      <c r="AN1187" s="331">
        <f>IF(NFI_Expiration=1,IF($A1187&lt;VLOOKUP(V$5,NFI,5,0),1,0)*Table_NFI[[#This Row],[Jerry Can]],Table_NFI[Jerry Can])</f>
        <v>0</v>
      </c>
      <c r="AO1187" s="331">
        <f>IF(NFI_Expiration=1,IF($A1187&lt;VLOOKUP(V$5,NFI,5,0),1,0)*Table_NFI[[#This Row],[Shelter Tool kit]],Table_NFI[Shelter Tool kit])</f>
        <v>0</v>
      </c>
      <c r="AP1187" s="331">
        <f>IF(NFI_Expiration=1,IF($A1187&lt;VLOOKUP(V$5,NFI,5,0),1,0)*Table_NFI[[#This Row],[Tent]],Table_NFI[Tent])</f>
        <v>0</v>
      </c>
      <c r="AQ1187" s="467" t="str">
        <f>IFERROR(VLOOKUP(Table_NFI[[#This Row],[Camp Name]],CL,2,0),"")</f>
        <v/>
      </c>
      <c r="AR1187" s="835" t="str">
        <f ca="1">IF(Table_NFI[[#This Row],[Pcode]]="","",IF(OFFSET(CampList[Opening Date],MATCH(Table_NFI[[#This Row],[Pcode]],CampList[CP_Pcode],0)-1,0,1,1)&gt;=NFI_Monitor_Date,1,0))</f>
        <v/>
      </c>
      <c r="AS1187" s="467" t="str">
        <f>IFERROR(VLOOKUP(Table_NFI[[#This Row],[Camp Name]],CL,3,0),"")</f>
        <v/>
      </c>
      <c r="AT1187" s="294" t="str">
        <f ca="1">IF(Table_NFI[[#This Row],[Pcode]]="","",OFFSET(CampList[Priority],MATCH(Table_NFI[[#This Row],[Pcode]],CampList[CP_Pcode],0)-1,0,1,1))</f>
        <v/>
      </c>
      <c r="AU1187" s="293" t="str">
        <f>IFERROR(Table_NFI[[#This Row],[Kitchen Set]]/VLOOKUP(Table_NFI[[#This Row],[Camp Name]],CL,4,0),"")</f>
        <v/>
      </c>
      <c r="AV1187" s="461"/>
      <c r="AW1187" s="463"/>
    </row>
    <row r="1188" spans="1:49" ht="14.45" customHeight="1" x14ac:dyDescent="0.25">
      <c r="A1188" s="297" t="str">
        <f t="shared" si="18"/>
        <v/>
      </c>
      <c r="B1188" s="460"/>
      <c r="C1188" s="461"/>
      <c r="D1188" s="461"/>
      <c r="E1188" s="461"/>
      <c r="F1188" s="461"/>
      <c r="G1188" s="461"/>
      <c r="H1188" s="291"/>
      <c r="I1188" s="291"/>
      <c r="J1188" s="291"/>
      <c r="K1188" s="291"/>
      <c r="L1188" s="292"/>
      <c r="M1188" s="292"/>
      <c r="N1188" s="292"/>
      <c r="O1188" s="292"/>
      <c r="P1188" s="294"/>
      <c r="Q1188" s="294"/>
      <c r="R1188" s="294"/>
      <c r="S1188" s="294"/>
      <c r="T1188" s="294"/>
      <c r="U1188" s="294"/>
      <c r="V1188" s="431"/>
      <c r="W1188" s="331"/>
      <c r="X1188" s="331"/>
      <c r="Y1188" s="294">
        <f>IF(NFI_Expiration=1,IF($A1188&lt;VLOOKUP(H$5,NFI,5,0),1,0)*Table_NFI[[#This Row],[Hygiene Kit]],Table_NFI[Hygiene Kit])</f>
        <v>0</v>
      </c>
      <c r="Z1188" s="294">
        <f>IF(NFI_Expiration=1,IF($A1188&lt;VLOOKUP(I$5,NFI,5,0),1,0)*Table_NFI[[#This Row],[NFI Core Kit]],Table_NFI[NFI Core Kit])</f>
        <v>0</v>
      </c>
      <c r="AA1188" s="294">
        <f>IF(NFI_Expiration=1,IF($A1188&lt;VLOOKUP(J$5,NFI,5,0),1,0)*Table_NFI[[#This Row],[Sanitary Kit]],Table_NFI[Sanitary Kit])</f>
        <v>0</v>
      </c>
      <c r="AB1188" s="294">
        <f>IF(NFI_Expiration=1,IF($A1188&lt;VLOOKUP(K$5,NFI,5,0),1,0)*Table_NFI[[#This Row],[Mosquito net]],Table_NFI[Mosquito net])</f>
        <v>0</v>
      </c>
      <c r="AC1188" s="294">
        <f>IF(NFI_Expiration=1,IF($A1188&lt;VLOOKUP(L$5,NFI,5,0),1,0)*Table_NFI[[#This Row],[Tarpaulin]],Table_NFI[[#This Row],[Tarpaulin]])</f>
        <v>0</v>
      </c>
      <c r="AD1188" s="294">
        <f>IF(NFI_Expiration=1,IF($A1188&lt;VLOOKUP(M$5,NFI,5,0),1,0)*Table_NFI[[#This Row],[Blanket]],Table_NFI[[#This Row],[Blanket]])</f>
        <v>0</v>
      </c>
      <c r="AE1188" s="294">
        <f>IF(NFI_Expiration=1,IF($A1188&lt;VLOOKUP(N$5,NFI,5,0),1,0)*Table_NFI[[#This Row],[Kitchen Set]],Table_NFI[Kitchen Set])</f>
        <v>0</v>
      </c>
      <c r="AF1188" s="294">
        <f>IF(NFI_Expiration=1,IF($A1188&lt;VLOOKUP(O$5,NFI,5,0),1,0)*Table_NFI[[#This Row],[Clothes Kit]],Table_NFI[Clothes Kit])</f>
        <v>0</v>
      </c>
      <c r="AG1188" s="294">
        <f>IF(NFI_Expiration=1,IF($A1188&lt;VLOOKUP(P$5,NFI,5,0),1,0)*Table_NFI[[#This Row],[Plastic Bucket]],Table_NFI[Plastic Bucket])</f>
        <v>0</v>
      </c>
      <c r="AH1188" s="294">
        <f>IF(NFI_Expiration=1,IF($A1188&lt;VLOOKUP(Q$5,NFI,5,0),1,0)*Table_NFI[[#This Row],[Plastic Mat]],Table_NFI[Plastic Mat])*IF(Table_NFI[[#This Row],[Distribution Date]]&gt;"2014-04-01",1,2.5)</f>
        <v>0</v>
      </c>
      <c r="AI1188" s="294">
        <f>IF(NFI_Expiration=1,IF($A1188&lt;VLOOKUP(R$5,NFI,5,0),1,0)*Table_NFI[[#This Row],[Winter Clothes Adult]],Table_NFI[Winter Clothes Adult])</f>
        <v>0</v>
      </c>
      <c r="AJ1188" s="294">
        <f>IF(NFI_Expiration=1,IF($A1188&lt;VLOOKUP(S$5,NFI,5,0),1,0)*Table_NFI[[#This Row],[Winter Clothes Children]],Table_NFI[Winter Clothes Children])</f>
        <v>0</v>
      </c>
      <c r="AK1188" s="294">
        <f>IF(NFI_Expiration=1,IF($A1188&lt;VLOOKUP(T$5,NFI,5,0),1,0)*Table_NFI[[#This Row],[Winter Items Other]],Table_NFI[Winter Items Other])</f>
        <v>0</v>
      </c>
      <c r="AL1188" s="294">
        <f>IF(NFI_Expiration=1,IF($A1188&lt;VLOOKUP(M$5,NFI,5,0),1,0)*Table_NFI[[#This Row],[Winter Blanket]],Table_NFI[[#This Row],[Winter Blanket]])</f>
        <v>0</v>
      </c>
      <c r="AM1188" s="294">
        <f>IF(Table_NFI[[#This Row],[Winter Clothes Adult]]+Table_NFI[[#This Row],[Winter Clothes Children]]+Table_NFI[[#This Row],[Winter Items Other]]+Table_NFI[[#This Row],[Winter Blanket]]&gt;0,1,0)</f>
        <v>0</v>
      </c>
      <c r="AN1188" s="331">
        <f>IF(NFI_Expiration=1,IF($A1188&lt;VLOOKUP(V$5,NFI,5,0),1,0)*Table_NFI[[#This Row],[Jerry Can]],Table_NFI[Jerry Can])</f>
        <v>0</v>
      </c>
      <c r="AO1188" s="331">
        <f>IF(NFI_Expiration=1,IF($A1188&lt;VLOOKUP(V$5,NFI,5,0),1,0)*Table_NFI[[#This Row],[Shelter Tool kit]],Table_NFI[Shelter Tool kit])</f>
        <v>0</v>
      </c>
      <c r="AP1188" s="331">
        <f>IF(NFI_Expiration=1,IF($A1188&lt;VLOOKUP(V$5,NFI,5,0),1,0)*Table_NFI[[#This Row],[Tent]],Table_NFI[Tent])</f>
        <v>0</v>
      </c>
      <c r="AQ1188" s="467" t="str">
        <f>IFERROR(VLOOKUP(Table_NFI[[#This Row],[Camp Name]],CL,2,0),"")</f>
        <v/>
      </c>
      <c r="AR1188" s="835" t="str">
        <f ca="1">IF(Table_NFI[[#This Row],[Pcode]]="","",IF(OFFSET(CampList[Opening Date],MATCH(Table_NFI[[#This Row],[Pcode]],CampList[CP_Pcode],0)-1,0,1,1)&gt;=NFI_Monitor_Date,1,0))</f>
        <v/>
      </c>
      <c r="AS1188" s="467" t="str">
        <f>IFERROR(VLOOKUP(Table_NFI[[#This Row],[Camp Name]],CL,3,0),"")</f>
        <v/>
      </c>
      <c r="AT1188" s="294" t="str">
        <f ca="1">IF(Table_NFI[[#This Row],[Pcode]]="","",OFFSET(CampList[Priority],MATCH(Table_NFI[[#This Row],[Pcode]],CampList[CP_Pcode],0)-1,0,1,1))</f>
        <v/>
      </c>
      <c r="AU1188" s="293" t="str">
        <f>IFERROR(Table_NFI[[#This Row],[Kitchen Set]]/VLOOKUP(Table_NFI[[#This Row],[Camp Name]],CL,4,0),"")</f>
        <v/>
      </c>
      <c r="AV1188" s="461"/>
      <c r="AW1188" s="463"/>
    </row>
    <row r="1189" spans="1:49" ht="14.45" customHeight="1" x14ac:dyDescent="0.25">
      <c r="A1189" s="297" t="str">
        <f t="shared" si="18"/>
        <v/>
      </c>
      <c r="B1189" s="460"/>
      <c r="C1189" s="461"/>
      <c r="D1189" s="461"/>
      <c r="E1189" s="461"/>
      <c r="F1189" s="461"/>
      <c r="G1189" s="461"/>
      <c r="H1189" s="291"/>
      <c r="I1189" s="294"/>
      <c r="J1189" s="291"/>
      <c r="K1189" s="291"/>
      <c r="L1189" s="292"/>
      <c r="M1189" s="292"/>
      <c r="N1189" s="292"/>
      <c r="O1189" s="292"/>
      <c r="P1189" s="294"/>
      <c r="Q1189" s="294"/>
      <c r="R1189" s="294"/>
      <c r="S1189" s="294"/>
      <c r="T1189" s="294"/>
      <c r="U1189" s="294"/>
      <c r="V1189" s="431"/>
      <c r="W1189" s="331"/>
      <c r="X1189" s="331"/>
      <c r="Y1189" s="294">
        <f>IF(NFI_Expiration=1,IF($A1189&lt;VLOOKUP(H$5,NFI,5,0),1,0)*Table_NFI[[#This Row],[Hygiene Kit]],Table_NFI[Hygiene Kit])</f>
        <v>0</v>
      </c>
      <c r="Z1189" s="294">
        <f>IF(NFI_Expiration=1,IF($A1189&lt;VLOOKUP(I$5,NFI,5,0),1,0)*Table_NFI[[#This Row],[NFI Core Kit]],Table_NFI[NFI Core Kit])</f>
        <v>0</v>
      </c>
      <c r="AA1189" s="294">
        <f>IF(NFI_Expiration=1,IF($A1189&lt;VLOOKUP(J$5,NFI,5,0),1,0)*Table_NFI[[#This Row],[Sanitary Kit]],Table_NFI[Sanitary Kit])</f>
        <v>0</v>
      </c>
      <c r="AB1189" s="294">
        <f>IF(NFI_Expiration=1,IF($A1189&lt;VLOOKUP(K$5,NFI,5,0),1,0)*Table_NFI[[#This Row],[Mosquito net]],Table_NFI[Mosquito net])</f>
        <v>0</v>
      </c>
      <c r="AC1189" s="294">
        <f>IF(NFI_Expiration=1,IF($A1189&lt;VLOOKUP(L$5,NFI,5,0),1,0)*Table_NFI[[#This Row],[Tarpaulin]],Table_NFI[[#This Row],[Tarpaulin]])</f>
        <v>0</v>
      </c>
      <c r="AD1189" s="294">
        <f>IF(NFI_Expiration=1,IF($A1189&lt;VLOOKUP(M$5,NFI,5,0),1,0)*Table_NFI[[#This Row],[Blanket]],Table_NFI[[#This Row],[Blanket]])</f>
        <v>0</v>
      </c>
      <c r="AE1189" s="294">
        <f>IF(NFI_Expiration=1,IF($A1189&lt;VLOOKUP(N$5,NFI,5,0),1,0)*Table_NFI[[#This Row],[Kitchen Set]],Table_NFI[Kitchen Set])</f>
        <v>0</v>
      </c>
      <c r="AF1189" s="294">
        <f>IF(NFI_Expiration=1,IF($A1189&lt;VLOOKUP(O$5,NFI,5,0),1,0)*Table_NFI[[#This Row],[Clothes Kit]],Table_NFI[Clothes Kit])</f>
        <v>0</v>
      </c>
      <c r="AG1189" s="294">
        <f>IF(NFI_Expiration=1,IF($A1189&lt;VLOOKUP(P$5,NFI,5,0),1,0)*Table_NFI[[#This Row],[Plastic Bucket]],Table_NFI[Plastic Bucket])</f>
        <v>0</v>
      </c>
      <c r="AH1189" s="294">
        <f>IF(NFI_Expiration=1,IF($A1189&lt;VLOOKUP(Q$5,NFI,5,0),1,0)*Table_NFI[[#This Row],[Plastic Mat]],Table_NFI[Plastic Mat])*IF(Table_NFI[[#This Row],[Distribution Date]]&gt;"2014-04-01",1,2.5)</f>
        <v>0</v>
      </c>
      <c r="AI1189" s="294">
        <f>IF(NFI_Expiration=1,IF($A1189&lt;VLOOKUP(R$5,NFI,5,0),1,0)*Table_NFI[[#This Row],[Winter Clothes Adult]],Table_NFI[Winter Clothes Adult])</f>
        <v>0</v>
      </c>
      <c r="AJ1189" s="294">
        <f>IF(NFI_Expiration=1,IF($A1189&lt;VLOOKUP(S$5,NFI,5,0),1,0)*Table_NFI[[#This Row],[Winter Clothes Children]],Table_NFI[Winter Clothes Children])</f>
        <v>0</v>
      </c>
      <c r="AK1189" s="294">
        <f>IF(NFI_Expiration=1,IF($A1189&lt;VLOOKUP(T$5,NFI,5,0),1,0)*Table_NFI[[#This Row],[Winter Items Other]],Table_NFI[Winter Items Other])</f>
        <v>0</v>
      </c>
      <c r="AL1189" s="294">
        <f>IF(NFI_Expiration=1,IF($A1189&lt;VLOOKUP(M$5,NFI,5,0),1,0)*Table_NFI[[#This Row],[Winter Blanket]],Table_NFI[[#This Row],[Winter Blanket]])</f>
        <v>0</v>
      </c>
      <c r="AM1189" s="294">
        <f>IF(Table_NFI[[#This Row],[Winter Clothes Adult]]+Table_NFI[[#This Row],[Winter Clothes Children]]+Table_NFI[[#This Row],[Winter Items Other]]+Table_NFI[[#This Row],[Winter Blanket]]&gt;0,1,0)</f>
        <v>0</v>
      </c>
      <c r="AN1189" s="331">
        <f>IF(NFI_Expiration=1,IF($A1189&lt;VLOOKUP(V$5,NFI,5,0),1,0)*Table_NFI[[#This Row],[Jerry Can]],Table_NFI[Jerry Can])</f>
        <v>0</v>
      </c>
      <c r="AO1189" s="331">
        <f>IF(NFI_Expiration=1,IF($A1189&lt;VLOOKUP(V$5,NFI,5,0),1,0)*Table_NFI[[#This Row],[Shelter Tool kit]],Table_NFI[Shelter Tool kit])</f>
        <v>0</v>
      </c>
      <c r="AP1189" s="331">
        <f>IF(NFI_Expiration=1,IF($A1189&lt;VLOOKUP(V$5,NFI,5,0),1,0)*Table_NFI[[#This Row],[Tent]],Table_NFI[Tent])</f>
        <v>0</v>
      </c>
      <c r="AQ1189" s="467" t="str">
        <f>IFERROR(VLOOKUP(Table_NFI[[#This Row],[Camp Name]],CL,2,0),"")</f>
        <v/>
      </c>
      <c r="AR1189" s="835" t="str">
        <f ca="1">IF(Table_NFI[[#This Row],[Pcode]]="","",IF(OFFSET(CampList[Opening Date],MATCH(Table_NFI[[#This Row],[Pcode]],CampList[CP_Pcode],0)-1,0,1,1)&gt;=NFI_Monitor_Date,1,0))</f>
        <v/>
      </c>
      <c r="AS1189" s="467" t="str">
        <f>IFERROR(VLOOKUP(Table_NFI[[#This Row],[Camp Name]],CL,3,0),"")</f>
        <v/>
      </c>
      <c r="AT1189" s="294" t="str">
        <f ca="1">IF(Table_NFI[[#This Row],[Pcode]]="","",OFFSET(CampList[Priority],MATCH(Table_NFI[[#This Row],[Pcode]],CampList[CP_Pcode],0)-1,0,1,1))</f>
        <v/>
      </c>
      <c r="AU1189" s="293" t="str">
        <f>IFERROR(Table_NFI[[#This Row],[Kitchen Set]]/VLOOKUP(Table_NFI[[#This Row],[Camp Name]],CL,4,0),"")</f>
        <v/>
      </c>
      <c r="AV1189" s="465"/>
      <c r="AW1189" s="479"/>
    </row>
    <row r="1190" spans="1:49" ht="14.45" customHeight="1" x14ac:dyDescent="0.25">
      <c r="A1190" s="297" t="str">
        <f t="shared" si="18"/>
        <v/>
      </c>
      <c r="B1190" s="460"/>
      <c r="C1190" s="461"/>
      <c r="D1190" s="461"/>
      <c r="E1190" s="461"/>
      <c r="F1190" s="461"/>
      <c r="G1190" s="461"/>
      <c r="H1190" s="291"/>
      <c r="I1190" s="294"/>
      <c r="J1190" s="291"/>
      <c r="K1190" s="291"/>
      <c r="L1190" s="292"/>
      <c r="M1190" s="292"/>
      <c r="N1190" s="292"/>
      <c r="O1190" s="292"/>
      <c r="P1190" s="294"/>
      <c r="Q1190" s="294"/>
      <c r="R1190" s="294"/>
      <c r="S1190" s="294"/>
      <c r="T1190" s="294"/>
      <c r="U1190" s="294"/>
      <c r="V1190" s="431"/>
      <c r="W1190" s="331"/>
      <c r="X1190" s="331"/>
      <c r="Y1190" s="294">
        <f>IF(NFI_Expiration=1,IF($A1190&lt;VLOOKUP(H$5,NFI,5,0),1,0)*Table_NFI[[#This Row],[Hygiene Kit]],Table_NFI[Hygiene Kit])</f>
        <v>0</v>
      </c>
      <c r="Z1190" s="294">
        <f>IF(NFI_Expiration=1,IF($A1190&lt;VLOOKUP(I$5,NFI,5,0),1,0)*Table_NFI[[#This Row],[NFI Core Kit]],Table_NFI[NFI Core Kit])</f>
        <v>0</v>
      </c>
      <c r="AA1190" s="294">
        <f>IF(NFI_Expiration=1,IF($A1190&lt;VLOOKUP(J$5,NFI,5,0),1,0)*Table_NFI[[#This Row],[Sanitary Kit]],Table_NFI[Sanitary Kit])</f>
        <v>0</v>
      </c>
      <c r="AB1190" s="294">
        <f>IF(NFI_Expiration=1,IF($A1190&lt;VLOOKUP(K$5,NFI,5,0),1,0)*Table_NFI[[#This Row],[Mosquito net]],Table_NFI[Mosquito net])</f>
        <v>0</v>
      </c>
      <c r="AC1190" s="294">
        <f>IF(NFI_Expiration=1,IF($A1190&lt;VLOOKUP(L$5,NFI,5,0),1,0)*Table_NFI[[#This Row],[Tarpaulin]],Table_NFI[[#This Row],[Tarpaulin]])</f>
        <v>0</v>
      </c>
      <c r="AD1190" s="294">
        <f>IF(NFI_Expiration=1,IF($A1190&lt;VLOOKUP(M$5,NFI,5,0),1,0)*Table_NFI[[#This Row],[Blanket]],Table_NFI[[#This Row],[Blanket]])</f>
        <v>0</v>
      </c>
      <c r="AE1190" s="294">
        <f>IF(NFI_Expiration=1,IF($A1190&lt;VLOOKUP(N$5,NFI,5,0),1,0)*Table_NFI[[#This Row],[Kitchen Set]],Table_NFI[Kitchen Set])</f>
        <v>0</v>
      </c>
      <c r="AF1190" s="294">
        <f>IF(NFI_Expiration=1,IF($A1190&lt;VLOOKUP(O$5,NFI,5,0),1,0)*Table_NFI[[#This Row],[Clothes Kit]],Table_NFI[Clothes Kit])</f>
        <v>0</v>
      </c>
      <c r="AG1190" s="294">
        <f>IF(NFI_Expiration=1,IF($A1190&lt;VLOOKUP(P$5,NFI,5,0),1,0)*Table_NFI[[#This Row],[Plastic Bucket]],Table_NFI[Plastic Bucket])</f>
        <v>0</v>
      </c>
      <c r="AH1190" s="294">
        <f>IF(NFI_Expiration=1,IF($A1190&lt;VLOOKUP(Q$5,NFI,5,0),1,0)*Table_NFI[[#This Row],[Plastic Mat]],Table_NFI[Plastic Mat])*IF(Table_NFI[[#This Row],[Distribution Date]]&gt;"2014-04-01",1,2.5)</f>
        <v>0</v>
      </c>
      <c r="AI1190" s="294">
        <f>IF(NFI_Expiration=1,IF($A1190&lt;VLOOKUP(R$5,NFI,5,0),1,0)*Table_NFI[[#This Row],[Winter Clothes Adult]],Table_NFI[Winter Clothes Adult])</f>
        <v>0</v>
      </c>
      <c r="AJ1190" s="294">
        <f>IF(NFI_Expiration=1,IF($A1190&lt;VLOOKUP(S$5,NFI,5,0),1,0)*Table_NFI[[#This Row],[Winter Clothes Children]],Table_NFI[Winter Clothes Children])</f>
        <v>0</v>
      </c>
      <c r="AK1190" s="294">
        <f>IF(NFI_Expiration=1,IF($A1190&lt;VLOOKUP(T$5,NFI,5,0),1,0)*Table_NFI[[#This Row],[Winter Items Other]],Table_NFI[Winter Items Other])</f>
        <v>0</v>
      </c>
      <c r="AL1190" s="294">
        <f>IF(NFI_Expiration=1,IF($A1190&lt;VLOOKUP(M$5,NFI,5,0),1,0)*Table_NFI[[#This Row],[Winter Blanket]],Table_NFI[[#This Row],[Winter Blanket]])</f>
        <v>0</v>
      </c>
      <c r="AM1190" s="294">
        <f>IF(Table_NFI[[#This Row],[Winter Clothes Adult]]+Table_NFI[[#This Row],[Winter Clothes Children]]+Table_NFI[[#This Row],[Winter Items Other]]+Table_NFI[[#This Row],[Winter Blanket]]&gt;0,1,0)</f>
        <v>0</v>
      </c>
      <c r="AN1190" s="331">
        <f>IF(NFI_Expiration=1,IF($A1190&lt;VLOOKUP(V$5,NFI,5,0),1,0)*Table_NFI[[#This Row],[Jerry Can]],Table_NFI[Jerry Can])</f>
        <v>0</v>
      </c>
      <c r="AO1190" s="331">
        <f>IF(NFI_Expiration=1,IF($A1190&lt;VLOOKUP(V$5,NFI,5,0),1,0)*Table_NFI[[#This Row],[Shelter Tool kit]],Table_NFI[Shelter Tool kit])</f>
        <v>0</v>
      </c>
      <c r="AP1190" s="331">
        <f>IF(NFI_Expiration=1,IF($A1190&lt;VLOOKUP(V$5,NFI,5,0),1,0)*Table_NFI[[#This Row],[Tent]],Table_NFI[Tent])</f>
        <v>0</v>
      </c>
      <c r="AQ1190" s="467" t="str">
        <f>IFERROR(VLOOKUP(Table_NFI[[#This Row],[Camp Name]],CL,2,0),"")</f>
        <v/>
      </c>
      <c r="AR1190" s="835" t="str">
        <f ca="1">IF(Table_NFI[[#This Row],[Pcode]]="","",IF(OFFSET(CampList[Opening Date],MATCH(Table_NFI[[#This Row],[Pcode]],CampList[CP_Pcode],0)-1,0,1,1)&gt;=NFI_Monitor_Date,1,0))</f>
        <v/>
      </c>
      <c r="AS1190" s="467" t="str">
        <f>IFERROR(VLOOKUP(Table_NFI[[#This Row],[Camp Name]],CL,3,0),"")</f>
        <v/>
      </c>
      <c r="AT1190" s="294" t="str">
        <f ca="1">IF(Table_NFI[[#This Row],[Pcode]]="","",OFFSET(CampList[Priority],MATCH(Table_NFI[[#This Row],[Pcode]],CampList[CP_Pcode],0)-1,0,1,1))</f>
        <v/>
      </c>
      <c r="AU1190" s="293" t="str">
        <f>IFERROR(Table_NFI[[#This Row],[Kitchen Set]]/VLOOKUP(Table_NFI[[#This Row],[Camp Name]],CL,4,0),"")</f>
        <v/>
      </c>
      <c r="AV1190" s="461"/>
      <c r="AW1190" s="479"/>
    </row>
    <row r="1191" spans="1:49" ht="14.45" customHeight="1" x14ac:dyDescent="0.25">
      <c r="A1191" s="297" t="str">
        <f t="shared" si="18"/>
        <v/>
      </c>
      <c r="B1191" s="460"/>
      <c r="C1191" s="461"/>
      <c r="D1191" s="461"/>
      <c r="E1191" s="461"/>
      <c r="F1191" s="461"/>
      <c r="G1191" s="461"/>
      <c r="H1191" s="291"/>
      <c r="I1191" s="291"/>
      <c r="J1191" s="291"/>
      <c r="K1191" s="291"/>
      <c r="L1191" s="292"/>
      <c r="M1191" s="292"/>
      <c r="N1191" s="292"/>
      <c r="O1191" s="292"/>
      <c r="P1191" s="294"/>
      <c r="Q1191" s="294"/>
      <c r="R1191" s="294"/>
      <c r="S1191" s="294"/>
      <c r="T1191" s="294"/>
      <c r="U1191" s="294"/>
      <c r="V1191" s="431"/>
      <c r="W1191" s="331"/>
      <c r="X1191" s="331"/>
      <c r="Y1191" s="294">
        <f>IF(NFI_Expiration=1,IF($A1191&lt;VLOOKUP(H$5,NFI,5,0),1,0)*Table_NFI[[#This Row],[Hygiene Kit]],Table_NFI[Hygiene Kit])</f>
        <v>0</v>
      </c>
      <c r="Z1191" s="294">
        <f>IF(NFI_Expiration=1,IF($A1191&lt;VLOOKUP(I$5,NFI,5,0),1,0)*Table_NFI[[#This Row],[NFI Core Kit]],Table_NFI[NFI Core Kit])</f>
        <v>0</v>
      </c>
      <c r="AA1191" s="294">
        <f>IF(NFI_Expiration=1,IF($A1191&lt;VLOOKUP(J$5,NFI,5,0),1,0)*Table_NFI[[#This Row],[Sanitary Kit]],Table_NFI[Sanitary Kit])</f>
        <v>0</v>
      </c>
      <c r="AB1191" s="294">
        <f>IF(NFI_Expiration=1,IF($A1191&lt;VLOOKUP(K$5,NFI,5,0),1,0)*Table_NFI[[#This Row],[Mosquito net]],Table_NFI[Mosquito net])</f>
        <v>0</v>
      </c>
      <c r="AC1191" s="294">
        <f>IF(NFI_Expiration=1,IF($A1191&lt;VLOOKUP(L$5,NFI,5,0),1,0)*Table_NFI[[#This Row],[Tarpaulin]],Table_NFI[[#This Row],[Tarpaulin]])</f>
        <v>0</v>
      </c>
      <c r="AD1191" s="294">
        <f>IF(NFI_Expiration=1,IF($A1191&lt;VLOOKUP(M$5,NFI,5,0),1,0)*Table_NFI[[#This Row],[Blanket]],Table_NFI[[#This Row],[Blanket]])</f>
        <v>0</v>
      </c>
      <c r="AE1191" s="294">
        <f>IF(NFI_Expiration=1,IF($A1191&lt;VLOOKUP(N$5,NFI,5,0),1,0)*Table_NFI[[#This Row],[Kitchen Set]],Table_NFI[Kitchen Set])</f>
        <v>0</v>
      </c>
      <c r="AF1191" s="294">
        <f>IF(NFI_Expiration=1,IF($A1191&lt;VLOOKUP(O$5,NFI,5,0),1,0)*Table_NFI[[#This Row],[Clothes Kit]],Table_NFI[Clothes Kit])</f>
        <v>0</v>
      </c>
      <c r="AG1191" s="294">
        <f>IF(NFI_Expiration=1,IF($A1191&lt;VLOOKUP(P$5,NFI,5,0),1,0)*Table_NFI[[#This Row],[Plastic Bucket]],Table_NFI[Plastic Bucket])</f>
        <v>0</v>
      </c>
      <c r="AH1191" s="294">
        <f>IF(NFI_Expiration=1,IF($A1191&lt;VLOOKUP(Q$5,NFI,5,0),1,0)*Table_NFI[[#This Row],[Plastic Mat]],Table_NFI[Plastic Mat])*IF(Table_NFI[[#This Row],[Distribution Date]]&gt;"2014-04-01",1,2.5)</f>
        <v>0</v>
      </c>
      <c r="AI1191" s="294">
        <f>IF(NFI_Expiration=1,IF($A1191&lt;VLOOKUP(R$5,NFI,5,0),1,0)*Table_NFI[[#This Row],[Winter Clothes Adult]],Table_NFI[Winter Clothes Adult])</f>
        <v>0</v>
      </c>
      <c r="AJ1191" s="294">
        <f>IF(NFI_Expiration=1,IF($A1191&lt;VLOOKUP(S$5,NFI,5,0),1,0)*Table_NFI[[#This Row],[Winter Clothes Children]],Table_NFI[Winter Clothes Children])</f>
        <v>0</v>
      </c>
      <c r="AK1191" s="294">
        <f>IF(NFI_Expiration=1,IF($A1191&lt;VLOOKUP(T$5,NFI,5,0),1,0)*Table_NFI[[#This Row],[Winter Items Other]],Table_NFI[Winter Items Other])</f>
        <v>0</v>
      </c>
      <c r="AL1191" s="294">
        <f>IF(NFI_Expiration=1,IF($A1191&lt;VLOOKUP(M$5,NFI,5,0),1,0)*Table_NFI[[#This Row],[Winter Blanket]],Table_NFI[[#This Row],[Winter Blanket]])</f>
        <v>0</v>
      </c>
      <c r="AM1191" s="294">
        <f>IF(Table_NFI[[#This Row],[Winter Clothes Adult]]+Table_NFI[[#This Row],[Winter Clothes Children]]+Table_NFI[[#This Row],[Winter Items Other]]+Table_NFI[[#This Row],[Winter Blanket]]&gt;0,1,0)</f>
        <v>0</v>
      </c>
      <c r="AN1191" s="331">
        <f>IF(NFI_Expiration=1,IF($A1191&lt;VLOOKUP(V$5,NFI,5,0),1,0)*Table_NFI[[#This Row],[Jerry Can]],Table_NFI[Jerry Can])</f>
        <v>0</v>
      </c>
      <c r="AO1191" s="331">
        <f>IF(NFI_Expiration=1,IF($A1191&lt;VLOOKUP(V$5,NFI,5,0),1,0)*Table_NFI[[#This Row],[Shelter Tool kit]],Table_NFI[Shelter Tool kit])</f>
        <v>0</v>
      </c>
      <c r="AP1191" s="331">
        <f>IF(NFI_Expiration=1,IF($A1191&lt;VLOOKUP(V$5,NFI,5,0),1,0)*Table_NFI[[#This Row],[Tent]],Table_NFI[Tent])</f>
        <v>0</v>
      </c>
      <c r="AQ1191" s="467" t="str">
        <f>IFERROR(VLOOKUP(Table_NFI[[#This Row],[Camp Name]],CL,2,0),"")</f>
        <v/>
      </c>
      <c r="AR1191" s="835" t="str">
        <f ca="1">IF(Table_NFI[[#This Row],[Pcode]]="","",IF(OFFSET(CampList[Opening Date],MATCH(Table_NFI[[#This Row],[Pcode]],CampList[CP_Pcode],0)-1,0,1,1)&gt;=NFI_Monitor_Date,1,0))</f>
        <v/>
      </c>
      <c r="AS1191" s="467" t="str">
        <f>IFERROR(VLOOKUP(Table_NFI[[#This Row],[Camp Name]],CL,3,0),"")</f>
        <v/>
      </c>
      <c r="AT1191" s="294" t="str">
        <f ca="1">IF(Table_NFI[[#This Row],[Pcode]]="","",OFFSET(CampList[Priority],MATCH(Table_NFI[[#This Row],[Pcode]],CampList[CP_Pcode],0)-1,0,1,1))</f>
        <v/>
      </c>
      <c r="AU1191" s="293" t="str">
        <f>IFERROR(Table_NFI[[#This Row],[Kitchen Set]]/VLOOKUP(Table_NFI[[#This Row],[Camp Name]],CL,4,0),"")</f>
        <v/>
      </c>
      <c r="AV1191" s="465"/>
      <c r="AW1191" s="468"/>
    </row>
    <row r="1192" spans="1:49" ht="14.45" customHeight="1" x14ac:dyDescent="0.25">
      <c r="A1192" s="297" t="str">
        <f t="shared" si="18"/>
        <v/>
      </c>
      <c r="B1192" s="460"/>
      <c r="C1192" s="461"/>
      <c r="D1192" s="461"/>
      <c r="E1192" s="461"/>
      <c r="F1192" s="461"/>
      <c r="G1192" s="461"/>
      <c r="H1192" s="291"/>
      <c r="I1192" s="291"/>
      <c r="J1192" s="291"/>
      <c r="K1192" s="291"/>
      <c r="L1192" s="292"/>
      <c r="M1192" s="292"/>
      <c r="N1192" s="292"/>
      <c r="O1192" s="292"/>
      <c r="P1192" s="294"/>
      <c r="Q1192" s="294"/>
      <c r="R1192" s="294"/>
      <c r="S1192" s="294"/>
      <c r="T1192" s="294"/>
      <c r="U1192" s="294"/>
      <c r="V1192" s="431"/>
      <c r="W1192" s="331"/>
      <c r="X1192" s="331"/>
      <c r="Y1192" s="294">
        <f>IF(NFI_Expiration=1,IF($A1192&lt;VLOOKUP(H$5,NFI,5,0),1,0)*Table_NFI[[#This Row],[Hygiene Kit]],Table_NFI[Hygiene Kit])</f>
        <v>0</v>
      </c>
      <c r="Z1192" s="294">
        <f>IF(NFI_Expiration=1,IF($A1192&lt;VLOOKUP(I$5,NFI,5,0),1,0)*Table_NFI[[#This Row],[NFI Core Kit]],Table_NFI[NFI Core Kit])</f>
        <v>0</v>
      </c>
      <c r="AA1192" s="294">
        <f>IF(NFI_Expiration=1,IF($A1192&lt;VLOOKUP(J$5,NFI,5,0),1,0)*Table_NFI[[#This Row],[Sanitary Kit]],Table_NFI[Sanitary Kit])</f>
        <v>0</v>
      </c>
      <c r="AB1192" s="294">
        <f>IF(NFI_Expiration=1,IF($A1192&lt;VLOOKUP(K$5,NFI,5,0),1,0)*Table_NFI[[#This Row],[Mosquito net]],Table_NFI[Mosquito net])</f>
        <v>0</v>
      </c>
      <c r="AC1192" s="294">
        <f>IF(NFI_Expiration=1,IF($A1192&lt;VLOOKUP(L$5,NFI,5,0),1,0)*Table_NFI[[#This Row],[Tarpaulin]],Table_NFI[[#This Row],[Tarpaulin]])</f>
        <v>0</v>
      </c>
      <c r="AD1192" s="294">
        <f>IF(NFI_Expiration=1,IF($A1192&lt;VLOOKUP(M$5,NFI,5,0),1,0)*Table_NFI[[#This Row],[Blanket]],Table_NFI[[#This Row],[Blanket]])</f>
        <v>0</v>
      </c>
      <c r="AE1192" s="294">
        <f>IF(NFI_Expiration=1,IF($A1192&lt;VLOOKUP(N$5,NFI,5,0),1,0)*Table_NFI[[#This Row],[Kitchen Set]],Table_NFI[Kitchen Set])</f>
        <v>0</v>
      </c>
      <c r="AF1192" s="294">
        <f>IF(NFI_Expiration=1,IF($A1192&lt;VLOOKUP(O$5,NFI,5,0),1,0)*Table_NFI[[#This Row],[Clothes Kit]],Table_NFI[Clothes Kit])</f>
        <v>0</v>
      </c>
      <c r="AG1192" s="294">
        <f>IF(NFI_Expiration=1,IF($A1192&lt;VLOOKUP(P$5,NFI,5,0),1,0)*Table_NFI[[#This Row],[Plastic Bucket]],Table_NFI[Plastic Bucket])</f>
        <v>0</v>
      </c>
      <c r="AH1192" s="294">
        <f>IF(NFI_Expiration=1,IF($A1192&lt;VLOOKUP(Q$5,NFI,5,0),1,0)*Table_NFI[[#This Row],[Plastic Mat]],Table_NFI[Plastic Mat])*IF(Table_NFI[[#This Row],[Distribution Date]]&gt;"2014-04-01",1,2.5)</f>
        <v>0</v>
      </c>
      <c r="AI1192" s="294">
        <f>IF(NFI_Expiration=1,IF($A1192&lt;VLOOKUP(R$5,NFI,5,0),1,0)*Table_NFI[[#This Row],[Winter Clothes Adult]],Table_NFI[Winter Clothes Adult])</f>
        <v>0</v>
      </c>
      <c r="AJ1192" s="294">
        <f>IF(NFI_Expiration=1,IF($A1192&lt;VLOOKUP(S$5,NFI,5,0),1,0)*Table_NFI[[#This Row],[Winter Clothes Children]],Table_NFI[Winter Clothes Children])</f>
        <v>0</v>
      </c>
      <c r="AK1192" s="294">
        <f>IF(NFI_Expiration=1,IF($A1192&lt;VLOOKUP(T$5,NFI,5,0),1,0)*Table_NFI[[#This Row],[Winter Items Other]],Table_NFI[Winter Items Other])</f>
        <v>0</v>
      </c>
      <c r="AL1192" s="294">
        <f>IF(NFI_Expiration=1,IF($A1192&lt;VLOOKUP(M$5,NFI,5,0),1,0)*Table_NFI[[#This Row],[Winter Blanket]],Table_NFI[[#This Row],[Winter Blanket]])</f>
        <v>0</v>
      </c>
      <c r="AM1192" s="294">
        <f>IF(Table_NFI[[#This Row],[Winter Clothes Adult]]+Table_NFI[[#This Row],[Winter Clothes Children]]+Table_NFI[[#This Row],[Winter Items Other]]+Table_NFI[[#This Row],[Winter Blanket]]&gt;0,1,0)</f>
        <v>0</v>
      </c>
      <c r="AN1192" s="331">
        <f>IF(NFI_Expiration=1,IF($A1192&lt;VLOOKUP(V$5,NFI,5,0),1,0)*Table_NFI[[#This Row],[Jerry Can]],Table_NFI[Jerry Can])</f>
        <v>0</v>
      </c>
      <c r="AO1192" s="331">
        <f>IF(NFI_Expiration=1,IF($A1192&lt;VLOOKUP(V$5,NFI,5,0),1,0)*Table_NFI[[#This Row],[Shelter Tool kit]],Table_NFI[Shelter Tool kit])</f>
        <v>0</v>
      </c>
      <c r="AP1192" s="331">
        <f>IF(NFI_Expiration=1,IF($A1192&lt;VLOOKUP(V$5,NFI,5,0),1,0)*Table_NFI[[#This Row],[Tent]],Table_NFI[Tent])</f>
        <v>0</v>
      </c>
      <c r="AQ1192" s="467" t="str">
        <f>IFERROR(VLOOKUP(Table_NFI[[#This Row],[Camp Name]],CL,2,0),"")</f>
        <v/>
      </c>
      <c r="AR1192" s="835" t="str">
        <f ca="1">IF(Table_NFI[[#This Row],[Pcode]]="","",IF(OFFSET(CampList[Opening Date],MATCH(Table_NFI[[#This Row],[Pcode]],CampList[CP_Pcode],0)-1,0,1,1)&gt;=NFI_Monitor_Date,1,0))</f>
        <v/>
      </c>
      <c r="AS1192" s="467" t="str">
        <f>IFERROR(VLOOKUP(Table_NFI[[#This Row],[Camp Name]],CL,3,0),"")</f>
        <v/>
      </c>
      <c r="AT1192" s="294" t="str">
        <f ca="1">IF(Table_NFI[[#This Row],[Pcode]]="","",OFFSET(CampList[Priority],MATCH(Table_NFI[[#This Row],[Pcode]],CampList[CP_Pcode],0)-1,0,1,1))</f>
        <v/>
      </c>
      <c r="AU1192" s="293" t="str">
        <f>IFERROR(Table_NFI[[#This Row],[Kitchen Set]]/VLOOKUP(Table_NFI[[#This Row],[Camp Name]],CL,4,0),"")</f>
        <v/>
      </c>
      <c r="AV1192" s="461"/>
      <c r="AW1192" s="463"/>
    </row>
    <row r="1193" spans="1:49" ht="14.45" customHeight="1" x14ac:dyDescent="0.25">
      <c r="A1193" s="297" t="str">
        <f t="shared" si="18"/>
        <v/>
      </c>
      <c r="B1193" s="460"/>
      <c r="C1193" s="461"/>
      <c r="D1193" s="461"/>
      <c r="E1193" s="461"/>
      <c r="F1193" s="461"/>
      <c r="G1193" s="461"/>
      <c r="H1193" s="291"/>
      <c r="I1193" s="291"/>
      <c r="J1193" s="291"/>
      <c r="K1193" s="291"/>
      <c r="L1193" s="292"/>
      <c r="M1193" s="292"/>
      <c r="N1193" s="292"/>
      <c r="O1193" s="292"/>
      <c r="P1193" s="294"/>
      <c r="Q1193" s="294"/>
      <c r="R1193" s="294"/>
      <c r="S1193" s="294"/>
      <c r="T1193" s="294"/>
      <c r="U1193" s="294"/>
      <c r="V1193" s="431"/>
      <c r="W1193" s="331"/>
      <c r="X1193" s="331"/>
      <c r="Y1193" s="294">
        <f>IF(NFI_Expiration=1,IF($A1193&lt;VLOOKUP(H$5,NFI,5,0),1,0)*Table_NFI[[#This Row],[Hygiene Kit]],Table_NFI[Hygiene Kit])</f>
        <v>0</v>
      </c>
      <c r="Z1193" s="294">
        <f>IF(NFI_Expiration=1,IF($A1193&lt;VLOOKUP(I$5,NFI,5,0),1,0)*Table_NFI[[#This Row],[NFI Core Kit]],Table_NFI[NFI Core Kit])</f>
        <v>0</v>
      </c>
      <c r="AA1193" s="294">
        <f>IF(NFI_Expiration=1,IF($A1193&lt;VLOOKUP(J$5,NFI,5,0),1,0)*Table_NFI[[#This Row],[Sanitary Kit]],Table_NFI[Sanitary Kit])</f>
        <v>0</v>
      </c>
      <c r="AB1193" s="294">
        <f>IF(NFI_Expiration=1,IF($A1193&lt;VLOOKUP(K$5,NFI,5,0),1,0)*Table_NFI[[#This Row],[Mosquito net]],Table_NFI[Mosquito net])</f>
        <v>0</v>
      </c>
      <c r="AC1193" s="294">
        <f>IF(NFI_Expiration=1,IF($A1193&lt;VLOOKUP(L$5,NFI,5,0),1,0)*Table_NFI[[#This Row],[Tarpaulin]],Table_NFI[[#This Row],[Tarpaulin]])</f>
        <v>0</v>
      </c>
      <c r="AD1193" s="294">
        <f>IF(NFI_Expiration=1,IF($A1193&lt;VLOOKUP(M$5,NFI,5,0),1,0)*Table_NFI[[#This Row],[Blanket]],Table_NFI[[#This Row],[Blanket]])</f>
        <v>0</v>
      </c>
      <c r="AE1193" s="294">
        <f>IF(NFI_Expiration=1,IF($A1193&lt;VLOOKUP(N$5,NFI,5,0),1,0)*Table_NFI[[#This Row],[Kitchen Set]],Table_NFI[Kitchen Set])</f>
        <v>0</v>
      </c>
      <c r="AF1193" s="294">
        <f>IF(NFI_Expiration=1,IF($A1193&lt;VLOOKUP(O$5,NFI,5,0),1,0)*Table_NFI[[#This Row],[Clothes Kit]],Table_NFI[Clothes Kit])</f>
        <v>0</v>
      </c>
      <c r="AG1193" s="294">
        <f>IF(NFI_Expiration=1,IF($A1193&lt;VLOOKUP(P$5,NFI,5,0),1,0)*Table_NFI[[#This Row],[Plastic Bucket]],Table_NFI[Plastic Bucket])</f>
        <v>0</v>
      </c>
      <c r="AH1193" s="294">
        <f>IF(NFI_Expiration=1,IF($A1193&lt;VLOOKUP(Q$5,NFI,5,0),1,0)*Table_NFI[[#This Row],[Plastic Mat]],Table_NFI[Plastic Mat])*IF(Table_NFI[[#This Row],[Distribution Date]]&gt;"2014-04-01",1,2.5)</f>
        <v>0</v>
      </c>
      <c r="AI1193" s="294">
        <f>IF(NFI_Expiration=1,IF($A1193&lt;VLOOKUP(R$5,NFI,5,0),1,0)*Table_NFI[[#This Row],[Winter Clothes Adult]],Table_NFI[Winter Clothes Adult])</f>
        <v>0</v>
      </c>
      <c r="AJ1193" s="294">
        <f>IF(NFI_Expiration=1,IF($A1193&lt;VLOOKUP(S$5,NFI,5,0),1,0)*Table_NFI[[#This Row],[Winter Clothes Children]],Table_NFI[Winter Clothes Children])</f>
        <v>0</v>
      </c>
      <c r="AK1193" s="294">
        <f>IF(NFI_Expiration=1,IF($A1193&lt;VLOOKUP(T$5,NFI,5,0),1,0)*Table_NFI[[#This Row],[Winter Items Other]],Table_NFI[Winter Items Other])</f>
        <v>0</v>
      </c>
      <c r="AL1193" s="294">
        <f>IF(NFI_Expiration=1,IF($A1193&lt;VLOOKUP(M$5,NFI,5,0),1,0)*Table_NFI[[#This Row],[Winter Blanket]],Table_NFI[[#This Row],[Winter Blanket]])</f>
        <v>0</v>
      </c>
      <c r="AM1193" s="294">
        <f>IF(Table_NFI[[#This Row],[Winter Clothes Adult]]+Table_NFI[[#This Row],[Winter Clothes Children]]+Table_NFI[[#This Row],[Winter Items Other]]+Table_NFI[[#This Row],[Winter Blanket]]&gt;0,1,0)</f>
        <v>0</v>
      </c>
      <c r="AN1193" s="331">
        <f>IF(NFI_Expiration=1,IF($A1193&lt;VLOOKUP(V$5,NFI,5,0),1,0)*Table_NFI[[#This Row],[Jerry Can]],Table_NFI[Jerry Can])</f>
        <v>0</v>
      </c>
      <c r="AO1193" s="331">
        <f>IF(NFI_Expiration=1,IF($A1193&lt;VLOOKUP(V$5,NFI,5,0),1,0)*Table_NFI[[#This Row],[Shelter Tool kit]],Table_NFI[Shelter Tool kit])</f>
        <v>0</v>
      </c>
      <c r="AP1193" s="331">
        <f>IF(NFI_Expiration=1,IF($A1193&lt;VLOOKUP(V$5,NFI,5,0),1,0)*Table_NFI[[#This Row],[Tent]],Table_NFI[Tent])</f>
        <v>0</v>
      </c>
      <c r="AQ1193" s="467" t="str">
        <f>IFERROR(VLOOKUP(Table_NFI[[#This Row],[Camp Name]],CL,2,0),"")</f>
        <v/>
      </c>
      <c r="AR1193" s="835" t="str">
        <f ca="1">IF(Table_NFI[[#This Row],[Pcode]]="","",IF(OFFSET(CampList[Opening Date],MATCH(Table_NFI[[#This Row],[Pcode]],CampList[CP_Pcode],0)-1,0,1,1)&gt;=NFI_Monitor_Date,1,0))</f>
        <v/>
      </c>
      <c r="AS1193" s="467" t="str">
        <f>IFERROR(VLOOKUP(Table_NFI[[#This Row],[Camp Name]],CL,3,0),"")</f>
        <v/>
      </c>
      <c r="AT1193" s="294" t="str">
        <f ca="1">IF(Table_NFI[[#This Row],[Pcode]]="","",OFFSET(CampList[Priority],MATCH(Table_NFI[[#This Row],[Pcode]],CampList[CP_Pcode],0)-1,0,1,1))</f>
        <v/>
      </c>
      <c r="AU1193" s="293" t="str">
        <f>IFERROR(Table_NFI[[#This Row],[Kitchen Set]]/VLOOKUP(Table_NFI[[#This Row],[Camp Name]],CL,4,0),"")</f>
        <v/>
      </c>
      <c r="AV1193" s="465"/>
      <c r="AW1193" s="479"/>
    </row>
    <row r="1194" spans="1:49" ht="14.45" customHeight="1" x14ac:dyDescent="0.25">
      <c r="A1194" s="297" t="str">
        <f t="shared" si="18"/>
        <v/>
      </c>
      <c r="B1194" s="460"/>
      <c r="C1194" s="461"/>
      <c r="D1194" s="461"/>
      <c r="E1194" s="461"/>
      <c r="F1194" s="461"/>
      <c r="G1194" s="461"/>
      <c r="H1194" s="291"/>
      <c r="I1194" s="291"/>
      <c r="J1194" s="291"/>
      <c r="K1194" s="291"/>
      <c r="L1194" s="292"/>
      <c r="M1194" s="292"/>
      <c r="N1194" s="292"/>
      <c r="O1194" s="292"/>
      <c r="P1194" s="294"/>
      <c r="Q1194" s="294"/>
      <c r="R1194" s="294"/>
      <c r="S1194" s="294"/>
      <c r="T1194" s="294"/>
      <c r="U1194" s="294"/>
      <c r="V1194" s="431"/>
      <c r="W1194" s="331"/>
      <c r="X1194" s="331"/>
      <c r="Y1194" s="294">
        <f>IF(NFI_Expiration=1,IF($A1194&lt;VLOOKUP(H$5,NFI,5,0),1,0)*Table_NFI[[#This Row],[Hygiene Kit]],Table_NFI[Hygiene Kit])</f>
        <v>0</v>
      </c>
      <c r="Z1194" s="294">
        <f>IF(NFI_Expiration=1,IF($A1194&lt;VLOOKUP(I$5,NFI,5,0),1,0)*Table_NFI[[#This Row],[NFI Core Kit]],Table_NFI[NFI Core Kit])</f>
        <v>0</v>
      </c>
      <c r="AA1194" s="294">
        <f>IF(NFI_Expiration=1,IF($A1194&lt;VLOOKUP(J$5,NFI,5,0),1,0)*Table_NFI[[#This Row],[Sanitary Kit]],Table_NFI[Sanitary Kit])</f>
        <v>0</v>
      </c>
      <c r="AB1194" s="294">
        <f>IF(NFI_Expiration=1,IF($A1194&lt;VLOOKUP(K$5,NFI,5,0),1,0)*Table_NFI[[#This Row],[Mosquito net]],Table_NFI[Mosquito net])</f>
        <v>0</v>
      </c>
      <c r="AC1194" s="294">
        <f>IF(NFI_Expiration=1,IF($A1194&lt;VLOOKUP(L$5,NFI,5,0),1,0)*Table_NFI[[#This Row],[Tarpaulin]],Table_NFI[[#This Row],[Tarpaulin]])</f>
        <v>0</v>
      </c>
      <c r="AD1194" s="294">
        <f>IF(NFI_Expiration=1,IF($A1194&lt;VLOOKUP(M$5,NFI,5,0),1,0)*Table_NFI[[#This Row],[Blanket]],Table_NFI[[#This Row],[Blanket]])</f>
        <v>0</v>
      </c>
      <c r="AE1194" s="294">
        <f>IF(NFI_Expiration=1,IF($A1194&lt;VLOOKUP(N$5,NFI,5,0),1,0)*Table_NFI[[#This Row],[Kitchen Set]],Table_NFI[Kitchen Set])</f>
        <v>0</v>
      </c>
      <c r="AF1194" s="294">
        <f>IF(NFI_Expiration=1,IF($A1194&lt;VLOOKUP(O$5,NFI,5,0),1,0)*Table_NFI[[#This Row],[Clothes Kit]],Table_NFI[Clothes Kit])</f>
        <v>0</v>
      </c>
      <c r="AG1194" s="294">
        <f>IF(NFI_Expiration=1,IF($A1194&lt;VLOOKUP(P$5,NFI,5,0),1,0)*Table_NFI[[#This Row],[Plastic Bucket]],Table_NFI[Plastic Bucket])</f>
        <v>0</v>
      </c>
      <c r="AH1194" s="294">
        <f>IF(NFI_Expiration=1,IF($A1194&lt;VLOOKUP(Q$5,NFI,5,0),1,0)*Table_NFI[[#This Row],[Plastic Mat]],Table_NFI[Plastic Mat])*IF(Table_NFI[[#This Row],[Distribution Date]]&gt;"2014-04-01",1,2.5)</f>
        <v>0</v>
      </c>
      <c r="AI1194" s="294">
        <f>IF(NFI_Expiration=1,IF($A1194&lt;VLOOKUP(R$5,NFI,5,0),1,0)*Table_NFI[[#This Row],[Winter Clothes Adult]],Table_NFI[Winter Clothes Adult])</f>
        <v>0</v>
      </c>
      <c r="AJ1194" s="294">
        <f>IF(NFI_Expiration=1,IF($A1194&lt;VLOOKUP(S$5,NFI,5,0),1,0)*Table_NFI[[#This Row],[Winter Clothes Children]],Table_NFI[Winter Clothes Children])</f>
        <v>0</v>
      </c>
      <c r="AK1194" s="294">
        <f>IF(NFI_Expiration=1,IF($A1194&lt;VLOOKUP(T$5,NFI,5,0),1,0)*Table_NFI[[#This Row],[Winter Items Other]],Table_NFI[Winter Items Other])</f>
        <v>0</v>
      </c>
      <c r="AL1194" s="294">
        <f>IF(NFI_Expiration=1,IF($A1194&lt;VLOOKUP(M$5,NFI,5,0),1,0)*Table_NFI[[#This Row],[Winter Blanket]],Table_NFI[[#This Row],[Winter Blanket]])</f>
        <v>0</v>
      </c>
      <c r="AM1194" s="294">
        <f>IF(Table_NFI[[#This Row],[Winter Clothes Adult]]+Table_NFI[[#This Row],[Winter Clothes Children]]+Table_NFI[[#This Row],[Winter Items Other]]+Table_NFI[[#This Row],[Winter Blanket]]&gt;0,1,0)</f>
        <v>0</v>
      </c>
      <c r="AN1194" s="331">
        <f>IF(NFI_Expiration=1,IF($A1194&lt;VLOOKUP(V$5,NFI,5,0),1,0)*Table_NFI[[#This Row],[Jerry Can]],Table_NFI[Jerry Can])</f>
        <v>0</v>
      </c>
      <c r="AO1194" s="331">
        <f>IF(NFI_Expiration=1,IF($A1194&lt;VLOOKUP(V$5,NFI,5,0),1,0)*Table_NFI[[#This Row],[Shelter Tool kit]],Table_NFI[Shelter Tool kit])</f>
        <v>0</v>
      </c>
      <c r="AP1194" s="331">
        <f>IF(NFI_Expiration=1,IF($A1194&lt;VLOOKUP(V$5,NFI,5,0),1,0)*Table_NFI[[#This Row],[Tent]],Table_NFI[Tent])</f>
        <v>0</v>
      </c>
      <c r="AQ1194" s="467" t="str">
        <f>IFERROR(VLOOKUP(Table_NFI[[#This Row],[Camp Name]],CL,2,0),"")</f>
        <v/>
      </c>
      <c r="AR1194" s="835" t="str">
        <f ca="1">IF(Table_NFI[[#This Row],[Pcode]]="","",IF(OFFSET(CampList[Opening Date],MATCH(Table_NFI[[#This Row],[Pcode]],CampList[CP_Pcode],0)-1,0,1,1)&gt;=NFI_Monitor_Date,1,0))</f>
        <v/>
      </c>
      <c r="AS1194" s="467" t="str">
        <f>IFERROR(VLOOKUP(Table_NFI[[#This Row],[Camp Name]],CL,3,0),"")</f>
        <v/>
      </c>
      <c r="AT1194" s="294" t="str">
        <f ca="1">IF(Table_NFI[[#This Row],[Pcode]]="","",OFFSET(CampList[Priority],MATCH(Table_NFI[[#This Row],[Pcode]],CampList[CP_Pcode],0)-1,0,1,1))</f>
        <v/>
      </c>
      <c r="AU1194" s="293" t="str">
        <f>IFERROR(Table_NFI[[#This Row],[Kitchen Set]]/VLOOKUP(Table_NFI[[#This Row],[Camp Name]],CL,4,0),"")</f>
        <v/>
      </c>
      <c r="AV1194" s="465"/>
      <c r="AW1194" s="479"/>
    </row>
    <row r="1195" spans="1:49" ht="14.45" customHeight="1" x14ac:dyDescent="0.25">
      <c r="A1195" s="297" t="str">
        <f t="shared" si="18"/>
        <v/>
      </c>
      <c r="B1195" s="460"/>
      <c r="C1195" s="461"/>
      <c r="D1195" s="461"/>
      <c r="E1195" s="461"/>
      <c r="F1195" s="461"/>
      <c r="G1195" s="461"/>
      <c r="H1195" s="291"/>
      <c r="I1195" s="294"/>
      <c r="J1195" s="291"/>
      <c r="K1195" s="291"/>
      <c r="L1195" s="292"/>
      <c r="M1195" s="292"/>
      <c r="N1195" s="292"/>
      <c r="O1195" s="292"/>
      <c r="P1195" s="294"/>
      <c r="Q1195" s="294"/>
      <c r="R1195" s="294"/>
      <c r="S1195" s="294"/>
      <c r="T1195" s="294"/>
      <c r="U1195" s="294"/>
      <c r="V1195" s="431"/>
      <c r="W1195" s="331"/>
      <c r="X1195" s="331"/>
      <c r="Y1195" s="294">
        <f>IF(NFI_Expiration=1,IF($A1195&lt;VLOOKUP(H$5,NFI,5,0),1,0)*Table_NFI[[#This Row],[Hygiene Kit]],Table_NFI[Hygiene Kit])</f>
        <v>0</v>
      </c>
      <c r="Z1195" s="294">
        <f>IF(NFI_Expiration=1,IF($A1195&lt;VLOOKUP(I$5,NFI,5,0),1,0)*Table_NFI[[#This Row],[NFI Core Kit]],Table_NFI[NFI Core Kit])</f>
        <v>0</v>
      </c>
      <c r="AA1195" s="294">
        <f>IF(NFI_Expiration=1,IF($A1195&lt;VLOOKUP(J$5,NFI,5,0),1,0)*Table_NFI[[#This Row],[Sanitary Kit]],Table_NFI[Sanitary Kit])</f>
        <v>0</v>
      </c>
      <c r="AB1195" s="294">
        <f>IF(NFI_Expiration=1,IF($A1195&lt;VLOOKUP(K$5,NFI,5,0),1,0)*Table_NFI[[#This Row],[Mosquito net]],Table_NFI[Mosquito net])</f>
        <v>0</v>
      </c>
      <c r="AC1195" s="294">
        <f>IF(NFI_Expiration=1,IF($A1195&lt;VLOOKUP(L$5,NFI,5,0),1,0)*Table_NFI[[#This Row],[Tarpaulin]],Table_NFI[[#This Row],[Tarpaulin]])</f>
        <v>0</v>
      </c>
      <c r="AD1195" s="294">
        <f>IF(NFI_Expiration=1,IF($A1195&lt;VLOOKUP(M$5,NFI,5,0),1,0)*Table_NFI[[#This Row],[Blanket]],Table_NFI[[#This Row],[Blanket]])</f>
        <v>0</v>
      </c>
      <c r="AE1195" s="294">
        <f>IF(NFI_Expiration=1,IF($A1195&lt;VLOOKUP(N$5,NFI,5,0),1,0)*Table_NFI[[#This Row],[Kitchen Set]],Table_NFI[Kitchen Set])</f>
        <v>0</v>
      </c>
      <c r="AF1195" s="294">
        <f>IF(NFI_Expiration=1,IF($A1195&lt;VLOOKUP(O$5,NFI,5,0),1,0)*Table_NFI[[#This Row],[Clothes Kit]],Table_NFI[Clothes Kit])</f>
        <v>0</v>
      </c>
      <c r="AG1195" s="294">
        <f>IF(NFI_Expiration=1,IF($A1195&lt;VLOOKUP(P$5,NFI,5,0),1,0)*Table_NFI[[#This Row],[Plastic Bucket]],Table_NFI[Plastic Bucket])</f>
        <v>0</v>
      </c>
      <c r="AH1195" s="294">
        <f>IF(NFI_Expiration=1,IF($A1195&lt;VLOOKUP(Q$5,NFI,5,0),1,0)*Table_NFI[[#This Row],[Plastic Mat]],Table_NFI[Plastic Mat])*IF(Table_NFI[[#This Row],[Distribution Date]]&gt;"2014-04-01",1,2.5)</f>
        <v>0</v>
      </c>
      <c r="AI1195" s="294">
        <f>IF(NFI_Expiration=1,IF($A1195&lt;VLOOKUP(R$5,NFI,5,0),1,0)*Table_NFI[[#This Row],[Winter Clothes Adult]],Table_NFI[Winter Clothes Adult])</f>
        <v>0</v>
      </c>
      <c r="AJ1195" s="294">
        <f>IF(NFI_Expiration=1,IF($A1195&lt;VLOOKUP(S$5,NFI,5,0),1,0)*Table_NFI[[#This Row],[Winter Clothes Children]],Table_NFI[Winter Clothes Children])</f>
        <v>0</v>
      </c>
      <c r="AK1195" s="294">
        <f>IF(NFI_Expiration=1,IF($A1195&lt;VLOOKUP(T$5,NFI,5,0),1,0)*Table_NFI[[#This Row],[Winter Items Other]],Table_NFI[Winter Items Other])</f>
        <v>0</v>
      </c>
      <c r="AL1195" s="294">
        <f>IF(NFI_Expiration=1,IF($A1195&lt;VLOOKUP(M$5,NFI,5,0),1,0)*Table_NFI[[#This Row],[Winter Blanket]],Table_NFI[[#This Row],[Winter Blanket]])</f>
        <v>0</v>
      </c>
      <c r="AM1195" s="294">
        <f>IF(Table_NFI[[#This Row],[Winter Clothes Adult]]+Table_NFI[[#This Row],[Winter Clothes Children]]+Table_NFI[[#This Row],[Winter Items Other]]+Table_NFI[[#This Row],[Winter Blanket]]&gt;0,1,0)</f>
        <v>0</v>
      </c>
      <c r="AN1195" s="331">
        <f>IF(NFI_Expiration=1,IF($A1195&lt;VLOOKUP(V$5,NFI,5,0),1,0)*Table_NFI[[#This Row],[Jerry Can]],Table_NFI[Jerry Can])</f>
        <v>0</v>
      </c>
      <c r="AO1195" s="331">
        <f>IF(NFI_Expiration=1,IF($A1195&lt;VLOOKUP(V$5,NFI,5,0),1,0)*Table_NFI[[#This Row],[Shelter Tool kit]],Table_NFI[Shelter Tool kit])</f>
        <v>0</v>
      </c>
      <c r="AP1195" s="331">
        <f>IF(NFI_Expiration=1,IF($A1195&lt;VLOOKUP(V$5,NFI,5,0),1,0)*Table_NFI[[#This Row],[Tent]],Table_NFI[Tent])</f>
        <v>0</v>
      </c>
      <c r="AQ1195" s="467" t="str">
        <f>IFERROR(VLOOKUP(Table_NFI[[#This Row],[Camp Name]],CL,2,0),"")</f>
        <v/>
      </c>
      <c r="AR1195" s="835" t="str">
        <f ca="1">IF(Table_NFI[[#This Row],[Pcode]]="","",IF(OFFSET(CampList[Opening Date],MATCH(Table_NFI[[#This Row],[Pcode]],CampList[CP_Pcode],0)-1,0,1,1)&gt;=NFI_Monitor_Date,1,0))</f>
        <v/>
      </c>
      <c r="AS1195" s="467" t="str">
        <f>IFERROR(VLOOKUP(Table_NFI[[#This Row],[Camp Name]],CL,3,0),"")</f>
        <v/>
      </c>
      <c r="AT1195" s="294" t="str">
        <f ca="1">IF(Table_NFI[[#This Row],[Pcode]]="","",OFFSET(CampList[Priority],MATCH(Table_NFI[[#This Row],[Pcode]],CampList[CP_Pcode],0)-1,0,1,1))</f>
        <v/>
      </c>
      <c r="AU1195" s="293" t="str">
        <f>IFERROR(Table_NFI[[#This Row],[Kitchen Set]]/VLOOKUP(Table_NFI[[#This Row],[Camp Name]],CL,4,0),"")</f>
        <v/>
      </c>
      <c r="AV1195" s="461"/>
      <c r="AW1195" s="463"/>
    </row>
    <row r="1196" spans="1:49" ht="14.45" customHeight="1" x14ac:dyDescent="0.25">
      <c r="A1196" s="297" t="str">
        <f t="shared" si="18"/>
        <v/>
      </c>
      <c r="B1196" s="460"/>
      <c r="C1196" s="465"/>
      <c r="D1196" s="465"/>
      <c r="E1196" s="465"/>
      <c r="F1196" s="465"/>
      <c r="G1196" s="465"/>
      <c r="H1196" s="292"/>
      <c r="I1196" s="292"/>
      <c r="J1196" s="292"/>
      <c r="K1196" s="292"/>
      <c r="L1196" s="292"/>
      <c r="M1196" s="292"/>
      <c r="N1196" s="292"/>
      <c r="O1196" s="292"/>
      <c r="P1196" s="294"/>
      <c r="Q1196" s="294"/>
      <c r="R1196" s="294"/>
      <c r="S1196" s="294"/>
      <c r="T1196" s="294"/>
      <c r="U1196" s="294"/>
      <c r="V1196" s="431"/>
      <c r="W1196" s="331"/>
      <c r="X1196" s="331"/>
      <c r="Y1196" s="294">
        <f>IF(NFI_Expiration=1,IF($A1196&lt;VLOOKUP(H$5,NFI,5,0),1,0)*Table_NFI[[#This Row],[Hygiene Kit]],Table_NFI[Hygiene Kit])</f>
        <v>0</v>
      </c>
      <c r="Z1196" s="294">
        <f>IF(NFI_Expiration=1,IF($A1196&lt;VLOOKUP(I$5,NFI,5,0),1,0)*Table_NFI[[#This Row],[NFI Core Kit]],Table_NFI[NFI Core Kit])</f>
        <v>0</v>
      </c>
      <c r="AA1196" s="294">
        <f>IF(NFI_Expiration=1,IF($A1196&lt;VLOOKUP(J$5,NFI,5,0),1,0)*Table_NFI[[#This Row],[Sanitary Kit]],Table_NFI[Sanitary Kit])</f>
        <v>0</v>
      </c>
      <c r="AB1196" s="294">
        <f>IF(NFI_Expiration=1,IF($A1196&lt;VLOOKUP(K$5,NFI,5,0),1,0)*Table_NFI[[#This Row],[Mosquito net]],Table_NFI[Mosquito net])</f>
        <v>0</v>
      </c>
      <c r="AC1196" s="294">
        <f>IF(NFI_Expiration=1,IF($A1196&lt;VLOOKUP(L$5,NFI,5,0),1,0)*Table_NFI[[#This Row],[Tarpaulin]],Table_NFI[[#This Row],[Tarpaulin]])</f>
        <v>0</v>
      </c>
      <c r="AD1196" s="294">
        <f>IF(NFI_Expiration=1,IF($A1196&lt;VLOOKUP(M$5,NFI,5,0),1,0)*Table_NFI[[#This Row],[Blanket]],Table_NFI[[#This Row],[Blanket]])</f>
        <v>0</v>
      </c>
      <c r="AE1196" s="294">
        <f>IF(NFI_Expiration=1,IF($A1196&lt;VLOOKUP(N$5,NFI,5,0),1,0)*Table_NFI[[#This Row],[Kitchen Set]],Table_NFI[Kitchen Set])</f>
        <v>0</v>
      </c>
      <c r="AF1196" s="294">
        <f>IF(NFI_Expiration=1,IF($A1196&lt;VLOOKUP(O$5,NFI,5,0),1,0)*Table_NFI[[#This Row],[Clothes Kit]],Table_NFI[Clothes Kit])</f>
        <v>0</v>
      </c>
      <c r="AG1196" s="294">
        <f>IF(NFI_Expiration=1,IF($A1196&lt;VLOOKUP(P$5,NFI,5,0),1,0)*Table_NFI[[#This Row],[Plastic Bucket]],Table_NFI[Plastic Bucket])</f>
        <v>0</v>
      </c>
      <c r="AH1196" s="294">
        <f>IF(NFI_Expiration=1,IF($A1196&lt;VLOOKUP(Q$5,NFI,5,0),1,0)*Table_NFI[[#This Row],[Plastic Mat]],Table_NFI[Plastic Mat])*IF(Table_NFI[[#This Row],[Distribution Date]]&gt;"2014-04-01",1,2.5)</f>
        <v>0</v>
      </c>
      <c r="AI1196" s="294">
        <f>IF(NFI_Expiration=1,IF($A1196&lt;VLOOKUP(R$5,NFI,5,0),1,0)*Table_NFI[[#This Row],[Winter Clothes Adult]],Table_NFI[Winter Clothes Adult])</f>
        <v>0</v>
      </c>
      <c r="AJ1196" s="294">
        <f>IF(NFI_Expiration=1,IF($A1196&lt;VLOOKUP(S$5,NFI,5,0),1,0)*Table_NFI[[#This Row],[Winter Clothes Children]],Table_NFI[Winter Clothes Children])</f>
        <v>0</v>
      </c>
      <c r="AK1196" s="294">
        <f>IF(NFI_Expiration=1,IF($A1196&lt;VLOOKUP(T$5,NFI,5,0),1,0)*Table_NFI[[#This Row],[Winter Items Other]],Table_NFI[Winter Items Other])</f>
        <v>0</v>
      </c>
      <c r="AL1196" s="294">
        <f>IF(NFI_Expiration=1,IF($A1196&lt;VLOOKUP(M$5,NFI,5,0),1,0)*Table_NFI[[#This Row],[Winter Blanket]],Table_NFI[[#This Row],[Winter Blanket]])</f>
        <v>0</v>
      </c>
      <c r="AM1196" s="294">
        <f>IF(Table_NFI[[#This Row],[Winter Clothes Adult]]+Table_NFI[[#This Row],[Winter Clothes Children]]+Table_NFI[[#This Row],[Winter Items Other]]+Table_NFI[[#This Row],[Winter Blanket]]&gt;0,1,0)</f>
        <v>0</v>
      </c>
      <c r="AN1196" s="331">
        <f>IF(NFI_Expiration=1,IF($A1196&lt;VLOOKUP(V$5,NFI,5,0),1,0)*Table_NFI[[#This Row],[Jerry Can]],Table_NFI[Jerry Can])</f>
        <v>0</v>
      </c>
      <c r="AO1196" s="331">
        <f>IF(NFI_Expiration=1,IF($A1196&lt;VLOOKUP(V$5,NFI,5,0),1,0)*Table_NFI[[#This Row],[Shelter Tool kit]],Table_NFI[Shelter Tool kit])</f>
        <v>0</v>
      </c>
      <c r="AP1196" s="331">
        <f>IF(NFI_Expiration=1,IF($A1196&lt;VLOOKUP(V$5,NFI,5,0),1,0)*Table_NFI[[#This Row],[Tent]],Table_NFI[Tent])</f>
        <v>0</v>
      </c>
      <c r="AQ1196" s="467" t="str">
        <f>IFERROR(VLOOKUP(Table_NFI[[#This Row],[Camp Name]],CL,2,0),"")</f>
        <v/>
      </c>
      <c r="AR1196" s="835" t="str">
        <f ca="1">IF(Table_NFI[[#This Row],[Pcode]]="","",IF(OFFSET(CampList[Opening Date],MATCH(Table_NFI[[#This Row],[Pcode]],CampList[CP_Pcode],0)-1,0,1,1)&gt;=NFI_Monitor_Date,1,0))</f>
        <v/>
      </c>
      <c r="AS1196" s="467" t="str">
        <f>IFERROR(VLOOKUP(Table_NFI[[#This Row],[Camp Name]],CL,3,0),"")</f>
        <v/>
      </c>
      <c r="AT1196" s="294" t="str">
        <f ca="1">IF(Table_NFI[[#This Row],[Pcode]]="","",OFFSET(CampList[Priority],MATCH(Table_NFI[[#This Row],[Pcode]],CampList[CP_Pcode],0)-1,0,1,1))</f>
        <v/>
      </c>
      <c r="AU1196" s="293" t="str">
        <f>IFERROR(Table_NFI[[#This Row],[Kitchen Set]]/VLOOKUP(Table_NFI[[#This Row],[Camp Name]],CL,4,0),"")</f>
        <v/>
      </c>
      <c r="AV1196" s="465"/>
      <c r="AW1196" s="468"/>
    </row>
    <row r="1197" spans="1:49" ht="14.45" customHeight="1" x14ac:dyDescent="0.25">
      <c r="A1197" s="297" t="str">
        <f t="shared" si="18"/>
        <v/>
      </c>
      <c r="B1197" s="460"/>
      <c r="C1197" s="465"/>
      <c r="D1197" s="465"/>
      <c r="E1197" s="465"/>
      <c r="F1197" s="465"/>
      <c r="G1197" s="465"/>
      <c r="H1197" s="292"/>
      <c r="I1197" s="292"/>
      <c r="J1197" s="292"/>
      <c r="K1197" s="292"/>
      <c r="L1197" s="292"/>
      <c r="M1197" s="292"/>
      <c r="N1197" s="292"/>
      <c r="O1197" s="292"/>
      <c r="P1197" s="294"/>
      <c r="Q1197" s="294"/>
      <c r="R1197" s="294"/>
      <c r="S1197" s="294"/>
      <c r="T1197" s="294"/>
      <c r="U1197" s="294"/>
      <c r="V1197" s="431"/>
      <c r="W1197" s="331"/>
      <c r="X1197" s="331"/>
      <c r="Y1197" s="294">
        <f>IF(NFI_Expiration=1,IF($A1197&lt;VLOOKUP(H$5,NFI,5,0),1,0)*Table_NFI[[#This Row],[Hygiene Kit]],Table_NFI[Hygiene Kit])</f>
        <v>0</v>
      </c>
      <c r="Z1197" s="294">
        <f>IF(NFI_Expiration=1,IF($A1197&lt;VLOOKUP(I$5,NFI,5,0),1,0)*Table_NFI[[#This Row],[NFI Core Kit]],Table_NFI[NFI Core Kit])</f>
        <v>0</v>
      </c>
      <c r="AA1197" s="294">
        <f>IF(NFI_Expiration=1,IF($A1197&lt;VLOOKUP(J$5,NFI,5,0),1,0)*Table_NFI[[#This Row],[Sanitary Kit]],Table_NFI[Sanitary Kit])</f>
        <v>0</v>
      </c>
      <c r="AB1197" s="294">
        <f>IF(NFI_Expiration=1,IF($A1197&lt;VLOOKUP(K$5,NFI,5,0),1,0)*Table_NFI[[#This Row],[Mosquito net]],Table_NFI[Mosquito net])</f>
        <v>0</v>
      </c>
      <c r="AC1197" s="294">
        <f>IF(NFI_Expiration=1,IF($A1197&lt;VLOOKUP(L$5,NFI,5,0),1,0)*Table_NFI[[#This Row],[Tarpaulin]],Table_NFI[[#This Row],[Tarpaulin]])</f>
        <v>0</v>
      </c>
      <c r="AD1197" s="294">
        <f>IF(NFI_Expiration=1,IF($A1197&lt;VLOOKUP(M$5,NFI,5,0),1,0)*Table_NFI[[#This Row],[Blanket]],Table_NFI[[#This Row],[Blanket]])</f>
        <v>0</v>
      </c>
      <c r="AE1197" s="294">
        <f>IF(NFI_Expiration=1,IF($A1197&lt;VLOOKUP(N$5,NFI,5,0),1,0)*Table_NFI[[#This Row],[Kitchen Set]],Table_NFI[Kitchen Set])</f>
        <v>0</v>
      </c>
      <c r="AF1197" s="294">
        <f>IF(NFI_Expiration=1,IF($A1197&lt;VLOOKUP(O$5,NFI,5,0),1,0)*Table_NFI[[#This Row],[Clothes Kit]],Table_NFI[Clothes Kit])</f>
        <v>0</v>
      </c>
      <c r="AG1197" s="294">
        <f>IF(NFI_Expiration=1,IF($A1197&lt;VLOOKUP(P$5,NFI,5,0),1,0)*Table_NFI[[#This Row],[Plastic Bucket]],Table_NFI[Plastic Bucket])</f>
        <v>0</v>
      </c>
      <c r="AH1197" s="294">
        <f>IF(NFI_Expiration=1,IF($A1197&lt;VLOOKUP(Q$5,NFI,5,0),1,0)*Table_NFI[[#This Row],[Plastic Mat]],Table_NFI[Plastic Mat])*IF(Table_NFI[[#This Row],[Distribution Date]]&gt;"2014-04-01",1,2.5)</f>
        <v>0</v>
      </c>
      <c r="AI1197" s="294">
        <f>IF(NFI_Expiration=1,IF($A1197&lt;VLOOKUP(R$5,NFI,5,0),1,0)*Table_NFI[[#This Row],[Winter Clothes Adult]],Table_NFI[Winter Clothes Adult])</f>
        <v>0</v>
      </c>
      <c r="AJ1197" s="294">
        <f>IF(NFI_Expiration=1,IF($A1197&lt;VLOOKUP(S$5,NFI,5,0),1,0)*Table_NFI[[#This Row],[Winter Clothes Children]],Table_NFI[Winter Clothes Children])</f>
        <v>0</v>
      </c>
      <c r="AK1197" s="294">
        <f>IF(NFI_Expiration=1,IF($A1197&lt;VLOOKUP(T$5,NFI,5,0),1,0)*Table_NFI[[#This Row],[Winter Items Other]],Table_NFI[Winter Items Other])</f>
        <v>0</v>
      </c>
      <c r="AL1197" s="294">
        <f>IF(NFI_Expiration=1,IF($A1197&lt;VLOOKUP(M$5,NFI,5,0),1,0)*Table_NFI[[#This Row],[Winter Blanket]],Table_NFI[[#This Row],[Winter Blanket]])</f>
        <v>0</v>
      </c>
      <c r="AM1197" s="294">
        <f>IF(Table_NFI[[#This Row],[Winter Clothes Adult]]+Table_NFI[[#This Row],[Winter Clothes Children]]+Table_NFI[[#This Row],[Winter Items Other]]+Table_NFI[[#This Row],[Winter Blanket]]&gt;0,1,0)</f>
        <v>0</v>
      </c>
      <c r="AN1197" s="331">
        <f>IF(NFI_Expiration=1,IF($A1197&lt;VLOOKUP(V$5,NFI,5,0),1,0)*Table_NFI[[#This Row],[Jerry Can]],Table_NFI[Jerry Can])</f>
        <v>0</v>
      </c>
      <c r="AO1197" s="331">
        <f>IF(NFI_Expiration=1,IF($A1197&lt;VLOOKUP(V$5,NFI,5,0),1,0)*Table_NFI[[#This Row],[Shelter Tool kit]],Table_NFI[Shelter Tool kit])</f>
        <v>0</v>
      </c>
      <c r="AP1197" s="331">
        <f>IF(NFI_Expiration=1,IF($A1197&lt;VLOOKUP(V$5,NFI,5,0),1,0)*Table_NFI[[#This Row],[Tent]],Table_NFI[Tent])</f>
        <v>0</v>
      </c>
      <c r="AQ1197" s="467" t="str">
        <f>IFERROR(VLOOKUP(Table_NFI[[#This Row],[Camp Name]],CL,2,0),"")</f>
        <v/>
      </c>
      <c r="AR1197" s="835" t="str">
        <f ca="1">IF(Table_NFI[[#This Row],[Pcode]]="","",IF(OFFSET(CampList[Opening Date],MATCH(Table_NFI[[#This Row],[Pcode]],CampList[CP_Pcode],0)-1,0,1,1)&gt;=NFI_Monitor_Date,1,0))</f>
        <v/>
      </c>
      <c r="AS1197" s="467" t="str">
        <f>IFERROR(VLOOKUP(Table_NFI[[#This Row],[Camp Name]],CL,3,0),"")</f>
        <v/>
      </c>
      <c r="AT1197" s="294" t="str">
        <f ca="1">IF(Table_NFI[[#This Row],[Pcode]]="","",OFFSET(CampList[Priority],MATCH(Table_NFI[[#This Row],[Pcode]],CampList[CP_Pcode],0)-1,0,1,1))</f>
        <v/>
      </c>
      <c r="AU1197" s="293" t="str">
        <f>IFERROR(Table_NFI[[#This Row],[Kitchen Set]]/VLOOKUP(Table_NFI[[#This Row],[Camp Name]],CL,4,0),"")</f>
        <v/>
      </c>
      <c r="AV1197" s="465"/>
      <c r="AW1197" s="463"/>
    </row>
    <row r="1198" spans="1:49" ht="14.45" customHeight="1" x14ac:dyDescent="0.25">
      <c r="A1198" s="297" t="str">
        <f t="shared" si="18"/>
        <v/>
      </c>
      <c r="B1198" s="460"/>
      <c r="C1198" s="465"/>
      <c r="D1198" s="465"/>
      <c r="E1198" s="465"/>
      <c r="F1198" s="465"/>
      <c r="G1198" s="465"/>
      <c r="H1198" s="292"/>
      <c r="I1198" s="292"/>
      <c r="J1198" s="292"/>
      <c r="K1198" s="292"/>
      <c r="L1198" s="292"/>
      <c r="M1198" s="292"/>
      <c r="N1198" s="292"/>
      <c r="O1198" s="292"/>
      <c r="P1198" s="294"/>
      <c r="Q1198" s="294"/>
      <c r="R1198" s="294"/>
      <c r="S1198" s="294"/>
      <c r="T1198" s="294"/>
      <c r="U1198" s="294"/>
      <c r="V1198" s="431"/>
      <c r="W1198" s="331"/>
      <c r="X1198" s="331"/>
      <c r="Y1198" s="294">
        <f>IF(NFI_Expiration=1,IF($A1198&lt;VLOOKUP(H$5,NFI,5,0),1,0)*Table_NFI[[#This Row],[Hygiene Kit]],Table_NFI[Hygiene Kit])</f>
        <v>0</v>
      </c>
      <c r="Z1198" s="294">
        <f>IF(NFI_Expiration=1,IF($A1198&lt;VLOOKUP(I$5,NFI,5,0),1,0)*Table_NFI[[#This Row],[NFI Core Kit]],Table_NFI[NFI Core Kit])</f>
        <v>0</v>
      </c>
      <c r="AA1198" s="294">
        <f>IF(NFI_Expiration=1,IF($A1198&lt;VLOOKUP(J$5,NFI,5,0),1,0)*Table_NFI[[#This Row],[Sanitary Kit]],Table_NFI[Sanitary Kit])</f>
        <v>0</v>
      </c>
      <c r="AB1198" s="294">
        <f>IF(NFI_Expiration=1,IF($A1198&lt;VLOOKUP(K$5,NFI,5,0),1,0)*Table_NFI[[#This Row],[Mosquito net]],Table_NFI[Mosquito net])</f>
        <v>0</v>
      </c>
      <c r="AC1198" s="294">
        <f>IF(NFI_Expiration=1,IF($A1198&lt;VLOOKUP(L$5,NFI,5,0),1,0)*Table_NFI[[#This Row],[Tarpaulin]],Table_NFI[[#This Row],[Tarpaulin]])</f>
        <v>0</v>
      </c>
      <c r="AD1198" s="294">
        <f>IF(NFI_Expiration=1,IF($A1198&lt;VLOOKUP(M$5,NFI,5,0),1,0)*Table_NFI[[#This Row],[Blanket]],Table_NFI[[#This Row],[Blanket]])</f>
        <v>0</v>
      </c>
      <c r="AE1198" s="294">
        <f>IF(NFI_Expiration=1,IF($A1198&lt;VLOOKUP(N$5,NFI,5,0),1,0)*Table_NFI[[#This Row],[Kitchen Set]],Table_NFI[Kitchen Set])</f>
        <v>0</v>
      </c>
      <c r="AF1198" s="294">
        <f>IF(NFI_Expiration=1,IF($A1198&lt;VLOOKUP(O$5,NFI,5,0),1,0)*Table_NFI[[#This Row],[Clothes Kit]],Table_NFI[Clothes Kit])</f>
        <v>0</v>
      </c>
      <c r="AG1198" s="294">
        <f>IF(NFI_Expiration=1,IF($A1198&lt;VLOOKUP(P$5,NFI,5,0),1,0)*Table_NFI[[#This Row],[Plastic Bucket]],Table_NFI[Plastic Bucket])</f>
        <v>0</v>
      </c>
      <c r="AH1198" s="294">
        <f>IF(NFI_Expiration=1,IF($A1198&lt;VLOOKUP(Q$5,NFI,5,0),1,0)*Table_NFI[[#This Row],[Plastic Mat]],Table_NFI[Plastic Mat])*IF(Table_NFI[[#This Row],[Distribution Date]]&gt;"2014-04-01",1,2.5)</f>
        <v>0</v>
      </c>
      <c r="AI1198" s="294">
        <f>IF(NFI_Expiration=1,IF($A1198&lt;VLOOKUP(R$5,NFI,5,0),1,0)*Table_NFI[[#This Row],[Winter Clothes Adult]],Table_NFI[Winter Clothes Adult])</f>
        <v>0</v>
      </c>
      <c r="AJ1198" s="294">
        <f>IF(NFI_Expiration=1,IF($A1198&lt;VLOOKUP(S$5,NFI,5,0),1,0)*Table_NFI[[#This Row],[Winter Clothes Children]],Table_NFI[Winter Clothes Children])</f>
        <v>0</v>
      </c>
      <c r="AK1198" s="294">
        <f>IF(NFI_Expiration=1,IF($A1198&lt;VLOOKUP(T$5,NFI,5,0),1,0)*Table_NFI[[#This Row],[Winter Items Other]],Table_NFI[Winter Items Other])</f>
        <v>0</v>
      </c>
      <c r="AL1198" s="294">
        <f>IF(NFI_Expiration=1,IF($A1198&lt;VLOOKUP(M$5,NFI,5,0),1,0)*Table_NFI[[#This Row],[Winter Blanket]],Table_NFI[[#This Row],[Winter Blanket]])</f>
        <v>0</v>
      </c>
      <c r="AM1198" s="294">
        <f>IF(Table_NFI[[#This Row],[Winter Clothes Adult]]+Table_NFI[[#This Row],[Winter Clothes Children]]+Table_NFI[[#This Row],[Winter Items Other]]+Table_NFI[[#This Row],[Winter Blanket]]&gt;0,1,0)</f>
        <v>0</v>
      </c>
      <c r="AN1198" s="331">
        <f>IF(NFI_Expiration=1,IF($A1198&lt;VLOOKUP(V$5,NFI,5,0),1,0)*Table_NFI[[#This Row],[Jerry Can]],Table_NFI[Jerry Can])</f>
        <v>0</v>
      </c>
      <c r="AO1198" s="331">
        <f>IF(NFI_Expiration=1,IF($A1198&lt;VLOOKUP(V$5,NFI,5,0),1,0)*Table_NFI[[#This Row],[Shelter Tool kit]],Table_NFI[Shelter Tool kit])</f>
        <v>0</v>
      </c>
      <c r="AP1198" s="331">
        <f>IF(NFI_Expiration=1,IF($A1198&lt;VLOOKUP(V$5,NFI,5,0),1,0)*Table_NFI[[#This Row],[Tent]],Table_NFI[Tent])</f>
        <v>0</v>
      </c>
      <c r="AQ1198" s="467" t="str">
        <f>IFERROR(VLOOKUP(Table_NFI[[#This Row],[Camp Name]],CL,2,0),"")</f>
        <v/>
      </c>
      <c r="AR1198" s="835" t="str">
        <f ca="1">IF(Table_NFI[[#This Row],[Pcode]]="","",IF(OFFSET(CampList[Opening Date],MATCH(Table_NFI[[#This Row],[Pcode]],CampList[CP_Pcode],0)-1,0,1,1)&gt;=NFI_Monitor_Date,1,0))</f>
        <v/>
      </c>
      <c r="AS1198" s="467" t="str">
        <f>IFERROR(VLOOKUP(Table_NFI[[#This Row],[Camp Name]],CL,3,0),"")</f>
        <v/>
      </c>
      <c r="AT1198" s="294" t="str">
        <f ca="1">IF(Table_NFI[[#This Row],[Pcode]]="","",OFFSET(CampList[Priority],MATCH(Table_NFI[[#This Row],[Pcode]],CampList[CP_Pcode],0)-1,0,1,1))</f>
        <v/>
      </c>
      <c r="AU1198" s="293" t="str">
        <f>IFERROR(Table_NFI[[#This Row],[Kitchen Set]]/VLOOKUP(Table_NFI[[#This Row],[Camp Name]],CL,4,0),"")</f>
        <v/>
      </c>
      <c r="AV1198" s="461"/>
      <c r="AW1198" s="463"/>
    </row>
    <row r="1199" spans="1:49" ht="14.45" customHeight="1" x14ac:dyDescent="0.25">
      <c r="A1199" s="297" t="str">
        <f t="shared" si="18"/>
        <v/>
      </c>
      <c r="B1199" s="460"/>
      <c r="C1199" s="465"/>
      <c r="D1199" s="465"/>
      <c r="E1199" s="465"/>
      <c r="F1199" s="465"/>
      <c r="G1199" s="465"/>
      <c r="H1199" s="292"/>
      <c r="I1199" s="292"/>
      <c r="J1199" s="292"/>
      <c r="K1199" s="292"/>
      <c r="L1199" s="292"/>
      <c r="M1199" s="292"/>
      <c r="N1199" s="292"/>
      <c r="O1199" s="292"/>
      <c r="P1199" s="294"/>
      <c r="Q1199" s="294"/>
      <c r="R1199" s="294"/>
      <c r="S1199" s="294"/>
      <c r="T1199" s="294"/>
      <c r="U1199" s="294"/>
      <c r="V1199" s="431"/>
      <c r="W1199" s="331"/>
      <c r="X1199" s="331"/>
      <c r="Y1199" s="294">
        <f>IF(NFI_Expiration=1,IF($A1199&lt;VLOOKUP(H$5,NFI,5,0),1,0)*Table_NFI[[#This Row],[Hygiene Kit]],Table_NFI[Hygiene Kit])</f>
        <v>0</v>
      </c>
      <c r="Z1199" s="294">
        <f>IF(NFI_Expiration=1,IF($A1199&lt;VLOOKUP(I$5,NFI,5,0),1,0)*Table_NFI[[#This Row],[NFI Core Kit]],Table_NFI[NFI Core Kit])</f>
        <v>0</v>
      </c>
      <c r="AA1199" s="294">
        <f>IF(NFI_Expiration=1,IF($A1199&lt;VLOOKUP(J$5,NFI,5,0),1,0)*Table_NFI[[#This Row],[Sanitary Kit]],Table_NFI[Sanitary Kit])</f>
        <v>0</v>
      </c>
      <c r="AB1199" s="294">
        <f>IF(NFI_Expiration=1,IF($A1199&lt;VLOOKUP(K$5,NFI,5,0),1,0)*Table_NFI[[#This Row],[Mosquito net]],Table_NFI[Mosquito net])</f>
        <v>0</v>
      </c>
      <c r="AC1199" s="294">
        <f>IF(NFI_Expiration=1,IF($A1199&lt;VLOOKUP(L$5,NFI,5,0),1,0)*Table_NFI[[#This Row],[Tarpaulin]],Table_NFI[[#This Row],[Tarpaulin]])</f>
        <v>0</v>
      </c>
      <c r="AD1199" s="294">
        <f>IF(NFI_Expiration=1,IF($A1199&lt;VLOOKUP(M$5,NFI,5,0),1,0)*Table_NFI[[#This Row],[Blanket]],Table_NFI[[#This Row],[Blanket]])</f>
        <v>0</v>
      </c>
      <c r="AE1199" s="294">
        <f>IF(NFI_Expiration=1,IF($A1199&lt;VLOOKUP(N$5,NFI,5,0),1,0)*Table_NFI[[#This Row],[Kitchen Set]],Table_NFI[Kitchen Set])</f>
        <v>0</v>
      </c>
      <c r="AF1199" s="294">
        <f>IF(NFI_Expiration=1,IF($A1199&lt;VLOOKUP(O$5,NFI,5,0),1,0)*Table_NFI[[#This Row],[Clothes Kit]],Table_NFI[Clothes Kit])</f>
        <v>0</v>
      </c>
      <c r="AG1199" s="294">
        <f>IF(NFI_Expiration=1,IF($A1199&lt;VLOOKUP(P$5,NFI,5,0),1,0)*Table_NFI[[#This Row],[Plastic Bucket]],Table_NFI[Plastic Bucket])</f>
        <v>0</v>
      </c>
      <c r="AH1199" s="294">
        <f>IF(NFI_Expiration=1,IF($A1199&lt;VLOOKUP(Q$5,NFI,5,0),1,0)*Table_NFI[[#This Row],[Plastic Mat]],Table_NFI[Plastic Mat])*IF(Table_NFI[[#This Row],[Distribution Date]]&gt;"2014-04-01",1,2.5)</f>
        <v>0</v>
      </c>
      <c r="AI1199" s="294">
        <f>IF(NFI_Expiration=1,IF($A1199&lt;VLOOKUP(R$5,NFI,5,0),1,0)*Table_NFI[[#This Row],[Winter Clothes Adult]],Table_NFI[Winter Clothes Adult])</f>
        <v>0</v>
      </c>
      <c r="AJ1199" s="294">
        <f>IF(NFI_Expiration=1,IF($A1199&lt;VLOOKUP(S$5,NFI,5,0),1,0)*Table_NFI[[#This Row],[Winter Clothes Children]],Table_NFI[Winter Clothes Children])</f>
        <v>0</v>
      </c>
      <c r="AK1199" s="294">
        <f>IF(NFI_Expiration=1,IF($A1199&lt;VLOOKUP(T$5,NFI,5,0),1,0)*Table_NFI[[#This Row],[Winter Items Other]],Table_NFI[Winter Items Other])</f>
        <v>0</v>
      </c>
      <c r="AL1199" s="294">
        <f>IF(NFI_Expiration=1,IF($A1199&lt;VLOOKUP(M$5,NFI,5,0),1,0)*Table_NFI[[#This Row],[Winter Blanket]],Table_NFI[[#This Row],[Winter Blanket]])</f>
        <v>0</v>
      </c>
      <c r="AM1199" s="294">
        <f>IF(Table_NFI[[#This Row],[Winter Clothes Adult]]+Table_NFI[[#This Row],[Winter Clothes Children]]+Table_NFI[[#This Row],[Winter Items Other]]+Table_NFI[[#This Row],[Winter Blanket]]&gt;0,1,0)</f>
        <v>0</v>
      </c>
      <c r="AN1199" s="331">
        <f>IF(NFI_Expiration=1,IF($A1199&lt;VLOOKUP(V$5,NFI,5,0),1,0)*Table_NFI[[#This Row],[Jerry Can]],Table_NFI[Jerry Can])</f>
        <v>0</v>
      </c>
      <c r="AO1199" s="331">
        <f>IF(NFI_Expiration=1,IF($A1199&lt;VLOOKUP(V$5,NFI,5,0),1,0)*Table_NFI[[#This Row],[Shelter Tool kit]],Table_NFI[Shelter Tool kit])</f>
        <v>0</v>
      </c>
      <c r="AP1199" s="331">
        <f>IF(NFI_Expiration=1,IF($A1199&lt;VLOOKUP(V$5,NFI,5,0),1,0)*Table_NFI[[#This Row],[Tent]],Table_NFI[Tent])</f>
        <v>0</v>
      </c>
      <c r="AQ1199" s="467" t="str">
        <f>IFERROR(VLOOKUP(Table_NFI[[#This Row],[Camp Name]],CL,2,0),"")</f>
        <v/>
      </c>
      <c r="AR1199" s="835" t="str">
        <f ca="1">IF(Table_NFI[[#This Row],[Pcode]]="","",IF(OFFSET(CampList[Opening Date],MATCH(Table_NFI[[#This Row],[Pcode]],CampList[CP_Pcode],0)-1,0,1,1)&gt;=NFI_Monitor_Date,1,0))</f>
        <v/>
      </c>
      <c r="AS1199" s="467" t="str">
        <f>IFERROR(VLOOKUP(Table_NFI[[#This Row],[Camp Name]],CL,3,0),"")</f>
        <v/>
      </c>
      <c r="AT1199" s="294" t="str">
        <f ca="1">IF(Table_NFI[[#This Row],[Pcode]]="","",OFFSET(CampList[Priority],MATCH(Table_NFI[[#This Row],[Pcode]],CampList[CP_Pcode],0)-1,0,1,1))</f>
        <v/>
      </c>
      <c r="AU1199" s="293" t="str">
        <f>IFERROR(Table_NFI[[#This Row],[Kitchen Set]]/VLOOKUP(Table_NFI[[#This Row],[Camp Name]],CL,4,0),"")</f>
        <v/>
      </c>
      <c r="AV1199" s="465"/>
      <c r="AW1199" s="468"/>
    </row>
    <row r="1200" spans="1:49" ht="14.45" customHeight="1" x14ac:dyDescent="0.25">
      <c r="A1200" s="297" t="str">
        <f t="shared" si="18"/>
        <v/>
      </c>
      <c r="B1200" s="460"/>
      <c r="C1200" s="465"/>
      <c r="D1200" s="465"/>
      <c r="E1200" s="465"/>
      <c r="F1200" s="465"/>
      <c r="G1200" s="465"/>
      <c r="H1200" s="292"/>
      <c r="I1200" s="292"/>
      <c r="J1200" s="292"/>
      <c r="K1200" s="292"/>
      <c r="L1200" s="292"/>
      <c r="M1200" s="292"/>
      <c r="N1200" s="292"/>
      <c r="O1200" s="292"/>
      <c r="P1200" s="294"/>
      <c r="Q1200" s="294"/>
      <c r="R1200" s="294"/>
      <c r="S1200" s="294"/>
      <c r="T1200" s="294"/>
      <c r="U1200" s="294"/>
      <c r="V1200" s="431"/>
      <c r="W1200" s="331"/>
      <c r="X1200" s="331"/>
      <c r="Y1200" s="294">
        <f>IF(NFI_Expiration=1,IF($A1200&lt;VLOOKUP(H$5,NFI,5,0),1,0)*Table_NFI[[#This Row],[Hygiene Kit]],Table_NFI[Hygiene Kit])</f>
        <v>0</v>
      </c>
      <c r="Z1200" s="294">
        <f>IF(NFI_Expiration=1,IF($A1200&lt;VLOOKUP(I$5,NFI,5,0),1,0)*Table_NFI[[#This Row],[NFI Core Kit]],Table_NFI[NFI Core Kit])</f>
        <v>0</v>
      </c>
      <c r="AA1200" s="294">
        <f>IF(NFI_Expiration=1,IF($A1200&lt;VLOOKUP(J$5,NFI,5,0),1,0)*Table_NFI[[#This Row],[Sanitary Kit]],Table_NFI[Sanitary Kit])</f>
        <v>0</v>
      </c>
      <c r="AB1200" s="294">
        <f>IF(NFI_Expiration=1,IF($A1200&lt;VLOOKUP(K$5,NFI,5,0),1,0)*Table_NFI[[#This Row],[Mosquito net]],Table_NFI[Mosquito net])</f>
        <v>0</v>
      </c>
      <c r="AC1200" s="294">
        <f>IF(NFI_Expiration=1,IF($A1200&lt;VLOOKUP(L$5,NFI,5,0),1,0)*Table_NFI[[#This Row],[Tarpaulin]],Table_NFI[[#This Row],[Tarpaulin]])</f>
        <v>0</v>
      </c>
      <c r="AD1200" s="294">
        <f>IF(NFI_Expiration=1,IF($A1200&lt;VLOOKUP(M$5,NFI,5,0),1,0)*Table_NFI[[#This Row],[Blanket]],Table_NFI[[#This Row],[Blanket]])</f>
        <v>0</v>
      </c>
      <c r="AE1200" s="294">
        <f>IF(NFI_Expiration=1,IF($A1200&lt;VLOOKUP(N$5,NFI,5,0),1,0)*Table_NFI[[#This Row],[Kitchen Set]],Table_NFI[Kitchen Set])</f>
        <v>0</v>
      </c>
      <c r="AF1200" s="294">
        <f>IF(NFI_Expiration=1,IF($A1200&lt;VLOOKUP(O$5,NFI,5,0),1,0)*Table_NFI[[#This Row],[Clothes Kit]],Table_NFI[Clothes Kit])</f>
        <v>0</v>
      </c>
      <c r="AG1200" s="294">
        <f>IF(NFI_Expiration=1,IF($A1200&lt;VLOOKUP(P$5,NFI,5,0),1,0)*Table_NFI[[#This Row],[Plastic Bucket]],Table_NFI[Plastic Bucket])</f>
        <v>0</v>
      </c>
      <c r="AH1200" s="294">
        <f>IF(NFI_Expiration=1,IF($A1200&lt;VLOOKUP(Q$5,NFI,5,0),1,0)*Table_NFI[[#This Row],[Plastic Mat]],Table_NFI[Plastic Mat])*IF(Table_NFI[[#This Row],[Distribution Date]]&gt;"2014-04-01",1,2.5)</f>
        <v>0</v>
      </c>
      <c r="AI1200" s="294">
        <f>IF(NFI_Expiration=1,IF($A1200&lt;VLOOKUP(R$5,NFI,5,0),1,0)*Table_NFI[[#This Row],[Winter Clothes Adult]],Table_NFI[Winter Clothes Adult])</f>
        <v>0</v>
      </c>
      <c r="AJ1200" s="294">
        <f>IF(NFI_Expiration=1,IF($A1200&lt;VLOOKUP(S$5,NFI,5,0),1,0)*Table_NFI[[#This Row],[Winter Clothes Children]],Table_NFI[Winter Clothes Children])</f>
        <v>0</v>
      </c>
      <c r="AK1200" s="294">
        <f>IF(NFI_Expiration=1,IF($A1200&lt;VLOOKUP(T$5,NFI,5,0),1,0)*Table_NFI[[#This Row],[Winter Items Other]],Table_NFI[Winter Items Other])</f>
        <v>0</v>
      </c>
      <c r="AL1200" s="294">
        <f>IF(NFI_Expiration=1,IF($A1200&lt;VLOOKUP(M$5,NFI,5,0),1,0)*Table_NFI[[#This Row],[Winter Blanket]],Table_NFI[[#This Row],[Winter Blanket]])</f>
        <v>0</v>
      </c>
      <c r="AM1200" s="294">
        <f>IF(Table_NFI[[#This Row],[Winter Clothes Adult]]+Table_NFI[[#This Row],[Winter Clothes Children]]+Table_NFI[[#This Row],[Winter Items Other]]+Table_NFI[[#This Row],[Winter Blanket]]&gt;0,1,0)</f>
        <v>0</v>
      </c>
      <c r="AN1200" s="331">
        <f>IF(NFI_Expiration=1,IF($A1200&lt;VLOOKUP(V$5,NFI,5,0),1,0)*Table_NFI[[#This Row],[Jerry Can]],Table_NFI[Jerry Can])</f>
        <v>0</v>
      </c>
      <c r="AO1200" s="331">
        <f>IF(NFI_Expiration=1,IF($A1200&lt;VLOOKUP(V$5,NFI,5,0),1,0)*Table_NFI[[#This Row],[Shelter Tool kit]],Table_NFI[Shelter Tool kit])</f>
        <v>0</v>
      </c>
      <c r="AP1200" s="331">
        <f>IF(NFI_Expiration=1,IF($A1200&lt;VLOOKUP(V$5,NFI,5,0),1,0)*Table_NFI[[#This Row],[Tent]],Table_NFI[Tent])</f>
        <v>0</v>
      </c>
      <c r="AQ1200" s="467" t="str">
        <f>IFERROR(VLOOKUP(Table_NFI[[#This Row],[Camp Name]],CL,2,0),"")</f>
        <v/>
      </c>
      <c r="AR1200" s="835" t="str">
        <f ca="1">IF(Table_NFI[[#This Row],[Pcode]]="","",IF(OFFSET(CampList[Opening Date],MATCH(Table_NFI[[#This Row],[Pcode]],CampList[CP_Pcode],0)-1,0,1,1)&gt;=NFI_Monitor_Date,1,0))</f>
        <v/>
      </c>
      <c r="AS1200" s="467" t="str">
        <f>IFERROR(VLOOKUP(Table_NFI[[#This Row],[Camp Name]],CL,3,0),"")</f>
        <v/>
      </c>
      <c r="AT1200" s="294" t="str">
        <f ca="1">IF(Table_NFI[[#This Row],[Pcode]]="","",OFFSET(CampList[Priority],MATCH(Table_NFI[[#This Row],[Pcode]],CampList[CP_Pcode],0)-1,0,1,1))</f>
        <v/>
      </c>
      <c r="AU1200" s="293" t="str">
        <f>IFERROR(Table_NFI[[#This Row],[Kitchen Set]]/VLOOKUP(Table_NFI[[#This Row],[Camp Name]],CL,4,0),"")</f>
        <v/>
      </c>
      <c r="AV1200" s="461"/>
      <c r="AW1200" s="468"/>
    </row>
    <row r="1201" spans="1:49" ht="14.45" customHeight="1" x14ac:dyDescent="0.25">
      <c r="A1201" s="297" t="str">
        <f t="shared" si="18"/>
        <v/>
      </c>
      <c r="B1201" s="460"/>
      <c r="C1201" s="465"/>
      <c r="D1201" s="465"/>
      <c r="E1201" s="465"/>
      <c r="F1201" s="465"/>
      <c r="G1201" s="465"/>
      <c r="H1201" s="292"/>
      <c r="I1201" s="292"/>
      <c r="J1201" s="292"/>
      <c r="K1201" s="292"/>
      <c r="L1201" s="292"/>
      <c r="M1201" s="292"/>
      <c r="N1201" s="292"/>
      <c r="O1201" s="292"/>
      <c r="P1201" s="294"/>
      <c r="Q1201" s="294"/>
      <c r="R1201" s="294"/>
      <c r="S1201" s="294"/>
      <c r="T1201" s="294"/>
      <c r="U1201" s="294"/>
      <c r="V1201" s="431"/>
      <c r="W1201" s="331"/>
      <c r="X1201" s="331"/>
      <c r="Y1201" s="294">
        <f>IF(NFI_Expiration=1,IF($A1201&lt;VLOOKUP(H$5,NFI,5,0),1,0)*Table_NFI[[#This Row],[Hygiene Kit]],Table_NFI[Hygiene Kit])</f>
        <v>0</v>
      </c>
      <c r="Z1201" s="294">
        <f>IF(NFI_Expiration=1,IF($A1201&lt;VLOOKUP(I$5,NFI,5,0),1,0)*Table_NFI[[#This Row],[NFI Core Kit]],Table_NFI[NFI Core Kit])</f>
        <v>0</v>
      </c>
      <c r="AA1201" s="294">
        <f>IF(NFI_Expiration=1,IF($A1201&lt;VLOOKUP(J$5,NFI,5,0),1,0)*Table_NFI[[#This Row],[Sanitary Kit]],Table_NFI[Sanitary Kit])</f>
        <v>0</v>
      </c>
      <c r="AB1201" s="294">
        <f>IF(NFI_Expiration=1,IF($A1201&lt;VLOOKUP(K$5,NFI,5,0),1,0)*Table_NFI[[#This Row],[Mosquito net]],Table_NFI[Mosquito net])</f>
        <v>0</v>
      </c>
      <c r="AC1201" s="294">
        <f>IF(NFI_Expiration=1,IF($A1201&lt;VLOOKUP(L$5,NFI,5,0),1,0)*Table_NFI[[#This Row],[Tarpaulin]],Table_NFI[[#This Row],[Tarpaulin]])</f>
        <v>0</v>
      </c>
      <c r="AD1201" s="294">
        <f>IF(NFI_Expiration=1,IF($A1201&lt;VLOOKUP(M$5,NFI,5,0),1,0)*Table_NFI[[#This Row],[Blanket]],Table_NFI[[#This Row],[Blanket]])</f>
        <v>0</v>
      </c>
      <c r="AE1201" s="294">
        <f>IF(NFI_Expiration=1,IF($A1201&lt;VLOOKUP(N$5,NFI,5,0),1,0)*Table_NFI[[#This Row],[Kitchen Set]],Table_NFI[Kitchen Set])</f>
        <v>0</v>
      </c>
      <c r="AF1201" s="294">
        <f>IF(NFI_Expiration=1,IF($A1201&lt;VLOOKUP(O$5,NFI,5,0),1,0)*Table_NFI[[#This Row],[Clothes Kit]],Table_NFI[Clothes Kit])</f>
        <v>0</v>
      </c>
      <c r="AG1201" s="294">
        <f>IF(NFI_Expiration=1,IF($A1201&lt;VLOOKUP(P$5,NFI,5,0),1,0)*Table_NFI[[#This Row],[Plastic Bucket]],Table_NFI[Plastic Bucket])</f>
        <v>0</v>
      </c>
      <c r="AH1201" s="294">
        <f>IF(NFI_Expiration=1,IF($A1201&lt;VLOOKUP(Q$5,NFI,5,0),1,0)*Table_NFI[[#This Row],[Plastic Mat]],Table_NFI[Plastic Mat])*IF(Table_NFI[[#This Row],[Distribution Date]]&gt;"2014-04-01",1,2.5)</f>
        <v>0</v>
      </c>
      <c r="AI1201" s="294">
        <f>IF(NFI_Expiration=1,IF($A1201&lt;VLOOKUP(R$5,NFI,5,0),1,0)*Table_NFI[[#This Row],[Winter Clothes Adult]],Table_NFI[Winter Clothes Adult])</f>
        <v>0</v>
      </c>
      <c r="AJ1201" s="294">
        <f>IF(NFI_Expiration=1,IF($A1201&lt;VLOOKUP(S$5,NFI,5,0),1,0)*Table_NFI[[#This Row],[Winter Clothes Children]],Table_NFI[Winter Clothes Children])</f>
        <v>0</v>
      </c>
      <c r="AK1201" s="294">
        <f>IF(NFI_Expiration=1,IF($A1201&lt;VLOOKUP(T$5,NFI,5,0),1,0)*Table_NFI[[#This Row],[Winter Items Other]],Table_NFI[Winter Items Other])</f>
        <v>0</v>
      </c>
      <c r="AL1201" s="294">
        <f>IF(NFI_Expiration=1,IF($A1201&lt;VLOOKUP(M$5,NFI,5,0),1,0)*Table_NFI[[#This Row],[Winter Blanket]],Table_NFI[[#This Row],[Winter Blanket]])</f>
        <v>0</v>
      </c>
      <c r="AM1201" s="294">
        <f>IF(Table_NFI[[#This Row],[Winter Clothes Adult]]+Table_NFI[[#This Row],[Winter Clothes Children]]+Table_NFI[[#This Row],[Winter Items Other]]+Table_NFI[[#This Row],[Winter Blanket]]&gt;0,1,0)</f>
        <v>0</v>
      </c>
      <c r="AN1201" s="331">
        <f>IF(NFI_Expiration=1,IF($A1201&lt;VLOOKUP(V$5,NFI,5,0),1,0)*Table_NFI[[#This Row],[Jerry Can]],Table_NFI[Jerry Can])</f>
        <v>0</v>
      </c>
      <c r="AO1201" s="331">
        <f>IF(NFI_Expiration=1,IF($A1201&lt;VLOOKUP(V$5,NFI,5,0),1,0)*Table_NFI[[#This Row],[Shelter Tool kit]],Table_NFI[Shelter Tool kit])</f>
        <v>0</v>
      </c>
      <c r="AP1201" s="331">
        <f>IF(NFI_Expiration=1,IF($A1201&lt;VLOOKUP(V$5,NFI,5,0),1,0)*Table_NFI[[#This Row],[Tent]],Table_NFI[Tent])</f>
        <v>0</v>
      </c>
      <c r="AQ1201" s="467" t="str">
        <f>IFERROR(VLOOKUP(Table_NFI[[#This Row],[Camp Name]],CL,2,0),"")</f>
        <v/>
      </c>
      <c r="AR1201" s="835" t="str">
        <f ca="1">IF(Table_NFI[[#This Row],[Pcode]]="","",IF(OFFSET(CampList[Opening Date],MATCH(Table_NFI[[#This Row],[Pcode]],CampList[CP_Pcode],0)-1,0,1,1)&gt;=NFI_Monitor_Date,1,0))</f>
        <v/>
      </c>
      <c r="AS1201" s="467" t="str">
        <f>IFERROR(VLOOKUP(Table_NFI[[#This Row],[Camp Name]],CL,3,0),"")</f>
        <v/>
      </c>
      <c r="AT1201" s="294" t="str">
        <f ca="1">IF(Table_NFI[[#This Row],[Pcode]]="","",OFFSET(CampList[Priority],MATCH(Table_NFI[[#This Row],[Pcode]],CampList[CP_Pcode],0)-1,0,1,1))</f>
        <v/>
      </c>
      <c r="AU1201" s="293" t="str">
        <f>IFERROR(Table_NFI[[#This Row],[Kitchen Set]]/VLOOKUP(Table_NFI[[#This Row],[Camp Name]],CL,4,0),"")</f>
        <v/>
      </c>
      <c r="AV1201" s="461"/>
      <c r="AW1201" s="463"/>
    </row>
    <row r="1202" spans="1:49" ht="14.45" customHeight="1" x14ac:dyDescent="0.25">
      <c r="A1202" s="297" t="str">
        <f t="shared" si="18"/>
        <v/>
      </c>
      <c r="B1202" s="460"/>
      <c r="C1202" s="465"/>
      <c r="D1202" s="465"/>
      <c r="E1202" s="465"/>
      <c r="F1202" s="465"/>
      <c r="G1202" s="465"/>
      <c r="H1202" s="292"/>
      <c r="I1202" s="292"/>
      <c r="J1202" s="292"/>
      <c r="K1202" s="292"/>
      <c r="L1202" s="292"/>
      <c r="M1202" s="292"/>
      <c r="N1202" s="292"/>
      <c r="O1202" s="292"/>
      <c r="P1202" s="294"/>
      <c r="Q1202" s="294"/>
      <c r="R1202" s="294"/>
      <c r="S1202" s="294"/>
      <c r="T1202" s="294"/>
      <c r="U1202" s="294"/>
      <c r="V1202" s="431"/>
      <c r="W1202" s="331"/>
      <c r="X1202" s="331"/>
      <c r="Y1202" s="294">
        <f>IF(NFI_Expiration=1,IF($A1202&lt;VLOOKUP(H$5,NFI,5,0),1,0)*Table_NFI[[#This Row],[Hygiene Kit]],Table_NFI[Hygiene Kit])</f>
        <v>0</v>
      </c>
      <c r="Z1202" s="294">
        <f>IF(NFI_Expiration=1,IF($A1202&lt;VLOOKUP(I$5,NFI,5,0),1,0)*Table_NFI[[#This Row],[NFI Core Kit]],Table_NFI[NFI Core Kit])</f>
        <v>0</v>
      </c>
      <c r="AA1202" s="294">
        <f>IF(NFI_Expiration=1,IF($A1202&lt;VLOOKUP(J$5,NFI,5,0),1,0)*Table_NFI[[#This Row],[Sanitary Kit]],Table_NFI[Sanitary Kit])</f>
        <v>0</v>
      </c>
      <c r="AB1202" s="294">
        <f>IF(NFI_Expiration=1,IF($A1202&lt;VLOOKUP(K$5,NFI,5,0),1,0)*Table_NFI[[#This Row],[Mosquito net]],Table_NFI[Mosquito net])</f>
        <v>0</v>
      </c>
      <c r="AC1202" s="294">
        <f>IF(NFI_Expiration=1,IF($A1202&lt;VLOOKUP(L$5,NFI,5,0),1,0)*Table_NFI[[#This Row],[Tarpaulin]],Table_NFI[[#This Row],[Tarpaulin]])</f>
        <v>0</v>
      </c>
      <c r="AD1202" s="294">
        <f>IF(NFI_Expiration=1,IF($A1202&lt;VLOOKUP(M$5,NFI,5,0),1,0)*Table_NFI[[#This Row],[Blanket]],Table_NFI[[#This Row],[Blanket]])</f>
        <v>0</v>
      </c>
      <c r="AE1202" s="294">
        <f>IF(NFI_Expiration=1,IF($A1202&lt;VLOOKUP(N$5,NFI,5,0),1,0)*Table_NFI[[#This Row],[Kitchen Set]],Table_NFI[Kitchen Set])</f>
        <v>0</v>
      </c>
      <c r="AF1202" s="294">
        <f>IF(NFI_Expiration=1,IF($A1202&lt;VLOOKUP(O$5,NFI,5,0),1,0)*Table_NFI[[#This Row],[Clothes Kit]],Table_NFI[Clothes Kit])</f>
        <v>0</v>
      </c>
      <c r="AG1202" s="294">
        <f>IF(NFI_Expiration=1,IF($A1202&lt;VLOOKUP(P$5,NFI,5,0),1,0)*Table_NFI[[#This Row],[Plastic Bucket]],Table_NFI[Plastic Bucket])</f>
        <v>0</v>
      </c>
      <c r="AH1202" s="294">
        <f>IF(NFI_Expiration=1,IF($A1202&lt;VLOOKUP(Q$5,NFI,5,0),1,0)*Table_NFI[[#This Row],[Plastic Mat]],Table_NFI[Plastic Mat])*IF(Table_NFI[[#This Row],[Distribution Date]]&gt;"2014-04-01",1,2.5)</f>
        <v>0</v>
      </c>
      <c r="AI1202" s="294">
        <f>IF(NFI_Expiration=1,IF($A1202&lt;VLOOKUP(R$5,NFI,5,0),1,0)*Table_NFI[[#This Row],[Winter Clothes Adult]],Table_NFI[Winter Clothes Adult])</f>
        <v>0</v>
      </c>
      <c r="AJ1202" s="294">
        <f>IF(NFI_Expiration=1,IF($A1202&lt;VLOOKUP(S$5,NFI,5,0),1,0)*Table_NFI[[#This Row],[Winter Clothes Children]],Table_NFI[Winter Clothes Children])</f>
        <v>0</v>
      </c>
      <c r="AK1202" s="294">
        <f>IF(NFI_Expiration=1,IF($A1202&lt;VLOOKUP(T$5,NFI,5,0),1,0)*Table_NFI[[#This Row],[Winter Items Other]],Table_NFI[Winter Items Other])</f>
        <v>0</v>
      </c>
      <c r="AL1202" s="294">
        <f>IF(NFI_Expiration=1,IF($A1202&lt;VLOOKUP(M$5,NFI,5,0),1,0)*Table_NFI[[#This Row],[Winter Blanket]],Table_NFI[[#This Row],[Winter Blanket]])</f>
        <v>0</v>
      </c>
      <c r="AM1202" s="294">
        <f>IF(Table_NFI[[#This Row],[Winter Clothes Adult]]+Table_NFI[[#This Row],[Winter Clothes Children]]+Table_NFI[[#This Row],[Winter Items Other]]+Table_NFI[[#This Row],[Winter Blanket]]&gt;0,1,0)</f>
        <v>0</v>
      </c>
      <c r="AN1202" s="331">
        <f>IF(NFI_Expiration=1,IF($A1202&lt;VLOOKUP(V$5,NFI,5,0),1,0)*Table_NFI[[#This Row],[Jerry Can]],Table_NFI[Jerry Can])</f>
        <v>0</v>
      </c>
      <c r="AO1202" s="331">
        <f>IF(NFI_Expiration=1,IF($A1202&lt;VLOOKUP(V$5,NFI,5,0),1,0)*Table_NFI[[#This Row],[Shelter Tool kit]],Table_NFI[Shelter Tool kit])</f>
        <v>0</v>
      </c>
      <c r="AP1202" s="331">
        <f>IF(NFI_Expiration=1,IF($A1202&lt;VLOOKUP(V$5,NFI,5,0),1,0)*Table_NFI[[#This Row],[Tent]],Table_NFI[Tent])</f>
        <v>0</v>
      </c>
      <c r="AQ1202" s="467" t="str">
        <f>IFERROR(VLOOKUP(Table_NFI[[#This Row],[Camp Name]],CL,2,0),"")</f>
        <v/>
      </c>
      <c r="AR1202" s="835" t="str">
        <f ca="1">IF(Table_NFI[[#This Row],[Pcode]]="","",IF(OFFSET(CampList[Opening Date],MATCH(Table_NFI[[#This Row],[Pcode]],CampList[CP_Pcode],0)-1,0,1,1)&gt;=NFI_Monitor_Date,1,0))</f>
        <v/>
      </c>
      <c r="AS1202" s="467" t="str">
        <f>IFERROR(VLOOKUP(Table_NFI[[#This Row],[Camp Name]],CL,3,0),"")</f>
        <v/>
      </c>
      <c r="AT1202" s="294" t="str">
        <f ca="1">IF(Table_NFI[[#This Row],[Pcode]]="","",OFFSET(CampList[Priority],MATCH(Table_NFI[[#This Row],[Pcode]],CampList[CP_Pcode],0)-1,0,1,1))</f>
        <v/>
      </c>
      <c r="AU1202" s="293" t="str">
        <f>IFERROR(Table_NFI[[#This Row],[Kitchen Set]]/VLOOKUP(Table_NFI[[#This Row],[Camp Name]],CL,4,0),"")</f>
        <v/>
      </c>
      <c r="AV1202" s="461"/>
      <c r="AW1202" s="463"/>
    </row>
    <row r="1203" spans="1:49" ht="14.45" customHeight="1" x14ac:dyDescent="0.25">
      <c r="A1203" s="297" t="str">
        <f t="shared" si="18"/>
        <v/>
      </c>
      <c r="B1203" s="460"/>
      <c r="C1203" s="465"/>
      <c r="D1203" s="465"/>
      <c r="E1203" s="465"/>
      <c r="F1203" s="465"/>
      <c r="G1203" s="465"/>
      <c r="H1203" s="292"/>
      <c r="I1203" s="292"/>
      <c r="J1203" s="292"/>
      <c r="K1203" s="292"/>
      <c r="L1203" s="292"/>
      <c r="M1203" s="292"/>
      <c r="N1203" s="292"/>
      <c r="O1203" s="292"/>
      <c r="P1203" s="294"/>
      <c r="Q1203" s="294"/>
      <c r="R1203" s="294"/>
      <c r="S1203" s="294"/>
      <c r="T1203" s="294"/>
      <c r="U1203" s="294"/>
      <c r="V1203" s="431"/>
      <c r="W1203" s="331"/>
      <c r="X1203" s="331"/>
      <c r="Y1203" s="294">
        <f>IF(NFI_Expiration=1,IF($A1203&lt;VLOOKUP(H$5,NFI,5,0),1,0)*Table_NFI[[#This Row],[Hygiene Kit]],Table_NFI[Hygiene Kit])</f>
        <v>0</v>
      </c>
      <c r="Z1203" s="294">
        <f>IF(NFI_Expiration=1,IF($A1203&lt;VLOOKUP(I$5,NFI,5,0),1,0)*Table_NFI[[#This Row],[NFI Core Kit]],Table_NFI[NFI Core Kit])</f>
        <v>0</v>
      </c>
      <c r="AA1203" s="294">
        <f>IF(NFI_Expiration=1,IF($A1203&lt;VLOOKUP(J$5,NFI,5,0),1,0)*Table_NFI[[#This Row],[Sanitary Kit]],Table_NFI[Sanitary Kit])</f>
        <v>0</v>
      </c>
      <c r="AB1203" s="294">
        <f>IF(NFI_Expiration=1,IF($A1203&lt;VLOOKUP(K$5,NFI,5,0),1,0)*Table_NFI[[#This Row],[Mosquito net]],Table_NFI[Mosquito net])</f>
        <v>0</v>
      </c>
      <c r="AC1203" s="294">
        <f>IF(NFI_Expiration=1,IF($A1203&lt;VLOOKUP(L$5,NFI,5,0),1,0)*Table_NFI[[#This Row],[Tarpaulin]],Table_NFI[[#This Row],[Tarpaulin]])</f>
        <v>0</v>
      </c>
      <c r="AD1203" s="294">
        <f>IF(NFI_Expiration=1,IF($A1203&lt;VLOOKUP(M$5,NFI,5,0),1,0)*Table_NFI[[#This Row],[Blanket]],Table_NFI[[#This Row],[Blanket]])</f>
        <v>0</v>
      </c>
      <c r="AE1203" s="294">
        <f>IF(NFI_Expiration=1,IF($A1203&lt;VLOOKUP(N$5,NFI,5,0),1,0)*Table_NFI[[#This Row],[Kitchen Set]],Table_NFI[Kitchen Set])</f>
        <v>0</v>
      </c>
      <c r="AF1203" s="294">
        <f>IF(NFI_Expiration=1,IF($A1203&lt;VLOOKUP(O$5,NFI,5,0),1,0)*Table_NFI[[#This Row],[Clothes Kit]],Table_NFI[Clothes Kit])</f>
        <v>0</v>
      </c>
      <c r="AG1203" s="294">
        <f>IF(NFI_Expiration=1,IF($A1203&lt;VLOOKUP(P$5,NFI,5,0),1,0)*Table_NFI[[#This Row],[Plastic Bucket]],Table_NFI[Plastic Bucket])</f>
        <v>0</v>
      </c>
      <c r="AH1203" s="294">
        <f>IF(NFI_Expiration=1,IF($A1203&lt;VLOOKUP(Q$5,NFI,5,0),1,0)*Table_NFI[[#This Row],[Plastic Mat]],Table_NFI[Plastic Mat])*IF(Table_NFI[[#This Row],[Distribution Date]]&gt;"2014-04-01",1,2.5)</f>
        <v>0</v>
      </c>
      <c r="AI1203" s="294">
        <f>IF(NFI_Expiration=1,IF($A1203&lt;VLOOKUP(R$5,NFI,5,0),1,0)*Table_NFI[[#This Row],[Winter Clothes Adult]],Table_NFI[Winter Clothes Adult])</f>
        <v>0</v>
      </c>
      <c r="AJ1203" s="294">
        <f>IF(NFI_Expiration=1,IF($A1203&lt;VLOOKUP(S$5,NFI,5,0),1,0)*Table_NFI[[#This Row],[Winter Clothes Children]],Table_NFI[Winter Clothes Children])</f>
        <v>0</v>
      </c>
      <c r="AK1203" s="294">
        <f>IF(NFI_Expiration=1,IF($A1203&lt;VLOOKUP(T$5,NFI,5,0),1,0)*Table_NFI[[#This Row],[Winter Items Other]],Table_NFI[Winter Items Other])</f>
        <v>0</v>
      </c>
      <c r="AL1203" s="294">
        <f>IF(NFI_Expiration=1,IF($A1203&lt;VLOOKUP(M$5,NFI,5,0),1,0)*Table_NFI[[#This Row],[Winter Blanket]],Table_NFI[[#This Row],[Winter Blanket]])</f>
        <v>0</v>
      </c>
      <c r="AM1203" s="294">
        <f>IF(Table_NFI[[#This Row],[Winter Clothes Adult]]+Table_NFI[[#This Row],[Winter Clothes Children]]+Table_NFI[[#This Row],[Winter Items Other]]+Table_NFI[[#This Row],[Winter Blanket]]&gt;0,1,0)</f>
        <v>0</v>
      </c>
      <c r="AN1203" s="331">
        <f>IF(NFI_Expiration=1,IF($A1203&lt;VLOOKUP(V$5,NFI,5,0),1,0)*Table_NFI[[#This Row],[Jerry Can]],Table_NFI[Jerry Can])</f>
        <v>0</v>
      </c>
      <c r="AO1203" s="331">
        <f>IF(NFI_Expiration=1,IF($A1203&lt;VLOOKUP(V$5,NFI,5,0),1,0)*Table_NFI[[#This Row],[Shelter Tool kit]],Table_NFI[Shelter Tool kit])</f>
        <v>0</v>
      </c>
      <c r="AP1203" s="331">
        <f>IF(NFI_Expiration=1,IF($A1203&lt;VLOOKUP(V$5,NFI,5,0),1,0)*Table_NFI[[#This Row],[Tent]],Table_NFI[Tent])</f>
        <v>0</v>
      </c>
      <c r="AQ1203" s="467" t="str">
        <f>IFERROR(VLOOKUP(Table_NFI[[#This Row],[Camp Name]],CL,2,0),"")</f>
        <v/>
      </c>
      <c r="AR1203" s="835" t="str">
        <f ca="1">IF(Table_NFI[[#This Row],[Pcode]]="","",IF(OFFSET(CampList[Opening Date],MATCH(Table_NFI[[#This Row],[Pcode]],CampList[CP_Pcode],0)-1,0,1,1)&gt;=NFI_Monitor_Date,1,0))</f>
        <v/>
      </c>
      <c r="AS1203" s="467" t="str">
        <f>IFERROR(VLOOKUP(Table_NFI[[#This Row],[Camp Name]],CL,3,0),"")</f>
        <v/>
      </c>
      <c r="AT1203" s="294" t="str">
        <f ca="1">IF(Table_NFI[[#This Row],[Pcode]]="","",OFFSET(CampList[Priority],MATCH(Table_NFI[[#This Row],[Pcode]],CampList[CP_Pcode],0)-1,0,1,1))</f>
        <v/>
      </c>
      <c r="AU1203" s="293" t="str">
        <f>IFERROR(Table_NFI[[#This Row],[Kitchen Set]]/VLOOKUP(Table_NFI[[#This Row],[Camp Name]],CL,4,0),"")</f>
        <v/>
      </c>
      <c r="AV1203" s="461"/>
      <c r="AW1203" s="483"/>
    </row>
    <row r="1204" spans="1:49" ht="14.45" customHeight="1" x14ac:dyDescent="0.25">
      <c r="A1204" s="297" t="str">
        <f t="shared" si="18"/>
        <v/>
      </c>
      <c r="B1204" s="460"/>
      <c r="C1204" s="465"/>
      <c r="D1204" s="465"/>
      <c r="E1204" s="465"/>
      <c r="F1204" s="465"/>
      <c r="G1204" s="465"/>
      <c r="H1204" s="292"/>
      <c r="I1204" s="292"/>
      <c r="J1204" s="292"/>
      <c r="K1204" s="292"/>
      <c r="L1204" s="292"/>
      <c r="M1204" s="292"/>
      <c r="N1204" s="292"/>
      <c r="O1204" s="292"/>
      <c r="P1204" s="294"/>
      <c r="Q1204" s="294"/>
      <c r="R1204" s="294"/>
      <c r="S1204" s="294"/>
      <c r="T1204" s="294"/>
      <c r="U1204" s="294"/>
      <c r="V1204" s="431"/>
      <c r="W1204" s="331"/>
      <c r="X1204" s="331"/>
      <c r="Y1204" s="294">
        <f>IF(NFI_Expiration=1,IF($A1204&lt;VLOOKUP(H$5,NFI,5,0),1,0)*Table_NFI[[#This Row],[Hygiene Kit]],Table_NFI[Hygiene Kit])</f>
        <v>0</v>
      </c>
      <c r="Z1204" s="294">
        <f>IF(NFI_Expiration=1,IF($A1204&lt;VLOOKUP(I$5,NFI,5,0),1,0)*Table_NFI[[#This Row],[NFI Core Kit]],Table_NFI[NFI Core Kit])</f>
        <v>0</v>
      </c>
      <c r="AA1204" s="294">
        <f>IF(NFI_Expiration=1,IF($A1204&lt;VLOOKUP(J$5,NFI,5,0),1,0)*Table_NFI[[#This Row],[Sanitary Kit]],Table_NFI[Sanitary Kit])</f>
        <v>0</v>
      </c>
      <c r="AB1204" s="294">
        <f>IF(NFI_Expiration=1,IF($A1204&lt;VLOOKUP(K$5,NFI,5,0),1,0)*Table_NFI[[#This Row],[Mosquito net]],Table_NFI[Mosquito net])</f>
        <v>0</v>
      </c>
      <c r="AC1204" s="294">
        <f>IF(NFI_Expiration=1,IF($A1204&lt;VLOOKUP(L$5,NFI,5,0),1,0)*Table_NFI[[#This Row],[Tarpaulin]],Table_NFI[[#This Row],[Tarpaulin]])</f>
        <v>0</v>
      </c>
      <c r="AD1204" s="294">
        <f>IF(NFI_Expiration=1,IF($A1204&lt;VLOOKUP(M$5,NFI,5,0),1,0)*Table_NFI[[#This Row],[Blanket]],Table_NFI[[#This Row],[Blanket]])</f>
        <v>0</v>
      </c>
      <c r="AE1204" s="294">
        <f>IF(NFI_Expiration=1,IF($A1204&lt;VLOOKUP(N$5,NFI,5,0),1,0)*Table_NFI[[#This Row],[Kitchen Set]],Table_NFI[Kitchen Set])</f>
        <v>0</v>
      </c>
      <c r="AF1204" s="294">
        <f>IF(NFI_Expiration=1,IF($A1204&lt;VLOOKUP(O$5,NFI,5,0),1,0)*Table_NFI[[#This Row],[Clothes Kit]],Table_NFI[Clothes Kit])</f>
        <v>0</v>
      </c>
      <c r="AG1204" s="294">
        <f>IF(NFI_Expiration=1,IF($A1204&lt;VLOOKUP(P$5,NFI,5,0),1,0)*Table_NFI[[#This Row],[Plastic Bucket]],Table_NFI[Plastic Bucket])</f>
        <v>0</v>
      </c>
      <c r="AH1204" s="294">
        <f>IF(NFI_Expiration=1,IF($A1204&lt;VLOOKUP(Q$5,NFI,5,0),1,0)*Table_NFI[[#This Row],[Plastic Mat]],Table_NFI[Plastic Mat])*IF(Table_NFI[[#This Row],[Distribution Date]]&gt;"2014-04-01",1,2.5)</f>
        <v>0</v>
      </c>
      <c r="AI1204" s="294">
        <f>IF(NFI_Expiration=1,IF($A1204&lt;VLOOKUP(R$5,NFI,5,0),1,0)*Table_NFI[[#This Row],[Winter Clothes Adult]],Table_NFI[Winter Clothes Adult])</f>
        <v>0</v>
      </c>
      <c r="AJ1204" s="294">
        <f>IF(NFI_Expiration=1,IF($A1204&lt;VLOOKUP(S$5,NFI,5,0),1,0)*Table_NFI[[#This Row],[Winter Clothes Children]],Table_NFI[Winter Clothes Children])</f>
        <v>0</v>
      </c>
      <c r="AK1204" s="294">
        <f>IF(NFI_Expiration=1,IF($A1204&lt;VLOOKUP(T$5,NFI,5,0),1,0)*Table_NFI[[#This Row],[Winter Items Other]],Table_NFI[Winter Items Other])</f>
        <v>0</v>
      </c>
      <c r="AL1204" s="294">
        <f>IF(NFI_Expiration=1,IF($A1204&lt;VLOOKUP(M$5,NFI,5,0),1,0)*Table_NFI[[#This Row],[Winter Blanket]],Table_NFI[[#This Row],[Winter Blanket]])</f>
        <v>0</v>
      </c>
      <c r="AM1204" s="294">
        <f>IF(Table_NFI[[#This Row],[Winter Clothes Adult]]+Table_NFI[[#This Row],[Winter Clothes Children]]+Table_NFI[[#This Row],[Winter Items Other]]+Table_NFI[[#This Row],[Winter Blanket]]&gt;0,1,0)</f>
        <v>0</v>
      </c>
      <c r="AN1204" s="331">
        <f>IF(NFI_Expiration=1,IF($A1204&lt;VLOOKUP(V$5,NFI,5,0),1,0)*Table_NFI[[#This Row],[Jerry Can]],Table_NFI[Jerry Can])</f>
        <v>0</v>
      </c>
      <c r="AO1204" s="331">
        <f>IF(NFI_Expiration=1,IF($A1204&lt;VLOOKUP(V$5,NFI,5,0),1,0)*Table_NFI[[#This Row],[Shelter Tool kit]],Table_NFI[Shelter Tool kit])</f>
        <v>0</v>
      </c>
      <c r="AP1204" s="331">
        <f>IF(NFI_Expiration=1,IF($A1204&lt;VLOOKUP(V$5,NFI,5,0),1,0)*Table_NFI[[#This Row],[Tent]],Table_NFI[Tent])</f>
        <v>0</v>
      </c>
      <c r="AQ1204" s="467" t="str">
        <f>IFERROR(VLOOKUP(Table_NFI[[#This Row],[Camp Name]],CL,2,0),"")</f>
        <v/>
      </c>
      <c r="AR1204" s="835" t="str">
        <f ca="1">IF(Table_NFI[[#This Row],[Pcode]]="","",IF(OFFSET(CampList[Opening Date],MATCH(Table_NFI[[#This Row],[Pcode]],CampList[CP_Pcode],0)-1,0,1,1)&gt;=NFI_Monitor_Date,1,0))</f>
        <v/>
      </c>
      <c r="AS1204" s="467" t="str">
        <f>IFERROR(VLOOKUP(Table_NFI[[#This Row],[Camp Name]],CL,3,0),"")</f>
        <v/>
      </c>
      <c r="AT1204" s="294" t="str">
        <f ca="1">IF(Table_NFI[[#This Row],[Pcode]]="","",OFFSET(CampList[Priority],MATCH(Table_NFI[[#This Row],[Pcode]],CampList[CP_Pcode],0)-1,0,1,1))</f>
        <v/>
      </c>
      <c r="AU1204" s="293" t="str">
        <f>IFERROR(Table_NFI[[#This Row],[Kitchen Set]]/VLOOKUP(Table_NFI[[#This Row],[Camp Name]],CL,4,0),"")</f>
        <v/>
      </c>
      <c r="AV1204" s="461"/>
      <c r="AW1204" s="463"/>
    </row>
    <row r="1205" spans="1:49" ht="14.45" customHeight="1" x14ac:dyDescent="0.25">
      <c r="A1205" s="297" t="str">
        <f t="shared" si="18"/>
        <v/>
      </c>
      <c r="B1205" s="460"/>
      <c r="C1205" s="465"/>
      <c r="D1205" s="465"/>
      <c r="E1205" s="465"/>
      <c r="F1205" s="465"/>
      <c r="G1205" s="465"/>
      <c r="H1205" s="292"/>
      <c r="I1205" s="292"/>
      <c r="J1205" s="292"/>
      <c r="K1205" s="292"/>
      <c r="L1205" s="292"/>
      <c r="M1205" s="292"/>
      <c r="N1205" s="292"/>
      <c r="O1205" s="292"/>
      <c r="P1205" s="294"/>
      <c r="Q1205" s="294"/>
      <c r="R1205" s="294"/>
      <c r="S1205" s="294"/>
      <c r="T1205" s="294"/>
      <c r="U1205" s="294"/>
      <c r="V1205" s="431"/>
      <c r="W1205" s="331"/>
      <c r="X1205" s="331"/>
      <c r="Y1205" s="294">
        <f>IF(NFI_Expiration=1,IF($A1205&lt;VLOOKUP(H$5,NFI,5,0),1,0)*Table_NFI[[#This Row],[Hygiene Kit]],Table_NFI[Hygiene Kit])</f>
        <v>0</v>
      </c>
      <c r="Z1205" s="294">
        <f>IF(NFI_Expiration=1,IF($A1205&lt;VLOOKUP(I$5,NFI,5,0),1,0)*Table_NFI[[#This Row],[NFI Core Kit]],Table_NFI[NFI Core Kit])</f>
        <v>0</v>
      </c>
      <c r="AA1205" s="294">
        <f>IF(NFI_Expiration=1,IF($A1205&lt;VLOOKUP(J$5,NFI,5,0),1,0)*Table_NFI[[#This Row],[Sanitary Kit]],Table_NFI[Sanitary Kit])</f>
        <v>0</v>
      </c>
      <c r="AB1205" s="294">
        <f>IF(NFI_Expiration=1,IF($A1205&lt;VLOOKUP(K$5,NFI,5,0),1,0)*Table_NFI[[#This Row],[Mosquito net]],Table_NFI[Mosquito net])</f>
        <v>0</v>
      </c>
      <c r="AC1205" s="294">
        <f>IF(NFI_Expiration=1,IF($A1205&lt;VLOOKUP(L$5,NFI,5,0),1,0)*Table_NFI[[#This Row],[Tarpaulin]],Table_NFI[[#This Row],[Tarpaulin]])</f>
        <v>0</v>
      </c>
      <c r="AD1205" s="294">
        <f>IF(NFI_Expiration=1,IF($A1205&lt;VLOOKUP(M$5,NFI,5,0),1,0)*Table_NFI[[#This Row],[Blanket]],Table_NFI[[#This Row],[Blanket]])</f>
        <v>0</v>
      </c>
      <c r="AE1205" s="294">
        <f>IF(NFI_Expiration=1,IF($A1205&lt;VLOOKUP(N$5,NFI,5,0),1,0)*Table_NFI[[#This Row],[Kitchen Set]],Table_NFI[Kitchen Set])</f>
        <v>0</v>
      </c>
      <c r="AF1205" s="294">
        <f>IF(NFI_Expiration=1,IF($A1205&lt;VLOOKUP(O$5,NFI,5,0),1,0)*Table_NFI[[#This Row],[Clothes Kit]],Table_NFI[Clothes Kit])</f>
        <v>0</v>
      </c>
      <c r="AG1205" s="294">
        <f>IF(NFI_Expiration=1,IF($A1205&lt;VLOOKUP(P$5,NFI,5,0),1,0)*Table_NFI[[#This Row],[Plastic Bucket]],Table_NFI[Plastic Bucket])</f>
        <v>0</v>
      </c>
      <c r="AH1205" s="294">
        <f>IF(NFI_Expiration=1,IF($A1205&lt;VLOOKUP(Q$5,NFI,5,0),1,0)*Table_NFI[[#This Row],[Plastic Mat]],Table_NFI[Plastic Mat])*IF(Table_NFI[[#This Row],[Distribution Date]]&gt;"2014-04-01",1,2.5)</f>
        <v>0</v>
      </c>
      <c r="AI1205" s="294">
        <f>IF(NFI_Expiration=1,IF($A1205&lt;VLOOKUP(R$5,NFI,5,0),1,0)*Table_NFI[[#This Row],[Winter Clothes Adult]],Table_NFI[Winter Clothes Adult])</f>
        <v>0</v>
      </c>
      <c r="AJ1205" s="294">
        <f>IF(NFI_Expiration=1,IF($A1205&lt;VLOOKUP(S$5,NFI,5,0),1,0)*Table_NFI[[#This Row],[Winter Clothes Children]],Table_NFI[Winter Clothes Children])</f>
        <v>0</v>
      </c>
      <c r="AK1205" s="294">
        <f>IF(NFI_Expiration=1,IF($A1205&lt;VLOOKUP(T$5,NFI,5,0),1,0)*Table_NFI[[#This Row],[Winter Items Other]],Table_NFI[Winter Items Other])</f>
        <v>0</v>
      </c>
      <c r="AL1205" s="294">
        <f>IF(NFI_Expiration=1,IF($A1205&lt;VLOOKUP(M$5,NFI,5,0),1,0)*Table_NFI[[#This Row],[Winter Blanket]],Table_NFI[[#This Row],[Winter Blanket]])</f>
        <v>0</v>
      </c>
      <c r="AM1205" s="294">
        <f>IF(Table_NFI[[#This Row],[Winter Clothes Adult]]+Table_NFI[[#This Row],[Winter Clothes Children]]+Table_NFI[[#This Row],[Winter Items Other]]+Table_NFI[[#This Row],[Winter Blanket]]&gt;0,1,0)</f>
        <v>0</v>
      </c>
      <c r="AN1205" s="331">
        <f>IF(NFI_Expiration=1,IF($A1205&lt;VLOOKUP(V$5,NFI,5,0),1,0)*Table_NFI[[#This Row],[Jerry Can]],Table_NFI[Jerry Can])</f>
        <v>0</v>
      </c>
      <c r="AO1205" s="331">
        <f>IF(NFI_Expiration=1,IF($A1205&lt;VLOOKUP(V$5,NFI,5,0),1,0)*Table_NFI[[#This Row],[Shelter Tool kit]],Table_NFI[Shelter Tool kit])</f>
        <v>0</v>
      </c>
      <c r="AP1205" s="331">
        <f>IF(NFI_Expiration=1,IF($A1205&lt;VLOOKUP(V$5,NFI,5,0),1,0)*Table_NFI[[#This Row],[Tent]],Table_NFI[Tent])</f>
        <v>0</v>
      </c>
      <c r="AQ1205" s="467" t="str">
        <f>IFERROR(VLOOKUP(Table_NFI[[#This Row],[Camp Name]],CL,2,0),"")</f>
        <v/>
      </c>
      <c r="AR1205" s="835" t="str">
        <f ca="1">IF(Table_NFI[[#This Row],[Pcode]]="","",IF(OFFSET(CampList[Opening Date],MATCH(Table_NFI[[#This Row],[Pcode]],CampList[CP_Pcode],0)-1,0,1,1)&gt;=NFI_Monitor_Date,1,0))</f>
        <v/>
      </c>
      <c r="AS1205" s="467" t="str">
        <f>IFERROR(VLOOKUP(Table_NFI[[#This Row],[Camp Name]],CL,3,0),"")</f>
        <v/>
      </c>
      <c r="AT1205" s="294" t="str">
        <f ca="1">IF(Table_NFI[[#This Row],[Pcode]]="","",OFFSET(CampList[Priority],MATCH(Table_NFI[[#This Row],[Pcode]],CampList[CP_Pcode],0)-1,0,1,1))</f>
        <v/>
      </c>
      <c r="AU1205" s="293" t="str">
        <f>IFERROR(Table_NFI[[#This Row],[Kitchen Set]]/VLOOKUP(Table_NFI[[#This Row],[Camp Name]],CL,4,0),"")</f>
        <v/>
      </c>
      <c r="AV1205" s="465"/>
      <c r="AW1205" s="468"/>
    </row>
    <row r="1206" spans="1:49" ht="14.45" customHeight="1" x14ac:dyDescent="0.25">
      <c r="A1206" s="297" t="str">
        <f t="shared" si="18"/>
        <v/>
      </c>
      <c r="B1206" s="460"/>
      <c r="C1206" s="465"/>
      <c r="D1206" s="465"/>
      <c r="E1206" s="465"/>
      <c r="F1206" s="465"/>
      <c r="G1206" s="465"/>
      <c r="H1206" s="292"/>
      <c r="I1206" s="292"/>
      <c r="J1206" s="292"/>
      <c r="K1206" s="292"/>
      <c r="L1206" s="292"/>
      <c r="M1206" s="292"/>
      <c r="N1206" s="292"/>
      <c r="O1206" s="292"/>
      <c r="P1206" s="294"/>
      <c r="Q1206" s="294"/>
      <c r="R1206" s="294"/>
      <c r="S1206" s="294"/>
      <c r="T1206" s="294"/>
      <c r="U1206" s="294"/>
      <c r="V1206" s="431"/>
      <c r="W1206" s="331"/>
      <c r="X1206" s="331"/>
      <c r="Y1206" s="294">
        <f>IF(NFI_Expiration=1,IF($A1206&lt;VLOOKUP(H$5,NFI,5,0),1,0)*Table_NFI[[#This Row],[Hygiene Kit]],Table_NFI[Hygiene Kit])</f>
        <v>0</v>
      </c>
      <c r="Z1206" s="294">
        <f>IF(NFI_Expiration=1,IF($A1206&lt;VLOOKUP(I$5,NFI,5,0),1,0)*Table_NFI[[#This Row],[NFI Core Kit]],Table_NFI[NFI Core Kit])</f>
        <v>0</v>
      </c>
      <c r="AA1206" s="294">
        <f>IF(NFI_Expiration=1,IF($A1206&lt;VLOOKUP(J$5,NFI,5,0),1,0)*Table_NFI[[#This Row],[Sanitary Kit]],Table_NFI[Sanitary Kit])</f>
        <v>0</v>
      </c>
      <c r="AB1206" s="294">
        <f>IF(NFI_Expiration=1,IF($A1206&lt;VLOOKUP(K$5,NFI,5,0),1,0)*Table_NFI[[#This Row],[Mosquito net]],Table_NFI[Mosquito net])</f>
        <v>0</v>
      </c>
      <c r="AC1206" s="294">
        <f>IF(NFI_Expiration=1,IF($A1206&lt;VLOOKUP(L$5,NFI,5,0),1,0)*Table_NFI[[#This Row],[Tarpaulin]],Table_NFI[[#This Row],[Tarpaulin]])</f>
        <v>0</v>
      </c>
      <c r="AD1206" s="294">
        <f>IF(NFI_Expiration=1,IF($A1206&lt;VLOOKUP(M$5,NFI,5,0),1,0)*Table_NFI[[#This Row],[Blanket]],Table_NFI[[#This Row],[Blanket]])</f>
        <v>0</v>
      </c>
      <c r="AE1206" s="294">
        <f>IF(NFI_Expiration=1,IF($A1206&lt;VLOOKUP(N$5,NFI,5,0),1,0)*Table_NFI[[#This Row],[Kitchen Set]],Table_NFI[Kitchen Set])</f>
        <v>0</v>
      </c>
      <c r="AF1206" s="294">
        <f>IF(NFI_Expiration=1,IF($A1206&lt;VLOOKUP(O$5,NFI,5,0),1,0)*Table_NFI[[#This Row],[Clothes Kit]],Table_NFI[Clothes Kit])</f>
        <v>0</v>
      </c>
      <c r="AG1206" s="294">
        <f>IF(NFI_Expiration=1,IF($A1206&lt;VLOOKUP(P$5,NFI,5,0),1,0)*Table_NFI[[#This Row],[Plastic Bucket]],Table_NFI[Plastic Bucket])</f>
        <v>0</v>
      </c>
      <c r="AH1206" s="294">
        <f>IF(NFI_Expiration=1,IF($A1206&lt;VLOOKUP(Q$5,NFI,5,0),1,0)*Table_NFI[[#This Row],[Plastic Mat]],Table_NFI[Plastic Mat])*IF(Table_NFI[[#This Row],[Distribution Date]]&gt;"2014-04-01",1,2.5)</f>
        <v>0</v>
      </c>
      <c r="AI1206" s="294">
        <f>IF(NFI_Expiration=1,IF($A1206&lt;VLOOKUP(R$5,NFI,5,0),1,0)*Table_NFI[[#This Row],[Winter Clothes Adult]],Table_NFI[Winter Clothes Adult])</f>
        <v>0</v>
      </c>
      <c r="AJ1206" s="294">
        <f>IF(NFI_Expiration=1,IF($A1206&lt;VLOOKUP(S$5,NFI,5,0),1,0)*Table_NFI[[#This Row],[Winter Clothes Children]],Table_NFI[Winter Clothes Children])</f>
        <v>0</v>
      </c>
      <c r="AK1206" s="294">
        <f>IF(NFI_Expiration=1,IF($A1206&lt;VLOOKUP(T$5,NFI,5,0),1,0)*Table_NFI[[#This Row],[Winter Items Other]],Table_NFI[Winter Items Other])</f>
        <v>0</v>
      </c>
      <c r="AL1206" s="294">
        <f>IF(NFI_Expiration=1,IF($A1206&lt;VLOOKUP(M$5,NFI,5,0),1,0)*Table_NFI[[#This Row],[Winter Blanket]],Table_NFI[[#This Row],[Winter Blanket]])</f>
        <v>0</v>
      </c>
      <c r="AM1206" s="294">
        <f>IF(Table_NFI[[#This Row],[Winter Clothes Adult]]+Table_NFI[[#This Row],[Winter Clothes Children]]+Table_NFI[[#This Row],[Winter Items Other]]+Table_NFI[[#This Row],[Winter Blanket]]&gt;0,1,0)</f>
        <v>0</v>
      </c>
      <c r="AN1206" s="331">
        <f>IF(NFI_Expiration=1,IF($A1206&lt;VLOOKUP(V$5,NFI,5,0),1,0)*Table_NFI[[#This Row],[Jerry Can]],Table_NFI[Jerry Can])</f>
        <v>0</v>
      </c>
      <c r="AO1206" s="331">
        <f>IF(NFI_Expiration=1,IF($A1206&lt;VLOOKUP(V$5,NFI,5,0),1,0)*Table_NFI[[#This Row],[Shelter Tool kit]],Table_NFI[Shelter Tool kit])</f>
        <v>0</v>
      </c>
      <c r="AP1206" s="331">
        <f>IF(NFI_Expiration=1,IF($A1206&lt;VLOOKUP(V$5,NFI,5,0),1,0)*Table_NFI[[#This Row],[Tent]],Table_NFI[Tent])</f>
        <v>0</v>
      </c>
      <c r="AQ1206" s="467" t="str">
        <f>IFERROR(VLOOKUP(Table_NFI[[#This Row],[Camp Name]],CL,2,0),"")</f>
        <v/>
      </c>
      <c r="AR1206" s="835" t="str">
        <f ca="1">IF(Table_NFI[[#This Row],[Pcode]]="","",IF(OFFSET(CampList[Opening Date],MATCH(Table_NFI[[#This Row],[Pcode]],CampList[CP_Pcode],0)-1,0,1,1)&gt;=NFI_Monitor_Date,1,0))</f>
        <v/>
      </c>
      <c r="AS1206" s="467" t="str">
        <f>IFERROR(VLOOKUP(Table_NFI[[#This Row],[Camp Name]],CL,3,0),"")</f>
        <v/>
      </c>
      <c r="AT1206" s="294" t="str">
        <f ca="1">IF(Table_NFI[[#This Row],[Pcode]]="","",OFFSET(CampList[Priority],MATCH(Table_NFI[[#This Row],[Pcode]],CampList[CP_Pcode],0)-1,0,1,1))</f>
        <v/>
      </c>
      <c r="AU1206" s="293" t="str">
        <f>IFERROR(Table_NFI[[#This Row],[Kitchen Set]]/VLOOKUP(Table_NFI[[#This Row],[Camp Name]],CL,4,0),"")</f>
        <v/>
      </c>
      <c r="AV1206" s="461"/>
      <c r="AW1206" s="468"/>
    </row>
    <row r="1207" spans="1:49" ht="14.45" customHeight="1" x14ac:dyDescent="0.25">
      <c r="A1207" s="297" t="str">
        <f t="shared" si="18"/>
        <v/>
      </c>
      <c r="B1207" s="460"/>
      <c r="C1207" s="465"/>
      <c r="D1207" s="465"/>
      <c r="E1207" s="465"/>
      <c r="F1207" s="465"/>
      <c r="G1207" s="465"/>
      <c r="H1207" s="292"/>
      <c r="I1207" s="292"/>
      <c r="J1207" s="292"/>
      <c r="K1207" s="292"/>
      <c r="L1207" s="292"/>
      <c r="M1207" s="292"/>
      <c r="N1207" s="292"/>
      <c r="O1207" s="292"/>
      <c r="P1207" s="294"/>
      <c r="Q1207" s="294"/>
      <c r="R1207" s="294"/>
      <c r="S1207" s="294"/>
      <c r="T1207" s="294"/>
      <c r="U1207" s="294"/>
      <c r="V1207" s="431"/>
      <c r="W1207" s="331"/>
      <c r="X1207" s="331"/>
      <c r="Y1207" s="294">
        <f>IF(NFI_Expiration=1,IF($A1207&lt;VLOOKUP(H$5,NFI,5,0),1,0)*Table_NFI[[#This Row],[Hygiene Kit]],Table_NFI[Hygiene Kit])</f>
        <v>0</v>
      </c>
      <c r="Z1207" s="294">
        <f>IF(NFI_Expiration=1,IF($A1207&lt;VLOOKUP(I$5,NFI,5,0),1,0)*Table_NFI[[#This Row],[NFI Core Kit]],Table_NFI[NFI Core Kit])</f>
        <v>0</v>
      </c>
      <c r="AA1207" s="294">
        <f>IF(NFI_Expiration=1,IF($A1207&lt;VLOOKUP(J$5,NFI,5,0),1,0)*Table_NFI[[#This Row],[Sanitary Kit]],Table_NFI[Sanitary Kit])</f>
        <v>0</v>
      </c>
      <c r="AB1207" s="294">
        <f>IF(NFI_Expiration=1,IF($A1207&lt;VLOOKUP(K$5,NFI,5,0),1,0)*Table_NFI[[#This Row],[Mosquito net]],Table_NFI[Mosquito net])</f>
        <v>0</v>
      </c>
      <c r="AC1207" s="294">
        <f>IF(NFI_Expiration=1,IF($A1207&lt;VLOOKUP(L$5,NFI,5,0),1,0)*Table_NFI[[#This Row],[Tarpaulin]],Table_NFI[[#This Row],[Tarpaulin]])</f>
        <v>0</v>
      </c>
      <c r="AD1207" s="294">
        <f>IF(NFI_Expiration=1,IF($A1207&lt;VLOOKUP(M$5,NFI,5,0),1,0)*Table_NFI[[#This Row],[Blanket]],Table_NFI[[#This Row],[Blanket]])</f>
        <v>0</v>
      </c>
      <c r="AE1207" s="294">
        <f>IF(NFI_Expiration=1,IF($A1207&lt;VLOOKUP(N$5,NFI,5,0),1,0)*Table_NFI[[#This Row],[Kitchen Set]],Table_NFI[Kitchen Set])</f>
        <v>0</v>
      </c>
      <c r="AF1207" s="294">
        <f>IF(NFI_Expiration=1,IF($A1207&lt;VLOOKUP(O$5,NFI,5,0),1,0)*Table_NFI[[#This Row],[Clothes Kit]],Table_NFI[Clothes Kit])</f>
        <v>0</v>
      </c>
      <c r="AG1207" s="294">
        <f>IF(NFI_Expiration=1,IF($A1207&lt;VLOOKUP(P$5,NFI,5,0),1,0)*Table_NFI[[#This Row],[Plastic Bucket]],Table_NFI[Plastic Bucket])</f>
        <v>0</v>
      </c>
      <c r="AH1207" s="294">
        <f>IF(NFI_Expiration=1,IF($A1207&lt;VLOOKUP(Q$5,NFI,5,0),1,0)*Table_NFI[[#This Row],[Plastic Mat]],Table_NFI[Plastic Mat])*IF(Table_NFI[[#This Row],[Distribution Date]]&gt;"2014-04-01",1,2.5)</f>
        <v>0</v>
      </c>
      <c r="AI1207" s="294">
        <f>IF(NFI_Expiration=1,IF($A1207&lt;VLOOKUP(R$5,NFI,5,0),1,0)*Table_NFI[[#This Row],[Winter Clothes Adult]],Table_NFI[Winter Clothes Adult])</f>
        <v>0</v>
      </c>
      <c r="AJ1207" s="294">
        <f>IF(NFI_Expiration=1,IF($A1207&lt;VLOOKUP(S$5,NFI,5,0),1,0)*Table_NFI[[#This Row],[Winter Clothes Children]],Table_NFI[Winter Clothes Children])</f>
        <v>0</v>
      </c>
      <c r="AK1207" s="294">
        <f>IF(NFI_Expiration=1,IF($A1207&lt;VLOOKUP(T$5,NFI,5,0),1,0)*Table_NFI[[#This Row],[Winter Items Other]],Table_NFI[Winter Items Other])</f>
        <v>0</v>
      </c>
      <c r="AL1207" s="294">
        <f>IF(NFI_Expiration=1,IF($A1207&lt;VLOOKUP(M$5,NFI,5,0),1,0)*Table_NFI[[#This Row],[Winter Blanket]],Table_NFI[[#This Row],[Winter Blanket]])</f>
        <v>0</v>
      </c>
      <c r="AM1207" s="294">
        <f>IF(Table_NFI[[#This Row],[Winter Clothes Adult]]+Table_NFI[[#This Row],[Winter Clothes Children]]+Table_NFI[[#This Row],[Winter Items Other]]+Table_NFI[[#This Row],[Winter Blanket]]&gt;0,1,0)</f>
        <v>0</v>
      </c>
      <c r="AN1207" s="331">
        <f>IF(NFI_Expiration=1,IF($A1207&lt;VLOOKUP(V$5,NFI,5,0),1,0)*Table_NFI[[#This Row],[Jerry Can]],Table_NFI[Jerry Can])</f>
        <v>0</v>
      </c>
      <c r="AO1207" s="331">
        <f>IF(NFI_Expiration=1,IF($A1207&lt;VLOOKUP(V$5,NFI,5,0),1,0)*Table_NFI[[#This Row],[Shelter Tool kit]],Table_NFI[Shelter Tool kit])</f>
        <v>0</v>
      </c>
      <c r="AP1207" s="331">
        <f>IF(NFI_Expiration=1,IF($A1207&lt;VLOOKUP(V$5,NFI,5,0),1,0)*Table_NFI[[#This Row],[Tent]],Table_NFI[Tent])</f>
        <v>0</v>
      </c>
      <c r="AQ1207" s="467" t="str">
        <f>IFERROR(VLOOKUP(Table_NFI[[#This Row],[Camp Name]],CL,2,0),"")</f>
        <v/>
      </c>
      <c r="AR1207" s="835" t="str">
        <f ca="1">IF(Table_NFI[[#This Row],[Pcode]]="","",IF(OFFSET(CampList[Opening Date],MATCH(Table_NFI[[#This Row],[Pcode]],CampList[CP_Pcode],0)-1,0,1,1)&gt;=NFI_Monitor_Date,1,0))</f>
        <v/>
      </c>
      <c r="AS1207" s="467" t="str">
        <f>IFERROR(VLOOKUP(Table_NFI[[#This Row],[Camp Name]],CL,3,0),"")</f>
        <v/>
      </c>
      <c r="AT1207" s="294" t="str">
        <f ca="1">IF(Table_NFI[[#This Row],[Pcode]]="","",OFFSET(CampList[Priority],MATCH(Table_NFI[[#This Row],[Pcode]],CampList[CP_Pcode],0)-1,0,1,1))</f>
        <v/>
      </c>
      <c r="AU1207" s="293" t="str">
        <f>IFERROR(Table_NFI[[#This Row],[Kitchen Set]]/VLOOKUP(Table_NFI[[#This Row],[Camp Name]],CL,4,0),"")</f>
        <v/>
      </c>
      <c r="AV1207" s="461"/>
      <c r="AW1207" s="463"/>
    </row>
    <row r="1208" spans="1:49" ht="14.45" customHeight="1" x14ac:dyDescent="0.25">
      <c r="A1208" s="297" t="str">
        <f t="shared" si="18"/>
        <v/>
      </c>
      <c r="B1208" s="460"/>
      <c r="C1208" s="465"/>
      <c r="D1208" s="465"/>
      <c r="E1208" s="465"/>
      <c r="F1208" s="465"/>
      <c r="G1208" s="465"/>
      <c r="H1208" s="292"/>
      <c r="I1208" s="292"/>
      <c r="J1208" s="292"/>
      <c r="K1208" s="292"/>
      <c r="L1208" s="292"/>
      <c r="M1208" s="292"/>
      <c r="N1208" s="292"/>
      <c r="O1208" s="292"/>
      <c r="P1208" s="294"/>
      <c r="Q1208" s="294"/>
      <c r="R1208" s="294"/>
      <c r="S1208" s="294"/>
      <c r="T1208" s="294"/>
      <c r="U1208" s="294"/>
      <c r="V1208" s="431"/>
      <c r="W1208" s="331"/>
      <c r="X1208" s="331"/>
      <c r="Y1208" s="294">
        <f>IF(NFI_Expiration=1,IF($A1208&lt;VLOOKUP(H$5,NFI,5,0),1,0)*Table_NFI[[#This Row],[Hygiene Kit]],Table_NFI[Hygiene Kit])</f>
        <v>0</v>
      </c>
      <c r="Z1208" s="294">
        <f>IF(NFI_Expiration=1,IF($A1208&lt;VLOOKUP(I$5,NFI,5,0),1,0)*Table_NFI[[#This Row],[NFI Core Kit]],Table_NFI[NFI Core Kit])</f>
        <v>0</v>
      </c>
      <c r="AA1208" s="294">
        <f>IF(NFI_Expiration=1,IF($A1208&lt;VLOOKUP(J$5,NFI,5,0),1,0)*Table_NFI[[#This Row],[Sanitary Kit]],Table_NFI[Sanitary Kit])</f>
        <v>0</v>
      </c>
      <c r="AB1208" s="294">
        <f>IF(NFI_Expiration=1,IF($A1208&lt;VLOOKUP(K$5,NFI,5,0),1,0)*Table_NFI[[#This Row],[Mosquito net]],Table_NFI[Mosquito net])</f>
        <v>0</v>
      </c>
      <c r="AC1208" s="294">
        <f>IF(NFI_Expiration=1,IF($A1208&lt;VLOOKUP(L$5,NFI,5,0),1,0)*Table_NFI[[#This Row],[Tarpaulin]],Table_NFI[[#This Row],[Tarpaulin]])</f>
        <v>0</v>
      </c>
      <c r="AD1208" s="294">
        <f>IF(NFI_Expiration=1,IF($A1208&lt;VLOOKUP(M$5,NFI,5,0),1,0)*Table_NFI[[#This Row],[Blanket]],Table_NFI[[#This Row],[Blanket]])</f>
        <v>0</v>
      </c>
      <c r="AE1208" s="294">
        <f>IF(NFI_Expiration=1,IF($A1208&lt;VLOOKUP(N$5,NFI,5,0),1,0)*Table_NFI[[#This Row],[Kitchen Set]],Table_NFI[Kitchen Set])</f>
        <v>0</v>
      </c>
      <c r="AF1208" s="294">
        <f>IF(NFI_Expiration=1,IF($A1208&lt;VLOOKUP(O$5,NFI,5,0),1,0)*Table_NFI[[#This Row],[Clothes Kit]],Table_NFI[Clothes Kit])</f>
        <v>0</v>
      </c>
      <c r="AG1208" s="294">
        <f>IF(NFI_Expiration=1,IF($A1208&lt;VLOOKUP(P$5,NFI,5,0),1,0)*Table_NFI[[#This Row],[Plastic Bucket]],Table_NFI[Plastic Bucket])</f>
        <v>0</v>
      </c>
      <c r="AH1208" s="294">
        <f>IF(NFI_Expiration=1,IF($A1208&lt;VLOOKUP(Q$5,NFI,5,0),1,0)*Table_NFI[[#This Row],[Plastic Mat]],Table_NFI[Plastic Mat])*IF(Table_NFI[[#This Row],[Distribution Date]]&gt;"2014-04-01",1,2.5)</f>
        <v>0</v>
      </c>
      <c r="AI1208" s="294">
        <f>IF(NFI_Expiration=1,IF($A1208&lt;VLOOKUP(R$5,NFI,5,0),1,0)*Table_NFI[[#This Row],[Winter Clothes Adult]],Table_NFI[Winter Clothes Adult])</f>
        <v>0</v>
      </c>
      <c r="AJ1208" s="294">
        <f>IF(NFI_Expiration=1,IF($A1208&lt;VLOOKUP(S$5,NFI,5,0),1,0)*Table_NFI[[#This Row],[Winter Clothes Children]],Table_NFI[Winter Clothes Children])</f>
        <v>0</v>
      </c>
      <c r="AK1208" s="294">
        <f>IF(NFI_Expiration=1,IF($A1208&lt;VLOOKUP(T$5,NFI,5,0),1,0)*Table_NFI[[#This Row],[Winter Items Other]],Table_NFI[Winter Items Other])</f>
        <v>0</v>
      </c>
      <c r="AL1208" s="294">
        <f>IF(NFI_Expiration=1,IF($A1208&lt;VLOOKUP(M$5,NFI,5,0),1,0)*Table_NFI[[#This Row],[Winter Blanket]],Table_NFI[[#This Row],[Winter Blanket]])</f>
        <v>0</v>
      </c>
      <c r="AM1208" s="294">
        <f>IF(Table_NFI[[#This Row],[Winter Clothes Adult]]+Table_NFI[[#This Row],[Winter Clothes Children]]+Table_NFI[[#This Row],[Winter Items Other]]+Table_NFI[[#This Row],[Winter Blanket]]&gt;0,1,0)</f>
        <v>0</v>
      </c>
      <c r="AN1208" s="331">
        <f>IF(NFI_Expiration=1,IF($A1208&lt;VLOOKUP(V$5,NFI,5,0),1,0)*Table_NFI[[#This Row],[Jerry Can]],Table_NFI[Jerry Can])</f>
        <v>0</v>
      </c>
      <c r="AO1208" s="331">
        <f>IF(NFI_Expiration=1,IF($A1208&lt;VLOOKUP(V$5,NFI,5,0),1,0)*Table_NFI[[#This Row],[Shelter Tool kit]],Table_NFI[Shelter Tool kit])</f>
        <v>0</v>
      </c>
      <c r="AP1208" s="331">
        <f>IF(NFI_Expiration=1,IF($A1208&lt;VLOOKUP(V$5,NFI,5,0),1,0)*Table_NFI[[#This Row],[Tent]],Table_NFI[Tent])</f>
        <v>0</v>
      </c>
      <c r="AQ1208" s="467" t="str">
        <f>IFERROR(VLOOKUP(Table_NFI[[#This Row],[Camp Name]],CL,2,0),"")</f>
        <v/>
      </c>
      <c r="AR1208" s="835" t="str">
        <f ca="1">IF(Table_NFI[[#This Row],[Pcode]]="","",IF(OFFSET(CampList[Opening Date],MATCH(Table_NFI[[#This Row],[Pcode]],CampList[CP_Pcode],0)-1,0,1,1)&gt;=NFI_Monitor_Date,1,0))</f>
        <v/>
      </c>
      <c r="AS1208" s="467" t="str">
        <f>IFERROR(VLOOKUP(Table_NFI[[#This Row],[Camp Name]],CL,3,0),"")</f>
        <v/>
      </c>
      <c r="AT1208" s="294" t="str">
        <f ca="1">IF(Table_NFI[[#This Row],[Pcode]]="","",OFFSET(CampList[Priority],MATCH(Table_NFI[[#This Row],[Pcode]],CampList[CP_Pcode],0)-1,0,1,1))</f>
        <v/>
      </c>
      <c r="AU1208" s="293" t="str">
        <f>IFERROR(Table_NFI[[#This Row],[Kitchen Set]]/VLOOKUP(Table_NFI[[#This Row],[Camp Name]],CL,4,0),"")</f>
        <v/>
      </c>
      <c r="AV1208" s="465"/>
      <c r="AW1208" s="468"/>
    </row>
    <row r="1209" spans="1:49" ht="14.45" customHeight="1" x14ac:dyDescent="0.25">
      <c r="A1209" s="297" t="str">
        <f t="shared" si="18"/>
        <v/>
      </c>
      <c r="B1209" s="460"/>
      <c r="C1209" s="465"/>
      <c r="D1209" s="465"/>
      <c r="E1209" s="465"/>
      <c r="F1209" s="465"/>
      <c r="G1209" s="465"/>
      <c r="H1209" s="292"/>
      <c r="I1209" s="292"/>
      <c r="J1209" s="292"/>
      <c r="K1209" s="292"/>
      <c r="L1209" s="292"/>
      <c r="M1209" s="292"/>
      <c r="N1209" s="292"/>
      <c r="O1209" s="292"/>
      <c r="P1209" s="294"/>
      <c r="Q1209" s="294"/>
      <c r="R1209" s="294"/>
      <c r="S1209" s="294"/>
      <c r="T1209" s="294"/>
      <c r="U1209" s="294"/>
      <c r="V1209" s="431"/>
      <c r="W1209" s="331"/>
      <c r="X1209" s="331"/>
      <c r="Y1209" s="294">
        <f>IF(NFI_Expiration=1,IF($A1209&lt;VLOOKUP(H$5,NFI,5,0),1,0)*Table_NFI[[#This Row],[Hygiene Kit]],Table_NFI[Hygiene Kit])</f>
        <v>0</v>
      </c>
      <c r="Z1209" s="294">
        <f>IF(NFI_Expiration=1,IF($A1209&lt;VLOOKUP(I$5,NFI,5,0),1,0)*Table_NFI[[#This Row],[NFI Core Kit]],Table_NFI[NFI Core Kit])</f>
        <v>0</v>
      </c>
      <c r="AA1209" s="294">
        <f>IF(NFI_Expiration=1,IF($A1209&lt;VLOOKUP(J$5,NFI,5,0),1,0)*Table_NFI[[#This Row],[Sanitary Kit]],Table_NFI[Sanitary Kit])</f>
        <v>0</v>
      </c>
      <c r="AB1209" s="294">
        <f>IF(NFI_Expiration=1,IF($A1209&lt;VLOOKUP(K$5,NFI,5,0),1,0)*Table_NFI[[#This Row],[Mosquito net]],Table_NFI[Mosquito net])</f>
        <v>0</v>
      </c>
      <c r="AC1209" s="294">
        <f>IF(NFI_Expiration=1,IF($A1209&lt;VLOOKUP(L$5,NFI,5,0),1,0)*Table_NFI[[#This Row],[Tarpaulin]],Table_NFI[[#This Row],[Tarpaulin]])</f>
        <v>0</v>
      </c>
      <c r="AD1209" s="294">
        <f>IF(NFI_Expiration=1,IF($A1209&lt;VLOOKUP(M$5,NFI,5,0),1,0)*Table_NFI[[#This Row],[Blanket]],Table_NFI[[#This Row],[Blanket]])</f>
        <v>0</v>
      </c>
      <c r="AE1209" s="294">
        <f>IF(NFI_Expiration=1,IF($A1209&lt;VLOOKUP(N$5,NFI,5,0),1,0)*Table_NFI[[#This Row],[Kitchen Set]],Table_NFI[Kitchen Set])</f>
        <v>0</v>
      </c>
      <c r="AF1209" s="294">
        <f>IF(NFI_Expiration=1,IF($A1209&lt;VLOOKUP(O$5,NFI,5,0),1,0)*Table_NFI[[#This Row],[Clothes Kit]],Table_NFI[Clothes Kit])</f>
        <v>0</v>
      </c>
      <c r="AG1209" s="294">
        <f>IF(NFI_Expiration=1,IF($A1209&lt;VLOOKUP(P$5,NFI,5,0),1,0)*Table_NFI[[#This Row],[Plastic Bucket]],Table_NFI[Plastic Bucket])</f>
        <v>0</v>
      </c>
      <c r="AH1209" s="294">
        <f>IF(NFI_Expiration=1,IF($A1209&lt;VLOOKUP(Q$5,NFI,5,0),1,0)*Table_NFI[[#This Row],[Plastic Mat]],Table_NFI[Plastic Mat])*IF(Table_NFI[[#This Row],[Distribution Date]]&gt;"2014-04-01",1,2.5)</f>
        <v>0</v>
      </c>
      <c r="AI1209" s="294">
        <f>IF(NFI_Expiration=1,IF($A1209&lt;VLOOKUP(R$5,NFI,5,0),1,0)*Table_NFI[[#This Row],[Winter Clothes Adult]],Table_NFI[Winter Clothes Adult])</f>
        <v>0</v>
      </c>
      <c r="AJ1209" s="294">
        <f>IF(NFI_Expiration=1,IF($A1209&lt;VLOOKUP(S$5,NFI,5,0),1,0)*Table_NFI[[#This Row],[Winter Clothes Children]],Table_NFI[Winter Clothes Children])</f>
        <v>0</v>
      </c>
      <c r="AK1209" s="294">
        <f>IF(NFI_Expiration=1,IF($A1209&lt;VLOOKUP(T$5,NFI,5,0),1,0)*Table_NFI[[#This Row],[Winter Items Other]],Table_NFI[Winter Items Other])</f>
        <v>0</v>
      </c>
      <c r="AL1209" s="294">
        <f>IF(NFI_Expiration=1,IF($A1209&lt;VLOOKUP(M$5,NFI,5,0),1,0)*Table_NFI[[#This Row],[Winter Blanket]],Table_NFI[[#This Row],[Winter Blanket]])</f>
        <v>0</v>
      </c>
      <c r="AM1209" s="294">
        <f>IF(Table_NFI[[#This Row],[Winter Clothes Adult]]+Table_NFI[[#This Row],[Winter Clothes Children]]+Table_NFI[[#This Row],[Winter Items Other]]+Table_NFI[[#This Row],[Winter Blanket]]&gt;0,1,0)</f>
        <v>0</v>
      </c>
      <c r="AN1209" s="331">
        <f>IF(NFI_Expiration=1,IF($A1209&lt;VLOOKUP(V$5,NFI,5,0),1,0)*Table_NFI[[#This Row],[Jerry Can]],Table_NFI[Jerry Can])</f>
        <v>0</v>
      </c>
      <c r="AO1209" s="331">
        <f>IF(NFI_Expiration=1,IF($A1209&lt;VLOOKUP(V$5,NFI,5,0),1,0)*Table_NFI[[#This Row],[Shelter Tool kit]],Table_NFI[Shelter Tool kit])</f>
        <v>0</v>
      </c>
      <c r="AP1209" s="331">
        <f>IF(NFI_Expiration=1,IF($A1209&lt;VLOOKUP(V$5,NFI,5,0),1,0)*Table_NFI[[#This Row],[Tent]],Table_NFI[Tent])</f>
        <v>0</v>
      </c>
      <c r="AQ1209" s="467" t="str">
        <f>IFERROR(VLOOKUP(Table_NFI[[#This Row],[Camp Name]],CL,2,0),"")</f>
        <v/>
      </c>
      <c r="AR1209" s="835" t="str">
        <f ca="1">IF(Table_NFI[[#This Row],[Pcode]]="","",IF(OFFSET(CampList[Opening Date],MATCH(Table_NFI[[#This Row],[Pcode]],CampList[CP_Pcode],0)-1,0,1,1)&gt;=NFI_Monitor_Date,1,0))</f>
        <v/>
      </c>
      <c r="AS1209" s="467" t="str">
        <f>IFERROR(VLOOKUP(Table_NFI[[#This Row],[Camp Name]],CL,3,0),"")</f>
        <v/>
      </c>
      <c r="AT1209" s="294" t="str">
        <f ca="1">IF(Table_NFI[[#This Row],[Pcode]]="","",OFFSET(CampList[Priority],MATCH(Table_NFI[[#This Row],[Pcode]],CampList[CP_Pcode],0)-1,0,1,1))</f>
        <v/>
      </c>
      <c r="AU1209" s="293" t="str">
        <f>IFERROR(Table_NFI[[#This Row],[Kitchen Set]]/VLOOKUP(Table_NFI[[#This Row],[Camp Name]],CL,4,0),"")</f>
        <v/>
      </c>
      <c r="AV1209" s="461"/>
      <c r="AW1209" s="463"/>
    </row>
    <row r="1210" spans="1:49" ht="14.45" customHeight="1" x14ac:dyDescent="0.25">
      <c r="A1210" s="297" t="str">
        <f t="shared" si="18"/>
        <v/>
      </c>
      <c r="B1210" s="460"/>
      <c r="C1210" s="465"/>
      <c r="D1210" s="465"/>
      <c r="E1210" s="465"/>
      <c r="F1210" s="465"/>
      <c r="G1210" s="465"/>
      <c r="H1210" s="292"/>
      <c r="I1210" s="292"/>
      <c r="J1210" s="292"/>
      <c r="K1210" s="292"/>
      <c r="L1210" s="292"/>
      <c r="M1210" s="292"/>
      <c r="N1210" s="292"/>
      <c r="O1210" s="292"/>
      <c r="P1210" s="294"/>
      <c r="Q1210" s="294"/>
      <c r="R1210" s="294"/>
      <c r="S1210" s="294"/>
      <c r="T1210" s="294"/>
      <c r="U1210" s="294"/>
      <c r="V1210" s="431"/>
      <c r="W1210" s="331"/>
      <c r="X1210" s="331"/>
      <c r="Y1210" s="294">
        <f>IF(NFI_Expiration=1,IF($A1210&lt;VLOOKUP(H$5,NFI,5,0),1,0)*Table_NFI[[#This Row],[Hygiene Kit]],Table_NFI[Hygiene Kit])</f>
        <v>0</v>
      </c>
      <c r="Z1210" s="294">
        <f>IF(NFI_Expiration=1,IF($A1210&lt;VLOOKUP(I$5,NFI,5,0),1,0)*Table_NFI[[#This Row],[NFI Core Kit]],Table_NFI[NFI Core Kit])</f>
        <v>0</v>
      </c>
      <c r="AA1210" s="294">
        <f>IF(NFI_Expiration=1,IF($A1210&lt;VLOOKUP(J$5,NFI,5,0),1,0)*Table_NFI[[#This Row],[Sanitary Kit]],Table_NFI[Sanitary Kit])</f>
        <v>0</v>
      </c>
      <c r="AB1210" s="294">
        <f>IF(NFI_Expiration=1,IF($A1210&lt;VLOOKUP(K$5,NFI,5,0),1,0)*Table_NFI[[#This Row],[Mosquito net]],Table_NFI[Mosquito net])</f>
        <v>0</v>
      </c>
      <c r="AC1210" s="294">
        <f>IF(NFI_Expiration=1,IF($A1210&lt;VLOOKUP(L$5,NFI,5,0),1,0)*Table_NFI[[#This Row],[Tarpaulin]],Table_NFI[[#This Row],[Tarpaulin]])</f>
        <v>0</v>
      </c>
      <c r="AD1210" s="294">
        <f>IF(NFI_Expiration=1,IF($A1210&lt;VLOOKUP(M$5,NFI,5,0),1,0)*Table_NFI[[#This Row],[Blanket]],Table_NFI[[#This Row],[Blanket]])</f>
        <v>0</v>
      </c>
      <c r="AE1210" s="294">
        <f>IF(NFI_Expiration=1,IF($A1210&lt;VLOOKUP(N$5,NFI,5,0),1,0)*Table_NFI[[#This Row],[Kitchen Set]],Table_NFI[Kitchen Set])</f>
        <v>0</v>
      </c>
      <c r="AF1210" s="294">
        <f>IF(NFI_Expiration=1,IF($A1210&lt;VLOOKUP(O$5,NFI,5,0),1,0)*Table_NFI[[#This Row],[Clothes Kit]],Table_NFI[Clothes Kit])</f>
        <v>0</v>
      </c>
      <c r="AG1210" s="294">
        <f>IF(NFI_Expiration=1,IF($A1210&lt;VLOOKUP(P$5,NFI,5,0),1,0)*Table_NFI[[#This Row],[Plastic Bucket]],Table_NFI[Plastic Bucket])</f>
        <v>0</v>
      </c>
      <c r="AH1210" s="294">
        <f>IF(NFI_Expiration=1,IF($A1210&lt;VLOOKUP(Q$5,NFI,5,0),1,0)*Table_NFI[[#This Row],[Plastic Mat]],Table_NFI[Plastic Mat])*IF(Table_NFI[[#This Row],[Distribution Date]]&gt;"2014-04-01",1,2.5)</f>
        <v>0</v>
      </c>
      <c r="AI1210" s="294">
        <f>IF(NFI_Expiration=1,IF($A1210&lt;VLOOKUP(R$5,NFI,5,0),1,0)*Table_NFI[[#This Row],[Winter Clothes Adult]],Table_NFI[Winter Clothes Adult])</f>
        <v>0</v>
      </c>
      <c r="AJ1210" s="294">
        <f>IF(NFI_Expiration=1,IF($A1210&lt;VLOOKUP(S$5,NFI,5,0),1,0)*Table_NFI[[#This Row],[Winter Clothes Children]],Table_NFI[Winter Clothes Children])</f>
        <v>0</v>
      </c>
      <c r="AK1210" s="294">
        <f>IF(NFI_Expiration=1,IF($A1210&lt;VLOOKUP(T$5,NFI,5,0),1,0)*Table_NFI[[#This Row],[Winter Items Other]],Table_NFI[Winter Items Other])</f>
        <v>0</v>
      </c>
      <c r="AL1210" s="294">
        <f>IF(NFI_Expiration=1,IF($A1210&lt;VLOOKUP(M$5,NFI,5,0),1,0)*Table_NFI[[#This Row],[Winter Blanket]],Table_NFI[[#This Row],[Winter Blanket]])</f>
        <v>0</v>
      </c>
      <c r="AM1210" s="294">
        <f>IF(Table_NFI[[#This Row],[Winter Clothes Adult]]+Table_NFI[[#This Row],[Winter Clothes Children]]+Table_NFI[[#This Row],[Winter Items Other]]+Table_NFI[[#This Row],[Winter Blanket]]&gt;0,1,0)</f>
        <v>0</v>
      </c>
      <c r="AN1210" s="331">
        <f>IF(NFI_Expiration=1,IF($A1210&lt;VLOOKUP(V$5,NFI,5,0),1,0)*Table_NFI[[#This Row],[Jerry Can]],Table_NFI[Jerry Can])</f>
        <v>0</v>
      </c>
      <c r="AO1210" s="331">
        <f>IF(NFI_Expiration=1,IF($A1210&lt;VLOOKUP(V$5,NFI,5,0),1,0)*Table_NFI[[#This Row],[Shelter Tool kit]],Table_NFI[Shelter Tool kit])</f>
        <v>0</v>
      </c>
      <c r="AP1210" s="331">
        <f>IF(NFI_Expiration=1,IF($A1210&lt;VLOOKUP(V$5,NFI,5,0),1,0)*Table_NFI[[#This Row],[Tent]],Table_NFI[Tent])</f>
        <v>0</v>
      </c>
      <c r="AQ1210" s="467" t="str">
        <f>IFERROR(VLOOKUP(Table_NFI[[#This Row],[Camp Name]],CL,2,0),"")</f>
        <v/>
      </c>
      <c r="AR1210" s="835" t="str">
        <f ca="1">IF(Table_NFI[[#This Row],[Pcode]]="","",IF(OFFSET(CampList[Opening Date],MATCH(Table_NFI[[#This Row],[Pcode]],CampList[CP_Pcode],0)-1,0,1,1)&gt;=NFI_Monitor_Date,1,0))</f>
        <v/>
      </c>
      <c r="AS1210" s="467" t="str">
        <f>IFERROR(VLOOKUP(Table_NFI[[#This Row],[Camp Name]],CL,3,0),"")</f>
        <v/>
      </c>
      <c r="AT1210" s="294" t="str">
        <f ca="1">IF(Table_NFI[[#This Row],[Pcode]]="","",OFFSET(CampList[Priority],MATCH(Table_NFI[[#This Row],[Pcode]],CampList[CP_Pcode],0)-1,0,1,1))</f>
        <v/>
      </c>
      <c r="AU1210" s="293" t="str">
        <f>IFERROR(Table_NFI[[#This Row],[Kitchen Set]]/VLOOKUP(Table_NFI[[#This Row],[Camp Name]],CL,4,0),"")</f>
        <v/>
      </c>
      <c r="AV1210" s="461"/>
      <c r="AW1210" s="463"/>
    </row>
    <row r="1211" spans="1:49" ht="14.45" customHeight="1" x14ac:dyDescent="0.25">
      <c r="A1211" s="297" t="str">
        <f t="shared" si="18"/>
        <v/>
      </c>
      <c r="B1211" s="460"/>
      <c r="C1211" s="465"/>
      <c r="D1211" s="465"/>
      <c r="E1211" s="465"/>
      <c r="F1211" s="465"/>
      <c r="G1211" s="465"/>
      <c r="H1211" s="292"/>
      <c r="I1211" s="292"/>
      <c r="J1211" s="292"/>
      <c r="K1211" s="292"/>
      <c r="L1211" s="292"/>
      <c r="M1211" s="292"/>
      <c r="N1211" s="292"/>
      <c r="O1211" s="292"/>
      <c r="P1211" s="294"/>
      <c r="Q1211" s="294"/>
      <c r="R1211" s="294"/>
      <c r="S1211" s="294"/>
      <c r="T1211" s="294"/>
      <c r="U1211" s="294"/>
      <c r="V1211" s="431"/>
      <c r="W1211" s="331"/>
      <c r="X1211" s="331"/>
      <c r="Y1211" s="294">
        <f>IF(NFI_Expiration=1,IF($A1211&lt;VLOOKUP(H$5,NFI,5,0),1,0)*Table_NFI[[#This Row],[Hygiene Kit]],Table_NFI[Hygiene Kit])</f>
        <v>0</v>
      </c>
      <c r="Z1211" s="294">
        <f>IF(NFI_Expiration=1,IF($A1211&lt;VLOOKUP(I$5,NFI,5,0),1,0)*Table_NFI[[#This Row],[NFI Core Kit]],Table_NFI[NFI Core Kit])</f>
        <v>0</v>
      </c>
      <c r="AA1211" s="294">
        <f>IF(NFI_Expiration=1,IF($A1211&lt;VLOOKUP(J$5,NFI,5,0),1,0)*Table_NFI[[#This Row],[Sanitary Kit]],Table_NFI[Sanitary Kit])</f>
        <v>0</v>
      </c>
      <c r="AB1211" s="294">
        <f>IF(NFI_Expiration=1,IF($A1211&lt;VLOOKUP(K$5,NFI,5,0),1,0)*Table_NFI[[#This Row],[Mosquito net]],Table_NFI[Mosquito net])</f>
        <v>0</v>
      </c>
      <c r="AC1211" s="294">
        <f>IF(NFI_Expiration=1,IF($A1211&lt;VLOOKUP(L$5,NFI,5,0),1,0)*Table_NFI[[#This Row],[Tarpaulin]],Table_NFI[[#This Row],[Tarpaulin]])</f>
        <v>0</v>
      </c>
      <c r="AD1211" s="294">
        <f>IF(NFI_Expiration=1,IF($A1211&lt;VLOOKUP(M$5,NFI,5,0),1,0)*Table_NFI[[#This Row],[Blanket]],Table_NFI[[#This Row],[Blanket]])</f>
        <v>0</v>
      </c>
      <c r="AE1211" s="294">
        <f>IF(NFI_Expiration=1,IF($A1211&lt;VLOOKUP(N$5,NFI,5,0),1,0)*Table_NFI[[#This Row],[Kitchen Set]],Table_NFI[Kitchen Set])</f>
        <v>0</v>
      </c>
      <c r="AF1211" s="294">
        <f>IF(NFI_Expiration=1,IF($A1211&lt;VLOOKUP(O$5,NFI,5,0),1,0)*Table_NFI[[#This Row],[Clothes Kit]],Table_NFI[Clothes Kit])</f>
        <v>0</v>
      </c>
      <c r="AG1211" s="294">
        <f>IF(NFI_Expiration=1,IF($A1211&lt;VLOOKUP(P$5,NFI,5,0),1,0)*Table_NFI[[#This Row],[Plastic Bucket]],Table_NFI[Plastic Bucket])</f>
        <v>0</v>
      </c>
      <c r="AH1211" s="294">
        <f>IF(NFI_Expiration=1,IF($A1211&lt;VLOOKUP(Q$5,NFI,5,0),1,0)*Table_NFI[[#This Row],[Plastic Mat]],Table_NFI[Plastic Mat])*IF(Table_NFI[[#This Row],[Distribution Date]]&gt;"2014-04-01",1,2.5)</f>
        <v>0</v>
      </c>
      <c r="AI1211" s="294">
        <f>IF(NFI_Expiration=1,IF($A1211&lt;VLOOKUP(R$5,NFI,5,0),1,0)*Table_NFI[[#This Row],[Winter Clothes Adult]],Table_NFI[Winter Clothes Adult])</f>
        <v>0</v>
      </c>
      <c r="AJ1211" s="294">
        <f>IF(NFI_Expiration=1,IF($A1211&lt;VLOOKUP(S$5,NFI,5,0),1,0)*Table_NFI[[#This Row],[Winter Clothes Children]],Table_NFI[Winter Clothes Children])</f>
        <v>0</v>
      </c>
      <c r="AK1211" s="294">
        <f>IF(NFI_Expiration=1,IF($A1211&lt;VLOOKUP(T$5,NFI,5,0),1,0)*Table_NFI[[#This Row],[Winter Items Other]],Table_NFI[Winter Items Other])</f>
        <v>0</v>
      </c>
      <c r="AL1211" s="294">
        <f>IF(NFI_Expiration=1,IF($A1211&lt;VLOOKUP(M$5,NFI,5,0),1,0)*Table_NFI[[#This Row],[Winter Blanket]],Table_NFI[[#This Row],[Winter Blanket]])</f>
        <v>0</v>
      </c>
      <c r="AM1211" s="294">
        <f>IF(Table_NFI[[#This Row],[Winter Clothes Adult]]+Table_NFI[[#This Row],[Winter Clothes Children]]+Table_NFI[[#This Row],[Winter Items Other]]+Table_NFI[[#This Row],[Winter Blanket]]&gt;0,1,0)</f>
        <v>0</v>
      </c>
      <c r="AN1211" s="331">
        <f>IF(NFI_Expiration=1,IF($A1211&lt;VLOOKUP(V$5,NFI,5,0),1,0)*Table_NFI[[#This Row],[Jerry Can]],Table_NFI[Jerry Can])</f>
        <v>0</v>
      </c>
      <c r="AO1211" s="331">
        <f>IF(NFI_Expiration=1,IF($A1211&lt;VLOOKUP(V$5,NFI,5,0),1,0)*Table_NFI[[#This Row],[Shelter Tool kit]],Table_NFI[Shelter Tool kit])</f>
        <v>0</v>
      </c>
      <c r="AP1211" s="331">
        <f>IF(NFI_Expiration=1,IF($A1211&lt;VLOOKUP(V$5,NFI,5,0),1,0)*Table_NFI[[#This Row],[Tent]],Table_NFI[Tent])</f>
        <v>0</v>
      </c>
      <c r="AQ1211" s="467" t="str">
        <f>IFERROR(VLOOKUP(Table_NFI[[#This Row],[Camp Name]],CL,2,0),"")</f>
        <v/>
      </c>
      <c r="AR1211" s="835" t="str">
        <f ca="1">IF(Table_NFI[[#This Row],[Pcode]]="","",IF(OFFSET(CampList[Opening Date],MATCH(Table_NFI[[#This Row],[Pcode]],CampList[CP_Pcode],0)-1,0,1,1)&gt;=NFI_Monitor_Date,1,0))</f>
        <v/>
      </c>
      <c r="AS1211" s="467" t="str">
        <f>IFERROR(VLOOKUP(Table_NFI[[#This Row],[Camp Name]],CL,3,0),"")</f>
        <v/>
      </c>
      <c r="AT1211" s="294" t="str">
        <f ca="1">IF(Table_NFI[[#This Row],[Pcode]]="","",OFFSET(CampList[Priority],MATCH(Table_NFI[[#This Row],[Pcode]],CampList[CP_Pcode],0)-1,0,1,1))</f>
        <v/>
      </c>
      <c r="AU1211" s="293" t="str">
        <f>IFERROR(Table_NFI[[#This Row],[Kitchen Set]]/VLOOKUP(Table_NFI[[#This Row],[Camp Name]],CL,4,0),"")</f>
        <v/>
      </c>
      <c r="AV1211" s="461"/>
      <c r="AW1211" s="463"/>
    </row>
    <row r="1212" spans="1:49" ht="14.45" customHeight="1" x14ac:dyDescent="0.25">
      <c r="A1212" s="297" t="str">
        <f t="shared" si="18"/>
        <v/>
      </c>
      <c r="B1212" s="460"/>
      <c r="C1212" s="465"/>
      <c r="D1212" s="465"/>
      <c r="E1212" s="465"/>
      <c r="F1212" s="465"/>
      <c r="G1212" s="465"/>
      <c r="H1212" s="292"/>
      <c r="I1212" s="292"/>
      <c r="J1212" s="292"/>
      <c r="K1212" s="292"/>
      <c r="L1212" s="292"/>
      <c r="M1212" s="292"/>
      <c r="N1212" s="292"/>
      <c r="O1212" s="292"/>
      <c r="P1212" s="294"/>
      <c r="Q1212" s="294"/>
      <c r="R1212" s="294"/>
      <c r="S1212" s="294"/>
      <c r="T1212" s="294"/>
      <c r="U1212" s="294"/>
      <c r="V1212" s="431"/>
      <c r="W1212" s="331"/>
      <c r="X1212" s="331"/>
      <c r="Y1212" s="294">
        <f>IF(NFI_Expiration=1,IF($A1212&lt;VLOOKUP(H$5,NFI,5,0),1,0)*Table_NFI[[#This Row],[Hygiene Kit]],Table_NFI[Hygiene Kit])</f>
        <v>0</v>
      </c>
      <c r="Z1212" s="294">
        <f>IF(NFI_Expiration=1,IF($A1212&lt;VLOOKUP(I$5,NFI,5,0),1,0)*Table_NFI[[#This Row],[NFI Core Kit]],Table_NFI[NFI Core Kit])</f>
        <v>0</v>
      </c>
      <c r="AA1212" s="294">
        <f>IF(NFI_Expiration=1,IF($A1212&lt;VLOOKUP(J$5,NFI,5,0),1,0)*Table_NFI[[#This Row],[Sanitary Kit]],Table_NFI[Sanitary Kit])</f>
        <v>0</v>
      </c>
      <c r="AB1212" s="294">
        <f>IF(NFI_Expiration=1,IF($A1212&lt;VLOOKUP(K$5,NFI,5,0),1,0)*Table_NFI[[#This Row],[Mosquito net]],Table_NFI[Mosquito net])</f>
        <v>0</v>
      </c>
      <c r="AC1212" s="294">
        <f>IF(NFI_Expiration=1,IF($A1212&lt;VLOOKUP(L$5,NFI,5,0),1,0)*Table_NFI[[#This Row],[Tarpaulin]],Table_NFI[[#This Row],[Tarpaulin]])</f>
        <v>0</v>
      </c>
      <c r="AD1212" s="294">
        <f>IF(NFI_Expiration=1,IF($A1212&lt;VLOOKUP(M$5,NFI,5,0),1,0)*Table_NFI[[#This Row],[Blanket]],Table_NFI[[#This Row],[Blanket]])</f>
        <v>0</v>
      </c>
      <c r="AE1212" s="294">
        <f>IF(NFI_Expiration=1,IF($A1212&lt;VLOOKUP(N$5,NFI,5,0),1,0)*Table_NFI[[#This Row],[Kitchen Set]],Table_NFI[Kitchen Set])</f>
        <v>0</v>
      </c>
      <c r="AF1212" s="294">
        <f>IF(NFI_Expiration=1,IF($A1212&lt;VLOOKUP(O$5,NFI,5,0),1,0)*Table_NFI[[#This Row],[Clothes Kit]],Table_NFI[Clothes Kit])</f>
        <v>0</v>
      </c>
      <c r="AG1212" s="294">
        <f>IF(NFI_Expiration=1,IF($A1212&lt;VLOOKUP(P$5,NFI,5,0),1,0)*Table_NFI[[#This Row],[Plastic Bucket]],Table_NFI[Plastic Bucket])</f>
        <v>0</v>
      </c>
      <c r="AH1212" s="294">
        <f>IF(NFI_Expiration=1,IF($A1212&lt;VLOOKUP(Q$5,NFI,5,0),1,0)*Table_NFI[[#This Row],[Plastic Mat]],Table_NFI[Plastic Mat])*IF(Table_NFI[[#This Row],[Distribution Date]]&gt;"2014-04-01",1,2.5)</f>
        <v>0</v>
      </c>
      <c r="AI1212" s="294">
        <f>IF(NFI_Expiration=1,IF($A1212&lt;VLOOKUP(R$5,NFI,5,0),1,0)*Table_NFI[[#This Row],[Winter Clothes Adult]],Table_NFI[Winter Clothes Adult])</f>
        <v>0</v>
      </c>
      <c r="AJ1212" s="294">
        <f>IF(NFI_Expiration=1,IF($A1212&lt;VLOOKUP(S$5,NFI,5,0),1,0)*Table_NFI[[#This Row],[Winter Clothes Children]],Table_NFI[Winter Clothes Children])</f>
        <v>0</v>
      </c>
      <c r="AK1212" s="294">
        <f>IF(NFI_Expiration=1,IF($A1212&lt;VLOOKUP(T$5,NFI,5,0),1,0)*Table_NFI[[#This Row],[Winter Items Other]],Table_NFI[Winter Items Other])</f>
        <v>0</v>
      </c>
      <c r="AL1212" s="294">
        <f>IF(NFI_Expiration=1,IF($A1212&lt;VLOOKUP(M$5,NFI,5,0),1,0)*Table_NFI[[#This Row],[Winter Blanket]],Table_NFI[[#This Row],[Winter Blanket]])</f>
        <v>0</v>
      </c>
      <c r="AM1212" s="294">
        <f>IF(Table_NFI[[#This Row],[Winter Clothes Adult]]+Table_NFI[[#This Row],[Winter Clothes Children]]+Table_NFI[[#This Row],[Winter Items Other]]+Table_NFI[[#This Row],[Winter Blanket]]&gt;0,1,0)</f>
        <v>0</v>
      </c>
      <c r="AN1212" s="331">
        <f>IF(NFI_Expiration=1,IF($A1212&lt;VLOOKUP(V$5,NFI,5,0),1,0)*Table_NFI[[#This Row],[Jerry Can]],Table_NFI[Jerry Can])</f>
        <v>0</v>
      </c>
      <c r="AO1212" s="331">
        <f>IF(NFI_Expiration=1,IF($A1212&lt;VLOOKUP(V$5,NFI,5,0),1,0)*Table_NFI[[#This Row],[Shelter Tool kit]],Table_NFI[Shelter Tool kit])</f>
        <v>0</v>
      </c>
      <c r="AP1212" s="331">
        <f>IF(NFI_Expiration=1,IF($A1212&lt;VLOOKUP(V$5,NFI,5,0),1,0)*Table_NFI[[#This Row],[Tent]],Table_NFI[Tent])</f>
        <v>0</v>
      </c>
      <c r="AQ1212" s="467" t="str">
        <f>IFERROR(VLOOKUP(Table_NFI[[#This Row],[Camp Name]],CL,2,0),"")</f>
        <v/>
      </c>
      <c r="AR1212" s="835" t="str">
        <f ca="1">IF(Table_NFI[[#This Row],[Pcode]]="","",IF(OFFSET(CampList[Opening Date],MATCH(Table_NFI[[#This Row],[Pcode]],CampList[CP_Pcode],0)-1,0,1,1)&gt;=NFI_Monitor_Date,1,0))</f>
        <v/>
      </c>
      <c r="AS1212" s="467" t="str">
        <f>IFERROR(VLOOKUP(Table_NFI[[#This Row],[Camp Name]],CL,3,0),"")</f>
        <v/>
      </c>
      <c r="AT1212" s="294" t="str">
        <f ca="1">IF(Table_NFI[[#This Row],[Pcode]]="","",OFFSET(CampList[Priority],MATCH(Table_NFI[[#This Row],[Pcode]],CampList[CP_Pcode],0)-1,0,1,1))</f>
        <v/>
      </c>
      <c r="AU1212" s="293" t="str">
        <f>IFERROR(Table_NFI[[#This Row],[Kitchen Set]]/VLOOKUP(Table_NFI[[#This Row],[Camp Name]],CL,4,0),"")</f>
        <v/>
      </c>
      <c r="AV1212" s="461"/>
      <c r="AW1212" s="463"/>
    </row>
    <row r="1213" spans="1:49" ht="14.45" customHeight="1" x14ac:dyDescent="0.25">
      <c r="A1213" s="297" t="str">
        <f t="shared" si="18"/>
        <v/>
      </c>
      <c r="B1213" s="460"/>
      <c r="C1213" s="465"/>
      <c r="D1213" s="465"/>
      <c r="E1213" s="465"/>
      <c r="F1213" s="465"/>
      <c r="G1213" s="465"/>
      <c r="H1213" s="292"/>
      <c r="I1213" s="292"/>
      <c r="J1213" s="292"/>
      <c r="K1213" s="292"/>
      <c r="L1213" s="292"/>
      <c r="M1213" s="292"/>
      <c r="N1213" s="292"/>
      <c r="O1213" s="292"/>
      <c r="P1213" s="294"/>
      <c r="Q1213" s="294"/>
      <c r="R1213" s="294"/>
      <c r="S1213" s="294"/>
      <c r="T1213" s="294"/>
      <c r="U1213" s="294"/>
      <c r="V1213" s="431"/>
      <c r="W1213" s="331"/>
      <c r="X1213" s="331"/>
      <c r="Y1213" s="294">
        <f>IF(NFI_Expiration=1,IF($A1213&lt;VLOOKUP(H$5,NFI,5,0),1,0)*Table_NFI[[#This Row],[Hygiene Kit]],Table_NFI[Hygiene Kit])</f>
        <v>0</v>
      </c>
      <c r="Z1213" s="294">
        <f>IF(NFI_Expiration=1,IF($A1213&lt;VLOOKUP(I$5,NFI,5,0),1,0)*Table_NFI[[#This Row],[NFI Core Kit]],Table_NFI[NFI Core Kit])</f>
        <v>0</v>
      </c>
      <c r="AA1213" s="294">
        <f>IF(NFI_Expiration=1,IF($A1213&lt;VLOOKUP(J$5,NFI,5,0),1,0)*Table_NFI[[#This Row],[Sanitary Kit]],Table_NFI[Sanitary Kit])</f>
        <v>0</v>
      </c>
      <c r="AB1213" s="294">
        <f>IF(NFI_Expiration=1,IF($A1213&lt;VLOOKUP(K$5,NFI,5,0),1,0)*Table_NFI[[#This Row],[Mosquito net]],Table_NFI[Mosquito net])</f>
        <v>0</v>
      </c>
      <c r="AC1213" s="294">
        <f>IF(NFI_Expiration=1,IF($A1213&lt;VLOOKUP(L$5,NFI,5,0),1,0)*Table_NFI[[#This Row],[Tarpaulin]],Table_NFI[[#This Row],[Tarpaulin]])</f>
        <v>0</v>
      </c>
      <c r="AD1213" s="294">
        <f>IF(NFI_Expiration=1,IF($A1213&lt;VLOOKUP(M$5,NFI,5,0),1,0)*Table_NFI[[#This Row],[Blanket]],Table_NFI[[#This Row],[Blanket]])</f>
        <v>0</v>
      </c>
      <c r="AE1213" s="294">
        <f>IF(NFI_Expiration=1,IF($A1213&lt;VLOOKUP(N$5,NFI,5,0),1,0)*Table_NFI[[#This Row],[Kitchen Set]],Table_NFI[Kitchen Set])</f>
        <v>0</v>
      </c>
      <c r="AF1213" s="294">
        <f>IF(NFI_Expiration=1,IF($A1213&lt;VLOOKUP(O$5,NFI,5,0),1,0)*Table_NFI[[#This Row],[Clothes Kit]],Table_NFI[Clothes Kit])</f>
        <v>0</v>
      </c>
      <c r="AG1213" s="294">
        <f>IF(NFI_Expiration=1,IF($A1213&lt;VLOOKUP(P$5,NFI,5,0),1,0)*Table_NFI[[#This Row],[Plastic Bucket]],Table_NFI[Plastic Bucket])</f>
        <v>0</v>
      </c>
      <c r="AH1213" s="294">
        <f>IF(NFI_Expiration=1,IF($A1213&lt;VLOOKUP(Q$5,NFI,5,0),1,0)*Table_NFI[[#This Row],[Plastic Mat]],Table_NFI[Plastic Mat])*IF(Table_NFI[[#This Row],[Distribution Date]]&gt;"2014-04-01",1,2.5)</f>
        <v>0</v>
      </c>
      <c r="AI1213" s="294">
        <f>IF(NFI_Expiration=1,IF($A1213&lt;VLOOKUP(R$5,NFI,5,0),1,0)*Table_NFI[[#This Row],[Winter Clothes Adult]],Table_NFI[Winter Clothes Adult])</f>
        <v>0</v>
      </c>
      <c r="AJ1213" s="294">
        <f>IF(NFI_Expiration=1,IF($A1213&lt;VLOOKUP(S$5,NFI,5,0),1,0)*Table_NFI[[#This Row],[Winter Clothes Children]],Table_NFI[Winter Clothes Children])</f>
        <v>0</v>
      </c>
      <c r="AK1213" s="294">
        <f>IF(NFI_Expiration=1,IF($A1213&lt;VLOOKUP(T$5,NFI,5,0),1,0)*Table_NFI[[#This Row],[Winter Items Other]],Table_NFI[Winter Items Other])</f>
        <v>0</v>
      </c>
      <c r="AL1213" s="294">
        <f>IF(NFI_Expiration=1,IF($A1213&lt;VLOOKUP(M$5,NFI,5,0),1,0)*Table_NFI[[#This Row],[Winter Blanket]],Table_NFI[[#This Row],[Winter Blanket]])</f>
        <v>0</v>
      </c>
      <c r="AM1213" s="294">
        <f>IF(Table_NFI[[#This Row],[Winter Clothes Adult]]+Table_NFI[[#This Row],[Winter Clothes Children]]+Table_NFI[[#This Row],[Winter Items Other]]+Table_NFI[[#This Row],[Winter Blanket]]&gt;0,1,0)</f>
        <v>0</v>
      </c>
      <c r="AN1213" s="331">
        <f>IF(NFI_Expiration=1,IF($A1213&lt;VLOOKUP(V$5,NFI,5,0),1,0)*Table_NFI[[#This Row],[Jerry Can]],Table_NFI[Jerry Can])</f>
        <v>0</v>
      </c>
      <c r="AO1213" s="331">
        <f>IF(NFI_Expiration=1,IF($A1213&lt;VLOOKUP(V$5,NFI,5,0),1,0)*Table_NFI[[#This Row],[Shelter Tool kit]],Table_NFI[Shelter Tool kit])</f>
        <v>0</v>
      </c>
      <c r="AP1213" s="331">
        <f>IF(NFI_Expiration=1,IF($A1213&lt;VLOOKUP(V$5,NFI,5,0),1,0)*Table_NFI[[#This Row],[Tent]],Table_NFI[Tent])</f>
        <v>0</v>
      </c>
      <c r="AQ1213" s="467" t="str">
        <f>IFERROR(VLOOKUP(Table_NFI[[#This Row],[Camp Name]],CL,2,0),"")</f>
        <v/>
      </c>
      <c r="AR1213" s="835" t="str">
        <f ca="1">IF(Table_NFI[[#This Row],[Pcode]]="","",IF(OFFSET(CampList[Opening Date],MATCH(Table_NFI[[#This Row],[Pcode]],CampList[CP_Pcode],0)-1,0,1,1)&gt;=NFI_Monitor_Date,1,0))</f>
        <v/>
      </c>
      <c r="AS1213" s="467" t="str">
        <f>IFERROR(VLOOKUP(Table_NFI[[#This Row],[Camp Name]],CL,3,0),"")</f>
        <v/>
      </c>
      <c r="AT1213" s="294" t="str">
        <f ca="1">IF(Table_NFI[[#This Row],[Pcode]]="","",OFFSET(CampList[Priority],MATCH(Table_NFI[[#This Row],[Pcode]],CampList[CP_Pcode],0)-1,0,1,1))</f>
        <v/>
      </c>
      <c r="AU1213" s="293" t="str">
        <f>IFERROR(Table_NFI[[#This Row],[Kitchen Set]]/VLOOKUP(Table_NFI[[#This Row],[Camp Name]],CL,4,0),"")</f>
        <v/>
      </c>
      <c r="AV1213" s="461"/>
      <c r="AW1213" s="463"/>
    </row>
    <row r="1214" spans="1:49" ht="14.45" customHeight="1" x14ac:dyDescent="0.25">
      <c r="A1214" s="297" t="str">
        <f t="shared" si="18"/>
        <v/>
      </c>
      <c r="B1214" s="460"/>
      <c r="C1214" s="465"/>
      <c r="D1214" s="465"/>
      <c r="E1214" s="465"/>
      <c r="F1214" s="465"/>
      <c r="G1214" s="465"/>
      <c r="H1214" s="292"/>
      <c r="I1214" s="292"/>
      <c r="J1214" s="292"/>
      <c r="K1214" s="292"/>
      <c r="L1214" s="292"/>
      <c r="M1214" s="292"/>
      <c r="N1214" s="292"/>
      <c r="O1214" s="292"/>
      <c r="P1214" s="294"/>
      <c r="Q1214" s="294"/>
      <c r="R1214" s="294"/>
      <c r="S1214" s="294"/>
      <c r="T1214" s="294"/>
      <c r="U1214" s="294"/>
      <c r="V1214" s="431"/>
      <c r="W1214" s="331"/>
      <c r="X1214" s="331"/>
      <c r="Y1214" s="294">
        <f>IF(NFI_Expiration=1,IF($A1214&lt;VLOOKUP(H$5,NFI,5,0),1,0)*Table_NFI[[#This Row],[Hygiene Kit]],Table_NFI[Hygiene Kit])</f>
        <v>0</v>
      </c>
      <c r="Z1214" s="294">
        <f>IF(NFI_Expiration=1,IF($A1214&lt;VLOOKUP(I$5,NFI,5,0),1,0)*Table_NFI[[#This Row],[NFI Core Kit]],Table_NFI[NFI Core Kit])</f>
        <v>0</v>
      </c>
      <c r="AA1214" s="294">
        <f>IF(NFI_Expiration=1,IF($A1214&lt;VLOOKUP(J$5,NFI,5,0),1,0)*Table_NFI[[#This Row],[Sanitary Kit]],Table_NFI[Sanitary Kit])</f>
        <v>0</v>
      </c>
      <c r="AB1214" s="294">
        <f>IF(NFI_Expiration=1,IF($A1214&lt;VLOOKUP(K$5,NFI,5,0),1,0)*Table_NFI[[#This Row],[Mosquito net]],Table_NFI[Mosquito net])</f>
        <v>0</v>
      </c>
      <c r="AC1214" s="294">
        <f>IF(NFI_Expiration=1,IF($A1214&lt;VLOOKUP(L$5,NFI,5,0),1,0)*Table_NFI[[#This Row],[Tarpaulin]],Table_NFI[[#This Row],[Tarpaulin]])</f>
        <v>0</v>
      </c>
      <c r="AD1214" s="294">
        <f>IF(NFI_Expiration=1,IF($A1214&lt;VLOOKUP(M$5,NFI,5,0),1,0)*Table_NFI[[#This Row],[Blanket]],Table_NFI[[#This Row],[Blanket]])</f>
        <v>0</v>
      </c>
      <c r="AE1214" s="294">
        <f>IF(NFI_Expiration=1,IF($A1214&lt;VLOOKUP(N$5,NFI,5,0),1,0)*Table_NFI[[#This Row],[Kitchen Set]],Table_NFI[Kitchen Set])</f>
        <v>0</v>
      </c>
      <c r="AF1214" s="294">
        <f>IF(NFI_Expiration=1,IF($A1214&lt;VLOOKUP(O$5,NFI,5,0),1,0)*Table_NFI[[#This Row],[Clothes Kit]],Table_NFI[Clothes Kit])</f>
        <v>0</v>
      </c>
      <c r="AG1214" s="294">
        <f>IF(NFI_Expiration=1,IF($A1214&lt;VLOOKUP(P$5,NFI,5,0),1,0)*Table_NFI[[#This Row],[Plastic Bucket]],Table_NFI[Plastic Bucket])</f>
        <v>0</v>
      </c>
      <c r="AH1214" s="294">
        <f>IF(NFI_Expiration=1,IF($A1214&lt;VLOOKUP(Q$5,NFI,5,0),1,0)*Table_NFI[[#This Row],[Plastic Mat]],Table_NFI[Plastic Mat])*IF(Table_NFI[[#This Row],[Distribution Date]]&gt;"2014-04-01",1,2.5)</f>
        <v>0</v>
      </c>
      <c r="AI1214" s="294">
        <f>IF(NFI_Expiration=1,IF($A1214&lt;VLOOKUP(R$5,NFI,5,0),1,0)*Table_NFI[[#This Row],[Winter Clothes Adult]],Table_NFI[Winter Clothes Adult])</f>
        <v>0</v>
      </c>
      <c r="AJ1214" s="294">
        <f>IF(NFI_Expiration=1,IF($A1214&lt;VLOOKUP(S$5,NFI,5,0),1,0)*Table_NFI[[#This Row],[Winter Clothes Children]],Table_NFI[Winter Clothes Children])</f>
        <v>0</v>
      </c>
      <c r="AK1214" s="294">
        <f>IF(NFI_Expiration=1,IF($A1214&lt;VLOOKUP(T$5,NFI,5,0),1,0)*Table_NFI[[#This Row],[Winter Items Other]],Table_NFI[Winter Items Other])</f>
        <v>0</v>
      </c>
      <c r="AL1214" s="294">
        <f>IF(NFI_Expiration=1,IF($A1214&lt;VLOOKUP(M$5,NFI,5,0),1,0)*Table_NFI[[#This Row],[Winter Blanket]],Table_NFI[[#This Row],[Winter Blanket]])</f>
        <v>0</v>
      </c>
      <c r="AM1214" s="294">
        <f>IF(Table_NFI[[#This Row],[Winter Clothes Adult]]+Table_NFI[[#This Row],[Winter Clothes Children]]+Table_NFI[[#This Row],[Winter Items Other]]+Table_NFI[[#This Row],[Winter Blanket]]&gt;0,1,0)</f>
        <v>0</v>
      </c>
      <c r="AN1214" s="331">
        <f>IF(NFI_Expiration=1,IF($A1214&lt;VLOOKUP(V$5,NFI,5,0),1,0)*Table_NFI[[#This Row],[Jerry Can]],Table_NFI[Jerry Can])</f>
        <v>0</v>
      </c>
      <c r="AO1214" s="331">
        <f>IF(NFI_Expiration=1,IF($A1214&lt;VLOOKUP(V$5,NFI,5,0),1,0)*Table_NFI[[#This Row],[Shelter Tool kit]],Table_NFI[Shelter Tool kit])</f>
        <v>0</v>
      </c>
      <c r="AP1214" s="331">
        <f>IF(NFI_Expiration=1,IF($A1214&lt;VLOOKUP(V$5,NFI,5,0),1,0)*Table_NFI[[#This Row],[Tent]],Table_NFI[Tent])</f>
        <v>0</v>
      </c>
      <c r="AQ1214" s="467" t="str">
        <f>IFERROR(VLOOKUP(Table_NFI[[#This Row],[Camp Name]],CL,2,0),"")</f>
        <v/>
      </c>
      <c r="AR1214" s="835" t="str">
        <f ca="1">IF(Table_NFI[[#This Row],[Pcode]]="","",IF(OFFSET(CampList[Opening Date],MATCH(Table_NFI[[#This Row],[Pcode]],CampList[CP_Pcode],0)-1,0,1,1)&gt;=NFI_Monitor_Date,1,0))</f>
        <v/>
      </c>
      <c r="AS1214" s="467" t="str">
        <f>IFERROR(VLOOKUP(Table_NFI[[#This Row],[Camp Name]],CL,3,0),"")</f>
        <v/>
      </c>
      <c r="AT1214" s="294" t="str">
        <f ca="1">IF(Table_NFI[[#This Row],[Pcode]]="","",OFFSET(CampList[Priority],MATCH(Table_NFI[[#This Row],[Pcode]],CampList[CP_Pcode],0)-1,0,1,1))</f>
        <v/>
      </c>
      <c r="AU1214" s="293" t="str">
        <f>IFERROR(Table_NFI[[#This Row],[Kitchen Set]]/VLOOKUP(Table_NFI[[#This Row],[Camp Name]],CL,4,0),"")</f>
        <v/>
      </c>
      <c r="AV1214" s="461"/>
      <c r="AW1214" s="463"/>
    </row>
    <row r="1215" spans="1:49" ht="14.45" customHeight="1" x14ac:dyDescent="0.25">
      <c r="A1215" s="297" t="str">
        <f t="shared" si="18"/>
        <v/>
      </c>
      <c r="B1215" s="460"/>
      <c r="C1215" s="465"/>
      <c r="D1215" s="465"/>
      <c r="E1215" s="465"/>
      <c r="F1215" s="465"/>
      <c r="G1215" s="465"/>
      <c r="H1215" s="292"/>
      <c r="I1215" s="292"/>
      <c r="J1215" s="292"/>
      <c r="K1215" s="292"/>
      <c r="L1215" s="292"/>
      <c r="M1215" s="292"/>
      <c r="N1215" s="292"/>
      <c r="O1215" s="292"/>
      <c r="P1215" s="294"/>
      <c r="Q1215" s="294"/>
      <c r="R1215" s="294"/>
      <c r="S1215" s="294"/>
      <c r="T1215" s="294"/>
      <c r="U1215" s="294"/>
      <c r="V1215" s="431"/>
      <c r="W1215" s="331"/>
      <c r="X1215" s="331"/>
      <c r="Y1215" s="294">
        <f>IF(NFI_Expiration=1,IF($A1215&lt;VLOOKUP(H$5,NFI,5,0),1,0)*Table_NFI[[#This Row],[Hygiene Kit]],Table_NFI[Hygiene Kit])</f>
        <v>0</v>
      </c>
      <c r="Z1215" s="294">
        <f>IF(NFI_Expiration=1,IF($A1215&lt;VLOOKUP(I$5,NFI,5,0),1,0)*Table_NFI[[#This Row],[NFI Core Kit]],Table_NFI[NFI Core Kit])</f>
        <v>0</v>
      </c>
      <c r="AA1215" s="294">
        <f>IF(NFI_Expiration=1,IF($A1215&lt;VLOOKUP(J$5,NFI,5,0),1,0)*Table_NFI[[#This Row],[Sanitary Kit]],Table_NFI[Sanitary Kit])</f>
        <v>0</v>
      </c>
      <c r="AB1215" s="294">
        <f>IF(NFI_Expiration=1,IF($A1215&lt;VLOOKUP(K$5,NFI,5,0),1,0)*Table_NFI[[#This Row],[Mosquito net]],Table_NFI[Mosquito net])</f>
        <v>0</v>
      </c>
      <c r="AC1215" s="294">
        <f>IF(NFI_Expiration=1,IF($A1215&lt;VLOOKUP(L$5,NFI,5,0),1,0)*Table_NFI[[#This Row],[Tarpaulin]],Table_NFI[[#This Row],[Tarpaulin]])</f>
        <v>0</v>
      </c>
      <c r="AD1215" s="294">
        <f>IF(NFI_Expiration=1,IF($A1215&lt;VLOOKUP(M$5,NFI,5,0),1,0)*Table_NFI[[#This Row],[Blanket]],Table_NFI[[#This Row],[Blanket]])</f>
        <v>0</v>
      </c>
      <c r="AE1215" s="294">
        <f>IF(NFI_Expiration=1,IF($A1215&lt;VLOOKUP(N$5,NFI,5,0),1,0)*Table_NFI[[#This Row],[Kitchen Set]],Table_NFI[Kitchen Set])</f>
        <v>0</v>
      </c>
      <c r="AF1215" s="294">
        <f>IF(NFI_Expiration=1,IF($A1215&lt;VLOOKUP(O$5,NFI,5,0),1,0)*Table_NFI[[#This Row],[Clothes Kit]],Table_NFI[Clothes Kit])</f>
        <v>0</v>
      </c>
      <c r="AG1215" s="294">
        <f>IF(NFI_Expiration=1,IF($A1215&lt;VLOOKUP(P$5,NFI,5,0),1,0)*Table_NFI[[#This Row],[Plastic Bucket]],Table_NFI[Plastic Bucket])</f>
        <v>0</v>
      </c>
      <c r="AH1215" s="294">
        <f>IF(NFI_Expiration=1,IF($A1215&lt;VLOOKUP(Q$5,NFI,5,0),1,0)*Table_NFI[[#This Row],[Plastic Mat]],Table_NFI[Plastic Mat])*IF(Table_NFI[[#This Row],[Distribution Date]]&gt;"2014-04-01",1,2.5)</f>
        <v>0</v>
      </c>
      <c r="AI1215" s="294">
        <f>IF(NFI_Expiration=1,IF($A1215&lt;VLOOKUP(R$5,NFI,5,0),1,0)*Table_NFI[[#This Row],[Winter Clothes Adult]],Table_NFI[Winter Clothes Adult])</f>
        <v>0</v>
      </c>
      <c r="AJ1215" s="294">
        <f>IF(NFI_Expiration=1,IF($A1215&lt;VLOOKUP(S$5,NFI,5,0),1,0)*Table_NFI[[#This Row],[Winter Clothes Children]],Table_NFI[Winter Clothes Children])</f>
        <v>0</v>
      </c>
      <c r="AK1215" s="294">
        <f>IF(NFI_Expiration=1,IF($A1215&lt;VLOOKUP(T$5,NFI,5,0),1,0)*Table_NFI[[#This Row],[Winter Items Other]],Table_NFI[Winter Items Other])</f>
        <v>0</v>
      </c>
      <c r="AL1215" s="294">
        <f>IF(NFI_Expiration=1,IF($A1215&lt;VLOOKUP(M$5,NFI,5,0),1,0)*Table_NFI[[#This Row],[Winter Blanket]],Table_NFI[[#This Row],[Winter Blanket]])</f>
        <v>0</v>
      </c>
      <c r="AM1215" s="294">
        <f>IF(Table_NFI[[#This Row],[Winter Clothes Adult]]+Table_NFI[[#This Row],[Winter Clothes Children]]+Table_NFI[[#This Row],[Winter Items Other]]+Table_NFI[[#This Row],[Winter Blanket]]&gt;0,1,0)</f>
        <v>0</v>
      </c>
      <c r="AN1215" s="331">
        <f>IF(NFI_Expiration=1,IF($A1215&lt;VLOOKUP(V$5,NFI,5,0),1,0)*Table_NFI[[#This Row],[Jerry Can]],Table_NFI[Jerry Can])</f>
        <v>0</v>
      </c>
      <c r="AO1215" s="331">
        <f>IF(NFI_Expiration=1,IF($A1215&lt;VLOOKUP(V$5,NFI,5,0),1,0)*Table_NFI[[#This Row],[Shelter Tool kit]],Table_NFI[Shelter Tool kit])</f>
        <v>0</v>
      </c>
      <c r="AP1215" s="331">
        <f>IF(NFI_Expiration=1,IF($A1215&lt;VLOOKUP(V$5,NFI,5,0),1,0)*Table_NFI[[#This Row],[Tent]],Table_NFI[Tent])</f>
        <v>0</v>
      </c>
      <c r="AQ1215" s="467" t="str">
        <f>IFERROR(VLOOKUP(Table_NFI[[#This Row],[Camp Name]],CL,2,0),"")</f>
        <v/>
      </c>
      <c r="AR1215" s="835" t="str">
        <f ca="1">IF(Table_NFI[[#This Row],[Pcode]]="","",IF(OFFSET(CampList[Opening Date],MATCH(Table_NFI[[#This Row],[Pcode]],CampList[CP_Pcode],0)-1,0,1,1)&gt;=NFI_Monitor_Date,1,0))</f>
        <v/>
      </c>
      <c r="AS1215" s="467" t="str">
        <f>IFERROR(VLOOKUP(Table_NFI[[#This Row],[Camp Name]],CL,3,0),"")</f>
        <v/>
      </c>
      <c r="AT1215" s="294" t="str">
        <f ca="1">IF(Table_NFI[[#This Row],[Pcode]]="","",OFFSET(CampList[Priority],MATCH(Table_NFI[[#This Row],[Pcode]],CampList[CP_Pcode],0)-1,0,1,1))</f>
        <v/>
      </c>
      <c r="AU1215" s="293" t="str">
        <f>IFERROR(Table_NFI[[#This Row],[Kitchen Set]]/VLOOKUP(Table_NFI[[#This Row],[Camp Name]],CL,4,0),"")</f>
        <v/>
      </c>
      <c r="AV1215" s="461"/>
      <c r="AW1215" s="463"/>
    </row>
    <row r="1216" spans="1:49" ht="14.45" customHeight="1" x14ac:dyDescent="0.25">
      <c r="A1216" s="297" t="str">
        <f t="shared" si="18"/>
        <v/>
      </c>
      <c r="B1216" s="460"/>
      <c r="C1216" s="465"/>
      <c r="D1216" s="465"/>
      <c r="E1216" s="465"/>
      <c r="F1216" s="465"/>
      <c r="G1216" s="465"/>
      <c r="H1216" s="292"/>
      <c r="I1216" s="292"/>
      <c r="J1216" s="292"/>
      <c r="K1216" s="292"/>
      <c r="L1216" s="292"/>
      <c r="M1216" s="292"/>
      <c r="N1216" s="292"/>
      <c r="O1216" s="292"/>
      <c r="P1216" s="294"/>
      <c r="Q1216" s="294"/>
      <c r="R1216" s="294"/>
      <c r="S1216" s="294"/>
      <c r="T1216" s="294"/>
      <c r="U1216" s="294"/>
      <c r="V1216" s="431"/>
      <c r="W1216" s="331"/>
      <c r="X1216" s="331"/>
      <c r="Y1216" s="294">
        <f>IF(NFI_Expiration=1,IF($A1216&lt;VLOOKUP(H$5,NFI,5,0),1,0)*Table_NFI[[#This Row],[Hygiene Kit]],Table_NFI[Hygiene Kit])</f>
        <v>0</v>
      </c>
      <c r="Z1216" s="294">
        <f>IF(NFI_Expiration=1,IF($A1216&lt;VLOOKUP(I$5,NFI,5,0),1,0)*Table_NFI[[#This Row],[NFI Core Kit]],Table_NFI[NFI Core Kit])</f>
        <v>0</v>
      </c>
      <c r="AA1216" s="294">
        <f>IF(NFI_Expiration=1,IF($A1216&lt;VLOOKUP(J$5,NFI,5,0),1,0)*Table_NFI[[#This Row],[Sanitary Kit]],Table_NFI[Sanitary Kit])</f>
        <v>0</v>
      </c>
      <c r="AB1216" s="294">
        <f>IF(NFI_Expiration=1,IF($A1216&lt;VLOOKUP(K$5,NFI,5,0),1,0)*Table_NFI[[#This Row],[Mosquito net]],Table_NFI[Mosquito net])</f>
        <v>0</v>
      </c>
      <c r="AC1216" s="294">
        <f>IF(NFI_Expiration=1,IF($A1216&lt;VLOOKUP(L$5,NFI,5,0),1,0)*Table_NFI[[#This Row],[Tarpaulin]],Table_NFI[[#This Row],[Tarpaulin]])</f>
        <v>0</v>
      </c>
      <c r="AD1216" s="294">
        <f>IF(NFI_Expiration=1,IF($A1216&lt;VLOOKUP(M$5,NFI,5,0),1,0)*Table_NFI[[#This Row],[Blanket]],Table_NFI[[#This Row],[Blanket]])</f>
        <v>0</v>
      </c>
      <c r="AE1216" s="294">
        <f>IF(NFI_Expiration=1,IF($A1216&lt;VLOOKUP(N$5,NFI,5,0),1,0)*Table_NFI[[#This Row],[Kitchen Set]],Table_NFI[Kitchen Set])</f>
        <v>0</v>
      </c>
      <c r="AF1216" s="294">
        <f>IF(NFI_Expiration=1,IF($A1216&lt;VLOOKUP(O$5,NFI,5,0),1,0)*Table_NFI[[#This Row],[Clothes Kit]],Table_NFI[Clothes Kit])</f>
        <v>0</v>
      </c>
      <c r="AG1216" s="294">
        <f>IF(NFI_Expiration=1,IF($A1216&lt;VLOOKUP(P$5,NFI,5,0),1,0)*Table_NFI[[#This Row],[Plastic Bucket]],Table_NFI[Plastic Bucket])</f>
        <v>0</v>
      </c>
      <c r="AH1216" s="294">
        <f>IF(NFI_Expiration=1,IF($A1216&lt;VLOOKUP(Q$5,NFI,5,0),1,0)*Table_NFI[[#This Row],[Plastic Mat]],Table_NFI[Plastic Mat])*IF(Table_NFI[[#This Row],[Distribution Date]]&gt;"2014-04-01",1,2.5)</f>
        <v>0</v>
      </c>
      <c r="AI1216" s="294">
        <f>IF(NFI_Expiration=1,IF($A1216&lt;VLOOKUP(R$5,NFI,5,0),1,0)*Table_NFI[[#This Row],[Winter Clothes Adult]],Table_NFI[Winter Clothes Adult])</f>
        <v>0</v>
      </c>
      <c r="AJ1216" s="294">
        <f>IF(NFI_Expiration=1,IF($A1216&lt;VLOOKUP(S$5,NFI,5,0),1,0)*Table_NFI[[#This Row],[Winter Clothes Children]],Table_NFI[Winter Clothes Children])</f>
        <v>0</v>
      </c>
      <c r="AK1216" s="294">
        <f>IF(NFI_Expiration=1,IF($A1216&lt;VLOOKUP(T$5,NFI,5,0),1,0)*Table_NFI[[#This Row],[Winter Items Other]],Table_NFI[Winter Items Other])</f>
        <v>0</v>
      </c>
      <c r="AL1216" s="294">
        <f>IF(NFI_Expiration=1,IF($A1216&lt;VLOOKUP(M$5,NFI,5,0),1,0)*Table_NFI[[#This Row],[Winter Blanket]],Table_NFI[[#This Row],[Winter Blanket]])</f>
        <v>0</v>
      </c>
      <c r="AM1216" s="294">
        <f>IF(Table_NFI[[#This Row],[Winter Clothes Adult]]+Table_NFI[[#This Row],[Winter Clothes Children]]+Table_NFI[[#This Row],[Winter Items Other]]+Table_NFI[[#This Row],[Winter Blanket]]&gt;0,1,0)</f>
        <v>0</v>
      </c>
      <c r="AN1216" s="331">
        <f>IF(NFI_Expiration=1,IF($A1216&lt;VLOOKUP(V$5,NFI,5,0),1,0)*Table_NFI[[#This Row],[Jerry Can]],Table_NFI[Jerry Can])</f>
        <v>0</v>
      </c>
      <c r="AO1216" s="331">
        <f>IF(NFI_Expiration=1,IF($A1216&lt;VLOOKUP(V$5,NFI,5,0),1,0)*Table_NFI[[#This Row],[Shelter Tool kit]],Table_NFI[Shelter Tool kit])</f>
        <v>0</v>
      </c>
      <c r="AP1216" s="331">
        <f>IF(NFI_Expiration=1,IF($A1216&lt;VLOOKUP(V$5,NFI,5,0),1,0)*Table_NFI[[#This Row],[Tent]],Table_NFI[Tent])</f>
        <v>0</v>
      </c>
      <c r="AQ1216" s="467" t="str">
        <f>IFERROR(VLOOKUP(Table_NFI[[#This Row],[Camp Name]],CL,2,0),"")</f>
        <v/>
      </c>
      <c r="AR1216" s="835" t="str">
        <f ca="1">IF(Table_NFI[[#This Row],[Pcode]]="","",IF(OFFSET(CampList[Opening Date],MATCH(Table_NFI[[#This Row],[Pcode]],CampList[CP_Pcode],0)-1,0,1,1)&gt;=NFI_Monitor_Date,1,0))</f>
        <v/>
      </c>
      <c r="AS1216" s="467" t="str">
        <f>IFERROR(VLOOKUP(Table_NFI[[#This Row],[Camp Name]],CL,3,0),"")</f>
        <v/>
      </c>
      <c r="AT1216" s="294" t="str">
        <f ca="1">IF(Table_NFI[[#This Row],[Pcode]]="","",OFFSET(CampList[Priority],MATCH(Table_NFI[[#This Row],[Pcode]],CampList[CP_Pcode],0)-1,0,1,1))</f>
        <v/>
      </c>
      <c r="AU1216" s="293" t="str">
        <f>IFERROR(Table_NFI[[#This Row],[Kitchen Set]]/VLOOKUP(Table_NFI[[#This Row],[Camp Name]],CL,4,0),"")</f>
        <v/>
      </c>
      <c r="AV1216" s="461"/>
      <c r="AW1216" s="463"/>
    </row>
    <row r="1217" spans="1:49" ht="14.45" customHeight="1" x14ac:dyDescent="0.25">
      <c r="A1217" s="297" t="str">
        <f t="shared" si="18"/>
        <v/>
      </c>
      <c r="B1217" s="460"/>
      <c r="C1217" s="465"/>
      <c r="D1217" s="465"/>
      <c r="E1217" s="465"/>
      <c r="F1217" s="465"/>
      <c r="G1217" s="465"/>
      <c r="H1217" s="292"/>
      <c r="I1217" s="292"/>
      <c r="J1217" s="292"/>
      <c r="K1217" s="292"/>
      <c r="L1217" s="292"/>
      <c r="M1217" s="292"/>
      <c r="N1217" s="292"/>
      <c r="O1217" s="292"/>
      <c r="P1217" s="294"/>
      <c r="Q1217" s="294"/>
      <c r="R1217" s="294"/>
      <c r="S1217" s="294"/>
      <c r="T1217" s="294"/>
      <c r="U1217" s="294"/>
      <c r="V1217" s="431"/>
      <c r="W1217" s="331"/>
      <c r="X1217" s="331"/>
      <c r="Y1217" s="294">
        <f>IF(NFI_Expiration=1,IF($A1217&lt;VLOOKUP(H$5,NFI,5,0),1,0)*Table_NFI[[#This Row],[Hygiene Kit]],Table_NFI[Hygiene Kit])</f>
        <v>0</v>
      </c>
      <c r="Z1217" s="294">
        <f>IF(NFI_Expiration=1,IF($A1217&lt;VLOOKUP(I$5,NFI,5,0),1,0)*Table_NFI[[#This Row],[NFI Core Kit]],Table_NFI[NFI Core Kit])</f>
        <v>0</v>
      </c>
      <c r="AA1217" s="294">
        <f>IF(NFI_Expiration=1,IF($A1217&lt;VLOOKUP(J$5,NFI,5,0),1,0)*Table_NFI[[#This Row],[Sanitary Kit]],Table_NFI[Sanitary Kit])</f>
        <v>0</v>
      </c>
      <c r="AB1217" s="294">
        <f>IF(NFI_Expiration=1,IF($A1217&lt;VLOOKUP(K$5,NFI,5,0),1,0)*Table_NFI[[#This Row],[Mosquito net]],Table_NFI[Mosquito net])</f>
        <v>0</v>
      </c>
      <c r="AC1217" s="294">
        <f>IF(NFI_Expiration=1,IF($A1217&lt;VLOOKUP(L$5,NFI,5,0),1,0)*Table_NFI[[#This Row],[Tarpaulin]],Table_NFI[[#This Row],[Tarpaulin]])</f>
        <v>0</v>
      </c>
      <c r="AD1217" s="294">
        <f>IF(NFI_Expiration=1,IF($A1217&lt;VLOOKUP(M$5,NFI,5,0),1,0)*Table_NFI[[#This Row],[Blanket]],Table_NFI[[#This Row],[Blanket]])</f>
        <v>0</v>
      </c>
      <c r="AE1217" s="294">
        <f>IF(NFI_Expiration=1,IF($A1217&lt;VLOOKUP(N$5,NFI,5,0),1,0)*Table_NFI[[#This Row],[Kitchen Set]],Table_NFI[Kitchen Set])</f>
        <v>0</v>
      </c>
      <c r="AF1217" s="294">
        <f>IF(NFI_Expiration=1,IF($A1217&lt;VLOOKUP(O$5,NFI,5,0),1,0)*Table_NFI[[#This Row],[Clothes Kit]],Table_NFI[Clothes Kit])</f>
        <v>0</v>
      </c>
      <c r="AG1217" s="294">
        <f>IF(NFI_Expiration=1,IF($A1217&lt;VLOOKUP(P$5,NFI,5,0),1,0)*Table_NFI[[#This Row],[Plastic Bucket]],Table_NFI[Plastic Bucket])</f>
        <v>0</v>
      </c>
      <c r="AH1217" s="294">
        <f>IF(NFI_Expiration=1,IF($A1217&lt;VLOOKUP(Q$5,NFI,5,0),1,0)*Table_NFI[[#This Row],[Plastic Mat]],Table_NFI[Plastic Mat])*IF(Table_NFI[[#This Row],[Distribution Date]]&gt;"2014-04-01",1,2.5)</f>
        <v>0</v>
      </c>
      <c r="AI1217" s="294">
        <f>IF(NFI_Expiration=1,IF($A1217&lt;VLOOKUP(R$5,NFI,5,0),1,0)*Table_NFI[[#This Row],[Winter Clothes Adult]],Table_NFI[Winter Clothes Adult])</f>
        <v>0</v>
      </c>
      <c r="AJ1217" s="294">
        <f>IF(NFI_Expiration=1,IF($A1217&lt;VLOOKUP(S$5,NFI,5,0),1,0)*Table_NFI[[#This Row],[Winter Clothes Children]],Table_NFI[Winter Clothes Children])</f>
        <v>0</v>
      </c>
      <c r="AK1217" s="294">
        <f>IF(NFI_Expiration=1,IF($A1217&lt;VLOOKUP(T$5,NFI,5,0),1,0)*Table_NFI[[#This Row],[Winter Items Other]],Table_NFI[Winter Items Other])</f>
        <v>0</v>
      </c>
      <c r="AL1217" s="294">
        <f>IF(NFI_Expiration=1,IF($A1217&lt;VLOOKUP(M$5,NFI,5,0),1,0)*Table_NFI[[#This Row],[Winter Blanket]],Table_NFI[[#This Row],[Winter Blanket]])</f>
        <v>0</v>
      </c>
      <c r="AM1217" s="294">
        <f>IF(Table_NFI[[#This Row],[Winter Clothes Adult]]+Table_NFI[[#This Row],[Winter Clothes Children]]+Table_NFI[[#This Row],[Winter Items Other]]+Table_NFI[[#This Row],[Winter Blanket]]&gt;0,1,0)</f>
        <v>0</v>
      </c>
      <c r="AN1217" s="331">
        <f>IF(NFI_Expiration=1,IF($A1217&lt;VLOOKUP(V$5,NFI,5,0),1,0)*Table_NFI[[#This Row],[Jerry Can]],Table_NFI[Jerry Can])</f>
        <v>0</v>
      </c>
      <c r="AO1217" s="331">
        <f>IF(NFI_Expiration=1,IF($A1217&lt;VLOOKUP(V$5,NFI,5,0),1,0)*Table_NFI[[#This Row],[Shelter Tool kit]],Table_NFI[Shelter Tool kit])</f>
        <v>0</v>
      </c>
      <c r="AP1217" s="331">
        <f>IF(NFI_Expiration=1,IF($A1217&lt;VLOOKUP(V$5,NFI,5,0),1,0)*Table_NFI[[#This Row],[Tent]],Table_NFI[Tent])</f>
        <v>0</v>
      </c>
      <c r="AQ1217" s="467" t="str">
        <f>IFERROR(VLOOKUP(Table_NFI[[#This Row],[Camp Name]],CL,2,0),"")</f>
        <v/>
      </c>
      <c r="AR1217" s="835" t="str">
        <f ca="1">IF(Table_NFI[[#This Row],[Pcode]]="","",IF(OFFSET(CampList[Opening Date],MATCH(Table_NFI[[#This Row],[Pcode]],CampList[CP_Pcode],0)-1,0,1,1)&gt;=NFI_Monitor_Date,1,0))</f>
        <v/>
      </c>
      <c r="AS1217" s="467" t="str">
        <f>IFERROR(VLOOKUP(Table_NFI[[#This Row],[Camp Name]],CL,3,0),"")</f>
        <v/>
      </c>
      <c r="AT1217" s="294" t="str">
        <f ca="1">IF(Table_NFI[[#This Row],[Pcode]]="","",OFFSET(CampList[Priority],MATCH(Table_NFI[[#This Row],[Pcode]],CampList[CP_Pcode],0)-1,0,1,1))</f>
        <v/>
      </c>
      <c r="AU1217" s="293" t="str">
        <f>IFERROR(Table_NFI[[#This Row],[Kitchen Set]]/VLOOKUP(Table_NFI[[#This Row],[Camp Name]],CL,4,0),"")</f>
        <v/>
      </c>
      <c r="AV1217" s="465"/>
      <c r="AW1217" s="468"/>
    </row>
    <row r="1218" spans="1:49" ht="14.45" customHeight="1" x14ac:dyDescent="0.25">
      <c r="A1218" s="297" t="str">
        <f t="shared" si="18"/>
        <v/>
      </c>
      <c r="B1218" s="460"/>
      <c r="C1218" s="465"/>
      <c r="D1218" s="465"/>
      <c r="E1218" s="465"/>
      <c r="F1218" s="465"/>
      <c r="G1218" s="465"/>
      <c r="H1218" s="292"/>
      <c r="I1218" s="292"/>
      <c r="J1218" s="292"/>
      <c r="K1218" s="292"/>
      <c r="L1218" s="292"/>
      <c r="M1218" s="292"/>
      <c r="N1218" s="292"/>
      <c r="O1218" s="292"/>
      <c r="P1218" s="294"/>
      <c r="Q1218" s="294"/>
      <c r="R1218" s="294"/>
      <c r="S1218" s="294"/>
      <c r="T1218" s="294"/>
      <c r="U1218" s="294"/>
      <c r="V1218" s="431"/>
      <c r="W1218" s="331"/>
      <c r="X1218" s="331"/>
      <c r="Y1218" s="294">
        <f>IF(NFI_Expiration=1,IF($A1218&lt;VLOOKUP(H$5,NFI,5,0),1,0)*Table_NFI[[#This Row],[Hygiene Kit]],Table_NFI[Hygiene Kit])</f>
        <v>0</v>
      </c>
      <c r="Z1218" s="294">
        <f>IF(NFI_Expiration=1,IF($A1218&lt;VLOOKUP(I$5,NFI,5,0),1,0)*Table_NFI[[#This Row],[NFI Core Kit]],Table_NFI[NFI Core Kit])</f>
        <v>0</v>
      </c>
      <c r="AA1218" s="294">
        <f>IF(NFI_Expiration=1,IF($A1218&lt;VLOOKUP(J$5,NFI,5,0),1,0)*Table_NFI[[#This Row],[Sanitary Kit]],Table_NFI[Sanitary Kit])</f>
        <v>0</v>
      </c>
      <c r="AB1218" s="294">
        <f>IF(NFI_Expiration=1,IF($A1218&lt;VLOOKUP(K$5,NFI,5,0),1,0)*Table_NFI[[#This Row],[Mosquito net]],Table_NFI[Mosquito net])</f>
        <v>0</v>
      </c>
      <c r="AC1218" s="294">
        <f>IF(NFI_Expiration=1,IF($A1218&lt;VLOOKUP(L$5,NFI,5,0),1,0)*Table_NFI[[#This Row],[Tarpaulin]],Table_NFI[[#This Row],[Tarpaulin]])</f>
        <v>0</v>
      </c>
      <c r="AD1218" s="294">
        <f>IF(NFI_Expiration=1,IF($A1218&lt;VLOOKUP(M$5,NFI,5,0),1,0)*Table_NFI[[#This Row],[Blanket]],Table_NFI[[#This Row],[Blanket]])</f>
        <v>0</v>
      </c>
      <c r="AE1218" s="294">
        <f>IF(NFI_Expiration=1,IF($A1218&lt;VLOOKUP(N$5,NFI,5,0),1,0)*Table_NFI[[#This Row],[Kitchen Set]],Table_NFI[Kitchen Set])</f>
        <v>0</v>
      </c>
      <c r="AF1218" s="294">
        <f>IF(NFI_Expiration=1,IF($A1218&lt;VLOOKUP(O$5,NFI,5,0),1,0)*Table_NFI[[#This Row],[Clothes Kit]],Table_NFI[Clothes Kit])</f>
        <v>0</v>
      </c>
      <c r="AG1218" s="294">
        <f>IF(NFI_Expiration=1,IF($A1218&lt;VLOOKUP(P$5,NFI,5,0),1,0)*Table_NFI[[#This Row],[Plastic Bucket]],Table_NFI[Plastic Bucket])</f>
        <v>0</v>
      </c>
      <c r="AH1218" s="294">
        <f>IF(NFI_Expiration=1,IF($A1218&lt;VLOOKUP(Q$5,NFI,5,0),1,0)*Table_NFI[[#This Row],[Plastic Mat]],Table_NFI[Plastic Mat])*IF(Table_NFI[[#This Row],[Distribution Date]]&gt;"2014-04-01",1,2.5)</f>
        <v>0</v>
      </c>
      <c r="AI1218" s="294">
        <f>IF(NFI_Expiration=1,IF($A1218&lt;VLOOKUP(R$5,NFI,5,0),1,0)*Table_NFI[[#This Row],[Winter Clothes Adult]],Table_NFI[Winter Clothes Adult])</f>
        <v>0</v>
      </c>
      <c r="AJ1218" s="294">
        <f>IF(NFI_Expiration=1,IF($A1218&lt;VLOOKUP(S$5,NFI,5,0),1,0)*Table_NFI[[#This Row],[Winter Clothes Children]],Table_NFI[Winter Clothes Children])</f>
        <v>0</v>
      </c>
      <c r="AK1218" s="294">
        <f>IF(NFI_Expiration=1,IF($A1218&lt;VLOOKUP(T$5,NFI,5,0),1,0)*Table_NFI[[#This Row],[Winter Items Other]],Table_NFI[Winter Items Other])</f>
        <v>0</v>
      </c>
      <c r="AL1218" s="294">
        <f>IF(NFI_Expiration=1,IF($A1218&lt;VLOOKUP(M$5,NFI,5,0),1,0)*Table_NFI[[#This Row],[Winter Blanket]],Table_NFI[[#This Row],[Winter Blanket]])</f>
        <v>0</v>
      </c>
      <c r="AM1218" s="294">
        <f>IF(Table_NFI[[#This Row],[Winter Clothes Adult]]+Table_NFI[[#This Row],[Winter Clothes Children]]+Table_NFI[[#This Row],[Winter Items Other]]+Table_NFI[[#This Row],[Winter Blanket]]&gt;0,1,0)</f>
        <v>0</v>
      </c>
      <c r="AN1218" s="331">
        <f>IF(NFI_Expiration=1,IF($A1218&lt;VLOOKUP(V$5,NFI,5,0),1,0)*Table_NFI[[#This Row],[Jerry Can]],Table_NFI[Jerry Can])</f>
        <v>0</v>
      </c>
      <c r="AO1218" s="331">
        <f>IF(NFI_Expiration=1,IF($A1218&lt;VLOOKUP(V$5,NFI,5,0),1,0)*Table_NFI[[#This Row],[Shelter Tool kit]],Table_NFI[Shelter Tool kit])</f>
        <v>0</v>
      </c>
      <c r="AP1218" s="331">
        <f>IF(NFI_Expiration=1,IF($A1218&lt;VLOOKUP(V$5,NFI,5,0),1,0)*Table_NFI[[#This Row],[Tent]],Table_NFI[Tent])</f>
        <v>0</v>
      </c>
      <c r="AQ1218" s="467" t="str">
        <f>IFERROR(VLOOKUP(Table_NFI[[#This Row],[Camp Name]],CL,2,0),"")</f>
        <v/>
      </c>
      <c r="AR1218" s="835" t="str">
        <f ca="1">IF(Table_NFI[[#This Row],[Pcode]]="","",IF(OFFSET(CampList[Opening Date],MATCH(Table_NFI[[#This Row],[Pcode]],CampList[CP_Pcode],0)-1,0,1,1)&gt;=NFI_Monitor_Date,1,0))</f>
        <v/>
      </c>
      <c r="AS1218" s="467" t="str">
        <f>IFERROR(VLOOKUP(Table_NFI[[#This Row],[Camp Name]],CL,3,0),"")</f>
        <v/>
      </c>
      <c r="AT1218" s="294" t="str">
        <f ca="1">IF(Table_NFI[[#This Row],[Pcode]]="","",OFFSET(CampList[Priority],MATCH(Table_NFI[[#This Row],[Pcode]],CampList[CP_Pcode],0)-1,0,1,1))</f>
        <v/>
      </c>
      <c r="AU1218" s="293" t="str">
        <f>IFERROR(Table_NFI[[#This Row],[Kitchen Set]]/VLOOKUP(Table_NFI[[#This Row],[Camp Name]],CL,4,0),"")</f>
        <v/>
      </c>
      <c r="AV1218" s="465"/>
      <c r="AW1218" s="468"/>
    </row>
    <row r="1219" spans="1:49" ht="14.45" customHeight="1" x14ac:dyDescent="0.25">
      <c r="A1219" s="297" t="str">
        <f t="shared" si="18"/>
        <v/>
      </c>
      <c r="B1219" s="460"/>
      <c r="C1219" s="465"/>
      <c r="D1219" s="465"/>
      <c r="E1219" s="465"/>
      <c r="F1219" s="465"/>
      <c r="G1219" s="465"/>
      <c r="H1219" s="292"/>
      <c r="I1219" s="292"/>
      <c r="J1219" s="292"/>
      <c r="K1219" s="292"/>
      <c r="L1219" s="292"/>
      <c r="M1219" s="292"/>
      <c r="N1219" s="292"/>
      <c r="O1219" s="292"/>
      <c r="P1219" s="294"/>
      <c r="Q1219" s="294"/>
      <c r="R1219" s="294"/>
      <c r="S1219" s="294"/>
      <c r="T1219" s="294"/>
      <c r="U1219" s="294"/>
      <c r="V1219" s="431"/>
      <c r="W1219" s="331"/>
      <c r="X1219" s="331"/>
      <c r="Y1219" s="294">
        <f>IF(NFI_Expiration=1,IF($A1219&lt;VLOOKUP(H$5,NFI,5,0),1,0)*Table_NFI[[#This Row],[Hygiene Kit]],Table_NFI[Hygiene Kit])</f>
        <v>0</v>
      </c>
      <c r="Z1219" s="294">
        <f>IF(NFI_Expiration=1,IF($A1219&lt;VLOOKUP(I$5,NFI,5,0),1,0)*Table_NFI[[#This Row],[NFI Core Kit]],Table_NFI[NFI Core Kit])</f>
        <v>0</v>
      </c>
      <c r="AA1219" s="294">
        <f>IF(NFI_Expiration=1,IF($A1219&lt;VLOOKUP(J$5,NFI,5,0),1,0)*Table_NFI[[#This Row],[Sanitary Kit]],Table_NFI[Sanitary Kit])</f>
        <v>0</v>
      </c>
      <c r="AB1219" s="294">
        <f>IF(NFI_Expiration=1,IF($A1219&lt;VLOOKUP(K$5,NFI,5,0),1,0)*Table_NFI[[#This Row],[Mosquito net]],Table_NFI[Mosquito net])</f>
        <v>0</v>
      </c>
      <c r="AC1219" s="294">
        <f>IF(NFI_Expiration=1,IF($A1219&lt;VLOOKUP(L$5,NFI,5,0),1,0)*Table_NFI[[#This Row],[Tarpaulin]],Table_NFI[[#This Row],[Tarpaulin]])</f>
        <v>0</v>
      </c>
      <c r="AD1219" s="294">
        <f>IF(NFI_Expiration=1,IF($A1219&lt;VLOOKUP(M$5,NFI,5,0),1,0)*Table_NFI[[#This Row],[Blanket]],Table_NFI[[#This Row],[Blanket]])</f>
        <v>0</v>
      </c>
      <c r="AE1219" s="294">
        <f>IF(NFI_Expiration=1,IF($A1219&lt;VLOOKUP(N$5,NFI,5,0),1,0)*Table_NFI[[#This Row],[Kitchen Set]],Table_NFI[Kitchen Set])</f>
        <v>0</v>
      </c>
      <c r="AF1219" s="294">
        <f>IF(NFI_Expiration=1,IF($A1219&lt;VLOOKUP(O$5,NFI,5,0),1,0)*Table_NFI[[#This Row],[Clothes Kit]],Table_NFI[Clothes Kit])</f>
        <v>0</v>
      </c>
      <c r="AG1219" s="294">
        <f>IF(NFI_Expiration=1,IF($A1219&lt;VLOOKUP(P$5,NFI,5,0),1,0)*Table_NFI[[#This Row],[Plastic Bucket]],Table_NFI[Plastic Bucket])</f>
        <v>0</v>
      </c>
      <c r="AH1219" s="294">
        <f>IF(NFI_Expiration=1,IF($A1219&lt;VLOOKUP(Q$5,NFI,5,0),1,0)*Table_NFI[[#This Row],[Plastic Mat]],Table_NFI[Plastic Mat])*IF(Table_NFI[[#This Row],[Distribution Date]]&gt;"2014-04-01",1,2.5)</f>
        <v>0</v>
      </c>
      <c r="AI1219" s="294">
        <f>IF(NFI_Expiration=1,IF($A1219&lt;VLOOKUP(R$5,NFI,5,0),1,0)*Table_NFI[[#This Row],[Winter Clothes Adult]],Table_NFI[Winter Clothes Adult])</f>
        <v>0</v>
      </c>
      <c r="AJ1219" s="294">
        <f>IF(NFI_Expiration=1,IF($A1219&lt;VLOOKUP(S$5,NFI,5,0),1,0)*Table_NFI[[#This Row],[Winter Clothes Children]],Table_NFI[Winter Clothes Children])</f>
        <v>0</v>
      </c>
      <c r="AK1219" s="294">
        <f>IF(NFI_Expiration=1,IF($A1219&lt;VLOOKUP(T$5,NFI,5,0),1,0)*Table_NFI[[#This Row],[Winter Items Other]],Table_NFI[Winter Items Other])</f>
        <v>0</v>
      </c>
      <c r="AL1219" s="294">
        <f>IF(NFI_Expiration=1,IF($A1219&lt;VLOOKUP(M$5,NFI,5,0),1,0)*Table_NFI[[#This Row],[Winter Blanket]],Table_NFI[[#This Row],[Winter Blanket]])</f>
        <v>0</v>
      </c>
      <c r="AM1219" s="294">
        <f>IF(Table_NFI[[#This Row],[Winter Clothes Adult]]+Table_NFI[[#This Row],[Winter Clothes Children]]+Table_NFI[[#This Row],[Winter Items Other]]+Table_NFI[[#This Row],[Winter Blanket]]&gt;0,1,0)</f>
        <v>0</v>
      </c>
      <c r="AN1219" s="331">
        <f>IF(NFI_Expiration=1,IF($A1219&lt;VLOOKUP(V$5,NFI,5,0),1,0)*Table_NFI[[#This Row],[Jerry Can]],Table_NFI[Jerry Can])</f>
        <v>0</v>
      </c>
      <c r="AO1219" s="331">
        <f>IF(NFI_Expiration=1,IF($A1219&lt;VLOOKUP(V$5,NFI,5,0),1,0)*Table_NFI[[#This Row],[Shelter Tool kit]],Table_NFI[Shelter Tool kit])</f>
        <v>0</v>
      </c>
      <c r="AP1219" s="331">
        <f>IF(NFI_Expiration=1,IF($A1219&lt;VLOOKUP(V$5,NFI,5,0),1,0)*Table_NFI[[#This Row],[Tent]],Table_NFI[Tent])</f>
        <v>0</v>
      </c>
      <c r="AQ1219" s="467" t="str">
        <f>IFERROR(VLOOKUP(Table_NFI[[#This Row],[Camp Name]],CL,2,0),"")</f>
        <v/>
      </c>
      <c r="AR1219" s="835" t="str">
        <f ca="1">IF(Table_NFI[[#This Row],[Pcode]]="","",IF(OFFSET(CampList[Opening Date],MATCH(Table_NFI[[#This Row],[Pcode]],CampList[CP_Pcode],0)-1,0,1,1)&gt;=NFI_Monitor_Date,1,0))</f>
        <v/>
      </c>
      <c r="AS1219" s="467" t="str">
        <f>IFERROR(VLOOKUP(Table_NFI[[#This Row],[Camp Name]],CL,3,0),"")</f>
        <v/>
      </c>
      <c r="AT1219" s="294" t="str">
        <f ca="1">IF(Table_NFI[[#This Row],[Pcode]]="","",OFFSET(CampList[Priority],MATCH(Table_NFI[[#This Row],[Pcode]],CampList[CP_Pcode],0)-1,0,1,1))</f>
        <v/>
      </c>
      <c r="AU1219" s="293" t="str">
        <f>IFERROR(Table_NFI[[#This Row],[Kitchen Set]]/VLOOKUP(Table_NFI[[#This Row],[Camp Name]],CL,4,0),"")</f>
        <v/>
      </c>
      <c r="AV1219" s="465"/>
      <c r="AW1219" s="468"/>
    </row>
    <row r="1220" spans="1:49" ht="14.45" customHeight="1" x14ac:dyDescent="0.25">
      <c r="A1220" s="297" t="str">
        <f t="shared" si="18"/>
        <v/>
      </c>
      <c r="B1220" s="460"/>
      <c r="C1220" s="465"/>
      <c r="D1220" s="465"/>
      <c r="E1220" s="465"/>
      <c r="F1220" s="465"/>
      <c r="G1220" s="465"/>
      <c r="H1220" s="292"/>
      <c r="I1220" s="292"/>
      <c r="J1220" s="292"/>
      <c r="K1220" s="292"/>
      <c r="L1220" s="292"/>
      <c r="M1220" s="292"/>
      <c r="N1220" s="292"/>
      <c r="O1220" s="292"/>
      <c r="P1220" s="294"/>
      <c r="Q1220" s="294"/>
      <c r="R1220" s="294"/>
      <c r="S1220" s="294"/>
      <c r="T1220" s="294"/>
      <c r="U1220" s="294"/>
      <c r="V1220" s="431"/>
      <c r="W1220" s="331"/>
      <c r="X1220" s="331"/>
      <c r="Y1220" s="294">
        <f>IF(NFI_Expiration=1,IF($A1220&lt;VLOOKUP(H$5,NFI,5,0),1,0)*Table_NFI[[#This Row],[Hygiene Kit]],Table_NFI[Hygiene Kit])</f>
        <v>0</v>
      </c>
      <c r="Z1220" s="294">
        <f>IF(NFI_Expiration=1,IF($A1220&lt;VLOOKUP(I$5,NFI,5,0),1,0)*Table_NFI[[#This Row],[NFI Core Kit]],Table_NFI[NFI Core Kit])</f>
        <v>0</v>
      </c>
      <c r="AA1220" s="294">
        <f>IF(NFI_Expiration=1,IF($A1220&lt;VLOOKUP(J$5,NFI,5,0),1,0)*Table_NFI[[#This Row],[Sanitary Kit]],Table_NFI[Sanitary Kit])</f>
        <v>0</v>
      </c>
      <c r="AB1220" s="294">
        <f>IF(NFI_Expiration=1,IF($A1220&lt;VLOOKUP(K$5,NFI,5,0),1,0)*Table_NFI[[#This Row],[Mosquito net]],Table_NFI[Mosquito net])</f>
        <v>0</v>
      </c>
      <c r="AC1220" s="294">
        <f>IF(NFI_Expiration=1,IF($A1220&lt;VLOOKUP(L$5,NFI,5,0),1,0)*Table_NFI[[#This Row],[Tarpaulin]],Table_NFI[[#This Row],[Tarpaulin]])</f>
        <v>0</v>
      </c>
      <c r="AD1220" s="294">
        <f>IF(NFI_Expiration=1,IF($A1220&lt;VLOOKUP(M$5,NFI,5,0),1,0)*Table_NFI[[#This Row],[Blanket]],Table_NFI[[#This Row],[Blanket]])</f>
        <v>0</v>
      </c>
      <c r="AE1220" s="294">
        <f>IF(NFI_Expiration=1,IF($A1220&lt;VLOOKUP(N$5,NFI,5,0),1,0)*Table_NFI[[#This Row],[Kitchen Set]],Table_NFI[Kitchen Set])</f>
        <v>0</v>
      </c>
      <c r="AF1220" s="294">
        <f>IF(NFI_Expiration=1,IF($A1220&lt;VLOOKUP(O$5,NFI,5,0),1,0)*Table_NFI[[#This Row],[Clothes Kit]],Table_NFI[Clothes Kit])</f>
        <v>0</v>
      </c>
      <c r="AG1220" s="294">
        <f>IF(NFI_Expiration=1,IF($A1220&lt;VLOOKUP(P$5,NFI,5,0),1,0)*Table_NFI[[#This Row],[Plastic Bucket]],Table_NFI[Plastic Bucket])</f>
        <v>0</v>
      </c>
      <c r="AH1220" s="294">
        <f>IF(NFI_Expiration=1,IF($A1220&lt;VLOOKUP(Q$5,NFI,5,0),1,0)*Table_NFI[[#This Row],[Plastic Mat]],Table_NFI[Plastic Mat])*IF(Table_NFI[[#This Row],[Distribution Date]]&gt;"2014-04-01",1,2.5)</f>
        <v>0</v>
      </c>
      <c r="AI1220" s="294">
        <f>IF(NFI_Expiration=1,IF($A1220&lt;VLOOKUP(R$5,NFI,5,0),1,0)*Table_NFI[[#This Row],[Winter Clothes Adult]],Table_NFI[Winter Clothes Adult])</f>
        <v>0</v>
      </c>
      <c r="AJ1220" s="294">
        <f>IF(NFI_Expiration=1,IF($A1220&lt;VLOOKUP(S$5,NFI,5,0),1,0)*Table_NFI[[#This Row],[Winter Clothes Children]],Table_NFI[Winter Clothes Children])</f>
        <v>0</v>
      </c>
      <c r="AK1220" s="294">
        <f>IF(NFI_Expiration=1,IF($A1220&lt;VLOOKUP(T$5,NFI,5,0),1,0)*Table_NFI[[#This Row],[Winter Items Other]],Table_NFI[Winter Items Other])</f>
        <v>0</v>
      </c>
      <c r="AL1220" s="294">
        <f>IF(NFI_Expiration=1,IF($A1220&lt;VLOOKUP(M$5,NFI,5,0),1,0)*Table_NFI[[#This Row],[Winter Blanket]],Table_NFI[[#This Row],[Winter Blanket]])</f>
        <v>0</v>
      </c>
      <c r="AM1220" s="294">
        <f>IF(Table_NFI[[#This Row],[Winter Clothes Adult]]+Table_NFI[[#This Row],[Winter Clothes Children]]+Table_NFI[[#This Row],[Winter Items Other]]+Table_NFI[[#This Row],[Winter Blanket]]&gt;0,1,0)</f>
        <v>0</v>
      </c>
      <c r="AN1220" s="331">
        <f>IF(NFI_Expiration=1,IF($A1220&lt;VLOOKUP(V$5,NFI,5,0),1,0)*Table_NFI[[#This Row],[Jerry Can]],Table_NFI[Jerry Can])</f>
        <v>0</v>
      </c>
      <c r="AO1220" s="331">
        <f>IF(NFI_Expiration=1,IF($A1220&lt;VLOOKUP(V$5,NFI,5,0),1,0)*Table_NFI[[#This Row],[Shelter Tool kit]],Table_NFI[Shelter Tool kit])</f>
        <v>0</v>
      </c>
      <c r="AP1220" s="331">
        <f>IF(NFI_Expiration=1,IF($A1220&lt;VLOOKUP(V$5,NFI,5,0),1,0)*Table_NFI[[#This Row],[Tent]],Table_NFI[Tent])</f>
        <v>0</v>
      </c>
      <c r="AQ1220" s="467" t="str">
        <f>IFERROR(VLOOKUP(Table_NFI[[#This Row],[Camp Name]],CL,2,0),"")</f>
        <v/>
      </c>
      <c r="AR1220" s="835" t="str">
        <f ca="1">IF(Table_NFI[[#This Row],[Pcode]]="","",IF(OFFSET(CampList[Opening Date],MATCH(Table_NFI[[#This Row],[Pcode]],CampList[CP_Pcode],0)-1,0,1,1)&gt;=NFI_Monitor_Date,1,0))</f>
        <v/>
      </c>
      <c r="AS1220" s="467" t="str">
        <f>IFERROR(VLOOKUP(Table_NFI[[#This Row],[Camp Name]],CL,3,0),"")</f>
        <v/>
      </c>
      <c r="AT1220" s="294" t="str">
        <f ca="1">IF(Table_NFI[[#This Row],[Pcode]]="","",OFFSET(CampList[Priority],MATCH(Table_NFI[[#This Row],[Pcode]],CampList[CP_Pcode],0)-1,0,1,1))</f>
        <v/>
      </c>
      <c r="AU1220" s="293" t="str">
        <f>IFERROR(Table_NFI[[#This Row],[Kitchen Set]]/VLOOKUP(Table_NFI[[#This Row],[Camp Name]],CL,4,0),"")</f>
        <v/>
      </c>
      <c r="AV1220" s="465"/>
      <c r="AW1220" s="468"/>
    </row>
    <row r="1221" spans="1:49" ht="14.45" customHeight="1" x14ac:dyDescent="0.25">
      <c r="A1221" s="297" t="str">
        <f t="shared" si="18"/>
        <v/>
      </c>
      <c r="B1221" s="460"/>
      <c r="C1221" s="465"/>
      <c r="D1221" s="465"/>
      <c r="E1221" s="465"/>
      <c r="F1221" s="465"/>
      <c r="G1221" s="465"/>
      <c r="H1221" s="292"/>
      <c r="I1221" s="292"/>
      <c r="J1221" s="292"/>
      <c r="K1221" s="292"/>
      <c r="L1221" s="292"/>
      <c r="M1221" s="292"/>
      <c r="N1221" s="292"/>
      <c r="O1221" s="292"/>
      <c r="P1221" s="294"/>
      <c r="Q1221" s="294"/>
      <c r="R1221" s="294"/>
      <c r="S1221" s="294"/>
      <c r="T1221" s="294"/>
      <c r="U1221" s="294"/>
      <c r="V1221" s="431"/>
      <c r="W1221" s="331"/>
      <c r="X1221" s="331"/>
      <c r="Y1221" s="294">
        <f>IF(NFI_Expiration=1,IF($A1221&lt;VLOOKUP(H$5,NFI,5,0),1,0)*Table_NFI[[#This Row],[Hygiene Kit]],Table_NFI[Hygiene Kit])</f>
        <v>0</v>
      </c>
      <c r="Z1221" s="294">
        <f>IF(NFI_Expiration=1,IF($A1221&lt;VLOOKUP(I$5,NFI,5,0),1,0)*Table_NFI[[#This Row],[NFI Core Kit]],Table_NFI[NFI Core Kit])</f>
        <v>0</v>
      </c>
      <c r="AA1221" s="294">
        <f>IF(NFI_Expiration=1,IF($A1221&lt;VLOOKUP(J$5,NFI,5,0),1,0)*Table_NFI[[#This Row],[Sanitary Kit]],Table_NFI[Sanitary Kit])</f>
        <v>0</v>
      </c>
      <c r="AB1221" s="294">
        <f>IF(NFI_Expiration=1,IF($A1221&lt;VLOOKUP(K$5,NFI,5,0),1,0)*Table_NFI[[#This Row],[Mosquito net]],Table_NFI[Mosquito net])</f>
        <v>0</v>
      </c>
      <c r="AC1221" s="294">
        <f>IF(NFI_Expiration=1,IF($A1221&lt;VLOOKUP(L$5,NFI,5,0),1,0)*Table_NFI[[#This Row],[Tarpaulin]],Table_NFI[[#This Row],[Tarpaulin]])</f>
        <v>0</v>
      </c>
      <c r="AD1221" s="294">
        <f>IF(NFI_Expiration=1,IF($A1221&lt;VLOOKUP(M$5,NFI,5,0),1,0)*Table_NFI[[#This Row],[Blanket]],Table_NFI[[#This Row],[Blanket]])</f>
        <v>0</v>
      </c>
      <c r="AE1221" s="294">
        <f>IF(NFI_Expiration=1,IF($A1221&lt;VLOOKUP(N$5,NFI,5,0),1,0)*Table_NFI[[#This Row],[Kitchen Set]],Table_NFI[Kitchen Set])</f>
        <v>0</v>
      </c>
      <c r="AF1221" s="294">
        <f>IF(NFI_Expiration=1,IF($A1221&lt;VLOOKUP(O$5,NFI,5,0),1,0)*Table_NFI[[#This Row],[Clothes Kit]],Table_NFI[Clothes Kit])</f>
        <v>0</v>
      </c>
      <c r="AG1221" s="294">
        <f>IF(NFI_Expiration=1,IF($A1221&lt;VLOOKUP(P$5,NFI,5,0),1,0)*Table_NFI[[#This Row],[Plastic Bucket]],Table_NFI[Plastic Bucket])</f>
        <v>0</v>
      </c>
      <c r="AH1221" s="294">
        <f>IF(NFI_Expiration=1,IF($A1221&lt;VLOOKUP(Q$5,NFI,5,0),1,0)*Table_NFI[[#This Row],[Plastic Mat]],Table_NFI[Plastic Mat])*IF(Table_NFI[[#This Row],[Distribution Date]]&gt;"2014-04-01",1,2.5)</f>
        <v>0</v>
      </c>
      <c r="AI1221" s="294">
        <f>IF(NFI_Expiration=1,IF($A1221&lt;VLOOKUP(R$5,NFI,5,0),1,0)*Table_NFI[[#This Row],[Winter Clothes Adult]],Table_NFI[Winter Clothes Adult])</f>
        <v>0</v>
      </c>
      <c r="AJ1221" s="294">
        <f>IF(NFI_Expiration=1,IF($A1221&lt;VLOOKUP(S$5,NFI,5,0),1,0)*Table_NFI[[#This Row],[Winter Clothes Children]],Table_NFI[Winter Clothes Children])</f>
        <v>0</v>
      </c>
      <c r="AK1221" s="294">
        <f>IF(NFI_Expiration=1,IF($A1221&lt;VLOOKUP(T$5,NFI,5,0),1,0)*Table_NFI[[#This Row],[Winter Items Other]],Table_NFI[Winter Items Other])</f>
        <v>0</v>
      </c>
      <c r="AL1221" s="294">
        <f>IF(NFI_Expiration=1,IF($A1221&lt;VLOOKUP(M$5,NFI,5,0),1,0)*Table_NFI[[#This Row],[Winter Blanket]],Table_NFI[[#This Row],[Winter Blanket]])</f>
        <v>0</v>
      </c>
      <c r="AM1221" s="294">
        <f>IF(Table_NFI[[#This Row],[Winter Clothes Adult]]+Table_NFI[[#This Row],[Winter Clothes Children]]+Table_NFI[[#This Row],[Winter Items Other]]+Table_NFI[[#This Row],[Winter Blanket]]&gt;0,1,0)</f>
        <v>0</v>
      </c>
      <c r="AN1221" s="331">
        <f>IF(NFI_Expiration=1,IF($A1221&lt;VLOOKUP(V$5,NFI,5,0),1,0)*Table_NFI[[#This Row],[Jerry Can]],Table_NFI[Jerry Can])</f>
        <v>0</v>
      </c>
      <c r="AO1221" s="331">
        <f>IF(NFI_Expiration=1,IF($A1221&lt;VLOOKUP(V$5,NFI,5,0),1,0)*Table_NFI[[#This Row],[Shelter Tool kit]],Table_NFI[Shelter Tool kit])</f>
        <v>0</v>
      </c>
      <c r="AP1221" s="331">
        <f>IF(NFI_Expiration=1,IF($A1221&lt;VLOOKUP(V$5,NFI,5,0),1,0)*Table_NFI[[#This Row],[Tent]],Table_NFI[Tent])</f>
        <v>0</v>
      </c>
      <c r="AQ1221" s="467" t="str">
        <f>IFERROR(VLOOKUP(Table_NFI[[#This Row],[Camp Name]],CL,2,0),"")</f>
        <v/>
      </c>
      <c r="AR1221" s="835" t="str">
        <f ca="1">IF(Table_NFI[[#This Row],[Pcode]]="","",IF(OFFSET(CampList[Opening Date],MATCH(Table_NFI[[#This Row],[Pcode]],CampList[CP_Pcode],0)-1,0,1,1)&gt;=NFI_Monitor_Date,1,0))</f>
        <v/>
      </c>
      <c r="AS1221" s="467" t="str">
        <f>IFERROR(VLOOKUP(Table_NFI[[#This Row],[Camp Name]],CL,3,0),"")</f>
        <v/>
      </c>
      <c r="AT1221" s="294" t="str">
        <f ca="1">IF(Table_NFI[[#This Row],[Pcode]]="","",OFFSET(CampList[Priority],MATCH(Table_NFI[[#This Row],[Pcode]],CampList[CP_Pcode],0)-1,0,1,1))</f>
        <v/>
      </c>
      <c r="AU1221" s="293" t="str">
        <f>IFERROR(Table_NFI[[#This Row],[Kitchen Set]]/VLOOKUP(Table_NFI[[#This Row],[Camp Name]],CL,4,0),"")</f>
        <v/>
      </c>
      <c r="AV1221" s="465"/>
      <c r="AW1221" s="468"/>
    </row>
    <row r="1222" spans="1:49" ht="14.45" customHeight="1" x14ac:dyDescent="0.25">
      <c r="A1222" s="297" t="str">
        <f t="shared" ref="A1222:A1285" si="19">IF(ISBLANK(B1222),"",(Report_Date-B1222)/30)</f>
        <v/>
      </c>
      <c r="B1222" s="460"/>
      <c r="C1222" s="465"/>
      <c r="D1222" s="465"/>
      <c r="E1222" s="465"/>
      <c r="F1222" s="465"/>
      <c r="G1222" s="465"/>
      <c r="H1222" s="292"/>
      <c r="I1222" s="292"/>
      <c r="J1222" s="292"/>
      <c r="K1222" s="292"/>
      <c r="L1222" s="292"/>
      <c r="M1222" s="292"/>
      <c r="N1222" s="292"/>
      <c r="O1222" s="292"/>
      <c r="P1222" s="294"/>
      <c r="Q1222" s="294"/>
      <c r="R1222" s="294"/>
      <c r="S1222" s="294"/>
      <c r="T1222" s="294"/>
      <c r="U1222" s="294"/>
      <c r="V1222" s="431"/>
      <c r="W1222" s="331"/>
      <c r="X1222" s="331"/>
      <c r="Y1222" s="294">
        <f>IF(NFI_Expiration=1,IF($A1222&lt;VLOOKUP(H$5,NFI,5,0),1,0)*Table_NFI[[#This Row],[Hygiene Kit]],Table_NFI[Hygiene Kit])</f>
        <v>0</v>
      </c>
      <c r="Z1222" s="294">
        <f>IF(NFI_Expiration=1,IF($A1222&lt;VLOOKUP(I$5,NFI,5,0),1,0)*Table_NFI[[#This Row],[NFI Core Kit]],Table_NFI[NFI Core Kit])</f>
        <v>0</v>
      </c>
      <c r="AA1222" s="294">
        <f>IF(NFI_Expiration=1,IF($A1222&lt;VLOOKUP(J$5,NFI,5,0),1,0)*Table_NFI[[#This Row],[Sanitary Kit]],Table_NFI[Sanitary Kit])</f>
        <v>0</v>
      </c>
      <c r="AB1222" s="294">
        <f>IF(NFI_Expiration=1,IF($A1222&lt;VLOOKUP(K$5,NFI,5,0),1,0)*Table_NFI[[#This Row],[Mosquito net]],Table_NFI[Mosquito net])</f>
        <v>0</v>
      </c>
      <c r="AC1222" s="294">
        <f>IF(NFI_Expiration=1,IF($A1222&lt;VLOOKUP(L$5,NFI,5,0),1,0)*Table_NFI[[#This Row],[Tarpaulin]],Table_NFI[[#This Row],[Tarpaulin]])</f>
        <v>0</v>
      </c>
      <c r="AD1222" s="294">
        <f>IF(NFI_Expiration=1,IF($A1222&lt;VLOOKUP(M$5,NFI,5,0),1,0)*Table_NFI[[#This Row],[Blanket]],Table_NFI[[#This Row],[Blanket]])</f>
        <v>0</v>
      </c>
      <c r="AE1222" s="294">
        <f>IF(NFI_Expiration=1,IF($A1222&lt;VLOOKUP(N$5,NFI,5,0),1,0)*Table_NFI[[#This Row],[Kitchen Set]],Table_NFI[Kitchen Set])</f>
        <v>0</v>
      </c>
      <c r="AF1222" s="294">
        <f>IF(NFI_Expiration=1,IF($A1222&lt;VLOOKUP(O$5,NFI,5,0),1,0)*Table_NFI[[#This Row],[Clothes Kit]],Table_NFI[Clothes Kit])</f>
        <v>0</v>
      </c>
      <c r="AG1222" s="294">
        <f>IF(NFI_Expiration=1,IF($A1222&lt;VLOOKUP(P$5,NFI,5,0),1,0)*Table_NFI[[#This Row],[Plastic Bucket]],Table_NFI[Plastic Bucket])</f>
        <v>0</v>
      </c>
      <c r="AH1222" s="294">
        <f>IF(NFI_Expiration=1,IF($A1222&lt;VLOOKUP(Q$5,NFI,5,0),1,0)*Table_NFI[[#This Row],[Plastic Mat]],Table_NFI[Plastic Mat])*IF(Table_NFI[[#This Row],[Distribution Date]]&gt;"2014-04-01",1,2.5)</f>
        <v>0</v>
      </c>
      <c r="AI1222" s="294">
        <f>IF(NFI_Expiration=1,IF($A1222&lt;VLOOKUP(R$5,NFI,5,0),1,0)*Table_NFI[[#This Row],[Winter Clothes Adult]],Table_NFI[Winter Clothes Adult])</f>
        <v>0</v>
      </c>
      <c r="AJ1222" s="294">
        <f>IF(NFI_Expiration=1,IF($A1222&lt;VLOOKUP(S$5,NFI,5,0),1,0)*Table_NFI[[#This Row],[Winter Clothes Children]],Table_NFI[Winter Clothes Children])</f>
        <v>0</v>
      </c>
      <c r="AK1222" s="294">
        <f>IF(NFI_Expiration=1,IF($A1222&lt;VLOOKUP(T$5,NFI,5,0),1,0)*Table_NFI[[#This Row],[Winter Items Other]],Table_NFI[Winter Items Other])</f>
        <v>0</v>
      </c>
      <c r="AL1222" s="294">
        <f>IF(NFI_Expiration=1,IF($A1222&lt;VLOOKUP(M$5,NFI,5,0),1,0)*Table_NFI[[#This Row],[Winter Blanket]],Table_NFI[[#This Row],[Winter Blanket]])</f>
        <v>0</v>
      </c>
      <c r="AM1222" s="294">
        <f>IF(Table_NFI[[#This Row],[Winter Clothes Adult]]+Table_NFI[[#This Row],[Winter Clothes Children]]+Table_NFI[[#This Row],[Winter Items Other]]+Table_NFI[[#This Row],[Winter Blanket]]&gt;0,1,0)</f>
        <v>0</v>
      </c>
      <c r="AN1222" s="331">
        <f>IF(NFI_Expiration=1,IF($A1222&lt;VLOOKUP(V$5,NFI,5,0),1,0)*Table_NFI[[#This Row],[Jerry Can]],Table_NFI[Jerry Can])</f>
        <v>0</v>
      </c>
      <c r="AO1222" s="331">
        <f>IF(NFI_Expiration=1,IF($A1222&lt;VLOOKUP(V$5,NFI,5,0),1,0)*Table_NFI[[#This Row],[Shelter Tool kit]],Table_NFI[Shelter Tool kit])</f>
        <v>0</v>
      </c>
      <c r="AP1222" s="331">
        <f>IF(NFI_Expiration=1,IF($A1222&lt;VLOOKUP(V$5,NFI,5,0),1,0)*Table_NFI[[#This Row],[Tent]],Table_NFI[Tent])</f>
        <v>0</v>
      </c>
      <c r="AQ1222" s="467" t="str">
        <f>IFERROR(VLOOKUP(Table_NFI[[#This Row],[Camp Name]],CL,2,0),"")</f>
        <v/>
      </c>
      <c r="AR1222" s="835" t="str">
        <f ca="1">IF(Table_NFI[[#This Row],[Pcode]]="","",IF(OFFSET(CampList[Opening Date],MATCH(Table_NFI[[#This Row],[Pcode]],CampList[CP_Pcode],0)-1,0,1,1)&gt;=NFI_Monitor_Date,1,0))</f>
        <v/>
      </c>
      <c r="AS1222" s="467" t="str">
        <f>IFERROR(VLOOKUP(Table_NFI[[#This Row],[Camp Name]],CL,3,0),"")</f>
        <v/>
      </c>
      <c r="AT1222" s="294" t="str">
        <f ca="1">IF(Table_NFI[[#This Row],[Pcode]]="","",OFFSET(CampList[Priority],MATCH(Table_NFI[[#This Row],[Pcode]],CampList[CP_Pcode],0)-1,0,1,1))</f>
        <v/>
      </c>
      <c r="AU1222" s="293" t="str">
        <f>IFERROR(Table_NFI[[#This Row],[Kitchen Set]]/VLOOKUP(Table_NFI[[#This Row],[Camp Name]],CL,4,0),"")</f>
        <v/>
      </c>
      <c r="AV1222" s="465"/>
      <c r="AW1222" s="468"/>
    </row>
    <row r="1223" spans="1:49" ht="14.45" customHeight="1" x14ac:dyDescent="0.25">
      <c r="A1223" s="297" t="str">
        <f t="shared" si="19"/>
        <v/>
      </c>
      <c r="B1223" s="460"/>
      <c r="C1223" s="465"/>
      <c r="D1223" s="465"/>
      <c r="E1223" s="465"/>
      <c r="F1223" s="465"/>
      <c r="G1223" s="465"/>
      <c r="H1223" s="292"/>
      <c r="I1223" s="292"/>
      <c r="J1223" s="292"/>
      <c r="K1223" s="292"/>
      <c r="L1223" s="292"/>
      <c r="M1223" s="292"/>
      <c r="N1223" s="292"/>
      <c r="O1223" s="292"/>
      <c r="P1223" s="294"/>
      <c r="Q1223" s="294"/>
      <c r="R1223" s="294"/>
      <c r="S1223" s="294"/>
      <c r="T1223" s="294"/>
      <c r="U1223" s="294"/>
      <c r="V1223" s="431"/>
      <c r="W1223" s="331"/>
      <c r="X1223" s="331"/>
      <c r="Y1223" s="294">
        <f>IF(NFI_Expiration=1,IF($A1223&lt;VLOOKUP(H$5,NFI,5,0),1,0)*Table_NFI[[#This Row],[Hygiene Kit]],Table_NFI[Hygiene Kit])</f>
        <v>0</v>
      </c>
      <c r="Z1223" s="294">
        <f>IF(NFI_Expiration=1,IF($A1223&lt;VLOOKUP(I$5,NFI,5,0),1,0)*Table_NFI[[#This Row],[NFI Core Kit]],Table_NFI[NFI Core Kit])</f>
        <v>0</v>
      </c>
      <c r="AA1223" s="294">
        <f>IF(NFI_Expiration=1,IF($A1223&lt;VLOOKUP(J$5,NFI,5,0),1,0)*Table_NFI[[#This Row],[Sanitary Kit]],Table_NFI[Sanitary Kit])</f>
        <v>0</v>
      </c>
      <c r="AB1223" s="294">
        <f>IF(NFI_Expiration=1,IF($A1223&lt;VLOOKUP(K$5,NFI,5,0),1,0)*Table_NFI[[#This Row],[Mosquito net]],Table_NFI[Mosquito net])</f>
        <v>0</v>
      </c>
      <c r="AC1223" s="294">
        <f>IF(NFI_Expiration=1,IF($A1223&lt;VLOOKUP(L$5,NFI,5,0),1,0)*Table_NFI[[#This Row],[Tarpaulin]],Table_NFI[[#This Row],[Tarpaulin]])</f>
        <v>0</v>
      </c>
      <c r="AD1223" s="294">
        <f>IF(NFI_Expiration=1,IF($A1223&lt;VLOOKUP(M$5,NFI,5,0),1,0)*Table_NFI[[#This Row],[Blanket]],Table_NFI[[#This Row],[Blanket]])</f>
        <v>0</v>
      </c>
      <c r="AE1223" s="294">
        <f>IF(NFI_Expiration=1,IF($A1223&lt;VLOOKUP(N$5,NFI,5,0),1,0)*Table_NFI[[#This Row],[Kitchen Set]],Table_NFI[Kitchen Set])</f>
        <v>0</v>
      </c>
      <c r="AF1223" s="294">
        <f>IF(NFI_Expiration=1,IF($A1223&lt;VLOOKUP(O$5,NFI,5,0),1,0)*Table_NFI[[#This Row],[Clothes Kit]],Table_NFI[Clothes Kit])</f>
        <v>0</v>
      </c>
      <c r="AG1223" s="294">
        <f>IF(NFI_Expiration=1,IF($A1223&lt;VLOOKUP(P$5,NFI,5,0),1,0)*Table_NFI[[#This Row],[Plastic Bucket]],Table_NFI[Plastic Bucket])</f>
        <v>0</v>
      </c>
      <c r="AH1223" s="294">
        <f>IF(NFI_Expiration=1,IF($A1223&lt;VLOOKUP(Q$5,NFI,5,0),1,0)*Table_NFI[[#This Row],[Plastic Mat]],Table_NFI[Plastic Mat])*IF(Table_NFI[[#This Row],[Distribution Date]]&gt;"2014-04-01",1,2.5)</f>
        <v>0</v>
      </c>
      <c r="AI1223" s="294">
        <f>IF(NFI_Expiration=1,IF($A1223&lt;VLOOKUP(R$5,NFI,5,0),1,0)*Table_NFI[[#This Row],[Winter Clothes Adult]],Table_NFI[Winter Clothes Adult])</f>
        <v>0</v>
      </c>
      <c r="AJ1223" s="294">
        <f>IF(NFI_Expiration=1,IF($A1223&lt;VLOOKUP(S$5,NFI,5,0),1,0)*Table_NFI[[#This Row],[Winter Clothes Children]],Table_NFI[Winter Clothes Children])</f>
        <v>0</v>
      </c>
      <c r="AK1223" s="294">
        <f>IF(NFI_Expiration=1,IF($A1223&lt;VLOOKUP(T$5,NFI,5,0),1,0)*Table_NFI[[#This Row],[Winter Items Other]],Table_NFI[Winter Items Other])</f>
        <v>0</v>
      </c>
      <c r="AL1223" s="294">
        <f>IF(NFI_Expiration=1,IF($A1223&lt;VLOOKUP(M$5,NFI,5,0),1,0)*Table_NFI[[#This Row],[Winter Blanket]],Table_NFI[[#This Row],[Winter Blanket]])</f>
        <v>0</v>
      </c>
      <c r="AM1223" s="294">
        <f>IF(Table_NFI[[#This Row],[Winter Clothes Adult]]+Table_NFI[[#This Row],[Winter Clothes Children]]+Table_NFI[[#This Row],[Winter Items Other]]+Table_NFI[[#This Row],[Winter Blanket]]&gt;0,1,0)</f>
        <v>0</v>
      </c>
      <c r="AN1223" s="331">
        <f>IF(NFI_Expiration=1,IF($A1223&lt;VLOOKUP(V$5,NFI,5,0),1,0)*Table_NFI[[#This Row],[Jerry Can]],Table_NFI[Jerry Can])</f>
        <v>0</v>
      </c>
      <c r="AO1223" s="331">
        <f>IF(NFI_Expiration=1,IF($A1223&lt;VLOOKUP(V$5,NFI,5,0),1,0)*Table_NFI[[#This Row],[Shelter Tool kit]],Table_NFI[Shelter Tool kit])</f>
        <v>0</v>
      </c>
      <c r="AP1223" s="331">
        <f>IF(NFI_Expiration=1,IF($A1223&lt;VLOOKUP(V$5,NFI,5,0),1,0)*Table_NFI[[#This Row],[Tent]],Table_NFI[Tent])</f>
        <v>0</v>
      </c>
      <c r="AQ1223" s="467" t="str">
        <f>IFERROR(VLOOKUP(Table_NFI[[#This Row],[Camp Name]],CL,2,0),"")</f>
        <v/>
      </c>
      <c r="AR1223" s="835" t="str">
        <f ca="1">IF(Table_NFI[[#This Row],[Pcode]]="","",IF(OFFSET(CampList[Opening Date],MATCH(Table_NFI[[#This Row],[Pcode]],CampList[CP_Pcode],0)-1,0,1,1)&gt;=NFI_Monitor_Date,1,0))</f>
        <v/>
      </c>
      <c r="AS1223" s="467" t="str">
        <f>IFERROR(VLOOKUP(Table_NFI[[#This Row],[Camp Name]],CL,3,0),"")</f>
        <v/>
      </c>
      <c r="AT1223" s="294" t="str">
        <f ca="1">IF(Table_NFI[[#This Row],[Pcode]]="","",OFFSET(CampList[Priority],MATCH(Table_NFI[[#This Row],[Pcode]],CampList[CP_Pcode],0)-1,0,1,1))</f>
        <v/>
      </c>
      <c r="AU1223" s="293" t="str">
        <f>IFERROR(Table_NFI[[#This Row],[Kitchen Set]]/VLOOKUP(Table_NFI[[#This Row],[Camp Name]],CL,4,0),"")</f>
        <v/>
      </c>
      <c r="AV1223" s="465"/>
      <c r="AW1223" s="468"/>
    </row>
    <row r="1224" spans="1:49" ht="14.45" customHeight="1" x14ac:dyDescent="0.25">
      <c r="A1224" s="297" t="str">
        <f t="shared" si="19"/>
        <v/>
      </c>
      <c r="B1224" s="460"/>
      <c r="C1224" s="465"/>
      <c r="D1224" s="465"/>
      <c r="E1224" s="465"/>
      <c r="F1224" s="465"/>
      <c r="G1224" s="465"/>
      <c r="H1224" s="292"/>
      <c r="I1224" s="292"/>
      <c r="J1224" s="292"/>
      <c r="K1224" s="292"/>
      <c r="L1224" s="292"/>
      <c r="M1224" s="292"/>
      <c r="N1224" s="292"/>
      <c r="O1224" s="292"/>
      <c r="P1224" s="294"/>
      <c r="Q1224" s="294"/>
      <c r="R1224" s="294"/>
      <c r="S1224" s="294"/>
      <c r="T1224" s="294"/>
      <c r="U1224" s="294"/>
      <c r="V1224" s="431"/>
      <c r="W1224" s="331"/>
      <c r="X1224" s="331"/>
      <c r="Y1224" s="294">
        <f>IF(NFI_Expiration=1,IF($A1224&lt;VLOOKUP(H$5,NFI,5,0),1,0)*Table_NFI[[#This Row],[Hygiene Kit]],Table_NFI[Hygiene Kit])</f>
        <v>0</v>
      </c>
      <c r="Z1224" s="294">
        <f>IF(NFI_Expiration=1,IF($A1224&lt;VLOOKUP(I$5,NFI,5,0),1,0)*Table_NFI[[#This Row],[NFI Core Kit]],Table_NFI[NFI Core Kit])</f>
        <v>0</v>
      </c>
      <c r="AA1224" s="294">
        <f>IF(NFI_Expiration=1,IF($A1224&lt;VLOOKUP(J$5,NFI,5,0),1,0)*Table_NFI[[#This Row],[Sanitary Kit]],Table_NFI[Sanitary Kit])</f>
        <v>0</v>
      </c>
      <c r="AB1224" s="294">
        <f>IF(NFI_Expiration=1,IF($A1224&lt;VLOOKUP(K$5,NFI,5,0),1,0)*Table_NFI[[#This Row],[Mosquito net]],Table_NFI[Mosquito net])</f>
        <v>0</v>
      </c>
      <c r="AC1224" s="294">
        <f>IF(NFI_Expiration=1,IF($A1224&lt;VLOOKUP(L$5,NFI,5,0),1,0)*Table_NFI[[#This Row],[Tarpaulin]],Table_NFI[[#This Row],[Tarpaulin]])</f>
        <v>0</v>
      </c>
      <c r="AD1224" s="294">
        <f>IF(NFI_Expiration=1,IF($A1224&lt;VLOOKUP(M$5,NFI,5,0),1,0)*Table_NFI[[#This Row],[Blanket]],Table_NFI[[#This Row],[Blanket]])</f>
        <v>0</v>
      </c>
      <c r="AE1224" s="294">
        <f>IF(NFI_Expiration=1,IF($A1224&lt;VLOOKUP(N$5,NFI,5,0),1,0)*Table_NFI[[#This Row],[Kitchen Set]],Table_NFI[Kitchen Set])</f>
        <v>0</v>
      </c>
      <c r="AF1224" s="294">
        <f>IF(NFI_Expiration=1,IF($A1224&lt;VLOOKUP(O$5,NFI,5,0),1,0)*Table_NFI[[#This Row],[Clothes Kit]],Table_NFI[Clothes Kit])</f>
        <v>0</v>
      </c>
      <c r="AG1224" s="294">
        <f>IF(NFI_Expiration=1,IF($A1224&lt;VLOOKUP(P$5,NFI,5,0),1,0)*Table_NFI[[#This Row],[Plastic Bucket]],Table_NFI[Plastic Bucket])</f>
        <v>0</v>
      </c>
      <c r="AH1224" s="294">
        <f>IF(NFI_Expiration=1,IF($A1224&lt;VLOOKUP(Q$5,NFI,5,0),1,0)*Table_NFI[[#This Row],[Plastic Mat]],Table_NFI[Plastic Mat])*IF(Table_NFI[[#This Row],[Distribution Date]]&gt;"2014-04-01",1,2.5)</f>
        <v>0</v>
      </c>
      <c r="AI1224" s="294">
        <f>IF(NFI_Expiration=1,IF($A1224&lt;VLOOKUP(R$5,NFI,5,0),1,0)*Table_NFI[[#This Row],[Winter Clothes Adult]],Table_NFI[Winter Clothes Adult])</f>
        <v>0</v>
      </c>
      <c r="AJ1224" s="294">
        <f>IF(NFI_Expiration=1,IF($A1224&lt;VLOOKUP(S$5,NFI,5,0),1,0)*Table_NFI[[#This Row],[Winter Clothes Children]],Table_NFI[Winter Clothes Children])</f>
        <v>0</v>
      </c>
      <c r="AK1224" s="294">
        <f>IF(NFI_Expiration=1,IF($A1224&lt;VLOOKUP(T$5,NFI,5,0),1,0)*Table_NFI[[#This Row],[Winter Items Other]],Table_NFI[Winter Items Other])</f>
        <v>0</v>
      </c>
      <c r="AL1224" s="294">
        <f>IF(NFI_Expiration=1,IF($A1224&lt;VLOOKUP(M$5,NFI,5,0),1,0)*Table_NFI[[#This Row],[Winter Blanket]],Table_NFI[[#This Row],[Winter Blanket]])</f>
        <v>0</v>
      </c>
      <c r="AM1224" s="294">
        <f>IF(Table_NFI[[#This Row],[Winter Clothes Adult]]+Table_NFI[[#This Row],[Winter Clothes Children]]+Table_NFI[[#This Row],[Winter Items Other]]+Table_NFI[[#This Row],[Winter Blanket]]&gt;0,1,0)</f>
        <v>0</v>
      </c>
      <c r="AN1224" s="331">
        <f>IF(NFI_Expiration=1,IF($A1224&lt;VLOOKUP(V$5,NFI,5,0),1,0)*Table_NFI[[#This Row],[Jerry Can]],Table_NFI[Jerry Can])</f>
        <v>0</v>
      </c>
      <c r="AO1224" s="331">
        <f>IF(NFI_Expiration=1,IF($A1224&lt;VLOOKUP(V$5,NFI,5,0),1,0)*Table_NFI[[#This Row],[Shelter Tool kit]],Table_NFI[Shelter Tool kit])</f>
        <v>0</v>
      </c>
      <c r="AP1224" s="331">
        <f>IF(NFI_Expiration=1,IF($A1224&lt;VLOOKUP(V$5,NFI,5,0),1,0)*Table_NFI[[#This Row],[Tent]],Table_NFI[Tent])</f>
        <v>0</v>
      </c>
      <c r="AQ1224" s="467" t="str">
        <f>IFERROR(VLOOKUP(Table_NFI[[#This Row],[Camp Name]],CL,2,0),"")</f>
        <v/>
      </c>
      <c r="AR1224" s="835" t="str">
        <f ca="1">IF(Table_NFI[[#This Row],[Pcode]]="","",IF(OFFSET(CampList[Opening Date],MATCH(Table_NFI[[#This Row],[Pcode]],CampList[CP_Pcode],0)-1,0,1,1)&gt;=NFI_Monitor_Date,1,0))</f>
        <v/>
      </c>
      <c r="AS1224" s="467" t="str">
        <f>IFERROR(VLOOKUP(Table_NFI[[#This Row],[Camp Name]],CL,3,0),"")</f>
        <v/>
      </c>
      <c r="AT1224" s="294" t="str">
        <f ca="1">IF(Table_NFI[[#This Row],[Pcode]]="","",OFFSET(CampList[Priority],MATCH(Table_NFI[[#This Row],[Pcode]],CampList[CP_Pcode],0)-1,0,1,1))</f>
        <v/>
      </c>
      <c r="AU1224" s="293" t="str">
        <f>IFERROR(Table_NFI[[#This Row],[Kitchen Set]]/VLOOKUP(Table_NFI[[#This Row],[Camp Name]],CL,4,0),"")</f>
        <v/>
      </c>
      <c r="AV1224" s="465"/>
      <c r="AW1224" s="468"/>
    </row>
    <row r="1225" spans="1:49" ht="14.45" customHeight="1" x14ac:dyDescent="0.25">
      <c r="A1225" s="297" t="str">
        <f t="shared" si="19"/>
        <v/>
      </c>
      <c r="B1225" s="460"/>
      <c r="C1225" s="465"/>
      <c r="D1225" s="465"/>
      <c r="E1225" s="465"/>
      <c r="F1225" s="465"/>
      <c r="G1225" s="465"/>
      <c r="H1225" s="292"/>
      <c r="I1225" s="292"/>
      <c r="J1225" s="292"/>
      <c r="K1225" s="292"/>
      <c r="L1225" s="292"/>
      <c r="M1225" s="292"/>
      <c r="N1225" s="292"/>
      <c r="O1225" s="292"/>
      <c r="P1225" s="294"/>
      <c r="Q1225" s="294"/>
      <c r="R1225" s="294"/>
      <c r="S1225" s="294"/>
      <c r="T1225" s="294"/>
      <c r="U1225" s="294"/>
      <c r="V1225" s="431"/>
      <c r="W1225" s="331"/>
      <c r="X1225" s="331"/>
      <c r="Y1225" s="294">
        <f>IF(NFI_Expiration=1,IF($A1225&lt;VLOOKUP(H$5,NFI,5,0),1,0)*Table_NFI[[#This Row],[Hygiene Kit]],Table_NFI[Hygiene Kit])</f>
        <v>0</v>
      </c>
      <c r="Z1225" s="294">
        <f>IF(NFI_Expiration=1,IF($A1225&lt;VLOOKUP(I$5,NFI,5,0),1,0)*Table_NFI[[#This Row],[NFI Core Kit]],Table_NFI[NFI Core Kit])</f>
        <v>0</v>
      </c>
      <c r="AA1225" s="294">
        <f>IF(NFI_Expiration=1,IF($A1225&lt;VLOOKUP(J$5,NFI,5,0),1,0)*Table_NFI[[#This Row],[Sanitary Kit]],Table_NFI[Sanitary Kit])</f>
        <v>0</v>
      </c>
      <c r="AB1225" s="294">
        <f>IF(NFI_Expiration=1,IF($A1225&lt;VLOOKUP(K$5,NFI,5,0),1,0)*Table_NFI[[#This Row],[Mosquito net]],Table_NFI[Mosquito net])</f>
        <v>0</v>
      </c>
      <c r="AC1225" s="294">
        <f>IF(NFI_Expiration=1,IF($A1225&lt;VLOOKUP(L$5,NFI,5,0),1,0)*Table_NFI[[#This Row],[Tarpaulin]],Table_NFI[[#This Row],[Tarpaulin]])</f>
        <v>0</v>
      </c>
      <c r="AD1225" s="294">
        <f>IF(NFI_Expiration=1,IF($A1225&lt;VLOOKUP(M$5,NFI,5,0),1,0)*Table_NFI[[#This Row],[Blanket]],Table_NFI[[#This Row],[Blanket]])</f>
        <v>0</v>
      </c>
      <c r="AE1225" s="294">
        <f>IF(NFI_Expiration=1,IF($A1225&lt;VLOOKUP(N$5,NFI,5,0),1,0)*Table_NFI[[#This Row],[Kitchen Set]],Table_NFI[Kitchen Set])</f>
        <v>0</v>
      </c>
      <c r="AF1225" s="294">
        <f>IF(NFI_Expiration=1,IF($A1225&lt;VLOOKUP(O$5,NFI,5,0),1,0)*Table_NFI[[#This Row],[Clothes Kit]],Table_NFI[Clothes Kit])</f>
        <v>0</v>
      </c>
      <c r="AG1225" s="294">
        <f>IF(NFI_Expiration=1,IF($A1225&lt;VLOOKUP(P$5,NFI,5,0),1,0)*Table_NFI[[#This Row],[Plastic Bucket]],Table_NFI[Plastic Bucket])</f>
        <v>0</v>
      </c>
      <c r="AH1225" s="294">
        <f>IF(NFI_Expiration=1,IF($A1225&lt;VLOOKUP(Q$5,NFI,5,0),1,0)*Table_NFI[[#This Row],[Plastic Mat]],Table_NFI[Plastic Mat])*IF(Table_NFI[[#This Row],[Distribution Date]]&gt;"2014-04-01",1,2.5)</f>
        <v>0</v>
      </c>
      <c r="AI1225" s="294">
        <f>IF(NFI_Expiration=1,IF($A1225&lt;VLOOKUP(R$5,NFI,5,0),1,0)*Table_NFI[[#This Row],[Winter Clothes Adult]],Table_NFI[Winter Clothes Adult])</f>
        <v>0</v>
      </c>
      <c r="AJ1225" s="294">
        <f>IF(NFI_Expiration=1,IF($A1225&lt;VLOOKUP(S$5,NFI,5,0),1,0)*Table_NFI[[#This Row],[Winter Clothes Children]],Table_NFI[Winter Clothes Children])</f>
        <v>0</v>
      </c>
      <c r="AK1225" s="294">
        <f>IF(NFI_Expiration=1,IF($A1225&lt;VLOOKUP(T$5,NFI,5,0),1,0)*Table_NFI[[#This Row],[Winter Items Other]],Table_NFI[Winter Items Other])</f>
        <v>0</v>
      </c>
      <c r="AL1225" s="294">
        <f>IF(NFI_Expiration=1,IF($A1225&lt;VLOOKUP(M$5,NFI,5,0),1,0)*Table_NFI[[#This Row],[Winter Blanket]],Table_NFI[[#This Row],[Winter Blanket]])</f>
        <v>0</v>
      </c>
      <c r="AM1225" s="294">
        <f>IF(Table_NFI[[#This Row],[Winter Clothes Adult]]+Table_NFI[[#This Row],[Winter Clothes Children]]+Table_NFI[[#This Row],[Winter Items Other]]+Table_NFI[[#This Row],[Winter Blanket]]&gt;0,1,0)</f>
        <v>0</v>
      </c>
      <c r="AN1225" s="331">
        <f>IF(NFI_Expiration=1,IF($A1225&lt;VLOOKUP(V$5,NFI,5,0),1,0)*Table_NFI[[#This Row],[Jerry Can]],Table_NFI[Jerry Can])</f>
        <v>0</v>
      </c>
      <c r="AO1225" s="331">
        <f>IF(NFI_Expiration=1,IF($A1225&lt;VLOOKUP(V$5,NFI,5,0),1,0)*Table_NFI[[#This Row],[Shelter Tool kit]],Table_NFI[Shelter Tool kit])</f>
        <v>0</v>
      </c>
      <c r="AP1225" s="331">
        <f>IF(NFI_Expiration=1,IF($A1225&lt;VLOOKUP(V$5,NFI,5,0),1,0)*Table_NFI[[#This Row],[Tent]],Table_NFI[Tent])</f>
        <v>0</v>
      </c>
      <c r="AQ1225" s="467" t="str">
        <f>IFERROR(VLOOKUP(Table_NFI[[#This Row],[Camp Name]],CL,2,0),"")</f>
        <v/>
      </c>
      <c r="AR1225" s="835" t="str">
        <f ca="1">IF(Table_NFI[[#This Row],[Pcode]]="","",IF(OFFSET(CampList[Opening Date],MATCH(Table_NFI[[#This Row],[Pcode]],CampList[CP_Pcode],0)-1,0,1,1)&gt;=NFI_Monitor_Date,1,0))</f>
        <v/>
      </c>
      <c r="AS1225" s="467" t="str">
        <f>IFERROR(VLOOKUP(Table_NFI[[#This Row],[Camp Name]],CL,3,0),"")</f>
        <v/>
      </c>
      <c r="AT1225" s="294" t="str">
        <f ca="1">IF(Table_NFI[[#This Row],[Pcode]]="","",OFFSET(CampList[Priority],MATCH(Table_NFI[[#This Row],[Pcode]],CampList[CP_Pcode],0)-1,0,1,1))</f>
        <v/>
      </c>
      <c r="AU1225" s="293" t="str">
        <f>IFERROR(Table_NFI[[#This Row],[Kitchen Set]]/VLOOKUP(Table_NFI[[#This Row],[Camp Name]],CL,4,0),"")</f>
        <v/>
      </c>
      <c r="AV1225" s="465"/>
      <c r="AW1225" s="468"/>
    </row>
    <row r="1226" spans="1:49" ht="14.45" customHeight="1" x14ac:dyDescent="0.25">
      <c r="A1226" s="297" t="str">
        <f t="shared" si="19"/>
        <v/>
      </c>
      <c r="B1226" s="460"/>
      <c r="C1226" s="465"/>
      <c r="D1226" s="465"/>
      <c r="E1226" s="465"/>
      <c r="F1226" s="465"/>
      <c r="G1226" s="465"/>
      <c r="H1226" s="292"/>
      <c r="I1226" s="292"/>
      <c r="J1226" s="292"/>
      <c r="K1226" s="292"/>
      <c r="L1226" s="292"/>
      <c r="M1226" s="292"/>
      <c r="N1226" s="292"/>
      <c r="O1226" s="292"/>
      <c r="P1226" s="294"/>
      <c r="Q1226" s="294"/>
      <c r="R1226" s="294"/>
      <c r="S1226" s="294"/>
      <c r="T1226" s="294"/>
      <c r="U1226" s="294"/>
      <c r="V1226" s="431"/>
      <c r="W1226" s="331"/>
      <c r="X1226" s="331"/>
      <c r="Y1226" s="294">
        <f>IF(NFI_Expiration=1,IF($A1226&lt;VLOOKUP(H$5,NFI,5,0),1,0)*Table_NFI[[#This Row],[Hygiene Kit]],Table_NFI[Hygiene Kit])</f>
        <v>0</v>
      </c>
      <c r="Z1226" s="294">
        <f>IF(NFI_Expiration=1,IF($A1226&lt;VLOOKUP(I$5,NFI,5,0),1,0)*Table_NFI[[#This Row],[NFI Core Kit]],Table_NFI[NFI Core Kit])</f>
        <v>0</v>
      </c>
      <c r="AA1226" s="294">
        <f>IF(NFI_Expiration=1,IF($A1226&lt;VLOOKUP(J$5,NFI,5,0),1,0)*Table_NFI[[#This Row],[Sanitary Kit]],Table_NFI[Sanitary Kit])</f>
        <v>0</v>
      </c>
      <c r="AB1226" s="294">
        <f>IF(NFI_Expiration=1,IF($A1226&lt;VLOOKUP(K$5,NFI,5,0),1,0)*Table_NFI[[#This Row],[Mosquito net]],Table_NFI[Mosquito net])</f>
        <v>0</v>
      </c>
      <c r="AC1226" s="294">
        <f>IF(NFI_Expiration=1,IF($A1226&lt;VLOOKUP(L$5,NFI,5,0),1,0)*Table_NFI[[#This Row],[Tarpaulin]],Table_NFI[[#This Row],[Tarpaulin]])</f>
        <v>0</v>
      </c>
      <c r="AD1226" s="294">
        <f>IF(NFI_Expiration=1,IF($A1226&lt;VLOOKUP(M$5,NFI,5,0),1,0)*Table_NFI[[#This Row],[Blanket]],Table_NFI[[#This Row],[Blanket]])</f>
        <v>0</v>
      </c>
      <c r="AE1226" s="294">
        <f>IF(NFI_Expiration=1,IF($A1226&lt;VLOOKUP(N$5,NFI,5,0),1,0)*Table_NFI[[#This Row],[Kitchen Set]],Table_NFI[Kitchen Set])</f>
        <v>0</v>
      </c>
      <c r="AF1226" s="294">
        <f>IF(NFI_Expiration=1,IF($A1226&lt;VLOOKUP(O$5,NFI,5,0),1,0)*Table_NFI[[#This Row],[Clothes Kit]],Table_NFI[Clothes Kit])</f>
        <v>0</v>
      </c>
      <c r="AG1226" s="294">
        <f>IF(NFI_Expiration=1,IF($A1226&lt;VLOOKUP(P$5,NFI,5,0),1,0)*Table_NFI[[#This Row],[Plastic Bucket]],Table_NFI[Plastic Bucket])</f>
        <v>0</v>
      </c>
      <c r="AH1226" s="294">
        <f>IF(NFI_Expiration=1,IF($A1226&lt;VLOOKUP(Q$5,NFI,5,0),1,0)*Table_NFI[[#This Row],[Plastic Mat]],Table_NFI[Plastic Mat])*IF(Table_NFI[[#This Row],[Distribution Date]]&gt;"2014-04-01",1,2.5)</f>
        <v>0</v>
      </c>
      <c r="AI1226" s="294">
        <f>IF(NFI_Expiration=1,IF($A1226&lt;VLOOKUP(R$5,NFI,5,0),1,0)*Table_NFI[[#This Row],[Winter Clothes Adult]],Table_NFI[Winter Clothes Adult])</f>
        <v>0</v>
      </c>
      <c r="AJ1226" s="294">
        <f>IF(NFI_Expiration=1,IF($A1226&lt;VLOOKUP(S$5,NFI,5,0),1,0)*Table_NFI[[#This Row],[Winter Clothes Children]],Table_NFI[Winter Clothes Children])</f>
        <v>0</v>
      </c>
      <c r="AK1226" s="294">
        <f>IF(NFI_Expiration=1,IF($A1226&lt;VLOOKUP(T$5,NFI,5,0),1,0)*Table_NFI[[#This Row],[Winter Items Other]],Table_NFI[Winter Items Other])</f>
        <v>0</v>
      </c>
      <c r="AL1226" s="294">
        <f>IF(NFI_Expiration=1,IF($A1226&lt;VLOOKUP(M$5,NFI,5,0),1,0)*Table_NFI[[#This Row],[Winter Blanket]],Table_NFI[[#This Row],[Winter Blanket]])</f>
        <v>0</v>
      </c>
      <c r="AM1226" s="294">
        <f>IF(Table_NFI[[#This Row],[Winter Clothes Adult]]+Table_NFI[[#This Row],[Winter Clothes Children]]+Table_NFI[[#This Row],[Winter Items Other]]+Table_NFI[[#This Row],[Winter Blanket]]&gt;0,1,0)</f>
        <v>0</v>
      </c>
      <c r="AN1226" s="331">
        <f>IF(NFI_Expiration=1,IF($A1226&lt;VLOOKUP(V$5,NFI,5,0),1,0)*Table_NFI[[#This Row],[Jerry Can]],Table_NFI[Jerry Can])</f>
        <v>0</v>
      </c>
      <c r="AO1226" s="331">
        <f>IF(NFI_Expiration=1,IF($A1226&lt;VLOOKUP(V$5,NFI,5,0),1,0)*Table_NFI[[#This Row],[Shelter Tool kit]],Table_NFI[Shelter Tool kit])</f>
        <v>0</v>
      </c>
      <c r="AP1226" s="331">
        <f>IF(NFI_Expiration=1,IF($A1226&lt;VLOOKUP(V$5,NFI,5,0),1,0)*Table_NFI[[#This Row],[Tent]],Table_NFI[Tent])</f>
        <v>0</v>
      </c>
      <c r="AQ1226" s="467" t="str">
        <f>IFERROR(VLOOKUP(Table_NFI[[#This Row],[Camp Name]],CL,2,0),"")</f>
        <v/>
      </c>
      <c r="AR1226" s="835" t="str">
        <f ca="1">IF(Table_NFI[[#This Row],[Pcode]]="","",IF(OFFSET(CampList[Opening Date],MATCH(Table_NFI[[#This Row],[Pcode]],CampList[CP_Pcode],0)-1,0,1,1)&gt;=NFI_Monitor_Date,1,0))</f>
        <v/>
      </c>
      <c r="AS1226" s="467" t="str">
        <f>IFERROR(VLOOKUP(Table_NFI[[#This Row],[Camp Name]],CL,3,0),"")</f>
        <v/>
      </c>
      <c r="AT1226" s="294" t="str">
        <f ca="1">IF(Table_NFI[[#This Row],[Pcode]]="","",OFFSET(CampList[Priority],MATCH(Table_NFI[[#This Row],[Pcode]],CampList[CP_Pcode],0)-1,0,1,1))</f>
        <v/>
      </c>
      <c r="AU1226" s="293" t="str">
        <f>IFERROR(Table_NFI[[#This Row],[Kitchen Set]]/VLOOKUP(Table_NFI[[#This Row],[Camp Name]],CL,4,0),"")</f>
        <v/>
      </c>
      <c r="AV1226" s="465"/>
      <c r="AW1226" s="468"/>
    </row>
    <row r="1227" spans="1:49" ht="14.45" customHeight="1" x14ac:dyDescent="0.25">
      <c r="A1227" s="297" t="str">
        <f t="shared" si="19"/>
        <v/>
      </c>
      <c r="B1227" s="460"/>
      <c r="C1227" s="465"/>
      <c r="D1227" s="465"/>
      <c r="E1227" s="465"/>
      <c r="F1227" s="465"/>
      <c r="G1227" s="465"/>
      <c r="H1227" s="292"/>
      <c r="I1227" s="292"/>
      <c r="J1227" s="292"/>
      <c r="K1227" s="292"/>
      <c r="L1227" s="292"/>
      <c r="M1227" s="292"/>
      <c r="N1227" s="292"/>
      <c r="O1227" s="292"/>
      <c r="P1227" s="294"/>
      <c r="Q1227" s="294"/>
      <c r="R1227" s="294"/>
      <c r="S1227" s="294"/>
      <c r="T1227" s="294"/>
      <c r="U1227" s="294"/>
      <c r="V1227" s="431"/>
      <c r="W1227" s="331"/>
      <c r="X1227" s="331"/>
      <c r="Y1227" s="294">
        <f>IF(NFI_Expiration=1,IF($A1227&lt;VLOOKUP(H$5,NFI,5,0),1,0)*Table_NFI[[#This Row],[Hygiene Kit]],Table_NFI[Hygiene Kit])</f>
        <v>0</v>
      </c>
      <c r="Z1227" s="294">
        <f>IF(NFI_Expiration=1,IF($A1227&lt;VLOOKUP(I$5,NFI,5,0),1,0)*Table_NFI[[#This Row],[NFI Core Kit]],Table_NFI[NFI Core Kit])</f>
        <v>0</v>
      </c>
      <c r="AA1227" s="294">
        <f>IF(NFI_Expiration=1,IF($A1227&lt;VLOOKUP(J$5,NFI,5,0),1,0)*Table_NFI[[#This Row],[Sanitary Kit]],Table_NFI[Sanitary Kit])</f>
        <v>0</v>
      </c>
      <c r="AB1227" s="294">
        <f>IF(NFI_Expiration=1,IF($A1227&lt;VLOOKUP(K$5,NFI,5,0),1,0)*Table_NFI[[#This Row],[Mosquito net]],Table_NFI[Mosquito net])</f>
        <v>0</v>
      </c>
      <c r="AC1227" s="294">
        <f>IF(NFI_Expiration=1,IF($A1227&lt;VLOOKUP(L$5,NFI,5,0),1,0)*Table_NFI[[#This Row],[Tarpaulin]],Table_NFI[[#This Row],[Tarpaulin]])</f>
        <v>0</v>
      </c>
      <c r="AD1227" s="294">
        <f>IF(NFI_Expiration=1,IF($A1227&lt;VLOOKUP(M$5,NFI,5,0),1,0)*Table_NFI[[#This Row],[Blanket]],Table_NFI[[#This Row],[Blanket]])</f>
        <v>0</v>
      </c>
      <c r="AE1227" s="294">
        <f>IF(NFI_Expiration=1,IF($A1227&lt;VLOOKUP(N$5,NFI,5,0),1,0)*Table_NFI[[#This Row],[Kitchen Set]],Table_NFI[Kitchen Set])</f>
        <v>0</v>
      </c>
      <c r="AF1227" s="294">
        <f>IF(NFI_Expiration=1,IF($A1227&lt;VLOOKUP(O$5,NFI,5,0),1,0)*Table_NFI[[#This Row],[Clothes Kit]],Table_NFI[Clothes Kit])</f>
        <v>0</v>
      </c>
      <c r="AG1227" s="294">
        <f>IF(NFI_Expiration=1,IF($A1227&lt;VLOOKUP(P$5,NFI,5,0),1,0)*Table_NFI[[#This Row],[Plastic Bucket]],Table_NFI[Plastic Bucket])</f>
        <v>0</v>
      </c>
      <c r="AH1227" s="294">
        <f>IF(NFI_Expiration=1,IF($A1227&lt;VLOOKUP(Q$5,NFI,5,0),1,0)*Table_NFI[[#This Row],[Plastic Mat]],Table_NFI[Plastic Mat])*IF(Table_NFI[[#This Row],[Distribution Date]]&gt;"2014-04-01",1,2.5)</f>
        <v>0</v>
      </c>
      <c r="AI1227" s="294">
        <f>IF(NFI_Expiration=1,IF($A1227&lt;VLOOKUP(R$5,NFI,5,0),1,0)*Table_NFI[[#This Row],[Winter Clothes Adult]],Table_NFI[Winter Clothes Adult])</f>
        <v>0</v>
      </c>
      <c r="AJ1227" s="294">
        <f>IF(NFI_Expiration=1,IF($A1227&lt;VLOOKUP(S$5,NFI,5,0),1,0)*Table_NFI[[#This Row],[Winter Clothes Children]],Table_NFI[Winter Clothes Children])</f>
        <v>0</v>
      </c>
      <c r="AK1227" s="294">
        <f>IF(NFI_Expiration=1,IF($A1227&lt;VLOOKUP(T$5,NFI,5,0),1,0)*Table_NFI[[#This Row],[Winter Items Other]],Table_NFI[Winter Items Other])</f>
        <v>0</v>
      </c>
      <c r="AL1227" s="294">
        <f>IF(NFI_Expiration=1,IF($A1227&lt;VLOOKUP(M$5,NFI,5,0),1,0)*Table_NFI[[#This Row],[Winter Blanket]],Table_NFI[[#This Row],[Winter Blanket]])</f>
        <v>0</v>
      </c>
      <c r="AM1227" s="294">
        <f>IF(Table_NFI[[#This Row],[Winter Clothes Adult]]+Table_NFI[[#This Row],[Winter Clothes Children]]+Table_NFI[[#This Row],[Winter Items Other]]+Table_NFI[[#This Row],[Winter Blanket]]&gt;0,1,0)</f>
        <v>0</v>
      </c>
      <c r="AN1227" s="331">
        <f>IF(NFI_Expiration=1,IF($A1227&lt;VLOOKUP(V$5,NFI,5,0),1,0)*Table_NFI[[#This Row],[Jerry Can]],Table_NFI[Jerry Can])</f>
        <v>0</v>
      </c>
      <c r="AO1227" s="331">
        <f>IF(NFI_Expiration=1,IF($A1227&lt;VLOOKUP(V$5,NFI,5,0),1,0)*Table_NFI[[#This Row],[Shelter Tool kit]],Table_NFI[Shelter Tool kit])</f>
        <v>0</v>
      </c>
      <c r="AP1227" s="331">
        <f>IF(NFI_Expiration=1,IF($A1227&lt;VLOOKUP(V$5,NFI,5,0),1,0)*Table_NFI[[#This Row],[Tent]],Table_NFI[Tent])</f>
        <v>0</v>
      </c>
      <c r="AQ1227" s="467" t="str">
        <f>IFERROR(VLOOKUP(Table_NFI[[#This Row],[Camp Name]],CL,2,0),"")</f>
        <v/>
      </c>
      <c r="AR1227" s="835" t="str">
        <f ca="1">IF(Table_NFI[[#This Row],[Pcode]]="","",IF(OFFSET(CampList[Opening Date],MATCH(Table_NFI[[#This Row],[Pcode]],CampList[CP_Pcode],0)-1,0,1,1)&gt;=NFI_Monitor_Date,1,0))</f>
        <v/>
      </c>
      <c r="AS1227" s="467" t="str">
        <f>IFERROR(VLOOKUP(Table_NFI[[#This Row],[Camp Name]],CL,3,0),"")</f>
        <v/>
      </c>
      <c r="AT1227" s="294" t="str">
        <f ca="1">IF(Table_NFI[[#This Row],[Pcode]]="","",OFFSET(CampList[Priority],MATCH(Table_NFI[[#This Row],[Pcode]],CampList[CP_Pcode],0)-1,0,1,1))</f>
        <v/>
      </c>
      <c r="AU1227" s="293" t="str">
        <f>IFERROR(Table_NFI[[#This Row],[Kitchen Set]]/VLOOKUP(Table_NFI[[#This Row],[Camp Name]],CL,4,0),"")</f>
        <v/>
      </c>
      <c r="AV1227" s="465"/>
      <c r="AW1227" s="468"/>
    </row>
    <row r="1228" spans="1:49" ht="14.45" customHeight="1" x14ac:dyDescent="0.25">
      <c r="A1228" s="297" t="str">
        <f t="shared" si="19"/>
        <v/>
      </c>
      <c r="B1228" s="460"/>
      <c r="C1228" s="465"/>
      <c r="D1228" s="465"/>
      <c r="E1228" s="465"/>
      <c r="F1228" s="465"/>
      <c r="G1228" s="465"/>
      <c r="H1228" s="292"/>
      <c r="I1228" s="292"/>
      <c r="J1228" s="292"/>
      <c r="K1228" s="292"/>
      <c r="L1228" s="292"/>
      <c r="M1228" s="292"/>
      <c r="N1228" s="292"/>
      <c r="O1228" s="292"/>
      <c r="P1228" s="294"/>
      <c r="Q1228" s="294"/>
      <c r="R1228" s="294"/>
      <c r="S1228" s="294"/>
      <c r="T1228" s="294"/>
      <c r="U1228" s="294"/>
      <c r="V1228" s="431"/>
      <c r="W1228" s="331"/>
      <c r="X1228" s="331"/>
      <c r="Y1228" s="294">
        <f>IF(NFI_Expiration=1,IF($A1228&lt;VLOOKUP(H$5,NFI,5,0),1,0)*Table_NFI[[#This Row],[Hygiene Kit]],Table_NFI[Hygiene Kit])</f>
        <v>0</v>
      </c>
      <c r="Z1228" s="294">
        <f>IF(NFI_Expiration=1,IF($A1228&lt;VLOOKUP(I$5,NFI,5,0),1,0)*Table_NFI[[#This Row],[NFI Core Kit]],Table_NFI[NFI Core Kit])</f>
        <v>0</v>
      </c>
      <c r="AA1228" s="294">
        <f>IF(NFI_Expiration=1,IF($A1228&lt;VLOOKUP(J$5,NFI,5,0),1,0)*Table_NFI[[#This Row],[Sanitary Kit]],Table_NFI[Sanitary Kit])</f>
        <v>0</v>
      </c>
      <c r="AB1228" s="294">
        <f>IF(NFI_Expiration=1,IF($A1228&lt;VLOOKUP(K$5,NFI,5,0),1,0)*Table_NFI[[#This Row],[Mosquito net]],Table_NFI[Mosquito net])</f>
        <v>0</v>
      </c>
      <c r="AC1228" s="294">
        <f>IF(NFI_Expiration=1,IF($A1228&lt;VLOOKUP(L$5,NFI,5,0),1,0)*Table_NFI[[#This Row],[Tarpaulin]],Table_NFI[[#This Row],[Tarpaulin]])</f>
        <v>0</v>
      </c>
      <c r="AD1228" s="294">
        <f>IF(NFI_Expiration=1,IF($A1228&lt;VLOOKUP(M$5,NFI,5,0),1,0)*Table_NFI[[#This Row],[Blanket]],Table_NFI[[#This Row],[Blanket]])</f>
        <v>0</v>
      </c>
      <c r="AE1228" s="294">
        <f>IF(NFI_Expiration=1,IF($A1228&lt;VLOOKUP(N$5,NFI,5,0),1,0)*Table_NFI[[#This Row],[Kitchen Set]],Table_NFI[Kitchen Set])</f>
        <v>0</v>
      </c>
      <c r="AF1228" s="294">
        <f>IF(NFI_Expiration=1,IF($A1228&lt;VLOOKUP(O$5,NFI,5,0),1,0)*Table_NFI[[#This Row],[Clothes Kit]],Table_NFI[Clothes Kit])</f>
        <v>0</v>
      </c>
      <c r="AG1228" s="294">
        <f>IF(NFI_Expiration=1,IF($A1228&lt;VLOOKUP(P$5,NFI,5,0),1,0)*Table_NFI[[#This Row],[Plastic Bucket]],Table_NFI[Plastic Bucket])</f>
        <v>0</v>
      </c>
      <c r="AH1228" s="294">
        <f>IF(NFI_Expiration=1,IF($A1228&lt;VLOOKUP(Q$5,NFI,5,0),1,0)*Table_NFI[[#This Row],[Plastic Mat]],Table_NFI[Plastic Mat])*IF(Table_NFI[[#This Row],[Distribution Date]]&gt;"2014-04-01",1,2.5)</f>
        <v>0</v>
      </c>
      <c r="AI1228" s="294">
        <f>IF(NFI_Expiration=1,IF($A1228&lt;VLOOKUP(R$5,NFI,5,0),1,0)*Table_NFI[[#This Row],[Winter Clothes Adult]],Table_NFI[Winter Clothes Adult])</f>
        <v>0</v>
      </c>
      <c r="AJ1228" s="294">
        <f>IF(NFI_Expiration=1,IF($A1228&lt;VLOOKUP(S$5,NFI,5,0),1,0)*Table_NFI[[#This Row],[Winter Clothes Children]],Table_NFI[Winter Clothes Children])</f>
        <v>0</v>
      </c>
      <c r="AK1228" s="294">
        <f>IF(NFI_Expiration=1,IF($A1228&lt;VLOOKUP(T$5,NFI,5,0),1,0)*Table_NFI[[#This Row],[Winter Items Other]],Table_NFI[Winter Items Other])</f>
        <v>0</v>
      </c>
      <c r="AL1228" s="294">
        <f>IF(NFI_Expiration=1,IF($A1228&lt;VLOOKUP(M$5,NFI,5,0),1,0)*Table_NFI[[#This Row],[Winter Blanket]],Table_NFI[[#This Row],[Winter Blanket]])</f>
        <v>0</v>
      </c>
      <c r="AM1228" s="294">
        <f>IF(Table_NFI[[#This Row],[Winter Clothes Adult]]+Table_NFI[[#This Row],[Winter Clothes Children]]+Table_NFI[[#This Row],[Winter Items Other]]+Table_NFI[[#This Row],[Winter Blanket]]&gt;0,1,0)</f>
        <v>0</v>
      </c>
      <c r="AN1228" s="331">
        <f>IF(NFI_Expiration=1,IF($A1228&lt;VLOOKUP(V$5,NFI,5,0),1,0)*Table_NFI[[#This Row],[Jerry Can]],Table_NFI[Jerry Can])</f>
        <v>0</v>
      </c>
      <c r="AO1228" s="331">
        <f>IF(NFI_Expiration=1,IF($A1228&lt;VLOOKUP(V$5,NFI,5,0),1,0)*Table_NFI[[#This Row],[Shelter Tool kit]],Table_NFI[Shelter Tool kit])</f>
        <v>0</v>
      </c>
      <c r="AP1228" s="331">
        <f>IF(NFI_Expiration=1,IF($A1228&lt;VLOOKUP(V$5,NFI,5,0),1,0)*Table_NFI[[#This Row],[Tent]],Table_NFI[Tent])</f>
        <v>0</v>
      </c>
      <c r="AQ1228" s="467" t="str">
        <f>IFERROR(VLOOKUP(Table_NFI[[#This Row],[Camp Name]],CL,2,0),"")</f>
        <v/>
      </c>
      <c r="AR1228" s="835" t="str">
        <f ca="1">IF(Table_NFI[[#This Row],[Pcode]]="","",IF(OFFSET(CampList[Opening Date],MATCH(Table_NFI[[#This Row],[Pcode]],CampList[CP_Pcode],0)-1,0,1,1)&gt;=NFI_Monitor_Date,1,0))</f>
        <v/>
      </c>
      <c r="AS1228" s="467" t="str">
        <f>IFERROR(VLOOKUP(Table_NFI[[#This Row],[Camp Name]],CL,3,0),"")</f>
        <v/>
      </c>
      <c r="AT1228" s="294" t="str">
        <f ca="1">IF(Table_NFI[[#This Row],[Pcode]]="","",OFFSET(CampList[Priority],MATCH(Table_NFI[[#This Row],[Pcode]],CampList[CP_Pcode],0)-1,0,1,1))</f>
        <v/>
      </c>
      <c r="AU1228" s="293" t="str">
        <f>IFERROR(Table_NFI[[#This Row],[Kitchen Set]]/VLOOKUP(Table_NFI[[#This Row],[Camp Name]],CL,4,0),"")</f>
        <v/>
      </c>
      <c r="AV1228" s="465"/>
      <c r="AW1228" s="468"/>
    </row>
    <row r="1229" spans="1:49" ht="14.45" customHeight="1" x14ac:dyDescent="0.25">
      <c r="A1229" s="297" t="str">
        <f t="shared" si="19"/>
        <v/>
      </c>
      <c r="B1229" s="460"/>
      <c r="C1229" s="465"/>
      <c r="D1229" s="465"/>
      <c r="E1229" s="465"/>
      <c r="F1229" s="465"/>
      <c r="G1229" s="465"/>
      <c r="H1229" s="292"/>
      <c r="I1229" s="292"/>
      <c r="J1229" s="292"/>
      <c r="K1229" s="292"/>
      <c r="L1229" s="292"/>
      <c r="M1229" s="292"/>
      <c r="N1229" s="292"/>
      <c r="O1229" s="292"/>
      <c r="P1229" s="294"/>
      <c r="Q1229" s="294"/>
      <c r="R1229" s="294"/>
      <c r="S1229" s="294"/>
      <c r="T1229" s="294"/>
      <c r="U1229" s="294"/>
      <c r="V1229" s="431"/>
      <c r="W1229" s="331"/>
      <c r="X1229" s="331"/>
      <c r="Y1229" s="294">
        <f>IF(NFI_Expiration=1,IF($A1229&lt;VLOOKUP(H$5,NFI,5,0),1,0)*Table_NFI[[#This Row],[Hygiene Kit]],Table_NFI[Hygiene Kit])</f>
        <v>0</v>
      </c>
      <c r="Z1229" s="294">
        <f>IF(NFI_Expiration=1,IF($A1229&lt;VLOOKUP(I$5,NFI,5,0),1,0)*Table_NFI[[#This Row],[NFI Core Kit]],Table_NFI[NFI Core Kit])</f>
        <v>0</v>
      </c>
      <c r="AA1229" s="294">
        <f>IF(NFI_Expiration=1,IF($A1229&lt;VLOOKUP(J$5,NFI,5,0),1,0)*Table_NFI[[#This Row],[Sanitary Kit]],Table_NFI[Sanitary Kit])</f>
        <v>0</v>
      </c>
      <c r="AB1229" s="294">
        <f>IF(NFI_Expiration=1,IF($A1229&lt;VLOOKUP(K$5,NFI,5,0),1,0)*Table_NFI[[#This Row],[Mosquito net]],Table_NFI[Mosquito net])</f>
        <v>0</v>
      </c>
      <c r="AC1229" s="294">
        <f>IF(NFI_Expiration=1,IF($A1229&lt;VLOOKUP(L$5,NFI,5,0),1,0)*Table_NFI[[#This Row],[Tarpaulin]],Table_NFI[[#This Row],[Tarpaulin]])</f>
        <v>0</v>
      </c>
      <c r="AD1229" s="294">
        <f>IF(NFI_Expiration=1,IF($A1229&lt;VLOOKUP(M$5,NFI,5,0),1,0)*Table_NFI[[#This Row],[Blanket]],Table_NFI[[#This Row],[Blanket]])</f>
        <v>0</v>
      </c>
      <c r="AE1229" s="294">
        <f>IF(NFI_Expiration=1,IF($A1229&lt;VLOOKUP(N$5,NFI,5,0),1,0)*Table_NFI[[#This Row],[Kitchen Set]],Table_NFI[Kitchen Set])</f>
        <v>0</v>
      </c>
      <c r="AF1229" s="294">
        <f>IF(NFI_Expiration=1,IF($A1229&lt;VLOOKUP(O$5,NFI,5,0),1,0)*Table_NFI[[#This Row],[Clothes Kit]],Table_NFI[Clothes Kit])</f>
        <v>0</v>
      </c>
      <c r="AG1229" s="294">
        <f>IF(NFI_Expiration=1,IF($A1229&lt;VLOOKUP(P$5,NFI,5,0),1,0)*Table_NFI[[#This Row],[Plastic Bucket]],Table_NFI[Plastic Bucket])</f>
        <v>0</v>
      </c>
      <c r="AH1229" s="294">
        <f>IF(NFI_Expiration=1,IF($A1229&lt;VLOOKUP(Q$5,NFI,5,0),1,0)*Table_NFI[[#This Row],[Plastic Mat]],Table_NFI[Plastic Mat])*IF(Table_NFI[[#This Row],[Distribution Date]]&gt;"2014-04-01",1,2.5)</f>
        <v>0</v>
      </c>
      <c r="AI1229" s="294">
        <f>IF(NFI_Expiration=1,IF($A1229&lt;VLOOKUP(R$5,NFI,5,0),1,0)*Table_NFI[[#This Row],[Winter Clothes Adult]],Table_NFI[Winter Clothes Adult])</f>
        <v>0</v>
      </c>
      <c r="AJ1229" s="294">
        <f>IF(NFI_Expiration=1,IF($A1229&lt;VLOOKUP(S$5,NFI,5,0),1,0)*Table_NFI[[#This Row],[Winter Clothes Children]],Table_NFI[Winter Clothes Children])</f>
        <v>0</v>
      </c>
      <c r="AK1229" s="294">
        <f>IF(NFI_Expiration=1,IF($A1229&lt;VLOOKUP(T$5,NFI,5,0),1,0)*Table_NFI[[#This Row],[Winter Items Other]],Table_NFI[Winter Items Other])</f>
        <v>0</v>
      </c>
      <c r="AL1229" s="294">
        <f>IF(NFI_Expiration=1,IF($A1229&lt;VLOOKUP(M$5,NFI,5,0),1,0)*Table_NFI[[#This Row],[Winter Blanket]],Table_NFI[[#This Row],[Winter Blanket]])</f>
        <v>0</v>
      </c>
      <c r="AM1229" s="294">
        <f>IF(Table_NFI[[#This Row],[Winter Clothes Adult]]+Table_NFI[[#This Row],[Winter Clothes Children]]+Table_NFI[[#This Row],[Winter Items Other]]+Table_NFI[[#This Row],[Winter Blanket]]&gt;0,1,0)</f>
        <v>0</v>
      </c>
      <c r="AN1229" s="331">
        <f>IF(NFI_Expiration=1,IF($A1229&lt;VLOOKUP(V$5,NFI,5,0),1,0)*Table_NFI[[#This Row],[Jerry Can]],Table_NFI[Jerry Can])</f>
        <v>0</v>
      </c>
      <c r="AO1229" s="331">
        <f>IF(NFI_Expiration=1,IF($A1229&lt;VLOOKUP(V$5,NFI,5,0),1,0)*Table_NFI[[#This Row],[Shelter Tool kit]],Table_NFI[Shelter Tool kit])</f>
        <v>0</v>
      </c>
      <c r="AP1229" s="331">
        <f>IF(NFI_Expiration=1,IF($A1229&lt;VLOOKUP(V$5,NFI,5,0),1,0)*Table_NFI[[#This Row],[Tent]],Table_NFI[Tent])</f>
        <v>0</v>
      </c>
      <c r="AQ1229" s="467" t="str">
        <f>IFERROR(VLOOKUP(Table_NFI[[#This Row],[Camp Name]],CL,2,0),"")</f>
        <v/>
      </c>
      <c r="AR1229" s="835" t="str">
        <f ca="1">IF(Table_NFI[[#This Row],[Pcode]]="","",IF(OFFSET(CampList[Opening Date],MATCH(Table_NFI[[#This Row],[Pcode]],CampList[CP_Pcode],0)-1,0,1,1)&gt;=NFI_Monitor_Date,1,0))</f>
        <v/>
      </c>
      <c r="AS1229" s="467" t="str">
        <f>IFERROR(VLOOKUP(Table_NFI[[#This Row],[Camp Name]],CL,3,0),"")</f>
        <v/>
      </c>
      <c r="AT1229" s="294" t="str">
        <f ca="1">IF(Table_NFI[[#This Row],[Pcode]]="","",OFFSET(CampList[Priority],MATCH(Table_NFI[[#This Row],[Pcode]],CampList[CP_Pcode],0)-1,0,1,1))</f>
        <v/>
      </c>
      <c r="AU1229" s="293" t="str">
        <f>IFERROR(Table_NFI[[#This Row],[Kitchen Set]]/VLOOKUP(Table_NFI[[#This Row],[Camp Name]],CL,4,0),"")</f>
        <v/>
      </c>
      <c r="AV1229" s="465"/>
      <c r="AW1229" s="468"/>
    </row>
    <row r="1230" spans="1:49" ht="14.45" customHeight="1" x14ac:dyDescent="0.25">
      <c r="A1230" s="297" t="str">
        <f t="shared" si="19"/>
        <v/>
      </c>
      <c r="B1230" s="460"/>
      <c r="C1230" s="465"/>
      <c r="D1230" s="465"/>
      <c r="E1230" s="465"/>
      <c r="F1230" s="465"/>
      <c r="G1230" s="465"/>
      <c r="H1230" s="292"/>
      <c r="I1230" s="292"/>
      <c r="J1230" s="292"/>
      <c r="K1230" s="292"/>
      <c r="L1230" s="292"/>
      <c r="M1230" s="292"/>
      <c r="N1230" s="292"/>
      <c r="O1230" s="292"/>
      <c r="P1230" s="294"/>
      <c r="Q1230" s="294"/>
      <c r="R1230" s="294"/>
      <c r="S1230" s="294"/>
      <c r="T1230" s="294"/>
      <c r="U1230" s="294"/>
      <c r="V1230" s="431"/>
      <c r="W1230" s="331"/>
      <c r="X1230" s="331"/>
      <c r="Y1230" s="294">
        <f>IF(NFI_Expiration=1,IF($A1230&lt;VLOOKUP(H$5,NFI,5,0),1,0)*Table_NFI[[#This Row],[Hygiene Kit]],Table_NFI[Hygiene Kit])</f>
        <v>0</v>
      </c>
      <c r="Z1230" s="294">
        <f>IF(NFI_Expiration=1,IF($A1230&lt;VLOOKUP(I$5,NFI,5,0),1,0)*Table_NFI[[#This Row],[NFI Core Kit]],Table_NFI[NFI Core Kit])</f>
        <v>0</v>
      </c>
      <c r="AA1230" s="294">
        <f>IF(NFI_Expiration=1,IF($A1230&lt;VLOOKUP(J$5,NFI,5,0),1,0)*Table_NFI[[#This Row],[Sanitary Kit]],Table_NFI[Sanitary Kit])</f>
        <v>0</v>
      </c>
      <c r="AB1230" s="294">
        <f>IF(NFI_Expiration=1,IF($A1230&lt;VLOOKUP(K$5,NFI,5,0),1,0)*Table_NFI[[#This Row],[Mosquito net]],Table_NFI[Mosquito net])</f>
        <v>0</v>
      </c>
      <c r="AC1230" s="294">
        <f>IF(NFI_Expiration=1,IF($A1230&lt;VLOOKUP(L$5,NFI,5,0),1,0)*Table_NFI[[#This Row],[Tarpaulin]],Table_NFI[[#This Row],[Tarpaulin]])</f>
        <v>0</v>
      </c>
      <c r="AD1230" s="294">
        <f>IF(NFI_Expiration=1,IF($A1230&lt;VLOOKUP(M$5,NFI,5,0),1,0)*Table_NFI[[#This Row],[Blanket]],Table_NFI[[#This Row],[Blanket]])</f>
        <v>0</v>
      </c>
      <c r="AE1230" s="294">
        <f>IF(NFI_Expiration=1,IF($A1230&lt;VLOOKUP(N$5,NFI,5,0),1,0)*Table_NFI[[#This Row],[Kitchen Set]],Table_NFI[Kitchen Set])</f>
        <v>0</v>
      </c>
      <c r="AF1230" s="294">
        <f>IF(NFI_Expiration=1,IF($A1230&lt;VLOOKUP(O$5,NFI,5,0),1,0)*Table_NFI[[#This Row],[Clothes Kit]],Table_NFI[Clothes Kit])</f>
        <v>0</v>
      </c>
      <c r="AG1230" s="294">
        <f>IF(NFI_Expiration=1,IF($A1230&lt;VLOOKUP(P$5,NFI,5,0),1,0)*Table_NFI[[#This Row],[Plastic Bucket]],Table_NFI[Plastic Bucket])</f>
        <v>0</v>
      </c>
      <c r="AH1230" s="294">
        <f>IF(NFI_Expiration=1,IF($A1230&lt;VLOOKUP(Q$5,NFI,5,0),1,0)*Table_NFI[[#This Row],[Plastic Mat]],Table_NFI[Plastic Mat])*IF(Table_NFI[[#This Row],[Distribution Date]]&gt;"2014-04-01",1,2.5)</f>
        <v>0</v>
      </c>
      <c r="AI1230" s="294">
        <f>IF(NFI_Expiration=1,IF($A1230&lt;VLOOKUP(R$5,NFI,5,0),1,0)*Table_NFI[[#This Row],[Winter Clothes Adult]],Table_NFI[Winter Clothes Adult])</f>
        <v>0</v>
      </c>
      <c r="AJ1230" s="294">
        <f>IF(NFI_Expiration=1,IF($A1230&lt;VLOOKUP(S$5,NFI,5,0),1,0)*Table_NFI[[#This Row],[Winter Clothes Children]],Table_NFI[Winter Clothes Children])</f>
        <v>0</v>
      </c>
      <c r="AK1230" s="294">
        <f>IF(NFI_Expiration=1,IF($A1230&lt;VLOOKUP(T$5,NFI,5,0),1,0)*Table_NFI[[#This Row],[Winter Items Other]],Table_NFI[Winter Items Other])</f>
        <v>0</v>
      </c>
      <c r="AL1230" s="294">
        <f>IF(NFI_Expiration=1,IF($A1230&lt;VLOOKUP(M$5,NFI,5,0),1,0)*Table_NFI[[#This Row],[Winter Blanket]],Table_NFI[[#This Row],[Winter Blanket]])</f>
        <v>0</v>
      </c>
      <c r="AM1230" s="294">
        <f>IF(Table_NFI[[#This Row],[Winter Clothes Adult]]+Table_NFI[[#This Row],[Winter Clothes Children]]+Table_NFI[[#This Row],[Winter Items Other]]+Table_NFI[[#This Row],[Winter Blanket]]&gt;0,1,0)</f>
        <v>0</v>
      </c>
      <c r="AN1230" s="331">
        <f>IF(NFI_Expiration=1,IF($A1230&lt;VLOOKUP(V$5,NFI,5,0),1,0)*Table_NFI[[#This Row],[Jerry Can]],Table_NFI[Jerry Can])</f>
        <v>0</v>
      </c>
      <c r="AO1230" s="331">
        <f>IF(NFI_Expiration=1,IF($A1230&lt;VLOOKUP(V$5,NFI,5,0),1,0)*Table_NFI[[#This Row],[Shelter Tool kit]],Table_NFI[Shelter Tool kit])</f>
        <v>0</v>
      </c>
      <c r="AP1230" s="331">
        <f>IF(NFI_Expiration=1,IF($A1230&lt;VLOOKUP(V$5,NFI,5,0),1,0)*Table_NFI[[#This Row],[Tent]],Table_NFI[Tent])</f>
        <v>0</v>
      </c>
      <c r="AQ1230" s="467" t="str">
        <f>IFERROR(VLOOKUP(Table_NFI[[#This Row],[Camp Name]],CL,2,0),"")</f>
        <v/>
      </c>
      <c r="AR1230" s="835" t="str">
        <f ca="1">IF(Table_NFI[[#This Row],[Pcode]]="","",IF(OFFSET(CampList[Opening Date],MATCH(Table_NFI[[#This Row],[Pcode]],CampList[CP_Pcode],0)-1,0,1,1)&gt;=NFI_Monitor_Date,1,0))</f>
        <v/>
      </c>
      <c r="AS1230" s="467" t="str">
        <f>IFERROR(VLOOKUP(Table_NFI[[#This Row],[Camp Name]],CL,3,0),"")</f>
        <v/>
      </c>
      <c r="AT1230" s="294" t="str">
        <f ca="1">IF(Table_NFI[[#This Row],[Pcode]]="","",OFFSET(CampList[Priority],MATCH(Table_NFI[[#This Row],[Pcode]],CampList[CP_Pcode],0)-1,0,1,1))</f>
        <v/>
      </c>
      <c r="AU1230" s="293" t="str">
        <f>IFERROR(Table_NFI[[#This Row],[Kitchen Set]]/VLOOKUP(Table_NFI[[#This Row],[Camp Name]],CL,4,0),"")</f>
        <v/>
      </c>
      <c r="AV1230" s="465"/>
      <c r="AW1230" s="468"/>
    </row>
    <row r="1231" spans="1:49" ht="14.45" customHeight="1" x14ac:dyDescent="0.25">
      <c r="A1231" s="297" t="str">
        <f t="shared" si="19"/>
        <v/>
      </c>
      <c r="B1231" s="460"/>
      <c r="C1231" s="465"/>
      <c r="D1231" s="465"/>
      <c r="E1231" s="465"/>
      <c r="F1231" s="465"/>
      <c r="G1231" s="465"/>
      <c r="H1231" s="292"/>
      <c r="I1231" s="292"/>
      <c r="J1231" s="292"/>
      <c r="K1231" s="292"/>
      <c r="L1231" s="292"/>
      <c r="M1231" s="292"/>
      <c r="N1231" s="292"/>
      <c r="O1231" s="292"/>
      <c r="P1231" s="294"/>
      <c r="Q1231" s="294"/>
      <c r="R1231" s="294"/>
      <c r="S1231" s="294"/>
      <c r="T1231" s="294"/>
      <c r="U1231" s="294"/>
      <c r="V1231" s="431"/>
      <c r="W1231" s="331"/>
      <c r="X1231" s="331"/>
      <c r="Y1231" s="294">
        <f>IF(NFI_Expiration=1,IF($A1231&lt;VLOOKUP(H$5,NFI,5,0),1,0)*Table_NFI[[#This Row],[Hygiene Kit]],Table_NFI[Hygiene Kit])</f>
        <v>0</v>
      </c>
      <c r="Z1231" s="294">
        <f>IF(NFI_Expiration=1,IF($A1231&lt;VLOOKUP(I$5,NFI,5,0),1,0)*Table_NFI[[#This Row],[NFI Core Kit]],Table_NFI[NFI Core Kit])</f>
        <v>0</v>
      </c>
      <c r="AA1231" s="294">
        <f>IF(NFI_Expiration=1,IF($A1231&lt;VLOOKUP(J$5,NFI,5,0),1,0)*Table_NFI[[#This Row],[Sanitary Kit]],Table_NFI[Sanitary Kit])</f>
        <v>0</v>
      </c>
      <c r="AB1231" s="294">
        <f>IF(NFI_Expiration=1,IF($A1231&lt;VLOOKUP(K$5,NFI,5,0),1,0)*Table_NFI[[#This Row],[Mosquito net]],Table_NFI[Mosquito net])</f>
        <v>0</v>
      </c>
      <c r="AC1231" s="294">
        <f>IF(NFI_Expiration=1,IF($A1231&lt;VLOOKUP(L$5,NFI,5,0),1,0)*Table_NFI[[#This Row],[Tarpaulin]],Table_NFI[[#This Row],[Tarpaulin]])</f>
        <v>0</v>
      </c>
      <c r="AD1231" s="294">
        <f>IF(NFI_Expiration=1,IF($A1231&lt;VLOOKUP(M$5,NFI,5,0),1,0)*Table_NFI[[#This Row],[Blanket]],Table_NFI[[#This Row],[Blanket]])</f>
        <v>0</v>
      </c>
      <c r="AE1231" s="294">
        <f>IF(NFI_Expiration=1,IF($A1231&lt;VLOOKUP(N$5,NFI,5,0),1,0)*Table_NFI[[#This Row],[Kitchen Set]],Table_NFI[Kitchen Set])</f>
        <v>0</v>
      </c>
      <c r="AF1231" s="294">
        <f>IF(NFI_Expiration=1,IF($A1231&lt;VLOOKUP(O$5,NFI,5,0),1,0)*Table_NFI[[#This Row],[Clothes Kit]],Table_NFI[Clothes Kit])</f>
        <v>0</v>
      </c>
      <c r="AG1231" s="294">
        <f>IF(NFI_Expiration=1,IF($A1231&lt;VLOOKUP(P$5,NFI,5,0),1,0)*Table_NFI[[#This Row],[Plastic Bucket]],Table_NFI[Plastic Bucket])</f>
        <v>0</v>
      </c>
      <c r="AH1231" s="294">
        <f>IF(NFI_Expiration=1,IF($A1231&lt;VLOOKUP(Q$5,NFI,5,0),1,0)*Table_NFI[[#This Row],[Plastic Mat]],Table_NFI[Plastic Mat])*IF(Table_NFI[[#This Row],[Distribution Date]]&gt;"2014-04-01",1,2.5)</f>
        <v>0</v>
      </c>
      <c r="AI1231" s="294">
        <f>IF(NFI_Expiration=1,IF($A1231&lt;VLOOKUP(R$5,NFI,5,0),1,0)*Table_NFI[[#This Row],[Winter Clothes Adult]],Table_NFI[Winter Clothes Adult])</f>
        <v>0</v>
      </c>
      <c r="AJ1231" s="294">
        <f>IF(NFI_Expiration=1,IF($A1231&lt;VLOOKUP(S$5,NFI,5,0),1,0)*Table_NFI[[#This Row],[Winter Clothes Children]],Table_NFI[Winter Clothes Children])</f>
        <v>0</v>
      </c>
      <c r="AK1231" s="294">
        <f>IF(NFI_Expiration=1,IF($A1231&lt;VLOOKUP(T$5,NFI,5,0),1,0)*Table_NFI[[#This Row],[Winter Items Other]],Table_NFI[Winter Items Other])</f>
        <v>0</v>
      </c>
      <c r="AL1231" s="294">
        <f>IF(NFI_Expiration=1,IF($A1231&lt;VLOOKUP(M$5,NFI,5,0),1,0)*Table_NFI[[#This Row],[Winter Blanket]],Table_NFI[[#This Row],[Winter Blanket]])</f>
        <v>0</v>
      </c>
      <c r="AM1231" s="294">
        <f>IF(Table_NFI[[#This Row],[Winter Clothes Adult]]+Table_NFI[[#This Row],[Winter Clothes Children]]+Table_NFI[[#This Row],[Winter Items Other]]+Table_NFI[[#This Row],[Winter Blanket]]&gt;0,1,0)</f>
        <v>0</v>
      </c>
      <c r="AN1231" s="331">
        <f>IF(NFI_Expiration=1,IF($A1231&lt;VLOOKUP(V$5,NFI,5,0),1,0)*Table_NFI[[#This Row],[Jerry Can]],Table_NFI[Jerry Can])</f>
        <v>0</v>
      </c>
      <c r="AO1231" s="331">
        <f>IF(NFI_Expiration=1,IF($A1231&lt;VLOOKUP(V$5,NFI,5,0),1,0)*Table_NFI[[#This Row],[Shelter Tool kit]],Table_NFI[Shelter Tool kit])</f>
        <v>0</v>
      </c>
      <c r="AP1231" s="331">
        <f>IF(NFI_Expiration=1,IF($A1231&lt;VLOOKUP(V$5,NFI,5,0),1,0)*Table_NFI[[#This Row],[Tent]],Table_NFI[Tent])</f>
        <v>0</v>
      </c>
      <c r="AQ1231" s="467" t="str">
        <f>IFERROR(VLOOKUP(Table_NFI[[#This Row],[Camp Name]],CL,2,0),"")</f>
        <v/>
      </c>
      <c r="AR1231" s="835" t="str">
        <f ca="1">IF(Table_NFI[[#This Row],[Pcode]]="","",IF(OFFSET(CampList[Opening Date],MATCH(Table_NFI[[#This Row],[Pcode]],CampList[CP_Pcode],0)-1,0,1,1)&gt;=NFI_Monitor_Date,1,0))</f>
        <v/>
      </c>
      <c r="AS1231" s="467" t="str">
        <f>IFERROR(VLOOKUP(Table_NFI[[#This Row],[Camp Name]],CL,3,0),"")</f>
        <v/>
      </c>
      <c r="AT1231" s="294" t="str">
        <f ca="1">IF(Table_NFI[[#This Row],[Pcode]]="","",OFFSET(CampList[Priority],MATCH(Table_NFI[[#This Row],[Pcode]],CampList[CP_Pcode],0)-1,0,1,1))</f>
        <v/>
      </c>
      <c r="AU1231" s="293" t="str">
        <f>IFERROR(Table_NFI[[#This Row],[Kitchen Set]]/VLOOKUP(Table_NFI[[#This Row],[Camp Name]],CL,4,0),"")</f>
        <v/>
      </c>
      <c r="AV1231" s="465"/>
      <c r="AW1231" s="468"/>
    </row>
    <row r="1232" spans="1:49" ht="14.45" customHeight="1" x14ac:dyDescent="0.25">
      <c r="A1232" s="297" t="str">
        <f t="shared" si="19"/>
        <v/>
      </c>
      <c r="B1232" s="460"/>
      <c r="C1232" s="465"/>
      <c r="D1232" s="465"/>
      <c r="E1232" s="465"/>
      <c r="F1232" s="465"/>
      <c r="G1232" s="465"/>
      <c r="H1232" s="292"/>
      <c r="I1232" s="292"/>
      <c r="J1232" s="292"/>
      <c r="K1232" s="292"/>
      <c r="L1232" s="292"/>
      <c r="M1232" s="292"/>
      <c r="N1232" s="292"/>
      <c r="O1232" s="292"/>
      <c r="P1232" s="294"/>
      <c r="Q1232" s="294"/>
      <c r="R1232" s="294"/>
      <c r="S1232" s="294"/>
      <c r="T1232" s="294"/>
      <c r="U1232" s="294"/>
      <c r="V1232" s="431"/>
      <c r="W1232" s="331"/>
      <c r="X1232" s="331"/>
      <c r="Y1232" s="294">
        <f>IF(NFI_Expiration=1,IF($A1232&lt;VLOOKUP(H$5,NFI,5,0),1,0)*Table_NFI[[#This Row],[Hygiene Kit]],Table_NFI[Hygiene Kit])</f>
        <v>0</v>
      </c>
      <c r="Z1232" s="294">
        <f>IF(NFI_Expiration=1,IF($A1232&lt;VLOOKUP(I$5,NFI,5,0),1,0)*Table_NFI[[#This Row],[NFI Core Kit]],Table_NFI[NFI Core Kit])</f>
        <v>0</v>
      </c>
      <c r="AA1232" s="294">
        <f>IF(NFI_Expiration=1,IF($A1232&lt;VLOOKUP(J$5,NFI,5,0),1,0)*Table_NFI[[#This Row],[Sanitary Kit]],Table_NFI[Sanitary Kit])</f>
        <v>0</v>
      </c>
      <c r="AB1232" s="294">
        <f>IF(NFI_Expiration=1,IF($A1232&lt;VLOOKUP(K$5,NFI,5,0),1,0)*Table_NFI[[#This Row],[Mosquito net]],Table_NFI[Mosquito net])</f>
        <v>0</v>
      </c>
      <c r="AC1232" s="294">
        <f>IF(NFI_Expiration=1,IF($A1232&lt;VLOOKUP(L$5,NFI,5,0),1,0)*Table_NFI[[#This Row],[Tarpaulin]],Table_NFI[[#This Row],[Tarpaulin]])</f>
        <v>0</v>
      </c>
      <c r="AD1232" s="294">
        <f>IF(NFI_Expiration=1,IF($A1232&lt;VLOOKUP(M$5,NFI,5,0),1,0)*Table_NFI[[#This Row],[Blanket]],Table_NFI[[#This Row],[Blanket]])</f>
        <v>0</v>
      </c>
      <c r="AE1232" s="294">
        <f>IF(NFI_Expiration=1,IF($A1232&lt;VLOOKUP(N$5,NFI,5,0),1,0)*Table_NFI[[#This Row],[Kitchen Set]],Table_NFI[Kitchen Set])</f>
        <v>0</v>
      </c>
      <c r="AF1232" s="294">
        <f>IF(NFI_Expiration=1,IF($A1232&lt;VLOOKUP(O$5,NFI,5,0),1,0)*Table_NFI[[#This Row],[Clothes Kit]],Table_NFI[Clothes Kit])</f>
        <v>0</v>
      </c>
      <c r="AG1232" s="294">
        <f>IF(NFI_Expiration=1,IF($A1232&lt;VLOOKUP(P$5,NFI,5,0),1,0)*Table_NFI[[#This Row],[Plastic Bucket]],Table_NFI[Plastic Bucket])</f>
        <v>0</v>
      </c>
      <c r="AH1232" s="294">
        <f>IF(NFI_Expiration=1,IF($A1232&lt;VLOOKUP(Q$5,NFI,5,0),1,0)*Table_NFI[[#This Row],[Plastic Mat]],Table_NFI[Plastic Mat])*IF(Table_NFI[[#This Row],[Distribution Date]]&gt;"2014-04-01",1,2.5)</f>
        <v>0</v>
      </c>
      <c r="AI1232" s="294">
        <f>IF(NFI_Expiration=1,IF($A1232&lt;VLOOKUP(R$5,NFI,5,0),1,0)*Table_NFI[[#This Row],[Winter Clothes Adult]],Table_NFI[Winter Clothes Adult])</f>
        <v>0</v>
      </c>
      <c r="AJ1232" s="294">
        <f>IF(NFI_Expiration=1,IF($A1232&lt;VLOOKUP(S$5,NFI,5,0),1,0)*Table_NFI[[#This Row],[Winter Clothes Children]],Table_NFI[Winter Clothes Children])</f>
        <v>0</v>
      </c>
      <c r="AK1232" s="294">
        <f>IF(NFI_Expiration=1,IF($A1232&lt;VLOOKUP(T$5,NFI,5,0),1,0)*Table_NFI[[#This Row],[Winter Items Other]],Table_NFI[Winter Items Other])</f>
        <v>0</v>
      </c>
      <c r="AL1232" s="294">
        <f>IF(NFI_Expiration=1,IF($A1232&lt;VLOOKUP(M$5,NFI,5,0),1,0)*Table_NFI[[#This Row],[Winter Blanket]],Table_NFI[[#This Row],[Winter Blanket]])</f>
        <v>0</v>
      </c>
      <c r="AM1232" s="294">
        <f>IF(Table_NFI[[#This Row],[Winter Clothes Adult]]+Table_NFI[[#This Row],[Winter Clothes Children]]+Table_NFI[[#This Row],[Winter Items Other]]+Table_NFI[[#This Row],[Winter Blanket]]&gt;0,1,0)</f>
        <v>0</v>
      </c>
      <c r="AN1232" s="331">
        <f>IF(NFI_Expiration=1,IF($A1232&lt;VLOOKUP(V$5,NFI,5,0),1,0)*Table_NFI[[#This Row],[Jerry Can]],Table_NFI[Jerry Can])</f>
        <v>0</v>
      </c>
      <c r="AO1232" s="331">
        <f>IF(NFI_Expiration=1,IF($A1232&lt;VLOOKUP(V$5,NFI,5,0),1,0)*Table_NFI[[#This Row],[Shelter Tool kit]],Table_NFI[Shelter Tool kit])</f>
        <v>0</v>
      </c>
      <c r="AP1232" s="331">
        <f>IF(NFI_Expiration=1,IF($A1232&lt;VLOOKUP(V$5,NFI,5,0),1,0)*Table_NFI[[#This Row],[Tent]],Table_NFI[Tent])</f>
        <v>0</v>
      </c>
      <c r="AQ1232" s="467" t="str">
        <f>IFERROR(VLOOKUP(Table_NFI[[#This Row],[Camp Name]],CL,2,0),"")</f>
        <v/>
      </c>
      <c r="AR1232" s="835" t="str">
        <f ca="1">IF(Table_NFI[[#This Row],[Pcode]]="","",IF(OFFSET(CampList[Opening Date],MATCH(Table_NFI[[#This Row],[Pcode]],CampList[CP_Pcode],0)-1,0,1,1)&gt;=NFI_Monitor_Date,1,0))</f>
        <v/>
      </c>
      <c r="AS1232" s="467" t="str">
        <f>IFERROR(VLOOKUP(Table_NFI[[#This Row],[Camp Name]],CL,3,0),"")</f>
        <v/>
      </c>
      <c r="AT1232" s="294" t="str">
        <f ca="1">IF(Table_NFI[[#This Row],[Pcode]]="","",OFFSET(CampList[Priority],MATCH(Table_NFI[[#This Row],[Pcode]],CampList[CP_Pcode],0)-1,0,1,1))</f>
        <v/>
      </c>
      <c r="AU1232" s="293" t="str">
        <f>IFERROR(Table_NFI[[#This Row],[Kitchen Set]]/VLOOKUP(Table_NFI[[#This Row],[Camp Name]],CL,4,0),"")</f>
        <v/>
      </c>
      <c r="AV1232" s="465"/>
      <c r="AW1232" s="468"/>
    </row>
    <row r="1233" spans="1:49" ht="14.45" customHeight="1" x14ac:dyDescent="0.25">
      <c r="A1233" s="297" t="str">
        <f t="shared" si="19"/>
        <v/>
      </c>
      <c r="B1233" s="460"/>
      <c r="C1233" s="465"/>
      <c r="D1233" s="465"/>
      <c r="E1233" s="465"/>
      <c r="F1233" s="465"/>
      <c r="G1233" s="465"/>
      <c r="H1233" s="292"/>
      <c r="I1233" s="292"/>
      <c r="J1233" s="292"/>
      <c r="K1233" s="292"/>
      <c r="L1233" s="292"/>
      <c r="M1233" s="292"/>
      <c r="N1233" s="292"/>
      <c r="O1233" s="292"/>
      <c r="P1233" s="294"/>
      <c r="Q1233" s="294"/>
      <c r="R1233" s="294"/>
      <c r="S1233" s="294"/>
      <c r="T1233" s="294"/>
      <c r="U1233" s="294"/>
      <c r="V1233" s="431"/>
      <c r="W1233" s="331"/>
      <c r="X1233" s="331"/>
      <c r="Y1233" s="294">
        <f>IF(NFI_Expiration=1,IF($A1233&lt;VLOOKUP(H$5,NFI,5,0),1,0)*Table_NFI[[#This Row],[Hygiene Kit]],Table_NFI[Hygiene Kit])</f>
        <v>0</v>
      </c>
      <c r="Z1233" s="294">
        <f>IF(NFI_Expiration=1,IF($A1233&lt;VLOOKUP(I$5,NFI,5,0),1,0)*Table_NFI[[#This Row],[NFI Core Kit]],Table_NFI[NFI Core Kit])</f>
        <v>0</v>
      </c>
      <c r="AA1233" s="294">
        <f>IF(NFI_Expiration=1,IF($A1233&lt;VLOOKUP(J$5,NFI,5,0),1,0)*Table_NFI[[#This Row],[Sanitary Kit]],Table_NFI[Sanitary Kit])</f>
        <v>0</v>
      </c>
      <c r="AB1233" s="294">
        <f>IF(NFI_Expiration=1,IF($A1233&lt;VLOOKUP(K$5,NFI,5,0),1,0)*Table_NFI[[#This Row],[Mosquito net]],Table_NFI[Mosquito net])</f>
        <v>0</v>
      </c>
      <c r="AC1233" s="294">
        <f>IF(NFI_Expiration=1,IF($A1233&lt;VLOOKUP(L$5,NFI,5,0),1,0)*Table_NFI[[#This Row],[Tarpaulin]],Table_NFI[[#This Row],[Tarpaulin]])</f>
        <v>0</v>
      </c>
      <c r="AD1233" s="294">
        <f>IF(NFI_Expiration=1,IF($A1233&lt;VLOOKUP(M$5,NFI,5,0),1,0)*Table_NFI[[#This Row],[Blanket]],Table_NFI[[#This Row],[Blanket]])</f>
        <v>0</v>
      </c>
      <c r="AE1233" s="294">
        <f>IF(NFI_Expiration=1,IF($A1233&lt;VLOOKUP(N$5,NFI,5,0),1,0)*Table_NFI[[#This Row],[Kitchen Set]],Table_NFI[Kitchen Set])</f>
        <v>0</v>
      </c>
      <c r="AF1233" s="294">
        <f>IF(NFI_Expiration=1,IF($A1233&lt;VLOOKUP(O$5,NFI,5,0),1,0)*Table_NFI[[#This Row],[Clothes Kit]],Table_NFI[Clothes Kit])</f>
        <v>0</v>
      </c>
      <c r="AG1233" s="294">
        <f>IF(NFI_Expiration=1,IF($A1233&lt;VLOOKUP(P$5,NFI,5,0),1,0)*Table_NFI[[#This Row],[Plastic Bucket]],Table_NFI[Plastic Bucket])</f>
        <v>0</v>
      </c>
      <c r="AH1233" s="294">
        <f>IF(NFI_Expiration=1,IF($A1233&lt;VLOOKUP(Q$5,NFI,5,0),1,0)*Table_NFI[[#This Row],[Plastic Mat]],Table_NFI[Plastic Mat])*IF(Table_NFI[[#This Row],[Distribution Date]]&gt;"2014-04-01",1,2.5)</f>
        <v>0</v>
      </c>
      <c r="AI1233" s="294">
        <f>IF(NFI_Expiration=1,IF($A1233&lt;VLOOKUP(R$5,NFI,5,0),1,0)*Table_NFI[[#This Row],[Winter Clothes Adult]],Table_NFI[Winter Clothes Adult])</f>
        <v>0</v>
      </c>
      <c r="AJ1233" s="294">
        <f>IF(NFI_Expiration=1,IF($A1233&lt;VLOOKUP(S$5,NFI,5,0),1,0)*Table_NFI[[#This Row],[Winter Clothes Children]],Table_NFI[Winter Clothes Children])</f>
        <v>0</v>
      </c>
      <c r="AK1233" s="294">
        <f>IF(NFI_Expiration=1,IF($A1233&lt;VLOOKUP(T$5,NFI,5,0),1,0)*Table_NFI[[#This Row],[Winter Items Other]],Table_NFI[Winter Items Other])</f>
        <v>0</v>
      </c>
      <c r="AL1233" s="294">
        <f>IF(NFI_Expiration=1,IF($A1233&lt;VLOOKUP(M$5,NFI,5,0),1,0)*Table_NFI[[#This Row],[Winter Blanket]],Table_NFI[[#This Row],[Winter Blanket]])</f>
        <v>0</v>
      </c>
      <c r="AM1233" s="294">
        <f>IF(Table_NFI[[#This Row],[Winter Clothes Adult]]+Table_NFI[[#This Row],[Winter Clothes Children]]+Table_NFI[[#This Row],[Winter Items Other]]+Table_NFI[[#This Row],[Winter Blanket]]&gt;0,1,0)</f>
        <v>0</v>
      </c>
      <c r="AN1233" s="331">
        <f>IF(NFI_Expiration=1,IF($A1233&lt;VLOOKUP(V$5,NFI,5,0),1,0)*Table_NFI[[#This Row],[Jerry Can]],Table_NFI[Jerry Can])</f>
        <v>0</v>
      </c>
      <c r="AO1233" s="331">
        <f>IF(NFI_Expiration=1,IF($A1233&lt;VLOOKUP(V$5,NFI,5,0),1,0)*Table_NFI[[#This Row],[Shelter Tool kit]],Table_NFI[Shelter Tool kit])</f>
        <v>0</v>
      </c>
      <c r="AP1233" s="331">
        <f>IF(NFI_Expiration=1,IF($A1233&lt;VLOOKUP(V$5,NFI,5,0),1,0)*Table_NFI[[#This Row],[Tent]],Table_NFI[Tent])</f>
        <v>0</v>
      </c>
      <c r="AQ1233" s="467" t="str">
        <f>IFERROR(VLOOKUP(Table_NFI[[#This Row],[Camp Name]],CL,2,0),"")</f>
        <v/>
      </c>
      <c r="AR1233" s="835" t="str">
        <f ca="1">IF(Table_NFI[[#This Row],[Pcode]]="","",IF(OFFSET(CampList[Opening Date],MATCH(Table_NFI[[#This Row],[Pcode]],CampList[CP_Pcode],0)-1,0,1,1)&gt;=NFI_Monitor_Date,1,0))</f>
        <v/>
      </c>
      <c r="AS1233" s="467" t="str">
        <f>IFERROR(VLOOKUP(Table_NFI[[#This Row],[Camp Name]],CL,3,0),"")</f>
        <v/>
      </c>
      <c r="AT1233" s="294" t="str">
        <f ca="1">IF(Table_NFI[[#This Row],[Pcode]]="","",OFFSET(CampList[Priority],MATCH(Table_NFI[[#This Row],[Pcode]],CampList[CP_Pcode],0)-1,0,1,1))</f>
        <v/>
      </c>
      <c r="AU1233" s="293" t="str">
        <f>IFERROR(Table_NFI[[#This Row],[Kitchen Set]]/VLOOKUP(Table_NFI[[#This Row],[Camp Name]],CL,4,0),"")</f>
        <v/>
      </c>
      <c r="AV1233" s="465"/>
      <c r="AW1233" s="468"/>
    </row>
    <row r="1234" spans="1:49" ht="14.45" customHeight="1" x14ac:dyDescent="0.25">
      <c r="A1234" s="297" t="str">
        <f t="shared" si="19"/>
        <v/>
      </c>
      <c r="B1234" s="460"/>
      <c r="C1234" s="465"/>
      <c r="D1234" s="465"/>
      <c r="E1234" s="465"/>
      <c r="F1234" s="465"/>
      <c r="G1234" s="465"/>
      <c r="H1234" s="292"/>
      <c r="I1234" s="292"/>
      <c r="J1234" s="292"/>
      <c r="K1234" s="292"/>
      <c r="L1234" s="292"/>
      <c r="M1234" s="292"/>
      <c r="N1234" s="292"/>
      <c r="O1234" s="292"/>
      <c r="P1234" s="294"/>
      <c r="Q1234" s="294"/>
      <c r="R1234" s="294"/>
      <c r="S1234" s="294"/>
      <c r="T1234" s="294"/>
      <c r="U1234" s="294"/>
      <c r="V1234" s="431"/>
      <c r="W1234" s="331"/>
      <c r="X1234" s="331"/>
      <c r="Y1234" s="294">
        <f>IF(NFI_Expiration=1,IF($A1234&lt;VLOOKUP(H$5,NFI,5,0),1,0)*Table_NFI[[#This Row],[Hygiene Kit]],Table_NFI[Hygiene Kit])</f>
        <v>0</v>
      </c>
      <c r="Z1234" s="294">
        <f>IF(NFI_Expiration=1,IF($A1234&lt;VLOOKUP(I$5,NFI,5,0),1,0)*Table_NFI[[#This Row],[NFI Core Kit]],Table_NFI[NFI Core Kit])</f>
        <v>0</v>
      </c>
      <c r="AA1234" s="294">
        <f>IF(NFI_Expiration=1,IF($A1234&lt;VLOOKUP(J$5,NFI,5,0),1,0)*Table_NFI[[#This Row],[Sanitary Kit]],Table_NFI[Sanitary Kit])</f>
        <v>0</v>
      </c>
      <c r="AB1234" s="294">
        <f>IF(NFI_Expiration=1,IF($A1234&lt;VLOOKUP(K$5,NFI,5,0),1,0)*Table_NFI[[#This Row],[Mosquito net]],Table_NFI[Mosquito net])</f>
        <v>0</v>
      </c>
      <c r="AC1234" s="294">
        <f>IF(NFI_Expiration=1,IF($A1234&lt;VLOOKUP(L$5,NFI,5,0),1,0)*Table_NFI[[#This Row],[Tarpaulin]],Table_NFI[[#This Row],[Tarpaulin]])</f>
        <v>0</v>
      </c>
      <c r="AD1234" s="294">
        <f>IF(NFI_Expiration=1,IF($A1234&lt;VLOOKUP(M$5,NFI,5,0),1,0)*Table_NFI[[#This Row],[Blanket]],Table_NFI[[#This Row],[Blanket]])</f>
        <v>0</v>
      </c>
      <c r="AE1234" s="294">
        <f>IF(NFI_Expiration=1,IF($A1234&lt;VLOOKUP(N$5,NFI,5,0),1,0)*Table_NFI[[#This Row],[Kitchen Set]],Table_NFI[Kitchen Set])</f>
        <v>0</v>
      </c>
      <c r="AF1234" s="294">
        <f>IF(NFI_Expiration=1,IF($A1234&lt;VLOOKUP(O$5,NFI,5,0),1,0)*Table_NFI[[#This Row],[Clothes Kit]],Table_NFI[Clothes Kit])</f>
        <v>0</v>
      </c>
      <c r="AG1234" s="294">
        <f>IF(NFI_Expiration=1,IF($A1234&lt;VLOOKUP(P$5,NFI,5,0),1,0)*Table_NFI[[#This Row],[Plastic Bucket]],Table_NFI[Plastic Bucket])</f>
        <v>0</v>
      </c>
      <c r="AH1234" s="294">
        <f>IF(NFI_Expiration=1,IF($A1234&lt;VLOOKUP(Q$5,NFI,5,0),1,0)*Table_NFI[[#This Row],[Plastic Mat]],Table_NFI[Plastic Mat])*IF(Table_NFI[[#This Row],[Distribution Date]]&gt;"2014-04-01",1,2.5)</f>
        <v>0</v>
      </c>
      <c r="AI1234" s="294">
        <f>IF(NFI_Expiration=1,IF($A1234&lt;VLOOKUP(R$5,NFI,5,0),1,0)*Table_NFI[[#This Row],[Winter Clothes Adult]],Table_NFI[Winter Clothes Adult])</f>
        <v>0</v>
      </c>
      <c r="AJ1234" s="294">
        <f>IF(NFI_Expiration=1,IF($A1234&lt;VLOOKUP(S$5,NFI,5,0),1,0)*Table_NFI[[#This Row],[Winter Clothes Children]],Table_NFI[Winter Clothes Children])</f>
        <v>0</v>
      </c>
      <c r="AK1234" s="294">
        <f>IF(NFI_Expiration=1,IF($A1234&lt;VLOOKUP(T$5,NFI,5,0),1,0)*Table_NFI[[#This Row],[Winter Items Other]],Table_NFI[Winter Items Other])</f>
        <v>0</v>
      </c>
      <c r="AL1234" s="294">
        <f>IF(NFI_Expiration=1,IF($A1234&lt;VLOOKUP(M$5,NFI,5,0),1,0)*Table_NFI[[#This Row],[Winter Blanket]],Table_NFI[[#This Row],[Winter Blanket]])</f>
        <v>0</v>
      </c>
      <c r="AM1234" s="294">
        <f>IF(Table_NFI[[#This Row],[Winter Clothes Adult]]+Table_NFI[[#This Row],[Winter Clothes Children]]+Table_NFI[[#This Row],[Winter Items Other]]+Table_NFI[[#This Row],[Winter Blanket]]&gt;0,1,0)</f>
        <v>0</v>
      </c>
      <c r="AN1234" s="331">
        <f>IF(NFI_Expiration=1,IF($A1234&lt;VLOOKUP(V$5,NFI,5,0),1,0)*Table_NFI[[#This Row],[Jerry Can]],Table_NFI[Jerry Can])</f>
        <v>0</v>
      </c>
      <c r="AO1234" s="331">
        <f>IF(NFI_Expiration=1,IF($A1234&lt;VLOOKUP(V$5,NFI,5,0),1,0)*Table_NFI[[#This Row],[Shelter Tool kit]],Table_NFI[Shelter Tool kit])</f>
        <v>0</v>
      </c>
      <c r="AP1234" s="331">
        <f>IF(NFI_Expiration=1,IF($A1234&lt;VLOOKUP(V$5,NFI,5,0),1,0)*Table_NFI[[#This Row],[Tent]],Table_NFI[Tent])</f>
        <v>0</v>
      </c>
      <c r="AQ1234" s="467" t="str">
        <f>IFERROR(VLOOKUP(Table_NFI[[#This Row],[Camp Name]],CL,2,0),"")</f>
        <v/>
      </c>
      <c r="AR1234" s="835" t="str">
        <f ca="1">IF(Table_NFI[[#This Row],[Pcode]]="","",IF(OFFSET(CampList[Opening Date],MATCH(Table_NFI[[#This Row],[Pcode]],CampList[CP_Pcode],0)-1,0,1,1)&gt;=NFI_Monitor_Date,1,0))</f>
        <v/>
      </c>
      <c r="AS1234" s="467" t="str">
        <f>IFERROR(VLOOKUP(Table_NFI[[#This Row],[Camp Name]],CL,3,0),"")</f>
        <v/>
      </c>
      <c r="AT1234" s="294" t="str">
        <f ca="1">IF(Table_NFI[[#This Row],[Pcode]]="","",OFFSET(CampList[Priority],MATCH(Table_NFI[[#This Row],[Pcode]],CampList[CP_Pcode],0)-1,0,1,1))</f>
        <v/>
      </c>
      <c r="AU1234" s="293" t="str">
        <f>IFERROR(Table_NFI[[#This Row],[Kitchen Set]]/VLOOKUP(Table_NFI[[#This Row],[Camp Name]],CL,4,0),"")</f>
        <v/>
      </c>
      <c r="AV1234" s="465"/>
      <c r="AW1234" s="468"/>
    </row>
    <row r="1235" spans="1:49" ht="14.45" customHeight="1" x14ac:dyDescent="0.25">
      <c r="A1235" s="297" t="str">
        <f t="shared" si="19"/>
        <v/>
      </c>
      <c r="B1235" s="460"/>
      <c r="C1235" s="465"/>
      <c r="D1235" s="465"/>
      <c r="E1235" s="465"/>
      <c r="F1235" s="465"/>
      <c r="G1235" s="465"/>
      <c r="H1235" s="292"/>
      <c r="I1235" s="292"/>
      <c r="J1235" s="292"/>
      <c r="K1235" s="292"/>
      <c r="L1235" s="292"/>
      <c r="M1235" s="292"/>
      <c r="N1235" s="292"/>
      <c r="O1235" s="292"/>
      <c r="P1235" s="294"/>
      <c r="Q1235" s="294"/>
      <c r="R1235" s="294"/>
      <c r="S1235" s="294"/>
      <c r="T1235" s="294"/>
      <c r="U1235" s="294"/>
      <c r="V1235" s="431"/>
      <c r="W1235" s="331"/>
      <c r="X1235" s="331"/>
      <c r="Y1235" s="294">
        <f>IF(NFI_Expiration=1,IF($A1235&lt;VLOOKUP(H$5,NFI,5,0),1,0)*Table_NFI[[#This Row],[Hygiene Kit]],Table_NFI[Hygiene Kit])</f>
        <v>0</v>
      </c>
      <c r="Z1235" s="294">
        <f>IF(NFI_Expiration=1,IF($A1235&lt;VLOOKUP(I$5,NFI,5,0),1,0)*Table_NFI[[#This Row],[NFI Core Kit]],Table_NFI[NFI Core Kit])</f>
        <v>0</v>
      </c>
      <c r="AA1235" s="294">
        <f>IF(NFI_Expiration=1,IF($A1235&lt;VLOOKUP(J$5,NFI,5,0),1,0)*Table_NFI[[#This Row],[Sanitary Kit]],Table_NFI[Sanitary Kit])</f>
        <v>0</v>
      </c>
      <c r="AB1235" s="294">
        <f>IF(NFI_Expiration=1,IF($A1235&lt;VLOOKUP(K$5,NFI,5,0),1,0)*Table_NFI[[#This Row],[Mosquito net]],Table_NFI[Mosquito net])</f>
        <v>0</v>
      </c>
      <c r="AC1235" s="294">
        <f>IF(NFI_Expiration=1,IF($A1235&lt;VLOOKUP(L$5,NFI,5,0),1,0)*Table_NFI[[#This Row],[Tarpaulin]],Table_NFI[[#This Row],[Tarpaulin]])</f>
        <v>0</v>
      </c>
      <c r="AD1235" s="294">
        <f>IF(NFI_Expiration=1,IF($A1235&lt;VLOOKUP(M$5,NFI,5,0),1,0)*Table_NFI[[#This Row],[Blanket]],Table_NFI[[#This Row],[Blanket]])</f>
        <v>0</v>
      </c>
      <c r="AE1235" s="294">
        <f>IF(NFI_Expiration=1,IF($A1235&lt;VLOOKUP(N$5,NFI,5,0),1,0)*Table_NFI[[#This Row],[Kitchen Set]],Table_NFI[Kitchen Set])</f>
        <v>0</v>
      </c>
      <c r="AF1235" s="294">
        <f>IF(NFI_Expiration=1,IF($A1235&lt;VLOOKUP(O$5,NFI,5,0),1,0)*Table_NFI[[#This Row],[Clothes Kit]],Table_NFI[Clothes Kit])</f>
        <v>0</v>
      </c>
      <c r="AG1235" s="294">
        <f>IF(NFI_Expiration=1,IF($A1235&lt;VLOOKUP(P$5,NFI,5,0),1,0)*Table_NFI[[#This Row],[Plastic Bucket]],Table_NFI[Plastic Bucket])</f>
        <v>0</v>
      </c>
      <c r="AH1235" s="294">
        <f>IF(NFI_Expiration=1,IF($A1235&lt;VLOOKUP(Q$5,NFI,5,0),1,0)*Table_NFI[[#This Row],[Plastic Mat]],Table_NFI[Plastic Mat])*IF(Table_NFI[[#This Row],[Distribution Date]]&gt;"2014-04-01",1,2.5)</f>
        <v>0</v>
      </c>
      <c r="AI1235" s="294">
        <f>IF(NFI_Expiration=1,IF($A1235&lt;VLOOKUP(R$5,NFI,5,0),1,0)*Table_NFI[[#This Row],[Winter Clothes Adult]],Table_NFI[Winter Clothes Adult])</f>
        <v>0</v>
      </c>
      <c r="AJ1235" s="294">
        <f>IF(NFI_Expiration=1,IF($A1235&lt;VLOOKUP(S$5,NFI,5,0),1,0)*Table_NFI[[#This Row],[Winter Clothes Children]],Table_NFI[Winter Clothes Children])</f>
        <v>0</v>
      </c>
      <c r="AK1235" s="294">
        <f>IF(NFI_Expiration=1,IF($A1235&lt;VLOOKUP(T$5,NFI,5,0),1,0)*Table_NFI[[#This Row],[Winter Items Other]],Table_NFI[Winter Items Other])</f>
        <v>0</v>
      </c>
      <c r="AL1235" s="294">
        <f>IF(NFI_Expiration=1,IF($A1235&lt;VLOOKUP(M$5,NFI,5,0),1,0)*Table_NFI[[#This Row],[Winter Blanket]],Table_NFI[[#This Row],[Winter Blanket]])</f>
        <v>0</v>
      </c>
      <c r="AM1235" s="294">
        <f>IF(Table_NFI[[#This Row],[Winter Clothes Adult]]+Table_NFI[[#This Row],[Winter Clothes Children]]+Table_NFI[[#This Row],[Winter Items Other]]+Table_NFI[[#This Row],[Winter Blanket]]&gt;0,1,0)</f>
        <v>0</v>
      </c>
      <c r="AN1235" s="331">
        <f>IF(NFI_Expiration=1,IF($A1235&lt;VLOOKUP(V$5,NFI,5,0),1,0)*Table_NFI[[#This Row],[Jerry Can]],Table_NFI[Jerry Can])</f>
        <v>0</v>
      </c>
      <c r="AO1235" s="331">
        <f>IF(NFI_Expiration=1,IF($A1235&lt;VLOOKUP(V$5,NFI,5,0),1,0)*Table_NFI[[#This Row],[Shelter Tool kit]],Table_NFI[Shelter Tool kit])</f>
        <v>0</v>
      </c>
      <c r="AP1235" s="331">
        <f>IF(NFI_Expiration=1,IF($A1235&lt;VLOOKUP(V$5,NFI,5,0),1,0)*Table_NFI[[#This Row],[Tent]],Table_NFI[Tent])</f>
        <v>0</v>
      </c>
      <c r="AQ1235" s="467" t="str">
        <f>IFERROR(VLOOKUP(Table_NFI[[#This Row],[Camp Name]],CL,2,0),"")</f>
        <v/>
      </c>
      <c r="AR1235" s="835" t="str">
        <f ca="1">IF(Table_NFI[[#This Row],[Pcode]]="","",IF(OFFSET(CampList[Opening Date],MATCH(Table_NFI[[#This Row],[Pcode]],CampList[CP_Pcode],0)-1,0,1,1)&gt;=NFI_Monitor_Date,1,0))</f>
        <v/>
      </c>
      <c r="AS1235" s="467" t="str">
        <f>IFERROR(VLOOKUP(Table_NFI[[#This Row],[Camp Name]],CL,3,0),"")</f>
        <v/>
      </c>
      <c r="AT1235" s="294" t="str">
        <f ca="1">IF(Table_NFI[[#This Row],[Pcode]]="","",OFFSET(CampList[Priority],MATCH(Table_NFI[[#This Row],[Pcode]],CampList[CP_Pcode],0)-1,0,1,1))</f>
        <v/>
      </c>
      <c r="AU1235" s="293" t="str">
        <f>IFERROR(Table_NFI[[#This Row],[Kitchen Set]]/VLOOKUP(Table_NFI[[#This Row],[Camp Name]],CL,4,0),"")</f>
        <v/>
      </c>
      <c r="AV1235" s="465"/>
      <c r="AW1235" s="468"/>
    </row>
    <row r="1236" spans="1:49" ht="14.45" customHeight="1" x14ac:dyDescent="0.25">
      <c r="A1236" s="297" t="str">
        <f t="shared" si="19"/>
        <v/>
      </c>
      <c r="B1236" s="460"/>
      <c r="C1236" s="465"/>
      <c r="D1236" s="465"/>
      <c r="E1236" s="465"/>
      <c r="F1236" s="465"/>
      <c r="G1236" s="465"/>
      <c r="H1236" s="292"/>
      <c r="I1236" s="292"/>
      <c r="J1236" s="292"/>
      <c r="K1236" s="292"/>
      <c r="L1236" s="292"/>
      <c r="M1236" s="292"/>
      <c r="N1236" s="292"/>
      <c r="O1236" s="292"/>
      <c r="P1236" s="294"/>
      <c r="Q1236" s="294"/>
      <c r="R1236" s="294"/>
      <c r="S1236" s="294"/>
      <c r="T1236" s="294"/>
      <c r="U1236" s="294"/>
      <c r="V1236" s="431"/>
      <c r="W1236" s="331"/>
      <c r="X1236" s="331"/>
      <c r="Y1236" s="294">
        <f>IF(NFI_Expiration=1,IF($A1236&lt;VLOOKUP(H$5,NFI,5,0),1,0)*Table_NFI[[#This Row],[Hygiene Kit]],Table_NFI[Hygiene Kit])</f>
        <v>0</v>
      </c>
      <c r="Z1236" s="294">
        <f>IF(NFI_Expiration=1,IF($A1236&lt;VLOOKUP(I$5,NFI,5,0),1,0)*Table_NFI[[#This Row],[NFI Core Kit]],Table_NFI[NFI Core Kit])</f>
        <v>0</v>
      </c>
      <c r="AA1236" s="294">
        <f>IF(NFI_Expiration=1,IF($A1236&lt;VLOOKUP(J$5,NFI,5,0),1,0)*Table_NFI[[#This Row],[Sanitary Kit]],Table_NFI[Sanitary Kit])</f>
        <v>0</v>
      </c>
      <c r="AB1236" s="294">
        <f>IF(NFI_Expiration=1,IF($A1236&lt;VLOOKUP(K$5,NFI,5,0),1,0)*Table_NFI[[#This Row],[Mosquito net]],Table_NFI[Mosquito net])</f>
        <v>0</v>
      </c>
      <c r="AC1236" s="294">
        <f>IF(NFI_Expiration=1,IF($A1236&lt;VLOOKUP(L$5,NFI,5,0),1,0)*Table_NFI[[#This Row],[Tarpaulin]],Table_NFI[[#This Row],[Tarpaulin]])</f>
        <v>0</v>
      </c>
      <c r="AD1236" s="294">
        <f>IF(NFI_Expiration=1,IF($A1236&lt;VLOOKUP(M$5,NFI,5,0),1,0)*Table_NFI[[#This Row],[Blanket]],Table_NFI[[#This Row],[Blanket]])</f>
        <v>0</v>
      </c>
      <c r="AE1236" s="294">
        <f>IF(NFI_Expiration=1,IF($A1236&lt;VLOOKUP(N$5,NFI,5,0),1,0)*Table_NFI[[#This Row],[Kitchen Set]],Table_NFI[Kitchen Set])</f>
        <v>0</v>
      </c>
      <c r="AF1236" s="294">
        <f>IF(NFI_Expiration=1,IF($A1236&lt;VLOOKUP(O$5,NFI,5,0),1,0)*Table_NFI[[#This Row],[Clothes Kit]],Table_NFI[Clothes Kit])</f>
        <v>0</v>
      </c>
      <c r="AG1236" s="294">
        <f>IF(NFI_Expiration=1,IF($A1236&lt;VLOOKUP(P$5,NFI,5,0),1,0)*Table_NFI[[#This Row],[Plastic Bucket]],Table_NFI[Plastic Bucket])</f>
        <v>0</v>
      </c>
      <c r="AH1236" s="294">
        <f>IF(NFI_Expiration=1,IF($A1236&lt;VLOOKUP(Q$5,NFI,5,0),1,0)*Table_NFI[[#This Row],[Plastic Mat]],Table_NFI[Plastic Mat])*IF(Table_NFI[[#This Row],[Distribution Date]]&gt;"2014-04-01",1,2.5)</f>
        <v>0</v>
      </c>
      <c r="AI1236" s="294">
        <f>IF(NFI_Expiration=1,IF($A1236&lt;VLOOKUP(R$5,NFI,5,0),1,0)*Table_NFI[[#This Row],[Winter Clothes Adult]],Table_NFI[Winter Clothes Adult])</f>
        <v>0</v>
      </c>
      <c r="AJ1236" s="294">
        <f>IF(NFI_Expiration=1,IF($A1236&lt;VLOOKUP(S$5,NFI,5,0),1,0)*Table_NFI[[#This Row],[Winter Clothes Children]],Table_NFI[Winter Clothes Children])</f>
        <v>0</v>
      </c>
      <c r="AK1236" s="294">
        <f>IF(NFI_Expiration=1,IF($A1236&lt;VLOOKUP(T$5,NFI,5,0),1,0)*Table_NFI[[#This Row],[Winter Items Other]],Table_NFI[Winter Items Other])</f>
        <v>0</v>
      </c>
      <c r="AL1236" s="294">
        <f>IF(NFI_Expiration=1,IF($A1236&lt;VLOOKUP(M$5,NFI,5,0),1,0)*Table_NFI[[#This Row],[Winter Blanket]],Table_NFI[[#This Row],[Winter Blanket]])</f>
        <v>0</v>
      </c>
      <c r="AM1236" s="294">
        <f>IF(Table_NFI[[#This Row],[Winter Clothes Adult]]+Table_NFI[[#This Row],[Winter Clothes Children]]+Table_NFI[[#This Row],[Winter Items Other]]+Table_NFI[[#This Row],[Winter Blanket]]&gt;0,1,0)</f>
        <v>0</v>
      </c>
      <c r="AN1236" s="331">
        <f>IF(NFI_Expiration=1,IF($A1236&lt;VLOOKUP(V$5,NFI,5,0),1,0)*Table_NFI[[#This Row],[Jerry Can]],Table_NFI[Jerry Can])</f>
        <v>0</v>
      </c>
      <c r="AO1236" s="331">
        <f>IF(NFI_Expiration=1,IF($A1236&lt;VLOOKUP(V$5,NFI,5,0),1,0)*Table_NFI[[#This Row],[Shelter Tool kit]],Table_NFI[Shelter Tool kit])</f>
        <v>0</v>
      </c>
      <c r="AP1236" s="331">
        <f>IF(NFI_Expiration=1,IF($A1236&lt;VLOOKUP(V$5,NFI,5,0),1,0)*Table_NFI[[#This Row],[Tent]],Table_NFI[Tent])</f>
        <v>0</v>
      </c>
      <c r="AQ1236" s="467" t="str">
        <f>IFERROR(VLOOKUP(Table_NFI[[#This Row],[Camp Name]],CL,2,0),"")</f>
        <v/>
      </c>
      <c r="AR1236" s="835" t="str">
        <f ca="1">IF(Table_NFI[[#This Row],[Pcode]]="","",IF(OFFSET(CampList[Opening Date],MATCH(Table_NFI[[#This Row],[Pcode]],CampList[CP_Pcode],0)-1,0,1,1)&gt;=NFI_Monitor_Date,1,0))</f>
        <v/>
      </c>
      <c r="AS1236" s="467" t="str">
        <f>IFERROR(VLOOKUP(Table_NFI[[#This Row],[Camp Name]],CL,3,0),"")</f>
        <v/>
      </c>
      <c r="AT1236" s="294" t="str">
        <f ca="1">IF(Table_NFI[[#This Row],[Pcode]]="","",OFFSET(CampList[Priority],MATCH(Table_NFI[[#This Row],[Pcode]],CampList[CP_Pcode],0)-1,0,1,1))</f>
        <v/>
      </c>
      <c r="AU1236" s="293" t="str">
        <f>IFERROR(Table_NFI[[#This Row],[Kitchen Set]]/VLOOKUP(Table_NFI[[#This Row],[Camp Name]],CL,4,0),"")</f>
        <v/>
      </c>
      <c r="AV1236" s="465"/>
      <c r="AW1236" s="468"/>
    </row>
    <row r="1237" spans="1:49" ht="14.45" customHeight="1" x14ac:dyDescent="0.25">
      <c r="A1237" s="297" t="str">
        <f t="shared" si="19"/>
        <v/>
      </c>
      <c r="B1237" s="460"/>
      <c r="C1237" s="465"/>
      <c r="D1237" s="465"/>
      <c r="E1237" s="465"/>
      <c r="F1237" s="465"/>
      <c r="G1237" s="465"/>
      <c r="H1237" s="292"/>
      <c r="I1237" s="292"/>
      <c r="J1237" s="292"/>
      <c r="K1237" s="292"/>
      <c r="L1237" s="292"/>
      <c r="M1237" s="292"/>
      <c r="N1237" s="292"/>
      <c r="O1237" s="292"/>
      <c r="P1237" s="294"/>
      <c r="Q1237" s="294"/>
      <c r="R1237" s="294"/>
      <c r="S1237" s="294"/>
      <c r="T1237" s="294"/>
      <c r="U1237" s="294"/>
      <c r="V1237" s="431"/>
      <c r="W1237" s="331"/>
      <c r="X1237" s="331"/>
      <c r="Y1237" s="294">
        <f>IF(NFI_Expiration=1,IF($A1237&lt;VLOOKUP(H$5,NFI,5,0),1,0)*Table_NFI[[#This Row],[Hygiene Kit]],Table_NFI[Hygiene Kit])</f>
        <v>0</v>
      </c>
      <c r="Z1237" s="294">
        <f>IF(NFI_Expiration=1,IF($A1237&lt;VLOOKUP(I$5,NFI,5,0),1,0)*Table_NFI[[#This Row],[NFI Core Kit]],Table_NFI[NFI Core Kit])</f>
        <v>0</v>
      </c>
      <c r="AA1237" s="294">
        <f>IF(NFI_Expiration=1,IF($A1237&lt;VLOOKUP(J$5,NFI,5,0),1,0)*Table_NFI[[#This Row],[Sanitary Kit]],Table_NFI[Sanitary Kit])</f>
        <v>0</v>
      </c>
      <c r="AB1237" s="294">
        <f>IF(NFI_Expiration=1,IF($A1237&lt;VLOOKUP(K$5,NFI,5,0),1,0)*Table_NFI[[#This Row],[Mosquito net]],Table_NFI[Mosquito net])</f>
        <v>0</v>
      </c>
      <c r="AC1237" s="294">
        <f>IF(NFI_Expiration=1,IF($A1237&lt;VLOOKUP(L$5,NFI,5,0),1,0)*Table_NFI[[#This Row],[Tarpaulin]],Table_NFI[[#This Row],[Tarpaulin]])</f>
        <v>0</v>
      </c>
      <c r="AD1237" s="294">
        <f>IF(NFI_Expiration=1,IF($A1237&lt;VLOOKUP(M$5,NFI,5,0),1,0)*Table_NFI[[#This Row],[Blanket]],Table_NFI[[#This Row],[Blanket]])</f>
        <v>0</v>
      </c>
      <c r="AE1237" s="294">
        <f>IF(NFI_Expiration=1,IF($A1237&lt;VLOOKUP(N$5,NFI,5,0),1,0)*Table_NFI[[#This Row],[Kitchen Set]],Table_NFI[Kitchen Set])</f>
        <v>0</v>
      </c>
      <c r="AF1237" s="294">
        <f>IF(NFI_Expiration=1,IF($A1237&lt;VLOOKUP(O$5,NFI,5,0),1,0)*Table_NFI[[#This Row],[Clothes Kit]],Table_NFI[Clothes Kit])</f>
        <v>0</v>
      </c>
      <c r="AG1237" s="294">
        <f>IF(NFI_Expiration=1,IF($A1237&lt;VLOOKUP(P$5,NFI,5,0),1,0)*Table_NFI[[#This Row],[Plastic Bucket]],Table_NFI[Plastic Bucket])</f>
        <v>0</v>
      </c>
      <c r="AH1237" s="294">
        <f>IF(NFI_Expiration=1,IF($A1237&lt;VLOOKUP(Q$5,NFI,5,0),1,0)*Table_NFI[[#This Row],[Plastic Mat]],Table_NFI[Plastic Mat])*IF(Table_NFI[[#This Row],[Distribution Date]]&gt;"2014-04-01",1,2.5)</f>
        <v>0</v>
      </c>
      <c r="AI1237" s="294">
        <f>IF(NFI_Expiration=1,IF($A1237&lt;VLOOKUP(R$5,NFI,5,0),1,0)*Table_NFI[[#This Row],[Winter Clothes Adult]],Table_NFI[Winter Clothes Adult])</f>
        <v>0</v>
      </c>
      <c r="AJ1237" s="294">
        <f>IF(NFI_Expiration=1,IF($A1237&lt;VLOOKUP(S$5,NFI,5,0),1,0)*Table_NFI[[#This Row],[Winter Clothes Children]],Table_NFI[Winter Clothes Children])</f>
        <v>0</v>
      </c>
      <c r="AK1237" s="294">
        <f>IF(NFI_Expiration=1,IF($A1237&lt;VLOOKUP(T$5,NFI,5,0),1,0)*Table_NFI[[#This Row],[Winter Items Other]],Table_NFI[Winter Items Other])</f>
        <v>0</v>
      </c>
      <c r="AL1237" s="294">
        <f>IF(NFI_Expiration=1,IF($A1237&lt;VLOOKUP(M$5,NFI,5,0),1,0)*Table_NFI[[#This Row],[Winter Blanket]],Table_NFI[[#This Row],[Winter Blanket]])</f>
        <v>0</v>
      </c>
      <c r="AM1237" s="294">
        <f>IF(Table_NFI[[#This Row],[Winter Clothes Adult]]+Table_NFI[[#This Row],[Winter Clothes Children]]+Table_NFI[[#This Row],[Winter Items Other]]+Table_NFI[[#This Row],[Winter Blanket]]&gt;0,1,0)</f>
        <v>0</v>
      </c>
      <c r="AN1237" s="331">
        <f>IF(NFI_Expiration=1,IF($A1237&lt;VLOOKUP(V$5,NFI,5,0),1,0)*Table_NFI[[#This Row],[Jerry Can]],Table_NFI[Jerry Can])</f>
        <v>0</v>
      </c>
      <c r="AO1237" s="331">
        <f>IF(NFI_Expiration=1,IF($A1237&lt;VLOOKUP(V$5,NFI,5,0),1,0)*Table_NFI[[#This Row],[Shelter Tool kit]],Table_NFI[Shelter Tool kit])</f>
        <v>0</v>
      </c>
      <c r="AP1237" s="331">
        <f>IF(NFI_Expiration=1,IF($A1237&lt;VLOOKUP(V$5,NFI,5,0),1,0)*Table_NFI[[#This Row],[Tent]],Table_NFI[Tent])</f>
        <v>0</v>
      </c>
      <c r="AQ1237" s="467" t="str">
        <f>IFERROR(VLOOKUP(Table_NFI[[#This Row],[Camp Name]],CL,2,0),"")</f>
        <v/>
      </c>
      <c r="AR1237" s="835" t="str">
        <f ca="1">IF(Table_NFI[[#This Row],[Pcode]]="","",IF(OFFSET(CampList[Opening Date],MATCH(Table_NFI[[#This Row],[Pcode]],CampList[CP_Pcode],0)-1,0,1,1)&gt;=NFI_Monitor_Date,1,0))</f>
        <v/>
      </c>
      <c r="AS1237" s="467" t="str">
        <f>IFERROR(VLOOKUP(Table_NFI[[#This Row],[Camp Name]],CL,3,0),"")</f>
        <v/>
      </c>
      <c r="AT1237" s="294" t="str">
        <f ca="1">IF(Table_NFI[[#This Row],[Pcode]]="","",OFFSET(CampList[Priority],MATCH(Table_NFI[[#This Row],[Pcode]],CampList[CP_Pcode],0)-1,0,1,1))</f>
        <v/>
      </c>
      <c r="AU1237" s="293" t="str">
        <f>IFERROR(Table_NFI[[#This Row],[Kitchen Set]]/VLOOKUP(Table_NFI[[#This Row],[Camp Name]],CL,4,0),"")</f>
        <v/>
      </c>
      <c r="AV1237" s="465"/>
      <c r="AW1237" s="468"/>
    </row>
    <row r="1238" spans="1:49" ht="14.45" customHeight="1" x14ac:dyDescent="0.25">
      <c r="A1238" s="297" t="str">
        <f t="shared" si="19"/>
        <v/>
      </c>
      <c r="B1238" s="460"/>
      <c r="C1238" s="465"/>
      <c r="D1238" s="465"/>
      <c r="E1238" s="465"/>
      <c r="F1238" s="465"/>
      <c r="G1238" s="465"/>
      <c r="H1238" s="292"/>
      <c r="I1238" s="292"/>
      <c r="J1238" s="292"/>
      <c r="K1238" s="292"/>
      <c r="L1238" s="292"/>
      <c r="M1238" s="292"/>
      <c r="N1238" s="292"/>
      <c r="O1238" s="292"/>
      <c r="P1238" s="294"/>
      <c r="Q1238" s="294"/>
      <c r="R1238" s="294"/>
      <c r="S1238" s="294"/>
      <c r="T1238" s="294"/>
      <c r="U1238" s="294"/>
      <c r="V1238" s="431"/>
      <c r="W1238" s="331"/>
      <c r="X1238" s="331"/>
      <c r="Y1238" s="294">
        <f>IF(NFI_Expiration=1,IF($A1238&lt;VLOOKUP(H$5,NFI,5,0),1,0)*Table_NFI[[#This Row],[Hygiene Kit]],Table_NFI[Hygiene Kit])</f>
        <v>0</v>
      </c>
      <c r="Z1238" s="294">
        <f>IF(NFI_Expiration=1,IF($A1238&lt;VLOOKUP(I$5,NFI,5,0),1,0)*Table_NFI[[#This Row],[NFI Core Kit]],Table_NFI[NFI Core Kit])</f>
        <v>0</v>
      </c>
      <c r="AA1238" s="294">
        <f>IF(NFI_Expiration=1,IF($A1238&lt;VLOOKUP(J$5,NFI,5,0),1,0)*Table_NFI[[#This Row],[Sanitary Kit]],Table_NFI[Sanitary Kit])</f>
        <v>0</v>
      </c>
      <c r="AB1238" s="294">
        <f>IF(NFI_Expiration=1,IF($A1238&lt;VLOOKUP(K$5,NFI,5,0),1,0)*Table_NFI[[#This Row],[Mosquito net]],Table_NFI[Mosquito net])</f>
        <v>0</v>
      </c>
      <c r="AC1238" s="294">
        <f>IF(NFI_Expiration=1,IF($A1238&lt;VLOOKUP(L$5,NFI,5,0),1,0)*Table_NFI[[#This Row],[Tarpaulin]],Table_NFI[[#This Row],[Tarpaulin]])</f>
        <v>0</v>
      </c>
      <c r="AD1238" s="294">
        <f>IF(NFI_Expiration=1,IF($A1238&lt;VLOOKUP(M$5,NFI,5,0),1,0)*Table_NFI[[#This Row],[Blanket]],Table_NFI[[#This Row],[Blanket]])</f>
        <v>0</v>
      </c>
      <c r="AE1238" s="294">
        <f>IF(NFI_Expiration=1,IF($A1238&lt;VLOOKUP(N$5,NFI,5,0),1,0)*Table_NFI[[#This Row],[Kitchen Set]],Table_NFI[Kitchen Set])</f>
        <v>0</v>
      </c>
      <c r="AF1238" s="294">
        <f>IF(NFI_Expiration=1,IF($A1238&lt;VLOOKUP(O$5,NFI,5,0),1,0)*Table_NFI[[#This Row],[Clothes Kit]],Table_NFI[Clothes Kit])</f>
        <v>0</v>
      </c>
      <c r="AG1238" s="294">
        <f>IF(NFI_Expiration=1,IF($A1238&lt;VLOOKUP(P$5,NFI,5,0),1,0)*Table_NFI[[#This Row],[Plastic Bucket]],Table_NFI[Plastic Bucket])</f>
        <v>0</v>
      </c>
      <c r="AH1238" s="294">
        <f>IF(NFI_Expiration=1,IF($A1238&lt;VLOOKUP(Q$5,NFI,5,0),1,0)*Table_NFI[[#This Row],[Plastic Mat]],Table_NFI[Plastic Mat])*IF(Table_NFI[[#This Row],[Distribution Date]]&gt;"2014-04-01",1,2.5)</f>
        <v>0</v>
      </c>
      <c r="AI1238" s="294">
        <f>IF(NFI_Expiration=1,IF($A1238&lt;VLOOKUP(R$5,NFI,5,0),1,0)*Table_NFI[[#This Row],[Winter Clothes Adult]],Table_NFI[Winter Clothes Adult])</f>
        <v>0</v>
      </c>
      <c r="AJ1238" s="294">
        <f>IF(NFI_Expiration=1,IF($A1238&lt;VLOOKUP(S$5,NFI,5,0),1,0)*Table_NFI[[#This Row],[Winter Clothes Children]],Table_NFI[Winter Clothes Children])</f>
        <v>0</v>
      </c>
      <c r="AK1238" s="294">
        <f>IF(NFI_Expiration=1,IF($A1238&lt;VLOOKUP(T$5,NFI,5,0),1,0)*Table_NFI[[#This Row],[Winter Items Other]],Table_NFI[Winter Items Other])</f>
        <v>0</v>
      </c>
      <c r="AL1238" s="294">
        <f>IF(NFI_Expiration=1,IF($A1238&lt;VLOOKUP(M$5,NFI,5,0),1,0)*Table_NFI[[#This Row],[Winter Blanket]],Table_NFI[[#This Row],[Winter Blanket]])</f>
        <v>0</v>
      </c>
      <c r="AM1238" s="294">
        <f>IF(Table_NFI[[#This Row],[Winter Clothes Adult]]+Table_NFI[[#This Row],[Winter Clothes Children]]+Table_NFI[[#This Row],[Winter Items Other]]+Table_NFI[[#This Row],[Winter Blanket]]&gt;0,1,0)</f>
        <v>0</v>
      </c>
      <c r="AN1238" s="331">
        <f>IF(NFI_Expiration=1,IF($A1238&lt;VLOOKUP(V$5,NFI,5,0),1,0)*Table_NFI[[#This Row],[Jerry Can]],Table_NFI[Jerry Can])</f>
        <v>0</v>
      </c>
      <c r="AO1238" s="331">
        <f>IF(NFI_Expiration=1,IF($A1238&lt;VLOOKUP(V$5,NFI,5,0),1,0)*Table_NFI[[#This Row],[Shelter Tool kit]],Table_NFI[Shelter Tool kit])</f>
        <v>0</v>
      </c>
      <c r="AP1238" s="331">
        <f>IF(NFI_Expiration=1,IF($A1238&lt;VLOOKUP(V$5,NFI,5,0),1,0)*Table_NFI[[#This Row],[Tent]],Table_NFI[Tent])</f>
        <v>0</v>
      </c>
      <c r="AQ1238" s="467" t="str">
        <f>IFERROR(VLOOKUP(Table_NFI[[#This Row],[Camp Name]],CL,2,0),"")</f>
        <v/>
      </c>
      <c r="AR1238" s="835" t="str">
        <f ca="1">IF(Table_NFI[[#This Row],[Pcode]]="","",IF(OFFSET(CampList[Opening Date],MATCH(Table_NFI[[#This Row],[Pcode]],CampList[CP_Pcode],0)-1,0,1,1)&gt;=NFI_Monitor_Date,1,0))</f>
        <v/>
      </c>
      <c r="AS1238" s="467" t="str">
        <f>IFERROR(VLOOKUP(Table_NFI[[#This Row],[Camp Name]],CL,3,0),"")</f>
        <v/>
      </c>
      <c r="AT1238" s="294" t="str">
        <f ca="1">IF(Table_NFI[[#This Row],[Pcode]]="","",OFFSET(CampList[Priority],MATCH(Table_NFI[[#This Row],[Pcode]],CampList[CP_Pcode],0)-1,0,1,1))</f>
        <v/>
      </c>
      <c r="AU1238" s="293" t="str">
        <f>IFERROR(Table_NFI[[#This Row],[Kitchen Set]]/VLOOKUP(Table_NFI[[#This Row],[Camp Name]],CL,4,0),"")</f>
        <v/>
      </c>
      <c r="AV1238" s="465"/>
      <c r="AW1238" s="468"/>
    </row>
    <row r="1239" spans="1:49" ht="14.45" customHeight="1" x14ac:dyDescent="0.25">
      <c r="A1239" s="297" t="str">
        <f t="shared" si="19"/>
        <v/>
      </c>
      <c r="B1239" s="460"/>
      <c r="C1239" s="465"/>
      <c r="D1239" s="465"/>
      <c r="E1239" s="465"/>
      <c r="F1239" s="465"/>
      <c r="G1239" s="465"/>
      <c r="H1239" s="292"/>
      <c r="I1239" s="292"/>
      <c r="J1239" s="292"/>
      <c r="K1239" s="292"/>
      <c r="L1239" s="292"/>
      <c r="M1239" s="292"/>
      <c r="N1239" s="292"/>
      <c r="O1239" s="292"/>
      <c r="P1239" s="294"/>
      <c r="Q1239" s="294"/>
      <c r="R1239" s="294"/>
      <c r="S1239" s="294"/>
      <c r="T1239" s="294"/>
      <c r="U1239" s="294"/>
      <c r="V1239" s="431"/>
      <c r="W1239" s="331"/>
      <c r="X1239" s="331"/>
      <c r="Y1239" s="294">
        <f>IF(NFI_Expiration=1,IF($A1239&lt;VLOOKUP(H$5,NFI,5,0),1,0)*Table_NFI[[#This Row],[Hygiene Kit]],Table_NFI[Hygiene Kit])</f>
        <v>0</v>
      </c>
      <c r="Z1239" s="294">
        <f>IF(NFI_Expiration=1,IF($A1239&lt;VLOOKUP(I$5,NFI,5,0),1,0)*Table_NFI[[#This Row],[NFI Core Kit]],Table_NFI[NFI Core Kit])</f>
        <v>0</v>
      </c>
      <c r="AA1239" s="294">
        <f>IF(NFI_Expiration=1,IF($A1239&lt;VLOOKUP(J$5,NFI,5,0),1,0)*Table_NFI[[#This Row],[Sanitary Kit]],Table_NFI[Sanitary Kit])</f>
        <v>0</v>
      </c>
      <c r="AB1239" s="294">
        <f>IF(NFI_Expiration=1,IF($A1239&lt;VLOOKUP(K$5,NFI,5,0),1,0)*Table_NFI[[#This Row],[Mosquito net]],Table_NFI[Mosquito net])</f>
        <v>0</v>
      </c>
      <c r="AC1239" s="294">
        <f>IF(NFI_Expiration=1,IF($A1239&lt;VLOOKUP(L$5,NFI,5,0),1,0)*Table_NFI[[#This Row],[Tarpaulin]],Table_NFI[[#This Row],[Tarpaulin]])</f>
        <v>0</v>
      </c>
      <c r="AD1239" s="294">
        <f>IF(NFI_Expiration=1,IF($A1239&lt;VLOOKUP(M$5,NFI,5,0),1,0)*Table_NFI[[#This Row],[Blanket]],Table_NFI[[#This Row],[Blanket]])</f>
        <v>0</v>
      </c>
      <c r="AE1239" s="294">
        <f>IF(NFI_Expiration=1,IF($A1239&lt;VLOOKUP(N$5,NFI,5,0),1,0)*Table_NFI[[#This Row],[Kitchen Set]],Table_NFI[Kitchen Set])</f>
        <v>0</v>
      </c>
      <c r="AF1239" s="294">
        <f>IF(NFI_Expiration=1,IF($A1239&lt;VLOOKUP(O$5,NFI,5,0),1,0)*Table_NFI[[#This Row],[Clothes Kit]],Table_NFI[Clothes Kit])</f>
        <v>0</v>
      </c>
      <c r="AG1239" s="294">
        <f>IF(NFI_Expiration=1,IF($A1239&lt;VLOOKUP(P$5,NFI,5,0),1,0)*Table_NFI[[#This Row],[Plastic Bucket]],Table_NFI[Plastic Bucket])</f>
        <v>0</v>
      </c>
      <c r="AH1239" s="294">
        <f>IF(NFI_Expiration=1,IF($A1239&lt;VLOOKUP(Q$5,NFI,5,0),1,0)*Table_NFI[[#This Row],[Plastic Mat]],Table_NFI[Plastic Mat])*IF(Table_NFI[[#This Row],[Distribution Date]]&gt;"2014-04-01",1,2.5)</f>
        <v>0</v>
      </c>
      <c r="AI1239" s="294">
        <f>IF(NFI_Expiration=1,IF($A1239&lt;VLOOKUP(R$5,NFI,5,0),1,0)*Table_NFI[[#This Row],[Winter Clothes Adult]],Table_NFI[Winter Clothes Adult])</f>
        <v>0</v>
      </c>
      <c r="AJ1239" s="294">
        <f>IF(NFI_Expiration=1,IF($A1239&lt;VLOOKUP(S$5,NFI,5,0),1,0)*Table_NFI[[#This Row],[Winter Clothes Children]],Table_NFI[Winter Clothes Children])</f>
        <v>0</v>
      </c>
      <c r="AK1239" s="294">
        <f>IF(NFI_Expiration=1,IF($A1239&lt;VLOOKUP(T$5,NFI,5,0),1,0)*Table_NFI[[#This Row],[Winter Items Other]],Table_NFI[Winter Items Other])</f>
        <v>0</v>
      </c>
      <c r="AL1239" s="294">
        <f>IF(NFI_Expiration=1,IF($A1239&lt;VLOOKUP(M$5,NFI,5,0),1,0)*Table_NFI[[#This Row],[Winter Blanket]],Table_NFI[[#This Row],[Winter Blanket]])</f>
        <v>0</v>
      </c>
      <c r="AM1239" s="294">
        <f>IF(Table_NFI[[#This Row],[Winter Clothes Adult]]+Table_NFI[[#This Row],[Winter Clothes Children]]+Table_NFI[[#This Row],[Winter Items Other]]+Table_NFI[[#This Row],[Winter Blanket]]&gt;0,1,0)</f>
        <v>0</v>
      </c>
      <c r="AN1239" s="331">
        <f>IF(NFI_Expiration=1,IF($A1239&lt;VLOOKUP(V$5,NFI,5,0),1,0)*Table_NFI[[#This Row],[Jerry Can]],Table_NFI[Jerry Can])</f>
        <v>0</v>
      </c>
      <c r="AO1239" s="331">
        <f>IF(NFI_Expiration=1,IF($A1239&lt;VLOOKUP(V$5,NFI,5,0),1,0)*Table_NFI[[#This Row],[Shelter Tool kit]],Table_NFI[Shelter Tool kit])</f>
        <v>0</v>
      </c>
      <c r="AP1239" s="331">
        <f>IF(NFI_Expiration=1,IF($A1239&lt;VLOOKUP(V$5,NFI,5,0),1,0)*Table_NFI[[#This Row],[Tent]],Table_NFI[Tent])</f>
        <v>0</v>
      </c>
      <c r="AQ1239" s="467" t="str">
        <f>IFERROR(VLOOKUP(Table_NFI[[#This Row],[Camp Name]],CL,2,0),"")</f>
        <v/>
      </c>
      <c r="AR1239" s="835" t="str">
        <f ca="1">IF(Table_NFI[[#This Row],[Pcode]]="","",IF(OFFSET(CampList[Opening Date],MATCH(Table_NFI[[#This Row],[Pcode]],CampList[CP_Pcode],0)-1,0,1,1)&gt;=NFI_Monitor_Date,1,0))</f>
        <v/>
      </c>
      <c r="AS1239" s="467" t="str">
        <f>IFERROR(VLOOKUP(Table_NFI[[#This Row],[Camp Name]],CL,3,0),"")</f>
        <v/>
      </c>
      <c r="AT1239" s="294" t="str">
        <f ca="1">IF(Table_NFI[[#This Row],[Pcode]]="","",OFFSET(CampList[Priority],MATCH(Table_NFI[[#This Row],[Pcode]],CampList[CP_Pcode],0)-1,0,1,1))</f>
        <v/>
      </c>
      <c r="AU1239" s="293" t="str">
        <f>IFERROR(Table_NFI[[#This Row],[Kitchen Set]]/VLOOKUP(Table_NFI[[#This Row],[Camp Name]],CL,4,0),"")</f>
        <v/>
      </c>
      <c r="AV1239" s="465"/>
      <c r="AW1239" s="468"/>
    </row>
    <row r="1240" spans="1:49" ht="14.45" customHeight="1" x14ac:dyDescent="0.25">
      <c r="A1240" s="297" t="str">
        <f t="shared" si="19"/>
        <v/>
      </c>
      <c r="B1240" s="460"/>
      <c r="C1240" s="465"/>
      <c r="D1240" s="465"/>
      <c r="E1240" s="465"/>
      <c r="F1240" s="465"/>
      <c r="G1240" s="465"/>
      <c r="H1240" s="292"/>
      <c r="I1240" s="292"/>
      <c r="J1240" s="292"/>
      <c r="K1240" s="292"/>
      <c r="L1240" s="292"/>
      <c r="M1240" s="292"/>
      <c r="N1240" s="292"/>
      <c r="O1240" s="292"/>
      <c r="P1240" s="294"/>
      <c r="Q1240" s="294"/>
      <c r="R1240" s="294"/>
      <c r="S1240" s="294"/>
      <c r="T1240" s="294"/>
      <c r="U1240" s="294"/>
      <c r="V1240" s="431"/>
      <c r="W1240" s="331"/>
      <c r="X1240" s="331"/>
      <c r="Y1240" s="294">
        <f>IF(NFI_Expiration=1,IF($A1240&lt;VLOOKUP(H$5,NFI,5,0),1,0)*Table_NFI[[#This Row],[Hygiene Kit]],Table_NFI[Hygiene Kit])</f>
        <v>0</v>
      </c>
      <c r="Z1240" s="294">
        <f>IF(NFI_Expiration=1,IF($A1240&lt;VLOOKUP(I$5,NFI,5,0),1,0)*Table_NFI[[#This Row],[NFI Core Kit]],Table_NFI[NFI Core Kit])</f>
        <v>0</v>
      </c>
      <c r="AA1240" s="294">
        <f>IF(NFI_Expiration=1,IF($A1240&lt;VLOOKUP(J$5,NFI,5,0),1,0)*Table_NFI[[#This Row],[Sanitary Kit]],Table_NFI[Sanitary Kit])</f>
        <v>0</v>
      </c>
      <c r="AB1240" s="294">
        <f>IF(NFI_Expiration=1,IF($A1240&lt;VLOOKUP(K$5,NFI,5,0),1,0)*Table_NFI[[#This Row],[Mosquito net]],Table_NFI[Mosquito net])</f>
        <v>0</v>
      </c>
      <c r="AC1240" s="294">
        <f>IF(NFI_Expiration=1,IF($A1240&lt;VLOOKUP(L$5,NFI,5,0),1,0)*Table_NFI[[#This Row],[Tarpaulin]],Table_NFI[[#This Row],[Tarpaulin]])</f>
        <v>0</v>
      </c>
      <c r="AD1240" s="294">
        <f>IF(NFI_Expiration=1,IF($A1240&lt;VLOOKUP(M$5,NFI,5,0),1,0)*Table_NFI[[#This Row],[Blanket]],Table_NFI[[#This Row],[Blanket]])</f>
        <v>0</v>
      </c>
      <c r="AE1240" s="294">
        <f>IF(NFI_Expiration=1,IF($A1240&lt;VLOOKUP(N$5,NFI,5,0),1,0)*Table_NFI[[#This Row],[Kitchen Set]],Table_NFI[Kitchen Set])</f>
        <v>0</v>
      </c>
      <c r="AF1240" s="294">
        <f>IF(NFI_Expiration=1,IF($A1240&lt;VLOOKUP(O$5,NFI,5,0),1,0)*Table_NFI[[#This Row],[Clothes Kit]],Table_NFI[Clothes Kit])</f>
        <v>0</v>
      </c>
      <c r="AG1240" s="294">
        <f>IF(NFI_Expiration=1,IF($A1240&lt;VLOOKUP(P$5,NFI,5,0),1,0)*Table_NFI[[#This Row],[Plastic Bucket]],Table_NFI[Plastic Bucket])</f>
        <v>0</v>
      </c>
      <c r="AH1240" s="294">
        <f>IF(NFI_Expiration=1,IF($A1240&lt;VLOOKUP(Q$5,NFI,5,0),1,0)*Table_NFI[[#This Row],[Plastic Mat]],Table_NFI[Plastic Mat])*IF(Table_NFI[[#This Row],[Distribution Date]]&gt;"2014-04-01",1,2.5)</f>
        <v>0</v>
      </c>
      <c r="AI1240" s="294">
        <f>IF(NFI_Expiration=1,IF($A1240&lt;VLOOKUP(R$5,NFI,5,0),1,0)*Table_NFI[[#This Row],[Winter Clothes Adult]],Table_NFI[Winter Clothes Adult])</f>
        <v>0</v>
      </c>
      <c r="AJ1240" s="294">
        <f>IF(NFI_Expiration=1,IF($A1240&lt;VLOOKUP(S$5,NFI,5,0),1,0)*Table_NFI[[#This Row],[Winter Clothes Children]],Table_NFI[Winter Clothes Children])</f>
        <v>0</v>
      </c>
      <c r="AK1240" s="294">
        <f>IF(NFI_Expiration=1,IF($A1240&lt;VLOOKUP(T$5,NFI,5,0),1,0)*Table_NFI[[#This Row],[Winter Items Other]],Table_NFI[Winter Items Other])</f>
        <v>0</v>
      </c>
      <c r="AL1240" s="294">
        <f>IF(NFI_Expiration=1,IF($A1240&lt;VLOOKUP(M$5,NFI,5,0),1,0)*Table_NFI[[#This Row],[Winter Blanket]],Table_NFI[[#This Row],[Winter Blanket]])</f>
        <v>0</v>
      </c>
      <c r="AM1240" s="294">
        <f>IF(Table_NFI[[#This Row],[Winter Clothes Adult]]+Table_NFI[[#This Row],[Winter Clothes Children]]+Table_NFI[[#This Row],[Winter Items Other]]+Table_NFI[[#This Row],[Winter Blanket]]&gt;0,1,0)</f>
        <v>0</v>
      </c>
      <c r="AN1240" s="331">
        <f>IF(NFI_Expiration=1,IF($A1240&lt;VLOOKUP(V$5,NFI,5,0),1,0)*Table_NFI[[#This Row],[Jerry Can]],Table_NFI[Jerry Can])</f>
        <v>0</v>
      </c>
      <c r="AO1240" s="331">
        <f>IF(NFI_Expiration=1,IF($A1240&lt;VLOOKUP(V$5,NFI,5,0),1,0)*Table_NFI[[#This Row],[Shelter Tool kit]],Table_NFI[Shelter Tool kit])</f>
        <v>0</v>
      </c>
      <c r="AP1240" s="331">
        <f>IF(NFI_Expiration=1,IF($A1240&lt;VLOOKUP(V$5,NFI,5,0),1,0)*Table_NFI[[#This Row],[Tent]],Table_NFI[Tent])</f>
        <v>0</v>
      </c>
      <c r="AQ1240" s="467" t="str">
        <f>IFERROR(VLOOKUP(Table_NFI[[#This Row],[Camp Name]],CL,2,0),"")</f>
        <v/>
      </c>
      <c r="AR1240" s="835" t="str">
        <f ca="1">IF(Table_NFI[[#This Row],[Pcode]]="","",IF(OFFSET(CampList[Opening Date],MATCH(Table_NFI[[#This Row],[Pcode]],CampList[CP_Pcode],0)-1,0,1,1)&gt;=NFI_Monitor_Date,1,0))</f>
        <v/>
      </c>
      <c r="AS1240" s="467" t="str">
        <f>IFERROR(VLOOKUP(Table_NFI[[#This Row],[Camp Name]],CL,3,0),"")</f>
        <v/>
      </c>
      <c r="AT1240" s="294" t="str">
        <f ca="1">IF(Table_NFI[[#This Row],[Pcode]]="","",OFFSET(CampList[Priority],MATCH(Table_NFI[[#This Row],[Pcode]],CampList[CP_Pcode],0)-1,0,1,1))</f>
        <v/>
      </c>
      <c r="AU1240" s="293" t="str">
        <f>IFERROR(Table_NFI[[#This Row],[Kitchen Set]]/VLOOKUP(Table_NFI[[#This Row],[Camp Name]],CL,4,0),"")</f>
        <v/>
      </c>
      <c r="AV1240" s="465"/>
      <c r="AW1240" s="468"/>
    </row>
    <row r="1241" spans="1:49" ht="14.45" customHeight="1" x14ac:dyDescent="0.25">
      <c r="A1241" s="297" t="str">
        <f t="shared" si="19"/>
        <v/>
      </c>
      <c r="B1241" s="460"/>
      <c r="C1241" s="465"/>
      <c r="D1241" s="465"/>
      <c r="E1241" s="465"/>
      <c r="F1241" s="465"/>
      <c r="G1241" s="465"/>
      <c r="H1241" s="292"/>
      <c r="I1241" s="292"/>
      <c r="J1241" s="292"/>
      <c r="K1241" s="292"/>
      <c r="L1241" s="292"/>
      <c r="M1241" s="292"/>
      <c r="N1241" s="292"/>
      <c r="O1241" s="292"/>
      <c r="P1241" s="294"/>
      <c r="Q1241" s="294"/>
      <c r="R1241" s="294"/>
      <c r="S1241" s="294"/>
      <c r="T1241" s="294"/>
      <c r="U1241" s="294"/>
      <c r="V1241" s="431"/>
      <c r="W1241" s="331"/>
      <c r="X1241" s="331"/>
      <c r="Y1241" s="294">
        <f>IF(NFI_Expiration=1,IF($A1241&lt;VLOOKUP(H$5,NFI,5,0),1,0)*Table_NFI[[#This Row],[Hygiene Kit]],Table_NFI[Hygiene Kit])</f>
        <v>0</v>
      </c>
      <c r="Z1241" s="294">
        <f>IF(NFI_Expiration=1,IF($A1241&lt;VLOOKUP(I$5,NFI,5,0),1,0)*Table_NFI[[#This Row],[NFI Core Kit]],Table_NFI[NFI Core Kit])</f>
        <v>0</v>
      </c>
      <c r="AA1241" s="294">
        <f>IF(NFI_Expiration=1,IF($A1241&lt;VLOOKUP(J$5,NFI,5,0),1,0)*Table_NFI[[#This Row],[Sanitary Kit]],Table_NFI[Sanitary Kit])</f>
        <v>0</v>
      </c>
      <c r="AB1241" s="294">
        <f>IF(NFI_Expiration=1,IF($A1241&lt;VLOOKUP(K$5,NFI,5,0),1,0)*Table_NFI[[#This Row],[Mosquito net]],Table_NFI[Mosquito net])</f>
        <v>0</v>
      </c>
      <c r="AC1241" s="294">
        <f>IF(NFI_Expiration=1,IF($A1241&lt;VLOOKUP(L$5,NFI,5,0),1,0)*Table_NFI[[#This Row],[Tarpaulin]],Table_NFI[[#This Row],[Tarpaulin]])</f>
        <v>0</v>
      </c>
      <c r="AD1241" s="294">
        <f>IF(NFI_Expiration=1,IF($A1241&lt;VLOOKUP(M$5,NFI,5,0),1,0)*Table_NFI[[#This Row],[Blanket]],Table_NFI[[#This Row],[Blanket]])</f>
        <v>0</v>
      </c>
      <c r="AE1241" s="294">
        <f>IF(NFI_Expiration=1,IF($A1241&lt;VLOOKUP(N$5,NFI,5,0),1,0)*Table_NFI[[#This Row],[Kitchen Set]],Table_NFI[Kitchen Set])</f>
        <v>0</v>
      </c>
      <c r="AF1241" s="294">
        <f>IF(NFI_Expiration=1,IF($A1241&lt;VLOOKUP(O$5,NFI,5,0),1,0)*Table_NFI[[#This Row],[Clothes Kit]],Table_NFI[Clothes Kit])</f>
        <v>0</v>
      </c>
      <c r="AG1241" s="294">
        <f>IF(NFI_Expiration=1,IF($A1241&lt;VLOOKUP(P$5,NFI,5,0),1,0)*Table_NFI[[#This Row],[Plastic Bucket]],Table_NFI[Plastic Bucket])</f>
        <v>0</v>
      </c>
      <c r="AH1241" s="294">
        <f>IF(NFI_Expiration=1,IF($A1241&lt;VLOOKUP(Q$5,NFI,5,0),1,0)*Table_NFI[[#This Row],[Plastic Mat]],Table_NFI[Plastic Mat])*IF(Table_NFI[[#This Row],[Distribution Date]]&gt;"2014-04-01",1,2.5)</f>
        <v>0</v>
      </c>
      <c r="AI1241" s="294">
        <f>IF(NFI_Expiration=1,IF($A1241&lt;VLOOKUP(R$5,NFI,5,0),1,0)*Table_NFI[[#This Row],[Winter Clothes Adult]],Table_NFI[Winter Clothes Adult])</f>
        <v>0</v>
      </c>
      <c r="AJ1241" s="294">
        <f>IF(NFI_Expiration=1,IF($A1241&lt;VLOOKUP(S$5,NFI,5,0),1,0)*Table_NFI[[#This Row],[Winter Clothes Children]],Table_NFI[Winter Clothes Children])</f>
        <v>0</v>
      </c>
      <c r="AK1241" s="294">
        <f>IF(NFI_Expiration=1,IF($A1241&lt;VLOOKUP(T$5,NFI,5,0),1,0)*Table_NFI[[#This Row],[Winter Items Other]],Table_NFI[Winter Items Other])</f>
        <v>0</v>
      </c>
      <c r="AL1241" s="294">
        <f>IF(NFI_Expiration=1,IF($A1241&lt;VLOOKUP(M$5,NFI,5,0),1,0)*Table_NFI[[#This Row],[Winter Blanket]],Table_NFI[[#This Row],[Winter Blanket]])</f>
        <v>0</v>
      </c>
      <c r="AM1241" s="294">
        <f>IF(Table_NFI[[#This Row],[Winter Clothes Adult]]+Table_NFI[[#This Row],[Winter Clothes Children]]+Table_NFI[[#This Row],[Winter Items Other]]+Table_NFI[[#This Row],[Winter Blanket]]&gt;0,1,0)</f>
        <v>0</v>
      </c>
      <c r="AN1241" s="331">
        <f>IF(NFI_Expiration=1,IF($A1241&lt;VLOOKUP(V$5,NFI,5,0),1,0)*Table_NFI[[#This Row],[Jerry Can]],Table_NFI[Jerry Can])</f>
        <v>0</v>
      </c>
      <c r="AO1241" s="331">
        <f>IF(NFI_Expiration=1,IF($A1241&lt;VLOOKUP(V$5,NFI,5,0),1,0)*Table_NFI[[#This Row],[Shelter Tool kit]],Table_NFI[Shelter Tool kit])</f>
        <v>0</v>
      </c>
      <c r="AP1241" s="331">
        <f>IF(NFI_Expiration=1,IF($A1241&lt;VLOOKUP(V$5,NFI,5,0),1,0)*Table_NFI[[#This Row],[Tent]],Table_NFI[Tent])</f>
        <v>0</v>
      </c>
      <c r="AQ1241" s="467" t="str">
        <f>IFERROR(VLOOKUP(Table_NFI[[#This Row],[Camp Name]],CL,2,0),"")</f>
        <v/>
      </c>
      <c r="AR1241" s="835" t="str">
        <f ca="1">IF(Table_NFI[[#This Row],[Pcode]]="","",IF(OFFSET(CampList[Opening Date],MATCH(Table_NFI[[#This Row],[Pcode]],CampList[CP_Pcode],0)-1,0,1,1)&gt;=NFI_Monitor_Date,1,0))</f>
        <v/>
      </c>
      <c r="AS1241" s="467" t="str">
        <f>IFERROR(VLOOKUP(Table_NFI[[#This Row],[Camp Name]],CL,3,0),"")</f>
        <v/>
      </c>
      <c r="AT1241" s="294" t="str">
        <f ca="1">IF(Table_NFI[[#This Row],[Pcode]]="","",OFFSET(CampList[Priority],MATCH(Table_NFI[[#This Row],[Pcode]],CampList[CP_Pcode],0)-1,0,1,1))</f>
        <v/>
      </c>
      <c r="AU1241" s="293" t="str">
        <f>IFERROR(Table_NFI[[#This Row],[Kitchen Set]]/VLOOKUP(Table_NFI[[#This Row],[Camp Name]],CL,4,0),"")</f>
        <v/>
      </c>
      <c r="AV1241" s="465"/>
      <c r="AW1241" s="468"/>
    </row>
    <row r="1242" spans="1:49" ht="14.45" customHeight="1" x14ac:dyDescent="0.25">
      <c r="A1242" s="297" t="str">
        <f t="shared" si="19"/>
        <v/>
      </c>
      <c r="B1242" s="460"/>
      <c r="C1242" s="465"/>
      <c r="D1242" s="465"/>
      <c r="E1242" s="465"/>
      <c r="F1242" s="465"/>
      <c r="G1242" s="465"/>
      <c r="H1242" s="292"/>
      <c r="I1242" s="292"/>
      <c r="J1242" s="292"/>
      <c r="K1242" s="292"/>
      <c r="L1242" s="292"/>
      <c r="M1242" s="292"/>
      <c r="N1242" s="292"/>
      <c r="O1242" s="292"/>
      <c r="P1242" s="294"/>
      <c r="Q1242" s="294"/>
      <c r="R1242" s="294"/>
      <c r="S1242" s="294"/>
      <c r="T1242" s="294"/>
      <c r="U1242" s="294"/>
      <c r="V1242" s="431"/>
      <c r="W1242" s="331"/>
      <c r="X1242" s="331"/>
      <c r="Y1242" s="294">
        <f>IF(NFI_Expiration=1,IF($A1242&lt;VLOOKUP(H$5,NFI,5,0),1,0)*Table_NFI[[#This Row],[Hygiene Kit]],Table_NFI[Hygiene Kit])</f>
        <v>0</v>
      </c>
      <c r="Z1242" s="294">
        <f>IF(NFI_Expiration=1,IF($A1242&lt;VLOOKUP(I$5,NFI,5,0),1,0)*Table_NFI[[#This Row],[NFI Core Kit]],Table_NFI[NFI Core Kit])</f>
        <v>0</v>
      </c>
      <c r="AA1242" s="294">
        <f>IF(NFI_Expiration=1,IF($A1242&lt;VLOOKUP(J$5,NFI,5,0),1,0)*Table_NFI[[#This Row],[Sanitary Kit]],Table_NFI[Sanitary Kit])</f>
        <v>0</v>
      </c>
      <c r="AB1242" s="294">
        <f>IF(NFI_Expiration=1,IF($A1242&lt;VLOOKUP(K$5,NFI,5,0),1,0)*Table_NFI[[#This Row],[Mosquito net]],Table_NFI[Mosquito net])</f>
        <v>0</v>
      </c>
      <c r="AC1242" s="294">
        <f>IF(NFI_Expiration=1,IF($A1242&lt;VLOOKUP(L$5,NFI,5,0),1,0)*Table_NFI[[#This Row],[Tarpaulin]],Table_NFI[[#This Row],[Tarpaulin]])</f>
        <v>0</v>
      </c>
      <c r="AD1242" s="294">
        <f>IF(NFI_Expiration=1,IF($A1242&lt;VLOOKUP(M$5,NFI,5,0),1,0)*Table_NFI[[#This Row],[Blanket]],Table_NFI[[#This Row],[Blanket]])</f>
        <v>0</v>
      </c>
      <c r="AE1242" s="294">
        <f>IF(NFI_Expiration=1,IF($A1242&lt;VLOOKUP(N$5,NFI,5,0),1,0)*Table_NFI[[#This Row],[Kitchen Set]],Table_NFI[Kitchen Set])</f>
        <v>0</v>
      </c>
      <c r="AF1242" s="294">
        <f>IF(NFI_Expiration=1,IF($A1242&lt;VLOOKUP(O$5,NFI,5,0),1,0)*Table_NFI[[#This Row],[Clothes Kit]],Table_NFI[Clothes Kit])</f>
        <v>0</v>
      </c>
      <c r="AG1242" s="294">
        <f>IF(NFI_Expiration=1,IF($A1242&lt;VLOOKUP(P$5,NFI,5,0),1,0)*Table_NFI[[#This Row],[Plastic Bucket]],Table_NFI[Plastic Bucket])</f>
        <v>0</v>
      </c>
      <c r="AH1242" s="294">
        <f>IF(NFI_Expiration=1,IF($A1242&lt;VLOOKUP(Q$5,NFI,5,0),1,0)*Table_NFI[[#This Row],[Plastic Mat]],Table_NFI[Plastic Mat])*IF(Table_NFI[[#This Row],[Distribution Date]]&gt;"2014-04-01",1,2.5)</f>
        <v>0</v>
      </c>
      <c r="AI1242" s="294">
        <f>IF(NFI_Expiration=1,IF($A1242&lt;VLOOKUP(R$5,NFI,5,0),1,0)*Table_NFI[[#This Row],[Winter Clothes Adult]],Table_NFI[Winter Clothes Adult])</f>
        <v>0</v>
      </c>
      <c r="AJ1242" s="294">
        <f>IF(NFI_Expiration=1,IF($A1242&lt;VLOOKUP(S$5,NFI,5,0),1,0)*Table_NFI[[#This Row],[Winter Clothes Children]],Table_NFI[Winter Clothes Children])</f>
        <v>0</v>
      </c>
      <c r="AK1242" s="294">
        <f>IF(NFI_Expiration=1,IF($A1242&lt;VLOOKUP(T$5,NFI,5,0),1,0)*Table_NFI[[#This Row],[Winter Items Other]],Table_NFI[Winter Items Other])</f>
        <v>0</v>
      </c>
      <c r="AL1242" s="294">
        <f>IF(NFI_Expiration=1,IF($A1242&lt;VLOOKUP(M$5,NFI,5,0),1,0)*Table_NFI[[#This Row],[Winter Blanket]],Table_NFI[[#This Row],[Winter Blanket]])</f>
        <v>0</v>
      </c>
      <c r="AM1242" s="294">
        <f>IF(Table_NFI[[#This Row],[Winter Clothes Adult]]+Table_NFI[[#This Row],[Winter Clothes Children]]+Table_NFI[[#This Row],[Winter Items Other]]+Table_NFI[[#This Row],[Winter Blanket]]&gt;0,1,0)</f>
        <v>0</v>
      </c>
      <c r="AN1242" s="331">
        <f>IF(NFI_Expiration=1,IF($A1242&lt;VLOOKUP(V$5,NFI,5,0),1,0)*Table_NFI[[#This Row],[Jerry Can]],Table_NFI[Jerry Can])</f>
        <v>0</v>
      </c>
      <c r="AO1242" s="331">
        <f>IF(NFI_Expiration=1,IF($A1242&lt;VLOOKUP(V$5,NFI,5,0),1,0)*Table_NFI[[#This Row],[Shelter Tool kit]],Table_NFI[Shelter Tool kit])</f>
        <v>0</v>
      </c>
      <c r="AP1242" s="331">
        <f>IF(NFI_Expiration=1,IF($A1242&lt;VLOOKUP(V$5,NFI,5,0),1,0)*Table_NFI[[#This Row],[Tent]],Table_NFI[Tent])</f>
        <v>0</v>
      </c>
      <c r="AQ1242" s="467" t="str">
        <f>IFERROR(VLOOKUP(Table_NFI[[#This Row],[Camp Name]],CL,2,0),"")</f>
        <v/>
      </c>
      <c r="AR1242" s="835" t="str">
        <f ca="1">IF(Table_NFI[[#This Row],[Pcode]]="","",IF(OFFSET(CampList[Opening Date],MATCH(Table_NFI[[#This Row],[Pcode]],CampList[CP_Pcode],0)-1,0,1,1)&gt;=NFI_Monitor_Date,1,0))</f>
        <v/>
      </c>
      <c r="AS1242" s="467" t="str">
        <f>IFERROR(VLOOKUP(Table_NFI[[#This Row],[Camp Name]],CL,3,0),"")</f>
        <v/>
      </c>
      <c r="AT1242" s="294" t="str">
        <f ca="1">IF(Table_NFI[[#This Row],[Pcode]]="","",OFFSET(CampList[Priority],MATCH(Table_NFI[[#This Row],[Pcode]],CampList[CP_Pcode],0)-1,0,1,1))</f>
        <v/>
      </c>
      <c r="AU1242" s="293" t="str">
        <f>IFERROR(Table_NFI[[#This Row],[Kitchen Set]]/VLOOKUP(Table_NFI[[#This Row],[Camp Name]],CL,4,0),"")</f>
        <v/>
      </c>
      <c r="AV1242" s="465"/>
      <c r="AW1242" s="468"/>
    </row>
    <row r="1243" spans="1:49" ht="14.45" customHeight="1" x14ac:dyDescent="0.25">
      <c r="A1243" s="297" t="str">
        <f t="shared" si="19"/>
        <v/>
      </c>
      <c r="B1243" s="460"/>
      <c r="C1243" s="465"/>
      <c r="D1243" s="465"/>
      <c r="E1243" s="465"/>
      <c r="F1243" s="465"/>
      <c r="G1243" s="465"/>
      <c r="H1243" s="292"/>
      <c r="I1243" s="292"/>
      <c r="J1243" s="292"/>
      <c r="K1243" s="292"/>
      <c r="L1243" s="292"/>
      <c r="M1243" s="292"/>
      <c r="N1243" s="292"/>
      <c r="O1243" s="292"/>
      <c r="P1243" s="294"/>
      <c r="Q1243" s="294"/>
      <c r="R1243" s="294"/>
      <c r="S1243" s="294"/>
      <c r="T1243" s="294"/>
      <c r="U1243" s="294"/>
      <c r="V1243" s="431"/>
      <c r="W1243" s="331"/>
      <c r="X1243" s="331"/>
      <c r="Y1243" s="294">
        <f>IF(NFI_Expiration=1,IF($A1243&lt;VLOOKUP(H$5,NFI,5,0),1,0)*Table_NFI[[#This Row],[Hygiene Kit]],Table_NFI[Hygiene Kit])</f>
        <v>0</v>
      </c>
      <c r="Z1243" s="294">
        <f>IF(NFI_Expiration=1,IF($A1243&lt;VLOOKUP(I$5,NFI,5,0),1,0)*Table_NFI[[#This Row],[NFI Core Kit]],Table_NFI[NFI Core Kit])</f>
        <v>0</v>
      </c>
      <c r="AA1243" s="294">
        <f>IF(NFI_Expiration=1,IF($A1243&lt;VLOOKUP(J$5,NFI,5,0),1,0)*Table_NFI[[#This Row],[Sanitary Kit]],Table_NFI[Sanitary Kit])</f>
        <v>0</v>
      </c>
      <c r="AB1243" s="294">
        <f>IF(NFI_Expiration=1,IF($A1243&lt;VLOOKUP(K$5,NFI,5,0),1,0)*Table_NFI[[#This Row],[Mosquito net]],Table_NFI[Mosquito net])</f>
        <v>0</v>
      </c>
      <c r="AC1243" s="294">
        <f>IF(NFI_Expiration=1,IF($A1243&lt;VLOOKUP(L$5,NFI,5,0),1,0)*Table_NFI[[#This Row],[Tarpaulin]],Table_NFI[[#This Row],[Tarpaulin]])</f>
        <v>0</v>
      </c>
      <c r="AD1243" s="294">
        <f>IF(NFI_Expiration=1,IF($A1243&lt;VLOOKUP(M$5,NFI,5,0),1,0)*Table_NFI[[#This Row],[Blanket]],Table_NFI[[#This Row],[Blanket]])</f>
        <v>0</v>
      </c>
      <c r="AE1243" s="294">
        <f>IF(NFI_Expiration=1,IF($A1243&lt;VLOOKUP(N$5,NFI,5,0),1,0)*Table_NFI[[#This Row],[Kitchen Set]],Table_NFI[Kitchen Set])</f>
        <v>0</v>
      </c>
      <c r="AF1243" s="294">
        <f>IF(NFI_Expiration=1,IF($A1243&lt;VLOOKUP(O$5,NFI,5,0),1,0)*Table_NFI[[#This Row],[Clothes Kit]],Table_NFI[Clothes Kit])</f>
        <v>0</v>
      </c>
      <c r="AG1243" s="294">
        <f>IF(NFI_Expiration=1,IF($A1243&lt;VLOOKUP(P$5,NFI,5,0),1,0)*Table_NFI[[#This Row],[Plastic Bucket]],Table_NFI[Plastic Bucket])</f>
        <v>0</v>
      </c>
      <c r="AH1243" s="294">
        <f>IF(NFI_Expiration=1,IF($A1243&lt;VLOOKUP(Q$5,NFI,5,0),1,0)*Table_NFI[[#This Row],[Plastic Mat]],Table_NFI[Plastic Mat])*IF(Table_NFI[[#This Row],[Distribution Date]]&gt;"2014-04-01",1,2.5)</f>
        <v>0</v>
      </c>
      <c r="AI1243" s="294">
        <f>IF(NFI_Expiration=1,IF($A1243&lt;VLOOKUP(R$5,NFI,5,0),1,0)*Table_NFI[[#This Row],[Winter Clothes Adult]],Table_NFI[Winter Clothes Adult])</f>
        <v>0</v>
      </c>
      <c r="AJ1243" s="294">
        <f>IF(NFI_Expiration=1,IF($A1243&lt;VLOOKUP(S$5,NFI,5,0),1,0)*Table_NFI[[#This Row],[Winter Clothes Children]],Table_NFI[Winter Clothes Children])</f>
        <v>0</v>
      </c>
      <c r="AK1243" s="294">
        <f>IF(NFI_Expiration=1,IF($A1243&lt;VLOOKUP(T$5,NFI,5,0),1,0)*Table_NFI[[#This Row],[Winter Items Other]],Table_NFI[Winter Items Other])</f>
        <v>0</v>
      </c>
      <c r="AL1243" s="294">
        <f>IF(NFI_Expiration=1,IF($A1243&lt;VLOOKUP(M$5,NFI,5,0),1,0)*Table_NFI[[#This Row],[Winter Blanket]],Table_NFI[[#This Row],[Winter Blanket]])</f>
        <v>0</v>
      </c>
      <c r="AM1243" s="294">
        <f>IF(Table_NFI[[#This Row],[Winter Clothes Adult]]+Table_NFI[[#This Row],[Winter Clothes Children]]+Table_NFI[[#This Row],[Winter Items Other]]+Table_NFI[[#This Row],[Winter Blanket]]&gt;0,1,0)</f>
        <v>0</v>
      </c>
      <c r="AN1243" s="331">
        <f>IF(NFI_Expiration=1,IF($A1243&lt;VLOOKUP(V$5,NFI,5,0),1,0)*Table_NFI[[#This Row],[Jerry Can]],Table_NFI[Jerry Can])</f>
        <v>0</v>
      </c>
      <c r="AO1243" s="331">
        <f>IF(NFI_Expiration=1,IF($A1243&lt;VLOOKUP(V$5,NFI,5,0),1,0)*Table_NFI[[#This Row],[Shelter Tool kit]],Table_NFI[Shelter Tool kit])</f>
        <v>0</v>
      </c>
      <c r="AP1243" s="331">
        <f>IF(NFI_Expiration=1,IF($A1243&lt;VLOOKUP(V$5,NFI,5,0),1,0)*Table_NFI[[#This Row],[Tent]],Table_NFI[Tent])</f>
        <v>0</v>
      </c>
      <c r="AQ1243" s="467" t="str">
        <f>IFERROR(VLOOKUP(Table_NFI[[#This Row],[Camp Name]],CL,2,0),"")</f>
        <v/>
      </c>
      <c r="AR1243" s="835" t="str">
        <f ca="1">IF(Table_NFI[[#This Row],[Pcode]]="","",IF(OFFSET(CampList[Opening Date],MATCH(Table_NFI[[#This Row],[Pcode]],CampList[CP_Pcode],0)-1,0,1,1)&gt;=NFI_Monitor_Date,1,0))</f>
        <v/>
      </c>
      <c r="AS1243" s="467" t="str">
        <f>IFERROR(VLOOKUP(Table_NFI[[#This Row],[Camp Name]],CL,3,0),"")</f>
        <v/>
      </c>
      <c r="AT1243" s="294" t="str">
        <f ca="1">IF(Table_NFI[[#This Row],[Pcode]]="","",OFFSET(CampList[Priority],MATCH(Table_NFI[[#This Row],[Pcode]],CampList[CP_Pcode],0)-1,0,1,1))</f>
        <v/>
      </c>
      <c r="AU1243" s="293" t="str">
        <f>IFERROR(Table_NFI[[#This Row],[Kitchen Set]]/VLOOKUP(Table_NFI[[#This Row],[Camp Name]],CL,4,0),"")</f>
        <v/>
      </c>
      <c r="AV1243" s="465"/>
      <c r="AW1243" s="468"/>
    </row>
    <row r="1244" spans="1:49" ht="14.45" customHeight="1" x14ac:dyDescent="0.25">
      <c r="A1244" s="297" t="str">
        <f t="shared" si="19"/>
        <v/>
      </c>
      <c r="B1244" s="460"/>
      <c r="C1244" s="465"/>
      <c r="D1244" s="465"/>
      <c r="E1244" s="465"/>
      <c r="F1244" s="465"/>
      <c r="G1244" s="465"/>
      <c r="H1244" s="292"/>
      <c r="I1244" s="292"/>
      <c r="J1244" s="292"/>
      <c r="K1244" s="292"/>
      <c r="L1244" s="292"/>
      <c r="M1244" s="292"/>
      <c r="N1244" s="292"/>
      <c r="O1244" s="292"/>
      <c r="P1244" s="294"/>
      <c r="Q1244" s="294"/>
      <c r="R1244" s="294"/>
      <c r="S1244" s="294"/>
      <c r="T1244" s="294"/>
      <c r="U1244" s="294"/>
      <c r="V1244" s="431"/>
      <c r="W1244" s="331"/>
      <c r="X1244" s="331"/>
      <c r="Y1244" s="294">
        <f>IF(NFI_Expiration=1,IF($A1244&lt;VLOOKUP(H$5,NFI,5,0),1,0)*Table_NFI[[#This Row],[Hygiene Kit]],Table_NFI[Hygiene Kit])</f>
        <v>0</v>
      </c>
      <c r="Z1244" s="294">
        <f>IF(NFI_Expiration=1,IF($A1244&lt;VLOOKUP(I$5,NFI,5,0),1,0)*Table_NFI[[#This Row],[NFI Core Kit]],Table_NFI[NFI Core Kit])</f>
        <v>0</v>
      </c>
      <c r="AA1244" s="294">
        <f>IF(NFI_Expiration=1,IF($A1244&lt;VLOOKUP(J$5,NFI,5,0),1,0)*Table_NFI[[#This Row],[Sanitary Kit]],Table_NFI[Sanitary Kit])</f>
        <v>0</v>
      </c>
      <c r="AB1244" s="294">
        <f>IF(NFI_Expiration=1,IF($A1244&lt;VLOOKUP(K$5,NFI,5,0),1,0)*Table_NFI[[#This Row],[Mosquito net]],Table_NFI[Mosquito net])</f>
        <v>0</v>
      </c>
      <c r="AC1244" s="294">
        <f>IF(NFI_Expiration=1,IF($A1244&lt;VLOOKUP(L$5,NFI,5,0),1,0)*Table_NFI[[#This Row],[Tarpaulin]],Table_NFI[[#This Row],[Tarpaulin]])</f>
        <v>0</v>
      </c>
      <c r="AD1244" s="294">
        <f>IF(NFI_Expiration=1,IF($A1244&lt;VLOOKUP(M$5,NFI,5,0),1,0)*Table_NFI[[#This Row],[Blanket]],Table_NFI[[#This Row],[Blanket]])</f>
        <v>0</v>
      </c>
      <c r="AE1244" s="294">
        <f>IF(NFI_Expiration=1,IF($A1244&lt;VLOOKUP(N$5,NFI,5,0),1,0)*Table_NFI[[#This Row],[Kitchen Set]],Table_NFI[Kitchen Set])</f>
        <v>0</v>
      </c>
      <c r="AF1244" s="294">
        <f>IF(NFI_Expiration=1,IF($A1244&lt;VLOOKUP(O$5,NFI,5,0),1,0)*Table_NFI[[#This Row],[Clothes Kit]],Table_NFI[Clothes Kit])</f>
        <v>0</v>
      </c>
      <c r="AG1244" s="294">
        <f>IF(NFI_Expiration=1,IF($A1244&lt;VLOOKUP(P$5,NFI,5,0),1,0)*Table_NFI[[#This Row],[Plastic Bucket]],Table_NFI[Plastic Bucket])</f>
        <v>0</v>
      </c>
      <c r="AH1244" s="294">
        <f>IF(NFI_Expiration=1,IF($A1244&lt;VLOOKUP(Q$5,NFI,5,0),1,0)*Table_NFI[[#This Row],[Plastic Mat]],Table_NFI[Plastic Mat])*IF(Table_NFI[[#This Row],[Distribution Date]]&gt;"2014-04-01",1,2.5)</f>
        <v>0</v>
      </c>
      <c r="AI1244" s="294">
        <f>IF(NFI_Expiration=1,IF($A1244&lt;VLOOKUP(R$5,NFI,5,0),1,0)*Table_NFI[[#This Row],[Winter Clothes Adult]],Table_NFI[Winter Clothes Adult])</f>
        <v>0</v>
      </c>
      <c r="AJ1244" s="294">
        <f>IF(NFI_Expiration=1,IF($A1244&lt;VLOOKUP(S$5,NFI,5,0),1,0)*Table_NFI[[#This Row],[Winter Clothes Children]],Table_NFI[Winter Clothes Children])</f>
        <v>0</v>
      </c>
      <c r="AK1244" s="294">
        <f>IF(NFI_Expiration=1,IF($A1244&lt;VLOOKUP(T$5,NFI,5,0),1,0)*Table_NFI[[#This Row],[Winter Items Other]],Table_NFI[Winter Items Other])</f>
        <v>0</v>
      </c>
      <c r="AL1244" s="294">
        <f>IF(NFI_Expiration=1,IF($A1244&lt;VLOOKUP(M$5,NFI,5,0),1,0)*Table_NFI[[#This Row],[Winter Blanket]],Table_NFI[[#This Row],[Winter Blanket]])</f>
        <v>0</v>
      </c>
      <c r="AM1244" s="294">
        <f>IF(Table_NFI[[#This Row],[Winter Clothes Adult]]+Table_NFI[[#This Row],[Winter Clothes Children]]+Table_NFI[[#This Row],[Winter Items Other]]+Table_NFI[[#This Row],[Winter Blanket]]&gt;0,1,0)</f>
        <v>0</v>
      </c>
      <c r="AN1244" s="331">
        <f>IF(NFI_Expiration=1,IF($A1244&lt;VLOOKUP(V$5,NFI,5,0),1,0)*Table_NFI[[#This Row],[Jerry Can]],Table_NFI[Jerry Can])</f>
        <v>0</v>
      </c>
      <c r="AO1244" s="331">
        <f>IF(NFI_Expiration=1,IF($A1244&lt;VLOOKUP(V$5,NFI,5,0),1,0)*Table_NFI[[#This Row],[Shelter Tool kit]],Table_NFI[Shelter Tool kit])</f>
        <v>0</v>
      </c>
      <c r="AP1244" s="331">
        <f>IF(NFI_Expiration=1,IF($A1244&lt;VLOOKUP(V$5,NFI,5,0),1,0)*Table_NFI[[#This Row],[Tent]],Table_NFI[Tent])</f>
        <v>0</v>
      </c>
      <c r="AQ1244" s="467" t="str">
        <f>IFERROR(VLOOKUP(Table_NFI[[#This Row],[Camp Name]],CL,2,0),"")</f>
        <v/>
      </c>
      <c r="AR1244" s="835" t="str">
        <f ca="1">IF(Table_NFI[[#This Row],[Pcode]]="","",IF(OFFSET(CampList[Opening Date],MATCH(Table_NFI[[#This Row],[Pcode]],CampList[CP_Pcode],0)-1,0,1,1)&gt;=NFI_Monitor_Date,1,0))</f>
        <v/>
      </c>
      <c r="AS1244" s="467" t="str">
        <f>IFERROR(VLOOKUP(Table_NFI[[#This Row],[Camp Name]],CL,3,0),"")</f>
        <v/>
      </c>
      <c r="AT1244" s="294" t="str">
        <f ca="1">IF(Table_NFI[[#This Row],[Pcode]]="","",OFFSET(CampList[Priority],MATCH(Table_NFI[[#This Row],[Pcode]],CampList[CP_Pcode],0)-1,0,1,1))</f>
        <v/>
      </c>
      <c r="AU1244" s="293" t="str">
        <f>IFERROR(Table_NFI[[#This Row],[Kitchen Set]]/VLOOKUP(Table_NFI[[#This Row],[Camp Name]],CL,4,0),"")</f>
        <v/>
      </c>
      <c r="AV1244" s="465"/>
      <c r="AW1244" s="468"/>
    </row>
    <row r="1245" spans="1:49" ht="14.45" customHeight="1" x14ac:dyDescent="0.25">
      <c r="A1245" s="297" t="str">
        <f t="shared" si="19"/>
        <v/>
      </c>
      <c r="B1245" s="460"/>
      <c r="C1245" s="465"/>
      <c r="D1245" s="465"/>
      <c r="E1245" s="465"/>
      <c r="F1245" s="465"/>
      <c r="G1245" s="465"/>
      <c r="H1245" s="292"/>
      <c r="I1245" s="292"/>
      <c r="J1245" s="292"/>
      <c r="K1245" s="292"/>
      <c r="L1245" s="292"/>
      <c r="M1245" s="292"/>
      <c r="N1245" s="292"/>
      <c r="O1245" s="292"/>
      <c r="P1245" s="294"/>
      <c r="Q1245" s="294"/>
      <c r="R1245" s="294"/>
      <c r="S1245" s="294"/>
      <c r="T1245" s="294"/>
      <c r="U1245" s="294"/>
      <c r="V1245" s="431"/>
      <c r="W1245" s="331"/>
      <c r="X1245" s="331"/>
      <c r="Y1245" s="294">
        <f>IF(NFI_Expiration=1,IF($A1245&lt;VLOOKUP(H$5,NFI,5,0),1,0)*Table_NFI[[#This Row],[Hygiene Kit]],Table_NFI[Hygiene Kit])</f>
        <v>0</v>
      </c>
      <c r="Z1245" s="294">
        <f>IF(NFI_Expiration=1,IF($A1245&lt;VLOOKUP(I$5,NFI,5,0),1,0)*Table_NFI[[#This Row],[NFI Core Kit]],Table_NFI[NFI Core Kit])</f>
        <v>0</v>
      </c>
      <c r="AA1245" s="294">
        <f>IF(NFI_Expiration=1,IF($A1245&lt;VLOOKUP(J$5,NFI,5,0),1,0)*Table_NFI[[#This Row],[Sanitary Kit]],Table_NFI[Sanitary Kit])</f>
        <v>0</v>
      </c>
      <c r="AB1245" s="294">
        <f>IF(NFI_Expiration=1,IF($A1245&lt;VLOOKUP(K$5,NFI,5,0),1,0)*Table_NFI[[#This Row],[Mosquito net]],Table_NFI[Mosquito net])</f>
        <v>0</v>
      </c>
      <c r="AC1245" s="294">
        <f>IF(NFI_Expiration=1,IF($A1245&lt;VLOOKUP(L$5,NFI,5,0),1,0)*Table_NFI[[#This Row],[Tarpaulin]],Table_NFI[[#This Row],[Tarpaulin]])</f>
        <v>0</v>
      </c>
      <c r="AD1245" s="294">
        <f>IF(NFI_Expiration=1,IF($A1245&lt;VLOOKUP(M$5,NFI,5,0),1,0)*Table_NFI[[#This Row],[Blanket]],Table_NFI[[#This Row],[Blanket]])</f>
        <v>0</v>
      </c>
      <c r="AE1245" s="294">
        <f>IF(NFI_Expiration=1,IF($A1245&lt;VLOOKUP(N$5,NFI,5,0),1,0)*Table_NFI[[#This Row],[Kitchen Set]],Table_NFI[Kitchen Set])</f>
        <v>0</v>
      </c>
      <c r="AF1245" s="294">
        <f>IF(NFI_Expiration=1,IF($A1245&lt;VLOOKUP(O$5,NFI,5,0),1,0)*Table_NFI[[#This Row],[Clothes Kit]],Table_NFI[Clothes Kit])</f>
        <v>0</v>
      </c>
      <c r="AG1245" s="294">
        <f>IF(NFI_Expiration=1,IF($A1245&lt;VLOOKUP(P$5,NFI,5,0),1,0)*Table_NFI[[#This Row],[Plastic Bucket]],Table_NFI[Plastic Bucket])</f>
        <v>0</v>
      </c>
      <c r="AH1245" s="294">
        <f>IF(NFI_Expiration=1,IF($A1245&lt;VLOOKUP(Q$5,NFI,5,0),1,0)*Table_NFI[[#This Row],[Plastic Mat]],Table_NFI[Plastic Mat])*IF(Table_NFI[[#This Row],[Distribution Date]]&gt;"2014-04-01",1,2.5)</f>
        <v>0</v>
      </c>
      <c r="AI1245" s="294">
        <f>IF(NFI_Expiration=1,IF($A1245&lt;VLOOKUP(R$5,NFI,5,0),1,0)*Table_NFI[[#This Row],[Winter Clothes Adult]],Table_NFI[Winter Clothes Adult])</f>
        <v>0</v>
      </c>
      <c r="AJ1245" s="294">
        <f>IF(NFI_Expiration=1,IF($A1245&lt;VLOOKUP(S$5,NFI,5,0),1,0)*Table_NFI[[#This Row],[Winter Clothes Children]],Table_NFI[Winter Clothes Children])</f>
        <v>0</v>
      </c>
      <c r="AK1245" s="294">
        <f>IF(NFI_Expiration=1,IF($A1245&lt;VLOOKUP(T$5,NFI,5,0),1,0)*Table_NFI[[#This Row],[Winter Items Other]],Table_NFI[Winter Items Other])</f>
        <v>0</v>
      </c>
      <c r="AL1245" s="294">
        <f>IF(NFI_Expiration=1,IF($A1245&lt;VLOOKUP(M$5,NFI,5,0),1,0)*Table_NFI[[#This Row],[Winter Blanket]],Table_NFI[[#This Row],[Winter Blanket]])</f>
        <v>0</v>
      </c>
      <c r="AM1245" s="294">
        <f>IF(Table_NFI[[#This Row],[Winter Clothes Adult]]+Table_NFI[[#This Row],[Winter Clothes Children]]+Table_NFI[[#This Row],[Winter Items Other]]+Table_NFI[[#This Row],[Winter Blanket]]&gt;0,1,0)</f>
        <v>0</v>
      </c>
      <c r="AN1245" s="331">
        <f>IF(NFI_Expiration=1,IF($A1245&lt;VLOOKUP(V$5,NFI,5,0),1,0)*Table_NFI[[#This Row],[Jerry Can]],Table_NFI[Jerry Can])</f>
        <v>0</v>
      </c>
      <c r="AO1245" s="331">
        <f>IF(NFI_Expiration=1,IF($A1245&lt;VLOOKUP(V$5,NFI,5,0),1,0)*Table_NFI[[#This Row],[Shelter Tool kit]],Table_NFI[Shelter Tool kit])</f>
        <v>0</v>
      </c>
      <c r="AP1245" s="331">
        <f>IF(NFI_Expiration=1,IF($A1245&lt;VLOOKUP(V$5,NFI,5,0),1,0)*Table_NFI[[#This Row],[Tent]],Table_NFI[Tent])</f>
        <v>0</v>
      </c>
      <c r="AQ1245" s="467" t="str">
        <f>IFERROR(VLOOKUP(Table_NFI[[#This Row],[Camp Name]],CL,2,0),"")</f>
        <v/>
      </c>
      <c r="AR1245" s="835" t="str">
        <f ca="1">IF(Table_NFI[[#This Row],[Pcode]]="","",IF(OFFSET(CampList[Opening Date],MATCH(Table_NFI[[#This Row],[Pcode]],CampList[CP_Pcode],0)-1,0,1,1)&gt;=NFI_Monitor_Date,1,0))</f>
        <v/>
      </c>
      <c r="AS1245" s="467" t="str">
        <f>IFERROR(VLOOKUP(Table_NFI[[#This Row],[Camp Name]],CL,3,0),"")</f>
        <v/>
      </c>
      <c r="AT1245" s="294" t="str">
        <f ca="1">IF(Table_NFI[[#This Row],[Pcode]]="","",OFFSET(CampList[Priority],MATCH(Table_NFI[[#This Row],[Pcode]],CampList[CP_Pcode],0)-1,0,1,1))</f>
        <v/>
      </c>
      <c r="AU1245" s="293" t="str">
        <f>IFERROR(Table_NFI[[#This Row],[Kitchen Set]]/VLOOKUP(Table_NFI[[#This Row],[Camp Name]],CL,4,0),"")</f>
        <v/>
      </c>
      <c r="AV1245" s="465"/>
      <c r="AW1245" s="468"/>
    </row>
    <row r="1246" spans="1:49" ht="14.45" customHeight="1" x14ac:dyDescent="0.25">
      <c r="A1246" s="297" t="str">
        <f t="shared" si="19"/>
        <v/>
      </c>
      <c r="B1246" s="460"/>
      <c r="C1246" s="465"/>
      <c r="D1246" s="465"/>
      <c r="E1246" s="465"/>
      <c r="F1246" s="465"/>
      <c r="G1246" s="465"/>
      <c r="H1246" s="292"/>
      <c r="I1246" s="292"/>
      <c r="J1246" s="292"/>
      <c r="K1246" s="292"/>
      <c r="L1246" s="292"/>
      <c r="M1246" s="292"/>
      <c r="N1246" s="292"/>
      <c r="O1246" s="292"/>
      <c r="P1246" s="294"/>
      <c r="Q1246" s="294"/>
      <c r="R1246" s="294"/>
      <c r="S1246" s="294"/>
      <c r="T1246" s="294"/>
      <c r="U1246" s="294"/>
      <c r="V1246" s="431"/>
      <c r="W1246" s="331"/>
      <c r="X1246" s="331"/>
      <c r="Y1246" s="294">
        <f>IF(NFI_Expiration=1,IF($A1246&lt;VLOOKUP(H$5,NFI,5,0),1,0)*Table_NFI[[#This Row],[Hygiene Kit]],Table_NFI[Hygiene Kit])</f>
        <v>0</v>
      </c>
      <c r="Z1246" s="294">
        <f>IF(NFI_Expiration=1,IF($A1246&lt;VLOOKUP(I$5,NFI,5,0),1,0)*Table_NFI[[#This Row],[NFI Core Kit]],Table_NFI[NFI Core Kit])</f>
        <v>0</v>
      </c>
      <c r="AA1246" s="294">
        <f>IF(NFI_Expiration=1,IF($A1246&lt;VLOOKUP(J$5,NFI,5,0),1,0)*Table_NFI[[#This Row],[Sanitary Kit]],Table_NFI[Sanitary Kit])</f>
        <v>0</v>
      </c>
      <c r="AB1246" s="294">
        <f>IF(NFI_Expiration=1,IF($A1246&lt;VLOOKUP(K$5,NFI,5,0),1,0)*Table_NFI[[#This Row],[Mosquito net]],Table_NFI[Mosquito net])</f>
        <v>0</v>
      </c>
      <c r="AC1246" s="294">
        <f>IF(NFI_Expiration=1,IF($A1246&lt;VLOOKUP(L$5,NFI,5,0),1,0)*Table_NFI[[#This Row],[Tarpaulin]],Table_NFI[[#This Row],[Tarpaulin]])</f>
        <v>0</v>
      </c>
      <c r="AD1246" s="294">
        <f>IF(NFI_Expiration=1,IF($A1246&lt;VLOOKUP(M$5,NFI,5,0),1,0)*Table_NFI[[#This Row],[Blanket]],Table_NFI[[#This Row],[Blanket]])</f>
        <v>0</v>
      </c>
      <c r="AE1246" s="294">
        <f>IF(NFI_Expiration=1,IF($A1246&lt;VLOOKUP(N$5,NFI,5,0),1,0)*Table_NFI[[#This Row],[Kitchen Set]],Table_NFI[Kitchen Set])</f>
        <v>0</v>
      </c>
      <c r="AF1246" s="294">
        <f>IF(NFI_Expiration=1,IF($A1246&lt;VLOOKUP(O$5,NFI,5,0),1,0)*Table_NFI[[#This Row],[Clothes Kit]],Table_NFI[Clothes Kit])</f>
        <v>0</v>
      </c>
      <c r="AG1246" s="294">
        <f>IF(NFI_Expiration=1,IF($A1246&lt;VLOOKUP(P$5,NFI,5,0),1,0)*Table_NFI[[#This Row],[Plastic Bucket]],Table_NFI[Plastic Bucket])</f>
        <v>0</v>
      </c>
      <c r="AH1246" s="294">
        <f>IF(NFI_Expiration=1,IF($A1246&lt;VLOOKUP(Q$5,NFI,5,0),1,0)*Table_NFI[[#This Row],[Plastic Mat]],Table_NFI[Plastic Mat])*IF(Table_NFI[[#This Row],[Distribution Date]]&gt;"2014-04-01",1,2.5)</f>
        <v>0</v>
      </c>
      <c r="AI1246" s="294">
        <f>IF(NFI_Expiration=1,IF($A1246&lt;VLOOKUP(R$5,NFI,5,0),1,0)*Table_NFI[[#This Row],[Winter Clothes Adult]],Table_NFI[Winter Clothes Adult])</f>
        <v>0</v>
      </c>
      <c r="AJ1246" s="294">
        <f>IF(NFI_Expiration=1,IF($A1246&lt;VLOOKUP(S$5,NFI,5,0),1,0)*Table_NFI[[#This Row],[Winter Clothes Children]],Table_NFI[Winter Clothes Children])</f>
        <v>0</v>
      </c>
      <c r="AK1246" s="294">
        <f>IF(NFI_Expiration=1,IF($A1246&lt;VLOOKUP(T$5,NFI,5,0),1,0)*Table_NFI[[#This Row],[Winter Items Other]],Table_NFI[Winter Items Other])</f>
        <v>0</v>
      </c>
      <c r="AL1246" s="294">
        <f>IF(NFI_Expiration=1,IF($A1246&lt;VLOOKUP(M$5,NFI,5,0),1,0)*Table_NFI[[#This Row],[Winter Blanket]],Table_NFI[[#This Row],[Winter Blanket]])</f>
        <v>0</v>
      </c>
      <c r="AM1246" s="294">
        <f>IF(Table_NFI[[#This Row],[Winter Clothes Adult]]+Table_NFI[[#This Row],[Winter Clothes Children]]+Table_NFI[[#This Row],[Winter Items Other]]+Table_NFI[[#This Row],[Winter Blanket]]&gt;0,1,0)</f>
        <v>0</v>
      </c>
      <c r="AN1246" s="331">
        <f>IF(NFI_Expiration=1,IF($A1246&lt;VLOOKUP(V$5,NFI,5,0),1,0)*Table_NFI[[#This Row],[Jerry Can]],Table_NFI[Jerry Can])</f>
        <v>0</v>
      </c>
      <c r="AO1246" s="331">
        <f>IF(NFI_Expiration=1,IF($A1246&lt;VLOOKUP(V$5,NFI,5,0),1,0)*Table_NFI[[#This Row],[Shelter Tool kit]],Table_NFI[Shelter Tool kit])</f>
        <v>0</v>
      </c>
      <c r="AP1246" s="331">
        <f>IF(NFI_Expiration=1,IF($A1246&lt;VLOOKUP(V$5,NFI,5,0),1,0)*Table_NFI[[#This Row],[Tent]],Table_NFI[Tent])</f>
        <v>0</v>
      </c>
      <c r="AQ1246" s="467" t="str">
        <f>IFERROR(VLOOKUP(Table_NFI[[#This Row],[Camp Name]],CL,2,0),"")</f>
        <v/>
      </c>
      <c r="AR1246" s="835" t="str">
        <f ca="1">IF(Table_NFI[[#This Row],[Pcode]]="","",IF(OFFSET(CampList[Opening Date],MATCH(Table_NFI[[#This Row],[Pcode]],CampList[CP_Pcode],0)-1,0,1,1)&gt;=NFI_Monitor_Date,1,0))</f>
        <v/>
      </c>
      <c r="AS1246" s="467" t="str">
        <f>IFERROR(VLOOKUP(Table_NFI[[#This Row],[Camp Name]],CL,3,0),"")</f>
        <v/>
      </c>
      <c r="AT1246" s="294" t="str">
        <f ca="1">IF(Table_NFI[[#This Row],[Pcode]]="","",OFFSET(CampList[Priority],MATCH(Table_NFI[[#This Row],[Pcode]],CampList[CP_Pcode],0)-1,0,1,1))</f>
        <v/>
      </c>
      <c r="AU1246" s="293" t="str">
        <f>IFERROR(Table_NFI[[#This Row],[Kitchen Set]]/VLOOKUP(Table_NFI[[#This Row],[Camp Name]],CL,4,0),"")</f>
        <v/>
      </c>
      <c r="AV1246" s="465"/>
      <c r="AW1246" s="468"/>
    </row>
    <row r="1247" spans="1:49" ht="14.45" customHeight="1" x14ac:dyDescent="0.25">
      <c r="A1247" s="297" t="str">
        <f t="shared" si="19"/>
        <v/>
      </c>
      <c r="B1247" s="460"/>
      <c r="C1247" s="465"/>
      <c r="D1247" s="465"/>
      <c r="E1247" s="465"/>
      <c r="F1247" s="465"/>
      <c r="G1247" s="465"/>
      <c r="H1247" s="292"/>
      <c r="I1247" s="292"/>
      <c r="J1247" s="292"/>
      <c r="K1247" s="292"/>
      <c r="L1247" s="292"/>
      <c r="M1247" s="292"/>
      <c r="N1247" s="292"/>
      <c r="O1247" s="292"/>
      <c r="P1247" s="294"/>
      <c r="Q1247" s="294"/>
      <c r="R1247" s="294"/>
      <c r="S1247" s="294"/>
      <c r="T1247" s="294"/>
      <c r="U1247" s="294"/>
      <c r="V1247" s="431"/>
      <c r="W1247" s="331"/>
      <c r="X1247" s="331"/>
      <c r="Y1247" s="294">
        <f>IF(NFI_Expiration=1,IF($A1247&lt;VLOOKUP(H$5,NFI,5,0),1,0)*Table_NFI[[#This Row],[Hygiene Kit]],Table_NFI[Hygiene Kit])</f>
        <v>0</v>
      </c>
      <c r="Z1247" s="294">
        <f>IF(NFI_Expiration=1,IF($A1247&lt;VLOOKUP(I$5,NFI,5,0),1,0)*Table_NFI[[#This Row],[NFI Core Kit]],Table_NFI[NFI Core Kit])</f>
        <v>0</v>
      </c>
      <c r="AA1247" s="294">
        <f>IF(NFI_Expiration=1,IF($A1247&lt;VLOOKUP(J$5,NFI,5,0),1,0)*Table_NFI[[#This Row],[Sanitary Kit]],Table_NFI[Sanitary Kit])</f>
        <v>0</v>
      </c>
      <c r="AB1247" s="294">
        <f>IF(NFI_Expiration=1,IF($A1247&lt;VLOOKUP(K$5,NFI,5,0),1,0)*Table_NFI[[#This Row],[Mosquito net]],Table_NFI[Mosquito net])</f>
        <v>0</v>
      </c>
      <c r="AC1247" s="294">
        <f>IF(NFI_Expiration=1,IF($A1247&lt;VLOOKUP(L$5,NFI,5,0),1,0)*Table_NFI[[#This Row],[Tarpaulin]],Table_NFI[[#This Row],[Tarpaulin]])</f>
        <v>0</v>
      </c>
      <c r="AD1247" s="294">
        <f>IF(NFI_Expiration=1,IF($A1247&lt;VLOOKUP(M$5,NFI,5,0),1,0)*Table_NFI[[#This Row],[Blanket]],Table_NFI[[#This Row],[Blanket]])</f>
        <v>0</v>
      </c>
      <c r="AE1247" s="294">
        <f>IF(NFI_Expiration=1,IF($A1247&lt;VLOOKUP(N$5,NFI,5,0),1,0)*Table_NFI[[#This Row],[Kitchen Set]],Table_NFI[Kitchen Set])</f>
        <v>0</v>
      </c>
      <c r="AF1247" s="294">
        <f>IF(NFI_Expiration=1,IF($A1247&lt;VLOOKUP(O$5,NFI,5,0),1,0)*Table_NFI[[#This Row],[Clothes Kit]],Table_NFI[Clothes Kit])</f>
        <v>0</v>
      </c>
      <c r="AG1247" s="294">
        <f>IF(NFI_Expiration=1,IF($A1247&lt;VLOOKUP(P$5,NFI,5,0),1,0)*Table_NFI[[#This Row],[Plastic Bucket]],Table_NFI[Plastic Bucket])</f>
        <v>0</v>
      </c>
      <c r="AH1247" s="294">
        <f>IF(NFI_Expiration=1,IF($A1247&lt;VLOOKUP(Q$5,NFI,5,0),1,0)*Table_NFI[[#This Row],[Plastic Mat]],Table_NFI[Plastic Mat])*IF(Table_NFI[[#This Row],[Distribution Date]]&gt;"2014-04-01",1,2.5)</f>
        <v>0</v>
      </c>
      <c r="AI1247" s="294">
        <f>IF(NFI_Expiration=1,IF($A1247&lt;VLOOKUP(R$5,NFI,5,0),1,0)*Table_NFI[[#This Row],[Winter Clothes Adult]],Table_NFI[Winter Clothes Adult])</f>
        <v>0</v>
      </c>
      <c r="AJ1247" s="294">
        <f>IF(NFI_Expiration=1,IF($A1247&lt;VLOOKUP(S$5,NFI,5,0),1,0)*Table_NFI[[#This Row],[Winter Clothes Children]],Table_NFI[Winter Clothes Children])</f>
        <v>0</v>
      </c>
      <c r="AK1247" s="294">
        <f>IF(NFI_Expiration=1,IF($A1247&lt;VLOOKUP(T$5,NFI,5,0),1,0)*Table_NFI[[#This Row],[Winter Items Other]],Table_NFI[Winter Items Other])</f>
        <v>0</v>
      </c>
      <c r="AL1247" s="294">
        <f>IF(NFI_Expiration=1,IF($A1247&lt;VLOOKUP(M$5,NFI,5,0),1,0)*Table_NFI[[#This Row],[Winter Blanket]],Table_NFI[[#This Row],[Winter Blanket]])</f>
        <v>0</v>
      </c>
      <c r="AM1247" s="294">
        <f>IF(Table_NFI[[#This Row],[Winter Clothes Adult]]+Table_NFI[[#This Row],[Winter Clothes Children]]+Table_NFI[[#This Row],[Winter Items Other]]+Table_NFI[[#This Row],[Winter Blanket]]&gt;0,1,0)</f>
        <v>0</v>
      </c>
      <c r="AN1247" s="331">
        <f>IF(NFI_Expiration=1,IF($A1247&lt;VLOOKUP(V$5,NFI,5,0),1,0)*Table_NFI[[#This Row],[Jerry Can]],Table_NFI[Jerry Can])</f>
        <v>0</v>
      </c>
      <c r="AO1247" s="331">
        <f>IF(NFI_Expiration=1,IF($A1247&lt;VLOOKUP(V$5,NFI,5,0),1,0)*Table_NFI[[#This Row],[Shelter Tool kit]],Table_NFI[Shelter Tool kit])</f>
        <v>0</v>
      </c>
      <c r="AP1247" s="331">
        <f>IF(NFI_Expiration=1,IF($A1247&lt;VLOOKUP(V$5,NFI,5,0),1,0)*Table_NFI[[#This Row],[Tent]],Table_NFI[Tent])</f>
        <v>0</v>
      </c>
      <c r="AQ1247" s="467" t="str">
        <f>IFERROR(VLOOKUP(Table_NFI[[#This Row],[Camp Name]],CL,2,0),"")</f>
        <v/>
      </c>
      <c r="AR1247" s="835" t="str">
        <f ca="1">IF(Table_NFI[[#This Row],[Pcode]]="","",IF(OFFSET(CampList[Opening Date],MATCH(Table_NFI[[#This Row],[Pcode]],CampList[CP_Pcode],0)-1,0,1,1)&gt;=NFI_Monitor_Date,1,0))</f>
        <v/>
      </c>
      <c r="AS1247" s="467" t="str">
        <f>IFERROR(VLOOKUP(Table_NFI[[#This Row],[Camp Name]],CL,3,0),"")</f>
        <v/>
      </c>
      <c r="AT1247" s="294" t="str">
        <f ca="1">IF(Table_NFI[[#This Row],[Pcode]]="","",OFFSET(CampList[Priority],MATCH(Table_NFI[[#This Row],[Pcode]],CampList[CP_Pcode],0)-1,0,1,1))</f>
        <v/>
      </c>
      <c r="AU1247" s="293" t="str">
        <f>IFERROR(Table_NFI[[#This Row],[Kitchen Set]]/VLOOKUP(Table_NFI[[#This Row],[Camp Name]],CL,4,0),"")</f>
        <v/>
      </c>
      <c r="AV1247" s="465"/>
      <c r="AW1247" s="468"/>
    </row>
    <row r="1248" spans="1:49" ht="14.45" customHeight="1" x14ac:dyDescent="0.25">
      <c r="A1248" s="297" t="str">
        <f t="shared" si="19"/>
        <v/>
      </c>
      <c r="B1248" s="460"/>
      <c r="C1248" s="465"/>
      <c r="D1248" s="465"/>
      <c r="E1248" s="465"/>
      <c r="F1248" s="465"/>
      <c r="G1248" s="465"/>
      <c r="H1248" s="292"/>
      <c r="I1248" s="292"/>
      <c r="J1248" s="292"/>
      <c r="K1248" s="292"/>
      <c r="L1248" s="292"/>
      <c r="M1248" s="292"/>
      <c r="N1248" s="292"/>
      <c r="O1248" s="292"/>
      <c r="P1248" s="294"/>
      <c r="Q1248" s="294"/>
      <c r="R1248" s="294"/>
      <c r="S1248" s="294"/>
      <c r="T1248" s="294"/>
      <c r="U1248" s="294"/>
      <c r="V1248" s="431"/>
      <c r="W1248" s="331"/>
      <c r="X1248" s="331"/>
      <c r="Y1248" s="294">
        <f>IF(NFI_Expiration=1,IF($A1248&lt;VLOOKUP(H$5,NFI,5,0),1,0)*Table_NFI[[#This Row],[Hygiene Kit]],Table_NFI[Hygiene Kit])</f>
        <v>0</v>
      </c>
      <c r="Z1248" s="294">
        <f>IF(NFI_Expiration=1,IF($A1248&lt;VLOOKUP(I$5,NFI,5,0),1,0)*Table_NFI[[#This Row],[NFI Core Kit]],Table_NFI[NFI Core Kit])</f>
        <v>0</v>
      </c>
      <c r="AA1248" s="294">
        <f>IF(NFI_Expiration=1,IF($A1248&lt;VLOOKUP(J$5,NFI,5,0),1,0)*Table_NFI[[#This Row],[Sanitary Kit]],Table_NFI[Sanitary Kit])</f>
        <v>0</v>
      </c>
      <c r="AB1248" s="294">
        <f>IF(NFI_Expiration=1,IF($A1248&lt;VLOOKUP(K$5,NFI,5,0),1,0)*Table_NFI[[#This Row],[Mosquito net]],Table_NFI[Mosquito net])</f>
        <v>0</v>
      </c>
      <c r="AC1248" s="294">
        <f>IF(NFI_Expiration=1,IF($A1248&lt;VLOOKUP(L$5,NFI,5,0),1,0)*Table_NFI[[#This Row],[Tarpaulin]],Table_NFI[[#This Row],[Tarpaulin]])</f>
        <v>0</v>
      </c>
      <c r="AD1248" s="294">
        <f>IF(NFI_Expiration=1,IF($A1248&lt;VLOOKUP(M$5,NFI,5,0),1,0)*Table_NFI[[#This Row],[Blanket]],Table_NFI[[#This Row],[Blanket]])</f>
        <v>0</v>
      </c>
      <c r="AE1248" s="294">
        <f>IF(NFI_Expiration=1,IF($A1248&lt;VLOOKUP(N$5,NFI,5,0),1,0)*Table_NFI[[#This Row],[Kitchen Set]],Table_NFI[Kitchen Set])</f>
        <v>0</v>
      </c>
      <c r="AF1248" s="294">
        <f>IF(NFI_Expiration=1,IF($A1248&lt;VLOOKUP(O$5,NFI,5,0),1,0)*Table_NFI[[#This Row],[Clothes Kit]],Table_NFI[Clothes Kit])</f>
        <v>0</v>
      </c>
      <c r="AG1248" s="294">
        <f>IF(NFI_Expiration=1,IF($A1248&lt;VLOOKUP(P$5,NFI,5,0),1,0)*Table_NFI[[#This Row],[Plastic Bucket]],Table_NFI[Plastic Bucket])</f>
        <v>0</v>
      </c>
      <c r="AH1248" s="294">
        <f>IF(NFI_Expiration=1,IF($A1248&lt;VLOOKUP(Q$5,NFI,5,0),1,0)*Table_NFI[[#This Row],[Plastic Mat]],Table_NFI[Plastic Mat])*IF(Table_NFI[[#This Row],[Distribution Date]]&gt;"2014-04-01",1,2.5)</f>
        <v>0</v>
      </c>
      <c r="AI1248" s="294">
        <f>IF(NFI_Expiration=1,IF($A1248&lt;VLOOKUP(R$5,NFI,5,0),1,0)*Table_NFI[[#This Row],[Winter Clothes Adult]],Table_NFI[Winter Clothes Adult])</f>
        <v>0</v>
      </c>
      <c r="AJ1248" s="294">
        <f>IF(NFI_Expiration=1,IF($A1248&lt;VLOOKUP(S$5,NFI,5,0),1,0)*Table_NFI[[#This Row],[Winter Clothes Children]],Table_NFI[Winter Clothes Children])</f>
        <v>0</v>
      </c>
      <c r="AK1248" s="294">
        <f>IF(NFI_Expiration=1,IF($A1248&lt;VLOOKUP(T$5,NFI,5,0),1,0)*Table_NFI[[#This Row],[Winter Items Other]],Table_NFI[Winter Items Other])</f>
        <v>0</v>
      </c>
      <c r="AL1248" s="294">
        <f>IF(NFI_Expiration=1,IF($A1248&lt;VLOOKUP(M$5,NFI,5,0),1,0)*Table_NFI[[#This Row],[Winter Blanket]],Table_NFI[[#This Row],[Winter Blanket]])</f>
        <v>0</v>
      </c>
      <c r="AM1248" s="294">
        <f>IF(Table_NFI[[#This Row],[Winter Clothes Adult]]+Table_NFI[[#This Row],[Winter Clothes Children]]+Table_NFI[[#This Row],[Winter Items Other]]+Table_NFI[[#This Row],[Winter Blanket]]&gt;0,1,0)</f>
        <v>0</v>
      </c>
      <c r="AN1248" s="331">
        <f>IF(NFI_Expiration=1,IF($A1248&lt;VLOOKUP(V$5,NFI,5,0),1,0)*Table_NFI[[#This Row],[Jerry Can]],Table_NFI[Jerry Can])</f>
        <v>0</v>
      </c>
      <c r="AO1248" s="331">
        <f>IF(NFI_Expiration=1,IF($A1248&lt;VLOOKUP(V$5,NFI,5,0),1,0)*Table_NFI[[#This Row],[Shelter Tool kit]],Table_NFI[Shelter Tool kit])</f>
        <v>0</v>
      </c>
      <c r="AP1248" s="331">
        <f>IF(NFI_Expiration=1,IF($A1248&lt;VLOOKUP(V$5,NFI,5,0),1,0)*Table_NFI[[#This Row],[Tent]],Table_NFI[Tent])</f>
        <v>0</v>
      </c>
      <c r="AQ1248" s="467" t="str">
        <f>IFERROR(VLOOKUP(Table_NFI[[#This Row],[Camp Name]],CL,2,0),"")</f>
        <v/>
      </c>
      <c r="AR1248" s="835" t="str">
        <f ca="1">IF(Table_NFI[[#This Row],[Pcode]]="","",IF(OFFSET(CampList[Opening Date],MATCH(Table_NFI[[#This Row],[Pcode]],CampList[CP_Pcode],0)-1,0,1,1)&gt;=NFI_Monitor_Date,1,0))</f>
        <v/>
      </c>
      <c r="AS1248" s="467" t="str">
        <f>IFERROR(VLOOKUP(Table_NFI[[#This Row],[Camp Name]],CL,3,0),"")</f>
        <v/>
      </c>
      <c r="AT1248" s="294" t="str">
        <f ca="1">IF(Table_NFI[[#This Row],[Pcode]]="","",OFFSET(CampList[Priority],MATCH(Table_NFI[[#This Row],[Pcode]],CampList[CP_Pcode],0)-1,0,1,1))</f>
        <v/>
      </c>
      <c r="AU1248" s="293" t="str">
        <f>IFERROR(Table_NFI[[#This Row],[Kitchen Set]]/VLOOKUP(Table_NFI[[#This Row],[Camp Name]],CL,4,0),"")</f>
        <v/>
      </c>
      <c r="AV1248" s="465"/>
      <c r="AW1248" s="468"/>
    </row>
    <row r="1249" spans="1:49" ht="14.45" customHeight="1" x14ac:dyDescent="0.25">
      <c r="A1249" s="297" t="str">
        <f t="shared" si="19"/>
        <v/>
      </c>
      <c r="B1249" s="460"/>
      <c r="C1249" s="465"/>
      <c r="D1249" s="465"/>
      <c r="E1249" s="465"/>
      <c r="F1249" s="465"/>
      <c r="G1249" s="465"/>
      <c r="H1249" s="292"/>
      <c r="I1249" s="292"/>
      <c r="J1249" s="292"/>
      <c r="K1249" s="292"/>
      <c r="L1249" s="292"/>
      <c r="M1249" s="292"/>
      <c r="N1249" s="292"/>
      <c r="O1249" s="292"/>
      <c r="P1249" s="294"/>
      <c r="Q1249" s="294"/>
      <c r="R1249" s="294"/>
      <c r="S1249" s="294"/>
      <c r="T1249" s="294"/>
      <c r="U1249" s="294"/>
      <c r="V1249" s="431"/>
      <c r="W1249" s="331"/>
      <c r="X1249" s="331"/>
      <c r="Y1249" s="294">
        <f>IF(NFI_Expiration=1,IF($A1249&lt;VLOOKUP(H$5,NFI,5,0),1,0)*Table_NFI[[#This Row],[Hygiene Kit]],Table_NFI[Hygiene Kit])</f>
        <v>0</v>
      </c>
      <c r="Z1249" s="294">
        <f>IF(NFI_Expiration=1,IF($A1249&lt;VLOOKUP(I$5,NFI,5,0),1,0)*Table_NFI[[#This Row],[NFI Core Kit]],Table_NFI[NFI Core Kit])</f>
        <v>0</v>
      </c>
      <c r="AA1249" s="294">
        <f>IF(NFI_Expiration=1,IF($A1249&lt;VLOOKUP(J$5,NFI,5,0),1,0)*Table_NFI[[#This Row],[Sanitary Kit]],Table_NFI[Sanitary Kit])</f>
        <v>0</v>
      </c>
      <c r="AB1249" s="294">
        <f>IF(NFI_Expiration=1,IF($A1249&lt;VLOOKUP(K$5,NFI,5,0),1,0)*Table_NFI[[#This Row],[Mosquito net]],Table_NFI[Mosquito net])</f>
        <v>0</v>
      </c>
      <c r="AC1249" s="294">
        <f>IF(NFI_Expiration=1,IF($A1249&lt;VLOOKUP(L$5,NFI,5,0),1,0)*Table_NFI[[#This Row],[Tarpaulin]],Table_NFI[[#This Row],[Tarpaulin]])</f>
        <v>0</v>
      </c>
      <c r="AD1249" s="294">
        <f>IF(NFI_Expiration=1,IF($A1249&lt;VLOOKUP(M$5,NFI,5,0),1,0)*Table_NFI[[#This Row],[Blanket]],Table_NFI[[#This Row],[Blanket]])</f>
        <v>0</v>
      </c>
      <c r="AE1249" s="294">
        <f>IF(NFI_Expiration=1,IF($A1249&lt;VLOOKUP(N$5,NFI,5,0),1,0)*Table_NFI[[#This Row],[Kitchen Set]],Table_NFI[Kitchen Set])</f>
        <v>0</v>
      </c>
      <c r="AF1249" s="294">
        <f>IF(NFI_Expiration=1,IF($A1249&lt;VLOOKUP(O$5,NFI,5,0),1,0)*Table_NFI[[#This Row],[Clothes Kit]],Table_NFI[Clothes Kit])</f>
        <v>0</v>
      </c>
      <c r="AG1249" s="294">
        <f>IF(NFI_Expiration=1,IF($A1249&lt;VLOOKUP(P$5,NFI,5,0),1,0)*Table_NFI[[#This Row],[Plastic Bucket]],Table_NFI[Plastic Bucket])</f>
        <v>0</v>
      </c>
      <c r="AH1249" s="294">
        <f>IF(NFI_Expiration=1,IF($A1249&lt;VLOOKUP(Q$5,NFI,5,0),1,0)*Table_NFI[[#This Row],[Plastic Mat]],Table_NFI[Plastic Mat])*IF(Table_NFI[[#This Row],[Distribution Date]]&gt;"2014-04-01",1,2.5)</f>
        <v>0</v>
      </c>
      <c r="AI1249" s="294">
        <f>IF(NFI_Expiration=1,IF($A1249&lt;VLOOKUP(R$5,NFI,5,0),1,0)*Table_NFI[[#This Row],[Winter Clothes Adult]],Table_NFI[Winter Clothes Adult])</f>
        <v>0</v>
      </c>
      <c r="AJ1249" s="294">
        <f>IF(NFI_Expiration=1,IF($A1249&lt;VLOOKUP(S$5,NFI,5,0),1,0)*Table_NFI[[#This Row],[Winter Clothes Children]],Table_NFI[Winter Clothes Children])</f>
        <v>0</v>
      </c>
      <c r="AK1249" s="294">
        <f>IF(NFI_Expiration=1,IF($A1249&lt;VLOOKUP(T$5,NFI,5,0),1,0)*Table_NFI[[#This Row],[Winter Items Other]],Table_NFI[Winter Items Other])</f>
        <v>0</v>
      </c>
      <c r="AL1249" s="294">
        <f>IF(NFI_Expiration=1,IF($A1249&lt;VLOOKUP(M$5,NFI,5,0),1,0)*Table_NFI[[#This Row],[Winter Blanket]],Table_NFI[[#This Row],[Winter Blanket]])</f>
        <v>0</v>
      </c>
      <c r="AM1249" s="294">
        <f>IF(Table_NFI[[#This Row],[Winter Clothes Adult]]+Table_NFI[[#This Row],[Winter Clothes Children]]+Table_NFI[[#This Row],[Winter Items Other]]+Table_NFI[[#This Row],[Winter Blanket]]&gt;0,1,0)</f>
        <v>0</v>
      </c>
      <c r="AN1249" s="331">
        <f>IF(NFI_Expiration=1,IF($A1249&lt;VLOOKUP(V$5,NFI,5,0),1,0)*Table_NFI[[#This Row],[Jerry Can]],Table_NFI[Jerry Can])</f>
        <v>0</v>
      </c>
      <c r="AO1249" s="331">
        <f>IF(NFI_Expiration=1,IF($A1249&lt;VLOOKUP(V$5,NFI,5,0),1,0)*Table_NFI[[#This Row],[Shelter Tool kit]],Table_NFI[Shelter Tool kit])</f>
        <v>0</v>
      </c>
      <c r="AP1249" s="331">
        <f>IF(NFI_Expiration=1,IF($A1249&lt;VLOOKUP(V$5,NFI,5,0),1,0)*Table_NFI[[#This Row],[Tent]],Table_NFI[Tent])</f>
        <v>0</v>
      </c>
      <c r="AQ1249" s="467" t="str">
        <f>IFERROR(VLOOKUP(Table_NFI[[#This Row],[Camp Name]],CL,2,0),"")</f>
        <v/>
      </c>
      <c r="AR1249" s="835" t="str">
        <f ca="1">IF(Table_NFI[[#This Row],[Pcode]]="","",IF(OFFSET(CampList[Opening Date],MATCH(Table_NFI[[#This Row],[Pcode]],CampList[CP_Pcode],0)-1,0,1,1)&gt;=NFI_Monitor_Date,1,0))</f>
        <v/>
      </c>
      <c r="AS1249" s="467" t="str">
        <f>IFERROR(VLOOKUP(Table_NFI[[#This Row],[Camp Name]],CL,3,0),"")</f>
        <v/>
      </c>
      <c r="AT1249" s="294" t="str">
        <f ca="1">IF(Table_NFI[[#This Row],[Pcode]]="","",OFFSET(CampList[Priority],MATCH(Table_NFI[[#This Row],[Pcode]],CampList[CP_Pcode],0)-1,0,1,1))</f>
        <v/>
      </c>
      <c r="AU1249" s="293" t="str">
        <f>IFERROR(Table_NFI[[#This Row],[Kitchen Set]]/VLOOKUP(Table_NFI[[#This Row],[Camp Name]],CL,4,0),"")</f>
        <v/>
      </c>
      <c r="AV1249" s="465"/>
      <c r="AW1249" s="468"/>
    </row>
    <row r="1250" spans="1:49" ht="14.45" customHeight="1" x14ac:dyDescent="0.25">
      <c r="A1250" s="297" t="str">
        <f t="shared" si="19"/>
        <v/>
      </c>
      <c r="B1250" s="460"/>
      <c r="C1250" s="465"/>
      <c r="D1250" s="465"/>
      <c r="E1250" s="465"/>
      <c r="F1250" s="465"/>
      <c r="G1250" s="465"/>
      <c r="H1250" s="292"/>
      <c r="I1250" s="292"/>
      <c r="J1250" s="292"/>
      <c r="K1250" s="292"/>
      <c r="L1250" s="292"/>
      <c r="M1250" s="292"/>
      <c r="N1250" s="292"/>
      <c r="O1250" s="292"/>
      <c r="P1250" s="294"/>
      <c r="Q1250" s="294"/>
      <c r="R1250" s="294"/>
      <c r="S1250" s="294"/>
      <c r="T1250" s="294"/>
      <c r="U1250" s="294"/>
      <c r="V1250" s="431"/>
      <c r="W1250" s="331"/>
      <c r="X1250" s="331"/>
      <c r="Y1250" s="294">
        <f>IF(NFI_Expiration=1,IF($A1250&lt;VLOOKUP(H$5,NFI,5,0),1,0)*Table_NFI[[#This Row],[Hygiene Kit]],Table_NFI[Hygiene Kit])</f>
        <v>0</v>
      </c>
      <c r="Z1250" s="294">
        <f>IF(NFI_Expiration=1,IF($A1250&lt;VLOOKUP(I$5,NFI,5,0),1,0)*Table_NFI[[#This Row],[NFI Core Kit]],Table_NFI[NFI Core Kit])</f>
        <v>0</v>
      </c>
      <c r="AA1250" s="294">
        <f>IF(NFI_Expiration=1,IF($A1250&lt;VLOOKUP(J$5,NFI,5,0),1,0)*Table_NFI[[#This Row],[Sanitary Kit]],Table_NFI[Sanitary Kit])</f>
        <v>0</v>
      </c>
      <c r="AB1250" s="294">
        <f>IF(NFI_Expiration=1,IF($A1250&lt;VLOOKUP(K$5,NFI,5,0),1,0)*Table_NFI[[#This Row],[Mosquito net]],Table_NFI[Mosquito net])</f>
        <v>0</v>
      </c>
      <c r="AC1250" s="294">
        <f>IF(NFI_Expiration=1,IF($A1250&lt;VLOOKUP(L$5,NFI,5,0),1,0)*Table_NFI[[#This Row],[Tarpaulin]],Table_NFI[[#This Row],[Tarpaulin]])</f>
        <v>0</v>
      </c>
      <c r="AD1250" s="294">
        <f>IF(NFI_Expiration=1,IF($A1250&lt;VLOOKUP(M$5,NFI,5,0),1,0)*Table_NFI[[#This Row],[Blanket]],Table_NFI[[#This Row],[Blanket]])</f>
        <v>0</v>
      </c>
      <c r="AE1250" s="294">
        <f>IF(NFI_Expiration=1,IF($A1250&lt;VLOOKUP(N$5,NFI,5,0),1,0)*Table_NFI[[#This Row],[Kitchen Set]],Table_NFI[Kitchen Set])</f>
        <v>0</v>
      </c>
      <c r="AF1250" s="294">
        <f>IF(NFI_Expiration=1,IF($A1250&lt;VLOOKUP(O$5,NFI,5,0),1,0)*Table_NFI[[#This Row],[Clothes Kit]],Table_NFI[Clothes Kit])</f>
        <v>0</v>
      </c>
      <c r="AG1250" s="294">
        <f>IF(NFI_Expiration=1,IF($A1250&lt;VLOOKUP(P$5,NFI,5,0),1,0)*Table_NFI[[#This Row],[Plastic Bucket]],Table_NFI[Plastic Bucket])</f>
        <v>0</v>
      </c>
      <c r="AH1250" s="294">
        <f>IF(NFI_Expiration=1,IF($A1250&lt;VLOOKUP(Q$5,NFI,5,0),1,0)*Table_NFI[[#This Row],[Plastic Mat]],Table_NFI[Plastic Mat])*IF(Table_NFI[[#This Row],[Distribution Date]]&gt;"2014-04-01",1,2.5)</f>
        <v>0</v>
      </c>
      <c r="AI1250" s="294">
        <f>IF(NFI_Expiration=1,IF($A1250&lt;VLOOKUP(R$5,NFI,5,0),1,0)*Table_NFI[[#This Row],[Winter Clothes Adult]],Table_NFI[Winter Clothes Adult])</f>
        <v>0</v>
      </c>
      <c r="AJ1250" s="294">
        <f>IF(NFI_Expiration=1,IF($A1250&lt;VLOOKUP(S$5,NFI,5,0),1,0)*Table_NFI[[#This Row],[Winter Clothes Children]],Table_NFI[Winter Clothes Children])</f>
        <v>0</v>
      </c>
      <c r="AK1250" s="294">
        <f>IF(NFI_Expiration=1,IF($A1250&lt;VLOOKUP(T$5,NFI,5,0),1,0)*Table_NFI[[#This Row],[Winter Items Other]],Table_NFI[Winter Items Other])</f>
        <v>0</v>
      </c>
      <c r="AL1250" s="294">
        <f>IF(NFI_Expiration=1,IF($A1250&lt;VLOOKUP(M$5,NFI,5,0),1,0)*Table_NFI[[#This Row],[Winter Blanket]],Table_NFI[[#This Row],[Winter Blanket]])</f>
        <v>0</v>
      </c>
      <c r="AM1250" s="294">
        <f>IF(Table_NFI[[#This Row],[Winter Clothes Adult]]+Table_NFI[[#This Row],[Winter Clothes Children]]+Table_NFI[[#This Row],[Winter Items Other]]+Table_NFI[[#This Row],[Winter Blanket]]&gt;0,1,0)</f>
        <v>0</v>
      </c>
      <c r="AN1250" s="331">
        <f>IF(NFI_Expiration=1,IF($A1250&lt;VLOOKUP(V$5,NFI,5,0),1,0)*Table_NFI[[#This Row],[Jerry Can]],Table_NFI[Jerry Can])</f>
        <v>0</v>
      </c>
      <c r="AO1250" s="331">
        <f>IF(NFI_Expiration=1,IF($A1250&lt;VLOOKUP(V$5,NFI,5,0),1,0)*Table_NFI[[#This Row],[Shelter Tool kit]],Table_NFI[Shelter Tool kit])</f>
        <v>0</v>
      </c>
      <c r="AP1250" s="331">
        <f>IF(NFI_Expiration=1,IF($A1250&lt;VLOOKUP(V$5,NFI,5,0),1,0)*Table_NFI[[#This Row],[Tent]],Table_NFI[Tent])</f>
        <v>0</v>
      </c>
      <c r="AQ1250" s="467" t="str">
        <f>IFERROR(VLOOKUP(Table_NFI[[#This Row],[Camp Name]],CL,2,0),"")</f>
        <v/>
      </c>
      <c r="AR1250" s="835" t="str">
        <f ca="1">IF(Table_NFI[[#This Row],[Pcode]]="","",IF(OFFSET(CampList[Opening Date],MATCH(Table_NFI[[#This Row],[Pcode]],CampList[CP_Pcode],0)-1,0,1,1)&gt;=NFI_Monitor_Date,1,0))</f>
        <v/>
      </c>
      <c r="AS1250" s="467" t="str">
        <f>IFERROR(VLOOKUP(Table_NFI[[#This Row],[Camp Name]],CL,3,0),"")</f>
        <v/>
      </c>
      <c r="AT1250" s="294" t="str">
        <f ca="1">IF(Table_NFI[[#This Row],[Pcode]]="","",OFFSET(CampList[Priority],MATCH(Table_NFI[[#This Row],[Pcode]],CampList[CP_Pcode],0)-1,0,1,1))</f>
        <v/>
      </c>
      <c r="AU1250" s="293" t="str">
        <f>IFERROR(Table_NFI[[#This Row],[Kitchen Set]]/VLOOKUP(Table_NFI[[#This Row],[Camp Name]],CL,4,0),"")</f>
        <v/>
      </c>
      <c r="AV1250" s="465"/>
      <c r="AW1250" s="468"/>
    </row>
    <row r="1251" spans="1:49" ht="14.45" customHeight="1" x14ac:dyDescent="0.25">
      <c r="A1251" s="297" t="str">
        <f t="shared" si="19"/>
        <v/>
      </c>
      <c r="B1251" s="460"/>
      <c r="C1251" s="465"/>
      <c r="D1251" s="465"/>
      <c r="E1251" s="465"/>
      <c r="F1251" s="465"/>
      <c r="G1251" s="465"/>
      <c r="H1251" s="292"/>
      <c r="I1251" s="292"/>
      <c r="J1251" s="292"/>
      <c r="K1251" s="292"/>
      <c r="L1251" s="292"/>
      <c r="M1251" s="292"/>
      <c r="N1251" s="292"/>
      <c r="O1251" s="292"/>
      <c r="P1251" s="294"/>
      <c r="Q1251" s="294"/>
      <c r="R1251" s="294"/>
      <c r="S1251" s="294"/>
      <c r="T1251" s="294"/>
      <c r="U1251" s="294"/>
      <c r="V1251" s="431"/>
      <c r="W1251" s="331"/>
      <c r="X1251" s="331"/>
      <c r="Y1251" s="294">
        <f>IF(NFI_Expiration=1,IF($A1251&lt;VLOOKUP(H$5,NFI,5,0),1,0)*Table_NFI[[#This Row],[Hygiene Kit]],Table_NFI[Hygiene Kit])</f>
        <v>0</v>
      </c>
      <c r="Z1251" s="294">
        <f>IF(NFI_Expiration=1,IF($A1251&lt;VLOOKUP(I$5,NFI,5,0),1,0)*Table_NFI[[#This Row],[NFI Core Kit]],Table_NFI[NFI Core Kit])</f>
        <v>0</v>
      </c>
      <c r="AA1251" s="294">
        <f>IF(NFI_Expiration=1,IF($A1251&lt;VLOOKUP(J$5,NFI,5,0),1,0)*Table_NFI[[#This Row],[Sanitary Kit]],Table_NFI[Sanitary Kit])</f>
        <v>0</v>
      </c>
      <c r="AB1251" s="294">
        <f>IF(NFI_Expiration=1,IF($A1251&lt;VLOOKUP(K$5,NFI,5,0),1,0)*Table_NFI[[#This Row],[Mosquito net]],Table_NFI[Mosquito net])</f>
        <v>0</v>
      </c>
      <c r="AC1251" s="294">
        <f>IF(NFI_Expiration=1,IF($A1251&lt;VLOOKUP(L$5,NFI,5,0),1,0)*Table_NFI[[#This Row],[Tarpaulin]],Table_NFI[[#This Row],[Tarpaulin]])</f>
        <v>0</v>
      </c>
      <c r="AD1251" s="294">
        <f>IF(NFI_Expiration=1,IF($A1251&lt;VLOOKUP(M$5,NFI,5,0),1,0)*Table_NFI[[#This Row],[Blanket]],Table_NFI[[#This Row],[Blanket]])</f>
        <v>0</v>
      </c>
      <c r="AE1251" s="294">
        <f>IF(NFI_Expiration=1,IF($A1251&lt;VLOOKUP(N$5,NFI,5,0),1,0)*Table_NFI[[#This Row],[Kitchen Set]],Table_NFI[Kitchen Set])</f>
        <v>0</v>
      </c>
      <c r="AF1251" s="294">
        <f>IF(NFI_Expiration=1,IF($A1251&lt;VLOOKUP(O$5,NFI,5,0),1,0)*Table_NFI[[#This Row],[Clothes Kit]],Table_NFI[Clothes Kit])</f>
        <v>0</v>
      </c>
      <c r="AG1251" s="294">
        <f>IF(NFI_Expiration=1,IF($A1251&lt;VLOOKUP(P$5,NFI,5,0),1,0)*Table_NFI[[#This Row],[Plastic Bucket]],Table_NFI[Plastic Bucket])</f>
        <v>0</v>
      </c>
      <c r="AH1251" s="294">
        <f>IF(NFI_Expiration=1,IF($A1251&lt;VLOOKUP(Q$5,NFI,5,0),1,0)*Table_NFI[[#This Row],[Plastic Mat]],Table_NFI[Plastic Mat])*IF(Table_NFI[[#This Row],[Distribution Date]]&gt;"2014-04-01",1,2.5)</f>
        <v>0</v>
      </c>
      <c r="AI1251" s="294">
        <f>IF(NFI_Expiration=1,IF($A1251&lt;VLOOKUP(R$5,NFI,5,0),1,0)*Table_NFI[[#This Row],[Winter Clothes Adult]],Table_NFI[Winter Clothes Adult])</f>
        <v>0</v>
      </c>
      <c r="AJ1251" s="294">
        <f>IF(NFI_Expiration=1,IF($A1251&lt;VLOOKUP(S$5,NFI,5,0),1,0)*Table_NFI[[#This Row],[Winter Clothes Children]],Table_NFI[Winter Clothes Children])</f>
        <v>0</v>
      </c>
      <c r="AK1251" s="294">
        <f>IF(NFI_Expiration=1,IF($A1251&lt;VLOOKUP(T$5,NFI,5,0),1,0)*Table_NFI[[#This Row],[Winter Items Other]],Table_NFI[Winter Items Other])</f>
        <v>0</v>
      </c>
      <c r="AL1251" s="294">
        <f>IF(NFI_Expiration=1,IF($A1251&lt;VLOOKUP(M$5,NFI,5,0),1,0)*Table_NFI[[#This Row],[Winter Blanket]],Table_NFI[[#This Row],[Winter Blanket]])</f>
        <v>0</v>
      </c>
      <c r="AM1251" s="294">
        <f>IF(Table_NFI[[#This Row],[Winter Clothes Adult]]+Table_NFI[[#This Row],[Winter Clothes Children]]+Table_NFI[[#This Row],[Winter Items Other]]+Table_NFI[[#This Row],[Winter Blanket]]&gt;0,1,0)</f>
        <v>0</v>
      </c>
      <c r="AN1251" s="331">
        <f>IF(NFI_Expiration=1,IF($A1251&lt;VLOOKUP(V$5,NFI,5,0),1,0)*Table_NFI[[#This Row],[Jerry Can]],Table_NFI[Jerry Can])</f>
        <v>0</v>
      </c>
      <c r="AO1251" s="331">
        <f>IF(NFI_Expiration=1,IF($A1251&lt;VLOOKUP(V$5,NFI,5,0),1,0)*Table_NFI[[#This Row],[Shelter Tool kit]],Table_NFI[Shelter Tool kit])</f>
        <v>0</v>
      </c>
      <c r="AP1251" s="331">
        <f>IF(NFI_Expiration=1,IF($A1251&lt;VLOOKUP(V$5,NFI,5,0),1,0)*Table_NFI[[#This Row],[Tent]],Table_NFI[Tent])</f>
        <v>0</v>
      </c>
      <c r="AQ1251" s="467" t="str">
        <f>IFERROR(VLOOKUP(Table_NFI[[#This Row],[Camp Name]],CL,2,0),"")</f>
        <v/>
      </c>
      <c r="AR1251" s="835" t="str">
        <f ca="1">IF(Table_NFI[[#This Row],[Pcode]]="","",IF(OFFSET(CampList[Opening Date],MATCH(Table_NFI[[#This Row],[Pcode]],CampList[CP_Pcode],0)-1,0,1,1)&gt;=NFI_Monitor_Date,1,0))</f>
        <v/>
      </c>
      <c r="AS1251" s="467" t="str">
        <f>IFERROR(VLOOKUP(Table_NFI[[#This Row],[Camp Name]],CL,3,0),"")</f>
        <v/>
      </c>
      <c r="AT1251" s="294" t="str">
        <f ca="1">IF(Table_NFI[[#This Row],[Pcode]]="","",OFFSET(CampList[Priority],MATCH(Table_NFI[[#This Row],[Pcode]],CampList[CP_Pcode],0)-1,0,1,1))</f>
        <v/>
      </c>
      <c r="AU1251" s="293" t="str">
        <f>IFERROR(Table_NFI[[#This Row],[Kitchen Set]]/VLOOKUP(Table_NFI[[#This Row],[Camp Name]],CL,4,0),"")</f>
        <v/>
      </c>
      <c r="AV1251" s="465"/>
      <c r="AW1251" s="468"/>
    </row>
    <row r="1252" spans="1:49" ht="14.45" customHeight="1" x14ac:dyDescent="0.25">
      <c r="A1252" s="297" t="str">
        <f t="shared" si="19"/>
        <v/>
      </c>
      <c r="B1252" s="460"/>
      <c r="C1252" s="465"/>
      <c r="D1252" s="465"/>
      <c r="E1252" s="465"/>
      <c r="F1252" s="465"/>
      <c r="G1252" s="465"/>
      <c r="H1252" s="292"/>
      <c r="I1252" s="292"/>
      <c r="J1252" s="292"/>
      <c r="K1252" s="292"/>
      <c r="L1252" s="292"/>
      <c r="M1252" s="292"/>
      <c r="N1252" s="292"/>
      <c r="O1252" s="292"/>
      <c r="P1252" s="294"/>
      <c r="Q1252" s="294"/>
      <c r="R1252" s="294"/>
      <c r="S1252" s="294"/>
      <c r="T1252" s="294"/>
      <c r="U1252" s="294"/>
      <c r="V1252" s="431"/>
      <c r="W1252" s="331"/>
      <c r="X1252" s="331"/>
      <c r="Y1252" s="294">
        <f>IF(NFI_Expiration=1,IF($A1252&lt;VLOOKUP(H$5,NFI,5,0),1,0)*Table_NFI[[#This Row],[Hygiene Kit]],Table_NFI[Hygiene Kit])</f>
        <v>0</v>
      </c>
      <c r="Z1252" s="294">
        <f>IF(NFI_Expiration=1,IF($A1252&lt;VLOOKUP(I$5,NFI,5,0),1,0)*Table_NFI[[#This Row],[NFI Core Kit]],Table_NFI[NFI Core Kit])</f>
        <v>0</v>
      </c>
      <c r="AA1252" s="294">
        <f>IF(NFI_Expiration=1,IF($A1252&lt;VLOOKUP(J$5,NFI,5,0),1,0)*Table_NFI[[#This Row],[Sanitary Kit]],Table_NFI[Sanitary Kit])</f>
        <v>0</v>
      </c>
      <c r="AB1252" s="294">
        <f>IF(NFI_Expiration=1,IF($A1252&lt;VLOOKUP(K$5,NFI,5,0),1,0)*Table_NFI[[#This Row],[Mosquito net]],Table_NFI[Mosquito net])</f>
        <v>0</v>
      </c>
      <c r="AC1252" s="294">
        <f>IF(NFI_Expiration=1,IF($A1252&lt;VLOOKUP(L$5,NFI,5,0),1,0)*Table_NFI[[#This Row],[Tarpaulin]],Table_NFI[[#This Row],[Tarpaulin]])</f>
        <v>0</v>
      </c>
      <c r="AD1252" s="294">
        <f>IF(NFI_Expiration=1,IF($A1252&lt;VLOOKUP(M$5,NFI,5,0),1,0)*Table_NFI[[#This Row],[Blanket]],Table_NFI[[#This Row],[Blanket]])</f>
        <v>0</v>
      </c>
      <c r="AE1252" s="294">
        <f>IF(NFI_Expiration=1,IF($A1252&lt;VLOOKUP(N$5,NFI,5,0),1,0)*Table_NFI[[#This Row],[Kitchen Set]],Table_NFI[Kitchen Set])</f>
        <v>0</v>
      </c>
      <c r="AF1252" s="294">
        <f>IF(NFI_Expiration=1,IF($A1252&lt;VLOOKUP(O$5,NFI,5,0),1,0)*Table_NFI[[#This Row],[Clothes Kit]],Table_NFI[Clothes Kit])</f>
        <v>0</v>
      </c>
      <c r="AG1252" s="294">
        <f>IF(NFI_Expiration=1,IF($A1252&lt;VLOOKUP(P$5,NFI,5,0),1,0)*Table_NFI[[#This Row],[Plastic Bucket]],Table_NFI[Plastic Bucket])</f>
        <v>0</v>
      </c>
      <c r="AH1252" s="294">
        <f>IF(NFI_Expiration=1,IF($A1252&lt;VLOOKUP(Q$5,NFI,5,0),1,0)*Table_NFI[[#This Row],[Plastic Mat]],Table_NFI[Plastic Mat])*IF(Table_NFI[[#This Row],[Distribution Date]]&gt;"2014-04-01",1,2.5)</f>
        <v>0</v>
      </c>
      <c r="AI1252" s="294">
        <f>IF(NFI_Expiration=1,IF($A1252&lt;VLOOKUP(R$5,NFI,5,0),1,0)*Table_NFI[[#This Row],[Winter Clothes Adult]],Table_NFI[Winter Clothes Adult])</f>
        <v>0</v>
      </c>
      <c r="AJ1252" s="294">
        <f>IF(NFI_Expiration=1,IF($A1252&lt;VLOOKUP(S$5,NFI,5,0),1,0)*Table_NFI[[#This Row],[Winter Clothes Children]],Table_NFI[Winter Clothes Children])</f>
        <v>0</v>
      </c>
      <c r="AK1252" s="294">
        <f>IF(NFI_Expiration=1,IF($A1252&lt;VLOOKUP(T$5,NFI,5,0),1,0)*Table_NFI[[#This Row],[Winter Items Other]],Table_NFI[Winter Items Other])</f>
        <v>0</v>
      </c>
      <c r="AL1252" s="294">
        <f>IF(NFI_Expiration=1,IF($A1252&lt;VLOOKUP(M$5,NFI,5,0),1,0)*Table_NFI[[#This Row],[Winter Blanket]],Table_NFI[[#This Row],[Winter Blanket]])</f>
        <v>0</v>
      </c>
      <c r="AM1252" s="294">
        <f>IF(Table_NFI[[#This Row],[Winter Clothes Adult]]+Table_NFI[[#This Row],[Winter Clothes Children]]+Table_NFI[[#This Row],[Winter Items Other]]+Table_NFI[[#This Row],[Winter Blanket]]&gt;0,1,0)</f>
        <v>0</v>
      </c>
      <c r="AN1252" s="331">
        <f>IF(NFI_Expiration=1,IF($A1252&lt;VLOOKUP(V$5,NFI,5,0),1,0)*Table_NFI[[#This Row],[Jerry Can]],Table_NFI[Jerry Can])</f>
        <v>0</v>
      </c>
      <c r="AO1252" s="331">
        <f>IF(NFI_Expiration=1,IF($A1252&lt;VLOOKUP(V$5,NFI,5,0),1,0)*Table_NFI[[#This Row],[Shelter Tool kit]],Table_NFI[Shelter Tool kit])</f>
        <v>0</v>
      </c>
      <c r="AP1252" s="331">
        <f>IF(NFI_Expiration=1,IF($A1252&lt;VLOOKUP(V$5,NFI,5,0),1,0)*Table_NFI[[#This Row],[Tent]],Table_NFI[Tent])</f>
        <v>0</v>
      </c>
      <c r="AQ1252" s="467" t="str">
        <f>IFERROR(VLOOKUP(Table_NFI[[#This Row],[Camp Name]],CL,2,0),"")</f>
        <v/>
      </c>
      <c r="AR1252" s="835" t="str">
        <f ca="1">IF(Table_NFI[[#This Row],[Pcode]]="","",IF(OFFSET(CampList[Opening Date],MATCH(Table_NFI[[#This Row],[Pcode]],CampList[CP_Pcode],0)-1,0,1,1)&gt;=NFI_Monitor_Date,1,0))</f>
        <v/>
      </c>
      <c r="AS1252" s="467" t="str">
        <f>IFERROR(VLOOKUP(Table_NFI[[#This Row],[Camp Name]],CL,3,0),"")</f>
        <v/>
      </c>
      <c r="AT1252" s="294" t="str">
        <f ca="1">IF(Table_NFI[[#This Row],[Pcode]]="","",OFFSET(CampList[Priority],MATCH(Table_NFI[[#This Row],[Pcode]],CampList[CP_Pcode],0)-1,0,1,1))</f>
        <v/>
      </c>
      <c r="AU1252" s="293" t="str">
        <f>IFERROR(Table_NFI[[#This Row],[Kitchen Set]]/VLOOKUP(Table_NFI[[#This Row],[Camp Name]],CL,4,0),"")</f>
        <v/>
      </c>
      <c r="AV1252" s="465"/>
      <c r="AW1252" s="468"/>
    </row>
    <row r="1253" spans="1:49" ht="14.45" customHeight="1" x14ac:dyDescent="0.25">
      <c r="A1253" s="297" t="str">
        <f t="shared" si="19"/>
        <v/>
      </c>
      <c r="B1253" s="460"/>
      <c r="C1253" s="465"/>
      <c r="D1253" s="465"/>
      <c r="E1253" s="465"/>
      <c r="F1253" s="465"/>
      <c r="G1253" s="465"/>
      <c r="H1253" s="292"/>
      <c r="I1253" s="292"/>
      <c r="J1253" s="292"/>
      <c r="K1253" s="292"/>
      <c r="L1253" s="292"/>
      <c r="M1253" s="292"/>
      <c r="N1253" s="292"/>
      <c r="O1253" s="292"/>
      <c r="P1253" s="294"/>
      <c r="Q1253" s="294"/>
      <c r="R1253" s="294"/>
      <c r="S1253" s="294"/>
      <c r="T1253" s="294"/>
      <c r="U1253" s="294"/>
      <c r="V1253" s="431"/>
      <c r="W1253" s="331"/>
      <c r="X1253" s="331"/>
      <c r="Y1253" s="294">
        <f>IF(NFI_Expiration=1,IF($A1253&lt;VLOOKUP(H$5,NFI,5,0),1,0)*Table_NFI[[#This Row],[Hygiene Kit]],Table_NFI[Hygiene Kit])</f>
        <v>0</v>
      </c>
      <c r="Z1253" s="294">
        <f>IF(NFI_Expiration=1,IF($A1253&lt;VLOOKUP(I$5,NFI,5,0),1,0)*Table_NFI[[#This Row],[NFI Core Kit]],Table_NFI[NFI Core Kit])</f>
        <v>0</v>
      </c>
      <c r="AA1253" s="294">
        <f>IF(NFI_Expiration=1,IF($A1253&lt;VLOOKUP(J$5,NFI,5,0),1,0)*Table_NFI[[#This Row],[Sanitary Kit]],Table_NFI[Sanitary Kit])</f>
        <v>0</v>
      </c>
      <c r="AB1253" s="294">
        <f>IF(NFI_Expiration=1,IF($A1253&lt;VLOOKUP(K$5,NFI,5,0),1,0)*Table_NFI[[#This Row],[Mosquito net]],Table_NFI[Mosquito net])</f>
        <v>0</v>
      </c>
      <c r="AC1253" s="294">
        <f>IF(NFI_Expiration=1,IF($A1253&lt;VLOOKUP(L$5,NFI,5,0),1,0)*Table_NFI[[#This Row],[Tarpaulin]],Table_NFI[[#This Row],[Tarpaulin]])</f>
        <v>0</v>
      </c>
      <c r="AD1253" s="294">
        <f>IF(NFI_Expiration=1,IF($A1253&lt;VLOOKUP(M$5,NFI,5,0),1,0)*Table_NFI[[#This Row],[Blanket]],Table_NFI[[#This Row],[Blanket]])</f>
        <v>0</v>
      </c>
      <c r="AE1253" s="294">
        <f>IF(NFI_Expiration=1,IF($A1253&lt;VLOOKUP(N$5,NFI,5,0),1,0)*Table_NFI[[#This Row],[Kitchen Set]],Table_NFI[Kitchen Set])</f>
        <v>0</v>
      </c>
      <c r="AF1253" s="294">
        <f>IF(NFI_Expiration=1,IF($A1253&lt;VLOOKUP(O$5,NFI,5,0),1,0)*Table_NFI[[#This Row],[Clothes Kit]],Table_NFI[Clothes Kit])</f>
        <v>0</v>
      </c>
      <c r="AG1253" s="294">
        <f>IF(NFI_Expiration=1,IF($A1253&lt;VLOOKUP(P$5,NFI,5,0),1,0)*Table_NFI[[#This Row],[Plastic Bucket]],Table_NFI[Plastic Bucket])</f>
        <v>0</v>
      </c>
      <c r="AH1253" s="294">
        <f>IF(NFI_Expiration=1,IF($A1253&lt;VLOOKUP(Q$5,NFI,5,0),1,0)*Table_NFI[[#This Row],[Plastic Mat]],Table_NFI[Plastic Mat])*IF(Table_NFI[[#This Row],[Distribution Date]]&gt;"2014-04-01",1,2.5)</f>
        <v>0</v>
      </c>
      <c r="AI1253" s="294">
        <f>IF(NFI_Expiration=1,IF($A1253&lt;VLOOKUP(R$5,NFI,5,0),1,0)*Table_NFI[[#This Row],[Winter Clothes Adult]],Table_NFI[Winter Clothes Adult])</f>
        <v>0</v>
      </c>
      <c r="AJ1253" s="294">
        <f>IF(NFI_Expiration=1,IF($A1253&lt;VLOOKUP(S$5,NFI,5,0),1,0)*Table_NFI[[#This Row],[Winter Clothes Children]],Table_NFI[Winter Clothes Children])</f>
        <v>0</v>
      </c>
      <c r="AK1253" s="294">
        <f>IF(NFI_Expiration=1,IF($A1253&lt;VLOOKUP(T$5,NFI,5,0),1,0)*Table_NFI[[#This Row],[Winter Items Other]],Table_NFI[Winter Items Other])</f>
        <v>0</v>
      </c>
      <c r="AL1253" s="294">
        <f>IF(NFI_Expiration=1,IF($A1253&lt;VLOOKUP(M$5,NFI,5,0),1,0)*Table_NFI[[#This Row],[Winter Blanket]],Table_NFI[[#This Row],[Winter Blanket]])</f>
        <v>0</v>
      </c>
      <c r="AM1253" s="294">
        <f>IF(Table_NFI[[#This Row],[Winter Clothes Adult]]+Table_NFI[[#This Row],[Winter Clothes Children]]+Table_NFI[[#This Row],[Winter Items Other]]+Table_NFI[[#This Row],[Winter Blanket]]&gt;0,1,0)</f>
        <v>0</v>
      </c>
      <c r="AN1253" s="331">
        <f>IF(NFI_Expiration=1,IF($A1253&lt;VLOOKUP(V$5,NFI,5,0),1,0)*Table_NFI[[#This Row],[Jerry Can]],Table_NFI[Jerry Can])</f>
        <v>0</v>
      </c>
      <c r="AO1253" s="331">
        <f>IF(NFI_Expiration=1,IF($A1253&lt;VLOOKUP(V$5,NFI,5,0),1,0)*Table_NFI[[#This Row],[Shelter Tool kit]],Table_NFI[Shelter Tool kit])</f>
        <v>0</v>
      </c>
      <c r="AP1253" s="331">
        <f>IF(NFI_Expiration=1,IF($A1253&lt;VLOOKUP(V$5,NFI,5,0),1,0)*Table_NFI[[#This Row],[Tent]],Table_NFI[Tent])</f>
        <v>0</v>
      </c>
      <c r="AQ1253" s="467" t="str">
        <f>IFERROR(VLOOKUP(Table_NFI[[#This Row],[Camp Name]],CL,2,0),"")</f>
        <v/>
      </c>
      <c r="AR1253" s="835" t="str">
        <f ca="1">IF(Table_NFI[[#This Row],[Pcode]]="","",IF(OFFSET(CampList[Opening Date],MATCH(Table_NFI[[#This Row],[Pcode]],CampList[CP_Pcode],0)-1,0,1,1)&gt;=NFI_Monitor_Date,1,0))</f>
        <v/>
      </c>
      <c r="AS1253" s="467" t="str">
        <f>IFERROR(VLOOKUP(Table_NFI[[#This Row],[Camp Name]],CL,3,0),"")</f>
        <v/>
      </c>
      <c r="AT1253" s="294" t="str">
        <f ca="1">IF(Table_NFI[[#This Row],[Pcode]]="","",OFFSET(CampList[Priority],MATCH(Table_NFI[[#This Row],[Pcode]],CampList[CP_Pcode],0)-1,0,1,1))</f>
        <v/>
      </c>
      <c r="AU1253" s="293" t="str">
        <f>IFERROR(Table_NFI[[#This Row],[Kitchen Set]]/VLOOKUP(Table_NFI[[#This Row],[Camp Name]],CL,4,0),"")</f>
        <v/>
      </c>
      <c r="AV1253" s="465"/>
      <c r="AW1253" s="468"/>
    </row>
    <row r="1254" spans="1:49" ht="14.45" customHeight="1" x14ac:dyDescent="0.25">
      <c r="A1254" s="297" t="str">
        <f t="shared" si="19"/>
        <v/>
      </c>
      <c r="B1254" s="460"/>
      <c r="C1254" s="465"/>
      <c r="D1254" s="465"/>
      <c r="E1254" s="465"/>
      <c r="F1254" s="465"/>
      <c r="G1254" s="465"/>
      <c r="H1254" s="292"/>
      <c r="I1254" s="292"/>
      <c r="J1254" s="292"/>
      <c r="K1254" s="292"/>
      <c r="L1254" s="292"/>
      <c r="M1254" s="292"/>
      <c r="N1254" s="292"/>
      <c r="O1254" s="292"/>
      <c r="P1254" s="294"/>
      <c r="Q1254" s="294"/>
      <c r="R1254" s="294"/>
      <c r="S1254" s="294"/>
      <c r="T1254" s="294"/>
      <c r="U1254" s="294"/>
      <c r="V1254" s="431"/>
      <c r="W1254" s="331"/>
      <c r="X1254" s="331"/>
      <c r="Y1254" s="294">
        <f>IF(NFI_Expiration=1,IF($A1254&lt;VLOOKUP(H$5,NFI,5,0),1,0)*Table_NFI[[#This Row],[Hygiene Kit]],Table_NFI[Hygiene Kit])</f>
        <v>0</v>
      </c>
      <c r="Z1254" s="294">
        <f>IF(NFI_Expiration=1,IF($A1254&lt;VLOOKUP(I$5,NFI,5,0),1,0)*Table_NFI[[#This Row],[NFI Core Kit]],Table_NFI[NFI Core Kit])</f>
        <v>0</v>
      </c>
      <c r="AA1254" s="294">
        <f>IF(NFI_Expiration=1,IF($A1254&lt;VLOOKUP(J$5,NFI,5,0),1,0)*Table_NFI[[#This Row],[Sanitary Kit]],Table_NFI[Sanitary Kit])</f>
        <v>0</v>
      </c>
      <c r="AB1254" s="294">
        <f>IF(NFI_Expiration=1,IF($A1254&lt;VLOOKUP(K$5,NFI,5,0),1,0)*Table_NFI[[#This Row],[Mosquito net]],Table_NFI[Mosquito net])</f>
        <v>0</v>
      </c>
      <c r="AC1254" s="294">
        <f>IF(NFI_Expiration=1,IF($A1254&lt;VLOOKUP(L$5,NFI,5,0),1,0)*Table_NFI[[#This Row],[Tarpaulin]],Table_NFI[[#This Row],[Tarpaulin]])</f>
        <v>0</v>
      </c>
      <c r="AD1254" s="294">
        <f>IF(NFI_Expiration=1,IF($A1254&lt;VLOOKUP(M$5,NFI,5,0),1,0)*Table_NFI[[#This Row],[Blanket]],Table_NFI[[#This Row],[Blanket]])</f>
        <v>0</v>
      </c>
      <c r="AE1254" s="294">
        <f>IF(NFI_Expiration=1,IF($A1254&lt;VLOOKUP(N$5,NFI,5,0),1,0)*Table_NFI[[#This Row],[Kitchen Set]],Table_NFI[Kitchen Set])</f>
        <v>0</v>
      </c>
      <c r="AF1254" s="294">
        <f>IF(NFI_Expiration=1,IF($A1254&lt;VLOOKUP(O$5,NFI,5,0),1,0)*Table_NFI[[#This Row],[Clothes Kit]],Table_NFI[Clothes Kit])</f>
        <v>0</v>
      </c>
      <c r="AG1254" s="294">
        <f>IF(NFI_Expiration=1,IF($A1254&lt;VLOOKUP(P$5,NFI,5,0),1,0)*Table_NFI[[#This Row],[Plastic Bucket]],Table_NFI[Plastic Bucket])</f>
        <v>0</v>
      </c>
      <c r="AH1254" s="294">
        <f>IF(NFI_Expiration=1,IF($A1254&lt;VLOOKUP(Q$5,NFI,5,0),1,0)*Table_NFI[[#This Row],[Plastic Mat]],Table_NFI[Plastic Mat])*IF(Table_NFI[[#This Row],[Distribution Date]]&gt;"2014-04-01",1,2.5)</f>
        <v>0</v>
      </c>
      <c r="AI1254" s="294">
        <f>IF(NFI_Expiration=1,IF($A1254&lt;VLOOKUP(R$5,NFI,5,0),1,0)*Table_NFI[[#This Row],[Winter Clothes Adult]],Table_NFI[Winter Clothes Adult])</f>
        <v>0</v>
      </c>
      <c r="AJ1254" s="294">
        <f>IF(NFI_Expiration=1,IF($A1254&lt;VLOOKUP(S$5,NFI,5,0),1,0)*Table_NFI[[#This Row],[Winter Clothes Children]],Table_NFI[Winter Clothes Children])</f>
        <v>0</v>
      </c>
      <c r="AK1254" s="294">
        <f>IF(NFI_Expiration=1,IF($A1254&lt;VLOOKUP(T$5,NFI,5,0),1,0)*Table_NFI[[#This Row],[Winter Items Other]],Table_NFI[Winter Items Other])</f>
        <v>0</v>
      </c>
      <c r="AL1254" s="294">
        <f>IF(NFI_Expiration=1,IF($A1254&lt;VLOOKUP(M$5,NFI,5,0),1,0)*Table_NFI[[#This Row],[Winter Blanket]],Table_NFI[[#This Row],[Winter Blanket]])</f>
        <v>0</v>
      </c>
      <c r="AM1254" s="294">
        <f>IF(Table_NFI[[#This Row],[Winter Clothes Adult]]+Table_NFI[[#This Row],[Winter Clothes Children]]+Table_NFI[[#This Row],[Winter Items Other]]+Table_NFI[[#This Row],[Winter Blanket]]&gt;0,1,0)</f>
        <v>0</v>
      </c>
      <c r="AN1254" s="331">
        <f>IF(NFI_Expiration=1,IF($A1254&lt;VLOOKUP(V$5,NFI,5,0),1,0)*Table_NFI[[#This Row],[Jerry Can]],Table_NFI[Jerry Can])</f>
        <v>0</v>
      </c>
      <c r="AO1254" s="331">
        <f>IF(NFI_Expiration=1,IF($A1254&lt;VLOOKUP(V$5,NFI,5,0),1,0)*Table_NFI[[#This Row],[Shelter Tool kit]],Table_NFI[Shelter Tool kit])</f>
        <v>0</v>
      </c>
      <c r="AP1254" s="331">
        <f>IF(NFI_Expiration=1,IF($A1254&lt;VLOOKUP(V$5,NFI,5,0),1,0)*Table_NFI[[#This Row],[Tent]],Table_NFI[Tent])</f>
        <v>0</v>
      </c>
      <c r="AQ1254" s="467" t="str">
        <f>IFERROR(VLOOKUP(Table_NFI[[#This Row],[Camp Name]],CL,2,0),"")</f>
        <v/>
      </c>
      <c r="AR1254" s="835" t="str">
        <f ca="1">IF(Table_NFI[[#This Row],[Pcode]]="","",IF(OFFSET(CampList[Opening Date],MATCH(Table_NFI[[#This Row],[Pcode]],CampList[CP_Pcode],0)-1,0,1,1)&gt;=NFI_Monitor_Date,1,0))</f>
        <v/>
      </c>
      <c r="AS1254" s="467" t="str">
        <f>IFERROR(VLOOKUP(Table_NFI[[#This Row],[Camp Name]],CL,3,0),"")</f>
        <v/>
      </c>
      <c r="AT1254" s="294" t="str">
        <f ca="1">IF(Table_NFI[[#This Row],[Pcode]]="","",OFFSET(CampList[Priority],MATCH(Table_NFI[[#This Row],[Pcode]],CampList[CP_Pcode],0)-1,0,1,1))</f>
        <v/>
      </c>
      <c r="AU1254" s="293" t="str">
        <f>IFERROR(Table_NFI[[#This Row],[Kitchen Set]]/VLOOKUP(Table_NFI[[#This Row],[Camp Name]],CL,4,0),"")</f>
        <v/>
      </c>
      <c r="AV1254" s="465"/>
      <c r="AW1254" s="468"/>
    </row>
    <row r="1255" spans="1:49" ht="14.45" customHeight="1" x14ac:dyDescent="0.25">
      <c r="A1255" s="297" t="str">
        <f t="shared" si="19"/>
        <v/>
      </c>
      <c r="B1255" s="460"/>
      <c r="C1255" s="465"/>
      <c r="D1255" s="465"/>
      <c r="E1255" s="465"/>
      <c r="F1255" s="465"/>
      <c r="G1255" s="465"/>
      <c r="H1255" s="292"/>
      <c r="I1255" s="292"/>
      <c r="J1255" s="292"/>
      <c r="K1255" s="292"/>
      <c r="L1255" s="292"/>
      <c r="M1255" s="292"/>
      <c r="N1255" s="292"/>
      <c r="O1255" s="292"/>
      <c r="P1255" s="294"/>
      <c r="Q1255" s="294"/>
      <c r="R1255" s="294"/>
      <c r="S1255" s="294"/>
      <c r="T1255" s="294"/>
      <c r="U1255" s="294"/>
      <c r="V1255" s="431"/>
      <c r="W1255" s="331"/>
      <c r="X1255" s="331"/>
      <c r="Y1255" s="294">
        <f>IF(NFI_Expiration=1,IF($A1255&lt;VLOOKUP(H$5,NFI,5,0),1,0)*Table_NFI[[#This Row],[Hygiene Kit]],Table_NFI[Hygiene Kit])</f>
        <v>0</v>
      </c>
      <c r="Z1255" s="294">
        <f>IF(NFI_Expiration=1,IF($A1255&lt;VLOOKUP(I$5,NFI,5,0),1,0)*Table_NFI[[#This Row],[NFI Core Kit]],Table_NFI[NFI Core Kit])</f>
        <v>0</v>
      </c>
      <c r="AA1255" s="294">
        <f>IF(NFI_Expiration=1,IF($A1255&lt;VLOOKUP(J$5,NFI,5,0),1,0)*Table_NFI[[#This Row],[Sanitary Kit]],Table_NFI[Sanitary Kit])</f>
        <v>0</v>
      </c>
      <c r="AB1255" s="294">
        <f>IF(NFI_Expiration=1,IF($A1255&lt;VLOOKUP(K$5,NFI,5,0),1,0)*Table_NFI[[#This Row],[Mosquito net]],Table_NFI[Mosquito net])</f>
        <v>0</v>
      </c>
      <c r="AC1255" s="294">
        <f>IF(NFI_Expiration=1,IF($A1255&lt;VLOOKUP(L$5,NFI,5,0),1,0)*Table_NFI[[#This Row],[Tarpaulin]],Table_NFI[[#This Row],[Tarpaulin]])</f>
        <v>0</v>
      </c>
      <c r="AD1255" s="294">
        <f>IF(NFI_Expiration=1,IF($A1255&lt;VLOOKUP(M$5,NFI,5,0),1,0)*Table_NFI[[#This Row],[Blanket]],Table_NFI[[#This Row],[Blanket]])</f>
        <v>0</v>
      </c>
      <c r="AE1255" s="294">
        <f>IF(NFI_Expiration=1,IF($A1255&lt;VLOOKUP(N$5,NFI,5,0),1,0)*Table_NFI[[#This Row],[Kitchen Set]],Table_NFI[Kitchen Set])</f>
        <v>0</v>
      </c>
      <c r="AF1255" s="294">
        <f>IF(NFI_Expiration=1,IF($A1255&lt;VLOOKUP(O$5,NFI,5,0),1,0)*Table_NFI[[#This Row],[Clothes Kit]],Table_NFI[Clothes Kit])</f>
        <v>0</v>
      </c>
      <c r="AG1255" s="294">
        <f>IF(NFI_Expiration=1,IF($A1255&lt;VLOOKUP(P$5,NFI,5,0),1,0)*Table_NFI[[#This Row],[Plastic Bucket]],Table_NFI[Plastic Bucket])</f>
        <v>0</v>
      </c>
      <c r="AH1255" s="294">
        <f>IF(NFI_Expiration=1,IF($A1255&lt;VLOOKUP(Q$5,NFI,5,0),1,0)*Table_NFI[[#This Row],[Plastic Mat]],Table_NFI[Plastic Mat])*IF(Table_NFI[[#This Row],[Distribution Date]]&gt;"2014-04-01",1,2.5)</f>
        <v>0</v>
      </c>
      <c r="AI1255" s="294">
        <f>IF(NFI_Expiration=1,IF($A1255&lt;VLOOKUP(R$5,NFI,5,0),1,0)*Table_NFI[[#This Row],[Winter Clothes Adult]],Table_NFI[Winter Clothes Adult])</f>
        <v>0</v>
      </c>
      <c r="AJ1255" s="294">
        <f>IF(NFI_Expiration=1,IF($A1255&lt;VLOOKUP(S$5,NFI,5,0),1,0)*Table_NFI[[#This Row],[Winter Clothes Children]],Table_NFI[Winter Clothes Children])</f>
        <v>0</v>
      </c>
      <c r="AK1255" s="294">
        <f>IF(NFI_Expiration=1,IF($A1255&lt;VLOOKUP(T$5,NFI,5,0),1,0)*Table_NFI[[#This Row],[Winter Items Other]],Table_NFI[Winter Items Other])</f>
        <v>0</v>
      </c>
      <c r="AL1255" s="294">
        <f>IF(NFI_Expiration=1,IF($A1255&lt;VLOOKUP(M$5,NFI,5,0),1,0)*Table_NFI[[#This Row],[Winter Blanket]],Table_NFI[[#This Row],[Winter Blanket]])</f>
        <v>0</v>
      </c>
      <c r="AM1255" s="294">
        <f>IF(Table_NFI[[#This Row],[Winter Clothes Adult]]+Table_NFI[[#This Row],[Winter Clothes Children]]+Table_NFI[[#This Row],[Winter Items Other]]+Table_NFI[[#This Row],[Winter Blanket]]&gt;0,1,0)</f>
        <v>0</v>
      </c>
      <c r="AN1255" s="331">
        <f>IF(NFI_Expiration=1,IF($A1255&lt;VLOOKUP(V$5,NFI,5,0),1,0)*Table_NFI[[#This Row],[Jerry Can]],Table_NFI[Jerry Can])</f>
        <v>0</v>
      </c>
      <c r="AO1255" s="331">
        <f>IF(NFI_Expiration=1,IF($A1255&lt;VLOOKUP(V$5,NFI,5,0),1,0)*Table_NFI[[#This Row],[Shelter Tool kit]],Table_NFI[Shelter Tool kit])</f>
        <v>0</v>
      </c>
      <c r="AP1255" s="331">
        <f>IF(NFI_Expiration=1,IF($A1255&lt;VLOOKUP(V$5,NFI,5,0),1,0)*Table_NFI[[#This Row],[Tent]],Table_NFI[Tent])</f>
        <v>0</v>
      </c>
      <c r="AQ1255" s="467" t="str">
        <f>IFERROR(VLOOKUP(Table_NFI[[#This Row],[Camp Name]],CL,2,0),"")</f>
        <v/>
      </c>
      <c r="AR1255" s="835" t="str">
        <f ca="1">IF(Table_NFI[[#This Row],[Pcode]]="","",IF(OFFSET(CampList[Opening Date],MATCH(Table_NFI[[#This Row],[Pcode]],CampList[CP_Pcode],0)-1,0,1,1)&gt;=NFI_Monitor_Date,1,0))</f>
        <v/>
      </c>
      <c r="AS1255" s="467" t="str">
        <f>IFERROR(VLOOKUP(Table_NFI[[#This Row],[Camp Name]],CL,3,0),"")</f>
        <v/>
      </c>
      <c r="AT1255" s="294" t="str">
        <f ca="1">IF(Table_NFI[[#This Row],[Pcode]]="","",OFFSET(CampList[Priority],MATCH(Table_NFI[[#This Row],[Pcode]],CampList[CP_Pcode],0)-1,0,1,1))</f>
        <v/>
      </c>
      <c r="AU1255" s="293" t="str">
        <f>IFERROR(Table_NFI[[#This Row],[Kitchen Set]]/VLOOKUP(Table_NFI[[#This Row],[Camp Name]],CL,4,0),"")</f>
        <v/>
      </c>
      <c r="AV1255" s="465"/>
      <c r="AW1255" s="468"/>
    </row>
    <row r="1256" spans="1:49" ht="14.45" customHeight="1" x14ac:dyDescent="0.25">
      <c r="A1256" s="297" t="str">
        <f t="shared" si="19"/>
        <v/>
      </c>
      <c r="B1256" s="460"/>
      <c r="C1256" s="465"/>
      <c r="D1256" s="465"/>
      <c r="E1256" s="465"/>
      <c r="F1256" s="465"/>
      <c r="G1256" s="465"/>
      <c r="H1256" s="292"/>
      <c r="I1256" s="292"/>
      <c r="J1256" s="292"/>
      <c r="K1256" s="292"/>
      <c r="L1256" s="292"/>
      <c r="M1256" s="292"/>
      <c r="N1256" s="292"/>
      <c r="O1256" s="292"/>
      <c r="P1256" s="294"/>
      <c r="Q1256" s="294"/>
      <c r="R1256" s="294"/>
      <c r="S1256" s="294"/>
      <c r="T1256" s="294"/>
      <c r="U1256" s="294"/>
      <c r="V1256" s="431"/>
      <c r="W1256" s="331"/>
      <c r="X1256" s="331"/>
      <c r="Y1256" s="294">
        <f>IF(NFI_Expiration=1,IF($A1256&lt;VLOOKUP(H$5,NFI,5,0),1,0)*Table_NFI[[#This Row],[Hygiene Kit]],Table_NFI[Hygiene Kit])</f>
        <v>0</v>
      </c>
      <c r="Z1256" s="294">
        <f>IF(NFI_Expiration=1,IF($A1256&lt;VLOOKUP(I$5,NFI,5,0),1,0)*Table_NFI[[#This Row],[NFI Core Kit]],Table_NFI[NFI Core Kit])</f>
        <v>0</v>
      </c>
      <c r="AA1256" s="294">
        <f>IF(NFI_Expiration=1,IF($A1256&lt;VLOOKUP(J$5,NFI,5,0),1,0)*Table_NFI[[#This Row],[Sanitary Kit]],Table_NFI[Sanitary Kit])</f>
        <v>0</v>
      </c>
      <c r="AB1256" s="294">
        <f>IF(NFI_Expiration=1,IF($A1256&lt;VLOOKUP(K$5,NFI,5,0),1,0)*Table_NFI[[#This Row],[Mosquito net]],Table_NFI[Mosquito net])</f>
        <v>0</v>
      </c>
      <c r="AC1256" s="294">
        <f>IF(NFI_Expiration=1,IF($A1256&lt;VLOOKUP(L$5,NFI,5,0),1,0)*Table_NFI[[#This Row],[Tarpaulin]],Table_NFI[[#This Row],[Tarpaulin]])</f>
        <v>0</v>
      </c>
      <c r="AD1256" s="294">
        <f>IF(NFI_Expiration=1,IF($A1256&lt;VLOOKUP(M$5,NFI,5,0),1,0)*Table_NFI[[#This Row],[Blanket]],Table_NFI[[#This Row],[Blanket]])</f>
        <v>0</v>
      </c>
      <c r="AE1256" s="294">
        <f>IF(NFI_Expiration=1,IF($A1256&lt;VLOOKUP(N$5,NFI,5,0),1,0)*Table_NFI[[#This Row],[Kitchen Set]],Table_NFI[Kitchen Set])</f>
        <v>0</v>
      </c>
      <c r="AF1256" s="294">
        <f>IF(NFI_Expiration=1,IF($A1256&lt;VLOOKUP(O$5,NFI,5,0),1,0)*Table_NFI[[#This Row],[Clothes Kit]],Table_NFI[Clothes Kit])</f>
        <v>0</v>
      </c>
      <c r="AG1256" s="294">
        <f>IF(NFI_Expiration=1,IF($A1256&lt;VLOOKUP(P$5,NFI,5,0),1,0)*Table_NFI[[#This Row],[Plastic Bucket]],Table_NFI[Plastic Bucket])</f>
        <v>0</v>
      </c>
      <c r="AH1256" s="294">
        <f>IF(NFI_Expiration=1,IF($A1256&lt;VLOOKUP(Q$5,NFI,5,0),1,0)*Table_NFI[[#This Row],[Plastic Mat]],Table_NFI[Plastic Mat])*IF(Table_NFI[[#This Row],[Distribution Date]]&gt;"2014-04-01",1,2.5)</f>
        <v>0</v>
      </c>
      <c r="AI1256" s="294">
        <f>IF(NFI_Expiration=1,IF($A1256&lt;VLOOKUP(R$5,NFI,5,0),1,0)*Table_NFI[[#This Row],[Winter Clothes Adult]],Table_NFI[Winter Clothes Adult])</f>
        <v>0</v>
      </c>
      <c r="AJ1256" s="294">
        <f>IF(NFI_Expiration=1,IF($A1256&lt;VLOOKUP(S$5,NFI,5,0),1,0)*Table_NFI[[#This Row],[Winter Clothes Children]],Table_NFI[Winter Clothes Children])</f>
        <v>0</v>
      </c>
      <c r="AK1256" s="294">
        <f>IF(NFI_Expiration=1,IF($A1256&lt;VLOOKUP(T$5,NFI,5,0),1,0)*Table_NFI[[#This Row],[Winter Items Other]],Table_NFI[Winter Items Other])</f>
        <v>0</v>
      </c>
      <c r="AL1256" s="294">
        <f>IF(NFI_Expiration=1,IF($A1256&lt;VLOOKUP(M$5,NFI,5,0),1,0)*Table_NFI[[#This Row],[Winter Blanket]],Table_NFI[[#This Row],[Winter Blanket]])</f>
        <v>0</v>
      </c>
      <c r="AM1256" s="294">
        <f>IF(Table_NFI[[#This Row],[Winter Clothes Adult]]+Table_NFI[[#This Row],[Winter Clothes Children]]+Table_NFI[[#This Row],[Winter Items Other]]+Table_NFI[[#This Row],[Winter Blanket]]&gt;0,1,0)</f>
        <v>0</v>
      </c>
      <c r="AN1256" s="331">
        <f>IF(NFI_Expiration=1,IF($A1256&lt;VLOOKUP(V$5,NFI,5,0),1,0)*Table_NFI[[#This Row],[Jerry Can]],Table_NFI[Jerry Can])</f>
        <v>0</v>
      </c>
      <c r="AO1256" s="331">
        <f>IF(NFI_Expiration=1,IF($A1256&lt;VLOOKUP(V$5,NFI,5,0),1,0)*Table_NFI[[#This Row],[Shelter Tool kit]],Table_NFI[Shelter Tool kit])</f>
        <v>0</v>
      </c>
      <c r="AP1256" s="331">
        <f>IF(NFI_Expiration=1,IF($A1256&lt;VLOOKUP(V$5,NFI,5,0),1,0)*Table_NFI[[#This Row],[Tent]],Table_NFI[Tent])</f>
        <v>0</v>
      </c>
      <c r="AQ1256" s="467" t="str">
        <f>IFERROR(VLOOKUP(Table_NFI[[#This Row],[Camp Name]],CL,2,0),"")</f>
        <v/>
      </c>
      <c r="AR1256" s="835" t="str">
        <f ca="1">IF(Table_NFI[[#This Row],[Pcode]]="","",IF(OFFSET(CampList[Opening Date],MATCH(Table_NFI[[#This Row],[Pcode]],CampList[CP_Pcode],0)-1,0,1,1)&gt;=NFI_Monitor_Date,1,0))</f>
        <v/>
      </c>
      <c r="AS1256" s="467" t="str">
        <f>IFERROR(VLOOKUP(Table_NFI[[#This Row],[Camp Name]],CL,3,0),"")</f>
        <v/>
      </c>
      <c r="AT1256" s="294" t="str">
        <f ca="1">IF(Table_NFI[[#This Row],[Pcode]]="","",OFFSET(CampList[Priority],MATCH(Table_NFI[[#This Row],[Pcode]],CampList[CP_Pcode],0)-1,0,1,1))</f>
        <v/>
      </c>
      <c r="AU1256" s="293" t="str">
        <f>IFERROR(Table_NFI[[#This Row],[Kitchen Set]]/VLOOKUP(Table_NFI[[#This Row],[Camp Name]],CL,4,0),"")</f>
        <v/>
      </c>
      <c r="AV1256" s="465"/>
      <c r="AW1256" s="468"/>
    </row>
    <row r="1257" spans="1:49" ht="14.45" customHeight="1" x14ac:dyDescent="0.25">
      <c r="A1257" s="297" t="str">
        <f t="shared" si="19"/>
        <v/>
      </c>
      <c r="B1257" s="460"/>
      <c r="C1257" s="465"/>
      <c r="D1257" s="465"/>
      <c r="E1257" s="465"/>
      <c r="F1257" s="465"/>
      <c r="G1257" s="465"/>
      <c r="H1257" s="292"/>
      <c r="I1257" s="292"/>
      <c r="J1257" s="292"/>
      <c r="K1257" s="292"/>
      <c r="L1257" s="292"/>
      <c r="M1257" s="292"/>
      <c r="N1257" s="292"/>
      <c r="O1257" s="292"/>
      <c r="P1257" s="294"/>
      <c r="Q1257" s="294"/>
      <c r="R1257" s="294"/>
      <c r="S1257" s="294"/>
      <c r="T1257" s="294"/>
      <c r="U1257" s="294"/>
      <c r="V1257" s="431"/>
      <c r="W1257" s="331"/>
      <c r="X1257" s="331"/>
      <c r="Y1257" s="294">
        <f>IF(NFI_Expiration=1,IF($A1257&lt;VLOOKUP(H$5,NFI,5,0),1,0)*Table_NFI[[#This Row],[Hygiene Kit]],Table_NFI[Hygiene Kit])</f>
        <v>0</v>
      </c>
      <c r="Z1257" s="294">
        <f>IF(NFI_Expiration=1,IF($A1257&lt;VLOOKUP(I$5,NFI,5,0),1,0)*Table_NFI[[#This Row],[NFI Core Kit]],Table_NFI[NFI Core Kit])</f>
        <v>0</v>
      </c>
      <c r="AA1257" s="294">
        <f>IF(NFI_Expiration=1,IF($A1257&lt;VLOOKUP(J$5,NFI,5,0),1,0)*Table_NFI[[#This Row],[Sanitary Kit]],Table_NFI[Sanitary Kit])</f>
        <v>0</v>
      </c>
      <c r="AB1257" s="294">
        <f>IF(NFI_Expiration=1,IF($A1257&lt;VLOOKUP(K$5,NFI,5,0),1,0)*Table_NFI[[#This Row],[Mosquito net]],Table_NFI[Mosquito net])</f>
        <v>0</v>
      </c>
      <c r="AC1257" s="294">
        <f>IF(NFI_Expiration=1,IF($A1257&lt;VLOOKUP(L$5,NFI,5,0),1,0)*Table_NFI[[#This Row],[Tarpaulin]],Table_NFI[[#This Row],[Tarpaulin]])</f>
        <v>0</v>
      </c>
      <c r="AD1257" s="294">
        <f>IF(NFI_Expiration=1,IF($A1257&lt;VLOOKUP(M$5,NFI,5,0),1,0)*Table_NFI[[#This Row],[Blanket]],Table_NFI[[#This Row],[Blanket]])</f>
        <v>0</v>
      </c>
      <c r="AE1257" s="294">
        <f>IF(NFI_Expiration=1,IF($A1257&lt;VLOOKUP(N$5,NFI,5,0),1,0)*Table_NFI[[#This Row],[Kitchen Set]],Table_NFI[Kitchen Set])</f>
        <v>0</v>
      </c>
      <c r="AF1257" s="294">
        <f>IF(NFI_Expiration=1,IF($A1257&lt;VLOOKUP(O$5,NFI,5,0),1,0)*Table_NFI[[#This Row],[Clothes Kit]],Table_NFI[Clothes Kit])</f>
        <v>0</v>
      </c>
      <c r="AG1257" s="294">
        <f>IF(NFI_Expiration=1,IF($A1257&lt;VLOOKUP(P$5,NFI,5,0),1,0)*Table_NFI[[#This Row],[Plastic Bucket]],Table_NFI[Plastic Bucket])</f>
        <v>0</v>
      </c>
      <c r="AH1257" s="294">
        <f>IF(NFI_Expiration=1,IF($A1257&lt;VLOOKUP(Q$5,NFI,5,0),1,0)*Table_NFI[[#This Row],[Plastic Mat]],Table_NFI[Plastic Mat])*IF(Table_NFI[[#This Row],[Distribution Date]]&gt;"2014-04-01",1,2.5)</f>
        <v>0</v>
      </c>
      <c r="AI1257" s="294">
        <f>IF(NFI_Expiration=1,IF($A1257&lt;VLOOKUP(R$5,NFI,5,0),1,0)*Table_NFI[[#This Row],[Winter Clothes Adult]],Table_NFI[Winter Clothes Adult])</f>
        <v>0</v>
      </c>
      <c r="AJ1257" s="294">
        <f>IF(NFI_Expiration=1,IF($A1257&lt;VLOOKUP(S$5,NFI,5,0),1,0)*Table_NFI[[#This Row],[Winter Clothes Children]],Table_NFI[Winter Clothes Children])</f>
        <v>0</v>
      </c>
      <c r="AK1257" s="294">
        <f>IF(NFI_Expiration=1,IF($A1257&lt;VLOOKUP(T$5,NFI,5,0),1,0)*Table_NFI[[#This Row],[Winter Items Other]],Table_NFI[Winter Items Other])</f>
        <v>0</v>
      </c>
      <c r="AL1257" s="294">
        <f>IF(NFI_Expiration=1,IF($A1257&lt;VLOOKUP(M$5,NFI,5,0),1,0)*Table_NFI[[#This Row],[Winter Blanket]],Table_NFI[[#This Row],[Winter Blanket]])</f>
        <v>0</v>
      </c>
      <c r="AM1257" s="294">
        <f>IF(Table_NFI[[#This Row],[Winter Clothes Adult]]+Table_NFI[[#This Row],[Winter Clothes Children]]+Table_NFI[[#This Row],[Winter Items Other]]+Table_NFI[[#This Row],[Winter Blanket]]&gt;0,1,0)</f>
        <v>0</v>
      </c>
      <c r="AN1257" s="331">
        <f>IF(NFI_Expiration=1,IF($A1257&lt;VLOOKUP(V$5,NFI,5,0),1,0)*Table_NFI[[#This Row],[Jerry Can]],Table_NFI[Jerry Can])</f>
        <v>0</v>
      </c>
      <c r="AO1257" s="331">
        <f>IF(NFI_Expiration=1,IF($A1257&lt;VLOOKUP(V$5,NFI,5,0),1,0)*Table_NFI[[#This Row],[Shelter Tool kit]],Table_NFI[Shelter Tool kit])</f>
        <v>0</v>
      </c>
      <c r="AP1257" s="331">
        <f>IF(NFI_Expiration=1,IF($A1257&lt;VLOOKUP(V$5,NFI,5,0),1,0)*Table_NFI[[#This Row],[Tent]],Table_NFI[Tent])</f>
        <v>0</v>
      </c>
      <c r="AQ1257" s="467" t="str">
        <f>IFERROR(VLOOKUP(Table_NFI[[#This Row],[Camp Name]],CL,2,0),"")</f>
        <v/>
      </c>
      <c r="AR1257" s="835" t="str">
        <f ca="1">IF(Table_NFI[[#This Row],[Pcode]]="","",IF(OFFSET(CampList[Opening Date],MATCH(Table_NFI[[#This Row],[Pcode]],CampList[CP_Pcode],0)-1,0,1,1)&gt;=NFI_Monitor_Date,1,0))</f>
        <v/>
      </c>
      <c r="AS1257" s="467" t="str">
        <f>IFERROR(VLOOKUP(Table_NFI[[#This Row],[Camp Name]],CL,3,0),"")</f>
        <v/>
      </c>
      <c r="AT1257" s="294" t="str">
        <f ca="1">IF(Table_NFI[[#This Row],[Pcode]]="","",OFFSET(CampList[Priority],MATCH(Table_NFI[[#This Row],[Pcode]],CampList[CP_Pcode],0)-1,0,1,1))</f>
        <v/>
      </c>
      <c r="AU1257" s="293" t="str">
        <f>IFERROR(Table_NFI[[#This Row],[Kitchen Set]]/VLOOKUP(Table_NFI[[#This Row],[Camp Name]],CL,4,0),"")</f>
        <v/>
      </c>
      <c r="AV1257" s="465"/>
      <c r="AW1257" s="468"/>
    </row>
    <row r="1258" spans="1:49" ht="14.45" customHeight="1" x14ac:dyDescent="0.25">
      <c r="A1258" s="297" t="str">
        <f t="shared" si="19"/>
        <v/>
      </c>
      <c r="B1258" s="460"/>
      <c r="C1258" s="465"/>
      <c r="D1258" s="465"/>
      <c r="E1258" s="465"/>
      <c r="F1258" s="465"/>
      <c r="G1258" s="465"/>
      <c r="H1258" s="292"/>
      <c r="I1258" s="292"/>
      <c r="J1258" s="292"/>
      <c r="K1258" s="292"/>
      <c r="L1258" s="292"/>
      <c r="M1258" s="292"/>
      <c r="N1258" s="292"/>
      <c r="O1258" s="292"/>
      <c r="P1258" s="294"/>
      <c r="Q1258" s="294"/>
      <c r="R1258" s="294"/>
      <c r="S1258" s="294"/>
      <c r="T1258" s="294"/>
      <c r="U1258" s="294"/>
      <c r="V1258" s="431"/>
      <c r="W1258" s="331"/>
      <c r="X1258" s="331"/>
      <c r="Y1258" s="294">
        <f>IF(NFI_Expiration=1,IF($A1258&lt;VLOOKUP(H$5,NFI,5,0),1,0)*Table_NFI[[#This Row],[Hygiene Kit]],Table_NFI[Hygiene Kit])</f>
        <v>0</v>
      </c>
      <c r="Z1258" s="294">
        <f>IF(NFI_Expiration=1,IF($A1258&lt;VLOOKUP(I$5,NFI,5,0),1,0)*Table_NFI[[#This Row],[NFI Core Kit]],Table_NFI[NFI Core Kit])</f>
        <v>0</v>
      </c>
      <c r="AA1258" s="294">
        <f>IF(NFI_Expiration=1,IF($A1258&lt;VLOOKUP(J$5,NFI,5,0),1,0)*Table_NFI[[#This Row],[Sanitary Kit]],Table_NFI[Sanitary Kit])</f>
        <v>0</v>
      </c>
      <c r="AB1258" s="294">
        <f>IF(NFI_Expiration=1,IF($A1258&lt;VLOOKUP(K$5,NFI,5,0),1,0)*Table_NFI[[#This Row],[Mosquito net]],Table_NFI[Mosquito net])</f>
        <v>0</v>
      </c>
      <c r="AC1258" s="294">
        <f>IF(NFI_Expiration=1,IF($A1258&lt;VLOOKUP(L$5,NFI,5,0),1,0)*Table_NFI[[#This Row],[Tarpaulin]],Table_NFI[[#This Row],[Tarpaulin]])</f>
        <v>0</v>
      </c>
      <c r="AD1258" s="294">
        <f>IF(NFI_Expiration=1,IF($A1258&lt;VLOOKUP(M$5,NFI,5,0),1,0)*Table_NFI[[#This Row],[Blanket]],Table_NFI[[#This Row],[Blanket]])</f>
        <v>0</v>
      </c>
      <c r="AE1258" s="294">
        <f>IF(NFI_Expiration=1,IF($A1258&lt;VLOOKUP(N$5,NFI,5,0),1,0)*Table_NFI[[#This Row],[Kitchen Set]],Table_NFI[Kitchen Set])</f>
        <v>0</v>
      </c>
      <c r="AF1258" s="294">
        <f>IF(NFI_Expiration=1,IF($A1258&lt;VLOOKUP(O$5,NFI,5,0),1,0)*Table_NFI[[#This Row],[Clothes Kit]],Table_NFI[Clothes Kit])</f>
        <v>0</v>
      </c>
      <c r="AG1258" s="294">
        <f>IF(NFI_Expiration=1,IF($A1258&lt;VLOOKUP(P$5,NFI,5,0),1,0)*Table_NFI[[#This Row],[Plastic Bucket]],Table_NFI[Plastic Bucket])</f>
        <v>0</v>
      </c>
      <c r="AH1258" s="294">
        <f>IF(NFI_Expiration=1,IF($A1258&lt;VLOOKUP(Q$5,NFI,5,0),1,0)*Table_NFI[[#This Row],[Plastic Mat]],Table_NFI[Plastic Mat])*IF(Table_NFI[[#This Row],[Distribution Date]]&gt;"2014-04-01",1,2.5)</f>
        <v>0</v>
      </c>
      <c r="AI1258" s="294">
        <f>IF(NFI_Expiration=1,IF($A1258&lt;VLOOKUP(R$5,NFI,5,0),1,0)*Table_NFI[[#This Row],[Winter Clothes Adult]],Table_NFI[Winter Clothes Adult])</f>
        <v>0</v>
      </c>
      <c r="AJ1258" s="294">
        <f>IF(NFI_Expiration=1,IF($A1258&lt;VLOOKUP(S$5,NFI,5,0),1,0)*Table_NFI[[#This Row],[Winter Clothes Children]],Table_NFI[Winter Clothes Children])</f>
        <v>0</v>
      </c>
      <c r="AK1258" s="294">
        <f>IF(NFI_Expiration=1,IF($A1258&lt;VLOOKUP(T$5,NFI,5,0),1,0)*Table_NFI[[#This Row],[Winter Items Other]],Table_NFI[Winter Items Other])</f>
        <v>0</v>
      </c>
      <c r="AL1258" s="294">
        <f>IF(NFI_Expiration=1,IF($A1258&lt;VLOOKUP(M$5,NFI,5,0),1,0)*Table_NFI[[#This Row],[Winter Blanket]],Table_NFI[[#This Row],[Winter Blanket]])</f>
        <v>0</v>
      </c>
      <c r="AM1258" s="294">
        <f>IF(Table_NFI[[#This Row],[Winter Clothes Adult]]+Table_NFI[[#This Row],[Winter Clothes Children]]+Table_NFI[[#This Row],[Winter Items Other]]+Table_NFI[[#This Row],[Winter Blanket]]&gt;0,1,0)</f>
        <v>0</v>
      </c>
      <c r="AN1258" s="331">
        <f>IF(NFI_Expiration=1,IF($A1258&lt;VLOOKUP(V$5,NFI,5,0),1,0)*Table_NFI[[#This Row],[Jerry Can]],Table_NFI[Jerry Can])</f>
        <v>0</v>
      </c>
      <c r="AO1258" s="331">
        <f>IF(NFI_Expiration=1,IF($A1258&lt;VLOOKUP(V$5,NFI,5,0),1,0)*Table_NFI[[#This Row],[Shelter Tool kit]],Table_NFI[Shelter Tool kit])</f>
        <v>0</v>
      </c>
      <c r="AP1258" s="331">
        <f>IF(NFI_Expiration=1,IF($A1258&lt;VLOOKUP(V$5,NFI,5,0),1,0)*Table_NFI[[#This Row],[Tent]],Table_NFI[Tent])</f>
        <v>0</v>
      </c>
      <c r="AQ1258" s="467" t="str">
        <f>IFERROR(VLOOKUP(Table_NFI[[#This Row],[Camp Name]],CL,2,0),"")</f>
        <v/>
      </c>
      <c r="AR1258" s="835" t="str">
        <f ca="1">IF(Table_NFI[[#This Row],[Pcode]]="","",IF(OFFSET(CampList[Opening Date],MATCH(Table_NFI[[#This Row],[Pcode]],CampList[CP_Pcode],0)-1,0,1,1)&gt;=NFI_Monitor_Date,1,0))</f>
        <v/>
      </c>
      <c r="AS1258" s="467" t="str">
        <f>IFERROR(VLOOKUP(Table_NFI[[#This Row],[Camp Name]],CL,3,0),"")</f>
        <v/>
      </c>
      <c r="AT1258" s="294" t="str">
        <f ca="1">IF(Table_NFI[[#This Row],[Pcode]]="","",OFFSET(CampList[Priority],MATCH(Table_NFI[[#This Row],[Pcode]],CampList[CP_Pcode],0)-1,0,1,1))</f>
        <v/>
      </c>
      <c r="AU1258" s="293" t="str">
        <f>IFERROR(Table_NFI[[#This Row],[Kitchen Set]]/VLOOKUP(Table_NFI[[#This Row],[Camp Name]],CL,4,0),"")</f>
        <v/>
      </c>
      <c r="AV1258" s="465"/>
      <c r="AW1258" s="468"/>
    </row>
    <row r="1259" spans="1:49" ht="14.45" customHeight="1" x14ac:dyDescent="0.25">
      <c r="A1259" s="297" t="str">
        <f t="shared" si="19"/>
        <v/>
      </c>
      <c r="B1259" s="460"/>
      <c r="C1259" s="465"/>
      <c r="D1259" s="465"/>
      <c r="E1259" s="465"/>
      <c r="F1259" s="465"/>
      <c r="G1259" s="465"/>
      <c r="H1259" s="292"/>
      <c r="I1259" s="292"/>
      <c r="J1259" s="292"/>
      <c r="K1259" s="292"/>
      <c r="L1259" s="292"/>
      <c r="M1259" s="292"/>
      <c r="N1259" s="292"/>
      <c r="O1259" s="292"/>
      <c r="P1259" s="294"/>
      <c r="Q1259" s="294"/>
      <c r="R1259" s="294"/>
      <c r="S1259" s="294"/>
      <c r="T1259" s="294"/>
      <c r="U1259" s="294"/>
      <c r="V1259" s="431"/>
      <c r="W1259" s="331"/>
      <c r="X1259" s="331"/>
      <c r="Y1259" s="294">
        <f>IF(NFI_Expiration=1,IF($A1259&lt;VLOOKUP(H$5,NFI,5,0),1,0)*Table_NFI[[#This Row],[Hygiene Kit]],Table_NFI[Hygiene Kit])</f>
        <v>0</v>
      </c>
      <c r="Z1259" s="294">
        <f>IF(NFI_Expiration=1,IF($A1259&lt;VLOOKUP(I$5,NFI,5,0),1,0)*Table_NFI[[#This Row],[NFI Core Kit]],Table_NFI[NFI Core Kit])</f>
        <v>0</v>
      </c>
      <c r="AA1259" s="294">
        <f>IF(NFI_Expiration=1,IF($A1259&lt;VLOOKUP(J$5,NFI,5,0),1,0)*Table_NFI[[#This Row],[Sanitary Kit]],Table_NFI[Sanitary Kit])</f>
        <v>0</v>
      </c>
      <c r="AB1259" s="294">
        <f>IF(NFI_Expiration=1,IF($A1259&lt;VLOOKUP(K$5,NFI,5,0),1,0)*Table_NFI[[#This Row],[Mosquito net]],Table_NFI[Mosquito net])</f>
        <v>0</v>
      </c>
      <c r="AC1259" s="294">
        <f>IF(NFI_Expiration=1,IF($A1259&lt;VLOOKUP(L$5,NFI,5,0),1,0)*Table_NFI[[#This Row],[Tarpaulin]],Table_NFI[[#This Row],[Tarpaulin]])</f>
        <v>0</v>
      </c>
      <c r="AD1259" s="294">
        <f>IF(NFI_Expiration=1,IF($A1259&lt;VLOOKUP(M$5,NFI,5,0),1,0)*Table_NFI[[#This Row],[Blanket]],Table_NFI[[#This Row],[Blanket]])</f>
        <v>0</v>
      </c>
      <c r="AE1259" s="294">
        <f>IF(NFI_Expiration=1,IF($A1259&lt;VLOOKUP(N$5,NFI,5,0),1,0)*Table_NFI[[#This Row],[Kitchen Set]],Table_NFI[Kitchen Set])</f>
        <v>0</v>
      </c>
      <c r="AF1259" s="294">
        <f>IF(NFI_Expiration=1,IF($A1259&lt;VLOOKUP(O$5,NFI,5,0),1,0)*Table_NFI[[#This Row],[Clothes Kit]],Table_NFI[Clothes Kit])</f>
        <v>0</v>
      </c>
      <c r="AG1259" s="294">
        <f>IF(NFI_Expiration=1,IF($A1259&lt;VLOOKUP(P$5,NFI,5,0),1,0)*Table_NFI[[#This Row],[Plastic Bucket]],Table_NFI[Plastic Bucket])</f>
        <v>0</v>
      </c>
      <c r="AH1259" s="294">
        <f>IF(NFI_Expiration=1,IF($A1259&lt;VLOOKUP(Q$5,NFI,5,0),1,0)*Table_NFI[[#This Row],[Plastic Mat]],Table_NFI[Plastic Mat])*IF(Table_NFI[[#This Row],[Distribution Date]]&gt;"2014-04-01",1,2.5)</f>
        <v>0</v>
      </c>
      <c r="AI1259" s="294">
        <f>IF(NFI_Expiration=1,IF($A1259&lt;VLOOKUP(R$5,NFI,5,0),1,0)*Table_NFI[[#This Row],[Winter Clothes Adult]],Table_NFI[Winter Clothes Adult])</f>
        <v>0</v>
      </c>
      <c r="AJ1259" s="294">
        <f>IF(NFI_Expiration=1,IF($A1259&lt;VLOOKUP(S$5,NFI,5,0),1,0)*Table_NFI[[#This Row],[Winter Clothes Children]],Table_NFI[Winter Clothes Children])</f>
        <v>0</v>
      </c>
      <c r="AK1259" s="294">
        <f>IF(NFI_Expiration=1,IF($A1259&lt;VLOOKUP(T$5,NFI,5,0),1,0)*Table_NFI[[#This Row],[Winter Items Other]],Table_NFI[Winter Items Other])</f>
        <v>0</v>
      </c>
      <c r="AL1259" s="294">
        <f>IF(NFI_Expiration=1,IF($A1259&lt;VLOOKUP(M$5,NFI,5,0),1,0)*Table_NFI[[#This Row],[Winter Blanket]],Table_NFI[[#This Row],[Winter Blanket]])</f>
        <v>0</v>
      </c>
      <c r="AM1259" s="294">
        <f>IF(Table_NFI[[#This Row],[Winter Clothes Adult]]+Table_NFI[[#This Row],[Winter Clothes Children]]+Table_NFI[[#This Row],[Winter Items Other]]+Table_NFI[[#This Row],[Winter Blanket]]&gt;0,1,0)</f>
        <v>0</v>
      </c>
      <c r="AN1259" s="331">
        <f>IF(NFI_Expiration=1,IF($A1259&lt;VLOOKUP(V$5,NFI,5,0),1,0)*Table_NFI[[#This Row],[Jerry Can]],Table_NFI[Jerry Can])</f>
        <v>0</v>
      </c>
      <c r="AO1259" s="331">
        <f>IF(NFI_Expiration=1,IF($A1259&lt;VLOOKUP(V$5,NFI,5,0),1,0)*Table_NFI[[#This Row],[Shelter Tool kit]],Table_NFI[Shelter Tool kit])</f>
        <v>0</v>
      </c>
      <c r="AP1259" s="331">
        <f>IF(NFI_Expiration=1,IF($A1259&lt;VLOOKUP(V$5,NFI,5,0),1,0)*Table_NFI[[#This Row],[Tent]],Table_NFI[Tent])</f>
        <v>0</v>
      </c>
      <c r="AQ1259" s="467" t="str">
        <f>IFERROR(VLOOKUP(Table_NFI[[#This Row],[Camp Name]],CL,2,0),"")</f>
        <v/>
      </c>
      <c r="AR1259" s="835" t="str">
        <f ca="1">IF(Table_NFI[[#This Row],[Pcode]]="","",IF(OFFSET(CampList[Opening Date],MATCH(Table_NFI[[#This Row],[Pcode]],CampList[CP_Pcode],0)-1,0,1,1)&gt;=NFI_Monitor_Date,1,0))</f>
        <v/>
      </c>
      <c r="AS1259" s="467" t="str">
        <f>IFERROR(VLOOKUP(Table_NFI[[#This Row],[Camp Name]],CL,3,0),"")</f>
        <v/>
      </c>
      <c r="AT1259" s="294" t="str">
        <f ca="1">IF(Table_NFI[[#This Row],[Pcode]]="","",OFFSET(CampList[Priority],MATCH(Table_NFI[[#This Row],[Pcode]],CampList[CP_Pcode],0)-1,0,1,1))</f>
        <v/>
      </c>
      <c r="AU1259" s="293" t="str">
        <f>IFERROR(Table_NFI[[#This Row],[Kitchen Set]]/VLOOKUP(Table_NFI[[#This Row],[Camp Name]],CL,4,0),"")</f>
        <v/>
      </c>
      <c r="AV1259" s="465"/>
      <c r="AW1259" s="468"/>
    </row>
    <row r="1260" spans="1:49" ht="14.45" customHeight="1" x14ac:dyDescent="0.25">
      <c r="A1260" s="297" t="str">
        <f t="shared" si="19"/>
        <v/>
      </c>
      <c r="B1260" s="460"/>
      <c r="C1260" s="465"/>
      <c r="D1260" s="465"/>
      <c r="E1260" s="465"/>
      <c r="F1260" s="465"/>
      <c r="G1260" s="465"/>
      <c r="H1260" s="292"/>
      <c r="I1260" s="292"/>
      <c r="J1260" s="292"/>
      <c r="K1260" s="292"/>
      <c r="L1260" s="292"/>
      <c r="M1260" s="292"/>
      <c r="N1260" s="292"/>
      <c r="O1260" s="292"/>
      <c r="P1260" s="294"/>
      <c r="Q1260" s="294"/>
      <c r="R1260" s="294"/>
      <c r="S1260" s="294"/>
      <c r="T1260" s="294"/>
      <c r="U1260" s="294"/>
      <c r="V1260" s="431"/>
      <c r="W1260" s="331"/>
      <c r="X1260" s="331"/>
      <c r="Y1260" s="294">
        <f>IF(NFI_Expiration=1,IF($A1260&lt;VLOOKUP(H$5,NFI,5,0),1,0)*Table_NFI[[#This Row],[Hygiene Kit]],Table_NFI[Hygiene Kit])</f>
        <v>0</v>
      </c>
      <c r="Z1260" s="294">
        <f>IF(NFI_Expiration=1,IF($A1260&lt;VLOOKUP(I$5,NFI,5,0),1,0)*Table_NFI[[#This Row],[NFI Core Kit]],Table_NFI[NFI Core Kit])</f>
        <v>0</v>
      </c>
      <c r="AA1260" s="294">
        <f>IF(NFI_Expiration=1,IF($A1260&lt;VLOOKUP(J$5,NFI,5,0),1,0)*Table_NFI[[#This Row],[Sanitary Kit]],Table_NFI[Sanitary Kit])</f>
        <v>0</v>
      </c>
      <c r="AB1260" s="294">
        <f>IF(NFI_Expiration=1,IF($A1260&lt;VLOOKUP(K$5,NFI,5,0),1,0)*Table_NFI[[#This Row],[Mosquito net]],Table_NFI[Mosquito net])</f>
        <v>0</v>
      </c>
      <c r="AC1260" s="294">
        <f>IF(NFI_Expiration=1,IF($A1260&lt;VLOOKUP(L$5,NFI,5,0),1,0)*Table_NFI[[#This Row],[Tarpaulin]],Table_NFI[[#This Row],[Tarpaulin]])</f>
        <v>0</v>
      </c>
      <c r="AD1260" s="294">
        <f>IF(NFI_Expiration=1,IF($A1260&lt;VLOOKUP(M$5,NFI,5,0),1,0)*Table_NFI[[#This Row],[Blanket]],Table_NFI[[#This Row],[Blanket]])</f>
        <v>0</v>
      </c>
      <c r="AE1260" s="294">
        <f>IF(NFI_Expiration=1,IF($A1260&lt;VLOOKUP(N$5,NFI,5,0),1,0)*Table_NFI[[#This Row],[Kitchen Set]],Table_NFI[Kitchen Set])</f>
        <v>0</v>
      </c>
      <c r="AF1260" s="294">
        <f>IF(NFI_Expiration=1,IF($A1260&lt;VLOOKUP(O$5,NFI,5,0),1,0)*Table_NFI[[#This Row],[Clothes Kit]],Table_NFI[Clothes Kit])</f>
        <v>0</v>
      </c>
      <c r="AG1260" s="294">
        <f>IF(NFI_Expiration=1,IF($A1260&lt;VLOOKUP(P$5,NFI,5,0),1,0)*Table_NFI[[#This Row],[Plastic Bucket]],Table_NFI[Plastic Bucket])</f>
        <v>0</v>
      </c>
      <c r="AH1260" s="294">
        <f>IF(NFI_Expiration=1,IF($A1260&lt;VLOOKUP(Q$5,NFI,5,0),1,0)*Table_NFI[[#This Row],[Plastic Mat]],Table_NFI[Plastic Mat])*IF(Table_NFI[[#This Row],[Distribution Date]]&gt;"2014-04-01",1,2.5)</f>
        <v>0</v>
      </c>
      <c r="AI1260" s="294">
        <f>IF(NFI_Expiration=1,IF($A1260&lt;VLOOKUP(R$5,NFI,5,0),1,0)*Table_NFI[[#This Row],[Winter Clothes Adult]],Table_NFI[Winter Clothes Adult])</f>
        <v>0</v>
      </c>
      <c r="AJ1260" s="294">
        <f>IF(NFI_Expiration=1,IF($A1260&lt;VLOOKUP(S$5,NFI,5,0),1,0)*Table_NFI[[#This Row],[Winter Clothes Children]],Table_NFI[Winter Clothes Children])</f>
        <v>0</v>
      </c>
      <c r="AK1260" s="294">
        <f>IF(NFI_Expiration=1,IF($A1260&lt;VLOOKUP(T$5,NFI,5,0),1,0)*Table_NFI[[#This Row],[Winter Items Other]],Table_NFI[Winter Items Other])</f>
        <v>0</v>
      </c>
      <c r="AL1260" s="294">
        <f>IF(NFI_Expiration=1,IF($A1260&lt;VLOOKUP(M$5,NFI,5,0),1,0)*Table_NFI[[#This Row],[Winter Blanket]],Table_NFI[[#This Row],[Winter Blanket]])</f>
        <v>0</v>
      </c>
      <c r="AM1260" s="294">
        <f>IF(Table_NFI[[#This Row],[Winter Clothes Adult]]+Table_NFI[[#This Row],[Winter Clothes Children]]+Table_NFI[[#This Row],[Winter Items Other]]+Table_NFI[[#This Row],[Winter Blanket]]&gt;0,1,0)</f>
        <v>0</v>
      </c>
      <c r="AN1260" s="331">
        <f>IF(NFI_Expiration=1,IF($A1260&lt;VLOOKUP(V$5,NFI,5,0),1,0)*Table_NFI[[#This Row],[Jerry Can]],Table_NFI[Jerry Can])</f>
        <v>0</v>
      </c>
      <c r="AO1260" s="331">
        <f>IF(NFI_Expiration=1,IF($A1260&lt;VLOOKUP(V$5,NFI,5,0),1,0)*Table_NFI[[#This Row],[Shelter Tool kit]],Table_NFI[Shelter Tool kit])</f>
        <v>0</v>
      </c>
      <c r="AP1260" s="331">
        <f>IF(NFI_Expiration=1,IF($A1260&lt;VLOOKUP(V$5,NFI,5,0),1,0)*Table_NFI[[#This Row],[Tent]],Table_NFI[Tent])</f>
        <v>0</v>
      </c>
      <c r="AQ1260" s="467" t="str">
        <f>IFERROR(VLOOKUP(Table_NFI[[#This Row],[Camp Name]],CL,2,0),"")</f>
        <v/>
      </c>
      <c r="AR1260" s="835" t="str">
        <f ca="1">IF(Table_NFI[[#This Row],[Pcode]]="","",IF(OFFSET(CampList[Opening Date],MATCH(Table_NFI[[#This Row],[Pcode]],CampList[CP_Pcode],0)-1,0,1,1)&gt;=NFI_Monitor_Date,1,0))</f>
        <v/>
      </c>
      <c r="AS1260" s="467" t="str">
        <f>IFERROR(VLOOKUP(Table_NFI[[#This Row],[Camp Name]],CL,3,0),"")</f>
        <v/>
      </c>
      <c r="AT1260" s="294" t="str">
        <f ca="1">IF(Table_NFI[[#This Row],[Pcode]]="","",OFFSET(CampList[Priority],MATCH(Table_NFI[[#This Row],[Pcode]],CampList[CP_Pcode],0)-1,0,1,1))</f>
        <v/>
      </c>
      <c r="AU1260" s="293" t="str">
        <f>IFERROR(Table_NFI[[#This Row],[Kitchen Set]]/VLOOKUP(Table_NFI[[#This Row],[Camp Name]],CL,4,0),"")</f>
        <v/>
      </c>
      <c r="AV1260" s="465"/>
      <c r="AW1260" s="468"/>
    </row>
    <row r="1261" spans="1:49" ht="14.45" customHeight="1" x14ac:dyDescent="0.25">
      <c r="A1261" s="297" t="str">
        <f t="shared" si="19"/>
        <v/>
      </c>
      <c r="B1261" s="460"/>
      <c r="C1261" s="465"/>
      <c r="D1261" s="465"/>
      <c r="E1261" s="465"/>
      <c r="F1261" s="465"/>
      <c r="G1261" s="465"/>
      <c r="H1261" s="292"/>
      <c r="I1261" s="292"/>
      <c r="J1261" s="292"/>
      <c r="K1261" s="292"/>
      <c r="L1261" s="292"/>
      <c r="M1261" s="292"/>
      <c r="N1261" s="292"/>
      <c r="O1261" s="292"/>
      <c r="P1261" s="294"/>
      <c r="Q1261" s="294"/>
      <c r="R1261" s="294"/>
      <c r="S1261" s="294"/>
      <c r="T1261" s="294"/>
      <c r="U1261" s="294"/>
      <c r="V1261" s="431"/>
      <c r="W1261" s="331"/>
      <c r="X1261" s="331"/>
      <c r="Y1261" s="294">
        <f>IF(NFI_Expiration=1,IF($A1261&lt;VLOOKUP(H$5,NFI,5,0),1,0)*Table_NFI[[#This Row],[Hygiene Kit]],Table_NFI[Hygiene Kit])</f>
        <v>0</v>
      </c>
      <c r="Z1261" s="294">
        <f>IF(NFI_Expiration=1,IF($A1261&lt;VLOOKUP(I$5,NFI,5,0),1,0)*Table_NFI[[#This Row],[NFI Core Kit]],Table_NFI[NFI Core Kit])</f>
        <v>0</v>
      </c>
      <c r="AA1261" s="294">
        <f>IF(NFI_Expiration=1,IF($A1261&lt;VLOOKUP(J$5,NFI,5,0),1,0)*Table_NFI[[#This Row],[Sanitary Kit]],Table_NFI[Sanitary Kit])</f>
        <v>0</v>
      </c>
      <c r="AB1261" s="294">
        <f>IF(NFI_Expiration=1,IF($A1261&lt;VLOOKUP(K$5,NFI,5,0),1,0)*Table_NFI[[#This Row],[Mosquito net]],Table_NFI[Mosquito net])</f>
        <v>0</v>
      </c>
      <c r="AC1261" s="294">
        <f>IF(NFI_Expiration=1,IF($A1261&lt;VLOOKUP(L$5,NFI,5,0),1,0)*Table_NFI[[#This Row],[Tarpaulin]],Table_NFI[[#This Row],[Tarpaulin]])</f>
        <v>0</v>
      </c>
      <c r="AD1261" s="294">
        <f>IF(NFI_Expiration=1,IF($A1261&lt;VLOOKUP(M$5,NFI,5,0),1,0)*Table_NFI[[#This Row],[Blanket]],Table_NFI[[#This Row],[Blanket]])</f>
        <v>0</v>
      </c>
      <c r="AE1261" s="294">
        <f>IF(NFI_Expiration=1,IF($A1261&lt;VLOOKUP(N$5,NFI,5,0),1,0)*Table_NFI[[#This Row],[Kitchen Set]],Table_NFI[Kitchen Set])</f>
        <v>0</v>
      </c>
      <c r="AF1261" s="294">
        <f>IF(NFI_Expiration=1,IF($A1261&lt;VLOOKUP(O$5,NFI,5,0),1,0)*Table_NFI[[#This Row],[Clothes Kit]],Table_NFI[Clothes Kit])</f>
        <v>0</v>
      </c>
      <c r="AG1261" s="294">
        <f>IF(NFI_Expiration=1,IF($A1261&lt;VLOOKUP(P$5,NFI,5,0),1,0)*Table_NFI[[#This Row],[Plastic Bucket]],Table_NFI[Plastic Bucket])</f>
        <v>0</v>
      </c>
      <c r="AH1261" s="294">
        <f>IF(NFI_Expiration=1,IF($A1261&lt;VLOOKUP(Q$5,NFI,5,0),1,0)*Table_NFI[[#This Row],[Plastic Mat]],Table_NFI[Plastic Mat])*IF(Table_NFI[[#This Row],[Distribution Date]]&gt;"2014-04-01",1,2.5)</f>
        <v>0</v>
      </c>
      <c r="AI1261" s="294">
        <f>IF(NFI_Expiration=1,IF($A1261&lt;VLOOKUP(R$5,NFI,5,0),1,0)*Table_NFI[[#This Row],[Winter Clothes Adult]],Table_NFI[Winter Clothes Adult])</f>
        <v>0</v>
      </c>
      <c r="AJ1261" s="294">
        <f>IF(NFI_Expiration=1,IF($A1261&lt;VLOOKUP(S$5,NFI,5,0),1,0)*Table_NFI[[#This Row],[Winter Clothes Children]],Table_NFI[Winter Clothes Children])</f>
        <v>0</v>
      </c>
      <c r="AK1261" s="294">
        <f>IF(NFI_Expiration=1,IF($A1261&lt;VLOOKUP(T$5,NFI,5,0),1,0)*Table_NFI[[#This Row],[Winter Items Other]],Table_NFI[Winter Items Other])</f>
        <v>0</v>
      </c>
      <c r="AL1261" s="294">
        <f>IF(NFI_Expiration=1,IF($A1261&lt;VLOOKUP(M$5,NFI,5,0),1,0)*Table_NFI[[#This Row],[Winter Blanket]],Table_NFI[[#This Row],[Winter Blanket]])</f>
        <v>0</v>
      </c>
      <c r="AM1261" s="294">
        <f>IF(Table_NFI[[#This Row],[Winter Clothes Adult]]+Table_NFI[[#This Row],[Winter Clothes Children]]+Table_NFI[[#This Row],[Winter Items Other]]+Table_NFI[[#This Row],[Winter Blanket]]&gt;0,1,0)</f>
        <v>0</v>
      </c>
      <c r="AN1261" s="331">
        <f>IF(NFI_Expiration=1,IF($A1261&lt;VLOOKUP(V$5,NFI,5,0),1,0)*Table_NFI[[#This Row],[Jerry Can]],Table_NFI[Jerry Can])</f>
        <v>0</v>
      </c>
      <c r="AO1261" s="331">
        <f>IF(NFI_Expiration=1,IF($A1261&lt;VLOOKUP(V$5,NFI,5,0),1,0)*Table_NFI[[#This Row],[Shelter Tool kit]],Table_NFI[Shelter Tool kit])</f>
        <v>0</v>
      </c>
      <c r="AP1261" s="331">
        <f>IF(NFI_Expiration=1,IF($A1261&lt;VLOOKUP(V$5,NFI,5,0),1,0)*Table_NFI[[#This Row],[Tent]],Table_NFI[Tent])</f>
        <v>0</v>
      </c>
      <c r="AQ1261" s="467" t="str">
        <f>IFERROR(VLOOKUP(Table_NFI[[#This Row],[Camp Name]],CL,2,0),"")</f>
        <v/>
      </c>
      <c r="AR1261" s="835" t="str">
        <f ca="1">IF(Table_NFI[[#This Row],[Pcode]]="","",IF(OFFSET(CampList[Opening Date],MATCH(Table_NFI[[#This Row],[Pcode]],CampList[CP_Pcode],0)-1,0,1,1)&gt;=NFI_Monitor_Date,1,0))</f>
        <v/>
      </c>
      <c r="AS1261" s="467" t="str">
        <f>IFERROR(VLOOKUP(Table_NFI[[#This Row],[Camp Name]],CL,3,0),"")</f>
        <v/>
      </c>
      <c r="AT1261" s="294" t="str">
        <f ca="1">IF(Table_NFI[[#This Row],[Pcode]]="","",OFFSET(CampList[Priority],MATCH(Table_NFI[[#This Row],[Pcode]],CampList[CP_Pcode],0)-1,0,1,1))</f>
        <v/>
      </c>
      <c r="AU1261" s="293" t="str">
        <f>IFERROR(Table_NFI[[#This Row],[Kitchen Set]]/VLOOKUP(Table_NFI[[#This Row],[Camp Name]],CL,4,0),"")</f>
        <v/>
      </c>
      <c r="AV1261" s="465"/>
      <c r="AW1261" s="468"/>
    </row>
    <row r="1262" spans="1:49" ht="14.45" customHeight="1" x14ac:dyDescent="0.25">
      <c r="A1262" s="297" t="str">
        <f t="shared" si="19"/>
        <v/>
      </c>
      <c r="B1262" s="460"/>
      <c r="C1262" s="465"/>
      <c r="D1262" s="465"/>
      <c r="E1262" s="465"/>
      <c r="F1262" s="465"/>
      <c r="G1262" s="465"/>
      <c r="H1262" s="292"/>
      <c r="I1262" s="292"/>
      <c r="J1262" s="292"/>
      <c r="K1262" s="292"/>
      <c r="L1262" s="292"/>
      <c r="M1262" s="292"/>
      <c r="N1262" s="292"/>
      <c r="O1262" s="292"/>
      <c r="P1262" s="294"/>
      <c r="Q1262" s="294"/>
      <c r="R1262" s="294"/>
      <c r="S1262" s="294"/>
      <c r="T1262" s="294"/>
      <c r="U1262" s="294"/>
      <c r="V1262" s="431"/>
      <c r="W1262" s="331"/>
      <c r="X1262" s="331"/>
      <c r="Y1262" s="294">
        <f>IF(NFI_Expiration=1,IF($A1262&lt;VLOOKUP(H$5,NFI,5,0),1,0)*Table_NFI[[#This Row],[Hygiene Kit]],Table_NFI[Hygiene Kit])</f>
        <v>0</v>
      </c>
      <c r="Z1262" s="294">
        <f>IF(NFI_Expiration=1,IF($A1262&lt;VLOOKUP(I$5,NFI,5,0),1,0)*Table_NFI[[#This Row],[NFI Core Kit]],Table_NFI[NFI Core Kit])</f>
        <v>0</v>
      </c>
      <c r="AA1262" s="294">
        <f>IF(NFI_Expiration=1,IF($A1262&lt;VLOOKUP(J$5,NFI,5,0),1,0)*Table_NFI[[#This Row],[Sanitary Kit]],Table_NFI[Sanitary Kit])</f>
        <v>0</v>
      </c>
      <c r="AB1262" s="294">
        <f>IF(NFI_Expiration=1,IF($A1262&lt;VLOOKUP(K$5,NFI,5,0),1,0)*Table_NFI[[#This Row],[Mosquito net]],Table_NFI[Mosquito net])</f>
        <v>0</v>
      </c>
      <c r="AC1262" s="294">
        <f>IF(NFI_Expiration=1,IF($A1262&lt;VLOOKUP(L$5,NFI,5,0),1,0)*Table_NFI[[#This Row],[Tarpaulin]],Table_NFI[[#This Row],[Tarpaulin]])</f>
        <v>0</v>
      </c>
      <c r="AD1262" s="294">
        <f>IF(NFI_Expiration=1,IF($A1262&lt;VLOOKUP(M$5,NFI,5,0),1,0)*Table_NFI[[#This Row],[Blanket]],Table_NFI[[#This Row],[Blanket]])</f>
        <v>0</v>
      </c>
      <c r="AE1262" s="294">
        <f>IF(NFI_Expiration=1,IF($A1262&lt;VLOOKUP(N$5,NFI,5,0),1,0)*Table_NFI[[#This Row],[Kitchen Set]],Table_NFI[Kitchen Set])</f>
        <v>0</v>
      </c>
      <c r="AF1262" s="294">
        <f>IF(NFI_Expiration=1,IF($A1262&lt;VLOOKUP(O$5,NFI,5,0),1,0)*Table_NFI[[#This Row],[Clothes Kit]],Table_NFI[Clothes Kit])</f>
        <v>0</v>
      </c>
      <c r="AG1262" s="294">
        <f>IF(NFI_Expiration=1,IF($A1262&lt;VLOOKUP(P$5,NFI,5,0),1,0)*Table_NFI[[#This Row],[Plastic Bucket]],Table_NFI[Plastic Bucket])</f>
        <v>0</v>
      </c>
      <c r="AH1262" s="294">
        <f>IF(NFI_Expiration=1,IF($A1262&lt;VLOOKUP(Q$5,NFI,5,0),1,0)*Table_NFI[[#This Row],[Plastic Mat]],Table_NFI[Plastic Mat])*IF(Table_NFI[[#This Row],[Distribution Date]]&gt;"2014-04-01",1,2.5)</f>
        <v>0</v>
      </c>
      <c r="AI1262" s="294">
        <f>IF(NFI_Expiration=1,IF($A1262&lt;VLOOKUP(R$5,NFI,5,0),1,0)*Table_NFI[[#This Row],[Winter Clothes Adult]],Table_NFI[Winter Clothes Adult])</f>
        <v>0</v>
      </c>
      <c r="AJ1262" s="294">
        <f>IF(NFI_Expiration=1,IF($A1262&lt;VLOOKUP(S$5,NFI,5,0),1,0)*Table_NFI[[#This Row],[Winter Clothes Children]],Table_NFI[Winter Clothes Children])</f>
        <v>0</v>
      </c>
      <c r="AK1262" s="294">
        <f>IF(NFI_Expiration=1,IF($A1262&lt;VLOOKUP(T$5,NFI,5,0),1,0)*Table_NFI[[#This Row],[Winter Items Other]],Table_NFI[Winter Items Other])</f>
        <v>0</v>
      </c>
      <c r="AL1262" s="294">
        <f>IF(NFI_Expiration=1,IF($A1262&lt;VLOOKUP(M$5,NFI,5,0),1,0)*Table_NFI[[#This Row],[Winter Blanket]],Table_NFI[[#This Row],[Winter Blanket]])</f>
        <v>0</v>
      </c>
      <c r="AM1262" s="294">
        <f>IF(Table_NFI[[#This Row],[Winter Clothes Adult]]+Table_NFI[[#This Row],[Winter Clothes Children]]+Table_NFI[[#This Row],[Winter Items Other]]+Table_NFI[[#This Row],[Winter Blanket]]&gt;0,1,0)</f>
        <v>0</v>
      </c>
      <c r="AN1262" s="331">
        <f>IF(NFI_Expiration=1,IF($A1262&lt;VLOOKUP(V$5,NFI,5,0),1,0)*Table_NFI[[#This Row],[Jerry Can]],Table_NFI[Jerry Can])</f>
        <v>0</v>
      </c>
      <c r="AO1262" s="331">
        <f>IF(NFI_Expiration=1,IF($A1262&lt;VLOOKUP(V$5,NFI,5,0),1,0)*Table_NFI[[#This Row],[Shelter Tool kit]],Table_NFI[Shelter Tool kit])</f>
        <v>0</v>
      </c>
      <c r="AP1262" s="331">
        <f>IF(NFI_Expiration=1,IF($A1262&lt;VLOOKUP(V$5,NFI,5,0),1,0)*Table_NFI[[#This Row],[Tent]],Table_NFI[Tent])</f>
        <v>0</v>
      </c>
      <c r="AQ1262" s="467" t="str">
        <f>IFERROR(VLOOKUP(Table_NFI[[#This Row],[Camp Name]],CL,2,0),"")</f>
        <v/>
      </c>
      <c r="AR1262" s="835" t="str">
        <f ca="1">IF(Table_NFI[[#This Row],[Pcode]]="","",IF(OFFSET(CampList[Opening Date],MATCH(Table_NFI[[#This Row],[Pcode]],CampList[CP_Pcode],0)-1,0,1,1)&gt;=NFI_Monitor_Date,1,0))</f>
        <v/>
      </c>
      <c r="AS1262" s="467" t="str">
        <f>IFERROR(VLOOKUP(Table_NFI[[#This Row],[Camp Name]],CL,3,0),"")</f>
        <v/>
      </c>
      <c r="AT1262" s="294" t="str">
        <f ca="1">IF(Table_NFI[[#This Row],[Pcode]]="","",OFFSET(CampList[Priority],MATCH(Table_NFI[[#This Row],[Pcode]],CampList[CP_Pcode],0)-1,0,1,1))</f>
        <v/>
      </c>
      <c r="AU1262" s="293" t="str">
        <f>IFERROR(Table_NFI[[#This Row],[Kitchen Set]]/VLOOKUP(Table_NFI[[#This Row],[Camp Name]],CL,4,0),"")</f>
        <v/>
      </c>
      <c r="AV1262" s="465"/>
      <c r="AW1262" s="468"/>
    </row>
    <row r="1263" spans="1:49" ht="14.45" customHeight="1" x14ac:dyDescent="0.25">
      <c r="A1263" s="297" t="str">
        <f t="shared" si="19"/>
        <v/>
      </c>
      <c r="B1263" s="460"/>
      <c r="C1263" s="465"/>
      <c r="D1263" s="465"/>
      <c r="E1263" s="465"/>
      <c r="F1263" s="465"/>
      <c r="G1263" s="465"/>
      <c r="H1263" s="292"/>
      <c r="I1263" s="292"/>
      <c r="J1263" s="292"/>
      <c r="K1263" s="292"/>
      <c r="L1263" s="292"/>
      <c r="M1263" s="292"/>
      <c r="N1263" s="292"/>
      <c r="O1263" s="292"/>
      <c r="P1263" s="294"/>
      <c r="Q1263" s="294"/>
      <c r="R1263" s="294"/>
      <c r="S1263" s="294"/>
      <c r="T1263" s="294"/>
      <c r="U1263" s="294"/>
      <c r="V1263" s="431"/>
      <c r="W1263" s="331"/>
      <c r="X1263" s="331"/>
      <c r="Y1263" s="294">
        <f>IF(NFI_Expiration=1,IF($A1263&lt;VLOOKUP(H$5,NFI,5,0),1,0)*Table_NFI[[#This Row],[Hygiene Kit]],Table_NFI[Hygiene Kit])</f>
        <v>0</v>
      </c>
      <c r="Z1263" s="294">
        <f>IF(NFI_Expiration=1,IF($A1263&lt;VLOOKUP(I$5,NFI,5,0),1,0)*Table_NFI[[#This Row],[NFI Core Kit]],Table_NFI[NFI Core Kit])</f>
        <v>0</v>
      </c>
      <c r="AA1263" s="294">
        <f>IF(NFI_Expiration=1,IF($A1263&lt;VLOOKUP(J$5,NFI,5,0),1,0)*Table_NFI[[#This Row],[Sanitary Kit]],Table_NFI[Sanitary Kit])</f>
        <v>0</v>
      </c>
      <c r="AB1263" s="294">
        <f>IF(NFI_Expiration=1,IF($A1263&lt;VLOOKUP(K$5,NFI,5,0),1,0)*Table_NFI[[#This Row],[Mosquito net]],Table_NFI[Mosquito net])</f>
        <v>0</v>
      </c>
      <c r="AC1263" s="294">
        <f>IF(NFI_Expiration=1,IF($A1263&lt;VLOOKUP(L$5,NFI,5,0),1,0)*Table_NFI[[#This Row],[Tarpaulin]],Table_NFI[[#This Row],[Tarpaulin]])</f>
        <v>0</v>
      </c>
      <c r="AD1263" s="294">
        <f>IF(NFI_Expiration=1,IF($A1263&lt;VLOOKUP(M$5,NFI,5,0),1,0)*Table_NFI[[#This Row],[Blanket]],Table_NFI[[#This Row],[Blanket]])</f>
        <v>0</v>
      </c>
      <c r="AE1263" s="294">
        <f>IF(NFI_Expiration=1,IF($A1263&lt;VLOOKUP(N$5,NFI,5,0),1,0)*Table_NFI[[#This Row],[Kitchen Set]],Table_NFI[Kitchen Set])</f>
        <v>0</v>
      </c>
      <c r="AF1263" s="294">
        <f>IF(NFI_Expiration=1,IF($A1263&lt;VLOOKUP(O$5,NFI,5,0),1,0)*Table_NFI[[#This Row],[Clothes Kit]],Table_NFI[Clothes Kit])</f>
        <v>0</v>
      </c>
      <c r="AG1263" s="294">
        <f>IF(NFI_Expiration=1,IF($A1263&lt;VLOOKUP(P$5,NFI,5,0),1,0)*Table_NFI[[#This Row],[Plastic Bucket]],Table_NFI[Plastic Bucket])</f>
        <v>0</v>
      </c>
      <c r="AH1263" s="294">
        <f>IF(NFI_Expiration=1,IF($A1263&lt;VLOOKUP(Q$5,NFI,5,0),1,0)*Table_NFI[[#This Row],[Plastic Mat]],Table_NFI[Plastic Mat])*IF(Table_NFI[[#This Row],[Distribution Date]]&gt;"2014-04-01",1,2.5)</f>
        <v>0</v>
      </c>
      <c r="AI1263" s="294">
        <f>IF(NFI_Expiration=1,IF($A1263&lt;VLOOKUP(R$5,NFI,5,0),1,0)*Table_NFI[[#This Row],[Winter Clothes Adult]],Table_NFI[Winter Clothes Adult])</f>
        <v>0</v>
      </c>
      <c r="AJ1263" s="294">
        <f>IF(NFI_Expiration=1,IF($A1263&lt;VLOOKUP(S$5,NFI,5,0),1,0)*Table_NFI[[#This Row],[Winter Clothes Children]],Table_NFI[Winter Clothes Children])</f>
        <v>0</v>
      </c>
      <c r="AK1263" s="294">
        <f>IF(NFI_Expiration=1,IF($A1263&lt;VLOOKUP(T$5,NFI,5,0),1,0)*Table_NFI[[#This Row],[Winter Items Other]],Table_NFI[Winter Items Other])</f>
        <v>0</v>
      </c>
      <c r="AL1263" s="294">
        <f>IF(NFI_Expiration=1,IF($A1263&lt;VLOOKUP(M$5,NFI,5,0),1,0)*Table_NFI[[#This Row],[Winter Blanket]],Table_NFI[[#This Row],[Winter Blanket]])</f>
        <v>0</v>
      </c>
      <c r="AM1263" s="294">
        <f>IF(Table_NFI[[#This Row],[Winter Clothes Adult]]+Table_NFI[[#This Row],[Winter Clothes Children]]+Table_NFI[[#This Row],[Winter Items Other]]+Table_NFI[[#This Row],[Winter Blanket]]&gt;0,1,0)</f>
        <v>0</v>
      </c>
      <c r="AN1263" s="331">
        <f>IF(NFI_Expiration=1,IF($A1263&lt;VLOOKUP(V$5,NFI,5,0),1,0)*Table_NFI[[#This Row],[Jerry Can]],Table_NFI[Jerry Can])</f>
        <v>0</v>
      </c>
      <c r="AO1263" s="331">
        <f>IF(NFI_Expiration=1,IF($A1263&lt;VLOOKUP(V$5,NFI,5,0),1,0)*Table_NFI[[#This Row],[Shelter Tool kit]],Table_NFI[Shelter Tool kit])</f>
        <v>0</v>
      </c>
      <c r="AP1263" s="331">
        <f>IF(NFI_Expiration=1,IF($A1263&lt;VLOOKUP(V$5,NFI,5,0),1,0)*Table_NFI[[#This Row],[Tent]],Table_NFI[Tent])</f>
        <v>0</v>
      </c>
      <c r="AQ1263" s="467" t="str">
        <f>IFERROR(VLOOKUP(Table_NFI[[#This Row],[Camp Name]],CL,2,0),"")</f>
        <v/>
      </c>
      <c r="AR1263" s="835" t="str">
        <f ca="1">IF(Table_NFI[[#This Row],[Pcode]]="","",IF(OFFSET(CampList[Opening Date],MATCH(Table_NFI[[#This Row],[Pcode]],CampList[CP_Pcode],0)-1,0,1,1)&gt;=NFI_Monitor_Date,1,0))</f>
        <v/>
      </c>
      <c r="AS1263" s="467" t="str">
        <f>IFERROR(VLOOKUP(Table_NFI[[#This Row],[Camp Name]],CL,3,0),"")</f>
        <v/>
      </c>
      <c r="AT1263" s="294" t="str">
        <f ca="1">IF(Table_NFI[[#This Row],[Pcode]]="","",OFFSET(CampList[Priority],MATCH(Table_NFI[[#This Row],[Pcode]],CampList[CP_Pcode],0)-1,0,1,1))</f>
        <v/>
      </c>
      <c r="AU1263" s="293" t="str">
        <f>IFERROR(Table_NFI[[#This Row],[Kitchen Set]]/VLOOKUP(Table_NFI[[#This Row],[Camp Name]],CL,4,0),"")</f>
        <v/>
      </c>
      <c r="AV1263" s="465"/>
      <c r="AW1263" s="468"/>
    </row>
    <row r="1264" spans="1:49" ht="14.45" customHeight="1" x14ac:dyDescent="0.25">
      <c r="A1264" s="297" t="str">
        <f t="shared" si="19"/>
        <v/>
      </c>
      <c r="B1264" s="460"/>
      <c r="C1264" s="465"/>
      <c r="D1264" s="465"/>
      <c r="E1264" s="465"/>
      <c r="F1264" s="465"/>
      <c r="G1264" s="465"/>
      <c r="H1264" s="292"/>
      <c r="I1264" s="292"/>
      <c r="J1264" s="292"/>
      <c r="K1264" s="292"/>
      <c r="L1264" s="292"/>
      <c r="M1264" s="292"/>
      <c r="N1264" s="292"/>
      <c r="O1264" s="292"/>
      <c r="P1264" s="294"/>
      <c r="Q1264" s="294"/>
      <c r="R1264" s="294"/>
      <c r="S1264" s="294"/>
      <c r="T1264" s="294"/>
      <c r="U1264" s="294"/>
      <c r="V1264" s="431"/>
      <c r="W1264" s="331"/>
      <c r="X1264" s="331"/>
      <c r="Y1264" s="294">
        <f>IF(NFI_Expiration=1,IF($A1264&lt;VLOOKUP(H$5,NFI,5,0),1,0)*Table_NFI[[#This Row],[Hygiene Kit]],Table_NFI[Hygiene Kit])</f>
        <v>0</v>
      </c>
      <c r="Z1264" s="294">
        <f>IF(NFI_Expiration=1,IF($A1264&lt;VLOOKUP(I$5,NFI,5,0),1,0)*Table_NFI[[#This Row],[NFI Core Kit]],Table_NFI[NFI Core Kit])</f>
        <v>0</v>
      </c>
      <c r="AA1264" s="294">
        <f>IF(NFI_Expiration=1,IF($A1264&lt;VLOOKUP(J$5,NFI,5,0),1,0)*Table_NFI[[#This Row],[Sanitary Kit]],Table_NFI[Sanitary Kit])</f>
        <v>0</v>
      </c>
      <c r="AB1264" s="294">
        <f>IF(NFI_Expiration=1,IF($A1264&lt;VLOOKUP(K$5,NFI,5,0),1,0)*Table_NFI[[#This Row],[Mosquito net]],Table_NFI[Mosquito net])</f>
        <v>0</v>
      </c>
      <c r="AC1264" s="294">
        <f>IF(NFI_Expiration=1,IF($A1264&lt;VLOOKUP(L$5,NFI,5,0),1,0)*Table_NFI[[#This Row],[Tarpaulin]],Table_NFI[[#This Row],[Tarpaulin]])</f>
        <v>0</v>
      </c>
      <c r="AD1264" s="294">
        <f>IF(NFI_Expiration=1,IF($A1264&lt;VLOOKUP(M$5,NFI,5,0),1,0)*Table_NFI[[#This Row],[Blanket]],Table_NFI[[#This Row],[Blanket]])</f>
        <v>0</v>
      </c>
      <c r="AE1264" s="294">
        <f>IF(NFI_Expiration=1,IF($A1264&lt;VLOOKUP(N$5,NFI,5,0),1,0)*Table_NFI[[#This Row],[Kitchen Set]],Table_NFI[Kitchen Set])</f>
        <v>0</v>
      </c>
      <c r="AF1264" s="294">
        <f>IF(NFI_Expiration=1,IF($A1264&lt;VLOOKUP(O$5,NFI,5,0),1,0)*Table_NFI[[#This Row],[Clothes Kit]],Table_NFI[Clothes Kit])</f>
        <v>0</v>
      </c>
      <c r="AG1264" s="294">
        <f>IF(NFI_Expiration=1,IF($A1264&lt;VLOOKUP(P$5,NFI,5,0),1,0)*Table_NFI[[#This Row],[Plastic Bucket]],Table_NFI[Plastic Bucket])</f>
        <v>0</v>
      </c>
      <c r="AH1264" s="294">
        <f>IF(NFI_Expiration=1,IF($A1264&lt;VLOOKUP(Q$5,NFI,5,0),1,0)*Table_NFI[[#This Row],[Plastic Mat]],Table_NFI[Plastic Mat])*IF(Table_NFI[[#This Row],[Distribution Date]]&gt;"2014-04-01",1,2.5)</f>
        <v>0</v>
      </c>
      <c r="AI1264" s="294">
        <f>IF(NFI_Expiration=1,IF($A1264&lt;VLOOKUP(R$5,NFI,5,0),1,0)*Table_NFI[[#This Row],[Winter Clothes Adult]],Table_NFI[Winter Clothes Adult])</f>
        <v>0</v>
      </c>
      <c r="AJ1264" s="294">
        <f>IF(NFI_Expiration=1,IF($A1264&lt;VLOOKUP(S$5,NFI,5,0),1,0)*Table_NFI[[#This Row],[Winter Clothes Children]],Table_NFI[Winter Clothes Children])</f>
        <v>0</v>
      </c>
      <c r="AK1264" s="294">
        <f>IF(NFI_Expiration=1,IF($A1264&lt;VLOOKUP(T$5,NFI,5,0),1,0)*Table_NFI[[#This Row],[Winter Items Other]],Table_NFI[Winter Items Other])</f>
        <v>0</v>
      </c>
      <c r="AL1264" s="294">
        <f>IF(NFI_Expiration=1,IF($A1264&lt;VLOOKUP(M$5,NFI,5,0),1,0)*Table_NFI[[#This Row],[Winter Blanket]],Table_NFI[[#This Row],[Winter Blanket]])</f>
        <v>0</v>
      </c>
      <c r="AM1264" s="294">
        <f>IF(Table_NFI[[#This Row],[Winter Clothes Adult]]+Table_NFI[[#This Row],[Winter Clothes Children]]+Table_NFI[[#This Row],[Winter Items Other]]+Table_NFI[[#This Row],[Winter Blanket]]&gt;0,1,0)</f>
        <v>0</v>
      </c>
      <c r="AN1264" s="331">
        <f>IF(NFI_Expiration=1,IF($A1264&lt;VLOOKUP(V$5,NFI,5,0),1,0)*Table_NFI[[#This Row],[Jerry Can]],Table_NFI[Jerry Can])</f>
        <v>0</v>
      </c>
      <c r="AO1264" s="331">
        <f>IF(NFI_Expiration=1,IF($A1264&lt;VLOOKUP(V$5,NFI,5,0),1,0)*Table_NFI[[#This Row],[Shelter Tool kit]],Table_NFI[Shelter Tool kit])</f>
        <v>0</v>
      </c>
      <c r="AP1264" s="331">
        <f>IF(NFI_Expiration=1,IF($A1264&lt;VLOOKUP(V$5,NFI,5,0),1,0)*Table_NFI[[#This Row],[Tent]],Table_NFI[Tent])</f>
        <v>0</v>
      </c>
      <c r="AQ1264" s="467" t="str">
        <f>IFERROR(VLOOKUP(Table_NFI[[#This Row],[Camp Name]],CL,2,0),"")</f>
        <v/>
      </c>
      <c r="AR1264" s="835" t="str">
        <f ca="1">IF(Table_NFI[[#This Row],[Pcode]]="","",IF(OFFSET(CampList[Opening Date],MATCH(Table_NFI[[#This Row],[Pcode]],CampList[CP_Pcode],0)-1,0,1,1)&gt;=NFI_Monitor_Date,1,0))</f>
        <v/>
      </c>
      <c r="AS1264" s="467" t="str">
        <f>IFERROR(VLOOKUP(Table_NFI[[#This Row],[Camp Name]],CL,3,0),"")</f>
        <v/>
      </c>
      <c r="AT1264" s="294" t="str">
        <f ca="1">IF(Table_NFI[[#This Row],[Pcode]]="","",OFFSET(CampList[Priority],MATCH(Table_NFI[[#This Row],[Pcode]],CampList[CP_Pcode],0)-1,0,1,1))</f>
        <v/>
      </c>
      <c r="AU1264" s="293" t="str">
        <f>IFERROR(Table_NFI[[#This Row],[Kitchen Set]]/VLOOKUP(Table_NFI[[#This Row],[Camp Name]],CL,4,0),"")</f>
        <v/>
      </c>
      <c r="AV1264" s="465"/>
      <c r="AW1264" s="468"/>
    </row>
    <row r="1265" spans="1:49" ht="14.45" customHeight="1" x14ac:dyDescent="0.25">
      <c r="A1265" s="297" t="str">
        <f t="shared" si="19"/>
        <v/>
      </c>
      <c r="B1265" s="460"/>
      <c r="C1265" s="465"/>
      <c r="D1265" s="465"/>
      <c r="E1265" s="465"/>
      <c r="F1265" s="465"/>
      <c r="G1265" s="465"/>
      <c r="H1265" s="292"/>
      <c r="I1265" s="292"/>
      <c r="J1265" s="292"/>
      <c r="K1265" s="292"/>
      <c r="L1265" s="292"/>
      <c r="M1265" s="292"/>
      <c r="N1265" s="292"/>
      <c r="O1265" s="292"/>
      <c r="P1265" s="294"/>
      <c r="Q1265" s="294"/>
      <c r="R1265" s="294"/>
      <c r="S1265" s="294"/>
      <c r="T1265" s="294"/>
      <c r="U1265" s="294"/>
      <c r="V1265" s="431"/>
      <c r="W1265" s="331"/>
      <c r="X1265" s="331"/>
      <c r="Y1265" s="294">
        <f>IF(NFI_Expiration=1,IF($A1265&lt;VLOOKUP(H$5,NFI,5,0),1,0)*Table_NFI[[#This Row],[Hygiene Kit]],Table_NFI[Hygiene Kit])</f>
        <v>0</v>
      </c>
      <c r="Z1265" s="294">
        <f>IF(NFI_Expiration=1,IF($A1265&lt;VLOOKUP(I$5,NFI,5,0),1,0)*Table_NFI[[#This Row],[NFI Core Kit]],Table_NFI[NFI Core Kit])</f>
        <v>0</v>
      </c>
      <c r="AA1265" s="294">
        <f>IF(NFI_Expiration=1,IF($A1265&lt;VLOOKUP(J$5,NFI,5,0),1,0)*Table_NFI[[#This Row],[Sanitary Kit]],Table_NFI[Sanitary Kit])</f>
        <v>0</v>
      </c>
      <c r="AB1265" s="294">
        <f>IF(NFI_Expiration=1,IF($A1265&lt;VLOOKUP(K$5,NFI,5,0),1,0)*Table_NFI[[#This Row],[Mosquito net]],Table_NFI[Mosquito net])</f>
        <v>0</v>
      </c>
      <c r="AC1265" s="294">
        <f>IF(NFI_Expiration=1,IF($A1265&lt;VLOOKUP(L$5,NFI,5,0),1,0)*Table_NFI[[#This Row],[Tarpaulin]],Table_NFI[[#This Row],[Tarpaulin]])</f>
        <v>0</v>
      </c>
      <c r="AD1265" s="294">
        <f>IF(NFI_Expiration=1,IF($A1265&lt;VLOOKUP(M$5,NFI,5,0),1,0)*Table_NFI[[#This Row],[Blanket]],Table_NFI[[#This Row],[Blanket]])</f>
        <v>0</v>
      </c>
      <c r="AE1265" s="294">
        <f>IF(NFI_Expiration=1,IF($A1265&lt;VLOOKUP(N$5,NFI,5,0),1,0)*Table_NFI[[#This Row],[Kitchen Set]],Table_NFI[Kitchen Set])</f>
        <v>0</v>
      </c>
      <c r="AF1265" s="294">
        <f>IF(NFI_Expiration=1,IF($A1265&lt;VLOOKUP(O$5,NFI,5,0),1,0)*Table_NFI[[#This Row],[Clothes Kit]],Table_NFI[Clothes Kit])</f>
        <v>0</v>
      </c>
      <c r="AG1265" s="294">
        <f>IF(NFI_Expiration=1,IF($A1265&lt;VLOOKUP(P$5,NFI,5,0),1,0)*Table_NFI[[#This Row],[Plastic Bucket]],Table_NFI[Plastic Bucket])</f>
        <v>0</v>
      </c>
      <c r="AH1265" s="294">
        <f>IF(NFI_Expiration=1,IF($A1265&lt;VLOOKUP(Q$5,NFI,5,0),1,0)*Table_NFI[[#This Row],[Plastic Mat]],Table_NFI[Plastic Mat])*IF(Table_NFI[[#This Row],[Distribution Date]]&gt;"2014-04-01",1,2.5)</f>
        <v>0</v>
      </c>
      <c r="AI1265" s="294">
        <f>IF(NFI_Expiration=1,IF($A1265&lt;VLOOKUP(R$5,NFI,5,0),1,0)*Table_NFI[[#This Row],[Winter Clothes Adult]],Table_NFI[Winter Clothes Adult])</f>
        <v>0</v>
      </c>
      <c r="AJ1265" s="294">
        <f>IF(NFI_Expiration=1,IF($A1265&lt;VLOOKUP(S$5,NFI,5,0),1,0)*Table_NFI[[#This Row],[Winter Clothes Children]],Table_NFI[Winter Clothes Children])</f>
        <v>0</v>
      </c>
      <c r="AK1265" s="294">
        <f>IF(NFI_Expiration=1,IF($A1265&lt;VLOOKUP(T$5,NFI,5,0),1,0)*Table_NFI[[#This Row],[Winter Items Other]],Table_NFI[Winter Items Other])</f>
        <v>0</v>
      </c>
      <c r="AL1265" s="294">
        <f>IF(NFI_Expiration=1,IF($A1265&lt;VLOOKUP(M$5,NFI,5,0),1,0)*Table_NFI[[#This Row],[Winter Blanket]],Table_NFI[[#This Row],[Winter Blanket]])</f>
        <v>0</v>
      </c>
      <c r="AM1265" s="294">
        <f>IF(Table_NFI[[#This Row],[Winter Clothes Adult]]+Table_NFI[[#This Row],[Winter Clothes Children]]+Table_NFI[[#This Row],[Winter Items Other]]+Table_NFI[[#This Row],[Winter Blanket]]&gt;0,1,0)</f>
        <v>0</v>
      </c>
      <c r="AN1265" s="331">
        <f>IF(NFI_Expiration=1,IF($A1265&lt;VLOOKUP(V$5,NFI,5,0),1,0)*Table_NFI[[#This Row],[Jerry Can]],Table_NFI[Jerry Can])</f>
        <v>0</v>
      </c>
      <c r="AO1265" s="331">
        <f>IF(NFI_Expiration=1,IF($A1265&lt;VLOOKUP(V$5,NFI,5,0),1,0)*Table_NFI[[#This Row],[Shelter Tool kit]],Table_NFI[Shelter Tool kit])</f>
        <v>0</v>
      </c>
      <c r="AP1265" s="331">
        <f>IF(NFI_Expiration=1,IF($A1265&lt;VLOOKUP(V$5,NFI,5,0),1,0)*Table_NFI[[#This Row],[Tent]],Table_NFI[Tent])</f>
        <v>0</v>
      </c>
      <c r="AQ1265" s="467" t="str">
        <f>IFERROR(VLOOKUP(Table_NFI[[#This Row],[Camp Name]],CL,2,0),"")</f>
        <v/>
      </c>
      <c r="AR1265" s="835" t="str">
        <f ca="1">IF(Table_NFI[[#This Row],[Pcode]]="","",IF(OFFSET(CampList[Opening Date],MATCH(Table_NFI[[#This Row],[Pcode]],CampList[CP_Pcode],0)-1,0,1,1)&gt;=NFI_Monitor_Date,1,0))</f>
        <v/>
      </c>
      <c r="AS1265" s="467" t="str">
        <f>IFERROR(VLOOKUP(Table_NFI[[#This Row],[Camp Name]],CL,3,0),"")</f>
        <v/>
      </c>
      <c r="AT1265" s="294" t="str">
        <f ca="1">IF(Table_NFI[[#This Row],[Pcode]]="","",OFFSET(CampList[Priority],MATCH(Table_NFI[[#This Row],[Pcode]],CampList[CP_Pcode],0)-1,0,1,1))</f>
        <v/>
      </c>
      <c r="AU1265" s="293" t="str">
        <f>IFERROR(Table_NFI[[#This Row],[Kitchen Set]]/VLOOKUP(Table_NFI[[#This Row],[Camp Name]],CL,4,0),"")</f>
        <v/>
      </c>
      <c r="AV1265" s="465"/>
      <c r="AW1265" s="468"/>
    </row>
    <row r="1266" spans="1:49" ht="14.45" customHeight="1" x14ac:dyDescent="0.25">
      <c r="A1266" s="297" t="str">
        <f t="shared" si="19"/>
        <v/>
      </c>
      <c r="B1266" s="460"/>
      <c r="C1266" s="465"/>
      <c r="D1266" s="465"/>
      <c r="E1266" s="465"/>
      <c r="F1266" s="465"/>
      <c r="G1266" s="465"/>
      <c r="H1266" s="292"/>
      <c r="I1266" s="292"/>
      <c r="J1266" s="292"/>
      <c r="K1266" s="292"/>
      <c r="L1266" s="292"/>
      <c r="M1266" s="292"/>
      <c r="N1266" s="292"/>
      <c r="O1266" s="292"/>
      <c r="P1266" s="294"/>
      <c r="Q1266" s="294"/>
      <c r="R1266" s="294"/>
      <c r="S1266" s="294"/>
      <c r="T1266" s="294"/>
      <c r="U1266" s="294"/>
      <c r="V1266" s="431"/>
      <c r="W1266" s="331"/>
      <c r="X1266" s="331"/>
      <c r="Y1266" s="294">
        <f>IF(NFI_Expiration=1,IF($A1266&lt;VLOOKUP(H$5,NFI,5,0),1,0)*Table_NFI[[#This Row],[Hygiene Kit]],Table_NFI[Hygiene Kit])</f>
        <v>0</v>
      </c>
      <c r="Z1266" s="294">
        <f>IF(NFI_Expiration=1,IF($A1266&lt;VLOOKUP(I$5,NFI,5,0),1,0)*Table_NFI[[#This Row],[NFI Core Kit]],Table_NFI[NFI Core Kit])</f>
        <v>0</v>
      </c>
      <c r="AA1266" s="294">
        <f>IF(NFI_Expiration=1,IF($A1266&lt;VLOOKUP(J$5,NFI,5,0),1,0)*Table_NFI[[#This Row],[Sanitary Kit]],Table_NFI[Sanitary Kit])</f>
        <v>0</v>
      </c>
      <c r="AB1266" s="294">
        <f>IF(NFI_Expiration=1,IF($A1266&lt;VLOOKUP(K$5,NFI,5,0),1,0)*Table_NFI[[#This Row],[Mosquito net]],Table_NFI[Mosquito net])</f>
        <v>0</v>
      </c>
      <c r="AC1266" s="294">
        <f>IF(NFI_Expiration=1,IF($A1266&lt;VLOOKUP(L$5,NFI,5,0),1,0)*Table_NFI[[#This Row],[Tarpaulin]],Table_NFI[[#This Row],[Tarpaulin]])</f>
        <v>0</v>
      </c>
      <c r="AD1266" s="294">
        <f>IF(NFI_Expiration=1,IF($A1266&lt;VLOOKUP(M$5,NFI,5,0),1,0)*Table_NFI[[#This Row],[Blanket]],Table_NFI[[#This Row],[Blanket]])</f>
        <v>0</v>
      </c>
      <c r="AE1266" s="294">
        <f>IF(NFI_Expiration=1,IF($A1266&lt;VLOOKUP(N$5,NFI,5,0),1,0)*Table_NFI[[#This Row],[Kitchen Set]],Table_NFI[Kitchen Set])</f>
        <v>0</v>
      </c>
      <c r="AF1266" s="294">
        <f>IF(NFI_Expiration=1,IF($A1266&lt;VLOOKUP(O$5,NFI,5,0),1,0)*Table_NFI[[#This Row],[Clothes Kit]],Table_NFI[Clothes Kit])</f>
        <v>0</v>
      </c>
      <c r="AG1266" s="294">
        <f>IF(NFI_Expiration=1,IF($A1266&lt;VLOOKUP(P$5,NFI,5,0),1,0)*Table_NFI[[#This Row],[Plastic Bucket]],Table_NFI[Plastic Bucket])</f>
        <v>0</v>
      </c>
      <c r="AH1266" s="294">
        <f>IF(NFI_Expiration=1,IF($A1266&lt;VLOOKUP(Q$5,NFI,5,0),1,0)*Table_NFI[[#This Row],[Plastic Mat]],Table_NFI[Plastic Mat])*IF(Table_NFI[[#This Row],[Distribution Date]]&gt;"2014-04-01",1,2.5)</f>
        <v>0</v>
      </c>
      <c r="AI1266" s="294">
        <f>IF(NFI_Expiration=1,IF($A1266&lt;VLOOKUP(R$5,NFI,5,0),1,0)*Table_NFI[[#This Row],[Winter Clothes Adult]],Table_NFI[Winter Clothes Adult])</f>
        <v>0</v>
      </c>
      <c r="AJ1266" s="294">
        <f>IF(NFI_Expiration=1,IF($A1266&lt;VLOOKUP(S$5,NFI,5,0),1,0)*Table_NFI[[#This Row],[Winter Clothes Children]],Table_NFI[Winter Clothes Children])</f>
        <v>0</v>
      </c>
      <c r="AK1266" s="294">
        <f>IF(NFI_Expiration=1,IF($A1266&lt;VLOOKUP(T$5,NFI,5,0),1,0)*Table_NFI[[#This Row],[Winter Items Other]],Table_NFI[Winter Items Other])</f>
        <v>0</v>
      </c>
      <c r="AL1266" s="294">
        <f>IF(NFI_Expiration=1,IF($A1266&lt;VLOOKUP(M$5,NFI,5,0),1,0)*Table_NFI[[#This Row],[Winter Blanket]],Table_NFI[[#This Row],[Winter Blanket]])</f>
        <v>0</v>
      </c>
      <c r="AM1266" s="294">
        <f>IF(Table_NFI[[#This Row],[Winter Clothes Adult]]+Table_NFI[[#This Row],[Winter Clothes Children]]+Table_NFI[[#This Row],[Winter Items Other]]+Table_NFI[[#This Row],[Winter Blanket]]&gt;0,1,0)</f>
        <v>0</v>
      </c>
      <c r="AN1266" s="331">
        <f>IF(NFI_Expiration=1,IF($A1266&lt;VLOOKUP(V$5,NFI,5,0),1,0)*Table_NFI[[#This Row],[Jerry Can]],Table_NFI[Jerry Can])</f>
        <v>0</v>
      </c>
      <c r="AO1266" s="331">
        <f>IF(NFI_Expiration=1,IF($A1266&lt;VLOOKUP(V$5,NFI,5,0),1,0)*Table_NFI[[#This Row],[Shelter Tool kit]],Table_NFI[Shelter Tool kit])</f>
        <v>0</v>
      </c>
      <c r="AP1266" s="331">
        <f>IF(NFI_Expiration=1,IF($A1266&lt;VLOOKUP(V$5,NFI,5,0),1,0)*Table_NFI[[#This Row],[Tent]],Table_NFI[Tent])</f>
        <v>0</v>
      </c>
      <c r="AQ1266" s="467" t="str">
        <f>IFERROR(VLOOKUP(Table_NFI[[#This Row],[Camp Name]],CL,2,0),"")</f>
        <v/>
      </c>
      <c r="AR1266" s="835" t="str">
        <f ca="1">IF(Table_NFI[[#This Row],[Pcode]]="","",IF(OFFSET(CampList[Opening Date],MATCH(Table_NFI[[#This Row],[Pcode]],CampList[CP_Pcode],0)-1,0,1,1)&gt;=NFI_Monitor_Date,1,0))</f>
        <v/>
      </c>
      <c r="AS1266" s="467" t="str">
        <f>IFERROR(VLOOKUP(Table_NFI[[#This Row],[Camp Name]],CL,3,0),"")</f>
        <v/>
      </c>
      <c r="AT1266" s="294" t="str">
        <f ca="1">IF(Table_NFI[[#This Row],[Pcode]]="","",OFFSET(CampList[Priority],MATCH(Table_NFI[[#This Row],[Pcode]],CampList[CP_Pcode],0)-1,0,1,1))</f>
        <v/>
      </c>
      <c r="AU1266" s="293" t="str">
        <f>IFERROR(Table_NFI[[#This Row],[Kitchen Set]]/VLOOKUP(Table_NFI[[#This Row],[Camp Name]],CL,4,0),"")</f>
        <v/>
      </c>
      <c r="AV1266" s="465"/>
      <c r="AW1266" s="468"/>
    </row>
    <row r="1267" spans="1:49" ht="14.45" customHeight="1" x14ac:dyDescent="0.25">
      <c r="A1267" s="297" t="str">
        <f t="shared" si="19"/>
        <v/>
      </c>
      <c r="B1267" s="460"/>
      <c r="C1267" s="465"/>
      <c r="D1267" s="465"/>
      <c r="E1267" s="465"/>
      <c r="F1267" s="465"/>
      <c r="G1267" s="465"/>
      <c r="H1267" s="292"/>
      <c r="I1267" s="292"/>
      <c r="J1267" s="292"/>
      <c r="K1267" s="292"/>
      <c r="L1267" s="292"/>
      <c r="M1267" s="292"/>
      <c r="N1267" s="292"/>
      <c r="O1267" s="292"/>
      <c r="P1267" s="294"/>
      <c r="Q1267" s="294"/>
      <c r="R1267" s="294"/>
      <c r="S1267" s="294"/>
      <c r="T1267" s="294"/>
      <c r="U1267" s="294"/>
      <c r="V1267" s="431"/>
      <c r="W1267" s="331"/>
      <c r="X1267" s="331"/>
      <c r="Y1267" s="294">
        <f>IF(NFI_Expiration=1,IF($A1267&lt;VLOOKUP(H$5,NFI,5,0),1,0)*Table_NFI[[#This Row],[Hygiene Kit]],Table_NFI[Hygiene Kit])</f>
        <v>0</v>
      </c>
      <c r="Z1267" s="294">
        <f>IF(NFI_Expiration=1,IF($A1267&lt;VLOOKUP(I$5,NFI,5,0),1,0)*Table_NFI[[#This Row],[NFI Core Kit]],Table_NFI[NFI Core Kit])</f>
        <v>0</v>
      </c>
      <c r="AA1267" s="294">
        <f>IF(NFI_Expiration=1,IF($A1267&lt;VLOOKUP(J$5,NFI,5,0),1,0)*Table_NFI[[#This Row],[Sanitary Kit]],Table_NFI[Sanitary Kit])</f>
        <v>0</v>
      </c>
      <c r="AB1267" s="294">
        <f>IF(NFI_Expiration=1,IF($A1267&lt;VLOOKUP(K$5,NFI,5,0),1,0)*Table_NFI[[#This Row],[Mosquito net]],Table_NFI[Mosquito net])</f>
        <v>0</v>
      </c>
      <c r="AC1267" s="294">
        <f>IF(NFI_Expiration=1,IF($A1267&lt;VLOOKUP(L$5,NFI,5,0),1,0)*Table_NFI[[#This Row],[Tarpaulin]],Table_NFI[[#This Row],[Tarpaulin]])</f>
        <v>0</v>
      </c>
      <c r="AD1267" s="294">
        <f>IF(NFI_Expiration=1,IF($A1267&lt;VLOOKUP(M$5,NFI,5,0),1,0)*Table_NFI[[#This Row],[Blanket]],Table_NFI[[#This Row],[Blanket]])</f>
        <v>0</v>
      </c>
      <c r="AE1267" s="294">
        <f>IF(NFI_Expiration=1,IF($A1267&lt;VLOOKUP(N$5,NFI,5,0),1,0)*Table_NFI[[#This Row],[Kitchen Set]],Table_NFI[Kitchen Set])</f>
        <v>0</v>
      </c>
      <c r="AF1267" s="294">
        <f>IF(NFI_Expiration=1,IF($A1267&lt;VLOOKUP(O$5,NFI,5,0),1,0)*Table_NFI[[#This Row],[Clothes Kit]],Table_NFI[Clothes Kit])</f>
        <v>0</v>
      </c>
      <c r="AG1267" s="294">
        <f>IF(NFI_Expiration=1,IF($A1267&lt;VLOOKUP(P$5,NFI,5,0),1,0)*Table_NFI[[#This Row],[Plastic Bucket]],Table_NFI[Plastic Bucket])</f>
        <v>0</v>
      </c>
      <c r="AH1267" s="294">
        <f>IF(NFI_Expiration=1,IF($A1267&lt;VLOOKUP(Q$5,NFI,5,0),1,0)*Table_NFI[[#This Row],[Plastic Mat]],Table_NFI[Plastic Mat])*IF(Table_NFI[[#This Row],[Distribution Date]]&gt;"2014-04-01",1,2.5)</f>
        <v>0</v>
      </c>
      <c r="AI1267" s="294">
        <f>IF(NFI_Expiration=1,IF($A1267&lt;VLOOKUP(R$5,NFI,5,0),1,0)*Table_NFI[[#This Row],[Winter Clothes Adult]],Table_NFI[Winter Clothes Adult])</f>
        <v>0</v>
      </c>
      <c r="AJ1267" s="294">
        <f>IF(NFI_Expiration=1,IF($A1267&lt;VLOOKUP(S$5,NFI,5,0),1,0)*Table_NFI[[#This Row],[Winter Clothes Children]],Table_NFI[Winter Clothes Children])</f>
        <v>0</v>
      </c>
      <c r="AK1267" s="294">
        <f>IF(NFI_Expiration=1,IF($A1267&lt;VLOOKUP(T$5,NFI,5,0),1,0)*Table_NFI[[#This Row],[Winter Items Other]],Table_NFI[Winter Items Other])</f>
        <v>0</v>
      </c>
      <c r="AL1267" s="294">
        <f>IF(NFI_Expiration=1,IF($A1267&lt;VLOOKUP(M$5,NFI,5,0),1,0)*Table_NFI[[#This Row],[Winter Blanket]],Table_NFI[[#This Row],[Winter Blanket]])</f>
        <v>0</v>
      </c>
      <c r="AM1267" s="294">
        <f>IF(Table_NFI[[#This Row],[Winter Clothes Adult]]+Table_NFI[[#This Row],[Winter Clothes Children]]+Table_NFI[[#This Row],[Winter Items Other]]+Table_NFI[[#This Row],[Winter Blanket]]&gt;0,1,0)</f>
        <v>0</v>
      </c>
      <c r="AN1267" s="331">
        <f>IF(NFI_Expiration=1,IF($A1267&lt;VLOOKUP(V$5,NFI,5,0),1,0)*Table_NFI[[#This Row],[Jerry Can]],Table_NFI[Jerry Can])</f>
        <v>0</v>
      </c>
      <c r="AO1267" s="331">
        <f>IF(NFI_Expiration=1,IF($A1267&lt;VLOOKUP(V$5,NFI,5,0),1,0)*Table_NFI[[#This Row],[Shelter Tool kit]],Table_NFI[Shelter Tool kit])</f>
        <v>0</v>
      </c>
      <c r="AP1267" s="331">
        <f>IF(NFI_Expiration=1,IF($A1267&lt;VLOOKUP(V$5,NFI,5,0),1,0)*Table_NFI[[#This Row],[Tent]],Table_NFI[Tent])</f>
        <v>0</v>
      </c>
      <c r="AQ1267" s="467" t="str">
        <f>IFERROR(VLOOKUP(Table_NFI[[#This Row],[Camp Name]],CL,2,0),"")</f>
        <v/>
      </c>
      <c r="AR1267" s="835" t="str">
        <f ca="1">IF(Table_NFI[[#This Row],[Pcode]]="","",IF(OFFSET(CampList[Opening Date],MATCH(Table_NFI[[#This Row],[Pcode]],CampList[CP_Pcode],0)-1,0,1,1)&gt;=NFI_Monitor_Date,1,0))</f>
        <v/>
      </c>
      <c r="AS1267" s="467" t="str">
        <f>IFERROR(VLOOKUP(Table_NFI[[#This Row],[Camp Name]],CL,3,0),"")</f>
        <v/>
      </c>
      <c r="AT1267" s="294" t="str">
        <f ca="1">IF(Table_NFI[[#This Row],[Pcode]]="","",OFFSET(CampList[Priority],MATCH(Table_NFI[[#This Row],[Pcode]],CampList[CP_Pcode],0)-1,0,1,1))</f>
        <v/>
      </c>
      <c r="AU1267" s="293" t="str">
        <f>IFERROR(Table_NFI[[#This Row],[Kitchen Set]]/VLOOKUP(Table_NFI[[#This Row],[Camp Name]],CL,4,0),"")</f>
        <v/>
      </c>
      <c r="AV1267" s="465"/>
      <c r="AW1267" s="468"/>
    </row>
    <row r="1268" spans="1:49" ht="14.45" customHeight="1" x14ac:dyDescent="0.25">
      <c r="A1268" s="297" t="str">
        <f t="shared" si="19"/>
        <v/>
      </c>
      <c r="B1268" s="460"/>
      <c r="C1268" s="465"/>
      <c r="D1268" s="465"/>
      <c r="E1268" s="465"/>
      <c r="F1268" s="465"/>
      <c r="G1268" s="465"/>
      <c r="H1268" s="292"/>
      <c r="I1268" s="292"/>
      <c r="J1268" s="292"/>
      <c r="K1268" s="292"/>
      <c r="L1268" s="292"/>
      <c r="M1268" s="292"/>
      <c r="N1268" s="292"/>
      <c r="O1268" s="292"/>
      <c r="P1268" s="294"/>
      <c r="Q1268" s="294"/>
      <c r="R1268" s="294"/>
      <c r="S1268" s="294"/>
      <c r="T1268" s="294"/>
      <c r="U1268" s="294"/>
      <c r="V1268" s="431"/>
      <c r="W1268" s="331"/>
      <c r="X1268" s="331"/>
      <c r="Y1268" s="294">
        <f>IF(NFI_Expiration=1,IF($A1268&lt;VLOOKUP(H$5,NFI,5,0),1,0)*Table_NFI[[#This Row],[Hygiene Kit]],Table_NFI[Hygiene Kit])</f>
        <v>0</v>
      </c>
      <c r="Z1268" s="294">
        <f>IF(NFI_Expiration=1,IF($A1268&lt;VLOOKUP(I$5,NFI,5,0),1,0)*Table_NFI[[#This Row],[NFI Core Kit]],Table_NFI[NFI Core Kit])</f>
        <v>0</v>
      </c>
      <c r="AA1268" s="294">
        <f>IF(NFI_Expiration=1,IF($A1268&lt;VLOOKUP(J$5,NFI,5,0),1,0)*Table_NFI[[#This Row],[Sanitary Kit]],Table_NFI[Sanitary Kit])</f>
        <v>0</v>
      </c>
      <c r="AB1268" s="294">
        <f>IF(NFI_Expiration=1,IF($A1268&lt;VLOOKUP(K$5,NFI,5,0),1,0)*Table_NFI[[#This Row],[Mosquito net]],Table_NFI[Mosquito net])</f>
        <v>0</v>
      </c>
      <c r="AC1268" s="294">
        <f>IF(NFI_Expiration=1,IF($A1268&lt;VLOOKUP(L$5,NFI,5,0),1,0)*Table_NFI[[#This Row],[Tarpaulin]],Table_NFI[[#This Row],[Tarpaulin]])</f>
        <v>0</v>
      </c>
      <c r="AD1268" s="294">
        <f>IF(NFI_Expiration=1,IF($A1268&lt;VLOOKUP(M$5,NFI,5,0),1,0)*Table_NFI[[#This Row],[Blanket]],Table_NFI[[#This Row],[Blanket]])</f>
        <v>0</v>
      </c>
      <c r="AE1268" s="294">
        <f>IF(NFI_Expiration=1,IF($A1268&lt;VLOOKUP(N$5,NFI,5,0),1,0)*Table_NFI[[#This Row],[Kitchen Set]],Table_NFI[Kitchen Set])</f>
        <v>0</v>
      </c>
      <c r="AF1268" s="294">
        <f>IF(NFI_Expiration=1,IF($A1268&lt;VLOOKUP(O$5,NFI,5,0),1,0)*Table_NFI[[#This Row],[Clothes Kit]],Table_NFI[Clothes Kit])</f>
        <v>0</v>
      </c>
      <c r="AG1268" s="294">
        <f>IF(NFI_Expiration=1,IF($A1268&lt;VLOOKUP(P$5,NFI,5,0),1,0)*Table_NFI[[#This Row],[Plastic Bucket]],Table_NFI[Plastic Bucket])</f>
        <v>0</v>
      </c>
      <c r="AH1268" s="294">
        <f>IF(NFI_Expiration=1,IF($A1268&lt;VLOOKUP(Q$5,NFI,5,0),1,0)*Table_NFI[[#This Row],[Plastic Mat]],Table_NFI[Plastic Mat])*IF(Table_NFI[[#This Row],[Distribution Date]]&gt;"2014-04-01",1,2.5)</f>
        <v>0</v>
      </c>
      <c r="AI1268" s="294">
        <f>IF(NFI_Expiration=1,IF($A1268&lt;VLOOKUP(R$5,NFI,5,0),1,0)*Table_NFI[[#This Row],[Winter Clothes Adult]],Table_NFI[Winter Clothes Adult])</f>
        <v>0</v>
      </c>
      <c r="AJ1268" s="294">
        <f>IF(NFI_Expiration=1,IF($A1268&lt;VLOOKUP(S$5,NFI,5,0),1,0)*Table_NFI[[#This Row],[Winter Clothes Children]],Table_NFI[Winter Clothes Children])</f>
        <v>0</v>
      </c>
      <c r="AK1268" s="294">
        <f>IF(NFI_Expiration=1,IF($A1268&lt;VLOOKUP(T$5,NFI,5,0),1,0)*Table_NFI[[#This Row],[Winter Items Other]],Table_NFI[Winter Items Other])</f>
        <v>0</v>
      </c>
      <c r="AL1268" s="294">
        <f>IF(NFI_Expiration=1,IF($A1268&lt;VLOOKUP(M$5,NFI,5,0),1,0)*Table_NFI[[#This Row],[Winter Blanket]],Table_NFI[[#This Row],[Winter Blanket]])</f>
        <v>0</v>
      </c>
      <c r="AM1268" s="294">
        <f>IF(Table_NFI[[#This Row],[Winter Clothes Adult]]+Table_NFI[[#This Row],[Winter Clothes Children]]+Table_NFI[[#This Row],[Winter Items Other]]+Table_NFI[[#This Row],[Winter Blanket]]&gt;0,1,0)</f>
        <v>0</v>
      </c>
      <c r="AN1268" s="331">
        <f>IF(NFI_Expiration=1,IF($A1268&lt;VLOOKUP(V$5,NFI,5,0),1,0)*Table_NFI[[#This Row],[Jerry Can]],Table_NFI[Jerry Can])</f>
        <v>0</v>
      </c>
      <c r="AO1268" s="331">
        <f>IF(NFI_Expiration=1,IF($A1268&lt;VLOOKUP(V$5,NFI,5,0),1,0)*Table_NFI[[#This Row],[Shelter Tool kit]],Table_NFI[Shelter Tool kit])</f>
        <v>0</v>
      </c>
      <c r="AP1268" s="331">
        <f>IF(NFI_Expiration=1,IF($A1268&lt;VLOOKUP(V$5,NFI,5,0),1,0)*Table_NFI[[#This Row],[Tent]],Table_NFI[Tent])</f>
        <v>0</v>
      </c>
      <c r="AQ1268" s="467" t="str">
        <f>IFERROR(VLOOKUP(Table_NFI[[#This Row],[Camp Name]],CL,2,0),"")</f>
        <v/>
      </c>
      <c r="AR1268" s="835" t="str">
        <f ca="1">IF(Table_NFI[[#This Row],[Pcode]]="","",IF(OFFSET(CampList[Opening Date],MATCH(Table_NFI[[#This Row],[Pcode]],CampList[CP_Pcode],0)-1,0,1,1)&gt;=NFI_Monitor_Date,1,0))</f>
        <v/>
      </c>
      <c r="AS1268" s="467" t="str">
        <f>IFERROR(VLOOKUP(Table_NFI[[#This Row],[Camp Name]],CL,3,0),"")</f>
        <v/>
      </c>
      <c r="AT1268" s="294" t="str">
        <f ca="1">IF(Table_NFI[[#This Row],[Pcode]]="","",OFFSET(CampList[Priority],MATCH(Table_NFI[[#This Row],[Pcode]],CampList[CP_Pcode],0)-1,0,1,1))</f>
        <v/>
      </c>
      <c r="AU1268" s="293" t="str">
        <f>IFERROR(Table_NFI[[#This Row],[Kitchen Set]]/VLOOKUP(Table_NFI[[#This Row],[Camp Name]],CL,4,0),"")</f>
        <v/>
      </c>
      <c r="AV1268" s="465"/>
      <c r="AW1268" s="468"/>
    </row>
    <row r="1269" spans="1:49" ht="14.45" customHeight="1" x14ac:dyDescent="0.25">
      <c r="A1269" s="297" t="str">
        <f t="shared" si="19"/>
        <v/>
      </c>
      <c r="B1269" s="460"/>
      <c r="C1269" s="465"/>
      <c r="D1269" s="465"/>
      <c r="E1269" s="465"/>
      <c r="F1269" s="465"/>
      <c r="G1269" s="465"/>
      <c r="H1269" s="292"/>
      <c r="I1269" s="292"/>
      <c r="J1269" s="292"/>
      <c r="K1269" s="292"/>
      <c r="L1269" s="292"/>
      <c r="M1269" s="292"/>
      <c r="N1269" s="292"/>
      <c r="O1269" s="292"/>
      <c r="P1269" s="294"/>
      <c r="Q1269" s="294"/>
      <c r="R1269" s="294"/>
      <c r="S1269" s="294"/>
      <c r="T1269" s="294"/>
      <c r="U1269" s="294"/>
      <c r="V1269" s="431"/>
      <c r="W1269" s="331"/>
      <c r="X1269" s="331"/>
      <c r="Y1269" s="294">
        <f>IF(NFI_Expiration=1,IF($A1269&lt;VLOOKUP(H$5,NFI,5,0),1,0)*Table_NFI[[#This Row],[Hygiene Kit]],Table_NFI[Hygiene Kit])</f>
        <v>0</v>
      </c>
      <c r="Z1269" s="294">
        <f>IF(NFI_Expiration=1,IF($A1269&lt;VLOOKUP(I$5,NFI,5,0),1,0)*Table_NFI[[#This Row],[NFI Core Kit]],Table_NFI[NFI Core Kit])</f>
        <v>0</v>
      </c>
      <c r="AA1269" s="294">
        <f>IF(NFI_Expiration=1,IF($A1269&lt;VLOOKUP(J$5,NFI,5,0),1,0)*Table_NFI[[#This Row],[Sanitary Kit]],Table_NFI[Sanitary Kit])</f>
        <v>0</v>
      </c>
      <c r="AB1269" s="294">
        <f>IF(NFI_Expiration=1,IF($A1269&lt;VLOOKUP(K$5,NFI,5,0),1,0)*Table_NFI[[#This Row],[Mosquito net]],Table_NFI[Mosquito net])</f>
        <v>0</v>
      </c>
      <c r="AC1269" s="294">
        <f>IF(NFI_Expiration=1,IF($A1269&lt;VLOOKUP(L$5,NFI,5,0),1,0)*Table_NFI[[#This Row],[Tarpaulin]],Table_NFI[[#This Row],[Tarpaulin]])</f>
        <v>0</v>
      </c>
      <c r="AD1269" s="294">
        <f>IF(NFI_Expiration=1,IF($A1269&lt;VLOOKUP(M$5,NFI,5,0),1,0)*Table_NFI[[#This Row],[Blanket]],Table_NFI[[#This Row],[Blanket]])</f>
        <v>0</v>
      </c>
      <c r="AE1269" s="294">
        <f>IF(NFI_Expiration=1,IF($A1269&lt;VLOOKUP(N$5,NFI,5,0),1,0)*Table_NFI[[#This Row],[Kitchen Set]],Table_NFI[Kitchen Set])</f>
        <v>0</v>
      </c>
      <c r="AF1269" s="294">
        <f>IF(NFI_Expiration=1,IF($A1269&lt;VLOOKUP(O$5,NFI,5,0),1,0)*Table_NFI[[#This Row],[Clothes Kit]],Table_NFI[Clothes Kit])</f>
        <v>0</v>
      </c>
      <c r="AG1269" s="294">
        <f>IF(NFI_Expiration=1,IF($A1269&lt;VLOOKUP(P$5,NFI,5,0),1,0)*Table_NFI[[#This Row],[Plastic Bucket]],Table_NFI[Plastic Bucket])</f>
        <v>0</v>
      </c>
      <c r="AH1269" s="294">
        <f>IF(NFI_Expiration=1,IF($A1269&lt;VLOOKUP(Q$5,NFI,5,0),1,0)*Table_NFI[[#This Row],[Plastic Mat]],Table_NFI[Plastic Mat])*IF(Table_NFI[[#This Row],[Distribution Date]]&gt;"2014-04-01",1,2.5)</f>
        <v>0</v>
      </c>
      <c r="AI1269" s="294">
        <f>IF(NFI_Expiration=1,IF($A1269&lt;VLOOKUP(R$5,NFI,5,0),1,0)*Table_NFI[[#This Row],[Winter Clothes Adult]],Table_NFI[Winter Clothes Adult])</f>
        <v>0</v>
      </c>
      <c r="AJ1269" s="294">
        <f>IF(NFI_Expiration=1,IF($A1269&lt;VLOOKUP(S$5,NFI,5,0),1,0)*Table_NFI[[#This Row],[Winter Clothes Children]],Table_NFI[Winter Clothes Children])</f>
        <v>0</v>
      </c>
      <c r="AK1269" s="294">
        <f>IF(NFI_Expiration=1,IF($A1269&lt;VLOOKUP(T$5,NFI,5,0),1,0)*Table_NFI[[#This Row],[Winter Items Other]],Table_NFI[Winter Items Other])</f>
        <v>0</v>
      </c>
      <c r="AL1269" s="294">
        <f>IF(NFI_Expiration=1,IF($A1269&lt;VLOOKUP(M$5,NFI,5,0),1,0)*Table_NFI[[#This Row],[Winter Blanket]],Table_NFI[[#This Row],[Winter Blanket]])</f>
        <v>0</v>
      </c>
      <c r="AM1269" s="294">
        <f>IF(Table_NFI[[#This Row],[Winter Clothes Adult]]+Table_NFI[[#This Row],[Winter Clothes Children]]+Table_NFI[[#This Row],[Winter Items Other]]+Table_NFI[[#This Row],[Winter Blanket]]&gt;0,1,0)</f>
        <v>0</v>
      </c>
      <c r="AN1269" s="331">
        <f>IF(NFI_Expiration=1,IF($A1269&lt;VLOOKUP(V$5,NFI,5,0),1,0)*Table_NFI[[#This Row],[Jerry Can]],Table_NFI[Jerry Can])</f>
        <v>0</v>
      </c>
      <c r="AO1269" s="331">
        <f>IF(NFI_Expiration=1,IF($A1269&lt;VLOOKUP(V$5,NFI,5,0),1,0)*Table_NFI[[#This Row],[Shelter Tool kit]],Table_NFI[Shelter Tool kit])</f>
        <v>0</v>
      </c>
      <c r="AP1269" s="331">
        <f>IF(NFI_Expiration=1,IF($A1269&lt;VLOOKUP(V$5,NFI,5,0),1,0)*Table_NFI[[#This Row],[Tent]],Table_NFI[Tent])</f>
        <v>0</v>
      </c>
      <c r="AQ1269" s="467" t="str">
        <f>IFERROR(VLOOKUP(Table_NFI[[#This Row],[Camp Name]],CL,2,0),"")</f>
        <v/>
      </c>
      <c r="AR1269" s="835" t="str">
        <f ca="1">IF(Table_NFI[[#This Row],[Pcode]]="","",IF(OFFSET(CampList[Opening Date],MATCH(Table_NFI[[#This Row],[Pcode]],CampList[CP_Pcode],0)-1,0,1,1)&gt;=NFI_Monitor_Date,1,0))</f>
        <v/>
      </c>
      <c r="AS1269" s="467" t="str">
        <f>IFERROR(VLOOKUP(Table_NFI[[#This Row],[Camp Name]],CL,3,0),"")</f>
        <v/>
      </c>
      <c r="AT1269" s="294" t="str">
        <f ca="1">IF(Table_NFI[[#This Row],[Pcode]]="","",OFFSET(CampList[Priority],MATCH(Table_NFI[[#This Row],[Pcode]],CampList[CP_Pcode],0)-1,0,1,1))</f>
        <v/>
      </c>
      <c r="AU1269" s="293" t="str">
        <f>IFERROR(Table_NFI[[#This Row],[Kitchen Set]]/VLOOKUP(Table_NFI[[#This Row],[Camp Name]],CL,4,0),"")</f>
        <v/>
      </c>
      <c r="AV1269" s="465"/>
      <c r="AW1269" s="468"/>
    </row>
    <row r="1270" spans="1:49" ht="14.45" customHeight="1" x14ac:dyDescent="0.25">
      <c r="A1270" s="297" t="str">
        <f t="shared" si="19"/>
        <v/>
      </c>
      <c r="B1270" s="460"/>
      <c r="C1270" s="465"/>
      <c r="D1270" s="465"/>
      <c r="E1270" s="465"/>
      <c r="F1270" s="465"/>
      <c r="G1270" s="465"/>
      <c r="H1270" s="292"/>
      <c r="I1270" s="292"/>
      <c r="J1270" s="292"/>
      <c r="K1270" s="292"/>
      <c r="L1270" s="292"/>
      <c r="M1270" s="292"/>
      <c r="N1270" s="292"/>
      <c r="O1270" s="292"/>
      <c r="P1270" s="294"/>
      <c r="Q1270" s="294"/>
      <c r="R1270" s="294"/>
      <c r="S1270" s="294"/>
      <c r="T1270" s="294"/>
      <c r="U1270" s="294"/>
      <c r="V1270" s="431"/>
      <c r="W1270" s="331"/>
      <c r="X1270" s="331"/>
      <c r="Y1270" s="294">
        <f>IF(NFI_Expiration=1,IF($A1270&lt;VLOOKUP(H$5,NFI,5,0),1,0)*Table_NFI[[#This Row],[Hygiene Kit]],Table_NFI[Hygiene Kit])</f>
        <v>0</v>
      </c>
      <c r="Z1270" s="294">
        <f>IF(NFI_Expiration=1,IF($A1270&lt;VLOOKUP(I$5,NFI,5,0),1,0)*Table_NFI[[#This Row],[NFI Core Kit]],Table_NFI[NFI Core Kit])</f>
        <v>0</v>
      </c>
      <c r="AA1270" s="294">
        <f>IF(NFI_Expiration=1,IF($A1270&lt;VLOOKUP(J$5,NFI,5,0),1,0)*Table_NFI[[#This Row],[Sanitary Kit]],Table_NFI[Sanitary Kit])</f>
        <v>0</v>
      </c>
      <c r="AB1270" s="294">
        <f>IF(NFI_Expiration=1,IF($A1270&lt;VLOOKUP(K$5,NFI,5,0),1,0)*Table_NFI[[#This Row],[Mosquito net]],Table_NFI[Mosquito net])</f>
        <v>0</v>
      </c>
      <c r="AC1270" s="294">
        <f>IF(NFI_Expiration=1,IF($A1270&lt;VLOOKUP(L$5,NFI,5,0),1,0)*Table_NFI[[#This Row],[Tarpaulin]],Table_NFI[[#This Row],[Tarpaulin]])</f>
        <v>0</v>
      </c>
      <c r="AD1270" s="294">
        <f>IF(NFI_Expiration=1,IF($A1270&lt;VLOOKUP(M$5,NFI,5,0),1,0)*Table_NFI[[#This Row],[Blanket]],Table_NFI[[#This Row],[Blanket]])</f>
        <v>0</v>
      </c>
      <c r="AE1270" s="294">
        <f>IF(NFI_Expiration=1,IF($A1270&lt;VLOOKUP(N$5,NFI,5,0),1,0)*Table_NFI[[#This Row],[Kitchen Set]],Table_NFI[Kitchen Set])</f>
        <v>0</v>
      </c>
      <c r="AF1270" s="294">
        <f>IF(NFI_Expiration=1,IF($A1270&lt;VLOOKUP(O$5,NFI,5,0),1,0)*Table_NFI[[#This Row],[Clothes Kit]],Table_NFI[Clothes Kit])</f>
        <v>0</v>
      </c>
      <c r="AG1270" s="294">
        <f>IF(NFI_Expiration=1,IF($A1270&lt;VLOOKUP(P$5,NFI,5,0),1,0)*Table_NFI[[#This Row],[Plastic Bucket]],Table_NFI[Plastic Bucket])</f>
        <v>0</v>
      </c>
      <c r="AH1270" s="294">
        <f>IF(NFI_Expiration=1,IF($A1270&lt;VLOOKUP(Q$5,NFI,5,0),1,0)*Table_NFI[[#This Row],[Plastic Mat]],Table_NFI[Plastic Mat])*IF(Table_NFI[[#This Row],[Distribution Date]]&gt;"2014-04-01",1,2.5)</f>
        <v>0</v>
      </c>
      <c r="AI1270" s="294">
        <f>IF(NFI_Expiration=1,IF($A1270&lt;VLOOKUP(R$5,NFI,5,0),1,0)*Table_NFI[[#This Row],[Winter Clothes Adult]],Table_NFI[Winter Clothes Adult])</f>
        <v>0</v>
      </c>
      <c r="AJ1270" s="294">
        <f>IF(NFI_Expiration=1,IF($A1270&lt;VLOOKUP(S$5,NFI,5,0),1,0)*Table_NFI[[#This Row],[Winter Clothes Children]],Table_NFI[Winter Clothes Children])</f>
        <v>0</v>
      </c>
      <c r="AK1270" s="294">
        <f>IF(NFI_Expiration=1,IF($A1270&lt;VLOOKUP(T$5,NFI,5,0),1,0)*Table_NFI[[#This Row],[Winter Items Other]],Table_NFI[Winter Items Other])</f>
        <v>0</v>
      </c>
      <c r="AL1270" s="294">
        <f>IF(NFI_Expiration=1,IF($A1270&lt;VLOOKUP(M$5,NFI,5,0),1,0)*Table_NFI[[#This Row],[Winter Blanket]],Table_NFI[[#This Row],[Winter Blanket]])</f>
        <v>0</v>
      </c>
      <c r="AM1270" s="294">
        <f>IF(Table_NFI[[#This Row],[Winter Clothes Adult]]+Table_NFI[[#This Row],[Winter Clothes Children]]+Table_NFI[[#This Row],[Winter Items Other]]+Table_NFI[[#This Row],[Winter Blanket]]&gt;0,1,0)</f>
        <v>0</v>
      </c>
      <c r="AN1270" s="331">
        <f>IF(NFI_Expiration=1,IF($A1270&lt;VLOOKUP(V$5,NFI,5,0),1,0)*Table_NFI[[#This Row],[Jerry Can]],Table_NFI[Jerry Can])</f>
        <v>0</v>
      </c>
      <c r="AO1270" s="331">
        <f>IF(NFI_Expiration=1,IF($A1270&lt;VLOOKUP(V$5,NFI,5,0),1,0)*Table_NFI[[#This Row],[Shelter Tool kit]],Table_NFI[Shelter Tool kit])</f>
        <v>0</v>
      </c>
      <c r="AP1270" s="331">
        <f>IF(NFI_Expiration=1,IF($A1270&lt;VLOOKUP(V$5,NFI,5,0),1,0)*Table_NFI[[#This Row],[Tent]],Table_NFI[Tent])</f>
        <v>0</v>
      </c>
      <c r="AQ1270" s="467" t="str">
        <f>IFERROR(VLOOKUP(Table_NFI[[#This Row],[Camp Name]],CL,2,0),"")</f>
        <v/>
      </c>
      <c r="AR1270" s="835" t="str">
        <f ca="1">IF(Table_NFI[[#This Row],[Pcode]]="","",IF(OFFSET(CampList[Opening Date],MATCH(Table_NFI[[#This Row],[Pcode]],CampList[CP_Pcode],0)-1,0,1,1)&gt;=NFI_Monitor_Date,1,0))</f>
        <v/>
      </c>
      <c r="AS1270" s="467" t="str">
        <f>IFERROR(VLOOKUP(Table_NFI[[#This Row],[Camp Name]],CL,3,0),"")</f>
        <v/>
      </c>
      <c r="AT1270" s="294" t="str">
        <f ca="1">IF(Table_NFI[[#This Row],[Pcode]]="","",OFFSET(CampList[Priority],MATCH(Table_NFI[[#This Row],[Pcode]],CampList[CP_Pcode],0)-1,0,1,1))</f>
        <v/>
      </c>
      <c r="AU1270" s="293" t="str">
        <f>IFERROR(Table_NFI[[#This Row],[Kitchen Set]]/VLOOKUP(Table_NFI[[#This Row],[Camp Name]],CL,4,0),"")</f>
        <v/>
      </c>
      <c r="AV1270" s="465"/>
      <c r="AW1270" s="468"/>
    </row>
    <row r="1271" spans="1:49" ht="14.45" customHeight="1" x14ac:dyDescent="0.25">
      <c r="A1271" s="297" t="str">
        <f t="shared" si="19"/>
        <v/>
      </c>
      <c r="B1271" s="460"/>
      <c r="C1271" s="465"/>
      <c r="D1271" s="465"/>
      <c r="E1271" s="465"/>
      <c r="F1271" s="465"/>
      <c r="G1271" s="465"/>
      <c r="H1271" s="292"/>
      <c r="I1271" s="292"/>
      <c r="J1271" s="292"/>
      <c r="K1271" s="292"/>
      <c r="L1271" s="292"/>
      <c r="M1271" s="292"/>
      <c r="N1271" s="292"/>
      <c r="O1271" s="292"/>
      <c r="P1271" s="294"/>
      <c r="Q1271" s="294"/>
      <c r="R1271" s="294"/>
      <c r="S1271" s="294"/>
      <c r="T1271" s="294"/>
      <c r="U1271" s="294"/>
      <c r="V1271" s="431"/>
      <c r="W1271" s="331"/>
      <c r="X1271" s="331"/>
      <c r="Y1271" s="294">
        <f>IF(NFI_Expiration=1,IF($A1271&lt;VLOOKUP(H$5,NFI,5,0),1,0)*Table_NFI[[#This Row],[Hygiene Kit]],Table_NFI[Hygiene Kit])</f>
        <v>0</v>
      </c>
      <c r="Z1271" s="294">
        <f>IF(NFI_Expiration=1,IF($A1271&lt;VLOOKUP(I$5,NFI,5,0),1,0)*Table_NFI[[#This Row],[NFI Core Kit]],Table_NFI[NFI Core Kit])</f>
        <v>0</v>
      </c>
      <c r="AA1271" s="294">
        <f>IF(NFI_Expiration=1,IF($A1271&lt;VLOOKUP(J$5,NFI,5,0),1,0)*Table_NFI[[#This Row],[Sanitary Kit]],Table_NFI[Sanitary Kit])</f>
        <v>0</v>
      </c>
      <c r="AB1271" s="294">
        <f>IF(NFI_Expiration=1,IF($A1271&lt;VLOOKUP(K$5,NFI,5,0),1,0)*Table_NFI[[#This Row],[Mosquito net]],Table_NFI[Mosquito net])</f>
        <v>0</v>
      </c>
      <c r="AC1271" s="294">
        <f>IF(NFI_Expiration=1,IF($A1271&lt;VLOOKUP(L$5,NFI,5,0),1,0)*Table_NFI[[#This Row],[Tarpaulin]],Table_NFI[[#This Row],[Tarpaulin]])</f>
        <v>0</v>
      </c>
      <c r="AD1271" s="294">
        <f>IF(NFI_Expiration=1,IF($A1271&lt;VLOOKUP(M$5,NFI,5,0),1,0)*Table_NFI[[#This Row],[Blanket]],Table_NFI[[#This Row],[Blanket]])</f>
        <v>0</v>
      </c>
      <c r="AE1271" s="294">
        <f>IF(NFI_Expiration=1,IF($A1271&lt;VLOOKUP(N$5,NFI,5,0),1,0)*Table_NFI[[#This Row],[Kitchen Set]],Table_NFI[Kitchen Set])</f>
        <v>0</v>
      </c>
      <c r="AF1271" s="294">
        <f>IF(NFI_Expiration=1,IF($A1271&lt;VLOOKUP(O$5,NFI,5,0),1,0)*Table_NFI[[#This Row],[Clothes Kit]],Table_NFI[Clothes Kit])</f>
        <v>0</v>
      </c>
      <c r="AG1271" s="294">
        <f>IF(NFI_Expiration=1,IF($A1271&lt;VLOOKUP(P$5,NFI,5,0),1,0)*Table_NFI[[#This Row],[Plastic Bucket]],Table_NFI[Plastic Bucket])</f>
        <v>0</v>
      </c>
      <c r="AH1271" s="294">
        <f>IF(NFI_Expiration=1,IF($A1271&lt;VLOOKUP(Q$5,NFI,5,0),1,0)*Table_NFI[[#This Row],[Plastic Mat]],Table_NFI[Plastic Mat])*IF(Table_NFI[[#This Row],[Distribution Date]]&gt;"2014-04-01",1,2.5)</f>
        <v>0</v>
      </c>
      <c r="AI1271" s="294">
        <f>IF(NFI_Expiration=1,IF($A1271&lt;VLOOKUP(R$5,NFI,5,0),1,0)*Table_NFI[[#This Row],[Winter Clothes Adult]],Table_NFI[Winter Clothes Adult])</f>
        <v>0</v>
      </c>
      <c r="AJ1271" s="294">
        <f>IF(NFI_Expiration=1,IF($A1271&lt;VLOOKUP(S$5,NFI,5,0),1,0)*Table_NFI[[#This Row],[Winter Clothes Children]],Table_NFI[Winter Clothes Children])</f>
        <v>0</v>
      </c>
      <c r="AK1271" s="294">
        <f>IF(NFI_Expiration=1,IF($A1271&lt;VLOOKUP(T$5,NFI,5,0),1,0)*Table_NFI[[#This Row],[Winter Items Other]],Table_NFI[Winter Items Other])</f>
        <v>0</v>
      </c>
      <c r="AL1271" s="294">
        <f>IF(NFI_Expiration=1,IF($A1271&lt;VLOOKUP(M$5,NFI,5,0),1,0)*Table_NFI[[#This Row],[Winter Blanket]],Table_NFI[[#This Row],[Winter Blanket]])</f>
        <v>0</v>
      </c>
      <c r="AM1271" s="294">
        <f>IF(Table_NFI[[#This Row],[Winter Clothes Adult]]+Table_NFI[[#This Row],[Winter Clothes Children]]+Table_NFI[[#This Row],[Winter Items Other]]+Table_NFI[[#This Row],[Winter Blanket]]&gt;0,1,0)</f>
        <v>0</v>
      </c>
      <c r="AN1271" s="331">
        <f>IF(NFI_Expiration=1,IF($A1271&lt;VLOOKUP(V$5,NFI,5,0),1,0)*Table_NFI[[#This Row],[Jerry Can]],Table_NFI[Jerry Can])</f>
        <v>0</v>
      </c>
      <c r="AO1271" s="331">
        <f>IF(NFI_Expiration=1,IF($A1271&lt;VLOOKUP(V$5,NFI,5,0),1,0)*Table_NFI[[#This Row],[Shelter Tool kit]],Table_NFI[Shelter Tool kit])</f>
        <v>0</v>
      </c>
      <c r="AP1271" s="331">
        <f>IF(NFI_Expiration=1,IF($A1271&lt;VLOOKUP(V$5,NFI,5,0),1,0)*Table_NFI[[#This Row],[Tent]],Table_NFI[Tent])</f>
        <v>0</v>
      </c>
      <c r="AQ1271" s="467" t="str">
        <f>IFERROR(VLOOKUP(Table_NFI[[#This Row],[Camp Name]],CL,2,0),"")</f>
        <v/>
      </c>
      <c r="AR1271" s="835" t="str">
        <f ca="1">IF(Table_NFI[[#This Row],[Pcode]]="","",IF(OFFSET(CampList[Opening Date],MATCH(Table_NFI[[#This Row],[Pcode]],CampList[CP_Pcode],0)-1,0,1,1)&gt;=NFI_Monitor_Date,1,0))</f>
        <v/>
      </c>
      <c r="AS1271" s="467" t="str">
        <f>IFERROR(VLOOKUP(Table_NFI[[#This Row],[Camp Name]],CL,3,0),"")</f>
        <v/>
      </c>
      <c r="AT1271" s="294" t="str">
        <f ca="1">IF(Table_NFI[[#This Row],[Pcode]]="","",OFFSET(CampList[Priority],MATCH(Table_NFI[[#This Row],[Pcode]],CampList[CP_Pcode],0)-1,0,1,1))</f>
        <v/>
      </c>
      <c r="AU1271" s="293" t="str">
        <f>IFERROR(Table_NFI[[#This Row],[Kitchen Set]]/VLOOKUP(Table_NFI[[#This Row],[Camp Name]],CL,4,0),"")</f>
        <v/>
      </c>
      <c r="AV1271" s="465"/>
      <c r="AW1271" s="468"/>
    </row>
    <row r="1272" spans="1:49" ht="14.45" customHeight="1" x14ac:dyDescent="0.25">
      <c r="A1272" s="297" t="str">
        <f t="shared" si="19"/>
        <v/>
      </c>
      <c r="B1272" s="460"/>
      <c r="C1272" s="465"/>
      <c r="D1272" s="465"/>
      <c r="E1272" s="465"/>
      <c r="F1272" s="465"/>
      <c r="G1272" s="465"/>
      <c r="H1272" s="292"/>
      <c r="I1272" s="292"/>
      <c r="J1272" s="292"/>
      <c r="K1272" s="292"/>
      <c r="L1272" s="292"/>
      <c r="M1272" s="292"/>
      <c r="N1272" s="292"/>
      <c r="O1272" s="292"/>
      <c r="P1272" s="294"/>
      <c r="Q1272" s="294"/>
      <c r="R1272" s="294"/>
      <c r="S1272" s="294"/>
      <c r="T1272" s="294"/>
      <c r="U1272" s="294"/>
      <c r="V1272" s="431"/>
      <c r="W1272" s="331"/>
      <c r="X1272" s="331"/>
      <c r="Y1272" s="294">
        <f>IF(NFI_Expiration=1,IF($A1272&lt;VLOOKUP(H$5,NFI,5,0),1,0)*Table_NFI[[#This Row],[Hygiene Kit]],Table_NFI[Hygiene Kit])</f>
        <v>0</v>
      </c>
      <c r="Z1272" s="294">
        <f>IF(NFI_Expiration=1,IF($A1272&lt;VLOOKUP(I$5,NFI,5,0),1,0)*Table_NFI[[#This Row],[NFI Core Kit]],Table_NFI[NFI Core Kit])</f>
        <v>0</v>
      </c>
      <c r="AA1272" s="294">
        <f>IF(NFI_Expiration=1,IF($A1272&lt;VLOOKUP(J$5,NFI,5,0),1,0)*Table_NFI[[#This Row],[Sanitary Kit]],Table_NFI[Sanitary Kit])</f>
        <v>0</v>
      </c>
      <c r="AB1272" s="294">
        <f>IF(NFI_Expiration=1,IF($A1272&lt;VLOOKUP(K$5,NFI,5,0),1,0)*Table_NFI[[#This Row],[Mosquito net]],Table_NFI[Mosquito net])</f>
        <v>0</v>
      </c>
      <c r="AC1272" s="294">
        <f>IF(NFI_Expiration=1,IF($A1272&lt;VLOOKUP(L$5,NFI,5,0),1,0)*Table_NFI[[#This Row],[Tarpaulin]],Table_NFI[[#This Row],[Tarpaulin]])</f>
        <v>0</v>
      </c>
      <c r="AD1272" s="294">
        <f>IF(NFI_Expiration=1,IF($A1272&lt;VLOOKUP(M$5,NFI,5,0),1,0)*Table_NFI[[#This Row],[Blanket]],Table_NFI[[#This Row],[Blanket]])</f>
        <v>0</v>
      </c>
      <c r="AE1272" s="294">
        <f>IF(NFI_Expiration=1,IF($A1272&lt;VLOOKUP(N$5,NFI,5,0),1,0)*Table_NFI[[#This Row],[Kitchen Set]],Table_NFI[Kitchen Set])</f>
        <v>0</v>
      </c>
      <c r="AF1272" s="294">
        <f>IF(NFI_Expiration=1,IF($A1272&lt;VLOOKUP(O$5,NFI,5,0),1,0)*Table_NFI[[#This Row],[Clothes Kit]],Table_NFI[Clothes Kit])</f>
        <v>0</v>
      </c>
      <c r="AG1272" s="294">
        <f>IF(NFI_Expiration=1,IF($A1272&lt;VLOOKUP(P$5,NFI,5,0),1,0)*Table_NFI[[#This Row],[Plastic Bucket]],Table_NFI[Plastic Bucket])</f>
        <v>0</v>
      </c>
      <c r="AH1272" s="294">
        <f>IF(NFI_Expiration=1,IF($A1272&lt;VLOOKUP(Q$5,NFI,5,0),1,0)*Table_NFI[[#This Row],[Plastic Mat]],Table_NFI[Plastic Mat])*IF(Table_NFI[[#This Row],[Distribution Date]]&gt;"2014-04-01",1,2.5)</f>
        <v>0</v>
      </c>
      <c r="AI1272" s="294">
        <f>IF(NFI_Expiration=1,IF($A1272&lt;VLOOKUP(R$5,NFI,5,0),1,0)*Table_NFI[[#This Row],[Winter Clothes Adult]],Table_NFI[Winter Clothes Adult])</f>
        <v>0</v>
      </c>
      <c r="AJ1272" s="294">
        <f>IF(NFI_Expiration=1,IF($A1272&lt;VLOOKUP(S$5,NFI,5,0),1,0)*Table_NFI[[#This Row],[Winter Clothes Children]],Table_NFI[Winter Clothes Children])</f>
        <v>0</v>
      </c>
      <c r="AK1272" s="294">
        <f>IF(NFI_Expiration=1,IF($A1272&lt;VLOOKUP(T$5,NFI,5,0),1,0)*Table_NFI[[#This Row],[Winter Items Other]],Table_NFI[Winter Items Other])</f>
        <v>0</v>
      </c>
      <c r="AL1272" s="294">
        <f>IF(NFI_Expiration=1,IF($A1272&lt;VLOOKUP(M$5,NFI,5,0),1,0)*Table_NFI[[#This Row],[Winter Blanket]],Table_NFI[[#This Row],[Winter Blanket]])</f>
        <v>0</v>
      </c>
      <c r="AM1272" s="294">
        <f>IF(Table_NFI[[#This Row],[Winter Clothes Adult]]+Table_NFI[[#This Row],[Winter Clothes Children]]+Table_NFI[[#This Row],[Winter Items Other]]+Table_NFI[[#This Row],[Winter Blanket]]&gt;0,1,0)</f>
        <v>0</v>
      </c>
      <c r="AN1272" s="331">
        <f>IF(NFI_Expiration=1,IF($A1272&lt;VLOOKUP(V$5,NFI,5,0),1,0)*Table_NFI[[#This Row],[Jerry Can]],Table_NFI[Jerry Can])</f>
        <v>0</v>
      </c>
      <c r="AO1272" s="331">
        <f>IF(NFI_Expiration=1,IF($A1272&lt;VLOOKUP(V$5,NFI,5,0),1,0)*Table_NFI[[#This Row],[Shelter Tool kit]],Table_NFI[Shelter Tool kit])</f>
        <v>0</v>
      </c>
      <c r="AP1272" s="331">
        <f>IF(NFI_Expiration=1,IF($A1272&lt;VLOOKUP(V$5,NFI,5,0),1,0)*Table_NFI[[#This Row],[Tent]],Table_NFI[Tent])</f>
        <v>0</v>
      </c>
      <c r="AQ1272" s="467" t="str">
        <f>IFERROR(VLOOKUP(Table_NFI[[#This Row],[Camp Name]],CL,2,0),"")</f>
        <v/>
      </c>
      <c r="AR1272" s="835" t="str">
        <f ca="1">IF(Table_NFI[[#This Row],[Pcode]]="","",IF(OFFSET(CampList[Opening Date],MATCH(Table_NFI[[#This Row],[Pcode]],CampList[CP_Pcode],0)-1,0,1,1)&gt;=NFI_Monitor_Date,1,0))</f>
        <v/>
      </c>
      <c r="AS1272" s="467" t="str">
        <f>IFERROR(VLOOKUP(Table_NFI[[#This Row],[Camp Name]],CL,3,0),"")</f>
        <v/>
      </c>
      <c r="AT1272" s="294" t="str">
        <f ca="1">IF(Table_NFI[[#This Row],[Pcode]]="","",OFFSET(CampList[Priority],MATCH(Table_NFI[[#This Row],[Pcode]],CampList[CP_Pcode],0)-1,0,1,1))</f>
        <v/>
      </c>
      <c r="AU1272" s="293" t="str">
        <f>IFERROR(Table_NFI[[#This Row],[Kitchen Set]]/VLOOKUP(Table_NFI[[#This Row],[Camp Name]],CL,4,0),"")</f>
        <v/>
      </c>
      <c r="AV1272" s="465"/>
      <c r="AW1272" s="468"/>
    </row>
    <row r="1273" spans="1:49" ht="14.45" customHeight="1" x14ac:dyDescent="0.25">
      <c r="A1273" s="297" t="str">
        <f t="shared" si="19"/>
        <v/>
      </c>
      <c r="B1273" s="460"/>
      <c r="C1273" s="465"/>
      <c r="D1273" s="465"/>
      <c r="E1273" s="465"/>
      <c r="F1273" s="465"/>
      <c r="G1273" s="465"/>
      <c r="H1273" s="292"/>
      <c r="I1273" s="292"/>
      <c r="J1273" s="292"/>
      <c r="K1273" s="292"/>
      <c r="L1273" s="292"/>
      <c r="M1273" s="292"/>
      <c r="N1273" s="292"/>
      <c r="O1273" s="292"/>
      <c r="P1273" s="294"/>
      <c r="Q1273" s="294"/>
      <c r="R1273" s="294"/>
      <c r="S1273" s="294"/>
      <c r="T1273" s="294"/>
      <c r="U1273" s="294"/>
      <c r="V1273" s="431"/>
      <c r="W1273" s="331"/>
      <c r="X1273" s="331"/>
      <c r="Y1273" s="294">
        <f>IF(NFI_Expiration=1,IF($A1273&lt;VLOOKUP(H$5,NFI,5,0),1,0)*Table_NFI[[#This Row],[Hygiene Kit]],Table_NFI[Hygiene Kit])</f>
        <v>0</v>
      </c>
      <c r="Z1273" s="294">
        <f>IF(NFI_Expiration=1,IF($A1273&lt;VLOOKUP(I$5,NFI,5,0),1,0)*Table_NFI[[#This Row],[NFI Core Kit]],Table_NFI[NFI Core Kit])</f>
        <v>0</v>
      </c>
      <c r="AA1273" s="294">
        <f>IF(NFI_Expiration=1,IF($A1273&lt;VLOOKUP(J$5,NFI,5,0),1,0)*Table_NFI[[#This Row],[Sanitary Kit]],Table_NFI[Sanitary Kit])</f>
        <v>0</v>
      </c>
      <c r="AB1273" s="294">
        <f>IF(NFI_Expiration=1,IF($A1273&lt;VLOOKUP(K$5,NFI,5,0),1,0)*Table_NFI[[#This Row],[Mosquito net]],Table_NFI[Mosquito net])</f>
        <v>0</v>
      </c>
      <c r="AC1273" s="294">
        <f>IF(NFI_Expiration=1,IF($A1273&lt;VLOOKUP(L$5,NFI,5,0),1,0)*Table_NFI[[#This Row],[Tarpaulin]],Table_NFI[[#This Row],[Tarpaulin]])</f>
        <v>0</v>
      </c>
      <c r="AD1273" s="294">
        <f>IF(NFI_Expiration=1,IF($A1273&lt;VLOOKUP(M$5,NFI,5,0),1,0)*Table_NFI[[#This Row],[Blanket]],Table_NFI[[#This Row],[Blanket]])</f>
        <v>0</v>
      </c>
      <c r="AE1273" s="294">
        <f>IF(NFI_Expiration=1,IF($A1273&lt;VLOOKUP(N$5,NFI,5,0),1,0)*Table_NFI[[#This Row],[Kitchen Set]],Table_NFI[Kitchen Set])</f>
        <v>0</v>
      </c>
      <c r="AF1273" s="294">
        <f>IF(NFI_Expiration=1,IF($A1273&lt;VLOOKUP(O$5,NFI,5,0),1,0)*Table_NFI[[#This Row],[Clothes Kit]],Table_NFI[Clothes Kit])</f>
        <v>0</v>
      </c>
      <c r="AG1273" s="294">
        <f>IF(NFI_Expiration=1,IF($A1273&lt;VLOOKUP(P$5,NFI,5,0),1,0)*Table_NFI[[#This Row],[Plastic Bucket]],Table_NFI[Plastic Bucket])</f>
        <v>0</v>
      </c>
      <c r="AH1273" s="294">
        <f>IF(NFI_Expiration=1,IF($A1273&lt;VLOOKUP(Q$5,NFI,5,0),1,0)*Table_NFI[[#This Row],[Plastic Mat]],Table_NFI[Plastic Mat])*IF(Table_NFI[[#This Row],[Distribution Date]]&gt;"2014-04-01",1,2.5)</f>
        <v>0</v>
      </c>
      <c r="AI1273" s="294">
        <f>IF(NFI_Expiration=1,IF($A1273&lt;VLOOKUP(R$5,NFI,5,0),1,0)*Table_NFI[[#This Row],[Winter Clothes Adult]],Table_NFI[Winter Clothes Adult])</f>
        <v>0</v>
      </c>
      <c r="AJ1273" s="294">
        <f>IF(NFI_Expiration=1,IF($A1273&lt;VLOOKUP(S$5,NFI,5,0),1,0)*Table_NFI[[#This Row],[Winter Clothes Children]],Table_NFI[Winter Clothes Children])</f>
        <v>0</v>
      </c>
      <c r="AK1273" s="294">
        <f>IF(NFI_Expiration=1,IF($A1273&lt;VLOOKUP(T$5,NFI,5,0),1,0)*Table_NFI[[#This Row],[Winter Items Other]],Table_NFI[Winter Items Other])</f>
        <v>0</v>
      </c>
      <c r="AL1273" s="294">
        <f>IF(NFI_Expiration=1,IF($A1273&lt;VLOOKUP(M$5,NFI,5,0),1,0)*Table_NFI[[#This Row],[Winter Blanket]],Table_NFI[[#This Row],[Winter Blanket]])</f>
        <v>0</v>
      </c>
      <c r="AM1273" s="294">
        <f>IF(Table_NFI[[#This Row],[Winter Clothes Adult]]+Table_NFI[[#This Row],[Winter Clothes Children]]+Table_NFI[[#This Row],[Winter Items Other]]+Table_NFI[[#This Row],[Winter Blanket]]&gt;0,1,0)</f>
        <v>0</v>
      </c>
      <c r="AN1273" s="331">
        <f>IF(NFI_Expiration=1,IF($A1273&lt;VLOOKUP(V$5,NFI,5,0),1,0)*Table_NFI[[#This Row],[Jerry Can]],Table_NFI[Jerry Can])</f>
        <v>0</v>
      </c>
      <c r="AO1273" s="331">
        <f>IF(NFI_Expiration=1,IF($A1273&lt;VLOOKUP(V$5,NFI,5,0),1,0)*Table_NFI[[#This Row],[Shelter Tool kit]],Table_NFI[Shelter Tool kit])</f>
        <v>0</v>
      </c>
      <c r="AP1273" s="331">
        <f>IF(NFI_Expiration=1,IF($A1273&lt;VLOOKUP(V$5,NFI,5,0),1,0)*Table_NFI[[#This Row],[Tent]],Table_NFI[Tent])</f>
        <v>0</v>
      </c>
      <c r="AQ1273" s="467" t="str">
        <f>IFERROR(VLOOKUP(Table_NFI[[#This Row],[Camp Name]],CL,2,0),"")</f>
        <v/>
      </c>
      <c r="AR1273" s="835" t="str">
        <f ca="1">IF(Table_NFI[[#This Row],[Pcode]]="","",IF(OFFSET(CampList[Opening Date],MATCH(Table_NFI[[#This Row],[Pcode]],CampList[CP_Pcode],0)-1,0,1,1)&gt;=NFI_Monitor_Date,1,0))</f>
        <v/>
      </c>
      <c r="AS1273" s="467" t="str">
        <f>IFERROR(VLOOKUP(Table_NFI[[#This Row],[Camp Name]],CL,3,0),"")</f>
        <v/>
      </c>
      <c r="AT1273" s="294" t="str">
        <f ca="1">IF(Table_NFI[[#This Row],[Pcode]]="","",OFFSET(CampList[Priority],MATCH(Table_NFI[[#This Row],[Pcode]],CampList[CP_Pcode],0)-1,0,1,1))</f>
        <v/>
      </c>
      <c r="AU1273" s="293" t="str">
        <f>IFERROR(Table_NFI[[#This Row],[Kitchen Set]]/VLOOKUP(Table_NFI[[#This Row],[Camp Name]],CL,4,0),"")</f>
        <v/>
      </c>
      <c r="AV1273" s="465"/>
      <c r="AW1273" s="468"/>
    </row>
    <row r="1274" spans="1:49" ht="14.45" customHeight="1" x14ac:dyDescent="0.25">
      <c r="A1274" s="297" t="str">
        <f t="shared" si="19"/>
        <v/>
      </c>
      <c r="B1274" s="460"/>
      <c r="C1274" s="465"/>
      <c r="D1274" s="465"/>
      <c r="E1274" s="465"/>
      <c r="F1274" s="465"/>
      <c r="G1274" s="465"/>
      <c r="H1274" s="292"/>
      <c r="I1274" s="292"/>
      <c r="J1274" s="292"/>
      <c r="K1274" s="292"/>
      <c r="L1274" s="292"/>
      <c r="M1274" s="292"/>
      <c r="N1274" s="292"/>
      <c r="O1274" s="292"/>
      <c r="P1274" s="294"/>
      <c r="Q1274" s="294"/>
      <c r="R1274" s="294"/>
      <c r="S1274" s="294"/>
      <c r="T1274" s="294"/>
      <c r="U1274" s="294"/>
      <c r="V1274" s="431"/>
      <c r="W1274" s="331"/>
      <c r="X1274" s="331"/>
      <c r="Y1274" s="294">
        <f>IF(NFI_Expiration=1,IF($A1274&lt;VLOOKUP(H$5,NFI,5,0),1,0)*Table_NFI[[#This Row],[Hygiene Kit]],Table_NFI[Hygiene Kit])</f>
        <v>0</v>
      </c>
      <c r="Z1274" s="294">
        <f>IF(NFI_Expiration=1,IF($A1274&lt;VLOOKUP(I$5,NFI,5,0),1,0)*Table_NFI[[#This Row],[NFI Core Kit]],Table_NFI[NFI Core Kit])</f>
        <v>0</v>
      </c>
      <c r="AA1274" s="294">
        <f>IF(NFI_Expiration=1,IF($A1274&lt;VLOOKUP(J$5,NFI,5,0),1,0)*Table_NFI[[#This Row],[Sanitary Kit]],Table_NFI[Sanitary Kit])</f>
        <v>0</v>
      </c>
      <c r="AB1274" s="294">
        <f>IF(NFI_Expiration=1,IF($A1274&lt;VLOOKUP(K$5,NFI,5,0),1,0)*Table_NFI[[#This Row],[Mosquito net]],Table_NFI[Mosquito net])</f>
        <v>0</v>
      </c>
      <c r="AC1274" s="294">
        <f>IF(NFI_Expiration=1,IF($A1274&lt;VLOOKUP(L$5,NFI,5,0),1,0)*Table_NFI[[#This Row],[Tarpaulin]],Table_NFI[[#This Row],[Tarpaulin]])</f>
        <v>0</v>
      </c>
      <c r="AD1274" s="294">
        <f>IF(NFI_Expiration=1,IF($A1274&lt;VLOOKUP(M$5,NFI,5,0),1,0)*Table_NFI[[#This Row],[Blanket]],Table_NFI[[#This Row],[Blanket]])</f>
        <v>0</v>
      </c>
      <c r="AE1274" s="294">
        <f>IF(NFI_Expiration=1,IF($A1274&lt;VLOOKUP(N$5,NFI,5,0),1,0)*Table_NFI[[#This Row],[Kitchen Set]],Table_NFI[Kitchen Set])</f>
        <v>0</v>
      </c>
      <c r="AF1274" s="294">
        <f>IF(NFI_Expiration=1,IF($A1274&lt;VLOOKUP(O$5,NFI,5,0),1,0)*Table_NFI[[#This Row],[Clothes Kit]],Table_NFI[Clothes Kit])</f>
        <v>0</v>
      </c>
      <c r="AG1274" s="294">
        <f>IF(NFI_Expiration=1,IF($A1274&lt;VLOOKUP(P$5,NFI,5,0),1,0)*Table_NFI[[#This Row],[Plastic Bucket]],Table_NFI[Plastic Bucket])</f>
        <v>0</v>
      </c>
      <c r="AH1274" s="294">
        <f>IF(NFI_Expiration=1,IF($A1274&lt;VLOOKUP(Q$5,NFI,5,0),1,0)*Table_NFI[[#This Row],[Plastic Mat]],Table_NFI[Plastic Mat])*IF(Table_NFI[[#This Row],[Distribution Date]]&gt;"2014-04-01",1,2.5)</f>
        <v>0</v>
      </c>
      <c r="AI1274" s="294">
        <f>IF(NFI_Expiration=1,IF($A1274&lt;VLOOKUP(R$5,NFI,5,0),1,0)*Table_NFI[[#This Row],[Winter Clothes Adult]],Table_NFI[Winter Clothes Adult])</f>
        <v>0</v>
      </c>
      <c r="AJ1274" s="294">
        <f>IF(NFI_Expiration=1,IF($A1274&lt;VLOOKUP(S$5,NFI,5,0),1,0)*Table_NFI[[#This Row],[Winter Clothes Children]],Table_NFI[Winter Clothes Children])</f>
        <v>0</v>
      </c>
      <c r="AK1274" s="294">
        <f>IF(NFI_Expiration=1,IF($A1274&lt;VLOOKUP(T$5,NFI,5,0),1,0)*Table_NFI[[#This Row],[Winter Items Other]],Table_NFI[Winter Items Other])</f>
        <v>0</v>
      </c>
      <c r="AL1274" s="294">
        <f>IF(NFI_Expiration=1,IF($A1274&lt;VLOOKUP(M$5,NFI,5,0),1,0)*Table_NFI[[#This Row],[Winter Blanket]],Table_NFI[[#This Row],[Winter Blanket]])</f>
        <v>0</v>
      </c>
      <c r="AM1274" s="294">
        <f>IF(Table_NFI[[#This Row],[Winter Clothes Adult]]+Table_NFI[[#This Row],[Winter Clothes Children]]+Table_NFI[[#This Row],[Winter Items Other]]+Table_NFI[[#This Row],[Winter Blanket]]&gt;0,1,0)</f>
        <v>0</v>
      </c>
      <c r="AN1274" s="331">
        <f>IF(NFI_Expiration=1,IF($A1274&lt;VLOOKUP(V$5,NFI,5,0),1,0)*Table_NFI[[#This Row],[Jerry Can]],Table_NFI[Jerry Can])</f>
        <v>0</v>
      </c>
      <c r="AO1274" s="331">
        <f>IF(NFI_Expiration=1,IF($A1274&lt;VLOOKUP(V$5,NFI,5,0),1,0)*Table_NFI[[#This Row],[Shelter Tool kit]],Table_NFI[Shelter Tool kit])</f>
        <v>0</v>
      </c>
      <c r="AP1274" s="331">
        <f>IF(NFI_Expiration=1,IF($A1274&lt;VLOOKUP(V$5,NFI,5,0),1,0)*Table_NFI[[#This Row],[Tent]],Table_NFI[Tent])</f>
        <v>0</v>
      </c>
      <c r="AQ1274" s="467" t="str">
        <f>IFERROR(VLOOKUP(Table_NFI[[#This Row],[Camp Name]],CL,2,0),"")</f>
        <v/>
      </c>
      <c r="AR1274" s="835" t="str">
        <f ca="1">IF(Table_NFI[[#This Row],[Pcode]]="","",IF(OFFSET(CampList[Opening Date],MATCH(Table_NFI[[#This Row],[Pcode]],CampList[CP_Pcode],0)-1,0,1,1)&gt;=NFI_Monitor_Date,1,0))</f>
        <v/>
      </c>
      <c r="AS1274" s="467" t="str">
        <f>IFERROR(VLOOKUP(Table_NFI[[#This Row],[Camp Name]],CL,3,0),"")</f>
        <v/>
      </c>
      <c r="AT1274" s="294" t="str">
        <f ca="1">IF(Table_NFI[[#This Row],[Pcode]]="","",OFFSET(CampList[Priority],MATCH(Table_NFI[[#This Row],[Pcode]],CampList[CP_Pcode],0)-1,0,1,1))</f>
        <v/>
      </c>
      <c r="AU1274" s="293" t="str">
        <f>IFERROR(Table_NFI[[#This Row],[Kitchen Set]]/VLOOKUP(Table_NFI[[#This Row],[Camp Name]],CL,4,0),"")</f>
        <v/>
      </c>
      <c r="AV1274" s="465"/>
      <c r="AW1274" s="468"/>
    </row>
    <row r="1275" spans="1:49" ht="14.45" customHeight="1" x14ac:dyDescent="0.25">
      <c r="A1275" s="297" t="str">
        <f t="shared" si="19"/>
        <v/>
      </c>
      <c r="B1275" s="460"/>
      <c r="C1275" s="465"/>
      <c r="D1275" s="465"/>
      <c r="E1275" s="465"/>
      <c r="F1275" s="465"/>
      <c r="G1275" s="465"/>
      <c r="H1275" s="292"/>
      <c r="I1275" s="292"/>
      <c r="J1275" s="292"/>
      <c r="K1275" s="292"/>
      <c r="L1275" s="292"/>
      <c r="M1275" s="292"/>
      <c r="N1275" s="292"/>
      <c r="O1275" s="292"/>
      <c r="P1275" s="294"/>
      <c r="Q1275" s="294"/>
      <c r="R1275" s="294"/>
      <c r="S1275" s="294"/>
      <c r="T1275" s="294"/>
      <c r="U1275" s="294"/>
      <c r="V1275" s="431"/>
      <c r="W1275" s="331"/>
      <c r="X1275" s="331"/>
      <c r="Y1275" s="294">
        <f>IF(NFI_Expiration=1,IF($A1275&lt;VLOOKUP(H$5,NFI,5,0),1,0)*Table_NFI[[#This Row],[Hygiene Kit]],Table_NFI[Hygiene Kit])</f>
        <v>0</v>
      </c>
      <c r="Z1275" s="294">
        <f>IF(NFI_Expiration=1,IF($A1275&lt;VLOOKUP(I$5,NFI,5,0),1,0)*Table_NFI[[#This Row],[NFI Core Kit]],Table_NFI[NFI Core Kit])</f>
        <v>0</v>
      </c>
      <c r="AA1275" s="294">
        <f>IF(NFI_Expiration=1,IF($A1275&lt;VLOOKUP(J$5,NFI,5,0),1,0)*Table_NFI[[#This Row],[Sanitary Kit]],Table_NFI[Sanitary Kit])</f>
        <v>0</v>
      </c>
      <c r="AB1275" s="294">
        <f>IF(NFI_Expiration=1,IF($A1275&lt;VLOOKUP(K$5,NFI,5,0),1,0)*Table_NFI[[#This Row],[Mosquito net]],Table_NFI[Mosquito net])</f>
        <v>0</v>
      </c>
      <c r="AC1275" s="294">
        <f>IF(NFI_Expiration=1,IF($A1275&lt;VLOOKUP(L$5,NFI,5,0),1,0)*Table_NFI[[#This Row],[Tarpaulin]],Table_NFI[[#This Row],[Tarpaulin]])</f>
        <v>0</v>
      </c>
      <c r="AD1275" s="294">
        <f>IF(NFI_Expiration=1,IF($A1275&lt;VLOOKUP(M$5,NFI,5,0),1,0)*Table_NFI[[#This Row],[Blanket]],Table_NFI[[#This Row],[Blanket]])</f>
        <v>0</v>
      </c>
      <c r="AE1275" s="294">
        <f>IF(NFI_Expiration=1,IF($A1275&lt;VLOOKUP(N$5,NFI,5,0),1,0)*Table_NFI[[#This Row],[Kitchen Set]],Table_NFI[Kitchen Set])</f>
        <v>0</v>
      </c>
      <c r="AF1275" s="294">
        <f>IF(NFI_Expiration=1,IF($A1275&lt;VLOOKUP(O$5,NFI,5,0),1,0)*Table_NFI[[#This Row],[Clothes Kit]],Table_NFI[Clothes Kit])</f>
        <v>0</v>
      </c>
      <c r="AG1275" s="294">
        <f>IF(NFI_Expiration=1,IF($A1275&lt;VLOOKUP(P$5,NFI,5,0),1,0)*Table_NFI[[#This Row],[Plastic Bucket]],Table_NFI[Plastic Bucket])</f>
        <v>0</v>
      </c>
      <c r="AH1275" s="294">
        <f>IF(NFI_Expiration=1,IF($A1275&lt;VLOOKUP(Q$5,NFI,5,0),1,0)*Table_NFI[[#This Row],[Plastic Mat]],Table_NFI[Plastic Mat])*IF(Table_NFI[[#This Row],[Distribution Date]]&gt;"2014-04-01",1,2.5)</f>
        <v>0</v>
      </c>
      <c r="AI1275" s="294">
        <f>IF(NFI_Expiration=1,IF($A1275&lt;VLOOKUP(R$5,NFI,5,0),1,0)*Table_NFI[[#This Row],[Winter Clothes Adult]],Table_NFI[Winter Clothes Adult])</f>
        <v>0</v>
      </c>
      <c r="AJ1275" s="294">
        <f>IF(NFI_Expiration=1,IF($A1275&lt;VLOOKUP(S$5,NFI,5,0),1,0)*Table_NFI[[#This Row],[Winter Clothes Children]],Table_NFI[Winter Clothes Children])</f>
        <v>0</v>
      </c>
      <c r="AK1275" s="294">
        <f>IF(NFI_Expiration=1,IF($A1275&lt;VLOOKUP(T$5,NFI,5,0),1,0)*Table_NFI[[#This Row],[Winter Items Other]],Table_NFI[Winter Items Other])</f>
        <v>0</v>
      </c>
      <c r="AL1275" s="294">
        <f>IF(NFI_Expiration=1,IF($A1275&lt;VLOOKUP(M$5,NFI,5,0),1,0)*Table_NFI[[#This Row],[Winter Blanket]],Table_NFI[[#This Row],[Winter Blanket]])</f>
        <v>0</v>
      </c>
      <c r="AM1275" s="294">
        <f>IF(Table_NFI[[#This Row],[Winter Clothes Adult]]+Table_NFI[[#This Row],[Winter Clothes Children]]+Table_NFI[[#This Row],[Winter Items Other]]+Table_NFI[[#This Row],[Winter Blanket]]&gt;0,1,0)</f>
        <v>0</v>
      </c>
      <c r="AN1275" s="331">
        <f>IF(NFI_Expiration=1,IF($A1275&lt;VLOOKUP(V$5,NFI,5,0),1,0)*Table_NFI[[#This Row],[Jerry Can]],Table_NFI[Jerry Can])</f>
        <v>0</v>
      </c>
      <c r="AO1275" s="331">
        <f>IF(NFI_Expiration=1,IF($A1275&lt;VLOOKUP(V$5,NFI,5,0),1,0)*Table_NFI[[#This Row],[Shelter Tool kit]],Table_NFI[Shelter Tool kit])</f>
        <v>0</v>
      </c>
      <c r="AP1275" s="331">
        <f>IF(NFI_Expiration=1,IF($A1275&lt;VLOOKUP(V$5,NFI,5,0),1,0)*Table_NFI[[#This Row],[Tent]],Table_NFI[Tent])</f>
        <v>0</v>
      </c>
      <c r="AQ1275" s="467" t="str">
        <f>IFERROR(VLOOKUP(Table_NFI[[#This Row],[Camp Name]],CL,2,0),"")</f>
        <v/>
      </c>
      <c r="AR1275" s="835" t="str">
        <f ca="1">IF(Table_NFI[[#This Row],[Pcode]]="","",IF(OFFSET(CampList[Opening Date],MATCH(Table_NFI[[#This Row],[Pcode]],CampList[CP_Pcode],0)-1,0,1,1)&gt;=NFI_Monitor_Date,1,0))</f>
        <v/>
      </c>
      <c r="AS1275" s="467" t="str">
        <f>IFERROR(VLOOKUP(Table_NFI[[#This Row],[Camp Name]],CL,3,0),"")</f>
        <v/>
      </c>
      <c r="AT1275" s="294" t="str">
        <f ca="1">IF(Table_NFI[[#This Row],[Pcode]]="","",OFFSET(CampList[Priority],MATCH(Table_NFI[[#This Row],[Pcode]],CampList[CP_Pcode],0)-1,0,1,1))</f>
        <v/>
      </c>
      <c r="AU1275" s="293" t="str">
        <f>IFERROR(Table_NFI[[#This Row],[Kitchen Set]]/VLOOKUP(Table_NFI[[#This Row],[Camp Name]],CL,4,0),"")</f>
        <v/>
      </c>
      <c r="AV1275" s="465"/>
      <c r="AW1275" s="468"/>
    </row>
    <row r="1276" spans="1:49" ht="14.45" customHeight="1" x14ac:dyDescent="0.25">
      <c r="A1276" s="297" t="str">
        <f t="shared" si="19"/>
        <v/>
      </c>
      <c r="B1276" s="460"/>
      <c r="C1276" s="465"/>
      <c r="D1276" s="465"/>
      <c r="E1276" s="465"/>
      <c r="F1276" s="465"/>
      <c r="G1276" s="465"/>
      <c r="H1276" s="292"/>
      <c r="I1276" s="292"/>
      <c r="J1276" s="292"/>
      <c r="K1276" s="292"/>
      <c r="L1276" s="292"/>
      <c r="M1276" s="292"/>
      <c r="N1276" s="292"/>
      <c r="O1276" s="292"/>
      <c r="P1276" s="294"/>
      <c r="Q1276" s="294"/>
      <c r="R1276" s="294"/>
      <c r="S1276" s="294"/>
      <c r="T1276" s="294"/>
      <c r="U1276" s="294"/>
      <c r="V1276" s="431"/>
      <c r="W1276" s="331"/>
      <c r="X1276" s="331"/>
      <c r="Y1276" s="294">
        <f>IF(NFI_Expiration=1,IF($A1276&lt;VLOOKUP(H$5,NFI,5,0),1,0)*Table_NFI[[#This Row],[Hygiene Kit]],Table_NFI[Hygiene Kit])</f>
        <v>0</v>
      </c>
      <c r="Z1276" s="294">
        <f>IF(NFI_Expiration=1,IF($A1276&lt;VLOOKUP(I$5,NFI,5,0),1,0)*Table_NFI[[#This Row],[NFI Core Kit]],Table_NFI[NFI Core Kit])</f>
        <v>0</v>
      </c>
      <c r="AA1276" s="294">
        <f>IF(NFI_Expiration=1,IF($A1276&lt;VLOOKUP(J$5,NFI,5,0),1,0)*Table_NFI[[#This Row],[Sanitary Kit]],Table_NFI[Sanitary Kit])</f>
        <v>0</v>
      </c>
      <c r="AB1276" s="294">
        <f>IF(NFI_Expiration=1,IF($A1276&lt;VLOOKUP(K$5,NFI,5,0),1,0)*Table_NFI[[#This Row],[Mosquito net]],Table_NFI[Mosquito net])</f>
        <v>0</v>
      </c>
      <c r="AC1276" s="294">
        <f>IF(NFI_Expiration=1,IF($A1276&lt;VLOOKUP(L$5,NFI,5,0),1,0)*Table_NFI[[#This Row],[Tarpaulin]],Table_NFI[[#This Row],[Tarpaulin]])</f>
        <v>0</v>
      </c>
      <c r="AD1276" s="294">
        <f>IF(NFI_Expiration=1,IF($A1276&lt;VLOOKUP(M$5,NFI,5,0),1,0)*Table_NFI[[#This Row],[Blanket]],Table_NFI[[#This Row],[Blanket]])</f>
        <v>0</v>
      </c>
      <c r="AE1276" s="294">
        <f>IF(NFI_Expiration=1,IF($A1276&lt;VLOOKUP(N$5,NFI,5,0),1,0)*Table_NFI[[#This Row],[Kitchen Set]],Table_NFI[Kitchen Set])</f>
        <v>0</v>
      </c>
      <c r="AF1276" s="294">
        <f>IF(NFI_Expiration=1,IF($A1276&lt;VLOOKUP(O$5,NFI,5,0),1,0)*Table_NFI[[#This Row],[Clothes Kit]],Table_NFI[Clothes Kit])</f>
        <v>0</v>
      </c>
      <c r="AG1276" s="294">
        <f>IF(NFI_Expiration=1,IF($A1276&lt;VLOOKUP(P$5,NFI,5,0),1,0)*Table_NFI[[#This Row],[Plastic Bucket]],Table_NFI[Plastic Bucket])</f>
        <v>0</v>
      </c>
      <c r="AH1276" s="294">
        <f>IF(NFI_Expiration=1,IF($A1276&lt;VLOOKUP(Q$5,NFI,5,0),1,0)*Table_NFI[[#This Row],[Plastic Mat]],Table_NFI[Plastic Mat])*IF(Table_NFI[[#This Row],[Distribution Date]]&gt;"2014-04-01",1,2.5)</f>
        <v>0</v>
      </c>
      <c r="AI1276" s="294">
        <f>IF(NFI_Expiration=1,IF($A1276&lt;VLOOKUP(R$5,NFI,5,0),1,0)*Table_NFI[[#This Row],[Winter Clothes Adult]],Table_NFI[Winter Clothes Adult])</f>
        <v>0</v>
      </c>
      <c r="AJ1276" s="294">
        <f>IF(NFI_Expiration=1,IF($A1276&lt;VLOOKUP(S$5,NFI,5,0),1,0)*Table_NFI[[#This Row],[Winter Clothes Children]],Table_NFI[Winter Clothes Children])</f>
        <v>0</v>
      </c>
      <c r="AK1276" s="294">
        <f>IF(NFI_Expiration=1,IF($A1276&lt;VLOOKUP(T$5,NFI,5,0),1,0)*Table_NFI[[#This Row],[Winter Items Other]],Table_NFI[Winter Items Other])</f>
        <v>0</v>
      </c>
      <c r="AL1276" s="294">
        <f>IF(NFI_Expiration=1,IF($A1276&lt;VLOOKUP(M$5,NFI,5,0),1,0)*Table_NFI[[#This Row],[Winter Blanket]],Table_NFI[[#This Row],[Winter Blanket]])</f>
        <v>0</v>
      </c>
      <c r="AM1276" s="294">
        <f>IF(Table_NFI[[#This Row],[Winter Clothes Adult]]+Table_NFI[[#This Row],[Winter Clothes Children]]+Table_NFI[[#This Row],[Winter Items Other]]+Table_NFI[[#This Row],[Winter Blanket]]&gt;0,1,0)</f>
        <v>0</v>
      </c>
      <c r="AN1276" s="331">
        <f>IF(NFI_Expiration=1,IF($A1276&lt;VLOOKUP(V$5,NFI,5,0),1,0)*Table_NFI[[#This Row],[Jerry Can]],Table_NFI[Jerry Can])</f>
        <v>0</v>
      </c>
      <c r="AO1276" s="331">
        <f>IF(NFI_Expiration=1,IF($A1276&lt;VLOOKUP(V$5,NFI,5,0),1,0)*Table_NFI[[#This Row],[Shelter Tool kit]],Table_NFI[Shelter Tool kit])</f>
        <v>0</v>
      </c>
      <c r="AP1276" s="331">
        <f>IF(NFI_Expiration=1,IF($A1276&lt;VLOOKUP(V$5,NFI,5,0),1,0)*Table_NFI[[#This Row],[Tent]],Table_NFI[Tent])</f>
        <v>0</v>
      </c>
      <c r="AQ1276" s="467" t="str">
        <f>IFERROR(VLOOKUP(Table_NFI[[#This Row],[Camp Name]],CL,2,0),"")</f>
        <v/>
      </c>
      <c r="AR1276" s="835" t="str">
        <f ca="1">IF(Table_NFI[[#This Row],[Pcode]]="","",IF(OFFSET(CampList[Opening Date],MATCH(Table_NFI[[#This Row],[Pcode]],CampList[CP_Pcode],0)-1,0,1,1)&gt;=NFI_Monitor_Date,1,0))</f>
        <v/>
      </c>
      <c r="AS1276" s="467" t="str">
        <f>IFERROR(VLOOKUP(Table_NFI[[#This Row],[Camp Name]],CL,3,0),"")</f>
        <v/>
      </c>
      <c r="AT1276" s="294" t="str">
        <f ca="1">IF(Table_NFI[[#This Row],[Pcode]]="","",OFFSET(CampList[Priority],MATCH(Table_NFI[[#This Row],[Pcode]],CampList[CP_Pcode],0)-1,0,1,1))</f>
        <v/>
      </c>
      <c r="AU1276" s="293" t="str">
        <f>IFERROR(Table_NFI[[#This Row],[Kitchen Set]]/VLOOKUP(Table_NFI[[#This Row],[Camp Name]],CL,4,0),"")</f>
        <v/>
      </c>
      <c r="AV1276" s="465"/>
      <c r="AW1276" s="468"/>
    </row>
    <row r="1277" spans="1:49" ht="14.45" customHeight="1" x14ac:dyDescent="0.25">
      <c r="A1277" s="297" t="str">
        <f t="shared" si="19"/>
        <v/>
      </c>
      <c r="B1277" s="460"/>
      <c r="C1277" s="465"/>
      <c r="D1277" s="465"/>
      <c r="E1277" s="465"/>
      <c r="F1277" s="465"/>
      <c r="G1277" s="465"/>
      <c r="H1277" s="292"/>
      <c r="I1277" s="292"/>
      <c r="J1277" s="292"/>
      <c r="K1277" s="292"/>
      <c r="L1277" s="292"/>
      <c r="M1277" s="292"/>
      <c r="N1277" s="292"/>
      <c r="O1277" s="292"/>
      <c r="P1277" s="294"/>
      <c r="Q1277" s="294"/>
      <c r="R1277" s="294"/>
      <c r="S1277" s="294"/>
      <c r="T1277" s="294"/>
      <c r="U1277" s="294"/>
      <c r="V1277" s="431"/>
      <c r="W1277" s="331"/>
      <c r="X1277" s="331"/>
      <c r="Y1277" s="294">
        <f>IF(NFI_Expiration=1,IF($A1277&lt;VLOOKUP(H$5,NFI,5,0),1,0)*Table_NFI[[#This Row],[Hygiene Kit]],Table_NFI[Hygiene Kit])</f>
        <v>0</v>
      </c>
      <c r="Z1277" s="294">
        <f>IF(NFI_Expiration=1,IF($A1277&lt;VLOOKUP(I$5,NFI,5,0),1,0)*Table_NFI[[#This Row],[NFI Core Kit]],Table_NFI[NFI Core Kit])</f>
        <v>0</v>
      </c>
      <c r="AA1277" s="294">
        <f>IF(NFI_Expiration=1,IF($A1277&lt;VLOOKUP(J$5,NFI,5,0),1,0)*Table_NFI[[#This Row],[Sanitary Kit]],Table_NFI[Sanitary Kit])</f>
        <v>0</v>
      </c>
      <c r="AB1277" s="294">
        <f>IF(NFI_Expiration=1,IF($A1277&lt;VLOOKUP(K$5,NFI,5,0),1,0)*Table_NFI[[#This Row],[Mosquito net]],Table_NFI[Mosquito net])</f>
        <v>0</v>
      </c>
      <c r="AC1277" s="294">
        <f>IF(NFI_Expiration=1,IF($A1277&lt;VLOOKUP(L$5,NFI,5,0),1,0)*Table_NFI[[#This Row],[Tarpaulin]],Table_NFI[[#This Row],[Tarpaulin]])</f>
        <v>0</v>
      </c>
      <c r="AD1277" s="294">
        <f>IF(NFI_Expiration=1,IF($A1277&lt;VLOOKUP(M$5,NFI,5,0),1,0)*Table_NFI[[#This Row],[Blanket]],Table_NFI[[#This Row],[Blanket]])</f>
        <v>0</v>
      </c>
      <c r="AE1277" s="294">
        <f>IF(NFI_Expiration=1,IF($A1277&lt;VLOOKUP(N$5,NFI,5,0),1,0)*Table_NFI[[#This Row],[Kitchen Set]],Table_NFI[Kitchen Set])</f>
        <v>0</v>
      </c>
      <c r="AF1277" s="294">
        <f>IF(NFI_Expiration=1,IF($A1277&lt;VLOOKUP(O$5,NFI,5,0),1,0)*Table_NFI[[#This Row],[Clothes Kit]],Table_NFI[Clothes Kit])</f>
        <v>0</v>
      </c>
      <c r="AG1277" s="294">
        <f>IF(NFI_Expiration=1,IF($A1277&lt;VLOOKUP(P$5,NFI,5,0),1,0)*Table_NFI[[#This Row],[Plastic Bucket]],Table_NFI[Plastic Bucket])</f>
        <v>0</v>
      </c>
      <c r="AH1277" s="294">
        <f>IF(NFI_Expiration=1,IF($A1277&lt;VLOOKUP(Q$5,NFI,5,0),1,0)*Table_NFI[[#This Row],[Plastic Mat]],Table_NFI[Plastic Mat])*IF(Table_NFI[[#This Row],[Distribution Date]]&gt;"2014-04-01",1,2.5)</f>
        <v>0</v>
      </c>
      <c r="AI1277" s="294">
        <f>IF(NFI_Expiration=1,IF($A1277&lt;VLOOKUP(R$5,NFI,5,0),1,0)*Table_NFI[[#This Row],[Winter Clothes Adult]],Table_NFI[Winter Clothes Adult])</f>
        <v>0</v>
      </c>
      <c r="AJ1277" s="294">
        <f>IF(NFI_Expiration=1,IF($A1277&lt;VLOOKUP(S$5,NFI,5,0),1,0)*Table_NFI[[#This Row],[Winter Clothes Children]],Table_NFI[Winter Clothes Children])</f>
        <v>0</v>
      </c>
      <c r="AK1277" s="294">
        <f>IF(NFI_Expiration=1,IF($A1277&lt;VLOOKUP(T$5,NFI,5,0),1,0)*Table_NFI[[#This Row],[Winter Items Other]],Table_NFI[Winter Items Other])</f>
        <v>0</v>
      </c>
      <c r="AL1277" s="294">
        <f>IF(NFI_Expiration=1,IF($A1277&lt;VLOOKUP(M$5,NFI,5,0),1,0)*Table_NFI[[#This Row],[Winter Blanket]],Table_NFI[[#This Row],[Winter Blanket]])</f>
        <v>0</v>
      </c>
      <c r="AM1277" s="294">
        <f>IF(Table_NFI[[#This Row],[Winter Clothes Adult]]+Table_NFI[[#This Row],[Winter Clothes Children]]+Table_NFI[[#This Row],[Winter Items Other]]+Table_NFI[[#This Row],[Winter Blanket]]&gt;0,1,0)</f>
        <v>0</v>
      </c>
      <c r="AN1277" s="331">
        <f>IF(NFI_Expiration=1,IF($A1277&lt;VLOOKUP(V$5,NFI,5,0),1,0)*Table_NFI[[#This Row],[Jerry Can]],Table_NFI[Jerry Can])</f>
        <v>0</v>
      </c>
      <c r="AO1277" s="331">
        <f>IF(NFI_Expiration=1,IF($A1277&lt;VLOOKUP(V$5,NFI,5,0),1,0)*Table_NFI[[#This Row],[Shelter Tool kit]],Table_NFI[Shelter Tool kit])</f>
        <v>0</v>
      </c>
      <c r="AP1277" s="331">
        <f>IF(NFI_Expiration=1,IF($A1277&lt;VLOOKUP(V$5,NFI,5,0),1,0)*Table_NFI[[#This Row],[Tent]],Table_NFI[Tent])</f>
        <v>0</v>
      </c>
      <c r="AQ1277" s="467" t="str">
        <f>IFERROR(VLOOKUP(Table_NFI[[#This Row],[Camp Name]],CL,2,0),"")</f>
        <v/>
      </c>
      <c r="AR1277" s="835" t="str">
        <f ca="1">IF(Table_NFI[[#This Row],[Pcode]]="","",IF(OFFSET(CampList[Opening Date],MATCH(Table_NFI[[#This Row],[Pcode]],CampList[CP_Pcode],0)-1,0,1,1)&gt;=NFI_Monitor_Date,1,0))</f>
        <v/>
      </c>
      <c r="AS1277" s="467" t="str">
        <f>IFERROR(VLOOKUP(Table_NFI[[#This Row],[Camp Name]],CL,3,0),"")</f>
        <v/>
      </c>
      <c r="AT1277" s="294" t="str">
        <f ca="1">IF(Table_NFI[[#This Row],[Pcode]]="","",OFFSET(CampList[Priority],MATCH(Table_NFI[[#This Row],[Pcode]],CampList[CP_Pcode],0)-1,0,1,1))</f>
        <v/>
      </c>
      <c r="AU1277" s="293" t="str">
        <f>IFERROR(Table_NFI[[#This Row],[Kitchen Set]]/VLOOKUP(Table_NFI[[#This Row],[Camp Name]],CL,4,0),"")</f>
        <v/>
      </c>
      <c r="AV1277" s="465"/>
      <c r="AW1277" s="468"/>
    </row>
    <row r="1278" spans="1:49" ht="14.45" customHeight="1" x14ac:dyDescent="0.25">
      <c r="A1278" s="297" t="str">
        <f t="shared" si="19"/>
        <v/>
      </c>
      <c r="B1278" s="460"/>
      <c r="C1278" s="465"/>
      <c r="D1278" s="465"/>
      <c r="E1278" s="465"/>
      <c r="F1278" s="465"/>
      <c r="G1278" s="465"/>
      <c r="H1278" s="292"/>
      <c r="I1278" s="292"/>
      <c r="J1278" s="292"/>
      <c r="K1278" s="292"/>
      <c r="L1278" s="292"/>
      <c r="M1278" s="292"/>
      <c r="N1278" s="292"/>
      <c r="O1278" s="292"/>
      <c r="P1278" s="294"/>
      <c r="Q1278" s="294"/>
      <c r="R1278" s="294"/>
      <c r="S1278" s="294"/>
      <c r="T1278" s="294"/>
      <c r="U1278" s="294"/>
      <c r="V1278" s="431"/>
      <c r="W1278" s="331"/>
      <c r="X1278" s="331"/>
      <c r="Y1278" s="294">
        <f>IF(NFI_Expiration=1,IF($A1278&lt;VLOOKUP(H$5,NFI,5,0),1,0)*Table_NFI[[#This Row],[Hygiene Kit]],Table_NFI[Hygiene Kit])</f>
        <v>0</v>
      </c>
      <c r="Z1278" s="294">
        <f>IF(NFI_Expiration=1,IF($A1278&lt;VLOOKUP(I$5,NFI,5,0),1,0)*Table_NFI[[#This Row],[NFI Core Kit]],Table_NFI[NFI Core Kit])</f>
        <v>0</v>
      </c>
      <c r="AA1278" s="294">
        <f>IF(NFI_Expiration=1,IF($A1278&lt;VLOOKUP(J$5,NFI,5,0),1,0)*Table_NFI[[#This Row],[Sanitary Kit]],Table_NFI[Sanitary Kit])</f>
        <v>0</v>
      </c>
      <c r="AB1278" s="294">
        <f>IF(NFI_Expiration=1,IF($A1278&lt;VLOOKUP(K$5,NFI,5,0),1,0)*Table_NFI[[#This Row],[Mosquito net]],Table_NFI[Mosquito net])</f>
        <v>0</v>
      </c>
      <c r="AC1278" s="294">
        <f>IF(NFI_Expiration=1,IF($A1278&lt;VLOOKUP(L$5,NFI,5,0),1,0)*Table_NFI[[#This Row],[Tarpaulin]],Table_NFI[[#This Row],[Tarpaulin]])</f>
        <v>0</v>
      </c>
      <c r="AD1278" s="294">
        <f>IF(NFI_Expiration=1,IF($A1278&lt;VLOOKUP(M$5,NFI,5,0),1,0)*Table_NFI[[#This Row],[Blanket]],Table_NFI[[#This Row],[Blanket]])</f>
        <v>0</v>
      </c>
      <c r="AE1278" s="294">
        <f>IF(NFI_Expiration=1,IF($A1278&lt;VLOOKUP(N$5,NFI,5,0),1,0)*Table_NFI[[#This Row],[Kitchen Set]],Table_NFI[Kitchen Set])</f>
        <v>0</v>
      </c>
      <c r="AF1278" s="294">
        <f>IF(NFI_Expiration=1,IF($A1278&lt;VLOOKUP(O$5,NFI,5,0),1,0)*Table_NFI[[#This Row],[Clothes Kit]],Table_NFI[Clothes Kit])</f>
        <v>0</v>
      </c>
      <c r="AG1278" s="294">
        <f>IF(NFI_Expiration=1,IF($A1278&lt;VLOOKUP(P$5,NFI,5,0),1,0)*Table_NFI[[#This Row],[Plastic Bucket]],Table_NFI[Plastic Bucket])</f>
        <v>0</v>
      </c>
      <c r="AH1278" s="294">
        <f>IF(NFI_Expiration=1,IF($A1278&lt;VLOOKUP(Q$5,NFI,5,0),1,0)*Table_NFI[[#This Row],[Plastic Mat]],Table_NFI[Plastic Mat])*IF(Table_NFI[[#This Row],[Distribution Date]]&gt;"2014-04-01",1,2.5)</f>
        <v>0</v>
      </c>
      <c r="AI1278" s="294">
        <f>IF(NFI_Expiration=1,IF($A1278&lt;VLOOKUP(R$5,NFI,5,0),1,0)*Table_NFI[[#This Row],[Winter Clothes Adult]],Table_NFI[Winter Clothes Adult])</f>
        <v>0</v>
      </c>
      <c r="AJ1278" s="294">
        <f>IF(NFI_Expiration=1,IF($A1278&lt;VLOOKUP(S$5,NFI,5,0),1,0)*Table_NFI[[#This Row],[Winter Clothes Children]],Table_NFI[Winter Clothes Children])</f>
        <v>0</v>
      </c>
      <c r="AK1278" s="294">
        <f>IF(NFI_Expiration=1,IF($A1278&lt;VLOOKUP(T$5,NFI,5,0),1,0)*Table_NFI[[#This Row],[Winter Items Other]],Table_NFI[Winter Items Other])</f>
        <v>0</v>
      </c>
      <c r="AL1278" s="294">
        <f>IF(NFI_Expiration=1,IF($A1278&lt;VLOOKUP(M$5,NFI,5,0),1,0)*Table_NFI[[#This Row],[Winter Blanket]],Table_NFI[[#This Row],[Winter Blanket]])</f>
        <v>0</v>
      </c>
      <c r="AM1278" s="294">
        <f>IF(Table_NFI[[#This Row],[Winter Clothes Adult]]+Table_NFI[[#This Row],[Winter Clothes Children]]+Table_NFI[[#This Row],[Winter Items Other]]+Table_NFI[[#This Row],[Winter Blanket]]&gt;0,1,0)</f>
        <v>0</v>
      </c>
      <c r="AN1278" s="331">
        <f>IF(NFI_Expiration=1,IF($A1278&lt;VLOOKUP(V$5,NFI,5,0),1,0)*Table_NFI[[#This Row],[Jerry Can]],Table_NFI[Jerry Can])</f>
        <v>0</v>
      </c>
      <c r="AO1278" s="331">
        <f>IF(NFI_Expiration=1,IF($A1278&lt;VLOOKUP(V$5,NFI,5,0),1,0)*Table_NFI[[#This Row],[Shelter Tool kit]],Table_NFI[Shelter Tool kit])</f>
        <v>0</v>
      </c>
      <c r="AP1278" s="331">
        <f>IF(NFI_Expiration=1,IF($A1278&lt;VLOOKUP(V$5,NFI,5,0),1,0)*Table_NFI[[#This Row],[Tent]],Table_NFI[Tent])</f>
        <v>0</v>
      </c>
      <c r="AQ1278" s="467" t="str">
        <f>IFERROR(VLOOKUP(Table_NFI[[#This Row],[Camp Name]],CL,2,0),"")</f>
        <v/>
      </c>
      <c r="AR1278" s="835" t="str">
        <f ca="1">IF(Table_NFI[[#This Row],[Pcode]]="","",IF(OFFSET(CampList[Opening Date],MATCH(Table_NFI[[#This Row],[Pcode]],CampList[CP_Pcode],0)-1,0,1,1)&gt;=NFI_Monitor_Date,1,0))</f>
        <v/>
      </c>
      <c r="AS1278" s="467" t="str">
        <f>IFERROR(VLOOKUP(Table_NFI[[#This Row],[Camp Name]],CL,3,0),"")</f>
        <v/>
      </c>
      <c r="AT1278" s="294" t="str">
        <f ca="1">IF(Table_NFI[[#This Row],[Pcode]]="","",OFFSET(CampList[Priority],MATCH(Table_NFI[[#This Row],[Pcode]],CampList[CP_Pcode],0)-1,0,1,1))</f>
        <v/>
      </c>
      <c r="AU1278" s="293" t="str">
        <f>IFERROR(Table_NFI[[#This Row],[Kitchen Set]]/VLOOKUP(Table_NFI[[#This Row],[Camp Name]],CL,4,0),"")</f>
        <v/>
      </c>
      <c r="AV1278" s="465"/>
      <c r="AW1278" s="468"/>
    </row>
    <row r="1279" spans="1:49" ht="14.45" customHeight="1" x14ac:dyDescent="0.25">
      <c r="A1279" s="297" t="str">
        <f t="shared" si="19"/>
        <v/>
      </c>
      <c r="B1279" s="460"/>
      <c r="C1279" s="465"/>
      <c r="D1279" s="465"/>
      <c r="E1279" s="465"/>
      <c r="F1279" s="465"/>
      <c r="G1279" s="465"/>
      <c r="H1279" s="292"/>
      <c r="I1279" s="292"/>
      <c r="J1279" s="292"/>
      <c r="K1279" s="292"/>
      <c r="L1279" s="292"/>
      <c r="M1279" s="292"/>
      <c r="N1279" s="292"/>
      <c r="O1279" s="292"/>
      <c r="P1279" s="294"/>
      <c r="Q1279" s="294"/>
      <c r="R1279" s="294"/>
      <c r="S1279" s="294"/>
      <c r="T1279" s="294"/>
      <c r="U1279" s="294"/>
      <c r="V1279" s="431"/>
      <c r="W1279" s="331"/>
      <c r="X1279" s="331"/>
      <c r="Y1279" s="294">
        <f>IF(NFI_Expiration=1,IF($A1279&lt;VLOOKUP(H$5,NFI,5,0),1,0)*Table_NFI[[#This Row],[Hygiene Kit]],Table_NFI[Hygiene Kit])</f>
        <v>0</v>
      </c>
      <c r="Z1279" s="294">
        <f>IF(NFI_Expiration=1,IF($A1279&lt;VLOOKUP(I$5,NFI,5,0),1,0)*Table_NFI[[#This Row],[NFI Core Kit]],Table_NFI[NFI Core Kit])</f>
        <v>0</v>
      </c>
      <c r="AA1279" s="294">
        <f>IF(NFI_Expiration=1,IF($A1279&lt;VLOOKUP(J$5,NFI,5,0),1,0)*Table_NFI[[#This Row],[Sanitary Kit]],Table_NFI[Sanitary Kit])</f>
        <v>0</v>
      </c>
      <c r="AB1279" s="294">
        <f>IF(NFI_Expiration=1,IF($A1279&lt;VLOOKUP(K$5,NFI,5,0),1,0)*Table_NFI[[#This Row],[Mosquito net]],Table_NFI[Mosquito net])</f>
        <v>0</v>
      </c>
      <c r="AC1279" s="294">
        <f>IF(NFI_Expiration=1,IF($A1279&lt;VLOOKUP(L$5,NFI,5,0),1,0)*Table_NFI[[#This Row],[Tarpaulin]],Table_NFI[[#This Row],[Tarpaulin]])</f>
        <v>0</v>
      </c>
      <c r="AD1279" s="294">
        <f>IF(NFI_Expiration=1,IF($A1279&lt;VLOOKUP(M$5,NFI,5,0),1,0)*Table_NFI[[#This Row],[Blanket]],Table_NFI[[#This Row],[Blanket]])</f>
        <v>0</v>
      </c>
      <c r="AE1279" s="294">
        <f>IF(NFI_Expiration=1,IF($A1279&lt;VLOOKUP(N$5,NFI,5,0),1,0)*Table_NFI[[#This Row],[Kitchen Set]],Table_NFI[Kitchen Set])</f>
        <v>0</v>
      </c>
      <c r="AF1279" s="294">
        <f>IF(NFI_Expiration=1,IF($A1279&lt;VLOOKUP(O$5,NFI,5,0),1,0)*Table_NFI[[#This Row],[Clothes Kit]],Table_NFI[Clothes Kit])</f>
        <v>0</v>
      </c>
      <c r="AG1279" s="294">
        <f>IF(NFI_Expiration=1,IF($A1279&lt;VLOOKUP(P$5,NFI,5,0),1,0)*Table_NFI[[#This Row],[Plastic Bucket]],Table_NFI[Plastic Bucket])</f>
        <v>0</v>
      </c>
      <c r="AH1279" s="294">
        <f>IF(NFI_Expiration=1,IF($A1279&lt;VLOOKUP(Q$5,NFI,5,0),1,0)*Table_NFI[[#This Row],[Plastic Mat]],Table_NFI[Plastic Mat])*IF(Table_NFI[[#This Row],[Distribution Date]]&gt;"2014-04-01",1,2.5)</f>
        <v>0</v>
      </c>
      <c r="AI1279" s="294">
        <f>IF(NFI_Expiration=1,IF($A1279&lt;VLOOKUP(R$5,NFI,5,0),1,0)*Table_NFI[[#This Row],[Winter Clothes Adult]],Table_NFI[Winter Clothes Adult])</f>
        <v>0</v>
      </c>
      <c r="AJ1279" s="294">
        <f>IF(NFI_Expiration=1,IF($A1279&lt;VLOOKUP(S$5,NFI,5,0),1,0)*Table_NFI[[#This Row],[Winter Clothes Children]],Table_NFI[Winter Clothes Children])</f>
        <v>0</v>
      </c>
      <c r="AK1279" s="294">
        <f>IF(NFI_Expiration=1,IF($A1279&lt;VLOOKUP(T$5,NFI,5,0),1,0)*Table_NFI[[#This Row],[Winter Items Other]],Table_NFI[Winter Items Other])</f>
        <v>0</v>
      </c>
      <c r="AL1279" s="294">
        <f>IF(NFI_Expiration=1,IF($A1279&lt;VLOOKUP(M$5,NFI,5,0),1,0)*Table_NFI[[#This Row],[Winter Blanket]],Table_NFI[[#This Row],[Winter Blanket]])</f>
        <v>0</v>
      </c>
      <c r="AM1279" s="294">
        <f>IF(Table_NFI[[#This Row],[Winter Clothes Adult]]+Table_NFI[[#This Row],[Winter Clothes Children]]+Table_NFI[[#This Row],[Winter Items Other]]+Table_NFI[[#This Row],[Winter Blanket]]&gt;0,1,0)</f>
        <v>0</v>
      </c>
      <c r="AN1279" s="331">
        <f>IF(NFI_Expiration=1,IF($A1279&lt;VLOOKUP(V$5,NFI,5,0),1,0)*Table_NFI[[#This Row],[Jerry Can]],Table_NFI[Jerry Can])</f>
        <v>0</v>
      </c>
      <c r="AO1279" s="331">
        <f>IF(NFI_Expiration=1,IF($A1279&lt;VLOOKUP(V$5,NFI,5,0),1,0)*Table_NFI[[#This Row],[Shelter Tool kit]],Table_NFI[Shelter Tool kit])</f>
        <v>0</v>
      </c>
      <c r="AP1279" s="331">
        <f>IF(NFI_Expiration=1,IF($A1279&lt;VLOOKUP(V$5,NFI,5,0),1,0)*Table_NFI[[#This Row],[Tent]],Table_NFI[Tent])</f>
        <v>0</v>
      </c>
      <c r="AQ1279" s="467" t="str">
        <f>IFERROR(VLOOKUP(Table_NFI[[#This Row],[Camp Name]],CL,2,0),"")</f>
        <v/>
      </c>
      <c r="AR1279" s="835" t="str">
        <f ca="1">IF(Table_NFI[[#This Row],[Pcode]]="","",IF(OFFSET(CampList[Opening Date],MATCH(Table_NFI[[#This Row],[Pcode]],CampList[CP_Pcode],0)-1,0,1,1)&gt;=NFI_Monitor_Date,1,0))</f>
        <v/>
      </c>
      <c r="AS1279" s="467" t="str">
        <f>IFERROR(VLOOKUP(Table_NFI[[#This Row],[Camp Name]],CL,3,0),"")</f>
        <v/>
      </c>
      <c r="AT1279" s="294" t="str">
        <f ca="1">IF(Table_NFI[[#This Row],[Pcode]]="","",OFFSET(CampList[Priority],MATCH(Table_NFI[[#This Row],[Pcode]],CampList[CP_Pcode],0)-1,0,1,1))</f>
        <v/>
      </c>
      <c r="AU1279" s="293" t="str">
        <f>IFERROR(Table_NFI[[#This Row],[Kitchen Set]]/VLOOKUP(Table_NFI[[#This Row],[Camp Name]],CL,4,0),"")</f>
        <v/>
      </c>
      <c r="AV1279" s="465"/>
      <c r="AW1279" s="468"/>
    </row>
    <row r="1280" spans="1:49" ht="14.45" customHeight="1" x14ac:dyDescent="0.25">
      <c r="A1280" s="297" t="str">
        <f t="shared" si="19"/>
        <v/>
      </c>
      <c r="B1280" s="460"/>
      <c r="C1280" s="465"/>
      <c r="D1280" s="465"/>
      <c r="E1280" s="465"/>
      <c r="F1280" s="465"/>
      <c r="G1280" s="465"/>
      <c r="H1280" s="292"/>
      <c r="I1280" s="292"/>
      <c r="J1280" s="292"/>
      <c r="K1280" s="292"/>
      <c r="L1280" s="292"/>
      <c r="M1280" s="292"/>
      <c r="N1280" s="292"/>
      <c r="O1280" s="292"/>
      <c r="P1280" s="294"/>
      <c r="Q1280" s="294"/>
      <c r="R1280" s="294"/>
      <c r="S1280" s="294"/>
      <c r="T1280" s="294"/>
      <c r="U1280" s="294"/>
      <c r="V1280" s="431"/>
      <c r="W1280" s="331"/>
      <c r="X1280" s="331"/>
      <c r="Y1280" s="294">
        <f>IF(NFI_Expiration=1,IF($A1280&lt;VLOOKUP(H$5,NFI,5,0),1,0)*Table_NFI[[#This Row],[Hygiene Kit]],Table_NFI[Hygiene Kit])</f>
        <v>0</v>
      </c>
      <c r="Z1280" s="294">
        <f>IF(NFI_Expiration=1,IF($A1280&lt;VLOOKUP(I$5,NFI,5,0),1,0)*Table_NFI[[#This Row],[NFI Core Kit]],Table_NFI[NFI Core Kit])</f>
        <v>0</v>
      </c>
      <c r="AA1280" s="294">
        <f>IF(NFI_Expiration=1,IF($A1280&lt;VLOOKUP(J$5,NFI,5,0),1,0)*Table_NFI[[#This Row],[Sanitary Kit]],Table_NFI[Sanitary Kit])</f>
        <v>0</v>
      </c>
      <c r="AB1280" s="294">
        <f>IF(NFI_Expiration=1,IF($A1280&lt;VLOOKUP(K$5,NFI,5,0),1,0)*Table_NFI[[#This Row],[Mosquito net]],Table_NFI[Mosquito net])</f>
        <v>0</v>
      </c>
      <c r="AC1280" s="294">
        <f>IF(NFI_Expiration=1,IF($A1280&lt;VLOOKUP(L$5,NFI,5,0),1,0)*Table_NFI[[#This Row],[Tarpaulin]],Table_NFI[[#This Row],[Tarpaulin]])</f>
        <v>0</v>
      </c>
      <c r="AD1280" s="294">
        <f>IF(NFI_Expiration=1,IF($A1280&lt;VLOOKUP(M$5,NFI,5,0),1,0)*Table_NFI[[#This Row],[Blanket]],Table_NFI[[#This Row],[Blanket]])</f>
        <v>0</v>
      </c>
      <c r="AE1280" s="294">
        <f>IF(NFI_Expiration=1,IF($A1280&lt;VLOOKUP(N$5,NFI,5,0),1,0)*Table_NFI[[#This Row],[Kitchen Set]],Table_NFI[Kitchen Set])</f>
        <v>0</v>
      </c>
      <c r="AF1280" s="294">
        <f>IF(NFI_Expiration=1,IF($A1280&lt;VLOOKUP(O$5,NFI,5,0),1,0)*Table_NFI[[#This Row],[Clothes Kit]],Table_NFI[Clothes Kit])</f>
        <v>0</v>
      </c>
      <c r="AG1280" s="294">
        <f>IF(NFI_Expiration=1,IF($A1280&lt;VLOOKUP(P$5,NFI,5,0),1,0)*Table_NFI[[#This Row],[Plastic Bucket]],Table_NFI[Plastic Bucket])</f>
        <v>0</v>
      </c>
      <c r="AH1280" s="294">
        <f>IF(NFI_Expiration=1,IF($A1280&lt;VLOOKUP(Q$5,NFI,5,0),1,0)*Table_NFI[[#This Row],[Plastic Mat]],Table_NFI[Plastic Mat])*IF(Table_NFI[[#This Row],[Distribution Date]]&gt;"2014-04-01",1,2.5)</f>
        <v>0</v>
      </c>
      <c r="AI1280" s="294">
        <f>IF(NFI_Expiration=1,IF($A1280&lt;VLOOKUP(R$5,NFI,5,0),1,0)*Table_NFI[[#This Row],[Winter Clothes Adult]],Table_NFI[Winter Clothes Adult])</f>
        <v>0</v>
      </c>
      <c r="AJ1280" s="294">
        <f>IF(NFI_Expiration=1,IF($A1280&lt;VLOOKUP(S$5,NFI,5,0),1,0)*Table_NFI[[#This Row],[Winter Clothes Children]],Table_NFI[Winter Clothes Children])</f>
        <v>0</v>
      </c>
      <c r="AK1280" s="294">
        <f>IF(NFI_Expiration=1,IF($A1280&lt;VLOOKUP(T$5,NFI,5,0),1,0)*Table_NFI[[#This Row],[Winter Items Other]],Table_NFI[Winter Items Other])</f>
        <v>0</v>
      </c>
      <c r="AL1280" s="294">
        <f>IF(NFI_Expiration=1,IF($A1280&lt;VLOOKUP(M$5,NFI,5,0),1,0)*Table_NFI[[#This Row],[Winter Blanket]],Table_NFI[[#This Row],[Winter Blanket]])</f>
        <v>0</v>
      </c>
      <c r="AM1280" s="294">
        <f>IF(Table_NFI[[#This Row],[Winter Clothes Adult]]+Table_NFI[[#This Row],[Winter Clothes Children]]+Table_NFI[[#This Row],[Winter Items Other]]+Table_NFI[[#This Row],[Winter Blanket]]&gt;0,1,0)</f>
        <v>0</v>
      </c>
      <c r="AN1280" s="331">
        <f>IF(NFI_Expiration=1,IF($A1280&lt;VLOOKUP(V$5,NFI,5,0),1,0)*Table_NFI[[#This Row],[Jerry Can]],Table_NFI[Jerry Can])</f>
        <v>0</v>
      </c>
      <c r="AO1280" s="331">
        <f>IF(NFI_Expiration=1,IF($A1280&lt;VLOOKUP(V$5,NFI,5,0),1,0)*Table_NFI[[#This Row],[Shelter Tool kit]],Table_NFI[Shelter Tool kit])</f>
        <v>0</v>
      </c>
      <c r="AP1280" s="331">
        <f>IF(NFI_Expiration=1,IF($A1280&lt;VLOOKUP(V$5,NFI,5,0),1,0)*Table_NFI[[#This Row],[Tent]],Table_NFI[Tent])</f>
        <v>0</v>
      </c>
      <c r="AQ1280" s="467" t="str">
        <f>IFERROR(VLOOKUP(Table_NFI[[#This Row],[Camp Name]],CL,2,0),"")</f>
        <v/>
      </c>
      <c r="AR1280" s="835" t="str">
        <f ca="1">IF(Table_NFI[[#This Row],[Pcode]]="","",IF(OFFSET(CampList[Opening Date],MATCH(Table_NFI[[#This Row],[Pcode]],CampList[CP_Pcode],0)-1,0,1,1)&gt;=NFI_Monitor_Date,1,0))</f>
        <v/>
      </c>
      <c r="AS1280" s="467" t="str">
        <f>IFERROR(VLOOKUP(Table_NFI[[#This Row],[Camp Name]],CL,3,0),"")</f>
        <v/>
      </c>
      <c r="AT1280" s="294" t="str">
        <f ca="1">IF(Table_NFI[[#This Row],[Pcode]]="","",OFFSET(CampList[Priority],MATCH(Table_NFI[[#This Row],[Pcode]],CampList[CP_Pcode],0)-1,0,1,1))</f>
        <v/>
      </c>
      <c r="AU1280" s="293" t="str">
        <f>IFERROR(Table_NFI[[#This Row],[Kitchen Set]]/VLOOKUP(Table_NFI[[#This Row],[Camp Name]],CL,4,0),"")</f>
        <v/>
      </c>
      <c r="AV1280" s="465"/>
      <c r="AW1280" s="468"/>
    </row>
    <row r="1281" spans="1:49" ht="14.45" customHeight="1" x14ac:dyDescent="0.25">
      <c r="A1281" s="297" t="str">
        <f t="shared" si="19"/>
        <v/>
      </c>
      <c r="B1281" s="460"/>
      <c r="C1281" s="465"/>
      <c r="D1281" s="465"/>
      <c r="E1281" s="465"/>
      <c r="F1281" s="465"/>
      <c r="G1281" s="465"/>
      <c r="H1281" s="292"/>
      <c r="I1281" s="292"/>
      <c r="J1281" s="292"/>
      <c r="K1281" s="292"/>
      <c r="L1281" s="292"/>
      <c r="M1281" s="292"/>
      <c r="N1281" s="292"/>
      <c r="O1281" s="292"/>
      <c r="P1281" s="294"/>
      <c r="Q1281" s="294"/>
      <c r="R1281" s="294"/>
      <c r="S1281" s="294"/>
      <c r="T1281" s="294"/>
      <c r="U1281" s="294"/>
      <c r="V1281" s="431"/>
      <c r="W1281" s="331"/>
      <c r="X1281" s="331"/>
      <c r="Y1281" s="294">
        <f>IF(NFI_Expiration=1,IF($A1281&lt;VLOOKUP(H$5,NFI,5,0),1,0)*Table_NFI[[#This Row],[Hygiene Kit]],Table_NFI[Hygiene Kit])</f>
        <v>0</v>
      </c>
      <c r="Z1281" s="294">
        <f>IF(NFI_Expiration=1,IF($A1281&lt;VLOOKUP(I$5,NFI,5,0),1,0)*Table_NFI[[#This Row],[NFI Core Kit]],Table_NFI[NFI Core Kit])</f>
        <v>0</v>
      </c>
      <c r="AA1281" s="294">
        <f>IF(NFI_Expiration=1,IF($A1281&lt;VLOOKUP(J$5,NFI,5,0),1,0)*Table_NFI[[#This Row],[Sanitary Kit]],Table_NFI[Sanitary Kit])</f>
        <v>0</v>
      </c>
      <c r="AB1281" s="294">
        <f>IF(NFI_Expiration=1,IF($A1281&lt;VLOOKUP(K$5,NFI,5,0),1,0)*Table_NFI[[#This Row],[Mosquito net]],Table_NFI[Mosquito net])</f>
        <v>0</v>
      </c>
      <c r="AC1281" s="294">
        <f>IF(NFI_Expiration=1,IF($A1281&lt;VLOOKUP(L$5,NFI,5,0),1,0)*Table_NFI[[#This Row],[Tarpaulin]],Table_NFI[[#This Row],[Tarpaulin]])</f>
        <v>0</v>
      </c>
      <c r="AD1281" s="294">
        <f>IF(NFI_Expiration=1,IF($A1281&lt;VLOOKUP(M$5,NFI,5,0),1,0)*Table_NFI[[#This Row],[Blanket]],Table_NFI[[#This Row],[Blanket]])</f>
        <v>0</v>
      </c>
      <c r="AE1281" s="294">
        <f>IF(NFI_Expiration=1,IF($A1281&lt;VLOOKUP(N$5,NFI,5,0),1,0)*Table_NFI[[#This Row],[Kitchen Set]],Table_NFI[Kitchen Set])</f>
        <v>0</v>
      </c>
      <c r="AF1281" s="294">
        <f>IF(NFI_Expiration=1,IF($A1281&lt;VLOOKUP(O$5,NFI,5,0),1,0)*Table_NFI[[#This Row],[Clothes Kit]],Table_NFI[Clothes Kit])</f>
        <v>0</v>
      </c>
      <c r="AG1281" s="294">
        <f>IF(NFI_Expiration=1,IF($A1281&lt;VLOOKUP(P$5,NFI,5,0),1,0)*Table_NFI[[#This Row],[Plastic Bucket]],Table_NFI[Plastic Bucket])</f>
        <v>0</v>
      </c>
      <c r="AH1281" s="294">
        <f>IF(NFI_Expiration=1,IF($A1281&lt;VLOOKUP(Q$5,NFI,5,0),1,0)*Table_NFI[[#This Row],[Plastic Mat]],Table_NFI[Plastic Mat])*IF(Table_NFI[[#This Row],[Distribution Date]]&gt;"2014-04-01",1,2.5)</f>
        <v>0</v>
      </c>
      <c r="AI1281" s="294">
        <f>IF(NFI_Expiration=1,IF($A1281&lt;VLOOKUP(R$5,NFI,5,0),1,0)*Table_NFI[[#This Row],[Winter Clothes Adult]],Table_NFI[Winter Clothes Adult])</f>
        <v>0</v>
      </c>
      <c r="AJ1281" s="294">
        <f>IF(NFI_Expiration=1,IF($A1281&lt;VLOOKUP(S$5,NFI,5,0),1,0)*Table_NFI[[#This Row],[Winter Clothes Children]],Table_NFI[Winter Clothes Children])</f>
        <v>0</v>
      </c>
      <c r="AK1281" s="294">
        <f>IF(NFI_Expiration=1,IF($A1281&lt;VLOOKUP(T$5,NFI,5,0),1,0)*Table_NFI[[#This Row],[Winter Items Other]],Table_NFI[Winter Items Other])</f>
        <v>0</v>
      </c>
      <c r="AL1281" s="294">
        <f>IF(NFI_Expiration=1,IF($A1281&lt;VLOOKUP(M$5,NFI,5,0),1,0)*Table_NFI[[#This Row],[Winter Blanket]],Table_NFI[[#This Row],[Winter Blanket]])</f>
        <v>0</v>
      </c>
      <c r="AM1281" s="294">
        <f>IF(Table_NFI[[#This Row],[Winter Clothes Adult]]+Table_NFI[[#This Row],[Winter Clothes Children]]+Table_NFI[[#This Row],[Winter Items Other]]+Table_NFI[[#This Row],[Winter Blanket]]&gt;0,1,0)</f>
        <v>0</v>
      </c>
      <c r="AN1281" s="331">
        <f>IF(NFI_Expiration=1,IF($A1281&lt;VLOOKUP(V$5,NFI,5,0),1,0)*Table_NFI[[#This Row],[Jerry Can]],Table_NFI[Jerry Can])</f>
        <v>0</v>
      </c>
      <c r="AO1281" s="331">
        <f>IF(NFI_Expiration=1,IF($A1281&lt;VLOOKUP(V$5,NFI,5,0),1,0)*Table_NFI[[#This Row],[Shelter Tool kit]],Table_NFI[Shelter Tool kit])</f>
        <v>0</v>
      </c>
      <c r="AP1281" s="331">
        <f>IF(NFI_Expiration=1,IF($A1281&lt;VLOOKUP(V$5,NFI,5,0),1,0)*Table_NFI[[#This Row],[Tent]],Table_NFI[Tent])</f>
        <v>0</v>
      </c>
      <c r="AQ1281" s="467" t="str">
        <f>IFERROR(VLOOKUP(Table_NFI[[#This Row],[Camp Name]],CL,2,0),"")</f>
        <v/>
      </c>
      <c r="AR1281" s="835" t="str">
        <f ca="1">IF(Table_NFI[[#This Row],[Pcode]]="","",IF(OFFSET(CampList[Opening Date],MATCH(Table_NFI[[#This Row],[Pcode]],CampList[CP_Pcode],0)-1,0,1,1)&gt;=NFI_Monitor_Date,1,0))</f>
        <v/>
      </c>
      <c r="AS1281" s="467" t="str">
        <f>IFERROR(VLOOKUP(Table_NFI[[#This Row],[Camp Name]],CL,3,0),"")</f>
        <v/>
      </c>
      <c r="AT1281" s="294" t="str">
        <f ca="1">IF(Table_NFI[[#This Row],[Pcode]]="","",OFFSET(CampList[Priority],MATCH(Table_NFI[[#This Row],[Pcode]],CampList[CP_Pcode],0)-1,0,1,1))</f>
        <v/>
      </c>
      <c r="AU1281" s="293" t="str">
        <f>IFERROR(Table_NFI[[#This Row],[Kitchen Set]]/VLOOKUP(Table_NFI[[#This Row],[Camp Name]],CL,4,0),"")</f>
        <v/>
      </c>
      <c r="AV1281" s="465"/>
      <c r="AW1281" s="468"/>
    </row>
    <row r="1282" spans="1:49" ht="14.45" customHeight="1" x14ac:dyDescent="0.25">
      <c r="A1282" s="297" t="str">
        <f t="shared" si="19"/>
        <v/>
      </c>
      <c r="B1282" s="460"/>
      <c r="C1282" s="465"/>
      <c r="D1282" s="465"/>
      <c r="E1282" s="465"/>
      <c r="F1282" s="465"/>
      <c r="G1282" s="465"/>
      <c r="H1282" s="292"/>
      <c r="I1282" s="292"/>
      <c r="J1282" s="292"/>
      <c r="K1282" s="292"/>
      <c r="L1282" s="292"/>
      <c r="M1282" s="292"/>
      <c r="N1282" s="292"/>
      <c r="O1282" s="292"/>
      <c r="P1282" s="294"/>
      <c r="Q1282" s="294"/>
      <c r="R1282" s="294"/>
      <c r="S1282" s="294"/>
      <c r="T1282" s="294"/>
      <c r="U1282" s="294"/>
      <c r="V1282" s="431"/>
      <c r="W1282" s="331"/>
      <c r="X1282" s="331"/>
      <c r="Y1282" s="294">
        <f>IF(NFI_Expiration=1,IF($A1282&lt;VLOOKUP(H$5,NFI,5,0),1,0)*Table_NFI[[#This Row],[Hygiene Kit]],Table_NFI[Hygiene Kit])</f>
        <v>0</v>
      </c>
      <c r="Z1282" s="294">
        <f>IF(NFI_Expiration=1,IF($A1282&lt;VLOOKUP(I$5,NFI,5,0),1,0)*Table_NFI[[#This Row],[NFI Core Kit]],Table_NFI[NFI Core Kit])</f>
        <v>0</v>
      </c>
      <c r="AA1282" s="294">
        <f>IF(NFI_Expiration=1,IF($A1282&lt;VLOOKUP(J$5,NFI,5,0),1,0)*Table_NFI[[#This Row],[Sanitary Kit]],Table_NFI[Sanitary Kit])</f>
        <v>0</v>
      </c>
      <c r="AB1282" s="294">
        <f>IF(NFI_Expiration=1,IF($A1282&lt;VLOOKUP(K$5,NFI,5,0),1,0)*Table_NFI[[#This Row],[Mosquito net]],Table_NFI[Mosquito net])</f>
        <v>0</v>
      </c>
      <c r="AC1282" s="294">
        <f>IF(NFI_Expiration=1,IF($A1282&lt;VLOOKUP(L$5,NFI,5,0),1,0)*Table_NFI[[#This Row],[Tarpaulin]],Table_NFI[[#This Row],[Tarpaulin]])</f>
        <v>0</v>
      </c>
      <c r="AD1282" s="294">
        <f>IF(NFI_Expiration=1,IF($A1282&lt;VLOOKUP(M$5,NFI,5,0),1,0)*Table_NFI[[#This Row],[Blanket]],Table_NFI[[#This Row],[Blanket]])</f>
        <v>0</v>
      </c>
      <c r="AE1282" s="294">
        <f>IF(NFI_Expiration=1,IF($A1282&lt;VLOOKUP(N$5,NFI,5,0),1,0)*Table_NFI[[#This Row],[Kitchen Set]],Table_NFI[Kitchen Set])</f>
        <v>0</v>
      </c>
      <c r="AF1282" s="294">
        <f>IF(NFI_Expiration=1,IF($A1282&lt;VLOOKUP(O$5,NFI,5,0),1,0)*Table_NFI[[#This Row],[Clothes Kit]],Table_NFI[Clothes Kit])</f>
        <v>0</v>
      </c>
      <c r="AG1282" s="294">
        <f>IF(NFI_Expiration=1,IF($A1282&lt;VLOOKUP(P$5,NFI,5,0),1,0)*Table_NFI[[#This Row],[Plastic Bucket]],Table_NFI[Plastic Bucket])</f>
        <v>0</v>
      </c>
      <c r="AH1282" s="294">
        <f>IF(NFI_Expiration=1,IF($A1282&lt;VLOOKUP(Q$5,NFI,5,0),1,0)*Table_NFI[[#This Row],[Plastic Mat]],Table_NFI[Plastic Mat])*IF(Table_NFI[[#This Row],[Distribution Date]]&gt;"2014-04-01",1,2.5)</f>
        <v>0</v>
      </c>
      <c r="AI1282" s="294">
        <f>IF(NFI_Expiration=1,IF($A1282&lt;VLOOKUP(R$5,NFI,5,0),1,0)*Table_NFI[[#This Row],[Winter Clothes Adult]],Table_NFI[Winter Clothes Adult])</f>
        <v>0</v>
      </c>
      <c r="AJ1282" s="294">
        <f>IF(NFI_Expiration=1,IF($A1282&lt;VLOOKUP(S$5,NFI,5,0),1,0)*Table_NFI[[#This Row],[Winter Clothes Children]],Table_NFI[Winter Clothes Children])</f>
        <v>0</v>
      </c>
      <c r="AK1282" s="294">
        <f>IF(NFI_Expiration=1,IF($A1282&lt;VLOOKUP(T$5,NFI,5,0),1,0)*Table_NFI[[#This Row],[Winter Items Other]],Table_NFI[Winter Items Other])</f>
        <v>0</v>
      </c>
      <c r="AL1282" s="294">
        <f>IF(NFI_Expiration=1,IF($A1282&lt;VLOOKUP(M$5,NFI,5,0),1,0)*Table_NFI[[#This Row],[Winter Blanket]],Table_NFI[[#This Row],[Winter Blanket]])</f>
        <v>0</v>
      </c>
      <c r="AM1282" s="294">
        <f>IF(Table_NFI[[#This Row],[Winter Clothes Adult]]+Table_NFI[[#This Row],[Winter Clothes Children]]+Table_NFI[[#This Row],[Winter Items Other]]+Table_NFI[[#This Row],[Winter Blanket]]&gt;0,1,0)</f>
        <v>0</v>
      </c>
      <c r="AN1282" s="331">
        <f>IF(NFI_Expiration=1,IF($A1282&lt;VLOOKUP(V$5,NFI,5,0),1,0)*Table_NFI[[#This Row],[Jerry Can]],Table_NFI[Jerry Can])</f>
        <v>0</v>
      </c>
      <c r="AO1282" s="331">
        <f>IF(NFI_Expiration=1,IF($A1282&lt;VLOOKUP(V$5,NFI,5,0),1,0)*Table_NFI[[#This Row],[Shelter Tool kit]],Table_NFI[Shelter Tool kit])</f>
        <v>0</v>
      </c>
      <c r="AP1282" s="331">
        <f>IF(NFI_Expiration=1,IF($A1282&lt;VLOOKUP(V$5,NFI,5,0),1,0)*Table_NFI[[#This Row],[Tent]],Table_NFI[Tent])</f>
        <v>0</v>
      </c>
      <c r="AQ1282" s="467" t="str">
        <f>IFERROR(VLOOKUP(Table_NFI[[#This Row],[Camp Name]],CL,2,0),"")</f>
        <v/>
      </c>
      <c r="AR1282" s="835" t="str">
        <f ca="1">IF(Table_NFI[[#This Row],[Pcode]]="","",IF(OFFSET(CampList[Opening Date],MATCH(Table_NFI[[#This Row],[Pcode]],CampList[CP_Pcode],0)-1,0,1,1)&gt;=NFI_Monitor_Date,1,0))</f>
        <v/>
      </c>
      <c r="AS1282" s="467" t="str">
        <f>IFERROR(VLOOKUP(Table_NFI[[#This Row],[Camp Name]],CL,3,0),"")</f>
        <v/>
      </c>
      <c r="AT1282" s="294" t="str">
        <f ca="1">IF(Table_NFI[[#This Row],[Pcode]]="","",OFFSET(CampList[Priority],MATCH(Table_NFI[[#This Row],[Pcode]],CampList[CP_Pcode],0)-1,0,1,1))</f>
        <v/>
      </c>
      <c r="AU1282" s="293" t="str">
        <f>IFERROR(Table_NFI[[#This Row],[Kitchen Set]]/VLOOKUP(Table_NFI[[#This Row],[Camp Name]],CL,4,0),"")</f>
        <v/>
      </c>
      <c r="AV1282" s="465"/>
      <c r="AW1282" s="468"/>
    </row>
    <row r="1283" spans="1:49" ht="14.45" customHeight="1" x14ac:dyDescent="0.25">
      <c r="A1283" s="297" t="str">
        <f t="shared" si="19"/>
        <v/>
      </c>
      <c r="B1283" s="460"/>
      <c r="C1283" s="465"/>
      <c r="D1283" s="465"/>
      <c r="E1283" s="465"/>
      <c r="F1283" s="465"/>
      <c r="G1283" s="465"/>
      <c r="H1283" s="292"/>
      <c r="I1283" s="292"/>
      <c r="J1283" s="292"/>
      <c r="K1283" s="292"/>
      <c r="L1283" s="292"/>
      <c r="M1283" s="292"/>
      <c r="N1283" s="292"/>
      <c r="O1283" s="292"/>
      <c r="P1283" s="294"/>
      <c r="Q1283" s="294"/>
      <c r="R1283" s="294"/>
      <c r="S1283" s="294"/>
      <c r="T1283" s="294"/>
      <c r="U1283" s="294"/>
      <c r="V1283" s="431"/>
      <c r="W1283" s="331"/>
      <c r="X1283" s="331"/>
      <c r="Y1283" s="294">
        <f>IF(NFI_Expiration=1,IF($A1283&lt;VLOOKUP(H$5,NFI,5,0),1,0)*Table_NFI[[#This Row],[Hygiene Kit]],Table_NFI[Hygiene Kit])</f>
        <v>0</v>
      </c>
      <c r="Z1283" s="294">
        <f>IF(NFI_Expiration=1,IF($A1283&lt;VLOOKUP(I$5,NFI,5,0),1,0)*Table_NFI[[#This Row],[NFI Core Kit]],Table_NFI[NFI Core Kit])</f>
        <v>0</v>
      </c>
      <c r="AA1283" s="294">
        <f>IF(NFI_Expiration=1,IF($A1283&lt;VLOOKUP(J$5,NFI,5,0),1,0)*Table_NFI[[#This Row],[Sanitary Kit]],Table_NFI[Sanitary Kit])</f>
        <v>0</v>
      </c>
      <c r="AB1283" s="294">
        <f>IF(NFI_Expiration=1,IF($A1283&lt;VLOOKUP(K$5,NFI,5,0),1,0)*Table_NFI[[#This Row],[Mosquito net]],Table_NFI[Mosquito net])</f>
        <v>0</v>
      </c>
      <c r="AC1283" s="294">
        <f>IF(NFI_Expiration=1,IF($A1283&lt;VLOOKUP(L$5,NFI,5,0),1,0)*Table_NFI[[#This Row],[Tarpaulin]],Table_NFI[[#This Row],[Tarpaulin]])</f>
        <v>0</v>
      </c>
      <c r="AD1283" s="294">
        <f>IF(NFI_Expiration=1,IF($A1283&lt;VLOOKUP(M$5,NFI,5,0),1,0)*Table_NFI[[#This Row],[Blanket]],Table_NFI[[#This Row],[Blanket]])</f>
        <v>0</v>
      </c>
      <c r="AE1283" s="294">
        <f>IF(NFI_Expiration=1,IF($A1283&lt;VLOOKUP(N$5,NFI,5,0),1,0)*Table_NFI[[#This Row],[Kitchen Set]],Table_NFI[Kitchen Set])</f>
        <v>0</v>
      </c>
      <c r="AF1283" s="294">
        <f>IF(NFI_Expiration=1,IF($A1283&lt;VLOOKUP(O$5,NFI,5,0),1,0)*Table_NFI[[#This Row],[Clothes Kit]],Table_NFI[Clothes Kit])</f>
        <v>0</v>
      </c>
      <c r="AG1283" s="294">
        <f>IF(NFI_Expiration=1,IF($A1283&lt;VLOOKUP(P$5,NFI,5,0),1,0)*Table_NFI[[#This Row],[Plastic Bucket]],Table_NFI[Plastic Bucket])</f>
        <v>0</v>
      </c>
      <c r="AH1283" s="294">
        <f>IF(NFI_Expiration=1,IF($A1283&lt;VLOOKUP(Q$5,NFI,5,0),1,0)*Table_NFI[[#This Row],[Plastic Mat]],Table_NFI[Plastic Mat])*IF(Table_NFI[[#This Row],[Distribution Date]]&gt;"2014-04-01",1,2.5)</f>
        <v>0</v>
      </c>
      <c r="AI1283" s="294">
        <f>IF(NFI_Expiration=1,IF($A1283&lt;VLOOKUP(R$5,NFI,5,0),1,0)*Table_NFI[[#This Row],[Winter Clothes Adult]],Table_NFI[Winter Clothes Adult])</f>
        <v>0</v>
      </c>
      <c r="AJ1283" s="294">
        <f>IF(NFI_Expiration=1,IF($A1283&lt;VLOOKUP(S$5,NFI,5,0),1,0)*Table_NFI[[#This Row],[Winter Clothes Children]],Table_NFI[Winter Clothes Children])</f>
        <v>0</v>
      </c>
      <c r="AK1283" s="294">
        <f>IF(NFI_Expiration=1,IF($A1283&lt;VLOOKUP(T$5,NFI,5,0),1,0)*Table_NFI[[#This Row],[Winter Items Other]],Table_NFI[Winter Items Other])</f>
        <v>0</v>
      </c>
      <c r="AL1283" s="294">
        <f>IF(NFI_Expiration=1,IF($A1283&lt;VLOOKUP(M$5,NFI,5,0),1,0)*Table_NFI[[#This Row],[Winter Blanket]],Table_NFI[[#This Row],[Winter Blanket]])</f>
        <v>0</v>
      </c>
      <c r="AM1283" s="294">
        <f>IF(Table_NFI[[#This Row],[Winter Clothes Adult]]+Table_NFI[[#This Row],[Winter Clothes Children]]+Table_NFI[[#This Row],[Winter Items Other]]+Table_NFI[[#This Row],[Winter Blanket]]&gt;0,1,0)</f>
        <v>0</v>
      </c>
      <c r="AN1283" s="331">
        <f>IF(NFI_Expiration=1,IF($A1283&lt;VLOOKUP(V$5,NFI,5,0),1,0)*Table_NFI[[#This Row],[Jerry Can]],Table_NFI[Jerry Can])</f>
        <v>0</v>
      </c>
      <c r="AO1283" s="331">
        <f>IF(NFI_Expiration=1,IF($A1283&lt;VLOOKUP(V$5,NFI,5,0),1,0)*Table_NFI[[#This Row],[Shelter Tool kit]],Table_NFI[Shelter Tool kit])</f>
        <v>0</v>
      </c>
      <c r="AP1283" s="331">
        <f>IF(NFI_Expiration=1,IF($A1283&lt;VLOOKUP(V$5,NFI,5,0),1,0)*Table_NFI[[#This Row],[Tent]],Table_NFI[Tent])</f>
        <v>0</v>
      </c>
      <c r="AQ1283" s="467" t="str">
        <f>IFERROR(VLOOKUP(Table_NFI[[#This Row],[Camp Name]],CL,2,0),"")</f>
        <v/>
      </c>
      <c r="AR1283" s="835" t="str">
        <f ca="1">IF(Table_NFI[[#This Row],[Pcode]]="","",IF(OFFSET(CampList[Opening Date],MATCH(Table_NFI[[#This Row],[Pcode]],CampList[CP_Pcode],0)-1,0,1,1)&gt;=NFI_Monitor_Date,1,0))</f>
        <v/>
      </c>
      <c r="AS1283" s="467" t="str">
        <f>IFERROR(VLOOKUP(Table_NFI[[#This Row],[Camp Name]],CL,3,0),"")</f>
        <v/>
      </c>
      <c r="AT1283" s="294" t="str">
        <f ca="1">IF(Table_NFI[[#This Row],[Pcode]]="","",OFFSET(CampList[Priority],MATCH(Table_NFI[[#This Row],[Pcode]],CampList[CP_Pcode],0)-1,0,1,1))</f>
        <v/>
      </c>
      <c r="AU1283" s="293" t="str">
        <f>IFERROR(Table_NFI[[#This Row],[Kitchen Set]]/VLOOKUP(Table_NFI[[#This Row],[Camp Name]],CL,4,0),"")</f>
        <v/>
      </c>
      <c r="AV1283" s="465"/>
      <c r="AW1283" s="468"/>
    </row>
    <row r="1284" spans="1:49" ht="14.45" customHeight="1" x14ac:dyDescent="0.25">
      <c r="A1284" s="297" t="str">
        <f t="shared" si="19"/>
        <v/>
      </c>
      <c r="B1284" s="460"/>
      <c r="C1284" s="465"/>
      <c r="D1284" s="465"/>
      <c r="E1284" s="465"/>
      <c r="F1284" s="465"/>
      <c r="G1284" s="465"/>
      <c r="H1284" s="292"/>
      <c r="I1284" s="292"/>
      <c r="J1284" s="292"/>
      <c r="K1284" s="292"/>
      <c r="L1284" s="292"/>
      <c r="M1284" s="292"/>
      <c r="N1284" s="292"/>
      <c r="O1284" s="292"/>
      <c r="P1284" s="294"/>
      <c r="Q1284" s="294"/>
      <c r="R1284" s="294"/>
      <c r="S1284" s="294"/>
      <c r="T1284" s="294"/>
      <c r="U1284" s="294"/>
      <c r="V1284" s="431"/>
      <c r="W1284" s="331"/>
      <c r="X1284" s="331"/>
      <c r="Y1284" s="294">
        <f>IF(NFI_Expiration=1,IF($A1284&lt;VLOOKUP(H$5,NFI,5,0),1,0)*Table_NFI[[#This Row],[Hygiene Kit]],Table_NFI[Hygiene Kit])</f>
        <v>0</v>
      </c>
      <c r="Z1284" s="294">
        <f>IF(NFI_Expiration=1,IF($A1284&lt;VLOOKUP(I$5,NFI,5,0),1,0)*Table_NFI[[#This Row],[NFI Core Kit]],Table_NFI[NFI Core Kit])</f>
        <v>0</v>
      </c>
      <c r="AA1284" s="294">
        <f>IF(NFI_Expiration=1,IF($A1284&lt;VLOOKUP(J$5,NFI,5,0),1,0)*Table_NFI[[#This Row],[Sanitary Kit]],Table_NFI[Sanitary Kit])</f>
        <v>0</v>
      </c>
      <c r="AB1284" s="294">
        <f>IF(NFI_Expiration=1,IF($A1284&lt;VLOOKUP(K$5,NFI,5,0),1,0)*Table_NFI[[#This Row],[Mosquito net]],Table_NFI[Mosquito net])</f>
        <v>0</v>
      </c>
      <c r="AC1284" s="294">
        <f>IF(NFI_Expiration=1,IF($A1284&lt;VLOOKUP(L$5,NFI,5,0),1,0)*Table_NFI[[#This Row],[Tarpaulin]],Table_NFI[[#This Row],[Tarpaulin]])</f>
        <v>0</v>
      </c>
      <c r="AD1284" s="294">
        <f>IF(NFI_Expiration=1,IF($A1284&lt;VLOOKUP(M$5,NFI,5,0),1,0)*Table_NFI[[#This Row],[Blanket]],Table_NFI[[#This Row],[Blanket]])</f>
        <v>0</v>
      </c>
      <c r="AE1284" s="294">
        <f>IF(NFI_Expiration=1,IF($A1284&lt;VLOOKUP(N$5,NFI,5,0),1,0)*Table_NFI[[#This Row],[Kitchen Set]],Table_NFI[Kitchen Set])</f>
        <v>0</v>
      </c>
      <c r="AF1284" s="294">
        <f>IF(NFI_Expiration=1,IF($A1284&lt;VLOOKUP(O$5,NFI,5,0),1,0)*Table_NFI[[#This Row],[Clothes Kit]],Table_NFI[Clothes Kit])</f>
        <v>0</v>
      </c>
      <c r="AG1284" s="294">
        <f>IF(NFI_Expiration=1,IF($A1284&lt;VLOOKUP(P$5,NFI,5,0),1,0)*Table_NFI[[#This Row],[Plastic Bucket]],Table_NFI[Plastic Bucket])</f>
        <v>0</v>
      </c>
      <c r="AH1284" s="294">
        <f>IF(NFI_Expiration=1,IF($A1284&lt;VLOOKUP(Q$5,NFI,5,0),1,0)*Table_NFI[[#This Row],[Plastic Mat]],Table_NFI[Plastic Mat])*IF(Table_NFI[[#This Row],[Distribution Date]]&gt;"2014-04-01",1,2.5)</f>
        <v>0</v>
      </c>
      <c r="AI1284" s="294">
        <f>IF(NFI_Expiration=1,IF($A1284&lt;VLOOKUP(R$5,NFI,5,0),1,0)*Table_NFI[[#This Row],[Winter Clothes Adult]],Table_NFI[Winter Clothes Adult])</f>
        <v>0</v>
      </c>
      <c r="AJ1284" s="294">
        <f>IF(NFI_Expiration=1,IF($A1284&lt;VLOOKUP(S$5,NFI,5,0),1,0)*Table_NFI[[#This Row],[Winter Clothes Children]],Table_NFI[Winter Clothes Children])</f>
        <v>0</v>
      </c>
      <c r="AK1284" s="294">
        <f>IF(NFI_Expiration=1,IF($A1284&lt;VLOOKUP(T$5,NFI,5,0),1,0)*Table_NFI[[#This Row],[Winter Items Other]],Table_NFI[Winter Items Other])</f>
        <v>0</v>
      </c>
      <c r="AL1284" s="294">
        <f>IF(NFI_Expiration=1,IF($A1284&lt;VLOOKUP(M$5,NFI,5,0),1,0)*Table_NFI[[#This Row],[Winter Blanket]],Table_NFI[[#This Row],[Winter Blanket]])</f>
        <v>0</v>
      </c>
      <c r="AM1284" s="294">
        <f>IF(Table_NFI[[#This Row],[Winter Clothes Adult]]+Table_NFI[[#This Row],[Winter Clothes Children]]+Table_NFI[[#This Row],[Winter Items Other]]+Table_NFI[[#This Row],[Winter Blanket]]&gt;0,1,0)</f>
        <v>0</v>
      </c>
      <c r="AN1284" s="331">
        <f>IF(NFI_Expiration=1,IF($A1284&lt;VLOOKUP(V$5,NFI,5,0),1,0)*Table_NFI[[#This Row],[Jerry Can]],Table_NFI[Jerry Can])</f>
        <v>0</v>
      </c>
      <c r="AO1284" s="331">
        <f>IF(NFI_Expiration=1,IF($A1284&lt;VLOOKUP(V$5,NFI,5,0),1,0)*Table_NFI[[#This Row],[Shelter Tool kit]],Table_NFI[Shelter Tool kit])</f>
        <v>0</v>
      </c>
      <c r="AP1284" s="331">
        <f>IF(NFI_Expiration=1,IF($A1284&lt;VLOOKUP(V$5,NFI,5,0),1,0)*Table_NFI[[#This Row],[Tent]],Table_NFI[Tent])</f>
        <v>0</v>
      </c>
      <c r="AQ1284" s="467" t="str">
        <f>IFERROR(VLOOKUP(Table_NFI[[#This Row],[Camp Name]],CL,2,0),"")</f>
        <v/>
      </c>
      <c r="AR1284" s="835" t="str">
        <f ca="1">IF(Table_NFI[[#This Row],[Pcode]]="","",IF(OFFSET(CampList[Opening Date],MATCH(Table_NFI[[#This Row],[Pcode]],CampList[CP_Pcode],0)-1,0,1,1)&gt;=NFI_Monitor_Date,1,0))</f>
        <v/>
      </c>
      <c r="AS1284" s="467" t="str">
        <f>IFERROR(VLOOKUP(Table_NFI[[#This Row],[Camp Name]],CL,3,0),"")</f>
        <v/>
      </c>
      <c r="AT1284" s="294" t="str">
        <f ca="1">IF(Table_NFI[[#This Row],[Pcode]]="","",OFFSET(CampList[Priority],MATCH(Table_NFI[[#This Row],[Pcode]],CampList[CP_Pcode],0)-1,0,1,1))</f>
        <v/>
      </c>
      <c r="AU1284" s="293" t="str">
        <f>IFERROR(Table_NFI[[#This Row],[Kitchen Set]]/VLOOKUP(Table_NFI[[#This Row],[Camp Name]],CL,4,0),"")</f>
        <v/>
      </c>
      <c r="AV1284" s="465"/>
      <c r="AW1284" s="468"/>
    </row>
    <row r="1285" spans="1:49" ht="14.45" customHeight="1" x14ac:dyDescent="0.25">
      <c r="A1285" s="297" t="str">
        <f t="shared" si="19"/>
        <v/>
      </c>
      <c r="B1285" s="460"/>
      <c r="C1285" s="465"/>
      <c r="D1285" s="465"/>
      <c r="E1285" s="465"/>
      <c r="F1285" s="465"/>
      <c r="G1285" s="465"/>
      <c r="H1285" s="292"/>
      <c r="I1285" s="292"/>
      <c r="J1285" s="292"/>
      <c r="K1285" s="292"/>
      <c r="L1285" s="292"/>
      <c r="M1285" s="292"/>
      <c r="N1285" s="292"/>
      <c r="O1285" s="292"/>
      <c r="P1285" s="294"/>
      <c r="Q1285" s="294"/>
      <c r="R1285" s="294"/>
      <c r="S1285" s="294"/>
      <c r="T1285" s="294"/>
      <c r="U1285" s="294"/>
      <c r="V1285" s="431"/>
      <c r="W1285" s="331"/>
      <c r="X1285" s="331"/>
      <c r="Y1285" s="294">
        <f>IF(NFI_Expiration=1,IF($A1285&lt;VLOOKUP(H$5,NFI,5,0),1,0)*Table_NFI[[#This Row],[Hygiene Kit]],Table_NFI[Hygiene Kit])</f>
        <v>0</v>
      </c>
      <c r="Z1285" s="294">
        <f>IF(NFI_Expiration=1,IF($A1285&lt;VLOOKUP(I$5,NFI,5,0),1,0)*Table_NFI[[#This Row],[NFI Core Kit]],Table_NFI[NFI Core Kit])</f>
        <v>0</v>
      </c>
      <c r="AA1285" s="294">
        <f>IF(NFI_Expiration=1,IF($A1285&lt;VLOOKUP(J$5,NFI,5,0),1,0)*Table_NFI[[#This Row],[Sanitary Kit]],Table_NFI[Sanitary Kit])</f>
        <v>0</v>
      </c>
      <c r="AB1285" s="294">
        <f>IF(NFI_Expiration=1,IF($A1285&lt;VLOOKUP(K$5,NFI,5,0),1,0)*Table_NFI[[#This Row],[Mosquito net]],Table_NFI[Mosquito net])</f>
        <v>0</v>
      </c>
      <c r="AC1285" s="294">
        <f>IF(NFI_Expiration=1,IF($A1285&lt;VLOOKUP(L$5,NFI,5,0),1,0)*Table_NFI[[#This Row],[Tarpaulin]],Table_NFI[[#This Row],[Tarpaulin]])</f>
        <v>0</v>
      </c>
      <c r="AD1285" s="294">
        <f>IF(NFI_Expiration=1,IF($A1285&lt;VLOOKUP(M$5,NFI,5,0),1,0)*Table_NFI[[#This Row],[Blanket]],Table_NFI[[#This Row],[Blanket]])</f>
        <v>0</v>
      </c>
      <c r="AE1285" s="294">
        <f>IF(NFI_Expiration=1,IF($A1285&lt;VLOOKUP(N$5,NFI,5,0),1,0)*Table_NFI[[#This Row],[Kitchen Set]],Table_NFI[Kitchen Set])</f>
        <v>0</v>
      </c>
      <c r="AF1285" s="294">
        <f>IF(NFI_Expiration=1,IF($A1285&lt;VLOOKUP(O$5,NFI,5,0),1,0)*Table_NFI[[#This Row],[Clothes Kit]],Table_NFI[Clothes Kit])</f>
        <v>0</v>
      </c>
      <c r="AG1285" s="294">
        <f>IF(NFI_Expiration=1,IF($A1285&lt;VLOOKUP(P$5,NFI,5,0),1,0)*Table_NFI[[#This Row],[Plastic Bucket]],Table_NFI[Plastic Bucket])</f>
        <v>0</v>
      </c>
      <c r="AH1285" s="294">
        <f>IF(NFI_Expiration=1,IF($A1285&lt;VLOOKUP(Q$5,NFI,5,0),1,0)*Table_NFI[[#This Row],[Plastic Mat]],Table_NFI[Plastic Mat])*IF(Table_NFI[[#This Row],[Distribution Date]]&gt;"2014-04-01",1,2.5)</f>
        <v>0</v>
      </c>
      <c r="AI1285" s="294">
        <f>IF(NFI_Expiration=1,IF($A1285&lt;VLOOKUP(R$5,NFI,5,0),1,0)*Table_NFI[[#This Row],[Winter Clothes Adult]],Table_NFI[Winter Clothes Adult])</f>
        <v>0</v>
      </c>
      <c r="AJ1285" s="294">
        <f>IF(NFI_Expiration=1,IF($A1285&lt;VLOOKUP(S$5,NFI,5,0),1,0)*Table_NFI[[#This Row],[Winter Clothes Children]],Table_NFI[Winter Clothes Children])</f>
        <v>0</v>
      </c>
      <c r="AK1285" s="294">
        <f>IF(NFI_Expiration=1,IF($A1285&lt;VLOOKUP(T$5,NFI,5,0),1,0)*Table_NFI[[#This Row],[Winter Items Other]],Table_NFI[Winter Items Other])</f>
        <v>0</v>
      </c>
      <c r="AL1285" s="294">
        <f>IF(NFI_Expiration=1,IF($A1285&lt;VLOOKUP(M$5,NFI,5,0),1,0)*Table_NFI[[#This Row],[Winter Blanket]],Table_NFI[[#This Row],[Winter Blanket]])</f>
        <v>0</v>
      </c>
      <c r="AM1285" s="294">
        <f>IF(Table_NFI[[#This Row],[Winter Clothes Adult]]+Table_NFI[[#This Row],[Winter Clothes Children]]+Table_NFI[[#This Row],[Winter Items Other]]+Table_NFI[[#This Row],[Winter Blanket]]&gt;0,1,0)</f>
        <v>0</v>
      </c>
      <c r="AN1285" s="331">
        <f>IF(NFI_Expiration=1,IF($A1285&lt;VLOOKUP(V$5,NFI,5,0),1,0)*Table_NFI[[#This Row],[Jerry Can]],Table_NFI[Jerry Can])</f>
        <v>0</v>
      </c>
      <c r="AO1285" s="331">
        <f>IF(NFI_Expiration=1,IF($A1285&lt;VLOOKUP(V$5,NFI,5,0),1,0)*Table_NFI[[#This Row],[Shelter Tool kit]],Table_NFI[Shelter Tool kit])</f>
        <v>0</v>
      </c>
      <c r="AP1285" s="331">
        <f>IF(NFI_Expiration=1,IF($A1285&lt;VLOOKUP(V$5,NFI,5,0),1,0)*Table_NFI[[#This Row],[Tent]],Table_NFI[Tent])</f>
        <v>0</v>
      </c>
      <c r="AQ1285" s="467" t="str">
        <f>IFERROR(VLOOKUP(Table_NFI[[#This Row],[Camp Name]],CL,2,0),"")</f>
        <v/>
      </c>
      <c r="AR1285" s="835" t="str">
        <f ca="1">IF(Table_NFI[[#This Row],[Pcode]]="","",IF(OFFSET(CampList[Opening Date],MATCH(Table_NFI[[#This Row],[Pcode]],CampList[CP_Pcode],0)-1,0,1,1)&gt;=NFI_Monitor_Date,1,0))</f>
        <v/>
      </c>
      <c r="AS1285" s="467" t="str">
        <f>IFERROR(VLOOKUP(Table_NFI[[#This Row],[Camp Name]],CL,3,0),"")</f>
        <v/>
      </c>
      <c r="AT1285" s="294" t="str">
        <f ca="1">IF(Table_NFI[[#This Row],[Pcode]]="","",OFFSET(CampList[Priority],MATCH(Table_NFI[[#This Row],[Pcode]],CampList[CP_Pcode],0)-1,0,1,1))</f>
        <v/>
      </c>
      <c r="AU1285" s="293" t="str">
        <f>IFERROR(Table_NFI[[#This Row],[Kitchen Set]]/VLOOKUP(Table_NFI[[#This Row],[Camp Name]],CL,4,0),"")</f>
        <v/>
      </c>
      <c r="AV1285" s="465"/>
      <c r="AW1285" s="468"/>
    </row>
    <row r="1286" spans="1:49" ht="14.45" customHeight="1" x14ac:dyDescent="0.25">
      <c r="A1286" s="297" t="str">
        <f t="shared" ref="A1286:A1340" si="20">IF(ISBLANK(B1286),"",(Report_Date-B1286)/30)</f>
        <v/>
      </c>
      <c r="B1286" s="460"/>
      <c r="C1286" s="465"/>
      <c r="D1286" s="465"/>
      <c r="E1286" s="465"/>
      <c r="F1286" s="465"/>
      <c r="G1286" s="465"/>
      <c r="H1286" s="292"/>
      <c r="I1286" s="292"/>
      <c r="J1286" s="292"/>
      <c r="K1286" s="292"/>
      <c r="L1286" s="292"/>
      <c r="M1286" s="292"/>
      <c r="N1286" s="292"/>
      <c r="O1286" s="292"/>
      <c r="P1286" s="294"/>
      <c r="Q1286" s="294"/>
      <c r="R1286" s="294"/>
      <c r="S1286" s="294"/>
      <c r="T1286" s="294"/>
      <c r="U1286" s="294"/>
      <c r="V1286" s="431"/>
      <c r="W1286" s="331"/>
      <c r="X1286" s="331"/>
      <c r="Y1286" s="294">
        <f>IF(NFI_Expiration=1,IF($A1286&lt;VLOOKUP(H$5,NFI,5,0),1,0)*Table_NFI[[#This Row],[Hygiene Kit]],Table_NFI[Hygiene Kit])</f>
        <v>0</v>
      </c>
      <c r="Z1286" s="294">
        <f>IF(NFI_Expiration=1,IF($A1286&lt;VLOOKUP(I$5,NFI,5,0),1,0)*Table_NFI[[#This Row],[NFI Core Kit]],Table_NFI[NFI Core Kit])</f>
        <v>0</v>
      </c>
      <c r="AA1286" s="294">
        <f>IF(NFI_Expiration=1,IF($A1286&lt;VLOOKUP(J$5,NFI,5,0),1,0)*Table_NFI[[#This Row],[Sanitary Kit]],Table_NFI[Sanitary Kit])</f>
        <v>0</v>
      </c>
      <c r="AB1286" s="294">
        <f>IF(NFI_Expiration=1,IF($A1286&lt;VLOOKUP(K$5,NFI,5,0),1,0)*Table_NFI[[#This Row],[Mosquito net]],Table_NFI[Mosquito net])</f>
        <v>0</v>
      </c>
      <c r="AC1286" s="294">
        <f>IF(NFI_Expiration=1,IF($A1286&lt;VLOOKUP(L$5,NFI,5,0),1,0)*Table_NFI[[#This Row],[Tarpaulin]],Table_NFI[[#This Row],[Tarpaulin]])</f>
        <v>0</v>
      </c>
      <c r="AD1286" s="294">
        <f>IF(NFI_Expiration=1,IF($A1286&lt;VLOOKUP(M$5,NFI,5,0),1,0)*Table_NFI[[#This Row],[Blanket]],Table_NFI[[#This Row],[Blanket]])</f>
        <v>0</v>
      </c>
      <c r="AE1286" s="294">
        <f>IF(NFI_Expiration=1,IF($A1286&lt;VLOOKUP(N$5,NFI,5,0),1,0)*Table_NFI[[#This Row],[Kitchen Set]],Table_NFI[Kitchen Set])</f>
        <v>0</v>
      </c>
      <c r="AF1286" s="294">
        <f>IF(NFI_Expiration=1,IF($A1286&lt;VLOOKUP(O$5,NFI,5,0),1,0)*Table_NFI[[#This Row],[Clothes Kit]],Table_NFI[Clothes Kit])</f>
        <v>0</v>
      </c>
      <c r="AG1286" s="294">
        <f>IF(NFI_Expiration=1,IF($A1286&lt;VLOOKUP(P$5,NFI,5,0),1,0)*Table_NFI[[#This Row],[Plastic Bucket]],Table_NFI[Plastic Bucket])</f>
        <v>0</v>
      </c>
      <c r="AH1286" s="294">
        <f>IF(NFI_Expiration=1,IF($A1286&lt;VLOOKUP(Q$5,NFI,5,0),1,0)*Table_NFI[[#This Row],[Plastic Mat]],Table_NFI[Plastic Mat])*IF(Table_NFI[[#This Row],[Distribution Date]]&gt;"2014-04-01",1,2.5)</f>
        <v>0</v>
      </c>
      <c r="AI1286" s="294">
        <f>IF(NFI_Expiration=1,IF($A1286&lt;VLOOKUP(R$5,NFI,5,0),1,0)*Table_NFI[[#This Row],[Winter Clothes Adult]],Table_NFI[Winter Clothes Adult])</f>
        <v>0</v>
      </c>
      <c r="AJ1286" s="294">
        <f>IF(NFI_Expiration=1,IF($A1286&lt;VLOOKUP(S$5,NFI,5,0),1,0)*Table_NFI[[#This Row],[Winter Clothes Children]],Table_NFI[Winter Clothes Children])</f>
        <v>0</v>
      </c>
      <c r="AK1286" s="294">
        <f>IF(NFI_Expiration=1,IF($A1286&lt;VLOOKUP(T$5,NFI,5,0),1,0)*Table_NFI[[#This Row],[Winter Items Other]],Table_NFI[Winter Items Other])</f>
        <v>0</v>
      </c>
      <c r="AL1286" s="294">
        <f>IF(NFI_Expiration=1,IF($A1286&lt;VLOOKUP(M$5,NFI,5,0),1,0)*Table_NFI[[#This Row],[Winter Blanket]],Table_NFI[[#This Row],[Winter Blanket]])</f>
        <v>0</v>
      </c>
      <c r="AM1286" s="294">
        <f>IF(Table_NFI[[#This Row],[Winter Clothes Adult]]+Table_NFI[[#This Row],[Winter Clothes Children]]+Table_NFI[[#This Row],[Winter Items Other]]+Table_NFI[[#This Row],[Winter Blanket]]&gt;0,1,0)</f>
        <v>0</v>
      </c>
      <c r="AN1286" s="331">
        <f>IF(NFI_Expiration=1,IF($A1286&lt;VLOOKUP(V$5,NFI,5,0),1,0)*Table_NFI[[#This Row],[Jerry Can]],Table_NFI[Jerry Can])</f>
        <v>0</v>
      </c>
      <c r="AO1286" s="331">
        <f>IF(NFI_Expiration=1,IF($A1286&lt;VLOOKUP(V$5,NFI,5,0),1,0)*Table_NFI[[#This Row],[Shelter Tool kit]],Table_NFI[Shelter Tool kit])</f>
        <v>0</v>
      </c>
      <c r="AP1286" s="331">
        <f>IF(NFI_Expiration=1,IF($A1286&lt;VLOOKUP(V$5,NFI,5,0),1,0)*Table_NFI[[#This Row],[Tent]],Table_NFI[Tent])</f>
        <v>0</v>
      </c>
      <c r="AQ1286" s="467" t="str">
        <f>IFERROR(VLOOKUP(Table_NFI[[#This Row],[Camp Name]],CL,2,0),"")</f>
        <v/>
      </c>
      <c r="AR1286" s="835" t="str">
        <f ca="1">IF(Table_NFI[[#This Row],[Pcode]]="","",IF(OFFSET(CampList[Opening Date],MATCH(Table_NFI[[#This Row],[Pcode]],CampList[CP_Pcode],0)-1,0,1,1)&gt;=NFI_Monitor_Date,1,0))</f>
        <v/>
      </c>
      <c r="AS1286" s="467" t="str">
        <f>IFERROR(VLOOKUP(Table_NFI[[#This Row],[Camp Name]],CL,3,0),"")</f>
        <v/>
      </c>
      <c r="AT1286" s="294" t="str">
        <f ca="1">IF(Table_NFI[[#This Row],[Pcode]]="","",OFFSET(CampList[Priority],MATCH(Table_NFI[[#This Row],[Pcode]],CampList[CP_Pcode],0)-1,0,1,1))</f>
        <v/>
      </c>
      <c r="AU1286" s="293" t="str">
        <f>IFERROR(Table_NFI[[#This Row],[Kitchen Set]]/VLOOKUP(Table_NFI[[#This Row],[Camp Name]],CL,4,0),"")</f>
        <v/>
      </c>
      <c r="AV1286" s="465"/>
      <c r="AW1286" s="468"/>
    </row>
    <row r="1287" spans="1:49" ht="14.45" customHeight="1" x14ac:dyDescent="0.25">
      <c r="A1287" s="297" t="str">
        <f t="shared" si="20"/>
        <v/>
      </c>
      <c r="B1287" s="460"/>
      <c r="C1287" s="465"/>
      <c r="D1287" s="465"/>
      <c r="E1287" s="465"/>
      <c r="F1287" s="465"/>
      <c r="G1287" s="465"/>
      <c r="H1287" s="292"/>
      <c r="I1287" s="292"/>
      <c r="J1287" s="292"/>
      <c r="K1287" s="292"/>
      <c r="L1287" s="292"/>
      <c r="M1287" s="292"/>
      <c r="N1287" s="292"/>
      <c r="O1287" s="292"/>
      <c r="P1287" s="294"/>
      <c r="Q1287" s="294"/>
      <c r="R1287" s="294"/>
      <c r="S1287" s="294"/>
      <c r="T1287" s="294"/>
      <c r="U1287" s="294"/>
      <c r="V1287" s="431"/>
      <c r="W1287" s="331"/>
      <c r="X1287" s="331"/>
      <c r="Y1287" s="294">
        <f>IF(NFI_Expiration=1,IF($A1287&lt;VLOOKUP(H$5,NFI,5,0),1,0)*Table_NFI[[#This Row],[Hygiene Kit]],Table_NFI[Hygiene Kit])</f>
        <v>0</v>
      </c>
      <c r="Z1287" s="294">
        <f>IF(NFI_Expiration=1,IF($A1287&lt;VLOOKUP(I$5,NFI,5,0),1,0)*Table_NFI[[#This Row],[NFI Core Kit]],Table_NFI[NFI Core Kit])</f>
        <v>0</v>
      </c>
      <c r="AA1287" s="294">
        <f>IF(NFI_Expiration=1,IF($A1287&lt;VLOOKUP(J$5,NFI,5,0),1,0)*Table_NFI[[#This Row],[Sanitary Kit]],Table_NFI[Sanitary Kit])</f>
        <v>0</v>
      </c>
      <c r="AB1287" s="294">
        <f>IF(NFI_Expiration=1,IF($A1287&lt;VLOOKUP(K$5,NFI,5,0),1,0)*Table_NFI[[#This Row],[Mosquito net]],Table_NFI[Mosquito net])</f>
        <v>0</v>
      </c>
      <c r="AC1287" s="294">
        <f>IF(NFI_Expiration=1,IF($A1287&lt;VLOOKUP(L$5,NFI,5,0),1,0)*Table_NFI[[#This Row],[Tarpaulin]],Table_NFI[[#This Row],[Tarpaulin]])</f>
        <v>0</v>
      </c>
      <c r="AD1287" s="294">
        <f>IF(NFI_Expiration=1,IF($A1287&lt;VLOOKUP(M$5,NFI,5,0),1,0)*Table_NFI[[#This Row],[Blanket]],Table_NFI[[#This Row],[Blanket]])</f>
        <v>0</v>
      </c>
      <c r="AE1287" s="294">
        <f>IF(NFI_Expiration=1,IF($A1287&lt;VLOOKUP(N$5,NFI,5,0),1,0)*Table_NFI[[#This Row],[Kitchen Set]],Table_NFI[Kitchen Set])</f>
        <v>0</v>
      </c>
      <c r="AF1287" s="294">
        <f>IF(NFI_Expiration=1,IF($A1287&lt;VLOOKUP(O$5,NFI,5,0),1,0)*Table_NFI[[#This Row],[Clothes Kit]],Table_NFI[Clothes Kit])</f>
        <v>0</v>
      </c>
      <c r="AG1287" s="294">
        <f>IF(NFI_Expiration=1,IF($A1287&lt;VLOOKUP(P$5,NFI,5,0),1,0)*Table_NFI[[#This Row],[Plastic Bucket]],Table_NFI[Plastic Bucket])</f>
        <v>0</v>
      </c>
      <c r="AH1287" s="294">
        <f>IF(NFI_Expiration=1,IF($A1287&lt;VLOOKUP(Q$5,NFI,5,0),1,0)*Table_NFI[[#This Row],[Plastic Mat]],Table_NFI[Plastic Mat])*IF(Table_NFI[[#This Row],[Distribution Date]]&gt;"2014-04-01",1,2.5)</f>
        <v>0</v>
      </c>
      <c r="AI1287" s="294">
        <f>IF(NFI_Expiration=1,IF($A1287&lt;VLOOKUP(R$5,NFI,5,0),1,0)*Table_NFI[[#This Row],[Winter Clothes Adult]],Table_NFI[Winter Clothes Adult])</f>
        <v>0</v>
      </c>
      <c r="AJ1287" s="294">
        <f>IF(NFI_Expiration=1,IF($A1287&lt;VLOOKUP(S$5,NFI,5,0),1,0)*Table_NFI[[#This Row],[Winter Clothes Children]],Table_NFI[Winter Clothes Children])</f>
        <v>0</v>
      </c>
      <c r="AK1287" s="294">
        <f>IF(NFI_Expiration=1,IF($A1287&lt;VLOOKUP(T$5,NFI,5,0),1,0)*Table_NFI[[#This Row],[Winter Items Other]],Table_NFI[Winter Items Other])</f>
        <v>0</v>
      </c>
      <c r="AL1287" s="294">
        <f>IF(NFI_Expiration=1,IF($A1287&lt;VLOOKUP(M$5,NFI,5,0),1,0)*Table_NFI[[#This Row],[Winter Blanket]],Table_NFI[[#This Row],[Winter Blanket]])</f>
        <v>0</v>
      </c>
      <c r="AM1287" s="294">
        <f>IF(Table_NFI[[#This Row],[Winter Clothes Adult]]+Table_NFI[[#This Row],[Winter Clothes Children]]+Table_NFI[[#This Row],[Winter Items Other]]+Table_NFI[[#This Row],[Winter Blanket]]&gt;0,1,0)</f>
        <v>0</v>
      </c>
      <c r="AN1287" s="331">
        <f>IF(NFI_Expiration=1,IF($A1287&lt;VLOOKUP(V$5,NFI,5,0),1,0)*Table_NFI[[#This Row],[Jerry Can]],Table_NFI[Jerry Can])</f>
        <v>0</v>
      </c>
      <c r="AO1287" s="331">
        <f>IF(NFI_Expiration=1,IF($A1287&lt;VLOOKUP(V$5,NFI,5,0),1,0)*Table_NFI[[#This Row],[Shelter Tool kit]],Table_NFI[Shelter Tool kit])</f>
        <v>0</v>
      </c>
      <c r="AP1287" s="331">
        <f>IF(NFI_Expiration=1,IF($A1287&lt;VLOOKUP(V$5,NFI,5,0),1,0)*Table_NFI[[#This Row],[Tent]],Table_NFI[Tent])</f>
        <v>0</v>
      </c>
      <c r="AQ1287" s="467" t="str">
        <f>IFERROR(VLOOKUP(Table_NFI[[#This Row],[Camp Name]],CL,2,0),"")</f>
        <v/>
      </c>
      <c r="AR1287" s="835" t="str">
        <f ca="1">IF(Table_NFI[[#This Row],[Pcode]]="","",IF(OFFSET(CampList[Opening Date],MATCH(Table_NFI[[#This Row],[Pcode]],CampList[CP_Pcode],0)-1,0,1,1)&gt;=NFI_Monitor_Date,1,0))</f>
        <v/>
      </c>
      <c r="AS1287" s="467" t="str">
        <f>IFERROR(VLOOKUP(Table_NFI[[#This Row],[Camp Name]],CL,3,0),"")</f>
        <v/>
      </c>
      <c r="AT1287" s="294" t="str">
        <f ca="1">IF(Table_NFI[[#This Row],[Pcode]]="","",OFFSET(CampList[Priority],MATCH(Table_NFI[[#This Row],[Pcode]],CampList[CP_Pcode],0)-1,0,1,1))</f>
        <v/>
      </c>
      <c r="AU1287" s="293" t="str">
        <f>IFERROR(Table_NFI[[#This Row],[Kitchen Set]]/VLOOKUP(Table_NFI[[#This Row],[Camp Name]],CL,4,0),"")</f>
        <v/>
      </c>
      <c r="AV1287" s="465"/>
      <c r="AW1287" s="468"/>
    </row>
    <row r="1288" spans="1:49" ht="14.45" customHeight="1" x14ac:dyDescent="0.25">
      <c r="A1288" s="297" t="str">
        <f t="shared" si="20"/>
        <v/>
      </c>
      <c r="B1288" s="460"/>
      <c r="C1288" s="465"/>
      <c r="D1288" s="465"/>
      <c r="E1288" s="465"/>
      <c r="F1288" s="465"/>
      <c r="G1288" s="465"/>
      <c r="H1288" s="292"/>
      <c r="I1288" s="292"/>
      <c r="J1288" s="292"/>
      <c r="K1288" s="292"/>
      <c r="L1288" s="292"/>
      <c r="M1288" s="292"/>
      <c r="N1288" s="292"/>
      <c r="O1288" s="292"/>
      <c r="P1288" s="294"/>
      <c r="Q1288" s="294"/>
      <c r="R1288" s="294"/>
      <c r="S1288" s="294"/>
      <c r="T1288" s="294"/>
      <c r="U1288" s="294"/>
      <c r="V1288" s="431"/>
      <c r="W1288" s="331"/>
      <c r="X1288" s="331"/>
      <c r="Y1288" s="294">
        <f>IF(NFI_Expiration=1,IF($A1288&lt;VLOOKUP(H$5,NFI,5,0),1,0)*Table_NFI[[#This Row],[Hygiene Kit]],Table_NFI[Hygiene Kit])</f>
        <v>0</v>
      </c>
      <c r="Z1288" s="294">
        <f>IF(NFI_Expiration=1,IF($A1288&lt;VLOOKUP(I$5,NFI,5,0),1,0)*Table_NFI[[#This Row],[NFI Core Kit]],Table_NFI[NFI Core Kit])</f>
        <v>0</v>
      </c>
      <c r="AA1288" s="294">
        <f>IF(NFI_Expiration=1,IF($A1288&lt;VLOOKUP(J$5,NFI,5,0),1,0)*Table_NFI[[#This Row],[Sanitary Kit]],Table_NFI[Sanitary Kit])</f>
        <v>0</v>
      </c>
      <c r="AB1288" s="294">
        <f>IF(NFI_Expiration=1,IF($A1288&lt;VLOOKUP(K$5,NFI,5,0),1,0)*Table_NFI[[#This Row],[Mosquito net]],Table_NFI[Mosquito net])</f>
        <v>0</v>
      </c>
      <c r="AC1288" s="294">
        <f>IF(NFI_Expiration=1,IF($A1288&lt;VLOOKUP(L$5,NFI,5,0),1,0)*Table_NFI[[#This Row],[Tarpaulin]],Table_NFI[[#This Row],[Tarpaulin]])</f>
        <v>0</v>
      </c>
      <c r="AD1288" s="294">
        <f>IF(NFI_Expiration=1,IF($A1288&lt;VLOOKUP(M$5,NFI,5,0),1,0)*Table_NFI[[#This Row],[Blanket]],Table_NFI[[#This Row],[Blanket]])</f>
        <v>0</v>
      </c>
      <c r="AE1288" s="294">
        <f>IF(NFI_Expiration=1,IF($A1288&lt;VLOOKUP(N$5,NFI,5,0),1,0)*Table_NFI[[#This Row],[Kitchen Set]],Table_NFI[Kitchen Set])</f>
        <v>0</v>
      </c>
      <c r="AF1288" s="294">
        <f>IF(NFI_Expiration=1,IF($A1288&lt;VLOOKUP(O$5,NFI,5,0),1,0)*Table_NFI[[#This Row],[Clothes Kit]],Table_NFI[Clothes Kit])</f>
        <v>0</v>
      </c>
      <c r="AG1288" s="294">
        <f>IF(NFI_Expiration=1,IF($A1288&lt;VLOOKUP(P$5,NFI,5,0),1,0)*Table_NFI[[#This Row],[Plastic Bucket]],Table_NFI[Plastic Bucket])</f>
        <v>0</v>
      </c>
      <c r="AH1288" s="294">
        <f>IF(NFI_Expiration=1,IF($A1288&lt;VLOOKUP(Q$5,NFI,5,0),1,0)*Table_NFI[[#This Row],[Plastic Mat]],Table_NFI[Plastic Mat])*IF(Table_NFI[[#This Row],[Distribution Date]]&gt;"2014-04-01",1,2.5)</f>
        <v>0</v>
      </c>
      <c r="AI1288" s="294">
        <f>IF(NFI_Expiration=1,IF($A1288&lt;VLOOKUP(R$5,NFI,5,0),1,0)*Table_NFI[[#This Row],[Winter Clothes Adult]],Table_NFI[Winter Clothes Adult])</f>
        <v>0</v>
      </c>
      <c r="AJ1288" s="294">
        <f>IF(NFI_Expiration=1,IF($A1288&lt;VLOOKUP(S$5,NFI,5,0),1,0)*Table_NFI[[#This Row],[Winter Clothes Children]],Table_NFI[Winter Clothes Children])</f>
        <v>0</v>
      </c>
      <c r="AK1288" s="294">
        <f>IF(NFI_Expiration=1,IF($A1288&lt;VLOOKUP(T$5,NFI,5,0),1,0)*Table_NFI[[#This Row],[Winter Items Other]],Table_NFI[Winter Items Other])</f>
        <v>0</v>
      </c>
      <c r="AL1288" s="294">
        <f>IF(NFI_Expiration=1,IF($A1288&lt;VLOOKUP(M$5,NFI,5,0),1,0)*Table_NFI[[#This Row],[Winter Blanket]],Table_NFI[[#This Row],[Winter Blanket]])</f>
        <v>0</v>
      </c>
      <c r="AM1288" s="294">
        <f>IF(Table_NFI[[#This Row],[Winter Clothes Adult]]+Table_NFI[[#This Row],[Winter Clothes Children]]+Table_NFI[[#This Row],[Winter Items Other]]+Table_NFI[[#This Row],[Winter Blanket]]&gt;0,1,0)</f>
        <v>0</v>
      </c>
      <c r="AN1288" s="331">
        <f>IF(NFI_Expiration=1,IF($A1288&lt;VLOOKUP(V$5,NFI,5,0),1,0)*Table_NFI[[#This Row],[Jerry Can]],Table_NFI[Jerry Can])</f>
        <v>0</v>
      </c>
      <c r="AO1288" s="331">
        <f>IF(NFI_Expiration=1,IF($A1288&lt;VLOOKUP(V$5,NFI,5,0),1,0)*Table_NFI[[#This Row],[Shelter Tool kit]],Table_NFI[Shelter Tool kit])</f>
        <v>0</v>
      </c>
      <c r="AP1288" s="331">
        <f>IF(NFI_Expiration=1,IF($A1288&lt;VLOOKUP(V$5,NFI,5,0),1,0)*Table_NFI[[#This Row],[Tent]],Table_NFI[Tent])</f>
        <v>0</v>
      </c>
      <c r="AQ1288" s="467" t="str">
        <f>IFERROR(VLOOKUP(Table_NFI[[#This Row],[Camp Name]],CL,2,0),"")</f>
        <v/>
      </c>
      <c r="AR1288" s="835" t="str">
        <f ca="1">IF(Table_NFI[[#This Row],[Pcode]]="","",IF(OFFSET(CampList[Opening Date],MATCH(Table_NFI[[#This Row],[Pcode]],CampList[CP_Pcode],0)-1,0,1,1)&gt;=NFI_Monitor_Date,1,0))</f>
        <v/>
      </c>
      <c r="AS1288" s="467" t="str">
        <f>IFERROR(VLOOKUP(Table_NFI[[#This Row],[Camp Name]],CL,3,0),"")</f>
        <v/>
      </c>
      <c r="AT1288" s="294" t="str">
        <f ca="1">IF(Table_NFI[[#This Row],[Pcode]]="","",OFFSET(CampList[Priority],MATCH(Table_NFI[[#This Row],[Pcode]],CampList[CP_Pcode],0)-1,0,1,1))</f>
        <v/>
      </c>
      <c r="AU1288" s="293" t="str">
        <f>IFERROR(Table_NFI[[#This Row],[Kitchen Set]]/VLOOKUP(Table_NFI[[#This Row],[Camp Name]],CL,4,0),"")</f>
        <v/>
      </c>
      <c r="AV1288" s="465"/>
      <c r="AW1288" s="468"/>
    </row>
    <row r="1289" spans="1:49" ht="14.45" customHeight="1" x14ac:dyDescent="0.25">
      <c r="A1289" s="297" t="str">
        <f t="shared" si="20"/>
        <v/>
      </c>
      <c r="B1289" s="460"/>
      <c r="C1289" s="465"/>
      <c r="D1289" s="465"/>
      <c r="E1289" s="465"/>
      <c r="F1289" s="465"/>
      <c r="G1289" s="465"/>
      <c r="H1289" s="292"/>
      <c r="I1289" s="292"/>
      <c r="J1289" s="292"/>
      <c r="K1289" s="292"/>
      <c r="L1289" s="292"/>
      <c r="M1289" s="292"/>
      <c r="N1289" s="292"/>
      <c r="O1289" s="292"/>
      <c r="P1289" s="294"/>
      <c r="Q1289" s="294"/>
      <c r="R1289" s="294"/>
      <c r="S1289" s="294"/>
      <c r="T1289" s="294"/>
      <c r="U1289" s="294"/>
      <c r="V1289" s="431"/>
      <c r="W1289" s="331"/>
      <c r="X1289" s="331"/>
      <c r="Y1289" s="294">
        <f>IF(NFI_Expiration=1,IF($A1289&lt;VLOOKUP(H$5,NFI,5,0),1,0)*Table_NFI[[#This Row],[Hygiene Kit]],Table_NFI[Hygiene Kit])</f>
        <v>0</v>
      </c>
      <c r="Z1289" s="294">
        <f>IF(NFI_Expiration=1,IF($A1289&lt;VLOOKUP(I$5,NFI,5,0),1,0)*Table_NFI[[#This Row],[NFI Core Kit]],Table_NFI[NFI Core Kit])</f>
        <v>0</v>
      </c>
      <c r="AA1289" s="294">
        <f>IF(NFI_Expiration=1,IF($A1289&lt;VLOOKUP(J$5,NFI,5,0),1,0)*Table_NFI[[#This Row],[Sanitary Kit]],Table_NFI[Sanitary Kit])</f>
        <v>0</v>
      </c>
      <c r="AB1289" s="294">
        <f>IF(NFI_Expiration=1,IF($A1289&lt;VLOOKUP(K$5,NFI,5,0),1,0)*Table_NFI[[#This Row],[Mosquito net]],Table_NFI[Mosquito net])</f>
        <v>0</v>
      </c>
      <c r="AC1289" s="294">
        <f>IF(NFI_Expiration=1,IF($A1289&lt;VLOOKUP(L$5,NFI,5,0),1,0)*Table_NFI[[#This Row],[Tarpaulin]],Table_NFI[[#This Row],[Tarpaulin]])</f>
        <v>0</v>
      </c>
      <c r="AD1289" s="294">
        <f>IF(NFI_Expiration=1,IF($A1289&lt;VLOOKUP(M$5,NFI,5,0),1,0)*Table_NFI[[#This Row],[Blanket]],Table_NFI[[#This Row],[Blanket]])</f>
        <v>0</v>
      </c>
      <c r="AE1289" s="294">
        <f>IF(NFI_Expiration=1,IF($A1289&lt;VLOOKUP(N$5,NFI,5,0),1,0)*Table_NFI[[#This Row],[Kitchen Set]],Table_NFI[Kitchen Set])</f>
        <v>0</v>
      </c>
      <c r="AF1289" s="294">
        <f>IF(NFI_Expiration=1,IF($A1289&lt;VLOOKUP(O$5,NFI,5,0),1,0)*Table_NFI[[#This Row],[Clothes Kit]],Table_NFI[Clothes Kit])</f>
        <v>0</v>
      </c>
      <c r="AG1289" s="294">
        <f>IF(NFI_Expiration=1,IF($A1289&lt;VLOOKUP(P$5,NFI,5,0),1,0)*Table_NFI[[#This Row],[Plastic Bucket]],Table_NFI[Plastic Bucket])</f>
        <v>0</v>
      </c>
      <c r="AH1289" s="294">
        <f>IF(NFI_Expiration=1,IF($A1289&lt;VLOOKUP(Q$5,NFI,5,0),1,0)*Table_NFI[[#This Row],[Plastic Mat]],Table_NFI[Plastic Mat])*IF(Table_NFI[[#This Row],[Distribution Date]]&gt;"2014-04-01",1,2.5)</f>
        <v>0</v>
      </c>
      <c r="AI1289" s="294">
        <f>IF(NFI_Expiration=1,IF($A1289&lt;VLOOKUP(R$5,NFI,5,0),1,0)*Table_NFI[[#This Row],[Winter Clothes Adult]],Table_NFI[Winter Clothes Adult])</f>
        <v>0</v>
      </c>
      <c r="AJ1289" s="294">
        <f>IF(NFI_Expiration=1,IF($A1289&lt;VLOOKUP(S$5,NFI,5,0),1,0)*Table_NFI[[#This Row],[Winter Clothes Children]],Table_NFI[Winter Clothes Children])</f>
        <v>0</v>
      </c>
      <c r="AK1289" s="294">
        <f>IF(NFI_Expiration=1,IF($A1289&lt;VLOOKUP(T$5,NFI,5,0),1,0)*Table_NFI[[#This Row],[Winter Items Other]],Table_NFI[Winter Items Other])</f>
        <v>0</v>
      </c>
      <c r="AL1289" s="294">
        <f>IF(NFI_Expiration=1,IF($A1289&lt;VLOOKUP(M$5,NFI,5,0),1,0)*Table_NFI[[#This Row],[Winter Blanket]],Table_NFI[[#This Row],[Winter Blanket]])</f>
        <v>0</v>
      </c>
      <c r="AM1289" s="294">
        <f>IF(Table_NFI[[#This Row],[Winter Clothes Adult]]+Table_NFI[[#This Row],[Winter Clothes Children]]+Table_NFI[[#This Row],[Winter Items Other]]+Table_NFI[[#This Row],[Winter Blanket]]&gt;0,1,0)</f>
        <v>0</v>
      </c>
      <c r="AN1289" s="331">
        <f>IF(NFI_Expiration=1,IF($A1289&lt;VLOOKUP(V$5,NFI,5,0),1,0)*Table_NFI[[#This Row],[Jerry Can]],Table_NFI[Jerry Can])</f>
        <v>0</v>
      </c>
      <c r="AO1289" s="331">
        <f>IF(NFI_Expiration=1,IF($A1289&lt;VLOOKUP(V$5,NFI,5,0),1,0)*Table_NFI[[#This Row],[Shelter Tool kit]],Table_NFI[Shelter Tool kit])</f>
        <v>0</v>
      </c>
      <c r="AP1289" s="331">
        <f>IF(NFI_Expiration=1,IF($A1289&lt;VLOOKUP(V$5,NFI,5,0),1,0)*Table_NFI[[#This Row],[Tent]],Table_NFI[Tent])</f>
        <v>0</v>
      </c>
      <c r="AQ1289" s="467" t="str">
        <f>IFERROR(VLOOKUP(Table_NFI[[#This Row],[Camp Name]],CL,2,0),"")</f>
        <v/>
      </c>
      <c r="AR1289" s="835" t="str">
        <f ca="1">IF(Table_NFI[[#This Row],[Pcode]]="","",IF(OFFSET(CampList[Opening Date],MATCH(Table_NFI[[#This Row],[Pcode]],CampList[CP_Pcode],0)-1,0,1,1)&gt;=NFI_Monitor_Date,1,0))</f>
        <v/>
      </c>
      <c r="AS1289" s="467" t="str">
        <f>IFERROR(VLOOKUP(Table_NFI[[#This Row],[Camp Name]],CL,3,0),"")</f>
        <v/>
      </c>
      <c r="AT1289" s="294" t="str">
        <f ca="1">IF(Table_NFI[[#This Row],[Pcode]]="","",OFFSET(CampList[Priority],MATCH(Table_NFI[[#This Row],[Pcode]],CampList[CP_Pcode],0)-1,0,1,1))</f>
        <v/>
      </c>
      <c r="AU1289" s="293" t="str">
        <f>IFERROR(Table_NFI[[#This Row],[Kitchen Set]]/VLOOKUP(Table_NFI[[#This Row],[Camp Name]],CL,4,0),"")</f>
        <v/>
      </c>
      <c r="AV1289" s="465"/>
      <c r="AW1289" s="468"/>
    </row>
    <row r="1290" spans="1:49" ht="14.45" customHeight="1" x14ac:dyDescent="0.25">
      <c r="A1290" s="297" t="str">
        <f t="shared" si="20"/>
        <v/>
      </c>
      <c r="B1290" s="460"/>
      <c r="C1290" s="465"/>
      <c r="D1290" s="465"/>
      <c r="E1290" s="465"/>
      <c r="F1290" s="465"/>
      <c r="G1290" s="465"/>
      <c r="H1290" s="292"/>
      <c r="I1290" s="292"/>
      <c r="J1290" s="292"/>
      <c r="K1290" s="292"/>
      <c r="L1290" s="292"/>
      <c r="M1290" s="292"/>
      <c r="N1290" s="292"/>
      <c r="O1290" s="292"/>
      <c r="P1290" s="294"/>
      <c r="Q1290" s="294"/>
      <c r="R1290" s="294"/>
      <c r="S1290" s="294"/>
      <c r="T1290" s="294"/>
      <c r="U1290" s="294"/>
      <c r="V1290" s="431"/>
      <c r="W1290" s="331"/>
      <c r="X1290" s="331"/>
      <c r="Y1290" s="294">
        <f>IF(NFI_Expiration=1,IF($A1290&lt;VLOOKUP(H$5,NFI,5,0),1,0)*Table_NFI[[#This Row],[Hygiene Kit]],Table_NFI[Hygiene Kit])</f>
        <v>0</v>
      </c>
      <c r="Z1290" s="294">
        <f>IF(NFI_Expiration=1,IF($A1290&lt;VLOOKUP(I$5,NFI,5,0),1,0)*Table_NFI[[#This Row],[NFI Core Kit]],Table_NFI[NFI Core Kit])</f>
        <v>0</v>
      </c>
      <c r="AA1290" s="294">
        <f>IF(NFI_Expiration=1,IF($A1290&lt;VLOOKUP(J$5,NFI,5,0),1,0)*Table_NFI[[#This Row],[Sanitary Kit]],Table_NFI[Sanitary Kit])</f>
        <v>0</v>
      </c>
      <c r="AB1290" s="294">
        <f>IF(NFI_Expiration=1,IF($A1290&lt;VLOOKUP(K$5,NFI,5,0),1,0)*Table_NFI[[#This Row],[Mosquito net]],Table_NFI[Mosquito net])</f>
        <v>0</v>
      </c>
      <c r="AC1290" s="294">
        <f>IF(NFI_Expiration=1,IF($A1290&lt;VLOOKUP(L$5,NFI,5,0),1,0)*Table_NFI[[#This Row],[Tarpaulin]],Table_NFI[[#This Row],[Tarpaulin]])</f>
        <v>0</v>
      </c>
      <c r="AD1290" s="294">
        <f>IF(NFI_Expiration=1,IF($A1290&lt;VLOOKUP(M$5,NFI,5,0),1,0)*Table_NFI[[#This Row],[Blanket]],Table_NFI[[#This Row],[Blanket]])</f>
        <v>0</v>
      </c>
      <c r="AE1290" s="294">
        <f>IF(NFI_Expiration=1,IF($A1290&lt;VLOOKUP(N$5,NFI,5,0),1,0)*Table_NFI[[#This Row],[Kitchen Set]],Table_NFI[Kitchen Set])</f>
        <v>0</v>
      </c>
      <c r="AF1290" s="294">
        <f>IF(NFI_Expiration=1,IF($A1290&lt;VLOOKUP(O$5,NFI,5,0),1,0)*Table_NFI[[#This Row],[Clothes Kit]],Table_NFI[Clothes Kit])</f>
        <v>0</v>
      </c>
      <c r="AG1290" s="294">
        <f>IF(NFI_Expiration=1,IF($A1290&lt;VLOOKUP(P$5,NFI,5,0),1,0)*Table_NFI[[#This Row],[Plastic Bucket]],Table_NFI[Plastic Bucket])</f>
        <v>0</v>
      </c>
      <c r="AH1290" s="294">
        <f>IF(NFI_Expiration=1,IF($A1290&lt;VLOOKUP(Q$5,NFI,5,0),1,0)*Table_NFI[[#This Row],[Plastic Mat]],Table_NFI[Plastic Mat])*IF(Table_NFI[[#This Row],[Distribution Date]]&gt;"2014-04-01",1,2.5)</f>
        <v>0</v>
      </c>
      <c r="AI1290" s="294">
        <f>IF(NFI_Expiration=1,IF($A1290&lt;VLOOKUP(R$5,NFI,5,0),1,0)*Table_NFI[[#This Row],[Winter Clothes Adult]],Table_NFI[Winter Clothes Adult])</f>
        <v>0</v>
      </c>
      <c r="AJ1290" s="294">
        <f>IF(NFI_Expiration=1,IF($A1290&lt;VLOOKUP(S$5,NFI,5,0),1,0)*Table_NFI[[#This Row],[Winter Clothes Children]],Table_NFI[Winter Clothes Children])</f>
        <v>0</v>
      </c>
      <c r="AK1290" s="294">
        <f>IF(NFI_Expiration=1,IF($A1290&lt;VLOOKUP(T$5,NFI,5,0),1,0)*Table_NFI[[#This Row],[Winter Items Other]],Table_NFI[Winter Items Other])</f>
        <v>0</v>
      </c>
      <c r="AL1290" s="294">
        <f>IF(NFI_Expiration=1,IF($A1290&lt;VLOOKUP(M$5,NFI,5,0),1,0)*Table_NFI[[#This Row],[Winter Blanket]],Table_NFI[[#This Row],[Winter Blanket]])</f>
        <v>0</v>
      </c>
      <c r="AM1290" s="294">
        <f>IF(Table_NFI[[#This Row],[Winter Clothes Adult]]+Table_NFI[[#This Row],[Winter Clothes Children]]+Table_NFI[[#This Row],[Winter Items Other]]+Table_NFI[[#This Row],[Winter Blanket]]&gt;0,1,0)</f>
        <v>0</v>
      </c>
      <c r="AN1290" s="331">
        <f>IF(NFI_Expiration=1,IF($A1290&lt;VLOOKUP(V$5,NFI,5,0),1,0)*Table_NFI[[#This Row],[Jerry Can]],Table_NFI[Jerry Can])</f>
        <v>0</v>
      </c>
      <c r="AO1290" s="331">
        <f>IF(NFI_Expiration=1,IF($A1290&lt;VLOOKUP(V$5,NFI,5,0),1,0)*Table_NFI[[#This Row],[Shelter Tool kit]],Table_NFI[Shelter Tool kit])</f>
        <v>0</v>
      </c>
      <c r="AP1290" s="331">
        <f>IF(NFI_Expiration=1,IF($A1290&lt;VLOOKUP(V$5,NFI,5,0),1,0)*Table_NFI[[#This Row],[Tent]],Table_NFI[Tent])</f>
        <v>0</v>
      </c>
      <c r="AQ1290" s="467" t="str">
        <f>IFERROR(VLOOKUP(Table_NFI[[#This Row],[Camp Name]],CL,2,0),"")</f>
        <v/>
      </c>
      <c r="AR1290" s="835" t="str">
        <f ca="1">IF(Table_NFI[[#This Row],[Pcode]]="","",IF(OFFSET(CampList[Opening Date],MATCH(Table_NFI[[#This Row],[Pcode]],CampList[CP_Pcode],0)-1,0,1,1)&gt;=NFI_Monitor_Date,1,0))</f>
        <v/>
      </c>
      <c r="AS1290" s="467" t="str">
        <f>IFERROR(VLOOKUP(Table_NFI[[#This Row],[Camp Name]],CL,3,0),"")</f>
        <v/>
      </c>
      <c r="AT1290" s="294" t="str">
        <f ca="1">IF(Table_NFI[[#This Row],[Pcode]]="","",OFFSET(CampList[Priority],MATCH(Table_NFI[[#This Row],[Pcode]],CampList[CP_Pcode],0)-1,0,1,1))</f>
        <v/>
      </c>
      <c r="AU1290" s="293" t="str">
        <f>IFERROR(Table_NFI[[#This Row],[Kitchen Set]]/VLOOKUP(Table_NFI[[#This Row],[Camp Name]],CL,4,0),"")</f>
        <v/>
      </c>
      <c r="AV1290" s="465"/>
      <c r="AW1290" s="468"/>
    </row>
    <row r="1291" spans="1:49" ht="14.45" customHeight="1" x14ac:dyDescent="0.25">
      <c r="A1291" s="297" t="str">
        <f t="shared" si="20"/>
        <v/>
      </c>
      <c r="B1291" s="460"/>
      <c r="C1291" s="465"/>
      <c r="D1291" s="465"/>
      <c r="E1291" s="465"/>
      <c r="F1291" s="465"/>
      <c r="G1291" s="465"/>
      <c r="H1291" s="292"/>
      <c r="I1291" s="292"/>
      <c r="J1291" s="292"/>
      <c r="K1291" s="292"/>
      <c r="L1291" s="292"/>
      <c r="M1291" s="292"/>
      <c r="N1291" s="292"/>
      <c r="O1291" s="292"/>
      <c r="P1291" s="294"/>
      <c r="Q1291" s="294"/>
      <c r="R1291" s="294"/>
      <c r="S1291" s="294"/>
      <c r="T1291" s="294"/>
      <c r="U1291" s="294"/>
      <c r="V1291" s="431"/>
      <c r="W1291" s="331"/>
      <c r="X1291" s="331"/>
      <c r="Y1291" s="294">
        <f>IF(NFI_Expiration=1,IF($A1291&lt;VLOOKUP(H$5,NFI,5,0),1,0)*Table_NFI[[#This Row],[Hygiene Kit]],Table_NFI[Hygiene Kit])</f>
        <v>0</v>
      </c>
      <c r="Z1291" s="294">
        <f>IF(NFI_Expiration=1,IF($A1291&lt;VLOOKUP(I$5,NFI,5,0),1,0)*Table_NFI[[#This Row],[NFI Core Kit]],Table_NFI[NFI Core Kit])</f>
        <v>0</v>
      </c>
      <c r="AA1291" s="294">
        <f>IF(NFI_Expiration=1,IF($A1291&lt;VLOOKUP(J$5,NFI,5,0),1,0)*Table_NFI[[#This Row],[Sanitary Kit]],Table_NFI[Sanitary Kit])</f>
        <v>0</v>
      </c>
      <c r="AB1291" s="294">
        <f>IF(NFI_Expiration=1,IF($A1291&lt;VLOOKUP(K$5,NFI,5,0),1,0)*Table_NFI[[#This Row],[Mosquito net]],Table_NFI[Mosquito net])</f>
        <v>0</v>
      </c>
      <c r="AC1291" s="294">
        <f>IF(NFI_Expiration=1,IF($A1291&lt;VLOOKUP(L$5,NFI,5,0),1,0)*Table_NFI[[#This Row],[Tarpaulin]],Table_NFI[[#This Row],[Tarpaulin]])</f>
        <v>0</v>
      </c>
      <c r="AD1291" s="294">
        <f>IF(NFI_Expiration=1,IF($A1291&lt;VLOOKUP(M$5,NFI,5,0),1,0)*Table_NFI[[#This Row],[Blanket]],Table_NFI[[#This Row],[Blanket]])</f>
        <v>0</v>
      </c>
      <c r="AE1291" s="294">
        <f>IF(NFI_Expiration=1,IF($A1291&lt;VLOOKUP(N$5,NFI,5,0),1,0)*Table_NFI[[#This Row],[Kitchen Set]],Table_NFI[Kitchen Set])</f>
        <v>0</v>
      </c>
      <c r="AF1291" s="294">
        <f>IF(NFI_Expiration=1,IF($A1291&lt;VLOOKUP(O$5,NFI,5,0),1,0)*Table_NFI[[#This Row],[Clothes Kit]],Table_NFI[Clothes Kit])</f>
        <v>0</v>
      </c>
      <c r="AG1291" s="294">
        <f>IF(NFI_Expiration=1,IF($A1291&lt;VLOOKUP(P$5,NFI,5,0),1,0)*Table_NFI[[#This Row],[Plastic Bucket]],Table_NFI[Plastic Bucket])</f>
        <v>0</v>
      </c>
      <c r="AH1291" s="294">
        <f>IF(NFI_Expiration=1,IF($A1291&lt;VLOOKUP(Q$5,NFI,5,0),1,0)*Table_NFI[[#This Row],[Plastic Mat]],Table_NFI[Plastic Mat])*IF(Table_NFI[[#This Row],[Distribution Date]]&gt;"2014-04-01",1,2.5)</f>
        <v>0</v>
      </c>
      <c r="AI1291" s="294">
        <f>IF(NFI_Expiration=1,IF($A1291&lt;VLOOKUP(R$5,NFI,5,0),1,0)*Table_NFI[[#This Row],[Winter Clothes Adult]],Table_NFI[Winter Clothes Adult])</f>
        <v>0</v>
      </c>
      <c r="AJ1291" s="294">
        <f>IF(NFI_Expiration=1,IF($A1291&lt;VLOOKUP(S$5,NFI,5,0),1,0)*Table_NFI[[#This Row],[Winter Clothes Children]],Table_NFI[Winter Clothes Children])</f>
        <v>0</v>
      </c>
      <c r="AK1291" s="294">
        <f>IF(NFI_Expiration=1,IF($A1291&lt;VLOOKUP(T$5,NFI,5,0),1,0)*Table_NFI[[#This Row],[Winter Items Other]],Table_NFI[Winter Items Other])</f>
        <v>0</v>
      </c>
      <c r="AL1291" s="294">
        <f>IF(NFI_Expiration=1,IF($A1291&lt;VLOOKUP(M$5,NFI,5,0),1,0)*Table_NFI[[#This Row],[Winter Blanket]],Table_NFI[[#This Row],[Winter Blanket]])</f>
        <v>0</v>
      </c>
      <c r="AM1291" s="294">
        <f>IF(Table_NFI[[#This Row],[Winter Clothes Adult]]+Table_NFI[[#This Row],[Winter Clothes Children]]+Table_NFI[[#This Row],[Winter Items Other]]+Table_NFI[[#This Row],[Winter Blanket]]&gt;0,1,0)</f>
        <v>0</v>
      </c>
      <c r="AN1291" s="331">
        <f>IF(NFI_Expiration=1,IF($A1291&lt;VLOOKUP(V$5,NFI,5,0),1,0)*Table_NFI[[#This Row],[Jerry Can]],Table_NFI[Jerry Can])</f>
        <v>0</v>
      </c>
      <c r="AO1291" s="331">
        <f>IF(NFI_Expiration=1,IF($A1291&lt;VLOOKUP(V$5,NFI,5,0),1,0)*Table_NFI[[#This Row],[Shelter Tool kit]],Table_NFI[Shelter Tool kit])</f>
        <v>0</v>
      </c>
      <c r="AP1291" s="331">
        <f>IF(NFI_Expiration=1,IF($A1291&lt;VLOOKUP(V$5,NFI,5,0),1,0)*Table_NFI[[#This Row],[Tent]],Table_NFI[Tent])</f>
        <v>0</v>
      </c>
      <c r="AQ1291" s="467" t="str">
        <f>IFERROR(VLOOKUP(Table_NFI[[#This Row],[Camp Name]],CL,2,0),"")</f>
        <v/>
      </c>
      <c r="AR1291" s="835" t="str">
        <f ca="1">IF(Table_NFI[[#This Row],[Pcode]]="","",IF(OFFSET(CampList[Opening Date],MATCH(Table_NFI[[#This Row],[Pcode]],CampList[CP_Pcode],0)-1,0,1,1)&gt;=NFI_Monitor_Date,1,0))</f>
        <v/>
      </c>
      <c r="AS1291" s="467" t="str">
        <f>IFERROR(VLOOKUP(Table_NFI[[#This Row],[Camp Name]],CL,3,0),"")</f>
        <v/>
      </c>
      <c r="AT1291" s="294" t="str">
        <f ca="1">IF(Table_NFI[[#This Row],[Pcode]]="","",OFFSET(CampList[Priority],MATCH(Table_NFI[[#This Row],[Pcode]],CampList[CP_Pcode],0)-1,0,1,1))</f>
        <v/>
      </c>
      <c r="AU1291" s="293" t="str">
        <f>IFERROR(Table_NFI[[#This Row],[Kitchen Set]]/VLOOKUP(Table_NFI[[#This Row],[Camp Name]],CL,4,0),"")</f>
        <v/>
      </c>
      <c r="AV1291" s="465"/>
      <c r="AW1291" s="468"/>
    </row>
    <row r="1292" spans="1:49" ht="14.45" customHeight="1" x14ac:dyDescent="0.25">
      <c r="A1292" s="297" t="str">
        <f t="shared" si="20"/>
        <v/>
      </c>
      <c r="B1292" s="460"/>
      <c r="C1292" s="465"/>
      <c r="D1292" s="465"/>
      <c r="E1292" s="465"/>
      <c r="F1292" s="465"/>
      <c r="G1292" s="465"/>
      <c r="H1292" s="292"/>
      <c r="I1292" s="292"/>
      <c r="J1292" s="292"/>
      <c r="K1292" s="292"/>
      <c r="L1292" s="292"/>
      <c r="M1292" s="292"/>
      <c r="N1292" s="292"/>
      <c r="O1292" s="292"/>
      <c r="P1292" s="294"/>
      <c r="Q1292" s="294"/>
      <c r="R1292" s="294"/>
      <c r="S1292" s="294"/>
      <c r="T1292" s="294"/>
      <c r="U1292" s="294"/>
      <c r="V1292" s="431"/>
      <c r="W1292" s="331"/>
      <c r="X1292" s="331"/>
      <c r="Y1292" s="294">
        <f>IF(NFI_Expiration=1,IF($A1292&lt;VLOOKUP(H$5,NFI,5,0),1,0)*Table_NFI[[#This Row],[Hygiene Kit]],Table_NFI[Hygiene Kit])</f>
        <v>0</v>
      </c>
      <c r="Z1292" s="294">
        <f>IF(NFI_Expiration=1,IF($A1292&lt;VLOOKUP(I$5,NFI,5,0),1,0)*Table_NFI[[#This Row],[NFI Core Kit]],Table_NFI[NFI Core Kit])</f>
        <v>0</v>
      </c>
      <c r="AA1292" s="294">
        <f>IF(NFI_Expiration=1,IF($A1292&lt;VLOOKUP(J$5,NFI,5,0),1,0)*Table_NFI[[#This Row],[Sanitary Kit]],Table_NFI[Sanitary Kit])</f>
        <v>0</v>
      </c>
      <c r="AB1292" s="294">
        <f>IF(NFI_Expiration=1,IF($A1292&lt;VLOOKUP(K$5,NFI,5,0),1,0)*Table_NFI[[#This Row],[Mosquito net]],Table_NFI[Mosquito net])</f>
        <v>0</v>
      </c>
      <c r="AC1292" s="294">
        <f>IF(NFI_Expiration=1,IF($A1292&lt;VLOOKUP(L$5,NFI,5,0),1,0)*Table_NFI[[#This Row],[Tarpaulin]],Table_NFI[[#This Row],[Tarpaulin]])</f>
        <v>0</v>
      </c>
      <c r="AD1292" s="294">
        <f>IF(NFI_Expiration=1,IF($A1292&lt;VLOOKUP(M$5,NFI,5,0),1,0)*Table_NFI[[#This Row],[Blanket]],Table_NFI[[#This Row],[Blanket]])</f>
        <v>0</v>
      </c>
      <c r="AE1292" s="294">
        <f>IF(NFI_Expiration=1,IF($A1292&lt;VLOOKUP(N$5,NFI,5,0),1,0)*Table_NFI[[#This Row],[Kitchen Set]],Table_NFI[Kitchen Set])</f>
        <v>0</v>
      </c>
      <c r="AF1292" s="294">
        <f>IF(NFI_Expiration=1,IF($A1292&lt;VLOOKUP(O$5,NFI,5,0),1,0)*Table_NFI[[#This Row],[Clothes Kit]],Table_NFI[Clothes Kit])</f>
        <v>0</v>
      </c>
      <c r="AG1292" s="294">
        <f>IF(NFI_Expiration=1,IF($A1292&lt;VLOOKUP(P$5,NFI,5,0),1,0)*Table_NFI[[#This Row],[Plastic Bucket]],Table_NFI[Plastic Bucket])</f>
        <v>0</v>
      </c>
      <c r="AH1292" s="294">
        <f>IF(NFI_Expiration=1,IF($A1292&lt;VLOOKUP(Q$5,NFI,5,0),1,0)*Table_NFI[[#This Row],[Plastic Mat]],Table_NFI[Plastic Mat])*IF(Table_NFI[[#This Row],[Distribution Date]]&gt;"2014-04-01",1,2.5)</f>
        <v>0</v>
      </c>
      <c r="AI1292" s="294">
        <f>IF(NFI_Expiration=1,IF($A1292&lt;VLOOKUP(R$5,NFI,5,0),1,0)*Table_NFI[[#This Row],[Winter Clothes Adult]],Table_NFI[Winter Clothes Adult])</f>
        <v>0</v>
      </c>
      <c r="AJ1292" s="294">
        <f>IF(NFI_Expiration=1,IF($A1292&lt;VLOOKUP(S$5,NFI,5,0),1,0)*Table_NFI[[#This Row],[Winter Clothes Children]],Table_NFI[Winter Clothes Children])</f>
        <v>0</v>
      </c>
      <c r="AK1292" s="294">
        <f>IF(NFI_Expiration=1,IF($A1292&lt;VLOOKUP(T$5,NFI,5,0),1,0)*Table_NFI[[#This Row],[Winter Items Other]],Table_NFI[Winter Items Other])</f>
        <v>0</v>
      </c>
      <c r="AL1292" s="294">
        <f>IF(NFI_Expiration=1,IF($A1292&lt;VLOOKUP(M$5,NFI,5,0),1,0)*Table_NFI[[#This Row],[Winter Blanket]],Table_NFI[[#This Row],[Winter Blanket]])</f>
        <v>0</v>
      </c>
      <c r="AM1292" s="294">
        <f>IF(Table_NFI[[#This Row],[Winter Clothes Adult]]+Table_NFI[[#This Row],[Winter Clothes Children]]+Table_NFI[[#This Row],[Winter Items Other]]+Table_NFI[[#This Row],[Winter Blanket]]&gt;0,1,0)</f>
        <v>0</v>
      </c>
      <c r="AN1292" s="331">
        <f>IF(NFI_Expiration=1,IF($A1292&lt;VLOOKUP(V$5,NFI,5,0),1,0)*Table_NFI[[#This Row],[Jerry Can]],Table_NFI[Jerry Can])</f>
        <v>0</v>
      </c>
      <c r="AO1292" s="331">
        <f>IF(NFI_Expiration=1,IF($A1292&lt;VLOOKUP(V$5,NFI,5,0),1,0)*Table_NFI[[#This Row],[Shelter Tool kit]],Table_NFI[Shelter Tool kit])</f>
        <v>0</v>
      </c>
      <c r="AP1292" s="331">
        <f>IF(NFI_Expiration=1,IF($A1292&lt;VLOOKUP(V$5,NFI,5,0),1,0)*Table_NFI[[#This Row],[Tent]],Table_NFI[Tent])</f>
        <v>0</v>
      </c>
      <c r="AQ1292" s="467" t="str">
        <f>IFERROR(VLOOKUP(Table_NFI[[#This Row],[Camp Name]],CL,2,0),"")</f>
        <v/>
      </c>
      <c r="AR1292" s="835" t="str">
        <f ca="1">IF(Table_NFI[[#This Row],[Pcode]]="","",IF(OFFSET(CampList[Opening Date],MATCH(Table_NFI[[#This Row],[Pcode]],CampList[CP_Pcode],0)-1,0,1,1)&gt;=NFI_Monitor_Date,1,0))</f>
        <v/>
      </c>
      <c r="AS1292" s="467" t="str">
        <f>IFERROR(VLOOKUP(Table_NFI[[#This Row],[Camp Name]],CL,3,0),"")</f>
        <v/>
      </c>
      <c r="AT1292" s="294" t="str">
        <f ca="1">IF(Table_NFI[[#This Row],[Pcode]]="","",OFFSET(CampList[Priority],MATCH(Table_NFI[[#This Row],[Pcode]],CampList[CP_Pcode],0)-1,0,1,1))</f>
        <v/>
      </c>
      <c r="AU1292" s="293" t="str">
        <f>IFERROR(Table_NFI[[#This Row],[Kitchen Set]]/VLOOKUP(Table_NFI[[#This Row],[Camp Name]],CL,4,0),"")</f>
        <v/>
      </c>
      <c r="AV1292" s="465"/>
      <c r="AW1292" s="468"/>
    </row>
    <row r="1293" spans="1:49" ht="14.45" customHeight="1" x14ac:dyDescent="0.25">
      <c r="A1293" s="297" t="str">
        <f t="shared" si="20"/>
        <v/>
      </c>
      <c r="B1293" s="460"/>
      <c r="C1293" s="465"/>
      <c r="D1293" s="465"/>
      <c r="E1293" s="465"/>
      <c r="F1293" s="465"/>
      <c r="G1293" s="465"/>
      <c r="H1293" s="292"/>
      <c r="I1293" s="292"/>
      <c r="J1293" s="292"/>
      <c r="K1293" s="292"/>
      <c r="L1293" s="292"/>
      <c r="M1293" s="292"/>
      <c r="N1293" s="292"/>
      <c r="O1293" s="292"/>
      <c r="P1293" s="294"/>
      <c r="Q1293" s="294"/>
      <c r="R1293" s="294"/>
      <c r="S1293" s="294"/>
      <c r="T1293" s="294"/>
      <c r="U1293" s="294"/>
      <c r="V1293" s="431"/>
      <c r="W1293" s="331"/>
      <c r="X1293" s="331"/>
      <c r="Y1293" s="294">
        <f>IF(NFI_Expiration=1,IF($A1293&lt;VLOOKUP(H$5,NFI,5,0),1,0)*Table_NFI[[#This Row],[Hygiene Kit]],Table_NFI[Hygiene Kit])</f>
        <v>0</v>
      </c>
      <c r="Z1293" s="294">
        <f>IF(NFI_Expiration=1,IF($A1293&lt;VLOOKUP(I$5,NFI,5,0),1,0)*Table_NFI[[#This Row],[NFI Core Kit]],Table_NFI[NFI Core Kit])</f>
        <v>0</v>
      </c>
      <c r="AA1293" s="294">
        <f>IF(NFI_Expiration=1,IF($A1293&lt;VLOOKUP(J$5,NFI,5,0),1,0)*Table_NFI[[#This Row],[Sanitary Kit]],Table_NFI[Sanitary Kit])</f>
        <v>0</v>
      </c>
      <c r="AB1293" s="294">
        <f>IF(NFI_Expiration=1,IF($A1293&lt;VLOOKUP(K$5,NFI,5,0),1,0)*Table_NFI[[#This Row],[Mosquito net]],Table_NFI[Mosquito net])</f>
        <v>0</v>
      </c>
      <c r="AC1293" s="294">
        <f>IF(NFI_Expiration=1,IF($A1293&lt;VLOOKUP(L$5,NFI,5,0),1,0)*Table_NFI[[#This Row],[Tarpaulin]],Table_NFI[[#This Row],[Tarpaulin]])</f>
        <v>0</v>
      </c>
      <c r="AD1293" s="294">
        <f>IF(NFI_Expiration=1,IF($A1293&lt;VLOOKUP(M$5,NFI,5,0),1,0)*Table_NFI[[#This Row],[Blanket]],Table_NFI[[#This Row],[Blanket]])</f>
        <v>0</v>
      </c>
      <c r="AE1293" s="294">
        <f>IF(NFI_Expiration=1,IF($A1293&lt;VLOOKUP(N$5,NFI,5,0),1,0)*Table_NFI[[#This Row],[Kitchen Set]],Table_NFI[Kitchen Set])</f>
        <v>0</v>
      </c>
      <c r="AF1293" s="294">
        <f>IF(NFI_Expiration=1,IF($A1293&lt;VLOOKUP(O$5,NFI,5,0),1,0)*Table_NFI[[#This Row],[Clothes Kit]],Table_NFI[Clothes Kit])</f>
        <v>0</v>
      </c>
      <c r="AG1293" s="294">
        <f>IF(NFI_Expiration=1,IF($A1293&lt;VLOOKUP(P$5,NFI,5,0),1,0)*Table_NFI[[#This Row],[Plastic Bucket]],Table_NFI[Plastic Bucket])</f>
        <v>0</v>
      </c>
      <c r="AH1293" s="294">
        <f>IF(NFI_Expiration=1,IF($A1293&lt;VLOOKUP(Q$5,NFI,5,0),1,0)*Table_NFI[[#This Row],[Plastic Mat]],Table_NFI[Plastic Mat])*IF(Table_NFI[[#This Row],[Distribution Date]]&gt;"2014-04-01",1,2.5)</f>
        <v>0</v>
      </c>
      <c r="AI1293" s="294">
        <f>IF(NFI_Expiration=1,IF($A1293&lt;VLOOKUP(R$5,NFI,5,0),1,0)*Table_NFI[[#This Row],[Winter Clothes Adult]],Table_NFI[Winter Clothes Adult])</f>
        <v>0</v>
      </c>
      <c r="AJ1293" s="294">
        <f>IF(NFI_Expiration=1,IF($A1293&lt;VLOOKUP(S$5,NFI,5,0),1,0)*Table_NFI[[#This Row],[Winter Clothes Children]],Table_NFI[Winter Clothes Children])</f>
        <v>0</v>
      </c>
      <c r="AK1293" s="294">
        <f>IF(NFI_Expiration=1,IF($A1293&lt;VLOOKUP(T$5,NFI,5,0),1,0)*Table_NFI[[#This Row],[Winter Items Other]],Table_NFI[Winter Items Other])</f>
        <v>0</v>
      </c>
      <c r="AL1293" s="294">
        <f>IF(NFI_Expiration=1,IF($A1293&lt;VLOOKUP(M$5,NFI,5,0),1,0)*Table_NFI[[#This Row],[Winter Blanket]],Table_NFI[[#This Row],[Winter Blanket]])</f>
        <v>0</v>
      </c>
      <c r="AM1293" s="294">
        <f>IF(Table_NFI[[#This Row],[Winter Clothes Adult]]+Table_NFI[[#This Row],[Winter Clothes Children]]+Table_NFI[[#This Row],[Winter Items Other]]+Table_NFI[[#This Row],[Winter Blanket]]&gt;0,1,0)</f>
        <v>0</v>
      </c>
      <c r="AN1293" s="331">
        <f>IF(NFI_Expiration=1,IF($A1293&lt;VLOOKUP(V$5,NFI,5,0),1,0)*Table_NFI[[#This Row],[Jerry Can]],Table_NFI[Jerry Can])</f>
        <v>0</v>
      </c>
      <c r="AO1293" s="331">
        <f>IF(NFI_Expiration=1,IF($A1293&lt;VLOOKUP(V$5,NFI,5,0),1,0)*Table_NFI[[#This Row],[Shelter Tool kit]],Table_NFI[Shelter Tool kit])</f>
        <v>0</v>
      </c>
      <c r="AP1293" s="331">
        <f>IF(NFI_Expiration=1,IF($A1293&lt;VLOOKUP(V$5,NFI,5,0),1,0)*Table_NFI[[#This Row],[Tent]],Table_NFI[Tent])</f>
        <v>0</v>
      </c>
      <c r="AQ1293" s="467" t="str">
        <f>IFERROR(VLOOKUP(Table_NFI[[#This Row],[Camp Name]],CL,2,0),"")</f>
        <v/>
      </c>
      <c r="AR1293" s="835" t="str">
        <f ca="1">IF(Table_NFI[[#This Row],[Pcode]]="","",IF(OFFSET(CampList[Opening Date],MATCH(Table_NFI[[#This Row],[Pcode]],CampList[CP_Pcode],0)-1,0,1,1)&gt;=NFI_Monitor_Date,1,0))</f>
        <v/>
      </c>
      <c r="AS1293" s="467" t="str">
        <f>IFERROR(VLOOKUP(Table_NFI[[#This Row],[Camp Name]],CL,3,0),"")</f>
        <v/>
      </c>
      <c r="AT1293" s="294" t="str">
        <f ca="1">IF(Table_NFI[[#This Row],[Pcode]]="","",OFFSET(CampList[Priority],MATCH(Table_NFI[[#This Row],[Pcode]],CampList[CP_Pcode],0)-1,0,1,1))</f>
        <v/>
      </c>
      <c r="AU1293" s="293" t="str">
        <f>IFERROR(Table_NFI[[#This Row],[Kitchen Set]]/VLOOKUP(Table_NFI[[#This Row],[Camp Name]],CL,4,0),"")</f>
        <v/>
      </c>
      <c r="AV1293" s="465"/>
      <c r="AW1293" s="468"/>
    </row>
    <row r="1294" spans="1:49" ht="14.45" customHeight="1" x14ac:dyDescent="0.25">
      <c r="A1294" s="297" t="str">
        <f t="shared" si="20"/>
        <v/>
      </c>
      <c r="B1294" s="460"/>
      <c r="C1294" s="465"/>
      <c r="D1294" s="465"/>
      <c r="E1294" s="465"/>
      <c r="F1294" s="465"/>
      <c r="G1294" s="465"/>
      <c r="H1294" s="292"/>
      <c r="I1294" s="292"/>
      <c r="J1294" s="292"/>
      <c r="K1294" s="292"/>
      <c r="L1294" s="292"/>
      <c r="M1294" s="292"/>
      <c r="N1294" s="292"/>
      <c r="O1294" s="292"/>
      <c r="P1294" s="294"/>
      <c r="Q1294" s="294"/>
      <c r="R1294" s="294"/>
      <c r="S1294" s="294"/>
      <c r="T1294" s="294"/>
      <c r="U1294" s="294"/>
      <c r="V1294" s="431"/>
      <c r="W1294" s="331"/>
      <c r="X1294" s="331"/>
      <c r="Y1294" s="294">
        <f>IF(NFI_Expiration=1,IF($A1294&lt;VLOOKUP(H$5,NFI,5,0),1,0)*Table_NFI[[#This Row],[Hygiene Kit]],Table_NFI[Hygiene Kit])</f>
        <v>0</v>
      </c>
      <c r="Z1294" s="294">
        <f>IF(NFI_Expiration=1,IF($A1294&lt;VLOOKUP(I$5,NFI,5,0),1,0)*Table_NFI[[#This Row],[NFI Core Kit]],Table_NFI[NFI Core Kit])</f>
        <v>0</v>
      </c>
      <c r="AA1294" s="294">
        <f>IF(NFI_Expiration=1,IF($A1294&lt;VLOOKUP(J$5,NFI,5,0),1,0)*Table_NFI[[#This Row],[Sanitary Kit]],Table_NFI[Sanitary Kit])</f>
        <v>0</v>
      </c>
      <c r="AB1294" s="294">
        <f>IF(NFI_Expiration=1,IF($A1294&lt;VLOOKUP(K$5,NFI,5,0),1,0)*Table_NFI[[#This Row],[Mosquito net]],Table_NFI[Mosquito net])</f>
        <v>0</v>
      </c>
      <c r="AC1294" s="294">
        <f>IF(NFI_Expiration=1,IF($A1294&lt;VLOOKUP(L$5,NFI,5,0),1,0)*Table_NFI[[#This Row],[Tarpaulin]],Table_NFI[[#This Row],[Tarpaulin]])</f>
        <v>0</v>
      </c>
      <c r="AD1294" s="294">
        <f>IF(NFI_Expiration=1,IF($A1294&lt;VLOOKUP(M$5,NFI,5,0),1,0)*Table_NFI[[#This Row],[Blanket]],Table_NFI[[#This Row],[Blanket]])</f>
        <v>0</v>
      </c>
      <c r="AE1294" s="294">
        <f>IF(NFI_Expiration=1,IF($A1294&lt;VLOOKUP(N$5,NFI,5,0),1,0)*Table_NFI[[#This Row],[Kitchen Set]],Table_NFI[Kitchen Set])</f>
        <v>0</v>
      </c>
      <c r="AF1294" s="294">
        <f>IF(NFI_Expiration=1,IF($A1294&lt;VLOOKUP(O$5,NFI,5,0),1,0)*Table_NFI[[#This Row],[Clothes Kit]],Table_NFI[Clothes Kit])</f>
        <v>0</v>
      </c>
      <c r="AG1294" s="294">
        <f>IF(NFI_Expiration=1,IF($A1294&lt;VLOOKUP(P$5,NFI,5,0),1,0)*Table_NFI[[#This Row],[Plastic Bucket]],Table_NFI[Plastic Bucket])</f>
        <v>0</v>
      </c>
      <c r="AH1294" s="294">
        <f>IF(NFI_Expiration=1,IF($A1294&lt;VLOOKUP(Q$5,NFI,5,0),1,0)*Table_NFI[[#This Row],[Plastic Mat]],Table_NFI[Plastic Mat])*IF(Table_NFI[[#This Row],[Distribution Date]]&gt;"2014-04-01",1,2.5)</f>
        <v>0</v>
      </c>
      <c r="AI1294" s="294">
        <f>IF(NFI_Expiration=1,IF($A1294&lt;VLOOKUP(R$5,NFI,5,0),1,0)*Table_NFI[[#This Row],[Winter Clothes Adult]],Table_NFI[Winter Clothes Adult])</f>
        <v>0</v>
      </c>
      <c r="AJ1294" s="294">
        <f>IF(NFI_Expiration=1,IF($A1294&lt;VLOOKUP(S$5,NFI,5,0),1,0)*Table_NFI[[#This Row],[Winter Clothes Children]],Table_NFI[Winter Clothes Children])</f>
        <v>0</v>
      </c>
      <c r="AK1294" s="294">
        <f>IF(NFI_Expiration=1,IF($A1294&lt;VLOOKUP(T$5,NFI,5,0),1,0)*Table_NFI[[#This Row],[Winter Items Other]],Table_NFI[Winter Items Other])</f>
        <v>0</v>
      </c>
      <c r="AL1294" s="294">
        <f>IF(NFI_Expiration=1,IF($A1294&lt;VLOOKUP(M$5,NFI,5,0),1,0)*Table_NFI[[#This Row],[Winter Blanket]],Table_NFI[[#This Row],[Winter Blanket]])</f>
        <v>0</v>
      </c>
      <c r="AM1294" s="294">
        <f>IF(Table_NFI[[#This Row],[Winter Clothes Adult]]+Table_NFI[[#This Row],[Winter Clothes Children]]+Table_NFI[[#This Row],[Winter Items Other]]+Table_NFI[[#This Row],[Winter Blanket]]&gt;0,1,0)</f>
        <v>0</v>
      </c>
      <c r="AN1294" s="331">
        <f>IF(NFI_Expiration=1,IF($A1294&lt;VLOOKUP(V$5,NFI,5,0),1,0)*Table_NFI[[#This Row],[Jerry Can]],Table_NFI[Jerry Can])</f>
        <v>0</v>
      </c>
      <c r="AO1294" s="331">
        <f>IF(NFI_Expiration=1,IF($A1294&lt;VLOOKUP(V$5,NFI,5,0),1,0)*Table_NFI[[#This Row],[Shelter Tool kit]],Table_NFI[Shelter Tool kit])</f>
        <v>0</v>
      </c>
      <c r="AP1294" s="331">
        <f>IF(NFI_Expiration=1,IF($A1294&lt;VLOOKUP(V$5,NFI,5,0),1,0)*Table_NFI[[#This Row],[Tent]],Table_NFI[Tent])</f>
        <v>0</v>
      </c>
      <c r="AQ1294" s="467" t="str">
        <f>IFERROR(VLOOKUP(Table_NFI[[#This Row],[Camp Name]],CL,2,0),"")</f>
        <v/>
      </c>
      <c r="AR1294" s="835" t="str">
        <f ca="1">IF(Table_NFI[[#This Row],[Pcode]]="","",IF(OFFSET(CampList[Opening Date],MATCH(Table_NFI[[#This Row],[Pcode]],CampList[CP_Pcode],0)-1,0,1,1)&gt;=NFI_Monitor_Date,1,0))</f>
        <v/>
      </c>
      <c r="AS1294" s="467" t="str">
        <f>IFERROR(VLOOKUP(Table_NFI[[#This Row],[Camp Name]],CL,3,0),"")</f>
        <v/>
      </c>
      <c r="AT1294" s="294" t="str">
        <f ca="1">IF(Table_NFI[[#This Row],[Pcode]]="","",OFFSET(CampList[Priority],MATCH(Table_NFI[[#This Row],[Pcode]],CampList[CP_Pcode],0)-1,0,1,1))</f>
        <v/>
      </c>
      <c r="AU1294" s="293" t="str">
        <f>IFERROR(Table_NFI[[#This Row],[Kitchen Set]]/VLOOKUP(Table_NFI[[#This Row],[Camp Name]],CL,4,0),"")</f>
        <v/>
      </c>
      <c r="AV1294" s="465"/>
      <c r="AW1294" s="468"/>
    </row>
    <row r="1295" spans="1:49" ht="14.45" customHeight="1" x14ac:dyDescent="0.25">
      <c r="A1295" s="297" t="str">
        <f t="shared" si="20"/>
        <v/>
      </c>
      <c r="B1295" s="460"/>
      <c r="C1295" s="465"/>
      <c r="D1295" s="465"/>
      <c r="E1295" s="465"/>
      <c r="F1295" s="465"/>
      <c r="G1295" s="465"/>
      <c r="H1295" s="292"/>
      <c r="I1295" s="292"/>
      <c r="J1295" s="292"/>
      <c r="K1295" s="292"/>
      <c r="L1295" s="292"/>
      <c r="M1295" s="292"/>
      <c r="N1295" s="292"/>
      <c r="O1295" s="292"/>
      <c r="P1295" s="294"/>
      <c r="Q1295" s="294"/>
      <c r="R1295" s="294"/>
      <c r="S1295" s="294"/>
      <c r="T1295" s="294"/>
      <c r="U1295" s="294"/>
      <c r="V1295" s="431"/>
      <c r="W1295" s="331"/>
      <c r="X1295" s="331"/>
      <c r="Y1295" s="294">
        <f>IF(NFI_Expiration=1,IF($A1295&lt;VLOOKUP(H$5,NFI,5,0),1,0)*Table_NFI[[#This Row],[Hygiene Kit]],Table_NFI[Hygiene Kit])</f>
        <v>0</v>
      </c>
      <c r="Z1295" s="294">
        <f>IF(NFI_Expiration=1,IF($A1295&lt;VLOOKUP(I$5,NFI,5,0),1,0)*Table_NFI[[#This Row],[NFI Core Kit]],Table_NFI[NFI Core Kit])</f>
        <v>0</v>
      </c>
      <c r="AA1295" s="294">
        <f>IF(NFI_Expiration=1,IF($A1295&lt;VLOOKUP(J$5,NFI,5,0),1,0)*Table_NFI[[#This Row],[Sanitary Kit]],Table_NFI[Sanitary Kit])</f>
        <v>0</v>
      </c>
      <c r="AB1295" s="294">
        <f>IF(NFI_Expiration=1,IF($A1295&lt;VLOOKUP(K$5,NFI,5,0),1,0)*Table_NFI[[#This Row],[Mosquito net]],Table_NFI[Mosquito net])</f>
        <v>0</v>
      </c>
      <c r="AC1295" s="294">
        <f>IF(NFI_Expiration=1,IF($A1295&lt;VLOOKUP(L$5,NFI,5,0),1,0)*Table_NFI[[#This Row],[Tarpaulin]],Table_NFI[[#This Row],[Tarpaulin]])</f>
        <v>0</v>
      </c>
      <c r="AD1295" s="294">
        <f>IF(NFI_Expiration=1,IF($A1295&lt;VLOOKUP(M$5,NFI,5,0),1,0)*Table_NFI[[#This Row],[Blanket]],Table_NFI[[#This Row],[Blanket]])</f>
        <v>0</v>
      </c>
      <c r="AE1295" s="294">
        <f>IF(NFI_Expiration=1,IF($A1295&lt;VLOOKUP(N$5,NFI,5,0),1,0)*Table_NFI[[#This Row],[Kitchen Set]],Table_NFI[Kitchen Set])</f>
        <v>0</v>
      </c>
      <c r="AF1295" s="294">
        <f>IF(NFI_Expiration=1,IF($A1295&lt;VLOOKUP(O$5,NFI,5,0),1,0)*Table_NFI[[#This Row],[Clothes Kit]],Table_NFI[Clothes Kit])</f>
        <v>0</v>
      </c>
      <c r="AG1295" s="294">
        <f>IF(NFI_Expiration=1,IF($A1295&lt;VLOOKUP(P$5,NFI,5,0),1,0)*Table_NFI[[#This Row],[Plastic Bucket]],Table_NFI[Plastic Bucket])</f>
        <v>0</v>
      </c>
      <c r="AH1295" s="294">
        <f>IF(NFI_Expiration=1,IF($A1295&lt;VLOOKUP(Q$5,NFI,5,0),1,0)*Table_NFI[[#This Row],[Plastic Mat]],Table_NFI[Plastic Mat])*IF(Table_NFI[[#This Row],[Distribution Date]]&gt;"2014-04-01",1,2.5)</f>
        <v>0</v>
      </c>
      <c r="AI1295" s="294">
        <f>IF(NFI_Expiration=1,IF($A1295&lt;VLOOKUP(R$5,NFI,5,0),1,0)*Table_NFI[[#This Row],[Winter Clothes Adult]],Table_NFI[Winter Clothes Adult])</f>
        <v>0</v>
      </c>
      <c r="AJ1295" s="294">
        <f>IF(NFI_Expiration=1,IF($A1295&lt;VLOOKUP(S$5,NFI,5,0),1,0)*Table_NFI[[#This Row],[Winter Clothes Children]],Table_NFI[Winter Clothes Children])</f>
        <v>0</v>
      </c>
      <c r="AK1295" s="294">
        <f>IF(NFI_Expiration=1,IF($A1295&lt;VLOOKUP(T$5,NFI,5,0),1,0)*Table_NFI[[#This Row],[Winter Items Other]],Table_NFI[Winter Items Other])</f>
        <v>0</v>
      </c>
      <c r="AL1295" s="294">
        <f>IF(NFI_Expiration=1,IF($A1295&lt;VLOOKUP(M$5,NFI,5,0),1,0)*Table_NFI[[#This Row],[Winter Blanket]],Table_NFI[[#This Row],[Winter Blanket]])</f>
        <v>0</v>
      </c>
      <c r="AM1295" s="294">
        <f>IF(Table_NFI[[#This Row],[Winter Clothes Adult]]+Table_NFI[[#This Row],[Winter Clothes Children]]+Table_NFI[[#This Row],[Winter Items Other]]+Table_NFI[[#This Row],[Winter Blanket]]&gt;0,1,0)</f>
        <v>0</v>
      </c>
      <c r="AN1295" s="331">
        <f>IF(NFI_Expiration=1,IF($A1295&lt;VLOOKUP(V$5,NFI,5,0),1,0)*Table_NFI[[#This Row],[Jerry Can]],Table_NFI[Jerry Can])</f>
        <v>0</v>
      </c>
      <c r="AO1295" s="331">
        <f>IF(NFI_Expiration=1,IF($A1295&lt;VLOOKUP(V$5,NFI,5,0),1,0)*Table_NFI[[#This Row],[Shelter Tool kit]],Table_NFI[Shelter Tool kit])</f>
        <v>0</v>
      </c>
      <c r="AP1295" s="331">
        <f>IF(NFI_Expiration=1,IF($A1295&lt;VLOOKUP(V$5,NFI,5,0),1,0)*Table_NFI[[#This Row],[Tent]],Table_NFI[Tent])</f>
        <v>0</v>
      </c>
      <c r="AQ1295" s="467" t="str">
        <f>IFERROR(VLOOKUP(Table_NFI[[#This Row],[Camp Name]],CL,2,0),"")</f>
        <v/>
      </c>
      <c r="AR1295" s="835" t="str">
        <f ca="1">IF(Table_NFI[[#This Row],[Pcode]]="","",IF(OFFSET(CampList[Opening Date],MATCH(Table_NFI[[#This Row],[Pcode]],CampList[CP_Pcode],0)-1,0,1,1)&gt;=NFI_Monitor_Date,1,0))</f>
        <v/>
      </c>
      <c r="AS1295" s="467" t="str">
        <f>IFERROR(VLOOKUP(Table_NFI[[#This Row],[Camp Name]],CL,3,0),"")</f>
        <v/>
      </c>
      <c r="AT1295" s="294" t="str">
        <f ca="1">IF(Table_NFI[[#This Row],[Pcode]]="","",OFFSET(CampList[Priority],MATCH(Table_NFI[[#This Row],[Pcode]],CampList[CP_Pcode],0)-1,0,1,1))</f>
        <v/>
      </c>
      <c r="AU1295" s="293" t="str">
        <f>IFERROR(Table_NFI[[#This Row],[Kitchen Set]]/VLOOKUP(Table_NFI[[#This Row],[Camp Name]],CL,4,0),"")</f>
        <v/>
      </c>
      <c r="AV1295" s="465"/>
      <c r="AW1295" s="468"/>
    </row>
    <row r="1296" spans="1:49" ht="14.45" customHeight="1" x14ac:dyDescent="0.25">
      <c r="A1296" s="297" t="str">
        <f t="shared" si="20"/>
        <v/>
      </c>
      <c r="B1296" s="460"/>
      <c r="C1296" s="465"/>
      <c r="D1296" s="465"/>
      <c r="E1296" s="465"/>
      <c r="F1296" s="465"/>
      <c r="G1296" s="465"/>
      <c r="H1296" s="292"/>
      <c r="I1296" s="292"/>
      <c r="J1296" s="292"/>
      <c r="K1296" s="292"/>
      <c r="L1296" s="292"/>
      <c r="M1296" s="292"/>
      <c r="N1296" s="292"/>
      <c r="O1296" s="292"/>
      <c r="P1296" s="294"/>
      <c r="Q1296" s="294"/>
      <c r="R1296" s="294"/>
      <c r="S1296" s="294"/>
      <c r="T1296" s="294"/>
      <c r="U1296" s="294"/>
      <c r="V1296" s="431"/>
      <c r="W1296" s="331"/>
      <c r="X1296" s="331"/>
      <c r="Y1296" s="294">
        <f>IF(NFI_Expiration=1,IF($A1296&lt;VLOOKUP(H$5,NFI,5,0),1,0)*Table_NFI[[#This Row],[Hygiene Kit]],Table_NFI[Hygiene Kit])</f>
        <v>0</v>
      </c>
      <c r="Z1296" s="294">
        <f>IF(NFI_Expiration=1,IF($A1296&lt;VLOOKUP(I$5,NFI,5,0),1,0)*Table_NFI[[#This Row],[NFI Core Kit]],Table_NFI[NFI Core Kit])</f>
        <v>0</v>
      </c>
      <c r="AA1296" s="294">
        <f>IF(NFI_Expiration=1,IF($A1296&lt;VLOOKUP(J$5,NFI,5,0),1,0)*Table_NFI[[#This Row],[Sanitary Kit]],Table_NFI[Sanitary Kit])</f>
        <v>0</v>
      </c>
      <c r="AB1296" s="294">
        <f>IF(NFI_Expiration=1,IF($A1296&lt;VLOOKUP(K$5,NFI,5,0),1,0)*Table_NFI[[#This Row],[Mosquito net]],Table_NFI[Mosquito net])</f>
        <v>0</v>
      </c>
      <c r="AC1296" s="294">
        <f>IF(NFI_Expiration=1,IF($A1296&lt;VLOOKUP(L$5,NFI,5,0),1,0)*Table_NFI[[#This Row],[Tarpaulin]],Table_NFI[[#This Row],[Tarpaulin]])</f>
        <v>0</v>
      </c>
      <c r="AD1296" s="294">
        <f>IF(NFI_Expiration=1,IF($A1296&lt;VLOOKUP(M$5,NFI,5,0),1,0)*Table_NFI[[#This Row],[Blanket]],Table_NFI[[#This Row],[Blanket]])</f>
        <v>0</v>
      </c>
      <c r="AE1296" s="294">
        <f>IF(NFI_Expiration=1,IF($A1296&lt;VLOOKUP(N$5,NFI,5,0),1,0)*Table_NFI[[#This Row],[Kitchen Set]],Table_NFI[Kitchen Set])</f>
        <v>0</v>
      </c>
      <c r="AF1296" s="294">
        <f>IF(NFI_Expiration=1,IF($A1296&lt;VLOOKUP(O$5,NFI,5,0),1,0)*Table_NFI[[#This Row],[Clothes Kit]],Table_NFI[Clothes Kit])</f>
        <v>0</v>
      </c>
      <c r="AG1296" s="294">
        <f>IF(NFI_Expiration=1,IF($A1296&lt;VLOOKUP(P$5,NFI,5,0),1,0)*Table_NFI[[#This Row],[Plastic Bucket]],Table_NFI[Plastic Bucket])</f>
        <v>0</v>
      </c>
      <c r="AH1296" s="294">
        <f>IF(NFI_Expiration=1,IF($A1296&lt;VLOOKUP(Q$5,NFI,5,0),1,0)*Table_NFI[[#This Row],[Plastic Mat]],Table_NFI[Plastic Mat])*IF(Table_NFI[[#This Row],[Distribution Date]]&gt;"2014-04-01",1,2.5)</f>
        <v>0</v>
      </c>
      <c r="AI1296" s="294">
        <f>IF(NFI_Expiration=1,IF($A1296&lt;VLOOKUP(R$5,NFI,5,0),1,0)*Table_NFI[[#This Row],[Winter Clothes Adult]],Table_NFI[Winter Clothes Adult])</f>
        <v>0</v>
      </c>
      <c r="AJ1296" s="294">
        <f>IF(NFI_Expiration=1,IF($A1296&lt;VLOOKUP(S$5,NFI,5,0),1,0)*Table_NFI[[#This Row],[Winter Clothes Children]],Table_NFI[Winter Clothes Children])</f>
        <v>0</v>
      </c>
      <c r="AK1296" s="294">
        <f>IF(NFI_Expiration=1,IF($A1296&lt;VLOOKUP(T$5,NFI,5,0),1,0)*Table_NFI[[#This Row],[Winter Items Other]],Table_NFI[Winter Items Other])</f>
        <v>0</v>
      </c>
      <c r="AL1296" s="294">
        <f>IF(NFI_Expiration=1,IF($A1296&lt;VLOOKUP(M$5,NFI,5,0),1,0)*Table_NFI[[#This Row],[Winter Blanket]],Table_NFI[[#This Row],[Winter Blanket]])</f>
        <v>0</v>
      </c>
      <c r="AM1296" s="294">
        <f>IF(Table_NFI[[#This Row],[Winter Clothes Adult]]+Table_NFI[[#This Row],[Winter Clothes Children]]+Table_NFI[[#This Row],[Winter Items Other]]+Table_NFI[[#This Row],[Winter Blanket]]&gt;0,1,0)</f>
        <v>0</v>
      </c>
      <c r="AN1296" s="331">
        <f>IF(NFI_Expiration=1,IF($A1296&lt;VLOOKUP(V$5,NFI,5,0),1,0)*Table_NFI[[#This Row],[Jerry Can]],Table_NFI[Jerry Can])</f>
        <v>0</v>
      </c>
      <c r="AO1296" s="331">
        <f>IF(NFI_Expiration=1,IF($A1296&lt;VLOOKUP(V$5,NFI,5,0),1,0)*Table_NFI[[#This Row],[Shelter Tool kit]],Table_NFI[Shelter Tool kit])</f>
        <v>0</v>
      </c>
      <c r="AP1296" s="331">
        <f>IF(NFI_Expiration=1,IF($A1296&lt;VLOOKUP(V$5,NFI,5,0),1,0)*Table_NFI[[#This Row],[Tent]],Table_NFI[Tent])</f>
        <v>0</v>
      </c>
      <c r="AQ1296" s="467" t="str">
        <f>IFERROR(VLOOKUP(Table_NFI[[#This Row],[Camp Name]],CL,2,0),"")</f>
        <v/>
      </c>
      <c r="AR1296" s="835" t="str">
        <f ca="1">IF(Table_NFI[[#This Row],[Pcode]]="","",IF(OFFSET(CampList[Opening Date],MATCH(Table_NFI[[#This Row],[Pcode]],CampList[CP_Pcode],0)-1,0,1,1)&gt;=NFI_Monitor_Date,1,0))</f>
        <v/>
      </c>
      <c r="AS1296" s="467" t="str">
        <f>IFERROR(VLOOKUP(Table_NFI[[#This Row],[Camp Name]],CL,3,0),"")</f>
        <v/>
      </c>
      <c r="AT1296" s="294" t="str">
        <f ca="1">IF(Table_NFI[[#This Row],[Pcode]]="","",OFFSET(CampList[Priority],MATCH(Table_NFI[[#This Row],[Pcode]],CampList[CP_Pcode],0)-1,0,1,1))</f>
        <v/>
      </c>
      <c r="AU1296" s="293" t="str">
        <f>IFERROR(Table_NFI[[#This Row],[Kitchen Set]]/VLOOKUP(Table_NFI[[#This Row],[Camp Name]],CL,4,0),"")</f>
        <v/>
      </c>
      <c r="AV1296" s="465"/>
      <c r="AW1296" s="468"/>
    </row>
    <row r="1297" spans="1:49" ht="14.45" customHeight="1" x14ac:dyDescent="0.25">
      <c r="A1297" s="297" t="str">
        <f t="shared" si="20"/>
        <v/>
      </c>
      <c r="B1297" s="460"/>
      <c r="C1297" s="465"/>
      <c r="D1297" s="465"/>
      <c r="E1297" s="465"/>
      <c r="F1297" s="465"/>
      <c r="G1297" s="465"/>
      <c r="H1297" s="292"/>
      <c r="I1297" s="292"/>
      <c r="J1297" s="292"/>
      <c r="K1297" s="292"/>
      <c r="L1297" s="292"/>
      <c r="M1297" s="292"/>
      <c r="N1297" s="292"/>
      <c r="O1297" s="292"/>
      <c r="P1297" s="294"/>
      <c r="Q1297" s="294"/>
      <c r="R1297" s="294"/>
      <c r="S1297" s="294"/>
      <c r="T1297" s="294"/>
      <c r="U1297" s="294"/>
      <c r="V1297" s="431"/>
      <c r="W1297" s="331"/>
      <c r="X1297" s="331"/>
      <c r="Y1297" s="294">
        <f>IF(NFI_Expiration=1,IF($A1297&lt;VLOOKUP(H$5,NFI,5,0),1,0)*Table_NFI[[#This Row],[Hygiene Kit]],Table_NFI[Hygiene Kit])</f>
        <v>0</v>
      </c>
      <c r="Z1297" s="294">
        <f>IF(NFI_Expiration=1,IF($A1297&lt;VLOOKUP(I$5,NFI,5,0),1,0)*Table_NFI[[#This Row],[NFI Core Kit]],Table_NFI[NFI Core Kit])</f>
        <v>0</v>
      </c>
      <c r="AA1297" s="294">
        <f>IF(NFI_Expiration=1,IF($A1297&lt;VLOOKUP(J$5,NFI,5,0),1,0)*Table_NFI[[#This Row],[Sanitary Kit]],Table_NFI[Sanitary Kit])</f>
        <v>0</v>
      </c>
      <c r="AB1297" s="294">
        <f>IF(NFI_Expiration=1,IF($A1297&lt;VLOOKUP(K$5,NFI,5,0),1,0)*Table_NFI[[#This Row],[Mosquito net]],Table_NFI[Mosquito net])</f>
        <v>0</v>
      </c>
      <c r="AC1297" s="294">
        <f>IF(NFI_Expiration=1,IF($A1297&lt;VLOOKUP(L$5,NFI,5,0),1,0)*Table_NFI[[#This Row],[Tarpaulin]],Table_NFI[[#This Row],[Tarpaulin]])</f>
        <v>0</v>
      </c>
      <c r="AD1297" s="294">
        <f>IF(NFI_Expiration=1,IF($A1297&lt;VLOOKUP(M$5,NFI,5,0),1,0)*Table_NFI[[#This Row],[Blanket]],Table_NFI[[#This Row],[Blanket]])</f>
        <v>0</v>
      </c>
      <c r="AE1297" s="294">
        <f>IF(NFI_Expiration=1,IF($A1297&lt;VLOOKUP(N$5,NFI,5,0),1,0)*Table_NFI[[#This Row],[Kitchen Set]],Table_NFI[Kitchen Set])</f>
        <v>0</v>
      </c>
      <c r="AF1297" s="294">
        <f>IF(NFI_Expiration=1,IF($A1297&lt;VLOOKUP(O$5,NFI,5,0),1,0)*Table_NFI[[#This Row],[Clothes Kit]],Table_NFI[Clothes Kit])</f>
        <v>0</v>
      </c>
      <c r="AG1297" s="294">
        <f>IF(NFI_Expiration=1,IF($A1297&lt;VLOOKUP(P$5,NFI,5,0),1,0)*Table_NFI[[#This Row],[Plastic Bucket]],Table_NFI[Plastic Bucket])</f>
        <v>0</v>
      </c>
      <c r="AH1297" s="294">
        <f>IF(NFI_Expiration=1,IF($A1297&lt;VLOOKUP(Q$5,NFI,5,0),1,0)*Table_NFI[[#This Row],[Plastic Mat]],Table_NFI[Plastic Mat])*IF(Table_NFI[[#This Row],[Distribution Date]]&gt;"2014-04-01",1,2.5)</f>
        <v>0</v>
      </c>
      <c r="AI1297" s="294">
        <f>IF(NFI_Expiration=1,IF($A1297&lt;VLOOKUP(R$5,NFI,5,0),1,0)*Table_NFI[[#This Row],[Winter Clothes Adult]],Table_NFI[Winter Clothes Adult])</f>
        <v>0</v>
      </c>
      <c r="AJ1297" s="294">
        <f>IF(NFI_Expiration=1,IF($A1297&lt;VLOOKUP(S$5,NFI,5,0),1,0)*Table_NFI[[#This Row],[Winter Clothes Children]],Table_NFI[Winter Clothes Children])</f>
        <v>0</v>
      </c>
      <c r="AK1297" s="294">
        <f>IF(NFI_Expiration=1,IF($A1297&lt;VLOOKUP(T$5,NFI,5,0),1,0)*Table_NFI[[#This Row],[Winter Items Other]],Table_NFI[Winter Items Other])</f>
        <v>0</v>
      </c>
      <c r="AL1297" s="294">
        <f>IF(NFI_Expiration=1,IF($A1297&lt;VLOOKUP(M$5,NFI,5,0),1,0)*Table_NFI[[#This Row],[Winter Blanket]],Table_NFI[[#This Row],[Winter Blanket]])</f>
        <v>0</v>
      </c>
      <c r="AM1297" s="294">
        <f>IF(Table_NFI[[#This Row],[Winter Clothes Adult]]+Table_NFI[[#This Row],[Winter Clothes Children]]+Table_NFI[[#This Row],[Winter Items Other]]+Table_NFI[[#This Row],[Winter Blanket]]&gt;0,1,0)</f>
        <v>0</v>
      </c>
      <c r="AN1297" s="331">
        <f>IF(NFI_Expiration=1,IF($A1297&lt;VLOOKUP(V$5,NFI,5,0),1,0)*Table_NFI[[#This Row],[Jerry Can]],Table_NFI[Jerry Can])</f>
        <v>0</v>
      </c>
      <c r="AO1297" s="331">
        <f>IF(NFI_Expiration=1,IF($A1297&lt;VLOOKUP(V$5,NFI,5,0),1,0)*Table_NFI[[#This Row],[Shelter Tool kit]],Table_NFI[Shelter Tool kit])</f>
        <v>0</v>
      </c>
      <c r="AP1297" s="331">
        <f>IF(NFI_Expiration=1,IF($A1297&lt;VLOOKUP(V$5,NFI,5,0),1,0)*Table_NFI[[#This Row],[Tent]],Table_NFI[Tent])</f>
        <v>0</v>
      </c>
      <c r="AQ1297" s="467" t="str">
        <f>IFERROR(VLOOKUP(Table_NFI[[#This Row],[Camp Name]],CL,2,0),"")</f>
        <v/>
      </c>
      <c r="AR1297" s="835" t="str">
        <f ca="1">IF(Table_NFI[[#This Row],[Pcode]]="","",IF(OFFSET(CampList[Opening Date],MATCH(Table_NFI[[#This Row],[Pcode]],CampList[CP_Pcode],0)-1,0,1,1)&gt;=NFI_Monitor_Date,1,0))</f>
        <v/>
      </c>
      <c r="AS1297" s="467" t="str">
        <f>IFERROR(VLOOKUP(Table_NFI[[#This Row],[Camp Name]],CL,3,0),"")</f>
        <v/>
      </c>
      <c r="AT1297" s="294" t="str">
        <f ca="1">IF(Table_NFI[[#This Row],[Pcode]]="","",OFFSET(CampList[Priority],MATCH(Table_NFI[[#This Row],[Pcode]],CampList[CP_Pcode],0)-1,0,1,1))</f>
        <v/>
      </c>
      <c r="AU1297" s="293" t="str">
        <f>IFERROR(Table_NFI[[#This Row],[Kitchen Set]]/VLOOKUP(Table_NFI[[#This Row],[Camp Name]],CL,4,0),"")</f>
        <v/>
      </c>
      <c r="AV1297" s="465"/>
      <c r="AW1297" s="468"/>
    </row>
    <row r="1298" spans="1:49" ht="14.45" customHeight="1" x14ac:dyDescent="0.25">
      <c r="A1298" s="297" t="str">
        <f t="shared" si="20"/>
        <v/>
      </c>
      <c r="B1298" s="460"/>
      <c r="C1298" s="465"/>
      <c r="D1298" s="465"/>
      <c r="E1298" s="465"/>
      <c r="F1298" s="465"/>
      <c r="G1298" s="465"/>
      <c r="H1298" s="292"/>
      <c r="I1298" s="292"/>
      <c r="J1298" s="292"/>
      <c r="K1298" s="292"/>
      <c r="L1298" s="292"/>
      <c r="M1298" s="292"/>
      <c r="N1298" s="292"/>
      <c r="O1298" s="292"/>
      <c r="P1298" s="294"/>
      <c r="Q1298" s="294"/>
      <c r="R1298" s="294"/>
      <c r="S1298" s="294"/>
      <c r="T1298" s="294"/>
      <c r="U1298" s="294"/>
      <c r="V1298" s="431"/>
      <c r="W1298" s="331"/>
      <c r="X1298" s="331"/>
      <c r="Y1298" s="294">
        <f>IF(NFI_Expiration=1,IF($A1298&lt;VLOOKUP(H$5,NFI,5,0),1,0)*Table_NFI[[#This Row],[Hygiene Kit]],Table_NFI[Hygiene Kit])</f>
        <v>0</v>
      </c>
      <c r="Z1298" s="294">
        <f>IF(NFI_Expiration=1,IF($A1298&lt;VLOOKUP(I$5,NFI,5,0),1,0)*Table_NFI[[#This Row],[NFI Core Kit]],Table_NFI[NFI Core Kit])</f>
        <v>0</v>
      </c>
      <c r="AA1298" s="294">
        <f>IF(NFI_Expiration=1,IF($A1298&lt;VLOOKUP(J$5,NFI,5,0),1,0)*Table_NFI[[#This Row],[Sanitary Kit]],Table_NFI[Sanitary Kit])</f>
        <v>0</v>
      </c>
      <c r="AB1298" s="294">
        <f>IF(NFI_Expiration=1,IF($A1298&lt;VLOOKUP(K$5,NFI,5,0),1,0)*Table_NFI[[#This Row],[Mosquito net]],Table_NFI[Mosquito net])</f>
        <v>0</v>
      </c>
      <c r="AC1298" s="294">
        <f>IF(NFI_Expiration=1,IF($A1298&lt;VLOOKUP(L$5,NFI,5,0),1,0)*Table_NFI[[#This Row],[Tarpaulin]],Table_NFI[[#This Row],[Tarpaulin]])</f>
        <v>0</v>
      </c>
      <c r="AD1298" s="294">
        <f>IF(NFI_Expiration=1,IF($A1298&lt;VLOOKUP(M$5,NFI,5,0),1,0)*Table_NFI[[#This Row],[Blanket]],Table_NFI[[#This Row],[Blanket]])</f>
        <v>0</v>
      </c>
      <c r="AE1298" s="294">
        <f>IF(NFI_Expiration=1,IF($A1298&lt;VLOOKUP(N$5,NFI,5,0),1,0)*Table_NFI[[#This Row],[Kitchen Set]],Table_NFI[Kitchen Set])</f>
        <v>0</v>
      </c>
      <c r="AF1298" s="294">
        <f>IF(NFI_Expiration=1,IF($A1298&lt;VLOOKUP(O$5,NFI,5,0),1,0)*Table_NFI[[#This Row],[Clothes Kit]],Table_NFI[Clothes Kit])</f>
        <v>0</v>
      </c>
      <c r="AG1298" s="294">
        <f>IF(NFI_Expiration=1,IF($A1298&lt;VLOOKUP(P$5,NFI,5,0),1,0)*Table_NFI[[#This Row],[Plastic Bucket]],Table_NFI[Plastic Bucket])</f>
        <v>0</v>
      </c>
      <c r="AH1298" s="294">
        <f>IF(NFI_Expiration=1,IF($A1298&lt;VLOOKUP(Q$5,NFI,5,0),1,0)*Table_NFI[[#This Row],[Plastic Mat]],Table_NFI[Plastic Mat])*IF(Table_NFI[[#This Row],[Distribution Date]]&gt;"2014-04-01",1,2.5)</f>
        <v>0</v>
      </c>
      <c r="AI1298" s="294">
        <f>IF(NFI_Expiration=1,IF($A1298&lt;VLOOKUP(R$5,NFI,5,0),1,0)*Table_NFI[[#This Row],[Winter Clothes Adult]],Table_NFI[Winter Clothes Adult])</f>
        <v>0</v>
      </c>
      <c r="AJ1298" s="294">
        <f>IF(NFI_Expiration=1,IF($A1298&lt;VLOOKUP(S$5,NFI,5,0),1,0)*Table_NFI[[#This Row],[Winter Clothes Children]],Table_NFI[Winter Clothes Children])</f>
        <v>0</v>
      </c>
      <c r="AK1298" s="294">
        <f>IF(NFI_Expiration=1,IF($A1298&lt;VLOOKUP(T$5,NFI,5,0),1,0)*Table_NFI[[#This Row],[Winter Items Other]],Table_NFI[Winter Items Other])</f>
        <v>0</v>
      </c>
      <c r="AL1298" s="294">
        <f>IF(NFI_Expiration=1,IF($A1298&lt;VLOOKUP(M$5,NFI,5,0),1,0)*Table_NFI[[#This Row],[Winter Blanket]],Table_NFI[[#This Row],[Winter Blanket]])</f>
        <v>0</v>
      </c>
      <c r="AM1298" s="294">
        <f>IF(Table_NFI[[#This Row],[Winter Clothes Adult]]+Table_NFI[[#This Row],[Winter Clothes Children]]+Table_NFI[[#This Row],[Winter Items Other]]+Table_NFI[[#This Row],[Winter Blanket]]&gt;0,1,0)</f>
        <v>0</v>
      </c>
      <c r="AN1298" s="331">
        <f>IF(NFI_Expiration=1,IF($A1298&lt;VLOOKUP(V$5,NFI,5,0),1,0)*Table_NFI[[#This Row],[Jerry Can]],Table_NFI[Jerry Can])</f>
        <v>0</v>
      </c>
      <c r="AO1298" s="331">
        <f>IF(NFI_Expiration=1,IF($A1298&lt;VLOOKUP(V$5,NFI,5,0),1,0)*Table_NFI[[#This Row],[Shelter Tool kit]],Table_NFI[Shelter Tool kit])</f>
        <v>0</v>
      </c>
      <c r="AP1298" s="331">
        <f>IF(NFI_Expiration=1,IF($A1298&lt;VLOOKUP(V$5,NFI,5,0),1,0)*Table_NFI[[#This Row],[Tent]],Table_NFI[Tent])</f>
        <v>0</v>
      </c>
      <c r="AQ1298" s="467" t="str">
        <f>IFERROR(VLOOKUP(Table_NFI[[#This Row],[Camp Name]],CL,2,0),"")</f>
        <v/>
      </c>
      <c r="AR1298" s="835" t="str">
        <f ca="1">IF(Table_NFI[[#This Row],[Pcode]]="","",IF(OFFSET(CampList[Opening Date],MATCH(Table_NFI[[#This Row],[Pcode]],CampList[CP_Pcode],0)-1,0,1,1)&gt;=NFI_Monitor_Date,1,0))</f>
        <v/>
      </c>
      <c r="AS1298" s="467" t="str">
        <f>IFERROR(VLOOKUP(Table_NFI[[#This Row],[Camp Name]],CL,3,0),"")</f>
        <v/>
      </c>
      <c r="AT1298" s="294" t="str">
        <f ca="1">IF(Table_NFI[[#This Row],[Pcode]]="","",OFFSET(CampList[Priority],MATCH(Table_NFI[[#This Row],[Pcode]],CampList[CP_Pcode],0)-1,0,1,1))</f>
        <v/>
      </c>
      <c r="AU1298" s="293" t="str">
        <f>IFERROR(Table_NFI[[#This Row],[Kitchen Set]]/VLOOKUP(Table_NFI[[#This Row],[Camp Name]],CL,4,0),"")</f>
        <v/>
      </c>
      <c r="AV1298" s="465"/>
      <c r="AW1298" s="468"/>
    </row>
    <row r="1299" spans="1:49" ht="14.45" customHeight="1" x14ac:dyDescent="0.25">
      <c r="A1299" s="297" t="str">
        <f t="shared" si="20"/>
        <v/>
      </c>
      <c r="B1299" s="460"/>
      <c r="C1299" s="465"/>
      <c r="D1299" s="465"/>
      <c r="E1299" s="465"/>
      <c r="F1299" s="465"/>
      <c r="G1299" s="465"/>
      <c r="H1299" s="292"/>
      <c r="I1299" s="292"/>
      <c r="J1299" s="292"/>
      <c r="K1299" s="292"/>
      <c r="L1299" s="292"/>
      <c r="M1299" s="292"/>
      <c r="N1299" s="292"/>
      <c r="O1299" s="292"/>
      <c r="P1299" s="294"/>
      <c r="Q1299" s="294"/>
      <c r="R1299" s="294"/>
      <c r="S1299" s="294"/>
      <c r="T1299" s="294"/>
      <c r="U1299" s="294"/>
      <c r="V1299" s="431"/>
      <c r="W1299" s="331"/>
      <c r="X1299" s="331"/>
      <c r="Y1299" s="294">
        <f>IF(NFI_Expiration=1,IF($A1299&lt;VLOOKUP(H$5,NFI,5,0),1,0)*Table_NFI[[#This Row],[Hygiene Kit]],Table_NFI[Hygiene Kit])</f>
        <v>0</v>
      </c>
      <c r="Z1299" s="294">
        <f>IF(NFI_Expiration=1,IF($A1299&lt;VLOOKUP(I$5,NFI,5,0),1,0)*Table_NFI[[#This Row],[NFI Core Kit]],Table_NFI[NFI Core Kit])</f>
        <v>0</v>
      </c>
      <c r="AA1299" s="294">
        <f>IF(NFI_Expiration=1,IF($A1299&lt;VLOOKUP(J$5,NFI,5,0),1,0)*Table_NFI[[#This Row],[Sanitary Kit]],Table_NFI[Sanitary Kit])</f>
        <v>0</v>
      </c>
      <c r="AB1299" s="294">
        <f>IF(NFI_Expiration=1,IF($A1299&lt;VLOOKUP(K$5,NFI,5,0),1,0)*Table_NFI[[#This Row],[Mosquito net]],Table_NFI[Mosquito net])</f>
        <v>0</v>
      </c>
      <c r="AC1299" s="294">
        <f>IF(NFI_Expiration=1,IF($A1299&lt;VLOOKUP(L$5,NFI,5,0),1,0)*Table_NFI[[#This Row],[Tarpaulin]],Table_NFI[[#This Row],[Tarpaulin]])</f>
        <v>0</v>
      </c>
      <c r="AD1299" s="294">
        <f>IF(NFI_Expiration=1,IF($A1299&lt;VLOOKUP(M$5,NFI,5,0),1,0)*Table_NFI[[#This Row],[Blanket]],Table_NFI[[#This Row],[Blanket]])</f>
        <v>0</v>
      </c>
      <c r="AE1299" s="294">
        <f>IF(NFI_Expiration=1,IF($A1299&lt;VLOOKUP(N$5,NFI,5,0),1,0)*Table_NFI[[#This Row],[Kitchen Set]],Table_NFI[Kitchen Set])</f>
        <v>0</v>
      </c>
      <c r="AF1299" s="294">
        <f>IF(NFI_Expiration=1,IF($A1299&lt;VLOOKUP(O$5,NFI,5,0),1,0)*Table_NFI[[#This Row],[Clothes Kit]],Table_NFI[Clothes Kit])</f>
        <v>0</v>
      </c>
      <c r="AG1299" s="294">
        <f>IF(NFI_Expiration=1,IF($A1299&lt;VLOOKUP(P$5,NFI,5,0),1,0)*Table_NFI[[#This Row],[Plastic Bucket]],Table_NFI[Plastic Bucket])</f>
        <v>0</v>
      </c>
      <c r="AH1299" s="294">
        <f>IF(NFI_Expiration=1,IF($A1299&lt;VLOOKUP(Q$5,NFI,5,0),1,0)*Table_NFI[[#This Row],[Plastic Mat]],Table_NFI[Plastic Mat])*IF(Table_NFI[[#This Row],[Distribution Date]]&gt;"2014-04-01",1,2.5)</f>
        <v>0</v>
      </c>
      <c r="AI1299" s="294">
        <f>IF(NFI_Expiration=1,IF($A1299&lt;VLOOKUP(R$5,NFI,5,0),1,0)*Table_NFI[[#This Row],[Winter Clothes Adult]],Table_NFI[Winter Clothes Adult])</f>
        <v>0</v>
      </c>
      <c r="AJ1299" s="294">
        <f>IF(NFI_Expiration=1,IF($A1299&lt;VLOOKUP(S$5,NFI,5,0),1,0)*Table_NFI[[#This Row],[Winter Clothes Children]],Table_NFI[Winter Clothes Children])</f>
        <v>0</v>
      </c>
      <c r="AK1299" s="294">
        <f>IF(NFI_Expiration=1,IF($A1299&lt;VLOOKUP(T$5,NFI,5,0),1,0)*Table_NFI[[#This Row],[Winter Items Other]],Table_NFI[Winter Items Other])</f>
        <v>0</v>
      </c>
      <c r="AL1299" s="294">
        <f>IF(NFI_Expiration=1,IF($A1299&lt;VLOOKUP(M$5,NFI,5,0),1,0)*Table_NFI[[#This Row],[Winter Blanket]],Table_NFI[[#This Row],[Winter Blanket]])</f>
        <v>0</v>
      </c>
      <c r="AM1299" s="294">
        <f>IF(Table_NFI[[#This Row],[Winter Clothes Adult]]+Table_NFI[[#This Row],[Winter Clothes Children]]+Table_NFI[[#This Row],[Winter Items Other]]+Table_NFI[[#This Row],[Winter Blanket]]&gt;0,1,0)</f>
        <v>0</v>
      </c>
      <c r="AN1299" s="331">
        <f>IF(NFI_Expiration=1,IF($A1299&lt;VLOOKUP(V$5,NFI,5,0),1,0)*Table_NFI[[#This Row],[Jerry Can]],Table_NFI[Jerry Can])</f>
        <v>0</v>
      </c>
      <c r="AO1299" s="331">
        <f>IF(NFI_Expiration=1,IF($A1299&lt;VLOOKUP(V$5,NFI,5,0),1,0)*Table_NFI[[#This Row],[Shelter Tool kit]],Table_NFI[Shelter Tool kit])</f>
        <v>0</v>
      </c>
      <c r="AP1299" s="331">
        <f>IF(NFI_Expiration=1,IF($A1299&lt;VLOOKUP(V$5,NFI,5,0),1,0)*Table_NFI[[#This Row],[Tent]],Table_NFI[Tent])</f>
        <v>0</v>
      </c>
      <c r="AQ1299" s="467" t="str">
        <f>IFERROR(VLOOKUP(Table_NFI[[#This Row],[Camp Name]],CL,2,0),"")</f>
        <v/>
      </c>
      <c r="AR1299" s="835" t="str">
        <f ca="1">IF(Table_NFI[[#This Row],[Pcode]]="","",IF(OFFSET(CampList[Opening Date],MATCH(Table_NFI[[#This Row],[Pcode]],CampList[CP_Pcode],0)-1,0,1,1)&gt;=NFI_Monitor_Date,1,0))</f>
        <v/>
      </c>
      <c r="AS1299" s="467" t="str">
        <f>IFERROR(VLOOKUP(Table_NFI[[#This Row],[Camp Name]],CL,3,0),"")</f>
        <v/>
      </c>
      <c r="AT1299" s="294" t="str">
        <f ca="1">IF(Table_NFI[[#This Row],[Pcode]]="","",OFFSET(CampList[Priority],MATCH(Table_NFI[[#This Row],[Pcode]],CampList[CP_Pcode],0)-1,0,1,1))</f>
        <v/>
      </c>
      <c r="AU1299" s="293" t="str">
        <f>IFERROR(Table_NFI[[#This Row],[Kitchen Set]]/VLOOKUP(Table_NFI[[#This Row],[Camp Name]],CL,4,0),"")</f>
        <v/>
      </c>
      <c r="AV1299" s="465"/>
      <c r="AW1299" s="468"/>
    </row>
    <row r="1300" spans="1:49" ht="14.45" customHeight="1" x14ac:dyDescent="0.25">
      <c r="A1300" s="297" t="str">
        <f t="shared" si="20"/>
        <v/>
      </c>
      <c r="B1300" s="460"/>
      <c r="C1300" s="465"/>
      <c r="D1300" s="465"/>
      <c r="E1300" s="465"/>
      <c r="F1300" s="465"/>
      <c r="G1300" s="465"/>
      <c r="H1300" s="292"/>
      <c r="I1300" s="292"/>
      <c r="J1300" s="292"/>
      <c r="K1300" s="292"/>
      <c r="L1300" s="292"/>
      <c r="M1300" s="292"/>
      <c r="N1300" s="292"/>
      <c r="O1300" s="292"/>
      <c r="P1300" s="294"/>
      <c r="Q1300" s="294"/>
      <c r="R1300" s="294"/>
      <c r="S1300" s="294"/>
      <c r="T1300" s="294"/>
      <c r="U1300" s="294"/>
      <c r="V1300" s="431"/>
      <c r="W1300" s="331"/>
      <c r="X1300" s="331"/>
      <c r="Y1300" s="294">
        <f>IF(NFI_Expiration=1,IF($A1300&lt;VLOOKUP(H$5,NFI,5,0),1,0)*Table_NFI[[#This Row],[Hygiene Kit]],Table_NFI[Hygiene Kit])</f>
        <v>0</v>
      </c>
      <c r="Z1300" s="294">
        <f>IF(NFI_Expiration=1,IF($A1300&lt;VLOOKUP(I$5,NFI,5,0),1,0)*Table_NFI[[#This Row],[NFI Core Kit]],Table_NFI[NFI Core Kit])</f>
        <v>0</v>
      </c>
      <c r="AA1300" s="294">
        <f>IF(NFI_Expiration=1,IF($A1300&lt;VLOOKUP(J$5,NFI,5,0),1,0)*Table_NFI[[#This Row],[Sanitary Kit]],Table_NFI[Sanitary Kit])</f>
        <v>0</v>
      </c>
      <c r="AB1300" s="294">
        <f>IF(NFI_Expiration=1,IF($A1300&lt;VLOOKUP(K$5,NFI,5,0),1,0)*Table_NFI[[#This Row],[Mosquito net]],Table_NFI[Mosquito net])</f>
        <v>0</v>
      </c>
      <c r="AC1300" s="294">
        <f>IF(NFI_Expiration=1,IF($A1300&lt;VLOOKUP(L$5,NFI,5,0),1,0)*Table_NFI[[#This Row],[Tarpaulin]],Table_NFI[[#This Row],[Tarpaulin]])</f>
        <v>0</v>
      </c>
      <c r="AD1300" s="294">
        <f>IF(NFI_Expiration=1,IF($A1300&lt;VLOOKUP(M$5,NFI,5,0),1,0)*Table_NFI[[#This Row],[Blanket]],Table_NFI[[#This Row],[Blanket]])</f>
        <v>0</v>
      </c>
      <c r="AE1300" s="294">
        <f>IF(NFI_Expiration=1,IF($A1300&lt;VLOOKUP(N$5,NFI,5,0),1,0)*Table_NFI[[#This Row],[Kitchen Set]],Table_NFI[Kitchen Set])</f>
        <v>0</v>
      </c>
      <c r="AF1300" s="294">
        <f>IF(NFI_Expiration=1,IF($A1300&lt;VLOOKUP(O$5,NFI,5,0),1,0)*Table_NFI[[#This Row],[Clothes Kit]],Table_NFI[Clothes Kit])</f>
        <v>0</v>
      </c>
      <c r="AG1300" s="294">
        <f>IF(NFI_Expiration=1,IF($A1300&lt;VLOOKUP(P$5,NFI,5,0),1,0)*Table_NFI[[#This Row],[Plastic Bucket]],Table_NFI[Plastic Bucket])</f>
        <v>0</v>
      </c>
      <c r="AH1300" s="294">
        <f>IF(NFI_Expiration=1,IF($A1300&lt;VLOOKUP(Q$5,NFI,5,0),1,0)*Table_NFI[[#This Row],[Plastic Mat]],Table_NFI[Plastic Mat])*IF(Table_NFI[[#This Row],[Distribution Date]]&gt;"2014-04-01",1,2.5)</f>
        <v>0</v>
      </c>
      <c r="AI1300" s="294">
        <f>IF(NFI_Expiration=1,IF($A1300&lt;VLOOKUP(R$5,NFI,5,0),1,0)*Table_NFI[[#This Row],[Winter Clothes Adult]],Table_NFI[Winter Clothes Adult])</f>
        <v>0</v>
      </c>
      <c r="AJ1300" s="294">
        <f>IF(NFI_Expiration=1,IF($A1300&lt;VLOOKUP(S$5,NFI,5,0),1,0)*Table_NFI[[#This Row],[Winter Clothes Children]],Table_NFI[Winter Clothes Children])</f>
        <v>0</v>
      </c>
      <c r="AK1300" s="294">
        <f>IF(NFI_Expiration=1,IF($A1300&lt;VLOOKUP(T$5,NFI,5,0),1,0)*Table_NFI[[#This Row],[Winter Items Other]],Table_NFI[Winter Items Other])</f>
        <v>0</v>
      </c>
      <c r="AL1300" s="294">
        <f>IF(NFI_Expiration=1,IF($A1300&lt;VLOOKUP(M$5,NFI,5,0),1,0)*Table_NFI[[#This Row],[Winter Blanket]],Table_NFI[[#This Row],[Winter Blanket]])</f>
        <v>0</v>
      </c>
      <c r="AM1300" s="294">
        <f>IF(Table_NFI[[#This Row],[Winter Clothes Adult]]+Table_NFI[[#This Row],[Winter Clothes Children]]+Table_NFI[[#This Row],[Winter Items Other]]+Table_NFI[[#This Row],[Winter Blanket]]&gt;0,1,0)</f>
        <v>0</v>
      </c>
      <c r="AN1300" s="331">
        <f>IF(NFI_Expiration=1,IF($A1300&lt;VLOOKUP(V$5,NFI,5,0),1,0)*Table_NFI[[#This Row],[Jerry Can]],Table_NFI[Jerry Can])</f>
        <v>0</v>
      </c>
      <c r="AO1300" s="331">
        <f>IF(NFI_Expiration=1,IF($A1300&lt;VLOOKUP(V$5,NFI,5,0),1,0)*Table_NFI[[#This Row],[Shelter Tool kit]],Table_NFI[Shelter Tool kit])</f>
        <v>0</v>
      </c>
      <c r="AP1300" s="331">
        <f>IF(NFI_Expiration=1,IF($A1300&lt;VLOOKUP(V$5,NFI,5,0),1,0)*Table_NFI[[#This Row],[Tent]],Table_NFI[Tent])</f>
        <v>0</v>
      </c>
      <c r="AQ1300" s="467" t="str">
        <f>IFERROR(VLOOKUP(Table_NFI[[#This Row],[Camp Name]],CL,2,0),"")</f>
        <v/>
      </c>
      <c r="AR1300" s="835" t="str">
        <f ca="1">IF(Table_NFI[[#This Row],[Pcode]]="","",IF(OFFSET(CampList[Opening Date],MATCH(Table_NFI[[#This Row],[Pcode]],CampList[CP_Pcode],0)-1,0,1,1)&gt;=NFI_Monitor_Date,1,0))</f>
        <v/>
      </c>
      <c r="AS1300" s="467" t="str">
        <f>IFERROR(VLOOKUP(Table_NFI[[#This Row],[Camp Name]],CL,3,0),"")</f>
        <v/>
      </c>
      <c r="AT1300" s="294" t="str">
        <f ca="1">IF(Table_NFI[[#This Row],[Pcode]]="","",OFFSET(CampList[Priority],MATCH(Table_NFI[[#This Row],[Pcode]],CampList[CP_Pcode],0)-1,0,1,1))</f>
        <v/>
      </c>
      <c r="AU1300" s="293" t="str">
        <f>IFERROR(Table_NFI[[#This Row],[Kitchen Set]]/VLOOKUP(Table_NFI[[#This Row],[Camp Name]],CL,4,0),"")</f>
        <v/>
      </c>
      <c r="AV1300" s="465"/>
      <c r="AW1300" s="468"/>
    </row>
    <row r="1301" spans="1:49" ht="14.45" customHeight="1" x14ac:dyDescent="0.25">
      <c r="A1301" s="297" t="str">
        <f t="shared" si="20"/>
        <v/>
      </c>
      <c r="B1301" s="460"/>
      <c r="C1301" s="465"/>
      <c r="D1301" s="465"/>
      <c r="E1301" s="465"/>
      <c r="F1301" s="465"/>
      <c r="G1301" s="465"/>
      <c r="H1301" s="292"/>
      <c r="I1301" s="292"/>
      <c r="J1301" s="292"/>
      <c r="K1301" s="292"/>
      <c r="L1301" s="292"/>
      <c r="M1301" s="292"/>
      <c r="N1301" s="292"/>
      <c r="O1301" s="292"/>
      <c r="P1301" s="294"/>
      <c r="Q1301" s="294"/>
      <c r="R1301" s="294"/>
      <c r="S1301" s="294"/>
      <c r="T1301" s="294"/>
      <c r="U1301" s="294"/>
      <c r="V1301" s="431"/>
      <c r="W1301" s="331"/>
      <c r="X1301" s="331"/>
      <c r="Y1301" s="294">
        <f>IF(NFI_Expiration=1,IF($A1301&lt;VLOOKUP(H$5,NFI,5,0),1,0)*Table_NFI[[#This Row],[Hygiene Kit]],Table_NFI[Hygiene Kit])</f>
        <v>0</v>
      </c>
      <c r="Z1301" s="294">
        <f>IF(NFI_Expiration=1,IF($A1301&lt;VLOOKUP(I$5,NFI,5,0),1,0)*Table_NFI[[#This Row],[NFI Core Kit]],Table_NFI[NFI Core Kit])</f>
        <v>0</v>
      </c>
      <c r="AA1301" s="294">
        <f>IF(NFI_Expiration=1,IF($A1301&lt;VLOOKUP(J$5,NFI,5,0),1,0)*Table_NFI[[#This Row],[Sanitary Kit]],Table_NFI[Sanitary Kit])</f>
        <v>0</v>
      </c>
      <c r="AB1301" s="294">
        <f>IF(NFI_Expiration=1,IF($A1301&lt;VLOOKUP(K$5,NFI,5,0),1,0)*Table_NFI[[#This Row],[Mosquito net]],Table_NFI[Mosquito net])</f>
        <v>0</v>
      </c>
      <c r="AC1301" s="294">
        <f>IF(NFI_Expiration=1,IF($A1301&lt;VLOOKUP(L$5,NFI,5,0),1,0)*Table_NFI[[#This Row],[Tarpaulin]],Table_NFI[[#This Row],[Tarpaulin]])</f>
        <v>0</v>
      </c>
      <c r="AD1301" s="294">
        <f>IF(NFI_Expiration=1,IF($A1301&lt;VLOOKUP(M$5,NFI,5,0),1,0)*Table_NFI[[#This Row],[Blanket]],Table_NFI[[#This Row],[Blanket]])</f>
        <v>0</v>
      </c>
      <c r="AE1301" s="294">
        <f>IF(NFI_Expiration=1,IF($A1301&lt;VLOOKUP(N$5,NFI,5,0),1,0)*Table_NFI[[#This Row],[Kitchen Set]],Table_NFI[Kitchen Set])</f>
        <v>0</v>
      </c>
      <c r="AF1301" s="294">
        <f>IF(NFI_Expiration=1,IF($A1301&lt;VLOOKUP(O$5,NFI,5,0),1,0)*Table_NFI[[#This Row],[Clothes Kit]],Table_NFI[Clothes Kit])</f>
        <v>0</v>
      </c>
      <c r="AG1301" s="294">
        <f>IF(NFI_Expiration=1,IF($A1301&lt;VLOOKUP(P$5,NFI,5,0),1,0)*Table_NFI[[#This Row],[Plastic Bucket]],Table_NFI[Plastic Bucket])</f>
        <v>0</v>
      </c>
      <c r="AH1301" s="294">
        <f>IF(NFI_Expiration=1,IF($A1301&lt;VLOOKUP(Q$5,NFI,5,0),1,0)*Table_NFI[[#This Row],[Plastic Mat]],Table_NFI[Plastic Mat])*IF(Table_NFI[[#This Row],[Distribution Date]]&gt;"2014-04-01",1,2.5)</f>
        <v>0</v>
      </c>
      <c r="AI1301" s="294">
        <f>IF(NFI_Expiration=1,IF($A1301&lt;VLOOKUP(R$5,NFI,5,0),1,0)*Table_NFI[[#This Row],[Winter Clothes Adult]],Table_NFI[Winter Clothes Adult])</f>
        <v>0</v>
      </c>
      <c r="AJ1301" s="294">
        <f>IF(NFI_Expiration=1,IF($A1301&lt;VLOOKUP(S$5,NFI,5,0),1,0)*Table_NFI[[#This Row],[Winter Clothes Children]],Table_NFI[Winter Clothes Children])</f>
        <v>0</v>
      </c>
      <c r="AK1301" s="294">
        <f>IF(NFI_Expiration=1,IF($A1301&lt;VLOOKUP(T$5,NFI,5,0),1,0)*Table_NFI[[#This Row],[Winter Items Other]],Table_NFI[Winter Items Other])</f>
        <v>0</v>
      </c>
      <c r="AL1301" s="294">
        <f>IF(NFI_Expiration=1,IF($A1301&lt;VLOOKUP(M$5,NFI,5,0),1,0)*Table_NFI[[#This Row],[Winter Blanket]],Table_NFI[[#This Row],[Winter Blanket]])</f>
        <v>0</v>
      </c>
      <c r="AM1301" s="294">
        <f>IF(Table_NFI[[#This Row],[Winter Clothes Adult]]+Table_NFI[[#This Row],[Winter Clothes Children]]+Table_NFI[[#This Row],[Winter Items Other]]+Table_NFI[[#This Row],[Winter Blanket]]&gt;0,1,0)</f>
        <v>0</v>
      </c>
      <c r="AN1301" s="331">
        <f>IF(NFI_Expiration=1,IF($A1301&lt;VLOOKUP(V$5,NFI,5,0),1,0)*Table_NFI[[#This Row],[Jerry Can]],Table_NFI[Jerry Can])</f>
        <v>0</v>
      </c>
      <c r="AO1301" s="331">
        <f>IF(NFI_Expiration=1,IF($A1301&lt;VLOOKUP(V$5,NFI,5,0),1,0)*Table_NFI[[#This Row],[Shelter Tool kit]],Table_NFI[Shelter Tool kit])</f>
        <v>0</v>
      </c>
      <c r="AP1301" s="331">
        <f>IF(NFI_Expiration=1,IF($A1301&lt;VLOOKUP(V$5,NFI,5,0),1,0)*Table_NFI[[#This Row],[Tent]],Table_NFI[Tent])</f>
        <v>0</v>
      </c>
      <c r="AQ1301" s="467" t="str">
        <f>IFERROR(VLOOKUP(Table_NFI[[#This Row],[Camp Name]],CL,2,0),"")</f>
        <v/>
      </c>
      <c r="AR1301" s="835" t="str">
        <f ca="1">IF(Table_NFI[[#This Row],[Pcode]]="","",IF(OFFSET(CampList[Opening Date],MATCH(Table_NFI[[#This Row],[Pcode]],CampList[CP_Pcode],0)-1,0,1,1)&gt;=NFI_Monitor_Date,1,0))</f>
        <v/>
      </c>
      <c r="AS1301" s="467" t="str">
        <f>IFERROR(VLOOKUP(Table_NFI[[#This Row],[Camp Name]],CL,3,0),"")</f>
        <v/>
      </c>
      <c r="AT1301" s="294" t="str">
        <f ca="1">IF(Table_NFI[[#This Row],[Pcode]]="","",OFFSET(CampList[Priority],MATCH(Table_NFI[[#This Row],[Pcode]],CampList[CP_Pcode],0)-1,0,1,1))</f>
        <v/>
      </c>
      <c r="AU1301" s="293" t="str">
        <f>IFERROR(Table_NFI[[#This Row],[Kitchen Set]]/VLOOKUP(Table_NFI[[#This Row],[Camp Name]],CL,4,0),"")</f>
        <v/>
      </c>
      <c r="AV1301" s="465"/>
      <c r="AW1301" s="468"/>
    </row>
    <row r="1302" spans="1:49" ht="14.45" customHeight="1" x14ac:dyDescent="0.25">
      <c r="A1302" s="297" t="str">
        <f t="shared" si="20"/>
        <v/>
      </c>
      <c r="B1302" s="460"/>
      <c r="C1302" s="465"/>
      <c r="D1302" s="465"/>
      <c r="E1302" s="465"/>
      <c r="F1302" s="465"/>
      <c r="G1302" s="465"/>
      <c r="H1302" s="292"/>
      <c r="I1302" s="292"/>
      <c r="J1302" s="292"/>
      <c r="K1302" s="292"/>
      <c r="L1302" s="292"/>
      <c r="M1302" s="292"/>
      <c r="N1302" s="292"/>
      <c r="O1302" s="292"/>
      <c r="P1302" s="294"/>
      <c r="Q1302" s="294"/>
      <c r="R1302" s="294"/>
      <c r="S1302" s="294"/>
      <c r="T1302" s="294"/>
      <c r="U1302" s="294"/>
      <c r="V1302" s="431"/>
      <c r="W1302" s="331"/>
      <c r="X1302" s="331"/>
      <c r="Y1302" s="294">
        <f>IF(NFI_Expiration=1,IF($A1302&lt;VLOOKUP(H$5,NFI,5,0),1,0)*Table_NFI[[#This Row],[Hygiene Kit]],Table_NFI[Hygiene Kit])</f>
        <v>0</v>
      </c>
      <c r="Z1302" s="294">
        <f>IF(NFI_Expiration=1,IF($A1302&lt;VLOOKUP(I$5,NFI,5,0),1,0)*Table_NFI[[#This Row],[NFI Core Kit]],Table_NFI[NFI Core Kit])</f>
        <v>0</v>
      </c>
      <c r="AA1302" s="294">
        <f>IF(NFI_Expiration=1,IF($A1302&lt;VLOOKUP(J$5,NFI,5,0),1,0)*Table_NFI[[#This Row],[Sanitary Kit]],Table_NFI[Sanitary Kit])</f>
        <v>0</v>
      </c>
      <c r="AB1302" s="294">
        <f>IF(NFI_Expiration=1,IF($A1302&lt;VLOOKUP(K$5,NFI,5,0),1,0)*Table_NFI[[#This Row],[Mosquito net]],Table_NFI[Mosquito net])</f>
        <v>0</v>
      </c>
      <c r="AC1302" s="294">
        <f>IF(NFI_Expiration=1,IF($A1302&lt;VLOOKUP(L$5,NFI,5,0),1,0)*Table_NFI[[#This Row],[Tarpaulin]],Table_NFI[[#This Row],[Tarpaulin]])</f>
        <v>0</v>
      </c>
      <c r="AD1302" s="294">
        <f>IF(NFI_Expiration=1,IF($A1302&lt;VLOOKUP(M$5,NFI,5,0),1,0)*Table_NFI[[#This Row],[Blanket]],Table_NFI[[#This Row],[Blanket]])</f>
        <v>0</v>
      </c>
      <c r="AE1302" s="294">
        <f>IF(NFI_Expiration=1,IF($A1302&lt;VLOOKUP(N$5,NFI,5,0),1,0)*Table_NFI[[#This Row],[Kitchen Set]],Table_NFI[Kitchen Set])</f>
        <v>0</v>
      </c>
      <c r="AF1302" s="294">
        <f>IF(NFI_Expiration=1,IF($A1302&lt;VLOOKUP(O$5,NFI,5,0),1,0)*Table_NFI[[#This Row],[Clothes Kit]],Table_NFI[Clothes Kit])</f>
        <v>0</v>
      </c>
      <c r="AG1302" s="294">
        <f>IF(NFI_Expiration=1,IF($A1302&lt;VLOOKUP(P$5,NFI,5,0),1,0)*Table_NFI[[#This Row],[Plastic Bucket]],Table_NFI[Plastic Bucket])</f>
        <v>0</v>
      </c>
      <c r="AH1302" s="294">
        <f>IF(NFI_Expiration=1,IF($A1302&lt;VLOOKUP(Q$5,NFI,5,0),1,0)*Table_NFI[[#This Row],[Plastic Mat]],Table_NFI[Plastic Mat])*IF(Table_NFI[[#This Row],[Distribution Date]]&gt;"2014-04-01",1,2.5)</f>
        <v>0</v>
      </c>
      <c r="AI1302" s="294">
        <f>IF(NFI_Expiration=1,IF($A1302&lt;VLOOKUP(R$5,NFI,5,0),1,0)*Table_NFI[[#This Row],[Winter Clothes Adult]],Table_NFI[Winter Clothes Adult])</f>
        <v>0</v>
      </c>
      <c r="AJ1302" s="294">
        <f>IF(NFI_Expiration=1,IF($A1302&lt;VLOOKUP(S$5,NFI,5,0),1,0)*Table_NFI[[#This Row],[Winter Clothes Children]],Table_NFI[Winter Clothes Children])</f>
        <v>0</v>
      </c>
      <c r="AK1302" s="294">
        <f>IF(NFI_Expiration=1,IF($A1302&lt;VLOOKUP(T$5,NFI,5,0),1,0)*Table_NFI[[#This Row],[Winter Items Other]],Table_NFI[Winter Items Other])</f>
        <v>0</v>
      </c>
      <c r="AL1302" s="294">
        <f>IF(NFI_Expiration=1,IF($A1302&lt;VLOOKUP(M$5,NFI,5,0),1,0)*Table_NFI[[#This Row],[Winter Blanket]],Table_NFI[[#This Row],[Winter Blanket]])</f>
        <v>0</v>
      </c>
      <c r="AM1302" s="294">
        <f>IF(Table_NFI[[#This Row],[Winter Clothes Adult]]+Table_NFI[[#This Row],[Winter Clothes Children]]+Table_NFI[[#This Row],[Winter Items Other]]+Table_NFI[[#This Row],[Winter Blanket]]&gt;0,1,0)</f>
        <v>0</v>
      </c>
      <c r="AN1302" s="331">
        <f>IF(NFI_Expiration=1,IF($A1302&lt;VLOOKUP(V$5,NFI,5,0),1,0)*Table_NFI[[#This Row],[Jerry Can]],Table_NFI[Jerry Can])</f>
        <v>0</v>
      </c>
      <c r="AO1302" s="331">
        <f>IF(NFI_Expiration=1,IF($A1302&lt;VLOOKUP(V$5,NFI,5,0),1,0)*Table_NFI[[#This Row],[Shelter Tool kit]],Table_NFI[Shelter Tool kit])</f>
        <v>0</v>
      </c>
      <c r="AP1302" s="331">
        <f>IF(NFI_Expiration=1,IF($A1302&lt;VLOOKUP(V$5,NFI,5,0),1,0)*Table_NFI[[#This Row],[Tent]],Table_NFI[Tent])</f>
        <v>0</v>
      </c>
      <c r="AQ1302" s="467" t="str">
        <f>IFERROR(VLOOKUP(Table_NFI[[#This Row],[Camp Name]],CL,2,0),"")</f>
        <v/>
      </c>
      <c r="AR1302" s="835" t="str">
        <f ca="1">IF(Table_NFI[[#This Row],[Pcode]]="","",IF(OFFSET(CampList[Opening Date],MATCH(Table_NFI[[#This Row],[Pcode]],CampList[CP_Pcode],0)-1,0,1,1)&gt;=NFI_Monitor_Date,1,0))</f>
        <v/>
      </c>
      <c r="AS1302" s="467" t="str">
        <f>IFERROR(VLOOKUP(Table_NFI[[#This Row],[Camp Name]],CL,3,0),"")</f>
        <v/>
      </c>
      <c r="AT1302" s="294" t="str">
        <f ca="1">IF(Table_NFI[[#This Row],[Pcode]]="","",OFFSET(CampList[Priority],MATCH(Table_NFI[[#This Row],[Pcode]],CampList[CP_Pcode],0)-1,0,1,1))</f>
        <v/>
      </c>
      <c r="AU1302" s="293" t="str">
        <f>IFERROR(Table_NFI[[#This Row],[Kitchen Set]]/VLOOKUP(Table_NFI[[#This Row],[Camp Name]],CL,4,0),"")</f>
        <v/>
      </c>
      <c r="AV1302" s="465"/>
      <c r="AW1302" s="468"/>
    </row>
    <row r="1303" spans="1:49" ht="14.45" customHeight="1" x14ac:dyDescent="0.25">
      <c r="A1303" s="297" t="str">
        <f t="shared" si="20"/>
        <v/>
      </c>
      <c r="B1303" s="460"/>
      <c r="C1303" s="465"/>
      <c r="D1303" s="465"/>
      <c r="E1303" s="465"/>
      <c r="F1303" s="465"/>
      <c r="G1303" s="465"/>
      <c r="H1303" s="292"/>
      <c r="I1303" s="292"/>
      <c r="J1303" s="292"/>
      <c r="K1303" s="292"/>
      <c r="L1303" s="292"/>
      <c r="M1303" s="292"/>
      <c r="N1303" s="292"/>
      <c r="O1303" s="292"/>
      <c r="P1303" s="294"/>
      <c r="Q1303" s="294"/>
      <c r="R1303" s="294"/>
      <c r="S1303" s="294"/>
      <c r="T1303" s="294"/>
      <c r="U1303" s="294"/>
      <c r="V1303" s="431"/>
      <c r="W1303" s="331"/>
      <c r="X1303" s="331"/>
      <c r="Y1303" s="294">
        <f>IF(NFI_Expiration=1,IF($A1303&lt;VLOOKUP(H$5,NFI,5,0),1,0)*Table_NFI[[#This Row],[Hygiene Kit]],Table_NFI[Hygiene Kit])</f>
        <v>0</v>
      </c>
      <c r="Z1303" s="294">
        <f>IF(NFI_Expiration=1,IF($A1303&lt;VLOOKUP(I$5,NFI,5,0),1,0)*Table_NFI[[#This Row],[NFI Core Kit]],Table_NFI[NFI Core Kit])</f>
        <v>0</v>
      </c>
      <c r="AA1303" s="294">
        <f>IF(NFI_Expiration=1,IF($A1303&lt;VLOOKUP(J$5,NFI,5,0),1,0)*Table_NFI[[#This Row],[Sanitary Kit]],Table_NFI[Sanitary Kit])</f>
        <v>0</v>
      </c>
      <c r="AB1303" s="294">
        <f>IF(NFI_Expiration=1,IF($A1303&lt;VLOOKUP(K$5,NFI,5,0),1,0)*Table_NFI[[#This Row],[Mosquito net]],Table_NFI[Mosquito net])</f>
        <v>0</v>
      </c>
      <c r="AC1303" s="294">
        <f>IF(NFI_Expiration=1,IF($A1303&lt;VLOOKUP(L$5,NFI,5,0),1,0)*Table_NFI[[#This Row],[Tarpaulin]],Table_NFI[[#This Row],[Tarpaulin]])</f>
        <v>0</v>
      </c>
      <c r="AD1303" s="294">
        <f>IF(NFI_Expiration=1,IF($A1303&lt;VLOOKUP(M$5,NFI,5,0),1,0)*Table_NFI[[#This Row],[Blanket]],Table_NFI[[#This Row],[Blanket]])</f>
        <v>0</v>
      </c>
      <c r="AE1303" s="294">
        <f>IF(NFI_Expiration=1,IF($A1303&lt;VLOOKUP(N$5,NFI,5,0),1,0)*Table_NFI[[#This Row],[Kitchen Set]],Table_NFI[Kitchen Set])</f>
        <v>0</v>
      </c>
      <c r="AF1303" s="294">
        <f>IF(NFI_Expiration=1,IF($A1303&lt;VLOOKUP(O$5,NFI,5,0),1,0)*Table_NFI[[#This Row],[Clothes Kit]],Table_NFI[Clothes Kit])</f>
        <v>0</v>
      </c>
      <c r="AG1303" s="294">
        <f>IF(NFI_Expiration=1,IF($A1303&lt;VLOOKUP(P$5,NFI,5,0),1,0)*Table_NFI[[#This Row],[Plastic Bucket]],Table_NFI[Plastic Bucket])</f>
        <v>0</v>
      </c>
      <c r="AH1303" s="294">
        <f>IF(NFI_Expiration=1,IF($A1303&lt;VLOOKUP(Q$5,NFI,5,0),1,0)*Table_NFI[[#This Row],[Plastic Mat]],Table_NFI[Plastic Mat])*IF(Table_NFI[[#This Row],[Distribution Date]]&gt;"2014-04-01",1,2.5)</f>
        <v>0</v>
      </c>
      <c r="AI1303" s="294">
        <f>IF(NFI_Expiration=1,IF($A1303&lt;VLOOKUP(R$5,NFI,5,0),1,0)*Table_NFI[[#This Row],[Winter Clothes Adult]],Table_NFI[Winter Clothes Adult])</f>
        <v>0</v>
      </c>
      <c r="AJ1303" s="294">
        <f>IF(NFI_Expiration=1,IF($A1303&lt;VLOOKUP(S$5,NFI,5,0),1,0)*Table_NFI[[#This Row],[Winter Clothes Children]],Table_NFI[Winter Clothes Children])</f>
        <v>0</v>
      </c>
      <c r="AK1303" s="294">
        <f>IF(NFI_Expiration=1,IF($A1303&lt;VLOOKUP(T$5,NFI,5,0),1,0)*Table_NFI[[#This Row],[Winter Items Other]],Table_NFI[Winter Items Other])</f>
        <v>0</v>
      </c>
      <c r="AL1303" s="294">
        <f>IF(NFI_Expiration=1,IF($A1303&lt;VLOOKUP(M$5,NFI,5,0),1,0)*Table_NFI[[#This Row],[Winter Blanket]],Table_NFI[[#This Row],[Winter Blanket]])</f>
        <v>0</v>
      </c>
      <c r="AM1303" s="294">
        <f>IF(Table_NFI[[#This Row],[Winter Clothes Adult]]+Table_NFI[[#This Row],[Winter Clothes Children]]+Table_NFI[[#This Row],[Winter Items Other]]+Table_NFI[[#This Row],[Winter Blanket]]&gt;0,1,0)</f>
        <v>0</v>
      </c>
      <c r="AN1303" s="331">
        <f>IF(NFI_Expiration=1,IF($A1303&lt;VLOOKUP(V$5,NFI,5,0),1,0)*Table_NFI[[#This Row],[Jerry Can]],Table_NFI[Jerry Can])</f>
        <v>0</v>
      </c>
      <c r="AO1303" s="331">
        <f>IF(NFI_Expiration=1,IF($A1303&lt;VLOOKUP(V$5,NFI,5,0),1,0)*Table_NFI[[#This Row],[Shelter Tool kit]],Table_NFI[Shelter Tool kit])</f>
        <v>0</v>
      </c>
      <c r="AP1303" s="331">
        <f>IF(NFI_Expiration=1,IF($A1303&lt;VLOOKUP(V$5,NFI,5,0),1,0)*Table_NFI[[#This Row],[Tent]],Table_NFI[Tent])</f>
        <v>0</v>
      </c>
      <c r="AQ1303" s="467" t="str">
        <f>IFERROR(VLOOKUP(Table_NFI[[#This Row],[Camp Name]],CL,2,0),"")</f>
        <v/>
      </c>
      <c r="AR1303" s="835" t="str">
        <f ca="1">IF(Table_NFI[[#This Row],[Pcode]]="","",IF(OFFSET(CampList[Opening Date],MATCH(Table_NFI[[#This Row],[Pcode]],CampList[CP_Pcode],0)-1,0,1,1)&gt;=NFI_Monitor_Date,1,0))</f>
        <v/>
      </c>
      <c r="AS1303" s="467" t="str">
        <f>IFERROR(VLOOKUP(Table_NFI[[#This Row],[Camp Name]],CL,3,0),"")</f>
        <v/>
      </c>
      <c r="AT1303" s="294" t="str">
        <f ca="1">IF(Table_NFI[[#This Row],[Pcode]]="","",OFFSET(CampList[Priority],MATCH(Table_NFI[[#This Row],[Pcode]],CampList[CP_Pcode],0)-1,0,1,1))</f>
        <v/>
      </c>
      <c r="AU1303" s="293" t="str">
        <f>IFERROR(Table_NFI[[#This Row],[Kitchen Set]]/VLOOKUP(Table_NFI[[#This Row],[Camp Name]],CL,4,0),"")</f>
        <v/>
      </c>
      <c r="AV1303" s="465"/>
      <c r="AW1303" s="468"/>
    </row>
    <row r="1304" spans="1:49" ht="14.45" customHeight="1" x14ac:dyDescent="0.25">
      <c r="A1304" s="297" t="str">
        <f t="shared" si="20"/>
        <v/>
      </c>
      <c r="B1304" s="460"/>
      <c r="C1304" s="465"/>
      <c r="D1304" s="465"/>
      <c r="E1304" s="465"/>
      <c r="F1304" s="465"/>
      <c r="G1304" s="465"/>
      <c r="H1304" s="292"/>
      <c r="I1304" s="292"/>
      <c r="J1304" s="292"/>
      <c r="K1304" s="292"/>
      <c r="L1304" s="292"/>
      <c r="M1304" s="292"/>
      <c r="N1304" s="292"/>
      <c r="O1304" s="292"/>
      <c r="P1304" s="294"/>
      <c r="Q1304" s="294"/>
      <c r="R1304" s="294"/>
      <c r="S1304" s="294"/>
      <c r="T1304" s="294"/>
      <c r="U1304" s="294"/>
      <c r="V1304" s="431"/>
      <c r="W1304" s="331"/>
      <c r="X1304" s="331"/>
      <c r="Y1304" s="294">
        <f>IF(NFI_Expiration=1,IF($A1304&lt;VLOOKUP(H$5,NFI,5,0),1,0)*Table_NFI[[#This Row],[Hygiene Kit]],Table_NFI[Hygiene Kit])</f>
        <v>0</v>
      </c>
      <c r="Z1304" s="294">
        <f>IF(NFI_Expiration=1,IF($A1304&lt;VLOOKUP(I$5,NFI,5,0),1,0)*Table_NFI[[#This Row],[NFI Core Kit]],Table_NFI[NFI Core Kit])</f>
        <v>0</v>
      </c>
      <c r="AA1304" s="294">
        <f>IF(NFI_Expiration=1,IF($A1304&lt;VLOOKUP(J$5,NFI,5,0),1,0)*Table_NFI[[#This Row],[Sanitary Kit]],Table_NFI[Sanitary Kit])</f>
        <v>0</v>
      </c>
      <c r="AB1304" s="294">
        <f>IF(NFI_Expiration=1,IF($A1304&lt;VLOOKUP(K$5,NFI,5,0),1,0)*Table_NFI[[#This Row],[Mosquito net]],Table_NFI[Mosquito net])</f>
        <v>0</v>
      </c>
      <c r="AC1304" s="294">
        <f>IF(NFI_Expiration=1,IF($A1304&lt;VLOOKUP(L$5,NFI,5,0),1,0)*Table_NFI[[#This Row],[Tarpaulin]],Table_NFI[[#This Row],[Tarpaulin]])</f>
        <v>0</v>
      </c>
      <c r="AD1304" s="294">
        <f>IF(NFI_Expiration=1,IF($A1304&lt;VLOOKUP(M$5,NFI,5,0),1,0)*Table_NFI[[#This Row],[Blanket]],Table_NFI[[#This Row],[Blanket]])</f>
        <v>0</v>
      </c>
      <c r="AE1304" s="294">
        <f>IF(NFI_Expiration=1,IF($A1304&lt;VLOOKUP(N$5,NFI,5,0),1,0)*Table_NFI[[#This Row],[Kitchen Set]],Table_NFI[Kitchen Set])</f>
        <v>0</v>
      </c>
      <c r="AF1304" s="294">
        <f>IF(NFI_Expiration=1,IF($A1304&lt;VLOOKUP(O$5,NFI,5,0),1,0)*Table_NFI[[#This Row],[Clothes Kit]],Table_NFI[Clothes Kit])</f>
        <v>0</v>
      </c>
      <c r="AG1304" s="294">
        <f>IF(NFI_Expiration=1,IF($A1304&lt;VLOOKUP(P$5,NFI,5,0),1,0)*Table_NFI[[#This Row],[Plastic Bucket]],Table_NFI[Plastic Bucket])</f>
        <v>0</v>
      </c>
      <c r="AH1304" s="294">
        <f>IF(NFI_Expiration=1,IF($A1304&lt;VLOOKUP(Q$5,NFI,5,0),1,0)*Table_NFI[[#This Row],[Plastic Mat]],Table_NFI[Plastic Mat])*IF(Table_NFI[[#This Row],[Distribution Date]]&gt;"2014-04-01",1,2.5)</f>
        <v>0</v>
      </c>
      <c r="AI1304" s="294">
        <f>IF(NFI_Expiration=1,IF($A1304&lt;VLOOKUP(R$5,NFI,5,0),1,0)*Table_NFI[[#This Row],[Winter Clothes Adult]],Table_NFI[Winter Clothes Adult])</f>
        <v>0</v>
      </c>
      <c r="AJ1304" s="294">
        <f>IF(NFI_Expiration=1,IF($A1304&lt;VLOOKUP(S$5,NFI,5,0),1,0)*Table_NFI[[#This Row],[Winter Clothes Children]],Table_NFI[Winter Clothes Children])</f>
        <v>0</v>
      </c>
      <c r="AK1304" s="294">
        <f>IF(NFI_Expiration=1,IF($A1304&lt;VLOOKUP(T$5,NFI,5,0),1,0)*Table_NFI[[#This Row],[Winter Items Other]],Table_NFI[Winter Items Other])</f>
        <v>0</v>
      </c>
      <c r="AL1304" s="294">
        <f>IF(NFI_Expiration=1,IF($A1304&lt;VLOOKUP(M$5,NFI,5,0),1,0)*Table_NFI[[#This Row],[Winter Blanket]],Table_NFI[[#This Row],[Winter Blanket]])</f>
        <v>0</v>
      </c>
      <c r="AM1304" s="294">
        <f>IF(Table_NFI[[#This Row],[Winter Clothes Adult]]+Table_NFI[[#This Row],[Winter Clothes Children]]+Table_NFI[[#This Row],[Winter Items Other]]+Table_NFI[[#This Row],[Winter Blanket]]&gt;0,1,0)</f>
        <v>0</v>
      </c>
      <c r="AN1304" s="331">
        <f>IF(NFI_Expiration=1,IF($A1304&lt;VLOOKUP(V$5,NFI,5,0),1,0)*Table_NFI[[#This Row],[Jerry Can]],Table_NFI[Jerry Can])</f>
        <v>0</v>
      </c>
      <c r="AO1304" s="331">
        <f>IF(NFI_Expiration=1,IF($A1304&lt;VLOOKUP(V$5,NFI,5,0),1,0)*Table_NFI[[#This Row],[Shelter Tool kit]],Table_NFI[Shelter Tool kit])</f>
        <v>0</v>
      </c>
      <c r="AP1304" s="331">
        <f>IF(NFI_Expiration=1,IF($A1304&lt;VLOOKUP(V$5,NFI,5,0),1,0)*Table_NFI[[#This Row],[Tent]],Table_NFI[Tent])</f>
        <v>0</v>
      </c>
      <c r="AQ1304" s="467" t="str">
        <f>IFERROR(VLOOKUP(Table_NFI[[#This Row],[Camp Name]],CL,2,0),"")</f>
        <v/>
      </c>
      <c r="AR1304" s="835" t="str">
        <f ca="1">IF(Table_NFI[[#This Row],[Pcode]]="","",IF(OFFSET(CampList[Opening Date],MATCH(Table_NFI[[#This Row],[Pcode]],CampList[CP_Pcode],0)-1,0,1,1)&gt;=NFI_Monitor_Date,1,0))</f>
        <v/>
      </c>
      <c r="AS1304" s="467" t="str">
        <f>IFERROR(VLOOKUP(Table_NFI[[#This Row],[Camp Name]],CL,3,0),"")</f>
        <v/>
      </c>
      <c r="AT1304" s="294" t="str">
        <f ca="1">IF(Table_NFI[[#This Row],[Pcode]]="","",OFFSET(CampList[Priority],MATCH(Table_NFI[[#This Row],[Pcode]],CampList[CP_Pcode],0)-1,0,1,1))</f>
        <v/>
      </c>
      <c r="AU1304" s="293" t="str">
        <f>IFERROR(Table_NFI[[#This Row],[Kitchen Set]]/VLOOKUP(Table_NFI[[#This Row],[Camp Name]],CL,4,0),"")</f>
        <v/>
      </c>
      <c r="AV1304" s="465"/>
      <c r="AW1304" s="468"/>
    </row>
    <row r="1305" spans="1:49" ht="14.45" customHeight="1" x14ac:dyDescent="0.25">
      <c r="A1305" s="297" t="str">
        <f t="shared" si="20"/>
        <v/>
      </c>
      <c r="B1305" s="460"/>
      <c r="C1305" s="465"/>
      <c r="D1305" s="465"/>
      <c r="E1305" s="465"/>
      <c r="F1305" s="465"/>
      <c r="G1305" s="465"/>
      <c r="H1305" s="292"/>
      <c r="I1305" s="292"/>
      <c r="J1305" s="292"/>
      <c r="K1305" s="292"/>
      <c r="L1305" s="292"/>
      <c r="M1305" s="292"/>
      <c r="N1305" s="292"/>
      <c r="O1305" s="292"/>
      <c r="P1305" s="294"/>
      <c r="Q1305" s="294"/>
      <c r="R1305" s="294"/>
      <c r="S1305" s="294"/>
      <c r="T1305" s="294"/>
      <c r="U1305" s="294"/>
      <c r="V1305" s="431"/>
      <c r="W1305" s="331"/>
      <c r="X1305" s="331"/>
      <c r="Y1305" s="294">
        <f>IF(NFI_Expiration=1,IF($A1305&lt;VLOOKUP(H$5,NFI,5,0),1,0)*Table_NFI[[#This Row],[Hygiene Kit]],Table_NFI[Hygiene Kit])</f>
        <v>0</v>
      </c>
      <c r="Z1305" s="294">
        <f>IF(NFI_Expiration=1,IF($A1305&lt;VLOOKUP(I$5,NFI,5,0),1,0)*Table_NFI[[#This Row],[NFI Core Kit]],Table_NFI[NFI Core Kit])</f>
        <v>0</v>
      </c>
      <c r="AA1305" s="294">
        <f>IF(NFI_Expiration=1,IF($A1305&lt;VLOOKUP(J$5,NFI,5,0),1,0)*Table_NFI[[#This Row],[Sanitary Kit]],Table_NFI[Sanitary Kit])</f>
        <v>0</v>
      </c>
      <c r="AB1305" s="294">
        <f>IF(NFI_Expiration=1,IF($A1305&lt;VLOOKUP(K$5,NFI,5,0),1,0)*Table_NFI[[#This Row],[Mosquito net]],Table_NFI[Mosquito net])</f>
        <v>0</v>
      </c>
      <c r="AC1305" s="294">
        <f>IF(NFI_Expiration=1,IF($A1305&lt;VLOOKUP(L$5,NFI,5,0),1,0)*Table_NFI[[#This Row],[Tarpaulin]],Table_NFI[[#This Row],[Tarpaulin]])</f>
        <v>0</v>
      </c>
      <c r="AD1305" s="294">
        <f>IF(NFI_Expiration=1,IF($A1305&lt;VLOOKUP(M$5,NFI,5,0),1,0)*Table_NFI[[#This Row],[Blanket]],Table_NFI[[#This Row],[Blanket]])</f>
        <v>0</v>
      </c>
      <c r="AE1305" s="294">
        <f>IF(NFI_Expiration=1,IF($A1305&lt;VLOOKUP(N$5,NFI,5,0),1,0)*Table_NFI[[#This Row],[Kitchen Set]],Table_NFI[Kitchen Set])</f>
        <v>0</v>
      </c>
      <c r="AF1305" s="294">
        <f>IF(NFI_Expiration=1,IF($A1305&lt;VLOOKUP(O$5,NFI,5,0),1,0)*Table_NFI[[#This Row],[Clothes Kit]],Table_NFI[Clothes Kit])</f>
        <v>0</v>
      </c>
      <c r="AG1305" s="294">
        <f>IF(NFI_Expiration=1,IF($A1305&lt;VLOOKUP(P$5,NFI,5,0),1,0)*Table_NFI[[#This Row],[Plastic Bucket]],Table_NFI[Plastic Bucket])</f>
        <v>0</v>
      </c>
      <c r="AH1305" s="294">
        <f>IF(NFI_Expiration=1,IF($A1305&lt;VLOOKUP(Q$5,NFI,5,0),1,0)*Table_NFI[[#This Row],[Plastic Mat]],Table_NFI[Plastic Mat])*IF(Table_NFI[[#This Row],[Distribution Date]]&gt;"2014-04-01",1,2.5)</f>
        <v>0</v>
      </c>
      <c r="AI1305" s="294">
        <f>IF(NFI_Expiration=1,IF($A1305&lt;VLOOKUP(R$5,NFI,5,0),1,0)*Table_NFI[[#This Row],[Winter Clothes Adult]],Table_NFI[Winter Clothes Adult])</f>
        <v>0</v>
      </c>
      <c r="AJ1305" s="294">
        <f>IF(NFI_Expiration=1,IF($A1305&lt;VLOOKUP(S$5,NFI,5,0),1,0)*Table_NFI[[#This Row],[Winter Clothes Children]],Table_NFI[Winter Clothes Children])</f>
        <v>0</v>
      </c>
      <c r="AK1305" s="294">
        <f>IF(NFI_Expiration=1,IF($A1305&lt;VLOOKUP(T$5,NFI,5,0),1,0)*Table_NFI[[#This Row],[Winter Items Other]],Table_NFI[Winter Items Other])</f>
        <v>0</v>
      </c>
      <c r="AL1305" s="294">
        <f>IF(NFI_Expiration=1,IF($A1305&lt;VLOOKUP(M$5,NFI,5,0),1,0)*Table_NFI[[#This Row],[Winter Blanket]],Table_NFI[[#This Row],[Winter Blanket]])</f>
        <v>0</v>
      </c>
      <c r="AM1305" s="294">
        <f>IF(Table_NFI[[#This Row],[Winter Clothes Adult]]+Table_NFI[[#This Row],[Winter Clothes Children]]+Table_NFI[[#This Row],[Winter Items Other]]+Table_NFI[[#This Row],[Winter Blanket]]&gt;0,1,0)</f>
        <v>0</v>
      </c>
      <c r="AN1305" s="331">
        <f>IF(NFI_Expiration=1,IF($A1305&lt;VLOOKUP(V$5,NFI,5,0),1,0)*Table_NFI[[#This Row],[Jerry Can]],Table_NFI[Jerry Can])</f>
        <v>0</v>
      </c>
      <c r="AO1305" s="331">
        <f>IF(NFI_Expiration=1,IF($A1305&lt;VLOOKUP(V$5,NFI,5,0),1,0)*Table_NFI[[#This Row],[Shelter Tool kit]],Table_NFI[Shelter Tool kit])</f>
        <v>0</v>
      </c>
      <c r="AP1305" s="331">
        <f>IF(NFI_Expiration=1,IF($A1305&lt;VLOOKUP(V$5,NFI,5,0),1,0)*Table_NFI[[#This Row],[Tent]],Table_NFI[Tent])</f>
        <v>0</v>
      </c>
      <c r="AQ1305" s="467" t="str">
        <f>IFERROR(VLOOKUP(Table_NFI[[#This Row],[Camp Name]],CL,2,0),"")</f>
        <v/>
      </c>
      <c r="AR1305" s="835" t="str">
        <f ca="1">IF(Table_NFI[[#This Row],[Pcode]]="","",IF(OFFSET(CampList[Opening Date],MATCH(Table_NFI[[#This Row],[Pcode]],CampList[CP_Pcode],0)-1,0,1,1)&gt;=NFI_Monitor_Date,1,0))</f>
        <v/>
      </c>
      <c r="AS1305" s="467" t="str">
        <f>IFERROR(VLOOKUP(Table_NFI[[#This Row],[Camp Name]],CL,3,0),"")</f>
        <v/>
      </c>
      <c r="AT1305" s="294" t="str">
        <f ca="1">IF(Table_NFI[[#This Row],[Pcode]]="","",OFFSET(CampList[Priority],MATCH(Table_NFI[[#This Row],[Pcode]],CampList[CP_Pcode],0)-1,0,1,1))</f>
        <v/>
      </c>
      <c r="AU1305" s="293" t="str">
        <f>IFERROR(Table_NFI[[#This Row],[Kitchen Set]]/VLOOKUP(Table_NFI[[#This Row],[Camp Name]],CL,4,0),"")</f>
        <v/>
      </c>
      <c r="AV1305" s="465"/>
      <c r="AW1305" s="468"/>
    </row>
    <row r="1306" spans="1:49" ht="14.45" customHeight="1" x14ac:dyDescent="0.25">
      <c r="A1306" s="297" t="str">
        <f t="shared" si="20"/>
        <v/>
      </c>
      <c r="B1306" s="460"/>
      <c r="C1306" s="465"/>
      <c r="D1306" s="465"/>
      <c r="E1306" s="465"/>
      <c r="F1306" s="465"/>
      <c r="G1306" s="465"/>
      <c r="H1306" s="292"/>
      <c r="I1306" s="292"/>
      <c r="J1306" s="292"/>
      <c r="K1306" s="292"/>
      <c r="L1306" s="292"/>
      <c r="M1306" s="292"/>
      <c r="N1306" s="292"/>
      <c r="O1306" s="292"/>
      <c r="P1306" s="294"/>
      <c r="Q1306" s="294"/>
      <c r="R1306" s="294"/>
      <c r="S1306" s="294"/>
      <c r="T1306" s="294"/>
      <c r="U1306" s="294"/>
      <c r="V1306" s="431"/>
      <c r="W1306" s="331"/>
      <c r="X1306" s="331"/>
      <c r="Y1306" s="294">
        <f>IF(NFI_Expiration=1,IF($A1306&lt;VLOOKUP(H$5,NFI,5,0),1,0)*Table_NFI[[#This Row],[Hygiene Kit]],Table_NFI[Hygiene Kit])</f>
        <v>0</v>
      </c>
      <c r="Z1306" s="294">
        <f>IF(NFI_Expiration=1,IF($A1306&lt;VLOOKUP(I$5,NFI,5,0),1,0)*Table_NFI[[#This Row],[NFI Core Kit]],Table_NFI[NFI Core Kit])</f>
        <v>0</v>
      </c>
      <c r="AA1306" s="294">
        <f>IF(NFI_Expiration=1,IF($A1306&lt;VLOOKUP(J$5,NFI,5,0),1,0)*Table_NFI[[#This Row],[Sanitary Kit]],Table_NFI[Sanitary Kit])</f>
        <v>0</v>
      </c>
      <c r="AB1306" s="294">
        <f>IF(NFI_Expiration=1,IF($A1306&lt;VLOOKUP(K$5,NFI,5,0),1,0)*Table_NFI[[#This Row],[Mosquito net]],Table_NFI[Mosquito net])</f>
        <v>0</v>
      </c>
      <c r="AC1306" s="294">
        <f>IF(NFI_Expiration=1,IF($A1306&lt;VLOOKUP(L$5,NFI,5,0),1,0)*Table_NFI[[#This Row],[Tarpaulin]],Table_NFI[[#This Row],[Tarpaulin]])</f>
        <v>0</v>
      </c>
      <c r="AD1306" s="294">
        <f>IF(NFI_Expiration=1,IF($A1306&lt;VLOOKUP(M$5,NFI,5,0),1,0)*Table_NFI[[#This Row],[Blanket]],Table_NFI[[#This Row],[Blanket]])</f>
        <v>0</v>
      </c>
      <c r="AE1306" s="294">
        <f>IF(NFI_Expiration=1,IF($A1306&lt;VLOOKUP(N$5,NFI,5,0),1,0)*Table_NFI[[#This Row],[Kitchen Set]],Table_NFI[Kitchen Set])</f>
        <v>0</v>
      </c>
      <c r="AF1306" s="294">
        <f>IF(NFI_Expiration=1,IF($A1306&lt;VLOOKUP(O$5,NFI,5,0),1,0)*Table_NFI[[#This Row],[Clothes Kit]],Table_NFI[Clothes Kit])</f>
        <v>0</v>
      </c>
      <c r="AG1306" s="294">
        <f>IF(NFI_Expiration=1,IF($A1306&lt;VLOOKUP(P$5,NFI,5,0),1,0)*Table_NFI[[#This Row],[Plastic Bucket]],Table_NFI[Plastic Bucket])</f>
        <v>0</v>
      </c>
      <c r="AH1306" s="294">
        <f>IF(NFI_Expiration=1,IF($A1306&lt;VLOOKUP(Q$5,NFI,5,0),1,0)*Table_NFI[[#This Row],[Plastic Mat]],Table_NFI[Plastic Mat])*IF(Table_NFI[[#This Row],[Distribution Date]]&gt;"2014-04-01",1,2.5)</f>
        <v>0</v>
      </c>
      <c r="AI1306" s="294">
        <f>IF(NFI_Expiration=1,IF($A1306&lt;VLOOKUP(R$5,NFI,5,0),1,0)*Table_NFI[[#This Row],[Winter Clothes Adult]],Table_NFI[Winter Clothes Adult])</f>
        <v>0</v>
      </c>
      <c r="AJ1306" s="294">
        <f>IF(NFI_Expiration=1,IF($A1306&lt;VLOOKUP(S$5,NFI,5,0),1,0)*Table_NFI[[#This Row],[Winter Clothes Children]],Table_NFI[Winter Clothes Children])</f>
        <v>0</v>
      </c>
      <c r="AK1306" s="294">
        <f>IF(NFI_Expiration=1,IF($A1306&lt;VLOOKUP(T$5,NFI,5,0),1,0)*Table_NFI[[#This Row],[Winter Items Other]],Table_NFI[Winter Items Other])</f>
        <v>0</v>
      </c>
      <c r="AL1306" s="294">
        <f>IF(NFI_Expiration=1,IF($A1306&lt;VLOOKUP(M$5,NFI,5,0),1,0)*Table_NFI[[#This Row],[Winter Blanket]],Table_NFI[[#This Row],[Winter Blanket]])</f>
        <v>0</v>
      </c>
      <c r="AM1306" s="294">
        <f>IF(Table_NFI[[#This Row],[Winter Clothes Adult]]+Table_NFI[[#This Row],[Winter Clothes Children]]+Table_NFI[[#This Row],[Winter Items Other]]+Table_NFI[[#This Row],[Winter Blanket]]&gt;0,1,0)</f>
        <v>0</v>
      </c>
      <c r="AN1306" s="331">
        <f>IF(NFI_Expiration=1,IF($A1306&lt;VLOOKUP(V$5,NFI,5,0),1,0)*Table_NFI[[#This Row],[Jerry Can]],Table_NFI[Jerry Can])</f>
        <v>0</v>
      </c>
      <c r="AO1306" s="331">
        <f>IF(NFI_Expiration=1,IF($A1306&lt;VLOOKUP(V$5,NFI,5,0),1,0)*Table_NFI[[#This Row],[Shelter Tool kit]],Table_NFI[Shelter Tool kit])</f>
        <v>0</v>
      </c>
      <c r="AP1306" s="331">
        <f>IF(NFI_Expiration=1,IF($A1306&lt;VLOOKUP(V$5,NFI,5,0),1,0)*Table_NFI[[#This Row],[Tent]],Table_NFI[Tent])</f>
        <v>0</v>
      </c>
      <c r="AQ1306" s="467" t="str">
        <f>IFERROR(VLOOKUP(Table_NFI[[#This Row],[Camp Name]],CL,2,0),"")</f>
        <v/>
      </c>
      <c r="AR1306" s="835" t="str">
        <f ca="1">IF(Table_NFI[[#This Row],[Pcode]]="","",IF(OFFSET(CampList[Opening Date],MATCH(Table_NFI[[#This Row],[Pcode]],CampList[CP_Pcode],0)-1,0,1,1)&gt;=NFI_Monitor_Date,1,0))</f>
        <v/>
      </c>
      <c r="AS1306" s="467" t="str">
        <f>IFERROR(VLOOKUP(Table_NFI[[#This Row],[Camp Name]],CL,3,0),"")</f>
        <v/>
      </c>
      <c r="AT1306" s="294" t="str">
        <f ca="1">IF(Table_NFI[[#This Row],[Pcode]]="","",OFFSET(CampList[Priority],MATCH(Table_NFI[[#This Row],[Pcode]],CampList[CP_Pcode],0)-1,0,1,1))</f>
        <v/>
      </c>
      <c r="AU1306" s="293" t="str">
        <f>IFERROR(Table_NFI[[#This Row],[Kitchen Set]]/VLOOKUP(Table_NFI[[#This Row],[Camp Name]],CL,4,0),"")</f>
        <v/>
      </c>
      <c r="AV1306" s="465"/>
      <c r="AW1306" s="468"/>
    </row>
    <row r="1307" spans="1:49" ht="14.45" customHeight="1" x14ac:dyDescent="0.25">
      <c r="A1307" s="297" t="str">
        <f t="shared" si="20"/>
        <v/>
      </c>
      <c r="B1307" s="460"/>
      <c r="C1307" s="465"/>
      <c r="D1307" s="465"/>
      <c r="E1307" s="465"/>
      <c r="F1307" s="465"/>
      <c r="G1307" s="465"/>
      <c r="H1307" s="292"/>
      <c r="I1307" s="292"/>
      <c r="J1307" s="292"/>
      <c r="K1307" s="292"/>
      <c r="L1307" s="292"/>
      <c r="M1307" s="292"/>
      <c r="N1307" s="292"/>
      <c r="O1307" s="292"/>
      <c r="P1307" s="294"/>
      <c r="Q1307" s="294"/>
      <c r="R1307" s="294"/>
      <c r="S1307" s="294"/>
      <c r="T1307" s="294"/>
      <c r="U1307" s="294"/>
      <c r="V1307" s="431"/>
      <c r="W1307" s="331"/>
      <c r="X1307" s="331"/>
      <c r="Y1307" s="294">
        <f>IF(NFI_Expiration=1,IF($A1307&lt;VLOOKUP(H$5,NFI,5,0),1,0)*Table_NFI[[#This Row],[Hygiene Kit]],Table_NFI[Hygiene Kit])</f>
        <v>0</v>
      </c>
      <c r="Z1307" s="294">
        <f>IF(NFI_Expiration=1,IF($A1307&lt;VLOOKUP(I$5,NFI,5,0),1,0)*Table_NFI[[#This Row],[NFI Core Kit]],Table_NFI[NFI Core Kit])</f>
        <v>0</v>
      </c>
      <c r="AA1307" s="294">
        <f>IF(NFI_Expiration=1,IF($A1307&lt;VLOOKUP(J$5,NFI,5,0),1,0)*Table_NFI[[#This Row],[Sanitary Kit]],Table_NFI[Sanitary Kit])</f>
        <v>0</v>
      </c>
      <c r="AB1307" s="294">
        <f>IF(NFI_Expiration=1,IF($A1307&lt;VLOOKUP(K$5,NFI,5,0),1,0)*Table_NFI[[#This Row],[Mosquito net]],Table_NFI[Mosquito net])</f>
        <v>0</v>
      </c>
      <c r="AC1307" s="294">
        <f>IF(NFI_Expiration=1,IF($A1307&lt;VLOOKUP(L$5,NFI,5,0),1,0)*Table_NFI[[#This Row],[Tarpaulin]],Table_NFI[[#This Row],[Tarpaulin]])</f>
        <v>0</v>
      </c>
      <c r="AD1307" s="294">
        <f>IF(NFI_Expiration=1,IF($A1307&lt;VLOOKUP(M$5,NFI,5,0),1,0)*Table_NFI[[#This Row],[Blanket]],Table_NFI[[#This Row],[Blanket]])</f>
        <v>0</v>
      </c>
      <c r="AE1307" s="294">
        <f>IF(NFI_Expiration=1,IF($A1307&lt;VLOOKUP(N$5,NFI,5,0),1,0)*Table_NFI[[#This Row],[Kitchen Set]],Table_NFI[Kitchen Set])</f>
        <v>0</v>
      </c>
      <c r="AF1307" s="294">
        <f>IF(NFI_Expiration=1,IF($A1307&lt;VLOOKUP(O$5,NFI,5,0),1,0)*Table_NFI[[#This Row],[Clothes Kit]],Table_NFI[Clothes Kit])</f>
        <v>0</v>
      </c>
      <c r="AG1307" s="294">
        <f>IF(NFI_Expiration=1,IF($A1307&lt;VLOOKUP(P$5,NFI,5,0),1,0)*Table_NFI[[#This Row],[Plastic Bucket]],Table_NFI[Plastic Bucket])</f>
        <v>0</v>
      </c>
      <c r="AH1307" s="294">
        <f>IF(NFI_Expiration=1,IF($A1307&lt;VLOOKUP(Q$5,NFI,5,0),1,0)*Table_NFI[[#This Row],[Plastic Mat]],Table_NFI[Plastic Mat])*IF(Table_NFI[[#This Row],[Distribution Date]]&gt;"2014-04-01",1,2.5)</f>
        <v>0</v>
      </c>
      <c r="AI1307" s="294">
        <f>IF(NFI_Expiration=1,IF($A1307&lt;VLOOKUP(R$5,NFI,5,0),1,0)*Table_NFI[[#This Row],[Winter Clothes Adult]],Table_NFI[Winter Clothes Adult])</f>
        <v>0</v>
      </c>
      <c r="AJ1307" s="294">
        <f>IF(NFI_Expiration=1,IF($A1307&lt;VLOOKUP(S$5,NFI,5,0),1,0)*Table_NFI[[#This Row],[Winter Clothes Children]],Table_NFI[Winter Clothes Children])</f>
        <v>0</v>
      </c>
      <c r="AK1307" s="294">
        <f>IF(NFI_Expiration=1,IF($A1307&lt;VLOOKUP(T$5,NFI,5,0),1,0)*Table_NFI[[#This Row],[Winter Items Other]],Table_NFI[Winter Items Other])</f>
        <v>0</v>
      </c>
      <c r="AL1307" s="294">
        <f>IF(NFI_Expiration=1,IF($A1307&lt;VLOOKUP(M$5,NFI,5,0),1,0)*Table_NFI[[#This Row],[Winter Blanket]],Table_NFI[[#This Row],[Winter Blanket]])</f>
        <v>0</v>
      </c>
      <c r="AM1307" s="294">
        <f>IF(Table_NFI[[#This Row],[Winter Clothes Adult]]+Table_NFI[[#This Row],[Winter Clothes Children]]+Table_NFI[[#This Row],[Winter Items Other]]+Table_NFI[[#This Row],[Winter Blanket]]&gt;0,1,0)</f>
        <v>0</v>
      </c>
      <c r="AN1307" s="331">
        <f>IF(NFI_Expiration=1,IF($A1307&lt;VLOOKUP(V$5,NFI,5,0),1,0)*Table_NFI[[#This Row],[Jerry Can]],Table_NFI[Jerry Can])</f>
        <v>0</v>
      </c>
      <c r="AO1307" s="331">
        <f>IF(NFI_Expiration=1,IF($A1307&lt;VLOOKUP(V$5,NFI,5,0),1,0)*Table_NFI[[#This Row],[Shelter Tool kit]],Table_NFI[Shelter Tool kit])</f>
        <v>0</v>
      </c>
      <c r="AP1307" s="331">
        <f>IF(NFI_Expiration=1,IF($A1307&lt;VLOOKUP(V$5,NFI,5,0),1,0)*Table_NFI[[#This Row],[Tent]],Table_NFI[Tent])</f>
        <v>0</v>
      </c>
      <c r="AQ1307" s="467" t="str">
        <f>IFERROR(VLOOKUP(Table_NFI[[#This Row],[Camp Name]],CL,2,0),"")</f>
        <v/>
      </c>
      <c r="AR1307" s="835" t="str">
        <f ca="1">IF(Table_NFI[[#This Row],[Pcode]]="","",IF(OFFSET(CampList[Opening Date],MATCH(Table_NFI[[#This Row],[Pcode]],CampList[CP_Pcode],0)-1,0,1,1)&gt;=NFI_Monitor_Date,1,0))</f>
        <v/>
      </c>
      <c r="AS1307" s="467" t="str">
        <f>IFERROR(VLOOKUP(Table_NFI[[#This Row],[Camp Name]],CL,3,0),"")</f>
        <v/>
      </c>
      <c r="AT1307" s="294" t="str">
        <f ca="1">IF(Table_NFI[[#This Row],[Pcode]]="","",OFFSET(CampList[Priority],MATCH(Table_NFI[[#This Row],[Pcode]],CampList[CP_Pcode],0)-1,0,1,1))</f>
        <v/>
      </c>
      <c r="AU1307" s="293" t="str">
        <f>IFERROR(Table_NFI[[#This Row],[Kitchen Set]]/VLOOKUP(Table_NFI[[#This Row],[Camp Name]],CL,4,0),"")</f>
        <v/>
      </c>
      <c r="AV1307" s="465"/>
      <c r="AW1307" s="468"/>
    </row>
    <row r="1308" spans="1:49" ht="14.45" customHeight="1" x14ac:dyDescent="0.25">
      <c r="A1308" s="297" t="str">
        <f t="shared" si="20"/>
        <v/>
      </c>
      <c r="B1308" s="460"/>
      <c r="C1308" s="465"/>
      <c r="D1308" s="465"/>
      <c r="E1308" s="465"/>
      <c r="F1308" s="465"/>
      <c r="G1308" s="465"/>
      <c r="H1308" s="292"/>
      <c r="I1308" s="292"/>
      <c r="J1308" s="292"/>
      <c r="K1308" s="292"/>
      <c r="L1308" s="292"/>
      <c r="M1308" s="292"/>
      <c r="N1308" s="292"/>
      <c r="O1308" s="292"/>
      <c r="P1308" s="294"/>
      <c r="Q1308" s="294"/>
      <c r="R1308" s="294"/>
      <c r="S1308" s="294"/>
      <c r="T1308" s="294"/>
      <c r="U1308" s="294"/>
      <c r="V1308" s="431"/>
      <c r="W1308" s="331"/>
      <c r="X1308" s="331"/>
      <c r="Y1308" s="294">
        <f>IF(NFI_Expiration=1,IF($A1308&lt;VLOOKUP(H$5,NFI,5,0),1,0)*Table_NFI[[#This Row],[Hygiene Kit]],Table_NFI[Hygiene Kit])</f>
        <v>0</v>
      </c>
      <c r="Z1308" s="294">
        <f>IF(NFI_Expiration=1,IF($A1308&lt;VLOOKUP(I$5,NFI,5,0),1,0)*Table_NFI[[#This Row],[NFI Core Kit]],Table_NFI[NFI Core Kit])</f>
        <v>0</v>
      </c>
      <c r="AA1308" s="294">
        <f>IF(NFI_Expiration=1,IF($A1308&lt;VLOOKUP(J$5,NFI,5,0),1,0)*Table_NFI[[#This Row],[Sanitary Kit]],Table_NFI[Sanitary Kit])</f>
        <v>0</v>
      </c>
      <c r="AB1308" s="294">
        <f>IF(NFI_Expiration=1,IF($A1308&lt;VLOOKUP(K$5,NFI,5,0),1,0)*Table_NFI[[#This Row],[Mosquito net]],Table_NFI[Mosquito net])</f>
        <v>0</v>
      </c>
      <c r="AC1308" s="294">
        <f>IF(NFI_Expiration=1,IF($A1308&lt;VLOOKUP(L$5,NFI,5,0),1,0)*Table_NFI[[#This Row],[Tarpaulin]],Table_NFI[[#This Row],[Tarpaulin]])</f>
        <v>0</v>
      </c>
      <c r="AD1308" s="294">
        <f>IF(NFI_Expiration=1,IF($A1308&lt;VLOOKUP(M$5,NFI,5,0),1,0)*Table_NFI[[#This Row],[Blanket]],Table_NFI[[#This Row],[Blanket]])</f>
        <v>0</v>
      </c>
      <c r="AE1308" s="294">
        <f>IF(NFI_Expiration=1,IF($A1308&lt;VLOOKUP(N$5,NFI,5,0),1,0)*Table_NFI[[#This Row],[Kitchen Set]],Table_NFI[Kitchen Set])</f>
        <v>0</v>
      </c>
      <c r="AF1308" s="294">
        <f>IF(NFI_Expiration=1,IF($A1308&lt;VLOOKUP(O$5,NFI,5,0),1,0)*Table_NFI[[#This Row],[Clothes Kit]],Table_NFI[Clothes Kit])</f>
        <v>0</v>
      </c>
      <c r="AG1308" s="294">
        <f>IF(NFI_Expiration=1,IF($A1308&lt;VLOOKUP(P$5,NFI,5,0),1,0)*Table_NFI[[#This Row],[Plastic Bucket]],Table_NFI[Plastic Bucket])</f>
        <v>0</v>
      </c>
      <c r="AH1308" s="294">
        <f>IF(NFI_Expiration=1,IF($A1308&lt;VLOOKUP(Q$5,NFI,5,0),1,0)*Table_NFI[[#This Row],[Plastic Mat]],Table_NFI[Plastic Mat])*IF(Table_NFI[[#This Row],[Distribution Date]]&gt;"2014-04-01",1,2.5)</f>
        <v>0</v>
      </c>
      <c r="AI1308" s="294">
        <f>IF(NFI_Expiration=1,IF($A1308&lt;VLOOKUP(R$5,NFI,5,0),1,0)*Table_NFI[[#This Row],[Winter Clothes Adult]],Table_NFI[Winter Clothes Adult])</f>
        <v>0</v>
      </c>
      <c r="AJ1308" s="294">
        <f>IF(NFI_Expiration=1,IF($A1308&lt;VLOOKUP(S$5,NFI,5,0),1,0)*Table_NFI[[#This Row],[Winter Clothes Children]],Table_NFI[Winter Clothes Children])</f>
        <v>0</v>
      </c>
      <c r="AK1308" s="294">
        <f>IF(NFI_Expiration=1,IF($A1308&lt;VLOOKUP(T$5,NFI,5,0),1,0)*Table_NFI[[#This Row],[Winter Items Other]],Table_NFI[Winter Items Other])</f>
        <v>0</v>
      </c>
      <c r="AL1308" s="294">
        <f>IF(NFI_Expiration=1,IF($A1308&lt;VLOOKUP(M$5,NFI,5,0),1,0)*Table_NFI[[#This Row],[Winter Blanket]],Table_NFI[[#This Row],[Winter Blanket]])</f>
        <v>0</v>
      </c>
      <c r="AM1308" s="294">
        <f>IF(Table_NFI[[#This Row],[Winter Clothes Adult]]+Table_NFI[[#This Row],[Winter Clothes Children]]+Table_NFI[[#This Row],[Winter Items Other]]+Table_NFI[[#This Row],[Winter Blanket]]&gt;0,1,0)</f>
        <v>0</v>
      </c>
      <c r="AN1308" s="331">
        <f>IF(NFI_Expiration=1,IF($A1308&lt;VLOOKUP(V$5,NFI,5,0),1,0)*Table_NFI[[#This Row],[Jerry Can]],Table_NFI[Jerry Can])</f>
        <v>0</v>
      </c>
      <c r="AO1308" s="331">
        <f>IF(NFI_Expiration=1,IF($A1308&lt;VLOOKUP(V$5,NFI,5,0),1,0)*Table_NFI[[#This Row],[Shelter Tool kit]],Table_NFI[Shelter Tool kit])</f>
        <v>0</v>
      </c>
      <c r="AP1308" s="331">
        <f>IF(NFI_Expiration=1,IF($A1308&lt;VLOOKUP(V$5,NFI,5,0),1,0)*Table_NFI[[#This Row],[Tent]],Table_NFI[Tent])</f>
        <v>0</v>
      </c>
      <c r="AQ1308" s="467" t="str">
        <f>IFERROR(VLOOKUP(Table_NFI[[#This Row],[Camp Name]],CL,2,0),"")</f>
        <v/>
      </c>
      <c r="AR1308" s="835" t="str">
        <f ca="1">IF(Table_NFI[[#This Row],[Pcode]]="","",IF(OFFSET(CampList[Opening Date],MATCH(Table_NFI[[#This Row],[Pcode]],CampList[CP_Pcode],0)-1,0,1,1)&gt;=NFI_Monitor_Date,1,0))</f>
        <v/>
      </c>
      <c r="AS1308" s="467" t="str">
        <f>IFERROR(VLOOKUP(Table_NFI[[#This Row],[Camp Name]],CL,3,0),"")</f>
        <v/>
      </c>
      <c r="AT1308" s="294" t="str">
        <f ca="1">IF(Table_NFI[[#This Row],[Pcode]]="","",OFFSET(CampList[Priority],MATCH(Table_NFI[[#This Row],[Pcode]],CampList[CP_Pcode],0)-1,0,1,1))</f>
        <v/>
      </c>
      <c r="AU1308" s="293" t="str">
        <f>IFERROR(Table_NFI[[#This Row],[Kitchen Set]]/VLOOKUP(Table_NFI[[#This Row],[Camp Name]],CL,4,0),"")</f>
        <v/>
      </c>
      <c r="AV1308" s="465"/>
      <c r="AW1308" s="468"/>
    </row>
    <row r="1309" spans="1:49" ht="14.45" customHeight="1" x14ac:dyDescent="0.25">
      <c r="A1309" s="297" t="str">
        <f t="shared" si="20"/>
        <v/>
      </c>
      <c r="B1309" s="460"/>
      <c r="C1309" s="465"/>
      <c r="D1309" s="465"/>
      <c r="E1309" s="465"/>
      <c r="F1309" s="465"/>
      <c r="G1309" s="465"/>
      <c r="H1309" s="292"/>
      <c r="I1309" s="292"/>
      <c r="J1309" s="292"/>
      <c r="K1309" s="292"/>
      <c r="L1309" s="292"/>
      <c r="M1309" s="292"/>
      <c r="N1309" s="292"/>
      <c r="O1309" s="292"/>
      <c r="P1309" s="294"/>
      <c r="Q1309" s="294"/>
      <c r="R1309" s="294"/>
      <c r="S1309" s="294"/>
      <c r="T1309" s="294"/>
      <c r="U1309" s="294"/>
      <c r="V1309" s="431"/>
      <c r="W1309" s="331"/>
      <c r="X1309" s="331"/>
      <c r="Y1309" s="294">
        <f>IF(NFI_Expiration=1,IF($A1309&lt;VLOOKUP(H$5,NFI,5,0),1,0)*Table_NFI[[#This Row],[Hygiene Kit]],Table_NFI[Hygiene Kit])</f>
        <v>0</v>
      </c>
      <c r="Z1309" s="294">
        <f>IF(NFI_Expiration=1,IF($A1309&lt;VLOOKUP(I$5,NFI,5,0),1,0)*Table_NFI[[#This Row],[NFI Core Kit]],Table_NFI[NFI Core Kit])</f>
        <v>0</v>
      </c>
      <c r="AA1309" s="294">
        <f>IF(NFI_Expiration=1,IF($A1309&lt;VLOOKUP(J$5,NFI,5,0),1,0)*Table_NFI[[#This Row],[Sanitary Kit]],Table_NFI[Sanitary Kit])</f>
        <v>0</v>
      </c>
      <c r="AB1309" s="294">
        <f>IF(NFI_Expiration=1,IF($A1309&lt;VLOOKUP(K$5,NFI,5,0),1,0)*Table_NFI[[#This Row],[Mosquito net]],Table_NFI[Mosquito net])</f>
        <v>0</v>
      </c>
      <c r="AC1309" s="294">
        <f>IF(NFI_Expiration=1,IF($A1309&lt;VLOOKUP(L$5,NFI,5,0),1,0)*Table_NFI[[#This Row],[Tarpaulin]],Table_NFI[[#This Row],[Tarpaulin]])</f>
        <v>0</v>
      </c>
      <c r="AD1309" s="294">
        <f>IF(NFI_Expiration=1,IF($A1309&lt;VLOOKUP(M$5,NFI,5,0),1,0)*Table_NFI[[#This Row],[Blanket]],Table_NFI[[#This Row],[Blanket]])</f>
        <v>0</v>
      </c>
      <c r="AE1309" s="294">
        <f>IF(NFI_Expiration=1,IF($A1309&lt;VLOOKUP(N$5,NFI,5,0),1,0)*Table_NFI[[#This Row],[Kitchen Set]],Table_NFI[Kitchen Set])</f>
        <v>0</v>
      </c>
      <c r="AF1309" s="294">
        <f>IF(NFI_Expiration=1,IF($A1309&lt;VLOOKUP(O$5,NFI,5,0),1,0)*Table_NFI[[#This Row],[Clothes Kit]],Table_NFI[Clothes Kit])</f>
        <v>0</v>
      </c>
      <c r="AG1309" s="294">
        <f>IF(NFI_Expiration=1,IF($A1309&lt;VLOOKUP(P$5,NFI,5,0),1,0)*Table_NFI[[#This Row],[Plastic Bucket]],Table_NFI[Plastic Bucket])</f>
        <v>0</v>
      </c>
      <c r="AH1309" s="294">
        <f>IF(NFI_Expiration=1,IF($A1309&lt;VLOOKUP(Q$5,NFI,5,0),1,0)*Table_NFI[[#This Row],[Plastic Mat]],Table_NFI[Plastic Mat])*IF(Table_NFI[[#This Row],[Distribution Date]]&gt;"2014-04-01",1,2.5)</f>
        <v>0</v>
      </c>
      <c r="AI1309" s="294">
        <f>IF(NFI_Expiration=1,IF($A1309&lt;VLOOKUP(R$5,NFI,5,0),1,0)*Table_NFI[[#This Row],[Winter Clothes Adult]],Table_NFI[Winter Clothes Adult])</f>
        <v>0</v>
      </c>
      <c r="AJ1309" s="294">
        <f>IF(NFI_Expiration=1,IF($A1309&lt;VLOOKUP(S$5,NFI,5,0),1,0)*Table_NFI[[#This Row],[Winter Clothes Children]],Table_NFI[Winter Clothes Children])</f>
        <v>0</v>
      </c>
      <c r="AK1309" s="294">
        <f>IF(NFI_Expiration=1,IF($A1309&lt;VLOOKUP(T$5,NFI,5,0),1,0)*Table_NFI[[#This Row],[Winter Items Other]],Table_NFI[Winter Items Other])</f>
        <v>0</v>
      </c>
      <c r="AL1309" s="294">
        <f>IF(NFI_Expiration=1,IF($A1309&lt;VLOOKUP(M$5,NFI,5,0),1,0)*Table_NFI[[#This Row],[Winter Blanket]],Table_NFI[[#This Row],[Winter Blanket]])</f>
        <v>0</v>
      </c>
      <c r="AM1309" s="294">
        <f>IF(Table_NFI[[#This Row],[Winter Clothes Adult]]+Table_NFI[[#This Row],[Winter Clothes Children]]+Table_NFI[[#This Row],[Winter Items Other]]+Table_NFI[[#This Row],[Winter Blanket]]&gt;0,1,0)</f>
        <v>0</v>
      </c>
      <c r="AN1309" s="331">
        <f>IF(NFI_Expiration=1,IF($A1309&lt;VLOOKUP(V$5,NFI,5,0),1,0)*Table_NFI[[#This Row],[Jerry Can]],Table_NFI[Jerry Can])</f>
        <v>0</v>
      </c>
      <c r="AO1309" s="331">
        <f>IF(NFI_Expiration=1,IF($A1309&lt;VLOOKUP(V$5,NFI,5,0),1,0)*Table_NFI[[#This Row],[Shelter Tool kit]],Table_NFI[Shelter Tool kit])</f>
        <v>0</v>
      </c>
      <c r="AP1309" s="331">
        <f>IF(NFI_Expiration=1,IF($A1309&lt;VLOOKUP(V$5,NFI,5,0),1,0)*Table_NFI[[#This Row],[Tent]],Table_NFI[Tent])</f>
        <v>0</v>
      </c>
      <c r="AQ1309" s="467" t="str">
        <f>IFERROR(VLOOKUP(Table_NFI[[#This Row],[Camp Name]],CL,2,0),"")</f>
        <v/>
      </c>
      <c r="AR1309" s="835" t="str">
        <f ca="1">IF(Table_NFI[[#This Row],[Pcode]]="","",IF(OFFSET(CampList[Opening Date],MATCH(Table_NFI[[#This Row],[Pcode]],CampList[CP_Pcode],0)-1,0,1,1)&gt;=NFI_Monitor_Date,1,0))</f>
        <v/>
      </c>
      <c r="AS1309" s="467" t="str">
        <f>IFERROR(VLOOKUP(Table_NFI[[#This Row],[Camp Name]],CL,3,0),"")</f>
        <v/>
      </c>
      <c r="AT1309" s="294" t="str">
        <f ca="1">IF(Table_NFI[[#This Row],[Pcode]]="","",OFFSET(CampList[Priority],MATCH(Table_NFI[[#This Row],[Pcode]],CampList[CP_Pcode],0)-1,0,1,1))</f>
        <v/>
      </c>
      <c r="AU1309" s="293" t="str">
        <f>IFERROR(Table_NFI[[#This Row],[Kitchen Set]]/VLOOKUP(Table_NFI[[#This Row],[Camp Name]],CL,4,0),"")</f>
        <v/>
      </c>
      <c r="AV1309" s="465"/>
      <c r="AW1309" s="468"/>
    </row>
    <row r="1310" spans="1:49" ht="14.45" customHeight="1" x14ac:dyDescent="0.25">
      <c r="A1310" s="297" t="str">
        <f t="shared" si="20"/>
        <v/>
      </c>
      <c r="B1310" s="460"/>
      <c r="C1310" s="465"/>
      <c r="D1310" s="465"/>
      <c r="E1310" s="465"/>
      <c r="F1310" s="465"/>
      <c r="G1310" s="465"/>
      <c r="H1310" s="292"/>
      <c r="I1310" s="292"/>
      <c r="J1310" s="292"/>
      <c r="K1310" s="292"/>
      <c r="L1310" s="292"/>
      <c r="M1310" s="292"/>
      <c r="N1310" s="292"/>
      <c r="O1310" s="292"/>
      <c r="P1310" s="294"/>
      <c r="Q1310" s="294"/>
      <c r="R1310" s="294"/>
      <c r="S1310" s="294"/>
      <c r="T1310" s="294"/>
      <c r="U1310" s="294"/>
      <c r="V1310" s="431"/>
      <c r="W1310" s="331"/>
      <c r="X1310" s="331"/>
      <c r="Y1310" s="294">
        <f>IF(NFI_Expiration=1,IF($A1310&lt;VLOOKUP(H$5,NFI,5,0),1,0)*Table_NFI[[#This Row],[Hygiene Kit]],Table_NFI[Hygiene Kit])</f>
        <v>0</v>
      </c>
      <c r="Z1310" s="294">
        <f>IF(NFI_Expiration=1,IF($A1310&lt;VLOOKUP(I$5,NFI,5,0),1,0)*Table_NFI[[#This Row],[NFI Core Kit]],Table_NFI[NFI Core Kit])</f>
        <v>0</v>
      </c>
      <c r="AA1310" s="294">
        <f>IF(NFI_Expiration=1,IF($A1310&lt;VLOOKUP(J$5,NFI,5,0),1,0)*Table_NFI[[#This Row],[Sanitary Kit]],Table_NFI[Sanitary Kit])</f>
        <v>0</v>
      </c>
      <c r="AB1310" s="294">
        <f>IF(NFI_Expiration=1,IF($A1310&lt;VLOOKUP(K$5,NFI,5,0),1,0)*Table_NFI[[#This Row],[Mosquito net]],Table_NFI[Mosquito net])</f>
        <v>0</v>
      </c>
      <c r="AC1310" s="294">
        <f>IF(NFI_Expiration=1,IF($A1310&lt;VLOOKUP(L$5,NFI,5,0),1,0)*Table_NFI[[#This Row],[Tarpaulin]],Table_NFI[[#This Row],[Tarpaulin]])</f>
        <v>0</v>
      </c>
      <c r="AD1310" s="294">
        <f>IF(NFI_Expiration=1,IF($A1310&lt;VLOOKUP(M$5,NFI,5,0),1,0)*Table_NFI[[#This Row],[Blanket]],Table_NFI[[#This Row],[Blanket]])</f>
        <v>0</v>
      </c>
      <c r="AE1310" s="294">
        <f>IF(NFI_Expiration=1,IF($A1310&lt;VLOOKUP(N$5,NFI,5,0),1,0)*Table_NFI[[#This Row],[Kitchen Set]],Table_NFI[Kitchen Set])</f>
        <v>0</v>
      </c>
      <c r="AF1310" s="294">
        <f>IF(NFI_Expiration=1,IF($A1310&lt;VLOOKUP(O$5,NFI,5,0),1,0)*Table_NFI[[#This Row],[Clothes Kit]],Table_NFI[Clothes Kit])</f>
        <v>0</v>
      </c>
      <c r="AG1310" s="294">
        <f>IF(NFI_Expiration=1,IF($A1310&lt;VLOOKUP(P$5,NFI,5,0),1,0)*Table_NFI[[#This Row],[Plastic Bucket]],Table_NFI[Plastic Bucket])</f>
        <v>0</v>
      </c>
      <c r="AH1310" s="294">
        <f>IF(NFI_Expiration=1,IF($A1310&lt;VLOOKUP(Q$5,NFI,5,0),1,0)*Table_NFI[[#This Row],[Plastic Mat]],Table_NFI[Plastic Mat])*IF(Table_NFI[[#This Row],[Distribution Date]]&gt;"2014-04-01",1,2.5)</f>
        <v>0</v>
      </c>
      <c r="AI1310" s="294">
        <f>IF(NFI_Expiration=1,IF($A1310&lt;VLOOKUP(R$5,NFI,5,0),1,0)*Table_NFI[[#This Row],[Winter Clothes Adult]],Table_NFI[Winter Clothes Adult])</f>
        <v>0</v>
      </c>
      <c r="AJ1310" s="294">
        <f>IF(NFI_Expiration=1,IF($A1310&lt;VLOOKUP(S$5,NFI,5,0),1,0)*Table_NFI[[#This Row],[Winter Clothes Children]],Table_NFI[Winter Clothes Children])</f>
        <v>0</v>
      </c>
      <c r="AK1310" s="294">
        <f>IF(NFI_Expiration=1,IF($A1310&lt;VLOOKUP(T$5,NFI,5,0),1,0)*Table_NFI[[#This Row],[Winter Items Other]],Table_NFI[Winter Items Other])</f>
        <v>0</v>
      </c>
      <c r="AL1310" s="294">
        <f>IF(NFI_Expiration=1,IF($A1310&lt;VLOOKUP(M$5,NFI,5,0),1,0)*Table_NFI[[#This Row],[Winter Blanket]],Table_NFI[[#This Row],[Winter Blanket]])</f>
        <v>0</v>
      </c>
      <c r="AM1310" s="294">
        <f>IF(Table_NFI[[#This Row],[Winter Clothes Adult]]+Table_NFI[[#This Row],[Winter Clothes Children]]+Table_NFI[[#This Row],[Winter Items Other]]+Table_NFI[[#This Row],[Winter Blanket]]&gt;0,1,0)</f>
        <v>0</v>
      </c>
      <c r="AN1310" s="331">
        <f>IF(NFI_Expiration=1,IF($A1310&lt;VLOOKUP(V$5,NFI,5,0),1,0)*Table_NFI[[#This Row],[Jerry Can]],Table_NFI[Jerry Can])</f>
        <v>0</v>
      </c>
      <c r="AO1310" s="331">
        <f>IF(NFI_Expiration=1,IF($A1310&lt;VLOOKUP(V$5,NFI,5,0),1,0)*Table_NFI[[#This Row],[Shelter Tool kit]],Table_NFI[Shelter Tool kit])</f>
        <v>0</v>
      </c>
      <c r="AP1310" s="331">
        <f>IF(NFI_Expiration=1,IF($A1310&lt;VLOOKUP(V$5,NFI,5,0),1,0)*Table_NFI[[#This Row],[Tent]],Table_NFI[Tent])</f>
        <v>0</v>
      </c>
      <c r="AQ1310" s="467" t="str">
        <f>IFERROR(VLOOKUP(Table_NFI[[#This Row],[Camp Name]],CL,2,0),"")</f>
        <v/>
      </c>
      <c r="AR1310" s="835" t="str">
        <f ca="1">IF(Table_NFI[[#This Row],[Pcode]]="","",IF(OFFSET(CampList[Opening Date],MATCH(Table_NFI[[#This Row],[Pcode]],CampList[CP_Pcode],0)-1,0,1,1)&gt;=NFI_Monitor_Date,1,0))</f>
        <v/>
      </c>
      <c r="AS1310" s="467" t="str">
        <f>IFERROR(VLOOKUP(Table_NFI[[#This Row],[Camp Name]],CL,3,0),"")</f>
        <v/>
      </c>
      <c r="AT1310" s="294" t="str">
        <f ca="1">IF(Table_NFI[[#This Row],[Pcode]]="","",OFFSET(CampList[Priority],MATCH(Table_NFI[[#This Row],[Pcode]],CampList[CP_Pcode],0)-1,0,1,1))</f>
        <v/>
      </c>
      <c r="AU1310" s="293" t="str">
        <f>IFERROR(Table_NFI[[#This Row],[Kitchen Set]]/VLOOKUP(Table_NFI[[#This Row],[Camp Name]],CL,4,0),"")</f>
        <v/>
      </c>
      <c r="AV1310" s="465"/>
      <c r="AW1310" s="468"/>
    </row>
    <row r="1311" spans="1:49" ht="14.45" customHeight="1" x14ac:dyDescent="0.25">
      <c r="A1311" s="297" t="str">
        <f t="shared" si="20"/>
        <v/>
      </c>
      <c r="B1311" s="460"/>
      <c r="C1311" s="465"/>
      <c r="D1311" s="465"/>
      <c r="E1311" s="465"/>
      <c r="F1311" s="465"/>
      <c r="G1311" s="465"/>
      <c r="H1311" s="292"/>
      <c r="I1311" s="292"/>
      <c r="J1311" s="292"/>
      <c r="K1311" s="292"/>
      <c r="L1311" s="292"/>
      <c r="M1311" s="292"/>
      <c r="N1311" s="292"/>
      <c r="O1311" s="292"/>
      <c r="P1311" s="294"/>
      <c r="Q1311" s="294"/>
      <c r="R1311" s="294"/>
      <c r="S1311" s="294"/>
      <c r="T1311" s="294"/>
      <c r="U1311" s="294"/>
      <c r="V1311" s="431"/>
      <c r="W1311" s="331"/>
      <c r="X1311" s="331"/>
      <c r="Y1311" s="294">
        <f>IF(NFI_Expiration=1,IF($A1311&lt;VLOOKUP(H$5,NFI,5,0),1,0)*Table_NFI[[#This Row],[Hygiene Kit]],Table_NFI[Hygiene Kit])</f>
        <v>0</v>
      </c>
      <c r="Z1311" s="294">
        <f>IF(NFI_Expiration=1,IF($A1311&lt;VLOOKUP(I$5,NFI,5,0),1,0)*Table_NFI[[#This Row],[NFI Core Kit]],Table_NFI[NFI Core Kit])</f>
        <v>0</v>
      </c>
      <c r="AA1311" s="294">
        <f>IF(NFI_Expiration=1,IF($A1311&lt;VLOOKUP(J$5,NFI,5,0),1,0)*Table_NFI[[#This Row],[Sanitary Kit]],Table_NFI[Sanitary Kit])</f>
        <v>0</v>
      </c>
      <c r="AB1311" s="294">
        <f>IF(NFI_Expiration=1,IF($A1311&lt;VLOOKUP(K$5,NFI,5,0),1,0)*Table_NFI[[#This Row],[Mosquito net]],Table_NFI[Mosquito net])</f>
        <v>0</v>
      </c>
      <c r="AC1311" s="294">
        <f>IF(NFI_Expiration=1,IF($A1311&lt;VLOOKUP(L$5,NFI,5,0),1,0)*Table_NFI[[#This Row],[Tarpaulin]],Table_NFI[[#This Row],[Tarpaulin]])</f>
        <v>0</v>
      </c>
      <c r="AD1311" s="294">
        <f>IF(NFI_Expiration=1,IF($A1311&lt;VLOOKUP(M$5,NFI,5,0),1,0)*Table_NFI[[#This Row],[Blanket]],Table_NFI[[#This Row],[Blanket]])</f>
        <v>0</v>
      </c>
      <c r="AE1311" s="294">
        <f>IF(NFI_Expiration=1,IF($A1311&lt;VLOOKUP(N$5,NFI,5,0),1,0)*Table_NFI[[#This Row],[Kitchen Set]],Table_NFI[Kitchen Set])</f>
        <v>0</v>
      </c>
      <c r="AF1311" s="294">
        <f>IF(NFI_Expiration=1,IF($A1311&lt;VLOOKUP(O$5,NFI,5,0),1,0)*Table_NFI[[#This Row],[Clothes Kit]],Table_NFI[Clothes Kit])</f>
        <v>0</v>
      </c>
      <c r="AG1311" s="294">
        <f>IF(NFI_Expiration=1,IF($A1311&lt;VLOOKUP(P$5,NFI,5,0),1,0)*Table_NFI[[#This Row],[Plastic Bucket]],Table_NFI[Plastic Bucket])</f>
        <v>0</v>
      </c>
      <c r="AH1311" s="294">
        <f>IF(NFI_Expiration=1,IF($A1311&lt;VLOOKUP(Q$5,NFI,5,0),1,0)*Table_NFI[[#This Row],[Plastic Mat]],Table_NFI[Plastic Mat])*IF(Table_NFI[[#This Row],[Distribution Date]]&gt;"2014-04-01",1,2.5)</f>
        <v>0</v>
      </c>
      <c r="AI1311" s="294">
        <f>IF(NFI_Expiration=1,IF($A1311&lt;VLOOKUP(R$5,NFI,5,0),1,0)*Table_NFI[[#This Row],[Winter Clothes Adult]],Table_NFI[Winter Clothes Adult])</f>
        <v>0</v>
      </c>
      <c r="AJ1311" s="294">
        <f>IF(NFI_Expiration=1,IF($A1311&lt;VLOOKUP(S$5,NFI,5,0),1,0)*Table_NFI[[#This Row],[Winter Clothes Children]],Table_NFI[Winter Clothes Children])</f>
        <v>0</v>
      </c>
      <c r="AK1311" s="294">
        <f>IF(NFI_Expiration=1,IF($A1311&lt;VLOOKUP(T$5,NFI,5,0),1,0)*Table_NFI[[#This Row],[Winter Items Other]],Table_NFI[Winter Items Other])</f>
        <v>0</v>
      </c>
      <c r="AL1311" s="294">
        <f>IF(NFI_Expiration=1,IF($A1311&lt;VLOOKUP(M$5,NFI,5,0),1,0)*Table_NFI[[#This Row],[Winter Blanket]],Table_NFI[[#This Row],[Winter Blanket]])</f>
        <v>0</v>
      </c>
      <c r="AM1311" s="294">
        <f>IF(Table_NFI[[#This Row],[Winter Clothes Adult]]+Table_NFI[[#This Row],[Winter Clothes Children]]+Table_NFI[[#This Row],[Winter Items Other]]+Table_NFI[[#This Row],[Winter Blanket]]&gt;0,1,0)</f>
        <v>0</v>
      </c>
      <c r="AN1311" s="331">
        <f>IF(NFI_Expiration=1,IF($A1311&lt;VLOOKUP(V$5,NFI,5,0),1,0)*Table_NFI[[#This Row],[Jerry Can]],Table_NFI[Jerry Can])</f>
        <v>0</v>
      </c>
      <c r="AO1311" s="331">
        <f>IF(NFI_Expiration=1,IF($A1311&lt;VLOOKUP(V$5,NFI,5,0),1,0)*Table_NFI[[#This Row],[Shelter Tool kit]],Table_NFI[Shelter Tool kit])</f>
        <v>0</v>
      </c>
      <c r="AP1311" s="331">
        <f>IF(NFI_Expiration=1,IF($A1311&lt;VLOOKUP(V$5,NFI,5,0),1,0)*Table_NFI[[#This Row],[Tent]],Table_NFI[Tent])</f>
        <v>0</v>
      </c>
      <c r="AQ1311" s="467" t="str">
        <f>IFERROR(VLOOKUP(Table_NFI[[#This Row],[Camp Name]],CL,2,0),"")</f>
        <v/>
      </c>
      <c r="AR1311" s="835" t="str">
        <f ca="1">IF(Table_NFI[[#This Row],[Pcode]]="","",IF(OFFSET(CampList[Opening Date],MATCH(Table_NFI[[#This Row],[Pcode]],CampList[CP_Pcode],0)-1,0,1,1)&gt;=NFI_Monitor_Date,1,0))</f>
        <v/>
      </c>
      <c r="AS1311" s="467" t="str">
        <f>IFERROR(VLOOKUP(Table_NFI[[#This Row],[Camp Name]],CL,3,0),"")</f>
        <v/>
      </c>
      <c r="AT1311" s="294" t="str">
        <f ca="1">IF(Table_NFI[[#This Row],[Pcode]]="","",OFFSET(CampList[Priority],MATCH(Table_NFI[[#This Row],[Pcode]],CampList[CP_Pcode],0)-1,0,1,1))</f>
        <v/>
      </c>
      <c r="AU1311" s="293" t="str">
        <f>IFERROR(Table_NFI[[#This Row],[Kitchen Set]]/VLOOKUP(Table_NFI[[#This Row],[Camp Name]],CL,4,0),"")</f>
        <v/>
      </c>
      <c r="AV1311" s="465"/>
      <c r="AW1311" s="468"/>
    </row>
    <row r="1312" spans="1:49" ht="14.45" customHeight="1" x14ac:dyDescent="0.25">
      <c r="A1312" s="297" t="str">
        <f t="shared" si="20"/>
        <v/>
      </c>
      <c r="B1312" s="460"/>
      <c r="C1312" s="465"/>
      <c r="D1312" s="465"/>
      <c r="E1312" s="465"/>
      <c r="F1312" s="465"/>
      <c r="G1312" s="465"/>
      <c r="H1312" s="292"/>
      <c r="I1312" s="292"/>
      <c r="J1312" s="292"/>
      <c r="K1312" s="292"/>
      <c r="L1312" s="292"/>
      <c r="M1312" s="292"/>
      <c r="N1312" s="292"/>
      <c r="O1312" s="292"/>
      <c r="P1312" s="294"/>
      <c r="Q1312" s="294"/>
      <c r="R1312" s="294"/>
      <c r="S1312" s="294"/>
      <c r="T1312" s="294"/>
      <c r="U1312" s="294"/>
      <c r="V1312" s="431"/>
      <c r="W1312" s="331"/>
      <c r="X1312" s="331"/>
      <c r="Y1312" s="294">
        <f>IF(NFI_Expiration=1,IF($A1312&lt;VLOOKUP(H$5,NFI,5,0),1,0)*Table_NFI[[#This Row],[Hygiene Kit]],Table_NFI[Hygiene Kit])</f>
        <v>0</v>
      </c>
      <c r="Z1312" s="294">
        <f>IF(NFI_Expiration=1,IF($A1312&lt;VLOOKUP(I$5,NFI,5,0),1,0)*Table_NFI[[#This Row],[NFI Core Kit]],Table_NFI[NFI Core Kit])</f>
        <v>0</v>
      </c>
      <c r="AA1312" s="294">
        <f>IF(NFI_Expiration=1,IF($A1312&lt;VLOOKUP(J$5,NFI,5,0),1,0)*Table_NFI[[#This Row],[Sanitary Kit]],Table_NFI[Sanitary Kit])</f>
        <v>0</v>
      </c>
      <c r="AB1312" s="294">
        <f>IF(NFI_Expiration=1,IF($A1312&lt;VLOOKUP(K$5,NFI,5,0),1,0)*Table_NFI[[#This Row],[Mosquito net]],Table_NFI[Mosquito net])</f>
        <v>0</v>
      </c>
      <c r="AC1312" s="294">
        <f>IF(NFI_Expiration=1,IF($A1312&lt;VLOOKUP(L$5,NFI,5,0),1,0)*Table_NFI[[#This Row],[Tarpaulin]],Table_NFI[[#This Row],[Tarpaulin]])</f>
        <v>0</v>
      </c>
      <c r="AD1312" s="294">
        <f>IF(NFI_Expiration=1,IF($A1312&lt;VLOOKUP(M$5,NFI,5,0),1,0)*Table_NFI[[#This Row],[Blanket]],Table_NFI[[#This Row],[Blanket]])</f>
        <v>0</v>
      </c>
      <c r="AE1312" s="294">
        <f>IF(NFI_Expiration=1,IF($A1312&lt;VLOOKUP(N$5,NFI,5,0),1,0)*Table_NFI[[#This Row],[Kitchen Set]],Table_NFI[Kitchen Set])</f>
        <v>0</v>
      </c>
      <c r="AF1312" s="294">
        <f>IF(NFI_Expiration=1,IF($A1312&lt;VLOOKUP(O$5,NFI,5,0),1,0)*Table_NFI[[#This Row],[Clothes Kit]],Table_NFI[Clothes Kit])</f>
        <v>0</v>
      </c>
      <c r="AG1312" s="294">
        <f>IF(NFI_Expiration=1,IF($A1312&lt;VLOOKUP(P$5,NFI,5,0),1,0)*Table_NFI[[#This Row],[Plastic Bucket]],Table_NFI[Plastic Bucket])</f>
        <v>0</v>
      </c>
      <c r="AH1312" s="294">
        <f>IF(NFI_Expiration=1,IF($A1312&lt;VLOOKUP(Q$5,NFI,5,0),1,0)*Table_NFI[[#This Row],[Plastic Mat]],Table_NFI[Plastic Mat])*IF(Table_NFI[[#This Row],[Distribution Date]]&gt;"2014-04-01",1,2.5)</f>
        <v>0</v>
      </c>
      <c r="AI1312" s="294">
        <f>IF(NFI_Expiration=1,IF($A1312&lt;VLOOKUP(R$5,NFI,5,0),1,0)*Table_NFI[[#This Row],[Winter Clothes Adult]],Table_NFI[Winter Clothes Adult])</f>
        <v>0</v>
      </c>
      <c r="AJ1312" s="294">
        <f>IF(NFI_Expiration=1,IF($A1312&lt;VLOOKUP(S$5,NFI,5,0),1,0)*Table_NFI[[#This Row],[Winter Clothes Children]],Table_NFI[Winter Clothes Children])</f>
        <v>0</v>
      </c>
      <c r="AK1312" s="294">
        <f>IF(NFI_Expiration=1,IF($A1312&lt;VLOOKUP(T$5,NFI,5,0),1,0)*Table_NFI[[#This Row],[Winter Items Other]],Table_NFI[Winter Items Other])</f>
        <v>0</v>
      </c>
      <c r="AL1312" s="294">
        <f>IF(NFI_Expiration=1,IF($A1312&lt;VLOOKUP(M$5,NFI,5,0),1,0)*Table_NFI[[#This Row],[Winter Blanket]],Table_NFI[[#This Row],[Winter Blanket]])</f>
        <v>0</v>
      </c>
      <c r="AM1312" s="294">
        <f>IF(Table_NFI[[#This Row],[Winter Clothes Adult]]+Table_NFI[[#This Row],[Winter Clothes Children]]+Table_NFI[[#This Row],[Winter Items Other]]+Table_NFI[[#This Row],[Winter Blanket]]&gt;0,1,0)</f>
        <v>0</v>
      </c>
      <c r="AN1312" s="331">
        <f>IF(NFI_Expiration=1,IF($A1312&lt;VLOOKUP(V$5,NFI,5,0),1,0)*Table_NFI[[#This Row],[Jerry Can]],Table_NFI[Jerry Can])</f>
        <v>0</v>
      </c>
      <c r="AO1312" s="331">
        <f>IF(NFI_Expiration=1,IF($A1312&lt;VLOOKUP(V$5,NFI,5,0),1,0)*Table_NFI[[#This Row],[Shelter Tool kit]],Table_NFI[Shelter Tool kit])</f>
        <v>0</v>
      </c>
      <c r="AP1312" s="331">
        <f>IF(NFI_Expiration=1,IF($A1312&lt;VLOOKUP(V$5,NFI,5,0),1,0)*Table_NFI[[#This Row],[Tent]],Table_NFI[Tent])</f>
        <v>0</v>
      </c>
      <c r="AQ1312" s="467" t="str">
        <f>IFERROR(VLOOKUP(Table_NFI[[#This Row],[Camp Name]],CL,2,0),"")</f>
        <v/>
      </c>
      <c r="AR1312" s="835" t="str">
        <f ca="1">IF(Table_NFI[[#This Row],[Pcode]]="","",IF(OFFSET(CampList[Opening Date],MATCH(Table_NFI[[#This Row],[Pcode]],CampList[CP_Pcode],0)-1,0,1,1)&gt;=NFI_Monitor_Date,1,0))</f>
        <v/>
      </c>
      <c r="AS1312" s="467" t="str">
        <f>IFERROR(VLOOKUP(Table_NFI[[#This Row],[Camp Name]],CL,3,0),"")</f>
        <v/>
      </c>
      <c r="AT1312" s="294" t="str">
        <f ca="1">IF(Table_NFI[[#This Row],[Pcode]]="","",OFFSET(CampList[Priority],MATCH(Table_NFI[[#This Row],[Pcode]],CampList[CP_Pcode],0)-1,0,1,1))</f>
        <v/>
      </c>
      <c r="AU1312" s="293" t="str">
        <f>IFERROR(Table_NFI[[#This Row],[Kitchen Set]]/VLOOKUP(Table_NFI[[#This Row],[Camp Name]],CL,4,0),"")</f>
        <v/>
      </c>
      <c r="AV1312" s="465"/>
      <c r="AW1312" s="468"/>
    </row>
    <row r="1313" spans="1:49" ht="14.45" customHeight="1" x14ac:dyDescent="0.25">
      <c r="A1313" s="297" t="str">
        <f t="shared" si="20"/>
        <v/>
      </c>
      <c r="B1313" s="460"/>
      <c r="C1313" s="465"/>
      <c r="D1313" s="465"/>
      <c r="E1313" s="465"/>
      <c r="F1313" s="465"/>
      <c r="G1313" s="465"/>
      <c r="H1313" s="292"/>
      <c r="I1313" s="292"/>
      <c r="J1313" s="292"/>
      <c r="K1313" s="292"/>
      <c r="L1313" s="292"/>
      <c r="M1313" s="292"/>
      <c r="N1313" s="292"/>
      <c r="O1313" s="292"/>
      <c r="P1313" s="294"/>
      <c r="Q1313" s="294"/>
      <c r="R1313" s="294"/>
      <c r="S1313" s="294"/>
      <c r="T1313" s="294"/>
      <c r="U1313" s="294"/>
      <c r="V1313" s="431"/>
      <c r="W1313" s="331"/>
      <c r="X1313" s="331"/>
      <c r="Y1313" s="294">
        <f>IF(NFI_Expiration=1,IF($A1313&lt;VLOOKUP(H$5,NFI,5,0),1,0)*Table_NFI[[#This Row],[Hygiene Kit]],Table_NFI[Hygiene Kit])</f>
        <v>0</v>
      </c>
      <c r="Z1313" s="294">
        <f>IF(NFI_Expiration=1,IF($A1313&lt;VLOOKUP(I$5,NFI,5,0),1,0)*Table_NFI[[#This Row],[NFI Core Kit]],Table_NFI[NFI Core Kit])</f>
        <v>0</v>
      </c>
      <c r="AA1313" s="294">
        <f>IF(NFI_Expiration=1,IF($A1313&lt;VLOOKUP(J$5,NFI,5,0),1,0)*Table_NFI[[#This Row],[Sanitary Kit]],Table_NFI[Sanitary Kit])</f>
        <v>0</v>
      </c>
      <c r="AB1313" s="294">
        <f>IF(NFI_Expiration=1,IF($A1313&lt;VLOOKUP(K$5,NFI,5,0),1,0)*Table_NFI[[#This Row],[Mosquito net]],Table_NFI[Mosquito net])</f>
        <v>0</v>
      </c>
      <c r="AC1313" s="294">
        <f>IF(NFI_Expiration=1,IF($A1313&lt;VLOOKUP(L$5,NFI,5,0),1,0)*Table_NFI[[#This Row],[Tarpaulin]],Table_NFI[[#This Row],[Tarpaulin]])</f>
        <v>0</v>
      </c>
      <c r="AD1313" s="294">
        <f>IF(NFI_Expiration=1,IF($A1313&lt;VLOOKUP(M$5,NFI,5,0),1,0)*Table_NFI[[#This Row],[Blanket]],Table_NFI[[#This Row],[Blanket]])</f>
        <v>0</v>
      </c>
      <c r="AE1313" s="294">
        <f>IF(NFI_Expiration=1,IF($A1313&lt;VLOOKUP(N$5,NFI,5,0),1,0)*Table_NFI[[#This Row],[Kitchen Set]],Table_NFI[Kitchen Set])</f>
        <v>0</v>
      </c>
      <c r="AF1313" s="294">
        <f>IF(NFI_Expiration=1,IF($A1313&lt;VLOOKUP(O$5,NFI,5,0),1,0)*Table_NFI[[#This Row],[Clothes Kit]],Table_NFI[Clothes Kit])</f>
        <v>0</v>
      </c>
      <c r="AG1313" s="294">
        <f>IF(NFI_Expiration=1,IF($A1313&lt;VLOOKUP(P$5,NFI,5,0),1,0)*Table_NFI[[#This Row],[Plastic Bucket]],Table_NFI[Plastic Bucket])</f>
        <v>0</v>
      </c>
      <c r="AH1313" s="294">
        <f>IF(NFI_Expiration=1,IF($A1313&lt;VLOOKUP(Q$5,NFI,5,0),1,0)*Table_NFI[[#This Row],[Plastic Mat]],Table_NFI[Plastic Mat])*IF(Table_NFI[[#This Row],[Distribution Date]]&gt;"2014-04-01",1,2.5)</f>
        <v>0</v>
      </c>
      <c r="AI1313" s="294">
        <f>IF(NFI_Expiration=1,IF($A1313&lt;VLOOKUP(R$5,NFI,5,0),1,0)*Table_NFI[[#This Row],[Winter Clothes Adult]],Table_NFI[Winter Clothes Adult])</f>
        <v>0</v>
      </c>
      <c r="AJ1313" s="294">
        <f>IF(NFI_Expiration=1,IF($A1313&lt;VLOOKUP(S$5,NFI,5,0),1,0)*Table_NFI[[#This Row],[Winter Clothes Children]],Table_NFI[Winter Clothes Children])</f>
        <v>0</v>
      </c>
      <c r="AK1313" s="294">
        <f>IF(NFI_Expiration=1,IF($A1313&lt;VLOOKUP(T$5,NFI,5,0),1,0)*Table_NFI[[#This Row],[Winter Items Other]],Table_NFI[Winter Items Other])</f>
        <v>0</v>
      </c>
      <c r="AL1313" s="294">
        <f>IF(NFI_Expiration=1,IF($A1313&lt;VLOOKUP(M$5,NFI,5,0),1,0)*Table_NFI[[#This Row],[Winter Blanket]],Table_NFI[[#This Row],[Winter Blanket]])</f>
        <v>0</v>
      </c>
      <c r="AM1313" s="294">
        <f>IF(Table_NFI[[#This Row],[Winter Clothes Adult]]+Table_NFI[[#This Row],[Winter Clothes Children]]+Table_NFI[[#This Row],[Winter Items Other]]+Table_NFI[[#This Row],[Winter Blanket]]&gt;0,1,0)</f>
        <v>0</v>
      </c>
      <c r="AN1313" s="331">
        <f>IF(NFI_Expiration=1,IF($A1313&lt;VLOOKUP(V$5,NFI,5,0),1,0)*Table_NFI[[#This Row],[Jerry Can]],Table_NFI[Jerry Can])</f>
        <v>0</v>
      </c>
      <c r="AO1313" s="331">
        <f>IF(NFI_Expiration=1,IF($A1313&lt;VLOOKUP(V$5,NFI,5,0),1,0)*Table_NFI[[#This Row],[Shelter Tool kit]],Table_NFI[Shelter Tool kit])</f>
        <v>0</v>
      </c>
      <c r="AP1313" s="331">
        <f>IF(NFI_Expiration=1,IF($A1313&lt;VLOOKUP(V$5,NFI,5,0),1,0)*Table_NFI[[#This Row],[Tent]],Table_NFI[Tent])</f>
        <v>0</v>
      </c>
      <c r="AQ1313" s="467" t="str">
        <f>IFERROR(VLOOKUP(Table_NFI[[#This Row],[Camp Name]],CL,2,0),"")</f>
        <v/>
      </c>
      <c r="AR1313" s="835" t="str">
        <f ca="1">IF(Table_NFI[[#This Row],[Pcode]]="","",IF(OFFSET(CampList[Opening Date],MATCH(Table_NFI[[#This Row],[Pcode]],CampList[CP_Pcode],0)-1,0,1,1)&gt;=NFI_Monitor_Date,1,0))</f>
        <v/>
      </c>
      <c r="AS1313" s="467" t="str">
        <f>IFERROR(VLOOKUP(Table_NFI[[#This Row],[Camp Name]],CL,3,0),"")</f>
        <v/>
      </c>
      <c r="AT1313" s="294" t="str">
        <f ca="1">IF(Table_NFI[[#This Row],[Pcode]]="","",OFFSET(CampList[Priority],MATCH(Table_NFI[[#This Row],[Pcode]],CampList[CP_Pcode],0)-1,0,1,1))</f>
        <v/>
      </c>
      <c r="AU1313" s="293" t="str">
        <f>IFERROR(Table_NFI[[#This Row],[Kitchen Set]]/VLOOKUP(Table_NFI[[#This Row],[Camp Name]],CL,4,0),"")</f>
        <v/>
      </c>
      <c r="AV1313" s="465"/>
      <c r="AW1313" s="468"/>
    </row>
    <row r="1314" spans="1:49" ht="14.45" customHeight="1" x14ac:dyDescent="0.25">
      <c r="A1314" s="297" t="str">
        <f t="shared" si="20"/>
        <v/>
      </c>
      <c r="B1314" s="460"/>
      <c r="C1314" s="465"/>
      <c r="D1314" s="465"/>
      <c r="E1314" s="465"/>
      <c r="F1314" s="465"/>
      <c r="G1314" s="465"/>
      <c r="H1314" s="292"/>
      <c r="I1314" s="292"/>
      <c r="J1314" s="292"/>
      <c r="K1314" s="292"/>
      <c r="L1314" s="292"/>
      <c r="M1314" s="292"/>
      <c r="N1314" s="292"/>
      <c r="O1314" s="292"/>
      <c r="P1314" s="294"/>
      <c r="Q1314" s="294"/>
      <c r="R1314" s="294"/>
      <c r="S1314" s="294"/>
      <c r="T1314" s="294"/>
      <c r="U1314" s="294"/>
      <c r="V1314" s="431"/>
      <c r="W1314" s="331"/>
      <c r="X1314" s="331"/>
      <c r="Y1314" s="294">
        <f>IF(NFI_Expiration=1,IF($A1314&lt;VLOOKUP(H$5,NFI,5,0),1,0)*Table_NFI[[#This Row],[Hygiene Kit]],Table_NFI[Hygiene Kit])</f>
        <v>0</v>
      </c>
      <c r="Z1314" s="294">
        <f>IF(NFI_Expiration=1,IF($A1314&lt;VLOOKUP(I$5,NFI,5,0),1,0)*Table_NFI[[#This Row],[NFI Core Kit]],Table_NFI[NFI Core Kit])</f>
        <v>0</v>
      </c>
      <c r="AA1314" s="294">
        <f>IF(NFI_Expiration=1,IF($A1314&lt;VLOOKUP(J$5,NFI,5,0),1,0)*Table_NFI[[#This Row],[Sanitary Kit]],Table_NFI[Sanitary Kit])</f>
        <v>0</v>
      </c>
      <c r="AB1314" s="294">
        <f>IF(NFI_Expiration=1,IF($A1314&lt;VLOOKUP(K$5,NFI,5,0),1,0)*Table_NFI[[#This Row],[Mosquito net]],Table_NFI[Mosquito net])</f>
        <v>0</v>
      </c>
      <c r="AC1314" s="294">
        <f>IF(NFI_Expiration=1,IF($A1314&lt;VLOOKUP(L$5,NFI,5,0),1,0)*Table_NFI[[#This Row],[Tarpaulin]],Table_NFI[[#This Row],[Tarpaulin]])</f>
        <v>0</v>
      </c>
      <c r="AD1314" s="294">
        <f>IF(NFI_Expiration=1,IF($A1314&lt;VLOOKUP(M$5,NFI,5,0),1,0)*Table_NFI[[#This Row],[Blanket]],Table_NFI[[#This Row],[Blanket]])</f>
        <v>0</v>
      </c>
      <c r="AE1314" s="294">
        <f>IF(NFI_Expiration=1,IF($A1314&lt;VLOOKUP(N$5,NFI,5,0),1,0)*Table_NFI[[#This Row],[Kitchen Set]],Table_NFI[Kitchen Set])</f>
        <v>0</v>
      </c>
      <c r="AF1314" s="294">
        <f>IF(NFI_Expiration=1,IF($A1314&lt;VLOOKUP(O$5,NFI,5,0),1,0)*Table_NFI[[#This Row],[Clothes Kit]],Table_NFI[Clothes Kit])</f>
        <v>0</v>
      </c>
      <c r="AG1314" s="294">
        <f>IF(NFI_Expiration=1,IF($A1314&lt;VLOOKUP(P$5,NFI,5,0),1,0)*Table_NFI[[#This Row],[Plastic Bucket]],Table_NFI[Plastic Bucket])</f>
        <v>0</v>
      </c>
      <c r="AH1314" s="294">
        <f>IF(NFI_Expiration=1,IF($A1314&lt;VLOOKUP(Q$5,NFI,5,0),1,0)*Table_NFI[[#This Row],[Plastic Mat]],Table_NFI[Plastic Mat])*IF(Table_NFI[[#This Row],[Distribution Date]]&gt;"2014-04-01",1,2.5)</f>
        <v>0</v>
      </c>
      <c r="AI1314" s="294">
        <f>IF(NFI_Expiration=1,IF($A1314&lt;VLOOKUP(R$5,NFI,5,0),1,0)*Table_NFI[[#This Row],[Winter Clothes Adult]],Table_NFI[Winter Clothes Adult])</f>
        <v>0</v>
      </c>
      <c r="AJ1314" s="294">
        <f>IF(NFI_Expiration=1,IF($A1314&lt;VLOOKUP(S$5,NFI,5,0),1,0)*Table_NFI[[#This Row],[Winter Clothes Children]],Table_NFI[Winter Clothes Children])</f>
        <v>0</v>
      </c>
      <c r="AK1314" s="294">
        <f>IF(NFI_Expiration=1,IF($A1314&lt;VLOOKUP(T$5,NFI,5,0),1,0)*Table_NFI[[#This Row],[Winter Items Other]],Table_NFI[Winter Items Other])</f>
        <v>0</v>
      </c>
      <c r="AL1314" s="294">
        <f>IF(NFI_Expiration=1,IF($A1314&lt;VLOOKUP(M$5,NFI,5,0),1,0)*Table_NFI[[#This Row],[Winter Blanket]],Table_NFI[[#This Row],[Winter Blanket]])</f>
        <v>0</v>
      </c>
      <c r="AM1314" s="294">
        <f>IF(Table_NFI[[#This Row],[Winter Clothes Adult]]+Table_NFI[[#This Row],[Winter Clothes Children]]+Table_NFI[[#This Row],[Winter Items Other]]+Table_NFI[[#This Row],[Winter Blanket]]&gt;0,1,0)</f>
        <v>0</v>
      </c>
      <c r="AN1314" s="331">
        <f>IF(NFI_Expiration=1,IF($A1314&lt;VLOOKUP(V$5,NFI,5,0),1,0)*Table_NFI[[#This Row],[Jerry Can]],Table_NFI[Jerry Can])</f>
        <v>0</v>
      </c>
      <c r="AO1314" s="331">
        <f>IF(NFI_Expiration=1,IF($A1314&lt;VLOOKUP(V$5,NFI,5,0),1,0)*Table_NFI[[#This Row],[Shelter Tool kit]],Table_NFI[Shelter Tool kit])</f>
        <v>0</v>
      </c>
      <c r="AP1314" s="331">
        <f>IF(NFI_Expiration=1,IF($A1314&lt;VLOOKUP(V$5,NFI,5,0),1,0)*Table_NFI[[#This Row],[Tent]],Table_NFI[Tent])</f>
        <v>0</v>
      </c>
      <c r="AQ1314" s="467" t="str">
        <f>IFERROR(VLOOKUP(Table_NFI[[#This Row],[Camp Name]],CL,2,0),"")</f>
        <v/>
      </c>
      <c r="AR1314" s="835" t="str">
        <f ca="1">IF(Table_NFI[[#This Row],[Pcode]]="","",IF(OFFSET(CampList[Opening Date],MATCH(Table_NFI[[#This Row],[Pcode]],CampList[CP_Pcode],0)-1,0,1,1)&gt;=NFI_Monitor_Date,1,0))</f>
        <v/>
      </c>
      <c r="AS1314" s="467" t="str">
        <f>IFERROR(VLOOKUP(Table_NFI[[#This Row],[Camp Name]],CL,3,0),"")</f>
        <v/>
      </c>
      <c r="AT1314" s="294" t="str">
        <f ca="1">IF(Table_NFI[[#This Row],[Pcode]]="","",OFFSET(CampList[Priority],MATCH(Table_NFI[[#This Row],[Pcode]],CampList[CP_Pcode],0)-1,0,1,1))</f>
        <v/>
      </c>
      <c r="AU1314" s="293" t="str">
        <f>IFERROR(Table_NFI[[#This Row],[Kitchen Set]]/VLOOKUP(Table_NFI[[#This Row],[Camp Name]],CL,4,0),"")</f>
        <v/>
      </c>
      <c r="AV1314" s="465"/>
      <c r="AW1314" s="468"/>
    </row>
    <row r="1315" spans="1:49" ht="14.45" customHeight="1" x14ac:dyDescent="0.25">
      <c r="A1315" s="297" t="str">
        <f t="shared" si="20"/>
        <v/>
      </c>
      <c r="B1315" s="460"/>
      <c r="C1315" s="465"/>
      <c r="D1315" s="465"/>
      <c r="E1315" s="465"/>
      <c r="F1315" s="465"/>
      <c r="G1315" s="465"/>
      <c r="H1315" s="292"/>
      <c r="I1315" s="292"/>
      <c r="J1315" s="292"/>
      <c r="K1315" s="292"/>
      <c r="L1315" s="292"/>
      <c r="M1315" s="292"/>
      <c r="N1315" s="292"/>
      <c r="O1315" s="292"/>
      <c r="P1315" s="294"/>
      <c r="Q1315" s="294"/>
      <c r="R1315" s="294"/>
      <c r="S1315" s="294"/>
      <c r="T1315" s="294"/>
      <c r="U1315" s="294"/>
      <c r="V1315" s="431"/>
      <c r="W1315" s="331"/>
      <c r="X1315" s="331"/>
      <c r="Y1315" s="294">
        <f>IF(NFI_Expiration=1,IF($A1315&lt;VLOOKUP(H$5,NFI,5,0),1,0)*Table_NFI[[#This Row],[Hygiene Kit]],Table_NFI[Hygiene Kit])</f>
        <v>0</v>
      </c>
      <c r="Z1315" s="294">
        <f>IF(NFI_Expiration=1,IF($A1315&lt;VLOOKUP(I$5,NFI,5,0),1,0)*Table_NFI[[#This Row],[NFI Core Kit]],Table_NFI[NFI Core Kit])</f>
        <v>0</v>
      </c>
      <c r="AA1315" s="294">
        <f>IF(NFI_Expiration=1,IF($A1315&lt;VLOOKUP(J$5,NFI,5,0),1,0)*Table_NFI[[#This Row],[Sanitary Kit]],Table_NFI[Sanitary Kit])</f>
        <v>0</v>
      </c>
      <c r="AB1315" s="294">
        <f>IF(NFI_Expiration=1,IF($A1315&lt;VLOOKUP(K$5,NFI,5,0),1,0)*Table_NFI[[#This Row],[Mosquito net]],Table_NFI[Mosquito net])</f>
        <v>0</v>
      </c>
      <c r="AC1315" s="294">
        <f>IF(NFI_Expiration=1,IF($A1315&lt;VLOOKUP(L$5,NFI,5,0),1,0)*Table_NFI[[#This Row],[Tarpaulin]],Table_NFI[[#This Row],[Tarpaulin]])</f>
        <v>0</v>
      </c>
      <c r="AD1315" s="294">
        <f>IF(NFI_Expiration=1,IF($A1315&lt;VLOOKUP(M$5,NFI,5,0),1,0)*Table_NFI[[#This Row],[Blanket]],Table_NFI[[#This Row],[Blanket]])</f>
        <v>0</v>
      </c>
      <c r="AE1315" s="294">
        <f>IF(NFI_Expiration=1,IF($A1315&lt;VLOOKUP(N$5,NFI,5,0),1,0)*Table_NFI[[#This Row],[Kitchen Set]],Table_NFI[Kitchen Set])</f>
        <v>0</v>
      </c>
      <c r="AF1315" s="294">
        <f>IF(NFI_Expiration=1,IF($A1315&lt;VLOOKUP(O$5,NFI,5,0),1,0)*Table_NFI[[#This Row],[Clothes Kit]],Table_NFI[Clothes Kit])</f>
        <v>0</v>
      </c>
      <c r="AG1315" s="294">
        <f>IF(NFI_Expiration=1,IF($A1315&lt;VLOOKUP(P$5,NFI,5,0),1,0)*Table_NFI[[#This Row],[Plastic Bucket]],Table_NFI[Plastic Bucket])</f>
        <v>0</v>
      </c>
      <c r="AH1315" s="294">
        <f>IF(NFI_Expiration=1,IF($A1315&lt;VLOOKUP(Q$5,NFI,5,0),1,0)*Table_NFI[[#This Row],[Plastic Mat]],Table_NFI[Plastic Mat])*IF(Table_NFI[[#This Row],[Distribution Date]]&gt;"2014-04-01",1,2.5)</f>
        <v>0</v>
      </c>
      <c r="AI1315" s="294">
        <f>IF(NFI_Expiration=1,IF($A1315&lt;VLOOKUP(R$5,NFI,5,0),1,0)*Table_NFI[[#This Row],[Winter Clothes Adult]],Table_NFI[Winter Clothes Adult])</f>
        <v>0</v>
      </c>
      <c r="AJ1315" s="294">
        <f>IF(NFI_Expiration=1,IF($A1315&lt;VLOOKUP(S$5,NFI,5,0),1,0)*Table_NFI[[#This Row],[Winter Clothes Children]],Table_NFI[Winter Clothes Children])</f>
        <v>0</v>
      </c>
      <c r="AK1315" s="294">
        <f>IF(NFI_Expiration=1,IF($A1315&lt;VLOOKUP(T$5,NFI,5,0),1,0)*Table_NFI[[#This Row],[Winter Items Other]],Table_NFI[Winter Items Other])</f>
        <v>0</v>
      </c>
      <c r="AL1315" s="294">
        <f>IF(NFI_Expiration=1,IF($A1315&lt;VLOOKUP(M$5,NFI,5,0),1,0)*Table_NFI[[#This Row],[Winter Blanket]],Table_NFI[[#This Row],[Winter Blanket]])</f>
        <v>0</v>
      </c>
      <c r="AM1315" s="294">
        <f>IF(Table_NFI[[#This Row],[Winter Clothes Adult]]+Table_NFI[[#This Row],[Winter Clothes Children]]+Table_NFI[[#This Row],[Winter Items Other]]+Table_NFI[[#This Row],[Winter Blanket]]&gt;0,1,0)</f>
        <v>0</v>
      </c>
      <c r="AN1315" s="331">
        <f>IF(NFI_Expiration=1,IF($A1315&lt;VLOOKUP(V$5,NFI,5,0),1,0)*Table_NFI[[#This Row],[Jerry Can]],Table_NFI[Jerry Can])</f>
        <v>0</v>
      </c>
      <c r="AO1315" s="331">
        <f>IF(NFI_Expiration=1,IF($A1315&lt;VLOOKUP(V$5,NFI,5,0),1,0)*Table_NFI[[#This Row],[Shelter Tool kit]],Table_NFI[Shelter Tool kit])</f>
        <v>0</v>
      </c>
      <c r="AP1315" s="331">
        <f>IF(NFI_Expiration=1,IF($A1315&lt;VLOOKUP(V$5,NFI,5,0),1,0)*Table_NFI[[#This Row],[Tent]],Table_NFI[Tent])</f>
        <v>0</v>
      </c>
      <c r="AQ1315" s="467" t="str">
        <f>IFERROR(VLOOKUP(Table_NFI[[#This Row],[Camp Name]],CL,2,0),"")</f>
        <v/>
      </c>
      <c r="AR1315" s="835" t="str">
        <f ca="1">IF(Table_NFI[[#This Row],[Pcode]]="","",IF(OFFSET(CampList[Opening Date],MATCH(Table_NFI[[#This Row],[Pcode]],CampList[CP_Pcode],0)-1,0,1,1)&gt;=NFI_Monitor_Date,1,0))</f>
        <v/>
      </c>
      <c r="AS1315" s="467" t="str">
        <f>IFERROR(VLOOKUP(Table_NFI[[#This Row],[Camp Name]],CL,3,0),"")</f>
        <v/>
      </c>
      <c r="AT1315" s="294" t="str">
        <f ca="1">IF(Table_NFI[[#This Row],[Pcode]]="","",OFFSET(CampList[Priority],MATCH(Table_NFI[[#This Row],[Pcode]],CampList[CP_Pcode],0)-1,0,1,1))</f>
        <v/>
      </c>
      <c r="AU1315" s="293" t="str">
        <f>IFERROR(Table_NFI[[#This Row],[Kitchen Set]]/VLOOKUP(Table_NFI[[#This Row],[Camp Name]],CL,4,0),"")</f>
        <v/>
      </c>
      <c r="AV1315" s="465"/>
      <c r="AW1315" s="468"/>
    </row>
    <row r="1316" spans="1:49" ht="14.45" customHeight="1" x14ac:dyDescent="0.25">
      <c r="A1316" s="297" t="str">
        <f t="shared" si="20"/>
        <v/>
      </c>
      <c r="B1316" s="460"/>
      <c r="C1316" s="465"/>
      <c r="D1316" s="465"/>
      <c r="E1316" s="465"/>
      <c r="F1316" s="465"/>
      <c r="G1316" s="465"/>
      <c r="H1316" s="292"/>
      <c r="I1316" s="292"/>
      <c r="J1316" s="292"/>
      <c r="K1316" s="292"/>
      <c r="L1316" s="292"/>
      <c r="M1316" s="292"/>
      <c r="N1316" s="292"/>
      <c r="O1316" s="292"/>
      <c r="P1316" s="294"/>
      <c r="Q1316" s="294"/>
      <c r="R1316" s="294"/>
      <c r="S1316" s="294"/>
      <c r="T1316" s="294"/>
      <c r="U1316" s="294"/>
      <c r="V1316" s="431"/>
      <c r="W1316" s="331"/>
      <c r="X1316" s="331"/>
      <c r="Y1316" s="294">
        <f>IF(NFI_Expiration=1,IF($A1316&lt;VLOOKUP(H$5,NFI,5,0),1,0)*Table_NFI[[#This Row],[Hygiene Kit]],Table_NFI[Hygiene Kit])</f>
        <v>0</v>
      </c>
      <c r="Z1316" s="294">
        <f>IF(NFI_Expiration=1,IF($A1316&lt;VLOOKUP(I$5,NFI,5,0),1,0)*Table_NFI[[#This Row],[NFI Core Kit]],Table_NFI[NFI Core Kit])</f>
        <v>0</v>
      </c>
      <c r="AA1316" s="294">
        <f>IF(NFI_Expiration=1,IF($A1316&lt;VLOOKUP(J$5,NFI,5,0),1,0)*Table_NFI[[#This Row],[Sanitary Kit]],Table_NFI[Sanitary Kit])</f>
        <v>0</v>
      </c>
      <c r="AB1316" s="294">
        <f>IF(NFI_Expiration=1,IF($A1316&lt;VLOOKUP(K$5,NFI,5,0),1,0)*Table_NFI[[#This Row],[Mosquito net]],Table_NFI[Mosquito net])</f>
        <v>0</v>
      </c>
      <c r="AC1316" s="294">
        <f>IF(NFI_Expiration=1,IF($A1316&lt;VLOOKUP(L$5,NFI,5,0),1,0)*Table_NFI[[#This Row],[Tarpaulin]],Table_NFI[[#This Row],[Tarpaulin]])</f>
        <v>0</v>
      </c>
      <c r="AD1316" s="294">
        <f>IF(NFI_Expiration=1,IF($A1316&lt;VLOOKUP(M$5,NFI,5,0),1,0)*Table_NFI[[#This Row],[Blanket]],Table_NFI[[#This Row],[Blanket]])</f>
        <v>0</v>
      </c>
      <c r="AE1316" s="294">
        <f>IF(NFI_Expiration=1,IF($A1316&lt;VLOOKUP(N$5,NFI,5,0),1,0)*Table_NFI[[#This Row],[Kitchen Set]],Table_NFI[Kitchen Set])</f>
        <v>0</v>
      </c>
      <c r="AF1316" s="294">
        <f>IF(NFI_Expiration=1,IF($A1316&lt;VLOOKUP(O$5,NFI,5,0),1,0)*Table_NFI[[#This Row],[Clothes Kit]],Table_NFI[Clothes Kit])</f>
        <v>0</v>
      </c>
      <c r="AG1316" s="294">
        <f>IF(NFI_Expiration=1,IF($A1316&lt;VLOOKUP(P$5,NFI,5,0),1,0)*Table_NFI[[#This Row],[Plastic Bucket]],Table_NFI[Plastic Bucket])</f>
        <v>0</v>
      </c>
      <c r="AH1316" s="294">
        <f>IF(NFI_Expiration=1,IF($A1316&lt;VLOOKUP(Q$5,NFI,5,0),1,0)*Table_NFI[[#This Row],[Plastic Mat]],Table_NFI[Plastic Mat])*IF(Table_NFI[[#This Row],[Distribution Date]]&gt;"2014-04-01",1,2.5)</f>
        <v>0</v>
      </c>
      <c r="AI1316" s="294">
        <f>IF(NFI_Expiration=1,IF($A1316&lt;VLOOKUP(R$5,NFI,5,0),1,0)*Table_NFI[[#This Row],[Winter Clothes Adult]],Table_NFI[Winter Clothes Adult])</f>
        <v>0</v>
      </c>
      <c r="AJ1316" s="294">
        <f>IF(NFI_Expiration=1,IF($A1316&lt;VLOOKUP(S$5,NFI,5,0),1,0)*Table_NFI[[#This Row],[Winter Clothes Children]],Table_NFI[Winter Clothes Children])</f>
        <v>0</v>
      </c>
      <c r="AK1316" s="294">
        <f>IF(NFI_Expiration=1,IF($A1316&lt;VLOOKUP(T$5,NFI,5,0),1,0)*Table_NFI[[#This Row],[Winter Items Other]],Table_NFI[Winter Items Other])</f>
        <v>0</v>
      </c>
      <c r="AL1316" s="294">
        <f>IF(NFI_Expiration=1,IF($A1316&lt;VLOOKUP(M$5,NFI,5,0),1,0)*Table_NFI[[#This Row],[Winter Blanket]],Table_NFI[[#This Row],[Winter Blanket]])</f>
        <v>0</v>
      </c>
      <c r="AM1316" s="294">
        <f>IF(Table_NFI[[#This Row],[Winter Clothes Adult]]+Table_NFI[[#This Row],[Winter Clothes Children]]+Table_NFI[[#This Row],[Winter Items Other]]+Table_NFI[[#This Row],[Winter Blanket]]&gt;0,1,0)</f>
        <v>0</v>
      </c>
      <c r="AN1316" s="331">
        <f>IF(NFI_Expiration=1,IF($A1316&lt;VLOOKUP(V$5,NFI,5,0),1,0)*Table_NFI[[#This Row],[Jerry Can]],Table_NFI[Jerry Can])</f>
        <v>0</v>
      </c>
      <c r="AO1316" s="331">
        <f>IF(NFI_Expiration=1,IF($A1316&lt;VLOOKUP(V$5,NFI,5,0),1,0)*Table_NFI[[#This Row],[Shelter Tool kit]],Table_NFI[Shelter Tool kit])</f>
        <v>0</v>
      </c>
      <c r="AP1316" s="331">
        <f>IF(NFI_Expiration=1,IF($A1316&lt;VLOOKUP(V$5,NFI,5,0),1,0)*Table_NFI[[#This Row],[Tent]],Table_NFI[Tent])</f>
        <v>0</v>
      </c>
      <c r="AQ1316" s="467" t="str">
        <f>IFERROR(VLOOKUP(Table_NFI[[#This Row],[Camp Name]],CL,2,0),"")</f>
        <v/>
      </c>
      <c r="AR1316" s="835" t="str">
        <f ca="1">IF(Table_NFI[[#This Row],[Pcode]]="","",IF(OFFSET(CampList[Opening Date],MATCH(Table_NFI[[#This Row],[Pcode]],CampList[CP_Pcode],0)-1,0,1,1)&gt;=NFI_Monitor_Date,1,0))</f>
        <v/>
      </c>
      <c r="AS1316" s="467" t="str">
        <f>IFERROR(VLOOKUP(Table_NFI[[#This Row],[Camp Name]],CL,3,0),"")</f>
        <v/>
      </c>
      <c r="AT1316" s="294" t="str">
        <f ca="1">IF(Table_NFI[[#This Row],[Pcode]]="","",OFFSET(CampList[Priority],MATCH(Table_NFI[[#This Row],[Pcode]],CampList[CP_Pcode],0)-1,0,1,1))</f>
        <v/>
      </c>
      <c r="AU1316" s="293" t="str">
        <f>IFERROR(Table_NFI[[#This Row],[Kitchen Set]]/VLOOKUP(Table_NFI[[#This Row],[Camp Name]],CL,4,0),"")</f>
        <v/>
      </c>
      <c r="AV1316" s="465"/>
      <c r="AW1316" s="468"/>
    </row>
    <row r="1317" spans="1:49" ht="14.45" customHeight="1" x14ac:dyDescent="0.25">
      <c r="A1317" s="297" t="str">
        <f t="shared" si="20"/>
        <v/>
      </c>
      <c r="B1317" s="460"/>
      <c r="C1317" s="465"/>
      <c r="D1317" s="465"/>
      <c r="E1317" s="465"/>
      <c r="F1317" s="465"/>
      <c r="G1317" s="465"/>
      <c r="H1317" s="292"/>
      <c r="I1317" s="292"/>
      <c r="J1317" s="292"/>
      <c r="K1317" s="292"/>
      <c r="L1317" s="292"/>
      <c r="M1317" s="292"/>
      <c r="N1317" s="292"/>
      <c r="O1317" s="292"/>
      <c r="P1317" s="294"/>
      <c r="Q1317" s="294"/>
      <c r="R1317" s="294"/>
      <c r="S1317" s="294"/>
      <c r="T1317" s="294"/>
      <c r="U1317" s="294"/>
      <c r="V1317" s="431"/>
      <c r="W1317" s="331"/>
      <c r="X1317" s="331"/>
      <c r="Y1317" s="294">
        <f>IF(NFI_Expiration=1,IF($A1317&lt;VLOOKUP(H$5,NFI,5,0),1,0)*Table_NFI[[#This Row],[Hygiene Kit]],Table_NFI[Hygiene Kit])</f>
        <v>0</v>
      </c>
      <c r="Z1317" s="294">
        <f>IF(NFI_Expiration=1,IF($A1317&lt;VLOOKUP(I$5,NFI,5,0),1,0)*Table_NFI[[#This Row],[NFI Core Kit]],Table_NFI[NFI Core Kit])</f>
        <v>0</v>
      </c>
      <c r="AA1317" s="294">
        <f>IF(NFI_Expiration=1,IF($A1317&lt;VLOOKUP(J$5,NFI,5,0),1,0)*Table_NFI[[#This Row],[Sanitary Kit]],Table_NFI[Sanitary Kit])</f>
        <v>0</v>
      </c>
      <c r="AB1317" s="294">
        <f>IF(NFI_Expiration=1,IF($A1317&lt;VLOOKUP(K$5,NFI,5,0),1,0)*Table_NFI[[#This Row],[Mosquito net]],Table_NFI[Mosquito net])</f>
        <v>0</v>
      </c>
      <c r="AC1317" s="294">
        <f>IF(NFI_Expiration=1,IF($A1317&lt;VLOOKUP(L$5,NFI,5,0),1,0)*Table_NFI[[#This Row],[Tarpaulin]],Table_NFI[[#This Row],[Tarpaulin]])</f>
        <v>0</v>
      </c>
      <c r="AD1317" s="294">
        <f>IF(NFI_Expiration=1,IF($A1317&lt;VLOOKUP(M$5,NFI,5,0),1,0)*Table_NFI[[#This Row],[Blanket]],Table_NFI[[#This Row],[Blanket]])</f>
        <v>0</v>
      </c>
      <c r="AE1317" s="294">
        <f>IF(NFI_Expiration=1,IF($A1317&lt;VLOOKUP(N$5,NFI,5,0),1,0)*Table_NFI[[#This Row],[Kitchen Set]],Table_NFI[Kitchen Set])</f>
        <v>0</v>
      </c>
      <c r="AF1317" s="294">
        <f>IF(NFI_Expiration=1,IF($A1317&lt;VLOOKUP(O$5,NFI,5,0),1,0)*Table_NFI[[#This Row],[Clothes Kit]],Table_NFI[Clothes Kit])</f>
        <v>0</v>
      </c>
      <c r="AG1317" s="294">
        <f>IF(NFI_Expiration=1,IF($A1317&lt;VLOOKUP(P$5,NFI,5,0),1,0)*Table_NFI[[#This Row],[Plastic Bucket]],Table_NFI[Plastic Bucket])</f>
        <v>0</v>
      </c>
      <c r="AH1317" s="294">
        <f>IF(NFI_Expiration=1,IF($A1317&lt;VLOOKUP(Q$5,NFI,5,0),1,0)*Table_NFI[[#This Row],[Plastic Mat]],Table_NFI[Plastic Mat])*IF(Table_NFI[[#This Row],[Distribution Date]]&gt;"2014-04-01",1,2.5)</f>
        <v>0</v>
      </c>
      <c r="AI1317" s="294">
        <f>IF(NFI_Expiration=1,IF($A1317&lt;VLOOKUP(R$5,NFI,5,0),1,0)*Table_NFI[[#This Row],[Winter Clothes Adult]],Table_NFI[Winter Clothes Adult])</f>
        <v>0</v>
      </c>
      <c r="AJ1317" s="294">
        <f>IF(NFI_Expiration=1,IF($A1317&lt;VLOOKUP(S$5,NFI,5,0),1,0)*Table_NFI[[#This Row],[Winter Clothes Children]],Table_NFI[Winter Clothes Children])</f>
        <v>0</v>
      </c>
      <c r="AK1317" s="294">
        <f>IF(NFI_Expiration=1,IF($A1317&lt;VLOOKUP(T$5,NFI,5,0),1,0)*Table_NFI[[#This Row],[Winter Items Other]],Table_NFI[Winter Items Other])</f>
        <v>0</v>
      </c>
      <c r="AL1317" s="294">
        <f>IF(NFI_Expiration=1,IF($A1317&lt;VLOOKUP(M$5,NFI,5,0),1,0)*Table_NFI[[#This Row],[Winter Blanket]],Table_NFI[[#This Row],[Winter Blanket]])</f>
        <v>0</v>
      </c>
      <c r="AM1317" s="294">
        <f>IF(Table_NFI[[#This Row],[Winter Clothes Adult]]+Table_NFI[[#This Row],[Winter Clothes Children]]+Table_NFI[[#This Row],[Winter Items Other]]+Table_NFI[[#This Row],[Winter Blanket]]&gt;0,1,0)</f>
        <v>0</v>
      </c>
      <c r="AN1317" s="331">
        <f>IF(NFI_Expiration=1,IF($A1317&lt;VLOOKUP(V$5,NFI,5,0),1,0)*Table_NFI[[#This Row],[Jerry Can]],Table_NFI[Jerry Can])</f>
        <v>0</v>
      </c>
      <c r="AO1317" s="331">
        <f>IF(NFI_Expiration=1,IF($A1317&lt;VLOOKUP(V$5,NFI,5,0),1,0)*Table_NFI[[#This Row],[Shelter Tool kit]],Table_NFI[Shelter Tool kit])</f>
        <v>0</v>
      </c>
      <c r="AP1317" s="331">
        <f>IF(NFI_Expiration=1,IF($A1317&lt;VLOOKUP(V$5,NFI,5,0),1,0)*Table_NFI[[#This Row],[Tent]],Table_NFI[Tent])</f>
        <v>0</v>
      </c>
      <c r="AQ1317" s="467" t="str">
        <f>IFERROR(VLOOKUP(Table_NFI[[#This Row],[Camp Name]],CL,2,0),"")</f>
        <v/>
      </c>
      <c r="AR1317" s="835" t="str">
        <f ca="1">IF(Table_NFI[[#This Row],[Pcode]]="","",IF(OFFSET(CampList[Opening Date],MATCH(Table_NFI[[#This Row],[Pcode]],CampList[CP_Pcode],0)-1,0,1,1)&gt;=NFI_Monitor_Date,1,0))</f>
        <v/>
      </c>
      <c r="AS1317" s="467" t="str">
        <f>IFERROR(VLOOKUP(Table_NFI[[#This Row],[Camp Name]],CL,3,0),"")</f>
        <v/>
      </c>
      <c r="AT1317" s="294" t="str">
        <f ca="1">IF(Table_NFI[[#This Row],[Pcode]]="","",OFFSET(CampList[Priority],MATCH(Table_NFI[[#This Row],[Pcode]],CampList[CP_Pcode],0)-1,0,1,1))</f>
        <v/>
      </c>
      <c r="AU1317" s="293" t="str">
        <f>IFERROR(Table_NFI[[#This Row],[Kitchen Set]]/VLOOKUP(Table_NFI[[#This Row],[Camp Name]],CL,4,0),"")</f>
        <v/>
      </c>
      <c r="AV1317" s="465"/>
      <c r="AW1317" s="468"/>
    </row>
    <row r="1318" spans="1:49" ht="14.45" customHeight="1" x14ac:dyDescent="0.25">
      <c r="A1318" s="297" t="str">
        <f t="shared" si="20"/>
        <v/>
      </c>
      <c r="B1318" s="460"/>
      <c r="C1318" s="465"/>
      <c r="D1318" s="465"/>
      <c r="E1318" s="465"/>
      <c r="F1318" s="465"/>
      <c r="G1318" s="465"/>
      <c r="H1318" s="292"/>
      <c r="I1318" s="292"/>
      <c r="J1318" s="292"/>
      <c r="K1318" s="292"/>
      <c r="L1318" s="292"/>
      <c r="M1318" s="292"/>
      <c r="N1318" s="292"/>
      <c r="O1318" s="292"/>
      <c r="P1318" s="294"/>
      <c r="Q1318" s="294"/>
      <c r="R1318" s="294"/>
      <c r="S1318" s="294"/>
      <c r="T1318" s="294"/>
      <c r="U1318" s="294"/>
      <c r="V1318" s="431"/>
      <c r="W1318" s="331"/>
      <c r="X1318" s="331"/>
      <c r="Y1318" s="294">
        <f>IF(NFI_Expiration=1,IF($A1318&lt;VLOOKUP(H$5,NFI,5,0),1,0)*Table_NFI[[#This Row],[Hygiene Kit]],Table_NFI[Hygiene Kit])</f>
        <v>0</v>
      </c>
      <c r="Z1318" s="294">
        <f>IF(NFI_Expiration=1,IF($A1318&lt;VLOOKUP(I$5,NFI,5,0),1,0)*Table_NFI[[#This Row],[NFI Core Kit]],Table_NFI[NFI Core Kit])</f>
        <v>0</v>
      </c>
      <c r="AA1318" s="294">
        <f>IF(NFI_Expiration=1,IF($A1318&lt;VLOOKUP(J$5,NFI,5,0),1,0)*Table_NFI[[#This Row],[Sanitary Kit]],Table_NFI[Sanitary Kit])</f>
        <v>0</v>
      </c>
      <c r="AB1318" s="294">
        <f>IF(NFI_Expiration=1,IF($A1318&lt;VLOOKUP(K$5,NFI,5,0),1,0)*Table_NFI[[#This Row],[Mosquito net]],Table_NFI[Mosquito net])</f>
        <v>0</v>
      </c>
      <c r="AC1318" s="294">
        <f>IF(NFI_Expiration=1,IF($A1318&lt;VLOOKUP(L$5,NFI,5,0),1,0)*Table_NFI[[#This Row],[Tarpaulin]],Table_NFI[[#This Row],[Tarpaulin]])</f>
        <v>0</v>
      </c>
      <c r="AD1318" s="294">
        <f>IF(NFI_Expiration=1,IF($A1318&lt;VLOOKUP(M$5,NFI,5,0),1,0)*Table_NFI[[#This Row],[Blanket]],Table_NFI[[#This Row],[Blanket]])</f>
        <v>0</v>
      </c>
      <c r="AE1318" s="294">
        <f>IF(NFI_Expiration=1,IF($A1318&lt;VLOOKUP(N$5,NFI,5,0),1,0)*Table_NFI[[#This Row],[Kitchen Set]],Table_NFI[Kitchen Set])</f>
        <v>0</v>
      </c>
      <c r="AF1318" s="294">
        <f>IF(NFI_Expiration=1,IF($A1318&lt;VLOOKUP(O$5,NFI,5,0),1,0)*Table_NFI[[#This Row],[Clothes Kit]],Table_NFI[Clothes Kit])</f>
        <v>0</v>
      </c>
      <c r="AG1318" s="294">
        <f>IF(NFI_Expiration=1,IF($A1318&lt;VLOOKUP(P$5,NFI,5,0),1,0)*Table_NFI[[#This Row],[Plastic Bucket]],Table_NFI[Plastic Bucket])</f>
        <v>0</v>
      </c>
      <c r="AH1318" s="294">
        <f>IF(NFI_Expiration=1,IF($A1318&lt;VLOOKUP(Q$5,NFI,5,0),1,0)*Table_NFI[[#This Row],[Plastic Mat]],Table_NFI[Plastic Mat])*IF(Table_NFI[[#This Row],[Distribution Date]]&gt;"2014-04-01",1,2.5)</f>
        <v>0</v>
      </c>
      <c r="AI1318" s="294">
        <f>IF(NFI_Expiration=1,IF($A1318&lt;VLOOKUP(R$5,NFI,5,0),1,0)*Table_NFI[[#This Row],[Winter Clothes Adult]],Table_NFI[Winter Clothes Adult])</f>
        <v>0</v>
      </c>
      <c r="AJ1318" s="294">
        <f>IF(NFI_Expiration=1,IF($A1318&lt;VLOOKUP(S$5,NFI,5,0),1,0)*Table_NFI[[#This Row],[Winter Clothes Children]],Table_NFI[Winter Clothes Children])</f>
        <v>0</v>
      </c>
      <c r="AK1318" s="294">
        <f>IF(NFI_Expiration=1,IF($A1318&lt;VLOOKUP(T$5,NFI,5,0),1,0)*Table_NFI[[#This Row],[Winter Items Other]],Table_NFI[Winter Items Other])</f>
        <v>0</v>
      </c>
      <c r="AL1318" s="294">
        <f>IF(NFI_Expiration=1,IF($A1318&lt;VLOOKUP(M$5,NFI,5,0),1,0)*Table_NFI[[#This Row],[Winter Blanket]],Table_NFI[[#This Row],[Winter Blanket]])</f>
        <v>0</v>
      </c>
      <c r="AM1318" s="294">
        <f>IF(Table_NFI[[#This Row],[Winter Clothes Adult]]+Table_NFI[[#This Row],[Winter Clothes Children]]+Table_NFI[[#This Row],[Winter Items Other]]+Table_NFI[[#This Row],[Winter Blanket]]&gt;0,1,0)</f>
        <v>0</v>
      </c>
      <c r="AN1318" s="331">
        <f>IF(NFI_Expiration=1,IF($A1318&lt;VLOOKUP(V$5,NFI,5,0),1,0)*Table_NFI[[#This Row],[Jerry Can]],Table_NFI[Jerry Can])</f>
        <v>0</v>
      </c>
      <c r="AO1318" s="331">
        <f>IF(NFI_Expiration=1,IF($A1318&lt;VLOOKUP(V$5,NFI,5,0),1,0)*Table_NFI[[#This Row],[Shelter Tool kit]],Table_NFI[Shelter Tool kit])</f>
        <v>0</v>
      </c>
      <c r="AP1318" s="331">
        <f>IF(NFI_Expiration=1,IF($A1318&lt;VLOOKUP(V$5,NFI,5,0),1,0)*Table_NFI[[#This Row],[Tent]],Table_NFI[Tent])</f>
        <v>0</v>
      </c>
      <c r="AQ1318" s="467" t="str">
        <f>IFERROR(VLOOKUP(Table_NFI[[#This Row],[Camp Name]],CL,2,0),"")</f>
        <v/>
      </c>
      <c r="AR1318" s="835" t="str">
        <f ca="1">IF(Table_NFI[[#This Row],[Pcode]]="","",IF(OFFSET(CampList[Opening Date],MATCH(Table_NFI[[#This Row],[Pcode]],CampList[CP_Pcode],0)-1,0,1,1)&gt;=NFI_Monitor_Date,1,0))</f>
        <v/>
      </c>
      <c r="AS1318" s="467" t="str">
        <f>IFERROR(VLOOKUP(Table_NFI[[#This Row],[Camp Name]],CL,3,0),"")</f>
        <v/>
      </c>
      <c r="AT1318" s="294" t="str">
        <f ca="1">IF(Table_NFI[[#This Row],[Pcode]]="","",OFFSET(CampList[Priority],MATCH(Table_NFI[[#This Row],[Pcode]],CampList[CP_Pcode],0)-1,0,1,1))</f>
        <v/>
      </c>
      <c r="AU1318" s="293" t="str">
        <f>IFERROR(Table_NFI[[#This Row],[Kitchen Set]]/VLOOKUP(Table_NFI[[#This Row],[Camp Name]],CL,4,0),"")</f>
        <v/>
      </c>
      <c r="AV1318" s="465"/>
      <c r="AW1318" s="468"/>
    </row>
    <row r="1319" spans="1:49" ht="14.45" customHeight="1" x14ac:dyDescent="0.25">
      <c r="A1319" s="297" t="str">
        <f t="shared" si="20"/>
        <v/>
      </c>
      <c r="B1319" s="460"/>
      <c r="C1319" s="465"/>
      <c r="D1319" s="465"/>
      <c r="E1319" s="465"/>
      <c r="F1319" s="465"/>
      <c r="G1319" s="465"/>
      <c r="H1319" s="292"/>
      <c r="I1319" s="292"/>
      <c r="J1319" s="292"/>
      <c r="K1319" s="292"/>
      <c r="L1319" s="292"/>
      <c r="M1319" s="292"/>
      <c r="N1319" s="292"/>
      <c r="O1319" s="292"/>
      <c r="P1319" s="294"/>
      <c r="Q1319" s="294"/>
      <c r="R1319" s="294"/>
      <c r="S1319" s="294"/>
      <c r="T1319" s="294"/>
      <c r="U1319" s="294"/>
      <c r="V1319" s="431"/>
      <c r="W1319" s="331"/>
      <c r="X1319" s="331"/>
      <c r="Y1319" s="294">
        <f>IF(NFI_Expiration=1,IF($A1319&lt;VLOOKUP(H$5,NFI,5,0),1,0)*Table_NFI[[#This Row],[Hygiene Kit]],Table_NFI[Hygiene Kit])</f>
        <v>0</v>
      </c>
      <c r="Z1319" s="294">
        <f>IF(NFI_Expiration=1,IF($A1319&lt;VLOOKUP(I$5,NFI,5,0),1,0)*Table_NFI[[#This Row],[NFI Core Kit]],Table_NFI[NFI Core Kit])</f>
        <v>0</v>
      </c>
      <c r="AA1319" s="294">
        <f>IF(NFI_Expiration=1,IF($A1319&lt;VLOOKUP(J$5,NFI,5,0),1,0)*Table_NFI[[#This Row],[Sanitary Kit]],Table_NFI[Sanitary Kit])</f>
        <v>0</v>
      </c>
      <c r="AB1319" s="294">
        <f>IF(NFI_Expiration=1,IF($A1319&lt;VLOOKUP(K$5,NFI,5,0),1,0)*Table_NFI[[#This Row],[Mosquito net]],Table_NFI[Mosquito net])</f>
        <v>0</v>
      </c>
      <c r="AC1319" s="294">
        <f>IF(NFI_Expiration=1,IF($A1319&lt;VLOOKUP(L$5,NFI,5,0),1,0)*Table_NFI[[#This Row],[Tarpaulin]],Table_NFI[[#This Row],[Tarpaulin]])</f>
        <v>0</v>
      </c>
      <c r="AD1319" s="294">
        <f>IF(NFI_Expiration=1,IF($A1319&lt;VLOOKUP(M$5,NFI,5,0),1,0)*Table_NFI[[#This Row],[Blanket]],Table_NFI[[#This Row],[Blanket]])</f>
        <v>0</v>
      </c>
      <c r="AE1319" s="294">
        <f>IF(NFI_Expiration=1,IF($A1319&lt;VLOOKUP(N$5,NFI,5,0),1,0)*Table_NFI[[#This Row],[Kitchen Set]],Table_NFI[Kitchen Set])</f>
        <v>0</v>
      </c>
      <c r="AF1319" s="294">
        <f>IF(NFI_Expiration=1,IF($A1319&lt;VLOOKUP(O$5,NFI,5,0),1,0)*Table_NFI[[#This Row],[Clothes Kit]],Table_NFI[Clothes Kit])</f>
        <v>0</v>
      </c>
      <c r="AG1319" s="294">
        <f>IF(NFI_Expiration=1,IF($A1319&lt;VLOOKUP(P$5,NFI,5,0),1,0)*Table_NFI[[#This Row],[Plastic Bucket]],Table_NFI[Plastic Bucket])</f>
        <v>0</v>
      </c>
      <c r="AH1319" s="294">
        <f>IF(NFI_Expiration=1,IF($A1319&lt;VLOOKUP(Q$5,NFI,5,0),1,0)*Table_NFI[[#This Row],[Plastic Mat]],Table_NFI[Plastic Mat])*IF(Table_NFI[[#This Row],[Distribution Date]]&gt;"2014-04-01",1,2.5)</f>
        <v>0</v>
      </c>
      <c r="AI1319" s="294">
        <f>IF(NFI_Expiration=1,IF($A1319&lt;VLOOKUP(R$5,NFI,5,0),1,0)*Table_NFI[[#This Row],[Winter Clothes Adult]],Table_NFI[Winter Clothes Adult])</f>
        <v>0</v>
      </c>
      <c r="AJ1319" s="294">
        <f>IF(NFI_Expiration=1,IF($A1319&lt;VLOOKUP(S$5,NFI,5,0),1,0)*Table_NFI[[#This Row],[Winter Clothes Children]],Table_NFI[Winter Clothes Children])</f>
        <v>0</v>
      </c>
      <c r="AK1319" s="294">
        <f>IF(NFI_Expiration=1,IF($A1319&lt;VLOOKUP(T$5,NFI,5,0),1,0)*Table_NFI[[#This Row],[Winter Items Other]],Table_NFI[Winter Items Other])</f>
        <v>0</v>
      </c>
      <c r="AL1319" s="294">
        <f>IF(NFI_Expiration=1,IF($A1319&lt;VLOOKUP(M$5,NFI,5,0),1,0)*Table_NFI[[#This Row],[Winter Blanket]],Table_NFI[[#This Row],[Winter Blanket]])</f>
        <v>0</v>
      </c>
      <c r="AM1319" s="294">
        <f>IF(Table_NFI[[#This Row],[Winter Clothes Adult]]+Table_NFI[[#This Row],[Winter Clothes Children]]+Table_NFI[[#This Row],[Winter Items Other]]+Table_NFI[[#This Row],[Winter Blanket]]&gt;0,1,0)</f>
        <v>0</v>
      </c>
      <c r="AN1319" s="331">
        <f>IF(NFI_Expiration=1,IF($A1319&lt;VLOOKUP(V$5,NFI,5,0),1,0)*Table_NFI[[#This Row],[Jerry Can]],Table_NFI[Jerry Can])</f>
        <v>0</v>
      </c>
      <c r="AO1319" s="331">
        <f>IF(NFI_Expiration=1,IF($A1319&lt;VLOOKUP(V$5,NFI,5,0),1,0)*Table_NFI[[#This Row],[Shelter Tool kit]],Table_NFI[Shelter Tool kit])</f>
        <v>0</v>
      </c>
      <c r="AP1319" s="331">
        <f>IF(NFI_Expiration=1,IF($A1319&lt;VLOOKUP(V$5,NFI,5,0),1,0)*Table_NFI[[#This Row],[Tent]],Table_NFI[Tent])</f>
        <v>0</v>
      </c>
      <c r="AQ1319" s="467" t="str">
        <f>IFERROR(VLOOKUP(Table_NFI[[#This Row],[Camp Name]],CL,2,0),"")</f>
        <v/>
      </c>
      <c r="AR1319" s="835" t="str">
        <f ca="1">IF(Table_NFI[[#This Row],[Pcode]]="","",IF(OFFSET(CampList[Opening Date],MATCH(Table_NFI[[#This Row],[Pcode]],CampList[CP_Pcode],0)-1,0,1,1)&gt;=NFI_Monitor_Date,1,0))</f>
        <v/>
      </c>
      <c r="AS1319" s="467" t="str">
        <f>IFERROR(VLOOKUP(Table_NFI[[#This Row],[Camp Name]],CL,3,0),"")</f>
        <v/>
      </c>
      <c r="AT1319" s="294" t="str">
        <f ca="1">IF(Table_NFI[[#This Row],[Pcode]]="","",OFFSET(CampList[Priority],MATCH(Table_NFI[[#This Row],[Pcode]],CampList[CP_Pcode],0)-1,0,1,1))</f>
        <v/>
      </c>
      <c r="AU1319" s="293" t="str">
        <f>IFERROR(Table_NFI[[#This Row],[Kitchen Set]]/VLOOKUP(Table_NFI[[#This Row],[Camp Name]],CL,4,0),"")</f>
        <v/>
      </c>
      <c r="AV1319" s="465"/>
      <c r="AW1319" s="468"/>
    </row>
    <row r="1320" spans="1:49" ht="14.45" customHeight="1" x14ac:dyDescent="0.25">
      <c r="A1320" s="297" t="str">
        <f t="shared" si="20"/>
        <v/>
      </c>
      <c r="B1320" s="460"/>
      <c r="C1320" s="465"/>
      <c r="D1320" s="465"/>
      <c r="E1320" s="465"/>
      <c r="F1320" s="465"/>
      <c r="G1320" s="465"/>
      <c r="H1320" s="292"/>
      <c r="I1320" s="292"/>
      <c r="J1320" s="292"/>
      <c r="K1320" s="292"/>
      <c r="L1320" s="292"/>
      <c r="M1320" s="292"/>
      <c r="N1320" s="292"/>
      <c r="O1320" s="292"/>
      <c r="P1320" s="294"/>
      <c r="Q1320" s="294"/>
      <c r="R1320" s="294"/>
      <c r="S1320" s="294"/>
      <c r="T1320" s="294"/>
      <c r="U1320" s="294"/>
      <c r="V1320" s="431"/>
      <c r="W1320" s="331"/>
      <c r="X1320" s="331"/>
      <c r="Y1320" s="294">
        <f>IF(NFI_Expiration=1,IF($A1320&lt;VLOOKUP(H$5,NFI,5,0),1,0)*Table_NFI[[#This Row],[Hygiene Kit]],Table_NFI[Hygiene Kit])</f>
        <v>0</v>
      </c>
      <c r="Z1320" s="294">
        <f>IF(NFI_Expiration=1,IF($A1320&lt;VLOOKUP(I$5,NFI,5,0),1,0)*Table_NFI[[#This Row],[NFI Core Kit]],Table_NFI[NFI Core Kit])</f>
        <v>0</v>
      </c>
      <c r="AA1320" s="294">
        <f>IF(NFI_Expiration=1,IF($A1320&lt;VLOOKUP(J$5,NFI,5,0),1,0)*Table_NFI[[#This Row],[Sanitary Kit]],Table_NFI[Sanitary Kit])</f>
        <v>0</v>
      </c>
      <c r="AB1320" s="294">
        <f>IF(NFI_Expiration=1,IF($A1320&lt;VLOOKUP(K$5,NFI,5,0),1,0)*Table_NFI[[#This Row],[Mosquito net]],Table_NFI[Mosquito net])</f>
        <v>0</v>
      </c>
      <c r="AC1320" s="294">
        <f>IF(NFI_Expiration=1,IF($A1320&lt;VLOOKUP(L$5,NFI,5,0),1,0)*Table_NFI[[#This Row],[Tarpaulin]],Table_NFI[[#This Row],[Tarpaulin]])</f>
        <v>0</v>
      </c>
      <c r="AD1320" s="294">
        <f>IF(NFI_Expiration=1,IF($A1320&lt;VLOOKUP(M$5,NFI,5,0),1,0)*Table_NFI[[#This Row],[Blanket]],Table_NFI[[#This Row],[Blanket]])</f>
        <v>0</v>
      </c>
      <c r="AE1320" s="294">
        <f>IF(NFI_Expiration=1,IF($A1320&lt;VLOOKUP(N$5,NFI,5,0),1,0)*Table_NFI[[#This Row],[Kitchen Set]],Table_NFI[Kitchen Set])</f>
        <v>0</v>
      </c>
      <c r="AF1320" s="294">
        <f>IF(NFI_Expiration=1,IF($A1320&lt;VLOOKUP(O$5,NFI,5,0),1,0)*Table_NFI[[#This Row],[Clothes Kit]],Table_NFI[Clothes Kit])</f>
        <v>0</v>
      </c>
      <c r="AG1320" s="294">
        <f>IF(NFI_Expiration=1,IF($A1320&lt;VLOOKUP(P$5,NFI,5,0),1,0)*Table_NFI[[#This Row],[Plastic Bucket]],Table_NFI[Plastic Bucket])</f>
        <v>0</v>
      </c>
      <c r="AH1320" s="294">
        <f>IF(NFI_Expiration=1,IF($A1320&lt;VLOOKUP(Q$5,NFI,5,0),1,0)*Table_NFI[[#This Row],[Plastic Mat]],Table_NFI[Plastic Mat])*IF(Table_NFI[[#This Row],[Distribution Date]]&gt;"2014-04-01",1,2.5)</f>
        <v>0</v>
      </c>
      <c r="AI1320" s="294">
        <f>IF(NFI_Expiration=1,IF($A1320&lt;VLOOKUP(R$5,NFI,5,0),1,0)*Table_NFI[[#This Row],[Winter Clothes Adult]],Table_NFI[Winter Clothes Adult])</f>
        <v>0</v>
      </c>
      <c r="AJ1320" s="294">
        <f>IF(NFI_Expiration=1,IF($A1320&lt;VLOOKUP(S$5,NFI,5,0),1,0)*Table_NFI[[#This Row],[Winter Clothes Children]],Table_NFI[Winter Clothes Children])</f>
        <v>0</v>
      </c>
      <c r="AK1320" s="294">
        <f>IF(NFI_Expiration=1,IF($A1320&lt;VLOOKUP(T$5,NFI,5,0),1,0)*Table_NFI[[#This Row],[Winter Items Other]],Table_NFI[Winter Items Other])</f>
        <v>0</v>
      </c>
      <c r="AL1320" s="294">
        <f>IF(NFI_Expiration=1,IF($A1320&lt;VLOOKUP(M$5,NFI,5,0),1,0)*Table_NFI[[#This Row],[Winter Blanket]],Table_NFI[[#This Row],[Winter Blanket]])</f>
        <v>0</v>
      </c>
      <c r="AM1320" s="294">
        <f>IF(Table_NFI[[#This Row],[Winter Clothes Adult]]+Table_NFI[[#This Row],[Winter Clothes Children]]+Table_NFI[[#This Row],[Winter Items Other]]+Table_NFI[[#This Row],[Winter Blanket]]&gt;0,1,0)</f>
        <v>0</v>
      </c>
      <c r="AN1320" s="331">
        <f>IF(NFI_Expiration=1,IF($A1320&lt;VLOOKUP(V$5,NFI,5,0),1,0)*Table_NFI[[#This Row],[Jerry Can]],Table_NFI[Jerry Can])</f>
        <v>0</v>
      </c>
      <c r="AO1320" s="331">
        <f>IF(NFI_Expiration=1,IF($A1320&lt;VLOOKUP(V$5,NFI,5,0),1,0)*Table_NFI[[#This Row],[Shelter Tool kit]],Table_NFI[Shelter Tool kit])</f>
        <v>0</v>
      </c>
      <c r="AP1320" s="331">
        <f>IF(NFI_Expiration=1,IF($A1320&lt;VLOOKUP(V$5,NFI,5,0),1,0)*Table_NFI[[#This Row],[Tent]],Table_NFI[Tent])</f>
        <v>0</v>
      </c>
      <c r="AQ1320" s="467" t="str">
        <f>IFERROR(VLOOKUP(Table_NFI[[#This Row],[Camp Name]],CL,2,0),"")</f>
        <v/>
      </c>
      <c r="AR1320" s="835" t="str">
        <f ca="1">IF(Table_NFI[[#This Row],[Pcode]]="","",IF(OFFSET(CampList[Opening Date],MATCH(Table_NFI[[#This Row],[Pcode]],CampList[CP_Pcode],0)-1,0,1,1)&gt;=NFI_Monitor_Date,1,0))</f>
        <v/>
      </c>
      <c r="AS1320" s="467" t="str">
        <f>IFERROR(VLOOKUP(Table_NFI[[#This Row],[Camp Name]],CL,3,0),"")</f>
        <v/>
      </c>
      <c r="AT1320" s="294" t="str">
        <f ca="1">IF(Table_NFI[[#This Row],[Pcode]]="","",OFFSET(CampList[Priority],MATCH(Table_NFI[[#This Row],[Pcode]],CampList[CP_Pcode],0)-1,0,1,1))</f>
        <v/>
      </c>
      <c r="AU1320" s="293" t="str">
        <f>IFERROR(Table_NFI[[#This Row],[Kitchen Set]]/VLOOKUP(Table_NFI[[#This Row],[Camp Name]],CL,4,0),"")</f>
        <v/>
      </c>
      <c r="AV1320" s="465"/>
      <c r="AW1320" s="468"/>
    </row>
    <row r="1321" spans="1:49" ht="14.45" customHeight="1" x14ac:dyDescent="0.25">
      <c r="A1321" s="297" t="str">
        <f t="shared" si="20"/>
        <v/>
      </c>
      <c r="B1321" s="460"/>
      <c r="C1321" s="465"/>
      <c r="D1321" s="465"/>
      <c r="E1321" s="465"/>
      <c r="F1321" s="465"/>
      <c r="G1321" s="465"/>
      <c r="H1321" s="292"/>
      <c r="I1321" s="292"/>
      <c r="J1321" s="292"/>
      <c r="K1321" s="292"/>
      <c r="L1321" s="292"/>
      <c r="M1321" s="292"/>
      <c r="N1321" s="292"/>
      <c r="O1321" s="292"/>
      <c r="P1321" s="294"/>
      <c r="Q1321" s="294"/>
      <c r="R1321" s="294"/>
      <c r="S1321" s="294"/>
      <c r="T1321" s="294"/>
      <c r="U1321" s="294"/>
      <c r="V1321" s="431"/>
      <c r="W1321" s="331"/>
      <c r="X1321" s="331"/>
      <c r="Y1321" s="294">
        <f>IF(NFI_Expiration=1,IF($A1321&lt;VLOOKUP(H$5,NFI,5,0),1,0)*Table_NFI[[#This Row],[Hygiene Kit]],Table_NFI[Hygiene Kit])</f>
        <v>0</v>
      </c>
      <c r="Z1321" s="294">
        <f>IF(NFI_Expiration=1,IF($A1321&lt;VLOOKUP(I$5,NFI,5,0),1,0)*Table_NFI[[#This Row],[NFI Core Kit]],Table_NFI[NFI Core Kit])</f>
        <v>0</v>
      </c>
      <c r="AA1321" s="294">
        <f>IF(NFI_Expiration=1,IF($A1321&lt;VLOOKUP(J$5,NFI,5,0),1,0)*Table_NFI[[#This Row],[Sanitary Kit]],Table_NFI[Sanitary Kit])</f>
        <v>0</v>
      </c>
      <c r="AB1321" s="294">
        <f>IF(NFI_Expiration=1,IF($A1321&lt;VLOOKUP(K$5,NFI,5,0),1,0)*Table_NFI[[#This Row],[Mosquito net]],Table_NFI[Mosquito net])</f>
        <v>0</v>
      </c>
      <c r="AC1321" s="294">
        <f>IF(NFI_Expiration=1,IF($A1321&lt;VLOOKUP(L$5,NFI,5,0),1,0)*Table_NFI[[#This Row],[Tarpaulin]],Table_NFI[[#This Row],[Tarpaulin]])</f>
        <v>0</v>
      </c>
      <c r="AD1321" s="294">
        <f>IF(NFI_Expiration=1,IF($A1321&lt;VLOOKUP(M$5,NFI,5,0),1,0)*Table_NFI[[#This Row],[Blanket]],Table_NFI[[#This Row],[Blanket]])</f>
        <v>0</v>
      </c>
      <c r="AE1321" s="294">
        <f>IF(NFI_Expiration=1,IF($A1321&lt;VLOOKUP(N$5,NFI,5,0),1,0)*Table_NFI[[#This Row],[Kitchen Set]],Table_NFI[Kitchen Set])</f>
        <v>0</v>
      </c>
      <c r="AF1321" s="294">
        <f>IF(NFI_Expiration=1,IF($A1321&lt;VLOOKUP(O$5,NFI,5,0),1,0)*Table_NFI[[#This Row],[Clothes Kit]],Table_NFI[Clothes Kit])</f>
        <v>0</v>
      </c>
      <c r="AG1321" s="294">
        <f>IF(NFI_Expiration=1,IF($A1321&lt;VLOOKUP(P$5,NFI,5,0),1,0)*Table_NFI[[#This Row],[Plastic Bucket]],Table_NFI[Plastic Bucket])</f>
        <v>0</v>
      </c>
      <c r="AH1321" s="294">
        <f>IF(NFI_Expiration=1,IF($A1321&lt;VLOOKUP(Q$5,NFI,5,0),1,0)*Table_NFI[[#This Row],[Plastic Mat]],Table_NFI[Plastic Mat])*IF(Table_NFI[[#This Row],[Distribution Date]]&gt;"2014-04-01",1,2.5)</f>
        <v>0</v>
      </c>
      <c r="AI1321" s="294">
        <f>IF(NFI_Expiration=1,IF($A1321&lt;VLOOKUP(R$5,NFI,5,0),1,0)*Table_NFI[[#This Row],[Winter Clothes Adult]],Table_NFI[Winter Clothes Adult])</f>
        <v>0</v>
      </c>
      <c r="AJ1321" s="294">
        <f>IF(NFI_Expiration=1,IF($A1321&lt;VLOOKUP(S$5,NFI,5,0),1,0)*Table_NFI[[#This Row],[Winter Clothes Children]],Table_NFI[Winter Clothes Children])</f>
        <v>0</v>
      </c>
      <c r="AK1321" s="294">
        <f>IF(NFI_Expiration=1,IF($A1321&lt;VLOOKUP(T$5,NFI,5,0),1,0)*Table_NFI[[#This Row],[Winter Items Other]],Table_NFI[Winter Items Other])</f>
        <v>0</v>
      </c>
      <c r="AL1321" s="294">
        <f>IF(NFI_Expiration=1,IF($A1321&lt;VLOOKUP(M$5,NFI,5,0),1,0)*Table_NFI[[#This Row],[Winter Blanket]],Table_NFI[[#This Row],[Winter Blanket]])</f>
        <v>0</v>
      </c>
      <c r="AM1321" s="294">
        <f>IF(Table_NFI[[#This Row],[Winter Clothes Adult]]+Table_NFI[[#This Row],[Winter Clothes Children]]+Table_NFI[[#This Row],[Winter Items Other]]+Table_NFI[[#This Row],[Winter Blanket]]&gt;0,1,0)</f>
        <v>0</v>
      </c>
      <c r="AN1321" s="331">
        <f>IF(NFI_Expiration=1,IF($A1321&lt;VLOOKUP(V$5,NFI,5,0),1,0)*Table_NFI[[#This Row],[Jerry Can]],Table_NFI[Jerry Can])</f>
        <v>0</v>
      </c>
      <c r="AO1321" s="331">
        <f>IF(NFI_Expiration=1,IF($A1321&lt;VLOOKUP(V$5,NFI,5,0),1,0)*Table_NFI[[#This Row],[Shelter Tool kit]],Table_NFI[Shelter Tool kit])</f>
        <v>0</v>
      </c>
      <c r="AP1321" s="331">
        <f>IF(NFI_Expiration=1,IF($A1321&lt;VLOOKUP(V$5,NFI,5,0),1,0)*Table_NFI[[#This Row],[Tent]],Table_NFI[Tent])</f>
        <v>0</v>
      </c>
      <c r="AQ1321" s="467" t="str">
        <f>IFERROR(VLOOKUP(Table_NFI[[#This Row],[Camp Name]],CL,2,0),"")</f>
        <v/>
      </c>
      <c r="AR1321" s="835" t="str">
        <f ca="1">IF(Table_NFI[[#This Row],[Pcode]]="","",IF(OFFSET(CampList[Opening Date],MATCH(Table_NFI[[#This Row],[Pcode]],CampList[CP_Pcode],0)-1,0,1,1)&gt;=NFI_Monitor_Date,1,0))</f>
        <v/>
      </c>
      <c r="AS1321" s="467" t="str">
        <f>IFERROR(VLOOKUP(Table_NFI[[#This Row],[Camp Name]],CL,3,0),"")</f>
        <v/>
      </c>
      <c r="AT1321" s="294" t="str">
        <f ca="1">IF(Table_NFI[[#This Row],[Pcode]]="","",OFFSET(CampList[Priority],MATCH(Table_NFI[[#This Row],[Pcode]],CampList[CP_Pcode],0)-1,0,1,1))</f>
        <v/>
      </c>
      <c r="AU1321" s="293" t="str">
        <f>IFERROR(Table_NFI[[#This Row],[Kitchen Set]]/VLOOKUP(Table_NFI[[#This Row],[Camp Name]],CL,4,0),"")</f>
        <v/>
      </c>
      <c r="AV1321" s="465"/>
      <c r="AW1321" s="468"/>
    </row>
    <row r="1322" spans="1:49" ht="14.45" customHeight="1" x14ac:dyDescent="0.25">
      <c r="A1322" s="297" t="str">
        <f t="shared" si="20"/>
        <v/>
      </c>
      <c r="B1322" s="460"/>
      <c r="C1322" s="465"/>
      <c r="D1322" s="465"/>
      <c r="E1322" s="465"/>
      <c r="F1322" s="465"/>
      <c r="G1322" s="465"/>
      <c r="H1322" s="292"/>
      <c r="I1322" s="292"/>
      <c r="J1322" s="292"/>
      <c r="K1322" s="292"/>
      <c r="L1322" s="292"/>
      <c r="M1322" s="292"/>
      <c r="N1322" s="292"/>
      <c r="O1322" s="292"/>
      <c r="P1322" s="294"/>
      <c r="Q1322" s="294"/>
      <c r="R1322" s="294"/>
      <c r="S1322" s="294"/>
      <c r="T1322" s="294"/>
      <c r="U1322" s="294"/>
      <c r="V1322" s="431"/>
      <c r="W1322" s="331"/>
      <c r="X1322" s="331"/>
      <c r="Y1322" s="294">
        <f>IF(NFI_Expiration=1,IF($A1322&lt;VLOOKUP(H$5,NFI,5,0),1,0)*Table_NFI[[#This Row],[Hygiene Kit]],Table_NFI[Hygiene Kit])</f>
        <v>0</v>
      </c>
      <c r="Z1322" s="294">
        <f>IF(NFI_Expiration=1,IF($A1322&lt;VLOOKUP(I$5,NFI,5,0),1,0)*Table_NFI[[#This Row],[NFI Core Kit]],Table_NFI[NFI Core Kit])</f>
        <v>0</v>
      </c>
      <c r="AA1322" s="294">
        <f>IF(NFI_Expiration=1,IF($A1322&lt;VLOOKUP(J$5,NFI,5,0),1,0)*Table_NFI[[#This Row],[Sanitary Kit]],Table_NFI[Sanitary Kit])</f>
        <v>0</v>
      </c>
      <c r="AB1322" s="294">
        <f>IF(NFI_Expiration=1,IF($A1322&lt;VLOOKUP(K$5,NFI,5,0),1,0)*Table_NFI[[#This Row],[Mosquito net]],Table_NFI[Mosquito net])</f>
        <v>0</v>
      </c>
      <c r="AC1322" s="294">
        <f>IF(NFI_Expiration=1,IF($A1322&lt;VLOOKUP(L$5,NFI,5,0),1,0)*Table_NFI[[#This Row],[Tarpaulin]],Table_NFI[[#This Row],[Tarpaulin]])</f>
        <v>0</v>
      </c>
      <c r="AD1322" s="294">
        <f>IF(NFI_Expiration=1,IF($A1322&lt;VLOOKUP(M$5,NFI,5,0),1,0)*Table_NFI[[#This Row],[Blanket]],Table_NFI[[#This Row],[Blanket]])</f>
        <v>0</v>
      </c>
      <c r="AE1322" s="294">
        <f>IF(NFI_Expiration=1,IF($A1322&lt;VLOOKUP(N$5,NFI,5,0),1,0)*Table_NFI[[#This Row],[Kitchen Set]],Table_NFI[Kitchen Set])</f>
        <v>0</v>
      </c>
      <c r="AF1322" s="294">
        <f>IF(NFI_Expiration=1,IF($A1322&lt;VLOOKUP(O$5,NFI,5,0),1,0)*Table_NFI[[#This Row],[Clothes Kit]],Table_NFI[Clothes Kit])</f>
        <v>0</v>
      </c>
      <c r="AG1322" s="294">
        <f>IF(NFI_Expiration=1,IF($A1322&lt;VLOOKUP(P$5,NFI,5,0),1,0)*Table_NFI[[#This Row],[Plastic Bucket]],Table_NFI[Plastic Bucket])</f>
        <v>0</v>
      </c>
      <c r="AH1322" s="294">
        <f>IF(NFI_Expiration=1,IF($A1322&lt;VLOOKUP(Q$5,NFI,5,0),1,0)*Table_NFI[[#This Row],[Plastic Mat]],Table_NFI[Plastic Mat])*IF(Table_NFI[[#This Row],[Distribution Date]]&gt;"2014-04-01",1,2.5)</f>
        <v>0</v>
      </c>
      <c r="AI1322" s="294">
        <f>IF(NFI_Expiration=1,IF($A1322&lt;VLOOKUP(R$5,NFI,5,0),1,0)*Table_NFI[[#This Row],[Winter Clothes Adult]],Table_NFI[Winter Clothes Adult])</f>
        <v>0</v>
      </c>
      <c r="AJ1322" s="294">
        <f>IF(NFI_Expiration=1,IF($A1322&lt;VLOOKUP(S$5,NFI,5,0),1,0)*Table_NFI[[#This Row],[Winter Clothes Children]],Table_NFI[Winter Clothes Children])</f>
        <v>0</v>
      </c>
      <c r="AK1322" s="294">
        <f>IF(NFI_Expiration=1,IF($A1322&lt;VLOOKUP(T$5,NFI,5,0),1,0)*Table_NFI[[#This Row],[Winter Items Other]],Table_NFI[Winter Items Other])</f>
        <v>0</v>
      </c>
      <c r="AL1322" s="294">
        <f>IF(NFI_Expiration=1,IF($A1322&lt;VLOOKUP(M$5,NFI,5,0),1,0)*Table_NFI[[#This Row],[Winter Blanket]],Table_NFI[[#This Row],[Winter Blanket]])</f>
        <v>0</v>
      </c>
      <c r="AM1322" s="294">
        <f>IF(Table_NFI[[#This Row],[Winter Clothes Adult]]+Table_NFI[[#This Row],[Winter Clothes Children]]+Table_NFI[[#This Row],[Winter Items Other]]+Table_NFI[[#This Row],[Winter Blanket]]&gt;0,1,0)</f>
        <v>0</v>
      </c>
      <c r="AN1322" s="331">
        <f>IF(NFI_Expiration=1,IF($A1322&lt;VLOOKUP(V$5,NFI,5,0),1,0)*Table_NFI[[#This Row],[Jerry Can]],Table_NFI[Jerry Can])</f>
        <v>0</v>
      </c>
      <c r="AO1322" s="331">
        <f>IF(NFI_Expiration=1,IF($A1322&lt;VLOOKUP(V$5,NFI,5,0),1,0)*Table_NFI[[#This Row],[Shelter Tool kit]],Table_NFI[Shelter Tool kit])</f>
        <v>0</v>
      </c>
      <c r="AP1322" s="331">
        <f>IF(NFI_Expiration=1,IF($A1322&lt;VLOOKUP(V$5,NFI,5,0),1,0)*Table_NFI[[#This Row],[Tent]],Table_NFI[Tent])</f>
        <v>0</v>
      </c>
      <c r="AQ1322" s="467" t="str">
        <f>IFERROR(VLOOKUP(Table_NFI[[#This Row],[Camp Name]],CL,2,0),"")</f>
        <v/>
      </c>
      <c r="AR1322" s="835" t="str">
        <f ca="1">IF(Table_NFI[[#This Row],[Pcode]]="","",IF(OFFSET(CampList[Opening Date],MATCH(Table_NFI[[#This Row],[Pcode]],CampList[CP_Pcode],0)-1,0,1,1)&gt;=NFI_Monitor_Date,1,0))</f>
        <v/>
      </c>
      <c r="AS1322" s="467" t="str">
        <f>IFERROR(VLOOKUP(Table_NFI[[#This Row],[Camp Name]],CL,3,0),"")</f>
        <v/>
      </c>
      <c r="AT1322" s="294" t="str">
        <f ca="1">IF(Table_NFI[[#This Row],[Pcode]]="","",OFFSET(CampList[Priority],MATCH(Table_NFI[[#This Row],[Pcode]],CampList[CP_Pcode],0)-1,0,1,1))</f>
        <v/>
      </c>
      <c r="AU1322" s="293" t="str">
        <f>IFERROR(Table_NFI[[#This Row],[Kitchen Set]]/VLOOKUP(Table_NFI[[#This Row],[Camp Name]],CL,4,0),"")</f>
        <v/>
      </c>
      <c r="AV1322" s="465"/>
      <c r="AW1322" s="468"/>
    </row>
    <row r="1323" spans="1:49" ht="14.45" customHeight="1" x14ac:dyDescent="0.25">
      <c r="A1323" s="297" t="str">
        <f t="shared" si="20"/>
        <v/>
      </c>
      <c r="B1323" s="460"/>
      <c r="C1323" s="465"/>
      <c r="D1323" s="465"/>
      <c r="E1323" s="465"/>
      <c r="F1323" s="465"/>
      <c r="G1323" s="465"/>
      <c r="H1323" s="292"/>
      <c r="I1323" s="292"/>
      <c r="J1323" s="292"/>
      <c r="K1323" s="292"/>
      <c r="L1323" s="292"/>
      <c r="M1323" s="292"/>
      <c r="N1323" s="292"/>
      <c r="O1323" s="292"/>
      <c r="P1323" s="294"/>
      <c r="Q1323" s="294"/>
      <c r="R1323" s="294"/>
      <c r="S1323" s="294"/>
      <c r="T1323" s="294"/>
      <c r="U1323" s="294"/>
      <c r="V1323" s="431"/>
      <c r="W1323" s="331"/>
      <c r="X1323" s="331"/>
      <c r="Y1323" s="294">
        <f>IF(NFI_Expiration=1,IF($A1323&lt;VLOOKUP(H$5,NFI,5,0),1,0)*Table_NFI[[#This Row],[Hygiene Kit]],Table_NFI[Hygiene Kit])</f>
        <v>0</v>
      </c>
      <c r="Z1323" s="294">
        <f>IF(NFI_Expiration=1,IF($A1323&lt;VLOOKUP(I$5,NFI,5,0),1,0)*Table_NFI[[#This Row],[NFI Core Kit]],Table_NFI[NFI Core Kit])</f>
        <v>0</v>
      </c>
      <c r="AA1323" s="294">
        <f>IF(NFI_Expiration=1,IF($A1323&lt;VLOOKUP(J$5,NFI,5,0),1,0)*Table_NFI[[#This Row],[Sanitary Kit]],Table_NFI[Sanitary Kit])</f>
        <v>0</v>
      </c>
      <c r="AB1323" s="294">
        <f>IF(NFI_Expiration=1,IF($A1323&lt;VLOOKUP(K$5,NFI,5,0),1,0)*Table_NFI[[#This Row],[Mosquito net]],Table_NFI[Mosquito net])</f>
        <v>0</v>
      </c>
      <c r="AC1323" s="294">
        <f>IF(NFI_Expiration=1,IF($A1323&lt;VLOOKUP(L$5,NFI,5,0),1,0)*Table_NFI[[#This Row],[Tarpaulin]],Table_NFI[[#This Row],[Tarpaulin]])</f>
        <v>0</v>
      </c>
      <c r="AD1323" s="294">
        <f>IF(NFI_Expiration=1,IF($A1323&lt;VLOOKUP(M$5,NFI,5,0),1,0)*Table_NFI[[#This Row],[Blanket]],Table_NFI[[#This Row],[Blanket]])</f>
        <v>0</v>
      </c>
      <c r="AE1323" s="294">
        <f>IF(NFI_Expiration=1,IF($A1323&lt;VLOOKUP(N$5,NFI,5,0),1,0)*Table_NFI[[#This Row],[Kitchen Set]],Table_NFI[Kitchen Set])</f>
        <v>0</v>
      </c>
      <c r="AF1323" s="294">
        <f>IF(NFI_Expiration=1,IF($A1323&lt;VLOOKUP(O$5,NFI,5,0),1,0)*Table_NFI[[#This Row],[Clothes Kit]],Table_NFI[Clothes Kit])</f>
        <v>0</v>
      </c>
      <c r="AG1323" s="294">
        <f>IF(NFI_Expiration=1,IF($A1323&lt;VLOOKUP(P$5,NFI,5,0),1,0)*Table_NFI[[#This Row],[Plastic Bucket]],Table_NFI[Plastic Bucket])</f>
        <v>0</v>
      </c>
      <c r="AH1323" s="294">
        <f>IF(NFI_Expiration=1,IF($A1323&lt;VLOOKUP(Q$5,NFI,5,0),1,0)*Table_NFI[[#This Row],[Plastic Mat]],Table_NFI[Plastic Mat])*IF(Table_NFI[[#This Row],[Distribution Date]]&gt;"2014-04-01",1,2.5)</f>
        <v>0</v>
      </c>
      <c r="AI1323" s="294">
        <f>IF(NFI_Expiration=1,IF($A1323&lt;VLOOKUP(R$5,NFI,5,0),1,0)*Table_NFI[[#This Row],[Winter Clothes Adult]],Table_NFI[Winter Clothes Adult])</f>
        <v>0</v>
      </c>
      <c r="AJ1323" s="294">
        <f>IF(NFI_Expiration=1,IF($A1323&lt;VLOOKUP(S$5,NFI,5,0),1,0)*Table_NFI[[#This Row],[Winter Clothes Children]],Table_NFI[Winter Clothes Children])</f>
        <v>0</v>
      </c>
      <c r="AK1323" s="294">
        <f>IF(NFI_Expiration=1,IF($A1323&lt;VLOOKUP(T$5,NFI,5,0),1,0)*Table_NFI[[#This Row],[Winter Items Other]],Table_NFI[Winter Items Other])</f>
        <v>0</v>
      </c>
      <c r="AL1323" s="294">
        <f>IF(NFI_Expiration=1,IF($A1323&lt;VLOOKUP(M$5,NFI,5,0),1,0)*Table_NFI[[#This Row],[Winter Blanket]],Table_NFI[[#This Row],[Winter Blanket]])</f>
        <v>0</v>
      </c>
      <c r="AM1323" s="294">
        <f>IF(Table_NFI[[#This Row],[Winter Clothes Adult]]+Table_NFI[[#This Row],[Winter Clothes Children]]+Table_NFI[[#This Row],[Winter Items Other]]+Table_NFI[[#This Row],[Winter Blanket]]&gt;0,1,0)</f>
        <v>0</v>
      </c>
      <c r="AN1323" s="331">
        <f>IF(NFI_Expiration=1,IF($A1323&lt;VLOOKUP(V$5,NFI,5,0),1,0)*Table_NFI[[#This Row],[Jerry Can]],Table_NFI[Jerry Can])</f>
        <v>0</v>
      </c>
      <c r="AO1323" s="331">
        <f>IF(NFI_Expiration=1,IF($A1323&lt;VLOOKUP(V$5,NFI,5,0),1,0)*Table_NFI[[#This Row],[Shelter Tool kit]],Table_NFI[Shelter Tool kit])</f>
        <v>0</v>
      </c>
      <c r="AP1323" s="331">
        <f>IF(NFI_Expiration=1,IF($A1323&lt;VLOOKUP(V$5,NFI,5,0),1,0)*Table_NFI[[#This Row],[Tent]],Table_NFI[Tent])</f>
        <v>0</v>
      </c>
      <c r="AQ1323" s="467" t="str">
        <f>IFERROR(VLOOKUP(Table_NFI[[#This Row],[Camp Name]],CL,2,0),"")</f>
        <v/>
      </c>
      <c r="AR1323" s="835" t="str">
        <f ca="1">IF(Table_NFI[[#This Row],[Pcode]]="","",IF(OFFSET(CampList[Opening Date],MATCH(Table_NFI[[#This Row],[Pcode]],CampList[CP_Pcode],0)-1,0,1,1)&gt;=NFI_Monitor_Date,1,0))</f>
        <v/>
      </c>
      <c r="AS1323" s="467" t="str">
        <f>IFERROR(VLOOKUP(Table_NFI[[#This Row],[Camp Name]],CL,3,0),"")</f>
        <v/>
      </c>
      <c r="AT1323" s="294" t="str">
        <f ca="1">IF(Table_NFI[[#This Row],[Pcode]]="","",OFFSET(CampList[Priority],MATCH(Table_NFI[[#This Row],[Pcode]],CampList[CP_Pcode],0)-1,0,1,1))</f>
        <v/>
      </c>
      <c r="AU1323" s="293" t="str">
        <f>IFERROR(Table_NFI[[#This Row],[Kitchen Set]]/VLOOKUP(Table_NFI[[#This Row],[Camp Name]],CL,4,0),"")</f>
        <v/>
      </c>
      <c r="AV1323" s="465"/>
      <c r="AW1323" s="468"/>
    </row>
    <row r="1324" spans="1:49" ht="14.45" customHeight="1" x14ac:dyDescent="0.25">
      <c r="A1324" s="297" t="str">
        <f t="shared" si="20"/>
        <v/>
      </c>
      <c r="B1324" s="460"/>
      <c r="C1324" s="465"/>
      <c r="D1324" s="465"/>
      <c r="E1324" s="465"/>
      <c r="F1324" s="465"/>
      <c r="G1324" s="465"/>
      <c r="H1324" s="292"/>
      <c r="I1324" s="292"/>
      <c r="J1324" s="292"/>
      <c r="K1324" s="292"/>
      <c r="L1324" s="292"/>
      <c r="M1324" s="292"/>
      <c r="N1324" s="292"/>
      <c r="O1324" s="292"/>
      <c r="P1324" s="294"/>
      <c r="Q1324" s="294"/>
      <c r="R1324" s="294"/>
      <c r="S1324" s="294"/>
      <c r="T1324" s="294"/>
      <c r="U1324" s="294"/>
      <c r="V1324" s="431"/>
      <c r="W1324" s="331"/>
      <c r="X1324" s="331"/>
      <c r="Y1324" s="294">
        <f>IF(NFI_Expiration=1,IF($A1324&lt;VLOOKUP(H$5,NFI,5,0),1,0)*Table_NFI[[#This Row],[Hygiene Kit]],Table_NFI[Hygiene Kit])</f>
        <v>0</v>
      </c>
      <c r="Z1324" s="294">
        <f>IF(NFI_Expiration=1,IF($A1324&lt;VLOOKUP(I$5,NFI,5,0),1,0)*Table_NFI[[#This Row],[NFI Core Kit]],Table_NFI[NFI Core Kit])</f>
        <v>0</v>
      </c>
      <c r="AA1324" s="294">
        <f>IF(NFI_Expiration=1,IF($A1324&lt;VLOOKUP(J$5,NFI,5,0),1,0)*Table_NFI[[#This Row],[Sanitary Kit]],Table_NFI[Sanitary Kit])</f>
        <v>0</v>
      </c>
      <c r="AB1324" s="294">
        <f>IF(NFI_Expiration=1,IF($A1324&lt;VLOOKUP(K$5,NFI,5,0),1,0)*Table_NFI[[#This Row],[Mosquito net]],Table_NFI[Mosquito net])</f>
        <v>0</v>
      </c>
      <c r="AC1324" s="294">
        <f>IF(NFI_Expiration=1,IF($A1324&lt;VLOOKUP(L$5,NFI,5,0),1,0)*Table_NFI[[#This Row],[Tarpaulin]],Table_NFI[[#This Row],[Tarpaulin]])</f>
        <v>0</v>
      </c>
      <c r="AD1324" s="294">
        <f>IF(NFI_Expiration=1,IF($A1324&lt;VLOOKUP(M$5,NFI,5,0),1,0)*Table_NFI[[#This Row],[Blanket]],Table_NFI[[#This Row],[Blanket]])</f>
        <v>0</v>
      </c>
      <c r="AE1324" s="294">
        <f>IF(NFI_Expiration=1,IF($A1324&lt;VLOOKUP(N$5,NFI,5,0),1,0)*Table_NFI[[#This Row],[Kitchen Set]],Table_NFI[Kitchen Set])</f>
        <v>0</v>
      </c>
      <c r="AF1324" s="294">
        <f>IF(NFI_Expiration=1,IF($A1324&lt;VLOOKUP(O$5,NFI,5,0),1,0)*Table_NFI[[#This Row],[Clothes Kit]],Table_NFI[Clothes Kit])</f>
        <v>0</v>
      </c>
      <c r="AG1324" s="294">
        <f>IF(NFI_Expiration=1,IF($A1324&lt;VLOOKUP(P$5,NFI,5,0),1,0)*Table_NFI[[#This Row],[Plastic Bucket]],Table_NFI[Plastic Bucket])</f>
        <v>0</v>
      </c>
      <c r="AH1324" s="294">
        <f>IF(NFI_Expiration=1,IF($A1324&lt;VLOOKUP(Q$5,NFI,5,0),1,0)*Table_NFI[[#This Row],[Plastic Mat]],Table_NFI[Plastic Mat])*IF(Table_NFI[[#This Row],[Distribution Date]]&gt;"2014-04-01",1,2.5)</f>
        <v>0</v>
      </c>
      <c r="AI1324" s="294">
        <f>IF(NFI_Expiration=1,IF($A1324&lt;VLOOKUP(R$5,NFI,5,0),1,0)*Table_NFI[[#This Row],[Winter Clothes Adult]],Table_NFI[Winter Clothes Adult])</f>
        <v>0</v>
      </c>
      <c r="AJ1324" s="294">
        <f>IF(NFI_Expiration=1,IF($A1324&lt;VLOOKUP(S$5,NFI,5,0),1,0)*Table_NFI[[#This Row],[Winter Clothes Children]],Table_NFI[Winter Clothes Children])</f>
        <v>0</v>
      </c>
      <c r="AK1324" s="294">
        <f>IF(NFI_Expiration=1,IF($A1324&lt;VLOOKUP(T$5,NFI,5,0),1,0)*Table_NFI[[#This Row],[Winter Items Other]],Table_NFI[Winter Items Other])</f>
        <v>0</v>
      </c>
      <c r="AL1324" s="294">
        <f>IF(NFI_Expiration=1,IF($A1324&lt;VLOOKUP(M$5,NFI,5,0),1,0)*Table_NFI[[#This Row],[Winter Blanket]],Table_NFI[[#This Row],[Winter Blanket]])</f>
        <v>0</v>
      </c>
      <c r="AM1324" s="294">
        <f>IF(Table_NFI[[#This Row],[Winter Clothes Adult]]+Table_NFI[[#This Row],[Winter Clothes Children]]+Table_NFI[[#This Row],[Winter Items Other]]+Table_NFI[[#This Row],[Winter Blanket]]&gt;0,1,0)</f>
        <v>0</v>
      </c>
      <c r="AN1324" s="331">
        <f>IF(NFI_Expiration=1,IF($A1324&lt;VLOOKUP(V$5,NFI,5,0),1,0)*Table_NFI[[#This Row],[Jerry Can]],Table_NFI[Jerry Can])</f>
        <v>0</v>
      </c>
      <c r="AO1324" s="331">
        <f>IF(NFI_Expiration=1,IF($A1324&lt;VLOOKUP(V$5,NFI,5,0),1,0)*Table_NFI[[#This Row],[Shelter Tool kit]],Table_NFI[Shelter Tool kit])</f>
        <v>0</v>
      </c>
      <c r="AP1324" s="331">
        <f>IF(NFI_Expiration=1,IF($A1324&lt;VLOOKUP(V$5,NFI,5,0),1,0)*Table_NFI[[#This Row],[Tent]],Table_NFI[Tent])</f>
        <v>0</v>
      </c>
      <c r="AQ1324" s="467" t="str">
        <f>IFERROR(VLOOKUP(Table_NFI[[#This Row],[Camp Name]],CL,2,0),"")</f>
        <v/>
      </c>
      <c r="AR1324" s="835" t="str">
        <f ca="1">IF(Table_NFI[[#This Row],[Pcode]]="","",IF(OFFSET(CampList[Opening Date],MATCH(Table_NFI[[#This Row],[Pcode]],CampList[CP_Pcode],0)-1,0,1,1)&gt;=NFI_Monitor_Date,1,0))</f>
        <v/>
      </c>
      <c r="AS1324" s="467" t="str">
        <f>IFERROR(VLOOKUP(Table_NFI[[#This Row],[Camp Name]],CL,3,0),"")</f>
        <v/>
      </c>
      <c r="AT1324" s="294" t="str">
        <f ca="1">IF(Table_NFI[[#This Row],[Pcode]]="","",OFFSET(CampList[Priority],MATCH(Table_NFI[[#This Row],[Pcode]],CampList[CP_Pcode],0)-1,0,1,1))</f>
        <v/>
      </c>
      <c r="AU1324" s="293" t="str">
        <f>IFERROR(Table_NFI[[#This Row],[Kitchen Set]]/VLOOKUP(Table_NFI[[#This Row],[Camp Name]],CL,4,0),"")</f>
        <v/>
      </c>
      <c r="AV1324" s="465"/>
      <c r="AW1324" s="468"/>
    </row>
    <row r="1325" spans="1:49" ht="14.45" customHeight="1" x14ac:dyDescent="0.25">
      <c r="A1325" s="297" t="str">
        <f t="shared" si="20"/>
        <v/>
      </c>
      <c r="B1325" s="460"/>
      <c r="C1325" s="465"/>
      <c r="D1325" s="465"/>
      <c r="E1325" s="465"/>
      <c r="F1325" s="465"/>
      <c r="G1325" s="465"/>
      <c r="H1325" s="292"/>
      <c r="I1325" s="292"/>
      <c r="J1325" s="292"/>
      <c r="K1325" s="292"/>
      <c r="L1325" s="292"/>
      <c r="M1325" s="292"/>
      <c r="N1325" s="292"/>
      <c r="O1325" s="292"/>
      <c r="P1325" s="294"/>
      <c r="Q1325" s="294"/>
      <c r="R1325" s="294"/>
      <c r="S1325" s="294"/>
      <c r="T1325" s="294"/>
      <c r="U1325" s="294"/>
      <c r="V1325" s="431"/>
      <c r="W1325" s="331"/>
      <c r="X1325" s="331"/>
      <c r="Y1325" s="294">
        <f>IF(NFI_Expiration=1,IF($A1325&lt;VLOOKUP(H$5,NFI,5,0),1,0)*Table_NFI[[#This Row],[Hygiene Kit]],Table_NFI[Hygiene Kit])</f>
        <v>0</v>
      </c>
      <c r="Z1325" s="294">
        <f>IF(NFI_Expiration=1,IF($A1325&lt;VLOOKUP(I$5,NFI,5,0),1,0)*Table_NFI[[#This Row],[NFI Core Kit]],Table_NFI[NFI Core Kit])</f>
        <v>0</v>
      </c>
      <c r="AA1325" s="294">
        <f>IF(NFI_Expiration=1,IF($A1325&lt;VLOOKUP(J$5,NFI,5,0),1,0)*Table_NFI[[#This Row],[Sanitary Kit]],Table_NFI[Sanitary Kit])</f>
        <v>0</v>
      </c>
      <c r="AB1325" s="294">
        <f>IF(NFI_Expiration=1,IF($A1325&lt;VLOOKUP(K$5,NFI,5,0),1,0)*Table_NFI[[#This Row],[Mosquito net]],Table_NFI[Mosquito net])</f>
        <v>0</v>
      </c>
      <c r="AC1325" s="294">
        <f>IF(NFI_Expiration=1,IF($A1325&lt;VLOOKUP(L$5,NFI,5,0),1,0)*Table_NFI[[#This Row],[Tarpaulin]],Table_NFI[[#This Row],[Tarpaulin]])</f>
        <v>0</v>
      </c>
      <c r="AD1325" s="294">
        <f>IF(NFI_Expiration=1,IF($A1325&lt;VLOOKUP(M$5,NFI,5,0),1,0)*Table_NFI[[#This Row],[Blanket]],Table_NFI[[#This Row],[Blanket]])</f>
        <v>0</v>
      </c>
      <c r="AE1325" s="294">
        <f>IF(NFI_Expiration=1,IF($A1325&lt;VLOOKUP(N$5,NFI,5,0),1,0)*Table_NFI[[#This Row],[Kitchen Set]],Table_NFI[Kitchen Set])</f>
        <v>0</v>
      </c>
      <c r="AF1325" s="294">
        <f>IF(NFI_Expiration=1,IF($A1325&lt;VLOOKUP(O$5,NFI,5,0),1,0)*Table_NFI[[#This Row],[Clothes Kit]],Table_NFI[Clothes Kit])</f>
        <v>0</v>
      </c>
      <c r="AG1325" s="294">
        <f>IF(NFI_Expiration=1,IF($A1325&lt;VLOOKUP(P$5,NFI,5,0),1,0)*Table_NFI[[#This Row],[Plastic Bucket]],Table_NFI[Plastic Bucket])</f>
        <v>0</v>
      </c>
      <c r="AH1325" s="294">
        <f>IF(NFI_Expiration=1,IF($A1325&lt;VLOOKUP(Q$5,NFI,5,0),1,0)*Table_NFI[[#This Row],[Plastic Mat]],Table_NFI[Plastic Mat])*IF(Table_NFI[[#This Row],[Distribution Date]]&gt;"2014-04-01",1,2.5)</f>
        <v>0</v>
      </c>
      <c r="AI1325" s="294">
        <f>IF(NFI_Expiration=1,IF($A1325&lt;VLOOKUP(R$5,NFI,5,0),1,0)*Table_NFI[[#This Row],[Winter Clothes Adult]],Table_NFI[Winter Clothes Adult])</f>
        <v>0</v>
      </c>
      <c r="AJ1325" s="294">
        <f>IF(NFI_Expiration=1,IF($A1325&lt;VLOOKUP(S$5,NFI,5,0),1,0)*Table_NFI[[#This Row],[Winter Clothes Children]],Table_NFI[Winter Clothes Children])</f>
        <v>0</v>
      </c>
      <c r="AK1325" s="294">
        <f>IF(NFI_Expiration=1,IF($A1325&lt;VLOOKUP(T$5,NFI,5,0),1,0)*Table_NFI[[#This Row],[Winter Items Other]],Table_NFI[Winter Items Other])</f>
        <v>0</v>
      </c>
      <c r="AL1325" s="294">
        <f>IF(NFI_Expiration=1,IF($A1325&lt;VLOOKUP(M$5,NFI,5,0),1,0)*Table_NFI[[#This Row],[Winter Blanket]],Table_NFI[[#This Row],[Winter Blanket]])</f>
        <v>0</v>
      </c>
      <c r="AM1325" s="294">
        <f>IF(Table_NFI[[#This Row],[Winter Clothes Adult]]+Table_NFI[[#This Row],[Winter Clothes Children]]+Table_NFI[[#This Row],[Winter Items Other]]+Table_NFI[[#This Row],[Winter Blanket]]&gt;0,1,0)</f>
        <v>0</v>
      </c>
      <c r="AN1325" s="331">
        <f>IF(NFI_Expiration=1,IF($A1325&lt;VLOOKUP(V$5,NFI,5,0),1,0)*Table_NFI[[#This Row],[Jerry Can]],Table_NFI[Jerry Can])</f>
        <v>0</v>
      </c>
      <c r="AO1325" s="331">
        <f>IF(NFI_Expiration=1,IF($A1325&lt;VLOOKUP(V$5,NFI,5,0),1,0)*Table_NFI[[#This Row],[Shelter Tool kit]],Table_NFI[Shelter Tool kit])</f>
        <v>0</v>
      </c>
      <c r="AP1325" s="331">
        <f>IF(NFI_Expiration=1,IF($A1325&lt;VLOOKUP(V$5,NFI,5,0),1,0)*Table_NFI[[#This Row],[Tent]],Table_NFI[Tent])</f>
        <v>0</v>
      </c>
      <c r="AQ1325" s="467" t="str">
        <f>IFERROR(VLOOKUP(Table_NFI[[#This Row],[Camp Name]],CL,2,0),"")</f>
        <v/>
      </c>
      <c r="AR1325" s="835" t="str">
        <f ca="1">IF(Table_NFI[[#This Row],[Pcode]]="","",IF(OFFSET(CampList[Opening Date],MATCH(Table_NFI[[#This Row],[Pcode]],CampList[CP_Pcode],0)-1,0,1,1)&gt;=NFI_Monitor_Date,1,0))</f>
        <v/>
      </c>
      <c r="AS1325" s="467" t="str">
        <f>IFERROR(VLOOKUP(Table_NFI[[#This Row],[Camp Name]],CL,3,0),"")</f>
        <v/>
      </c>
      <c r="AT1325" s="294" t="str">
        <f ca="1">IF(Table_NFI[[#This Row],[Pcode]]="","",OFFSET(CampList[Priority],MATCH(Table_NFI[[#This Row],[Pcode]],CampList[CP_Pcode],0)-1,0,1,1))</f>
        <v/>
      </c>
      <c r="AU1325" s="293" t="str">
        <f>IFERROR(Table_NFI[[#This Row],[Kitchen Set]]/VLOOKUP(Table_NFI[[#This Row],[Camp Name]],CL,4,0),"")</f>
        <v/>
      </c>
      <c r="AV1325" s="465"/>
      <c r="AW1325" s="468"/>
    </row>
    <row r="1326" spans="1:49" ht="14.45" customHeight="1" x14ac:dyDescent="0.25">
      <c r="A1326" s="297" t="str">
        <f t="shared" si="20"/>
        <v/>
      </c>
      <c r="B1326" s="460"/>
      <c r="C1326" s="465"/>
      <c r="D1326" s="465"/>
      <c r="E1326" s="465"/>
      <c r="F1326" s="465"/>
      <c r="G1326" s="465"/>
      <c r="H1326" s="292"/>
      <c r="I1326" s="292"/>
      <c r="J1326" s="292"/>
      <c r="K1326" s="292"/>
      <c r="L1326" s="292"/>
      <c r="M1326" s="292"/>
      <c r="N1326" s="292"/>
      <c r="O1326" s="292"/>
      <c r="P1326" s="294"/>
      <c r="Q1326" s="294"/>
      <c r="R1326" s="294"/>
      <c r="S1326" s="294"/>
      <c r="T1326" s="294"/>
      <c r="U1326" s="294"/>
      <c r="V1326" s="431"/>
      <c r="W1326" s="331"/>
      <c r="X1326" s="331"/>
      <c r="Y1326" s="294">
        <f>IF(NFI_Expiration=1,IF($A1326&lt;VLOOKUP(H$5,NFI,5,0),1,0)*Table_NFI[[#This Row],[Hygiene Kit]],Table_NFI[Hygiene Kit])</f>
        <v>0</v>
      </c>
      <c r="Z1326" s="294">
        <f>IF(NFI_Expiration=1,IF($A1326&lt;VLOOKUP(I$5,NFI,5,0),1,0)*Table_NFI[[#This Row],[NFI Core Kit]],Table_NFI[NFI Core Kit])</f>
        <v>0</v>
      </c>
      <c r="AA1326" s="294">
        <f>IF(NFI_Expiration=1,IF($A1326&lt;VLOOKUP(J$5,NFI,5,0),1,0)*Table_NFI[[#This Row],[Sanitary Kit]],Table_NFI[Sanitary Kit])</f>
        <v>0</v>
      </c>
      <c r="AB1326" s="294">
        <f>IF(NFI_Expiration=1,IF($A1326&lt;VLOOKUP(K$5,NFI,5,0),1,0)*Table_NFI[[#This Row],[Mosquito net]],Table_NFI[Mosquito net])</f>
        <v>0</v>
      </c>
      <c r="AC1326" s="294">
        <f>IF(NFI_Expiration=1,IF($A1326&lt;VLOOKUP(L$5,NFI,5,0),1,0)*Table_NFI[[#This Row],[Tarpaulin]],Table_NFI[[#This Row],[Tarpaulin]])</f>
        <v>0</v>
      </c>
      <c r="AD1326" s="294">
        <f>IF(NFI_Expiration=1,IF($A1326&lt;VLOOKUP(M$5,NFI,5,0),1,0)*Table_NFI[[#This Row],[Blanket]],Table_NFI[[#This Row],[Blanket]])</f>
        <v>0</v>
      </c>
      <c r="AE1326" s="294">
        <f>IF(NFI_Expiration=1,IF($A1326&lt;VLOOKUP(N$5,NFI,5,0),1,0)*Table_NFI[[#This Row],[Kitchen Set]],Table_NFI[Kitchen Set])</f>
        <v>0</v>
      </c>
      <c r="AF1326" s="294">
        <f>IF(NFI_Expiration=1,IF($A1326&lt;VLOOKUP(O$5,NFI,5,0),1,0)*Table_NFI[[#This Row],[Clothes Kit]],Table_NFI[Clothes Kit])</f>
        <v>0</v>
      </c>
      <c r="AG1326" s="294">
        <f>IF(NFI_Expiration=1,IF($A1326&lt;VLOOKUP(P$5,NFI,5,0),1,0)*Table_NFI[[#This Row],[Plastic Bucket]],Table_NFI[Plastic Bucket])</f>
        <v>0</v>
      </c>
      <c r="AH1326" s="294">
        <f>IF(NFI_Expiration=1,IF($A1326&lt;VLOOKUP(Q$5,NFI,5,0),1,0)*Table_NFI[[#This Row],[Plastic Mat]],Table_NFI[Plastic Mat])*IF(Table_NFI[[#This Row],[Distribution Date]]&gt;"2014-04-01",1,2.5)</f>
        <v>0</v>
      </c>
      <c r="AI1326" s="294">
        <f>IF(NFI_Expiration=1,IF($A1326&lt;VLOOKUP(R$5,NFI,5,0),1,0)*Table_NFI[[#This Row],[Winter Clothes Adult]],Table_NFI[Winter Clothes Adult])</f>
        <v>0</v>
      </c>
      <c r="AJ1326" s="294">
        <f>IF(NFI_Expiration=1,IF($A1326&lt;VLOOKUP(S$5,NFI,5,0),1,0)*Table_NFI[[#This Row],[Winter Clothes Children]],Table_NFI[Winter Clothes Children])</f>
        <v>0</v>
      </c>
      <c r="AK1326" s="294">
        <f>IF(NFI_Expiration=1,IF($A1326&lt;VLOOKUP(T$5,NFI,5,0),1,0)*Table_NFI[[#This Row],[Winter Items Other]],Table_NFI[Winter Items Other])</f>
        <v>0</v>
      </c>
      <c r="AL1326" s="294">
        <f>IF(NFI_Expiration=1,IF($A1326&lt;VLOOKUP(M$5,NFI,5,0),1,0)*Table_NFI[[#This Row],[Winter Blanket]],Table_NFI[[#This Row],[Winter Blanket]])</f>
        <v>0</v>
      </c>
      <c r="AM1326" s="294">
        <f>IF(Table_NFI[[#This Row],[Winter Clothes Adult]]+Table_NFI[[#This Row],[Winter Clothes Children]]+Table_NFI[[#This Row],[Winter Items Other]]+Table_NFI[[#This Row],[Winter Blanket]]&gt;0,1,0)</f>
        <v>0</v>
      </c>
      <c r="AN1326" s="331">
        <f>IF(NFI_Expiration=1,IF($A1326&lt;VLOOKUP(V$5,NFI,5,0),1,0)*Table_NFI[[#This Row],[Jerry Can]],Table_NFI[Jerry Can])</f>
        <v>0</v>
      </c>
      <c r="AO1326" s="331">
        <f>IF(NFI_Expiration=1,IF($A1326&lt;VLOOKUP(V$5,NFI,5,0),1,0)*Table_NFI[[#This Row],[Shelter Tool kit]],Table_NFI[Shelter Tool kit])</f>
        <v>0</v>
      </c>
      <c r="AP1326" s="331">
        <f>IF(NFI_Expiration=1,IF($A1326&lt;VLOOKUP(V$5,NFI,5,0),1,0)*Table_NFI[[#This Row],[Tent]],Table_NFI[Tent])</f>
        <v>0</v>
      </c>
      <c r="AQ1326" s="467" t="str">
        <f>IFERROR(VLOOKUP(Table_NFI[[#This Row],[Camp Name]],CL,2,0),"")</f>
        <v/>
      </c>
      <c r="AR1326" s="835" t="str">
        <f ca="1">IF(Table_NFI[[#This Row],[Pcode]]="","",IF(OFFSET(CampList[Opening Date],MATCH(Table_NFI[[#This Row],[Pcode]],CampList[CP_Pcode],0)-1,0,1,1)&gt;=NFI_Monitor_Date,1,0))</f>
        <v/>
      </c>
      <c r="AS1326" s="467" t="str">
        <f>IFERROR(VLOOKUP(Table_NFI[[#This Row],[Camp Name]],CL,3,0),"")</f>
        <v/>
      </c>
      <c r="AT1326" s="294" t="str">
        <f ca="1">IF(Table_NFI[[#This Row],[Pcode]]="","",OFFSET(CampList[Priority],MATCH(Table_NFI[[#This Row],[Pcode]],CampList[CP_Pcode],0)-1,0,1,1))</f>
        <v/>
      </c>
      <c r="AU1326" s="293" t="str">
        <f>IFERROR(Table_NFI[[#This Row],[Kitchen Set]]/VLOOKUP(Table_NFI[[#This Row],[Camp Name]],CL,4,0),"")</f>
        <v/>
      </c>
      <c r="AV1326" s="465"/>
      <c r="AW1326" s="468"/>
    </row>
    <row r="1327" spans="1:49" ht="14.45" customHeight="1" x14ac:dyDescent="0.25">
      <c r="A1327" s="297" t="str">
        <f t="shared" si="20"/>
        <v/>
      </c>
      <c r="B1327" s="460"/>
      <c r="C1327" s="465"/>
      <c r="D1327" s="465"/>
      <c r="E1327" s="465"/>
      <c r="F1327" s="465"/>
      <c r="G1327" s="465"/>
      <c r="H1327" s="292"/>
      <c r="I1327" s="292"/>
      <c r="J1327" s="292"/>
      <c r="K1327" s="292"/>
      <c r="L1327" s="292"/>
      <c r="M1327" s="292"/>
      <c r="N1327" s="292"/>
      <c r="O1327" s="292"/>
      <c r="P1327" s="294"/>
      <c r="Q1327" s="294"/>
      <c r="R1327" s="294"/>
      <c r="S1327" s="294"/>
      <c r="T1327" s="294"/>
      <c r="U1327" s="294"/>
      <c r="V1327" s="431"/>
      <c r="W1327" s="331"/>
      <c r="X1327" s="331"/>
      <c r="Y1327" s="294">
        <f>IF(NFI_Expiration=1,IF($A1327&lt;VLOOKUP(H$5,NFI,5,0),1,0)*Table_NFI[[#This Row],[Hygiene Kit]],Table_NFI[Hygiene Kit])</f>
        <v>0</v>
      </c>
      <c r="Z1327" s="294">
        <f>IF(NFI_Expiration=1,IF($A1327&lt;VLOOKUP(I$5,NFI,5,0),1,0)*Table_NFI[[#This Row],[NFI Core Kit]],Table_NFI[NFI Core Kit])</f>
        <v>0</v>
      </c>
      <c r="AA1327" s="294">
        <f>IF(NFI_Expiration=1,IF($A1327&lt;VLOOKUP(J$5,NFI,5,0),1,0)*Table_NFI[[#This Row],[Sanitary Kit]],Table_NFI[Sanitary Kit])</f>
        <v>0</v>
      </c>
      <c r="AB1327" s="294">
        <f>IF(NFI_Expiration=1,IF($A1327&lt;VLOOKUP(K$5,NFI,5,0),1,0)*Table_NFI[[#This Row],[Mosquito net]],Table_NFI[Mosquito net])</f>
        <v>0</v>
      </c>
      <c r="AC1327" s="294">
        <f>IF(NFI_Expiration=1,IF($A1327&lt;VLOOKUP(L$5,NFI,5,0),1,0)*Table_NFI[[#This Row],[Tarpaulin]],Table_NFI[[#This Row],[Tarpaulin]])</f>
        <v>0</v>
      </c>
      <c r="AD1327" s="294">
        <f>IF(NFI_Expiration=1,IF($A1327&lt;VLOOKUP(M$5,NFI,5,0),1,0)*Table_NFI[[#This Row],[Blanket]],Table_NFI[[#This Row],[Blanket]])</f>
        <v>0</v>
      </c>
      <c r="AE1327" s="294">
        <f>IF(NFI_Expiration=1,IF($A1327&lt;VLOOKUP(N$5,NFI,5,0),1,0)*Table_NFI[[#This Row],[Kitchen Set]],Table_NFI[Kitchen Set])</f>
        <v>0</v>
      </c>
      <c r="AF1327" s="294">
        <f>IF(NFI_Expiration=1,IF($A1327&lt;VLOOKUP(O$5,NFI,5,0),1,0)*Table_NFI[[#This Row],[Clothes Kit]],Table_NFI[Clothes Kit])</f>
        <v>0</v>
      </c>
      <c r="AG1327" s="294">
        <f>IF(NFI_Expiration=1,IF($A1327&lt;VLOOKUP(P$5,NFI,5,0),1,0)*Table_NFI[[#This Row],[Plastic Bucket]],Table_NFI[Plastic Bucket])</f>
        <v>0</v>
      </c>
      <c r="AH1327" s="294">
        <f>IF(NFI_Expiration=1,IF($A1327&lt;VLOOKUP(Q$5,NFI,5,0),1,0)*Table_NFI[[#This Row],[Plastic Mat]],Table_NFI[Plastic Mat])*IF(Table_NFI[[#This Row],[Distribution Date]]&gt;"2014-04-01",1,2.5)</f>
        <v>0</v>
      </c>
      <c r="AI1327" s="294">
        <f>IF(NFI_Expiration=1,IF($A1327&lt;VLOOKUP(R$5,NFI,5,0),1,0)*Table_NFI[[#This Row],[Winter Clothes Adult]],Table_NFI[Winter Clothes Adult])</f>
        <v>0</v>
      </c>
      <c r="AJ1327" s="294">
        <f>IF(NFI_Expiration=1,IF($A1327&lt;VLOOKUP(S$5,NFI,5,0),1,0)*Table_NFI[[#This Row],[Winter Clothes Children]],Table_NFI[Winter Clothes Children])</f>
        <v>0</v>
      </c>
      <c r="AK1327" s="294">
        <f>IF(NFI_Expiration=1,IF($A1327&lt;VLOOKUP(T$5,NFI,5,0),1,0)*Table_NFI[[#This Row],[Winter Items Other]],Table_NFI[Winter Items Other])</f>
        <v>0</v>
      </c>
      <c r="AL1327" s="294">
        <f>IF(NFI_Expiration=1,IF($A1327&lt;VLOOKUP(M$5,NFI,5,0),1,0)*Table_NFI[[#This Row],[Winter Blanket]],Table_NFI[[#This Row],[Winter Blanket]])</f>
        <v>0</v>
      </c>
      <c r="AM1327" s="294">
        <f>IF(Table_NFI[[#This Row],[Winter Clothes Adult]]+Table_NFI[[#This Row],[Winter Clothes Children]]+Table_NFI[[#This Row],[Winter Items Other]]+Table_NFI[[#This Row],[Winter Blanket]]&gt;0,1,0)</f>
        <v>0</v>
      </c>
      <c r="AN1327" s="331">
        <f>IF(NFI_Expiration=1,IF($A1327&lt;VLOOKUP(V$5,NFI,5,0),1,0)*Table_NFI[[#This Row],[Jerry Can]],Table_NFI[Jerry Can])</f>
        <v>0</v>
      </c>
      <c r="AO1327" s="331">
        <f>IF(NFI_Expiration=1,IF($A1327&lt;VLOOKUP(V$5,NFI,5,0),1,0)*Table_NFI[[#This Row],[Shelter Tool kit]],Table_NFI[Shelter Tool kit])</f>
        <v>0</v>
      </c>
      <c r="AP1327" s="331">
        <f>IF(NFI_Expiration=1,IF($A1327&lt;VLOOKUP(V$5,NFI,5,0),1,0)*Table_NFI[[#This Row],[Tent]],Table_NFI[Tent])</f>
        <v>0</v>
      </c>
      <c r="AQ1327" s="467" t="str">
        <f>IFERROR(VLOOKUP(Table_NFI[[#This Row],[Camp Name]],CL,2,0),"")</f>
        <v/>
      </c>
      <c r="AR1327" s="835" t="str">
        <f ca="1">IF(Table_NFI[[#This Row],[Pcode]]="","",IF(OFFSET(CampList[Opening Date],MATCH(Table_NFI[[#This Row],[Pcode]],CampList[CP_Pcode],0)-1,0,1,1)&gt;=NFI_Monitor_Date,1,0))</f>
        <v/>
      </c>
      <c r="AS1327" s="467" t="str">
        <f>IFERROR(VLOOKUP(Table_NFI[[#This Row],[Camp Name]],CL,3,0),"")</f>
        <v/>
      </c>
      <c r="AT1327" s="294" t="str">
        <f ca="1">IF(Table_NFI[[#This Row],[Pcode]]="","",OFFSET(CampList[Priority],MATCH(Table_NFI[[#This Row],[Pcode]],CampList[CP_Pcode],0)-1,0,1,1))</f>
        <v/>
      </c>
      <c r="AU1327" s="293" t="str">
        <f>IFERROR(Table_NFI[[#This Row],[Kitchen Set]]/VLOOKUP(Table_NFI[[#This Row],[Camp Name]],CL,4,0),"")</f>
        <v/>
      </c>
      <c r="AV1327" s="465"/>
      <c r="AW1327" s="468"/>
    </row>
    <row r="1328" spans="1:49" ht="14.45" customHeight="1" x14ac:dyDescent="0.25">
      <c r="A1328" s="297" t="str">
        <f t="shared" si="20"/>
        <v/>
      </c>
      <c r="B1328" s="460"/>
      <c r="C1328" s="465"/>
      <c r="D1328" s="465"/>
      <c r="E1328" s="465"/>
      <c r="F1328" s="465"/>
      <c r="G1328" s="465"/>
      <c r="H1328" s="292"/>
      <c r="I1328" s="292"/>
      <c r="J1328" s="292"/>
      <c r="K1328" s="292"/>
      <c r="L1328" s="292"/>
      <c r="M1328" s="292"/>
      <c r="N1328" s="292"/>
      <c r="O1328" s="292"/>
      <c r="P1328" s="294"/>
      <c r="Q1328" s="294"/>
      <c r="R1328" s="294"/>
      <c r="S1328" s="294"/>
      <c r="T1328" s="294"/>
      <c r="U1328" s="294"/>
      <c r="V1328" s="431"/>
      <c r="W1328" s="331"/>
      <c r="X1328" s="331"/>
      <c r="Y1328" s="294">
        <f>IF(NFI_Expiration=1,IF($A1328&lt;VLOOKUP(H$5,NFI,5,0),1,0)*Table_NFI[[#This Row],[Hygiene Kit]],Table_NFI[Hygiene Kit])</f>
        <v>0</v>
      </c>
      <c r="Z1328" s="294">
        <f>IF(NFI_Expiration=1,IF($A1328&lt;VLOOKUP(I$5,NFI,5,0),1,0)*Table_NFI[[#This Row],[NFI Core Kit]],Table_NFI[NFI Core Kit])</f>
        <v>0</v>
      </c>
      <c r="AA1328" s="294">
        <f>IF(NFI_Expiration=1,IF($A1328&lt;VLOOKUP(J$5,NFI,5,0),1,0)*Table_NFI[[#This Row],[Sanitary Kit]],Table_NFI[Sanitary Kit])</f>
        <v>0</v>
      </c>
      <c r="AB1328" s="294">
        <f>IF(NFI_Expiration=1,IF($A1328&lt;VLOOKUP(K$5,NFI,5,0),1,0)*Table_NFI[[#This Row],[Mosquito net]],Table_NFI[Mosquito net])</f>
        <v>0</v>
      </c>
      <c r="AC1328" s="294">
        <f>IF(NFI_Expiration=1,IF($A1328&lt;VLOOKUP(L$5,NFI,5,0),1,0)*Table_NFI[[#This Row],[Tarpaulin]],Table_NFI[[#This Row],[Tarpaulin]])</f>
        <v>0</v>
      </c>
      <c r="AD1328" s="294">
        <f>IF(NFI_Expiration=1,IF($A1328&lt;VLOOKUP(M$5,NFI,5,0),1,0)*Table_NFI[[#This Row],[Blanket]],Table_NFI[[#This Row],[Blanket]])</f>
        <v>0</v>
      </c>
      <c r="AE1328" s="294">
        <f>IF(NFI_Expiration=1,IF($A1328&lt;VLOOKUP(N$5,NFI,5,0),1,0)*Table_NFI[[#This Row],[Kitchen Set]],Table_NFI[Kitchen Set])</f>
        <v>0</v>
      </c>
      <c r="AF1328" s="294">
        <f>IF(NFI_Expiration=1,IF($A1328&lt;VLOOKUP(O$5,NFI,5,0),1,0)*Table_NFI[[#This Row],[Clothes Kit]],Table_NFI[Clothes Kit])</f>
        <v>0</v>
      </c>
      <c r="AG1328" s="294">
        <f>IF(NFI_Expiration=1,IF($A1328&lt;VLOOKUP(P$5,NFI,5,0),1,0)*Table_NFI[[#This Row],[Plastic Bucket]],Table_NFI[Plastic Bucket])</f>
        <v>0</v>
      </c>
      <c r="AH1328" s="294">
        <f>IF(NFI_Expiration=1,IF($A1328&lt;VLOOKUP(Q$5,NFI,5,0),1,0)*Table_NFI[[#This Row],[Plastic Mat]],Table_NFI[Plastic Mat])*IF(Table_NFI[[#This Row],[Distribution Date]]&gt;"2014-04-01",1,2.5)</f>
        <v>0</v>
      </c>
      <c r="AI1328" s="294">
        <f>IF(NFI_Expiration=1,IF($A1328&lt;VLOOKUP(R$5,NFI,5,0),1,0)*Table_NFI[[#This Row],[Winter Clothes Adult]],Table_NFI[Winter Clothes Adult])</f>
        <v>0</v>
      </c>
      <c r="AJ1328" s="294">
        <f>IF(NFI_Expiration=1,IF($A1328&lt;VLOOKUP(S$5,NFI,5,0),1,0)*Table_NFI[[#This Row],[Winter Clothes Children]],Table_NFI[Winter Clothes Children])</f>
        <v>0</v>
      </c>
      <c r="AK1328" s="294">
        <f>IF(NFI_Expiration=1,IF($A1328&lt;VLOOKUP(T$5,NFI,5,0),1,0)*Table_NFI[[#This Row],[Winter Items Other]],Table_NFI[Winter Items Other])</f>
        <v>0</v>
      </c>
      <c r="AL1328" s="294">
        <f>IF(NFI_Expiration=1,IF($A1328&lt;VLOOKUP(M$5,NFI,5,0),1,0)*Table_NFI[[#This Row],[Winter Blanket]],Table_NFI[[#This Row],[Winter Blanket]])</f>
        <v>0</v>
      </c>
      <c r="AM1328" s="294">
        <f>IF(Table_NFI[[#This Row],[Winter Clothes Adult]]+Table_NFI[[#This Row],[Winter Clothes Children]]+Table_NFI[[#This Row],[Winter Items Other]]+Table_NFI[[#This Row],[Winter Blanket]]&gt;0,1,0)</f>
        <v>0</v>
      </c>
      <c r="AN1328" s="331">
        <f>IF(NFI_Expiration=1,IF($A1328&lt;VLOOKUP(V$5,NFI,5,0),1,0)*Table_NFI[[#This Row],[Jerry Can]],Table_NFI[Jerry Can])</f>
        <v>0</v>
      </c>
      <c r="AO1328" s="331">
        <f>IF(NFI_Expiration=1,IF($A1328&lt;VLOOKUP(V$5,NFI,5,0),1,0)*Table_NFI[[#This Row],[Shelter Tool kit]],Table_NFI[Shelter Tool kit])</f>
        <v>0</v>
      </c>
      <c r="AP1328" s="331">
        <f>IF(NFI_Expiration=1,IF($A1328&lt;VLOOKUP(V$5,NFI,5,0),1,0)*Table_NFI[[#This Row],[Tent]],Table_NFI[Tent])</f>
        <v>0</v>
      </c>
      <c r="AQ1328" s="467" t="str">
        <f>IFERROR(VLOOKUP(Table_NFI[[#This Row],[Camp Name]],CL,2,0),"")</f>
        <v/>
      </c>
      <c r="AR1328" s="835" t="str">
        <f ca="1">IF(Table_NFI[[#This Row],[Pcode]]="","",IF(OFFSET(CampList[Opening Date],MATCH(Table_NFI[[#This Row],[Pcode]],CampList[CP_Pcode],0)-1,0,1,1)&gt;=NFI_Monitor_Date,1,0))</f>
        <v/>
      </c>
      <c r="AS1328" s="467" t="str">
        <f>IFERROR(VLOOKUP(Table_NFI[[#This Row],[Camp Name]],CL,3,0),"")</f>
        <v/>
      </c>
      <c r="AT1328" s="294" t="str">
        <f ca="1">IF(Table_NFI[[#This Row],[Pcode]]="","",OFFSET(CampList[Priority],MATCH(Table_NFI[[#This Row],[Pcode]],CampList[CP_Pcode],0)-1,0,1,1))</f>
        <v/>
      </c>
      <c r="AU1328" s="293" t="str">
        <f>IFERROR(Table_NFI[[#This Row],[Kitchen Set]]/VLOOKUP(Table_NFI[[#This Row],[Camp Name]],CL,4,0),"")</f>
        <v/>
      </c>
      <c r="AV1328" s="465"/>
      <c r="AW1328" s="468"/>
    </row>
    <row r="1329" spans="1:49" ht="14.45" customHeight="1" x14ac:dyDescent="0.25">
      <c r="A1329" s="297" t="str">
        <f t="shared" si="20"/>
        <v/>
      </c>
      <c r="B1329" s="460"/>
      <c r="C1329" s="465"/>
      <c r="D1329" s="465"/>
      <c r="E1329" s="465"/>
      <c r="F1329" s="465"/>
      <c r="G1329" s="465"/>
      <c r="H1329" s="292"/>
      <c r="I1329" s="292"/>
      <c r="J1329" s="292"/>
      <c r="K1329" s="292"/>
      <c r="L1329" s="292"/>
      <c r="M1329" s="292"/>
      <c r="N1329" s="292"/>
      <c r="O1329" s="292"/>
      <c r="P1329" s="294"/>
      <c r="Q1329" s="294"/>
      <c r="R1329" s="294"/>
      <c r="S1329" s="294"/>
      <c r="T1329" s="294"/>
      <c r="U1329" s="294"/>
      <c r="V1329" s="431"/>
      <c r="W1329" s="331"/>
      <c r="X1329" s="331"/>
      <c r="Y1329" s="294">
        <f>IF(NFI_Expiration=1,IF($A1329&lt;VLOOKUP(H$5,NFI,5,0),1,0)*Table_NFI[[#This Row],[Hygiene Kit]],Table_NFI[Hygiene Kit])</f>
        <v>0</v>
      </c>
      <c r="Z1329" s="294">
        <f>IF(NFI_Expiration=1,IF($A1329&lt;VLOOKUP(I$5,NFI,5,0),1,0)*Table_NFI[[#This Row],[NFI Core Kit]],Table_NFI[NFI Core Kit])</f>
        <v>0</v>
      </c>
      <c r="AA1329" s="294">
        <f>IF(NFI_Expiration=1,IF($A1329&lt;VLOOKUP(J$5,NFI,5,0),1,0)*Table_NFI[[#This Row],[Sanitary Kit]],Table_NFI[Sanitary Kit])</f>
        <v>0</v>
      </c>
      <c r="AB1329" s="294">
        <f>IF(NFI_Expiration=1,IF($A1329&lt;VLOOKUP(K$5,NFI,5,0),1,0)*Table_NFI[[#This Row],[Mosquito net]],Table_NFI[Mosquito net])</f>
        <v>0</v>
      </c>
      <c r="AC1329" s="294">
        <f>IF(NFI_Expiration=1,IF($A1329&lt;VLOOKUP(L$5,NFI,5,0),1,0)*Table_NFI[[#This Row],[Tarpaulin]],Table_NFI[[#This Row],[Tarpaulin]])</f>
        <v>0</v>
      </c>
      <c r="AD1329" s="294">
        <f>IF(NFI_Expiration=1,IF($A1329&lt;VLOOKUP(M$5,NFI,5,0),1,0)*Table_NFI[[#This Row],[Blanket]],Table_NFI[[#This Row],[Blanket]])</f>
        <v>0</v>
      </c>
      <c r="AE1329" s="294">
        <f>IF(NFI_Expiration=1,IF($A1329&lt;VLOOKUP(N$5,NFI,5,0),1,0)*Table_NFI[[#This Row],[Kitchen Set]],Table_NFI[Kitchen Set])</f>
        <v>0</v>
      </c>
      <c r="AF1329" s="294">
        <f>IF(NFI_Expiration=1,IF($A1329&lt;VLOOKUP(O$5,NFI,5,0),1,0)*Table_NFI[[#This Row],[Clothes Kit]],Table_NFI[Clothes Kit])</f>
        <v>0</v>
      </c>
      <c r="AG1329" s="294">
        <f>IF(NFI_Expiration=1,IF($A1329&lt;VLOOKUP(P$5,NFI,5,0),1,0)*Table_NFI[[#This Row],[Plastic Bucket]],Table_NFI[Plastic Bucket])</f>
        <v>0</v>
      </c>
      <c r="AH1329" s="294">
        <f>IF(NFI_Expiration=1,IF($A1329&lt;VLOOKUP(Q$5,NFI,5,0),1,0)*Table_NFI[[#This Row],[Plastic Mat]],Table_NFI[Plastic Mat])*IF(Table_NFI[[#This Row],[Distribution Date]]&gt;"2014-04-01",1,2.5)</f>
        <v>0</v>
      </c>
      <c r="AI1329" s="294">
        <f>IF(NFI_Expiration=1,IF($A1329&lt;VLOOKUP(R$5,NFI,5,0),1,0)*Table_NFI[[#This Row],[Winter Clothes Adult]],Table_NFI[Winter Clothes Adult])</f>
        <v>0</v>
      </c>
      <c r="AJ1329" s="294">
        <f>IF(NFI_Expiration=1,IF($A1329&lt;VLOOKUP(S$5,NFI,5,0),1,0)*Table_NFI[[#This Row],[Winter Clothes Children]],Table_NFI[Winter Clothes Children])</f>
        <v>0</v>
      </c>
      <c r="AK1329" s="294">
        <f>IF(NFI_Expiration=1,IF($A1329&lt;VLOOKUP(T$5,NFI,5,0),1,0)*Table_NFI[[#This Row],[Winter Items Other]],Table_NFI[Winter Items Other])</f>
        <v>0</v>
      </c>
      <c r="AL1329" s="294">
        <f>IF(NFI_Expiration=1,IF($A1329&lt;VLOOKUP(M$5,NFI,5,0),1,0)*Table_NFI[[#This Row],[Winter Blanket]],Table_NFI[[#This Row],[Winter Blanket]])</f>
        <v>0</v>
      </c>
      <c r="AM1329" s="294">
        <f>IF(Table_NFI[[#This Row],[Winter Clothes Adult]]+Table_NFI[[#This Row],[Winter Clothes Children]]+Table_NFI[[#This Row],[Winter Items Other]]+Table_NFI[[#This Row],[Winter Blanket]]&gt;0,1,0)</f>
        <v>0</v>
      </c>
      <c r="AN1329" s="331">
        <f>IF(NFI_Expiration=1,IF($A1329&lt;VLOOKUP(V$5,NFI,5,0),1,0)*Table_NFI[[#This Row],[Jerry Can]],Table_NFI[Jerry Can])</f>
        <v>0</v>
      </c>
      <c r="AO1329" s="331">
        <f>IF(NFI_Expiration=1,IF($A1329&lt;VLOOKUP(V$5,NFI,5,0),1,0)*Table_NFI[[#This Row],[Shelter Tool kit]],Table_NFI[Shelter Tool kit])</f>
        <v>0</v>
      </c>
      <c r="AP1329" s="331">
        <f>IF(NFI_Expiration=1,IF($A1329&lt;VLOOKUP(V$5,NFI,5,0),1,0)*Table_NFI[[#This Row],[Tent]],Table_NFI[Tent])</f>
        <v>0</v>
      </c>
      <c r="AQ1329" s="467" t="str">
        <f>IFERROR(VLOOKUP(Table_NFI[[#This Row],[Camp Name]],CL,2,0),"")</f>
        <v/>
      </c>
      <c r="AR1329" s="835" t="str">
        <f ca="1">IF(Table_NFI[[#This Row],[Pcode]]="","",IF(OFFSET(CampList[Opening Date],MATCH(Table_NFI[[#This Row],[Pcode]],CampList[CP_Pcode],0)-1,0,1,1)&gt;=NFI_Monitor_Date,1,0))</f>
        <v/>
      </c>
      <c r="AS1329" s="467" t="str">
        <f>IFERROR(VLOOKUP(Table_NFI[[#This Row],[Camp Name]],CL,3,0),"")</f>
        <v/>
      </c>
      <c r="AT1329" s="294" t="str">
        <f ca="1">IF(Table_NFI[[#This Row],[Pcode]]="","",OFFSET(CampList[Priority],MATCH(Table_NFI[[#This Row],[Pcode]],CampList[CP_Pcode],0)-1,0,1,1))</f>
        <v/>
      </c>
      <c r="AU1329" s="293" t="str">
        <f>IFERROR(Table_NFI[[#This Row],[Kitchen Set]]/VLOOKUP(Table_NFI[[#This Row],[Camp Name]],CL,4,0),"")</f>
        <v/>
      </c>
      <c r="AV1329" s="465"/>
      <c r="AW1329" s="468"/>
    </row>
    <row r="1330" spans="1:49" ht="14.45" customHeight="1" x14ac:dyDescent="0.25">
      <c r="A1330" s="297" t="str">
        <f t="shared" si="20"/>
        <v/>
      </c>
      <c r="B1330" s="460"/>
      <c r="C1330" s="465"/>
      <c r="D1330" s="465"/>
      <c r="E1330" s="465"/>
      <c r="F1330" s="465"/>
      <c r="G1330" s="465"/>
      <c r="H1330" s="292"/>
      <c r="I1330" s="292"/>
      <c r="J1330" s="292"/>
      <c r="K1330" s="292"/>
      <c r="L1330" s="292"/>
      <c r="M1330" s="292"/>
      <c r="N1330" s="292"/>
      <c r="O1330" s="292"/>
      <c r="P1330" s="294"/>
      <c r="Q1330" s="294"/>
      <c r="R1330" s="294"/>
      <c r="S1330" s="294"/>
      <c r="T1330" s="294"/>
      <c r="U1330" s="294"/>
      <c r="V1330" s="431"/>
      <c r="W1330" s="331"/>
      <c r="X1330" s="331"/>
      <c r="Y1330" s="294">
        <f>IF(NFI_Expiration=1,IF($A1330&lt;VLOOKUP(H$5,NFI,5,0),1,0)*Table_NFI[[#This Row],[Hygiene Kit]],Table_NFI[Hygiene Kit])</f>
        <v>0</v>
      </c>
      <c r="Z1330" s="294">
        <f>IF(NFI_Expiration=1,IF($A1330&lt;VLOOKUP(I$5,NFI,5,0),1,0)*Table_NFI[[#This Row],[NFI Core Kit]],Table_NFI[NFI Core Kit])</f>
        <v>0</v>
      </c>
      <c r="AA1330" s="294">
        <f>IF(NFI_Expiration=1,IF($A1330&lt;VLOOKUP(J$5,NFI,5,0),1,0)*Table_NFI[[#This Row],[Sanitary Kit]],Table_NFI[Sanitary Kit])</f>
        <v>0</v>
      </c>
      <c r="AB1330" s="294">
        <f>IF(NFI_Expiration=1,IF($A1330&lt;VLOOKUP(K$5,NFI,5,0),1,0)*Table_NFI[[#This Row],[Mosquito net]],Table_NFI[Mosquito net])</f>
        <v>0</v>
      </c>
      <c r="AC1330" s="294">
        <f>IF(NFI_Expiration=1,IF($A1330&lt;VLOOKUP(L$5,NFI,5,0),1,0)*Table_NFI[[#This Row],[Tarpaulin]],Table_NFI[[#This Row],[Tarpaulin]])</f>
        <v>0</v>
      </c>
      <c r="AD1330" s="294">
        <f>IF(NFI_Expiration=1,IF($A1330&lt;VLOOKUP(M$5,NFI,5,0),1,0)*Table_NFI[[#This Row],[Blanket]],Table_NFI[[#This Row],[Blanket]])</f>
        <v>0</v>
      </c>
      <c r="AE1330" s="294">
        <f>IF(NFI_Expiration=1,IF($A1330&lt;VLOOKUP(N$5,NFI,5,0),1,0)*Table_NFI[[#This Row],[Kitchen Set]],Table_NFI[Kitchen Set])</f>
        <v>0</v>
      </c>
      <c r="AF1330" s="294">
        <f>IF(NFI_Expiration=1,IF($A1330&lt;VLOOKUP(O$5,NFI,5,0),1,0)*Table_NFI[[#This Row],[Clothes Kit]],Table_NFI[Clothes Kit])</f>
        <v>0</v>
      </c>
      <c r="AG1330" s="294">
        <f>IF(NFI_Expiration=1,IF($A1330&lt;VLOOKUP(P$5,NFI,5,0),1,0)*Table_NFI[[#This Row],[Plastic Bucket]],Table_NFI[Plastic Bucket])</f>
        <v>0</v>
      </c>
      <c r="AH1330" s="294">
        <f>IF(NFI_Expiration=1,IF($A1330&lt;VLOOKUP(Q$5,NFI,5,0),1,0)*Table_NFI[[#This Row],[Plastic Mat]],Table_NFI[Plastic Mat])*IF(Table_NFI[[#This Row],[Distribution Date]]&gt;"2014-04-01",1,2.5)</f>
        <v>0</v>
      </c>
      <c r="AI1330" s="294">
        <f>IF(NFI_Expiration=1,IF($A1330&lt;VLOOKUP(R$5,NFI,5,0),1,0)*Table_NFI[[#This Row],[Winter Clothes Adult]],Table_NFI[Winter Clothes Adult])</f>
        <v>0</v>
      </c>
      <c r="AJ1330" s="294">
        <f>IF(NFI_Expiration=1,IF($A1330&lt;VLOOKUP(S$5,NFI,5,0),1,0)*Table_NFI[[#This Row],[Winter Clothes Children]],Table_NFI[Winter Clothes Children])</f>
        <v>0</v>
      </c>
      <c r="AK1330" s="294">
        <f>IF(NFI_Expiration=1,IF($A1330&lt;VLOOKUP(T$5,NFI,5,0),1,0)*Table_NFI[[#This Row],[Winter Items Other]],Table_NFI[Winter Items Other])</f>
        <v>0</v>
      </c>
      <c r="AL1330" s="294">
        <f>IF(NFI_Expiration=1,IF($A1330&lt;VLOOKUP(M$5,NFI,5,0),1,0)*Table_NFI[[#This Row],[Winter Blanket]],Table_NFI[[#This Row],[Winter Blanket]])</f>
        <v>0</v>
      </c>
      <c r="AM1330" s="294">
        <f>IF(Table_NFI[[#This Row],[Winter Clothes Adult]]+Table_NFI[[#This Row],[Winter Clothes Children]]+Table_NFI[[#This Row],[Winter Items Other]]+Table_NFI[[#This Row],[Winter Blanket]]&gt;0,1,0)</f>
        <v>0</v>
      </c>
      <c r="AN1330" s="331">
        <f>IF(NFI_Expiration=1,IF($A1330&lt;VLOOKUP(V$5,NFI,5,0),1,0)*Table_NFI[[#This Row],[Jerry Can]],Table_NFI[Jerry Can])</f>
        <v>0</v>
      </c>
      <c r="AO1330" s="331">
        <f>IF(NFI_Expiration=1,IF($A1330&lt;VLOOKUP(V$5,NFI,5,0),1,0)*Table_NFI[[#This Row],[Shelter Tool kit]],Table_NFI[Shelter Tool kit])</f>
        <v>0</v>
      </c>
      <c r="AP1330" s="331">
        <f>IF(NFI_Expiration=1,IF($A1330&lt;VLOOKUP(V$5,NFI,5,0),1,0)*Table_NFI[[#This Row],[Tent]],Table_NFI[Tent])</f>
        <v>0</v>
      </c>
      <c r="AQ1330" s="467" t="str">
        <f>IFERROR(VLOOKUP(Table_NFI[[#This Row],[Camp Name]],CL,2,0),"")</f>
        <v/>
      </c>
      <c r="AR1330" s="835" t="str">
        <f ca="1">IF(Table_NFI[[#This Row],[Pcode]]="","",IF(OFFSET(CampList[Opening Date],MATCH(Table_NFI[[#This Row],[Pcode]],CampList[CP_Pcode],0)-1,0,1,1)&gt;=NFI_Monitor_Date,1,0))</f>
        <v/>
      </c>
      <c r="AS1330" s="467" t="str">
        <f>IFERROR(VLOOKUP(Table_NFI[[#This Row],[Camp Name]],CL,3,0),"")</f>
        <v/>
      </c>
      <c r="AT1330" s="294" t="str">
        <f ca="1">IF(Table_NFI[[#This Row],[Pcode]]="","",OFFSET(CampList[Priority],MATCH(Table_NFI[[#This Row],[Pcode]],CampList[CP_Pcode],0)-1,0,1,1))</f>
        <v/>
      </c>
      <c r="AU1330" s="293" t="str">
        <f>IFERROR(Table_NFI[[#This Row],[Kitchen Set]]/VLOOKUP(Table_NFI[[#This Row],[Camp Name]],CL,4,0),"")</f>
        <v/>
      </c>
      <c r="AV1330" s="465"/>
      <c r="AW1330" s="468"/>
    </row>
    <row r="1331" spans="1:49" ht="14.45" customHeight="1" x14ac:dyDescent="0.25">
      <c r="A1331" s="297" t="str">
        <f t="shared" si="20"/>
        <v/>
      </c>
      <c r="B1331" s="460"/>
      <c r="C1331" s="465"/>
      <c r="D1331" s="465"/>
      <c r="E1331" s="465"/>
      <c r="F1331" s="465"/>
      <c r="G1331" s="465"/>
      <c r="H1331" s="292"/>
      <c r="I1331" s="292"/>
      <c r="J1331" s="292"/>
      <c r="K1331" s="292"/>
      <c r="L1331" s="292"/>
      <c r="M1331" s="292"/>
      <c r="N1331" s="292"/>
      <c r="O1331" s="292"/>
      <c r="P1331" s="294"/>
      <c r="Q1331" s="294"/>
      <c r="R1331" s="294"/>
      <c r="S1331" s="294"/>
      <c r="T1331" s="294"/>
      <c r="U1331" s="294"/>
      <c r="V1331" s="431"/>
      <c r="W1331" s="331"/>
      <c r="X1331" s="331"/>
      <c r="Y1331" s="294">
        <f>IF(NFI_Expiration=1,IF($A1331&lt;VLOOKUP(H$5,NFI,5,0),1,0)*Table_NFI[[#This Row],[Hygiene Kit]],Table_NFI[Hygiene Kit])</f>
        <v>0</v>
      </c>
      <c r="Z1331" s="294">
        <f>IF(NFI_Expiration=1,IF($A1331&lt;VLOOKUP(I$5,NFI,5,0),1,0)*Table_NFI[[#This Row],[NFI Core Kit]],Table_NFI[NFI Core Kit])</f>
        <v>0</v>
      </c>
      <c r="AA1331" s="294">
        <f>IF(NFI_Expiration=1,IF($A1331&lt;VLOOKUP(J$5,NFI,5,0),1,0)*Table_NFI[[#This Row],[Sanitary Kit]],Table_NFI[Sanitary Kit])</f>
        <v>0</v>
      </c>
      <c r="AB1331" s="294">
        <f>IF(NFI_Expiration=1,IF($A1331&lt;VLOOKUP(K$5,NFI,5,0),1,0)*Table_NFI[[#This Row],[Mosquito net]],Table_NFI[Mosquito net])</f>
        <v>0</v>
      </c>
      <c r="AC1331" s="294">
        <f>IF(NFI_Expiration=1,IF($A1331&lt;VLOOKUP(L$5,NFI,5,0),1,0)*Table_NFI[[#This Row],[Tarpaulin]],Table_NFI[[#This Row],[Tarpaulin]])</f>
        <v>0</v>
      </c>
      <c r="AD1331" s="294">
        <f>IF(NFI_Expiration=1,IF($A1331&lt;VLOOKUP(M$5,NFI,5,0),1,0)*Table_NFI[[#This Row],[Blanket]],Table_NFI[[#This Row],[Blanket]])</f>
        <v>0</v>
      </c>
      <c r="AE1331" s="294">
        <f>IF(NFI_Expiration=1,IF($A1331&lt;VLOOKUP(N$5,NFI,5,0),1,0)*Table_NFI[[#This Row],[Kitchen Set]],Table_NFI[Kitchen Set])</f>
        <v>0</v>
      </c>
      <c r="AF1331" s="294">
        <f>IF(NFI_Expiration=1,IF($A1331&lt;VLOOKUP(O$5,NFI,5,0),1,0)*Table_NFI[[#This Row],[Clothes Kit]],Table_NFI[Clothes Kit])</f>
        <v>0</v>
      </c>
      <c r="AG1331" s="294">
        <f>IF(NFI_Expiration=1,IF($A1331&lt;VLOOKUP(P$5,NFI,5,0),1,0)*Table_NFI[[#This Row],[Plastic Bucket]],Table_NFI[Plastic Bucket])</f>
        <v>0</v>
      </c>
      <c r="AH1331" s="294">
        <f>IF(NFI_Expiration=1,IF($A1331&lt;VLOOKUP(Q$5,NFI,5,0),1,0)*Table_NFI[[#This Row],[Plastic Mat]],Table_NFI[Plastic Mat])*IF(Table_NFI[[#This Row],[Distribution Date]]&gt;"2014-04-01",1,2.5)</f>
        <v>0</v>
      </c>
      <c r="AI1331" s="294">
        <f>IF(NFI_Expiration=1,IF($A1331&lt;VLOOKUP(R$5,NFI,5,0),1,0)*Table_NFI[[#This Row],[Winter Clothes Adult]],Table_NFI[Winter Clothes Adult])</f>
        <v>0</v>
      </c>
      <c r="AJ1331" s="294">
        <f>IF(NFI_Expiration=1,IF($A1331&lt;VLOOKUP(S$5,NFI,5,0),1,0)*Table_NFI[[#This Row],[Winter Clothes Children]],Table_NFI[Winter Clothes Children])</f>
        <v>0</v>
      </c>
      <c r="AK1331" s="294">
        <f>IF(NFI_Expiration=1,IF($A1331&lt;VLOOKUP(T$5,NFI,5,0),1,0)*Table_NFI[[#This Row],[Winter Items Other]],Table_NFI[Winter Items Other])</f>
        <v>0</v>
      </c>
      <c r="AL1331" s="294">
        <f>IF(NFI_Expiration=1,IF($A1331&lt;VLOOKUP(M$5,NFI,5,0),1,0)*Table_NFI[[#This Row],[Winter Blanket]],Table_NFI[[#This Row],[Winter Blanket]])</f>
        <v>0</v>
      </c>
      <c r="AM1331" s="294">
        <f>IF(Table_NFI[[#This Row],[Winter Clothes Adult]]+Table_NFI[[#This Row],[Winter Clothes Children]]+Table_NFI[[#This Row],[Winter Items Other]]+Table_NFI[[#This Row],[Winter Blanket]]&gt;0,1,0)</f>
        <v>0</v>
      </c>
      <c r="AN1331" s="331">
        <f>IF(NFI_Expiration=1,IF($A1331&lt;VLOOKUP(V$5,NFI,5,0),1,0)*Table_NFI[[#This Row],[Jerry Can]],Table_NFI[Jerry Can])</f>
        <v>0</v>
      </c>
      <c r="AO1331" s="331">
        <f>IF(NFI_Expiration=1,IF($A1331&lt;VLOOKUP(V$5,NFI,5,0),1,0)*Table_NFI[[#This Row],[Shelter Tool kit]],Table_NFI[Shelter Tool kit])</f>
        <v>0</v>
      </c>
      <c r="AP1331" s="331">
        <f>IF(NFI_Expiration=1,IF($A1331&lt;VLOOKUP(V$5,NFI,5,0),1,0)*Table_NFI[[#This Row],[Tent]],Table_NFI[Tent])</f>
        <v>0</v>
      </c>
      <c r="AQ1331" s="467" t="str">
        <f>IFERROR(VLOOKUP(Table_NFI[[#This Row],[Camp Name]],CL,2,0),"")</f>
        <v/>
      </c>
      <c r="AR1331" s="835" t="str">
        <f ca="1">IF(Table_NFI[[#This Row],[Pcode]]="","",IF(OFFSET(CampList[Opening Date],MATCH(Table_NFI[[#This Row],[Pcode]],CampList[CP_Pcode],0)-1,0,1,1)&gt;=NFI_Monitor_Date,1,0))</f>
        <v/>
      </c>
      <c r="AS1331" s="467" t="str">
        <f>IFERROR(VLOOKUP(Table_NFI[[#This Row],[Camp Name]],CL,3,0),"")</f>
        <v/>
      </c>
      <c r="AT1331" s="294" t="str">
        <f ca="1">IF(Table_NFI[[#This Row],[Pcode]]="","",OFFSET(CampList[Priority],MATCH(Table_NFI[[#This Row],[Pcode]],CampList[CP_Pcode],0)-1,0,1,1))</f>
        <v/>
      </c>
      <c r="AU1331" s="293" t="str">
        <f>IFERROR(Table_NFI[[#This Row],[Kitchen Set]]/VLOOKUP(Table_NFI[[#This Row],[Camp Name]],CL,4,0),"")</f>
        <v/>
      </c>
      <c r="AV1331" s="465"/>
      <c r="AW1331" s="468"/>
    </row>
    <row r="1332" spans="1:49" ht="14.45" customHeight="1" x14ac:dyDescent="0.25">
      <c r="A1332" s="297" t="str">
        <f t="shared" si="20"/>
        <v/>
      </c>
      <c r="B1332" s="460"/>
      <c r="C1332" s="465"/>
      <c r="D1332" s="465"/>
      <c r="E1332" s="465"/>
      <c r="F1332" s="465"/>
      <c r="G1332" s="465"/>
      <c r="H1332" s="292"/>
      <c r="I1332" s="292"/>
      <c r="J1332" s="292"/>
      <c r="K1332" s="292"/>
      <c r="L1332" s="292"/>
      <c r="M1332" s="292"/>
      <c r="N1332" s="292"/>
      <c r="O1332" s="292"/>
      <c r="P1332" s="294"/>
      <c r="Q1332" s="294"/>
      <c r="R1332" s="294"/>
      <c r="S1332" s="294"/>
      <c r="T1332" s="294"/>
      <c r="U1332" s="294"/>
      <c r="V1332" s="431"/>
      <c r="W1332" s="331"/>
      <c r="X1332" s="331"/>
      <c r="Y1332" s="294">
        <f>IF(NFI_Expiration=1,IF($A1332&lt;VLOOKUP(H$5,NFI,5,0),1,0)*Table_NFI[[#This Row],[Hygiene Kit]],Table_NFI[Hygiene Kit])</f>
        <v>0</v>
      </c>
      <c r="Z1332" s="294">
        <f>IF(NFI_Expiration=1,IF($A1332&lt;VLOOKUP(I$5,NFI,5,0),1,0)*Table_NFI[[#This Row],[NFI Core Kit]],Table_NFI[NFI Core Kit])</f>
        <v>0</v>
      </c>
      <c r="AA1332" s="294">
        <f>IF(NFI_Expiration=1,IF($A1332&lt;VLOOKUP(J$5,NFI,5,0),1,0)*Table_NFI[[#This Row],[Sanitary Kit]],Table_NFI[Sanitary Kit])</f>
        <v>0</v>
      </c>
      <c r="AB1332" s="294">
        <f>IF(NFI_Expiration=1,IF($A1332&lt;VLOOKUP(K$5,NFI,5,0),1,0)*Table_NFI[[#This Row],[Mosquito net]],Table_NFI[Mosquito net])</f>
        <v>0</v>
      </c>
      <c r="AC1332" s="294">
        <f>IF(NFI_Expiration=1,IF($A1332&lt;VLOOKUP(L$5,NFI,5,0),1,0)*Table_NFI[[#This Row],[Tarpaulin]],Table_NFI[[#This Row],[Tarpaulin]])</f>
        <v>0</v>
      </c>
      <c r="AD1332" s="294">
        <f>IF(NFI_Expiration=1,IF($A1332&lt;VLOOKUP(M$5,NFI,5,0),1,0)*Table_NFI[[#This Row],[Blanket]],Table_NFI[[#This Row],[Blanket]])</f>
        <v>0</v>
      </c>
      <c r="AE1332" s="294">
        <f>IF(NFI_Expiration=1,IF($A1332&lt;VLOOKUP(N$5,NFI,5,0),1,0)*Table_NFI[[#This Row],[Kitchen Set]],Table_NFI[Kitchen Set])</f>
        <v>0</v>
      </c>
      <c r="AF1332" s="294">
        <f>IF(NFI_Expiration=1,IF($A1332&lt;VLOOKUP(O$5,NFI,5,0),1,0)*Table_NFI[[#This Row],[Clothes Kit]],Table_NFI[Clothes Kit])</f>
        <v>0</v>
      </c>
      <c r="AG1332" s="294">
        <f>IF(NFI_Expiration=1,IF($A1332&lt;VLOOKUP(P$5,NFI,5,0),1,0)*Table_NFI[[#This Row],[Plastic Bucket]],Table_NFI[Plastic Bucket])</f>
        <v>0</v>
      </c>
      <c r="AH1332" s="294">
        <f>IF(NFI_Expiration=1,IF($A1332&lt;VLOOKUP(Q$5,NFI,5,0),1,0)*Table_NFI[[#This Row],[Plastic Mat]],Table_NFI[Plastic Mat])*IF(Table_NFI[[#This Row],[Distribution Date]]&gt;"2014-04-01",1,2.5)</f>
        <v>0</v>
      </c>
      <c r="AI1332" s="294">
        <f>IF(NFI_Expiration=1,IF($A1332&lt;VLOOKUP(R$5,NFI,5,0),1,0)*Table_NFI[[#This Row],[Winter Clothes Adult]],Table_NFI[Winter Clothes Adult])</f>
        <v>0</v>
      </c>
      <c r="AJ1332" s="294">
        <f>IF(NFI_Expiration=1,IF($A1332&lt;VLOOKUP(S$5,NFI,5,0),1,0)*Table_NFI[[#This Row],[Winter Clothes Children]],Table_NFI[Winter Clothes Children])</f>
        <v>0</v>
      </c>
      <c r="AK1332" s="294">
        <f>IF(NFI_Expiration=1,IF($A1332&lt;VLOOKUP(T$5,NFI,5,0),1,0)*Table_NFI[[#This Row],[Winter Items Other]],Table_NFI[Winter Items Other])</f>
        <v>0</v>
      </c>
      <c r="AL1332" s="294">
        <f>IF(NFI_Expiration=1,IF($A1332&lt;VLOOKUP(M$5,NFI,5,0),1,0)*Table_NFI[[#This Row],[Winter Blanket]],Table_NFI[[#This Row],[Winter Blanket]])</f>
        <v>0</v>
      </c>
      <c r="AM1332" s="294">
        <f>IF(Table_NFI[[#This Row],[Winter Clothes Adult]]+Table_NFI[[#This Row],[Winter Clothes Children]]+Table_NFI[[#This Row],[Winter Items Other]]+Table_NFI[[#This Row],[Winter Blanket]]&gt;0,1,0)</f>
        <v>0</v>
      </c>
      <c r="AN1332" s="331">
        <f>IF(NFI_Expiration=1,IF($A1332&lt;VLOOKUP(V$5,NFI,5,0),1,0)*Table_NFI[[#This Row],[Jerry Can]],Table_NFI[Jerry Can])</f>
        <v>0</v>
      </c>
      <c r="AO1332" s="331">
        <f>IF(NFI_Expiration=1,IF($A1332&lt;VLOOKUP(V$5,NFI,5,0),1,0)*Table_NFI[[#This Row],[Shelter Tool kit]],Table_NFI[Shelter Tool kit])</f>
        <v>0</v>
      </c>
      <c r="AP1332" s="331">
        <f>IF(NFI_Expiration=1,IF($A1332&lt;VLOOKUP(V$5,NFI,5,0),1,0)*Table_NFI[[#This Row],[Tent]],Table_NFI[Tent])</f>
        <v>0</v>
      </c>
      <c r="AQ1332" s="467" t="str">
        <f>IFERROR(VLOOKUP(Table_NFI[[#This Row],[Camp Name]],CL,2,0),"")</f>
        <v/>
      </c>
      <c r="AR1332" s="835" t="str">
        <f ca="1">IF(Table_NFI[[#This Row],[Pcode]]="","",IF(OFFSET(CampList[Opening Date],MATCH(Table_NFI[[#This Row],[Pcode]],CampList[CP_Pcode],0)-1,0,1,1)&gt;=NFI_Monitor_Date,1,0))</f>
        <v/>
      </c>
      <c r="AS1332" s="467" t="str">
        <f>IFERROR(VLOOKUP(Table_NFI[[#This Row],[Camp Name]],CL,3,0),"")</f>
        <v/>
      </c>
      <c r="AT1332" s="294" t="str">
        <f ca="1">IF(Table_NFI[[#This Row],[Pcode]]="","",OFFSET(CampList[Priority],MATCH(Table_NFI[[#This Row],[Pcode]],CampList[CP_Pcode],0)-1,0,1,1))</f>
        <v/>
      </c>
      <c r="AU1332" s="293" t="str">
        <f>IFERROR(Table_NFI[[#This Row],[Kitchen Set]]/VLOOKUP(Table_NFI[[#This Row],[Camp Name]],CL,4,0),"")</f>
        <v/>
      </c>
      <c r="AV1332" s="465"/>
      <c r="AW1332" s="468"/>
    </row>
    <row r="1333" spans="1:49" ht="14.45" customHeight="1" x14ac:dyDescent="0.25">
      <c r="A1333" s="297" t="str">
        <f t="shared" si="20"/>
        <v/>
      </c>
      <c r="B1333" s="460"/>
      <c r="C1333" s="465"/>
      <c r="D1333" s="465"/>
      <c r="E1333" s="465"/>
      <c r="F1333" s="465"/>
      <c r="G1333" s="465"/>
      <c r="H1333" s="292"/>
      <c r="I1333" s="292"/>
      <c r="J1333" s="292"/>
      <c r="K1333" s="292"/>
      <c r="L1333" s="292"/>
      <c r="M1333" s="292"/>
      <c r="N1333" s="292"/>
      <c r="O1333" s="292"/>
      <c r="P1333" s="294"/>
      <c r="Q1333" s="294"/>
      <c r="R1333" s="294"/>
      <c r="S1333" s="294"/>
      <c r="T1333" s="294"/>
      <c r="U1333" s="294"/>
      <c r="V1333" s="431"/>
      <c r="W1333" s="331"/>
      <c r="X1333" s="331"/>
      <c r="Y1333" s="294">
        <f>IF(NFI_Expiration=1,IF($A1333&lt;VLOOKUP(H$5,NFI,5,0),1,0)*Table_NFI[[#This Row],[Hygiene Kit]],Table_NFI[Hygiene Kit])</f>
        <v>0</v>
      </c>
      <c r="Z1333" s="294">
        <f>IF(NFI_Expiration=1,IF($A1333&lt;VLOOKUP(I$5,NFI,5,0),1,0)*Table_NFI[[#This Row],[NFI Core Kit]],Table_NFI[NFI Core Kit])</f>
        <v>0</v>
      </c>
      <c r="AA1333" s="294">
        <f>IF(NFI_Expiration=1,IF($A1333&lt;VLOOKUP(J$5,NFI,5,0),1,0)*Table_NFI[[#This Row],[Sanitary Kit]],Table_NFI[Sanitary Kit])</f>
        <v>0</v>
      </c>
      <c r="AB1333" s="294">
        <f>IF(NFI_Expiration=1,IF($A1333&lt;VLOOKUP(K$5,NFI,5,0),1,0)*Table_NFI[[#This Row],[Mosquito net]],Table_NFI[Mosquito net])</f>
        <v>0</v>
      </c>
      <c r="AC1333" s="294">
        <f>IF(NFI_Expiration=1,IF($A1333&lt;VLOOKUP(L$5,NFI,5,0),1,0)*Table_NFI[[#This Row],[Tarpaulin]],Table_NFI[[#This Row],[Tarpaulin]])</f>
        <v>0</v>
      </c>
      <c r="AD1333" s="294">
        <f>IF(NFI_Expiration=1,IF($A1333&lt;VLOOKUP(M$5,NFI,5,0),1,0)*Table_NFI[[#This Row],[Blanket]],Table_NFI[[#This Row],[Blanket]])</f>
        <v>0</v>
      </c>
      <c r="AE1333" s="294">
        <f>IF(NFI_Expiration=1,IF($A1333&lt;VLOOKUP(N$5,NFI,5,0),1,0)*Table_NFI[[#This Row],[Kitchen Set]],Table_NFI[Kitchen Set])</f>
        <v>0</v>
      </c>
      <c r="AF1333" s="294">
        <f>IF(NFI_Expiration=1,IF($A1333&lt;VLOOKUP(O$5,NFI,5,0),1,0)*Table_NFI[[#This Row],[Clothes Kit]],Table_NFI[Clothes Kit])</f>
        <v>0</v>
      </c>
      <c r="AG1333" s="294">
        <f>IF(NFI_Expiration=1,IF($A1333&lt;VLOOKUP(P$5,NFI,5,0),1,0)*Table_NFI[[#This Row],[Plastic Bucket]],Table_NFI[Plastic Bucket])</f>
        <v>0</v>
      </c>
      <c r="AH1333" s="294">
        <f>IF(NFI_Expiration=1,IF($A1333&lt;VLOOKUP(Q$5,NFI,5,0),1,0)*Table_NFI[[#This Row],[Plastic Mat]],Table_NFI[Plastic Mat])*IF(Table_NFI[[#This Row],[Distribution Date]]&gt;"2014-04-01",1,2.5)</f>
        <v>0</v>
      </c>
      <c r="AI1333" s="294">
        <f>IF(NFI_Expiration=1,IF($A1333&lt;VLOOKUP(R$5,NFI,5,0),1,0)*Table_NFI[[#This Row],[Winter Clothes Adult]],Table_NFI[Winter Clothes Adult])</f>
        <v>0</v>
      </c>
      <c r="AJ1333" s="294">
        <f>IF(NFI_Expiration=1,IF($A1333&lt;VLOOKUP(S$5,NFI,5,0),1,0)*Table_NFI[[#This Row],[Winter Clothes Children]],Table_NFI[Winter Clothes Children])</f>
        <v>0</v>
      </c>
      <c r="AK1333" s="294">
        <f>IF(NFI_Expiration=1,IF($A1333&lt;VLOOKUP(T$5,NFI,5,0),1,0)*Table_NFI[[#This Row],[Winter Items Other]],Table_NFI[Winter Items Other])</f>
        <v>0</v>
      </c>
      <c r="AL1333" s="294">
        <f>IF(NFI_Expiration=1,IF($A1333&lt;VLOOKUP(M$5,NFI,5,0),1,0)*Table_NFI[[#This Row],[Winter Blanket]],Table_NFI[[#This Row],[Winter Blanket]])</f>
        <v>0</v>
      </c>
      <c r="AM1333" s="294">
        <f>IF(Table_NFI[[#This Row],[Winter Clothes Adult]]+Table_NFI[[#This Row],[Winter Clothes Children]]+Table_NFI[[#This Row],[Winter Items Other]]+Table_NFI[[#This Row],[Winter Blanket]]&gt;0,1,0)</f>
        <v>0</v>
      </c>
      <c r="AN1333" s="331">
        <f>IF(NFI_Expiration=1,IF($A1333&lt;VLOOKUP(V$5,NFI,5,0),1,0)*Table_NFI[[#This Row],[Jerry Can]],Table_NFI[Jerry Can])</f>
        <v>0</v>
      </c>
      <c r="AO1333" s="331">
        <f>IF(NFI_Expiration=1,IF($A1333&lt;VLOOKUP(V$5,NFI,5,0),1,0)*Table_NFI[[#This Row],[Shelter Tool kit]],Table_NFI[Shelter Tool kit])</f>
        <v>0</v>
      </c>
      <c r="AP1333" s="331">
        <f>IF(NFI_Expiration=1,IF($A1333&lt;VLOOKUP(V$5,NFI,5,0),1,0)*Table_NFI[[#This Row],[Tent]],Table_NFI[Tent])</f>
        <v>0</v>
      </c>
      <c r="AQ1333" s="467" t="str">
        <f>IFERROR(VLOOKUP(Table_NFI[[#This Row],[Camp Name]],CL,2,0),"")</f>
        <v/>
      </c>
      <c r="AR1333" s="835" t="str">
        <f ca="1">IF(Table_NFI[[#This Row],[Pcode]]="","",IF(OFFSET(CampList[Opening Date],MATCH(Table_NFI[[#This Row],[Pcode]],CampList[CP_Pcode],0)-1,0,1,1)&gt;=NFI_Monitor_Date,1,0))</f>
        <v/>
      </c>
      <c r="AS1333" s="467" t="str">
        <f>IFERROR(VLOOKUP(Table_NFI[[#This Row],[Camp Name]],CL,3,0),"")</f>
        <v/>
      </c>
      <c r="AT1333" s="294" t="str">
        <f ca="1">IF(Table_NFI[[#This Row],[Pcode]]="","",OFFSET(CampList[Priority],MATCH(Table_NFI[[#This Row],[Pcode]],CampList[CP_Pcode],0)-1,0,1,1))</f>
        <v/>
      </c>
      <c r="AU1333" s="293" t="str">
        <f>IFERROR(Table_NFI[[#This Row],[Kitchen Set]]/VLOOKUP(Table_NFI[[#This Row],[Camp Name]],CL,4,0),"")</f>
        <v/>
      </c>
      <c r="AV1333" s="465"/>
      <c r="AW1333" s="468"/>
    </row>
    <row r="1334" spans="1:49" ht="14.45" customHeight="1" x14ac:dyDescent="0.25">
      <c r="A1334" s="297" t="str">
        <f t="shared" si="20"/>
        <v/>
      </c>
      <c r="B1334" s="460"/>
      <c r="C1334" s="465"/>
      <c r="D1334" s="465"/>
      <c r="E1334" s="465"/>
      <c r="F1334" s="465"/>
      <c r="G1334" s="465"/>
      <c r="H1334" s="292"/>
      <c r="I1334" s="292"/>
      <c r="J1334" s="292"/>
      <c r="K1334" s="292"/>
      <c r="L1334" s="292"/>
      <c r="M1334" s="292"/>
      <c r="N1334" s="292"/>
      <c r="O1334" s="292"/>
      <c r="P1334" s="294"/>
      <c r="Q1334" s="294"/>
      <c r="R1334" s="294"/>
      <c r="S1334" s="294"/>
      <c r="T1334" s="294"/>
      <c r="U1334" s="294"/>
      <c r="V1334" s="431"/>
      <c r="W1334" s="331"/>
      <c r="X1334" s="331"/>
      <c r="Y1334" s="294">
        <f>IF(NFI_Expiration=1,IF($A1334&lt;VLOOKUP(H$5,NFI,5,0),1,0)*Table_NFI[[#This Row],[Hygiene Kit]],Table_NFI[Hygiene Kit])</f>
        <v>0</v>
      </c>
      <c r="Z1334" s="294">
        <f>IF(NFI_Expiration=1,IF($A1334&lt;VLOOKUP(I$5,NFI,5,0),1,0)*Table_NFI[[#This Row],[NFI Core Kit]],Table_NFI[NFI Core Kit])</f>
        <v>0</v>
      </c>
      <c r="AA1334" s="294">
        <f>IF(NFI_Expiration=1,IF($A1334&lt;VLOOKUP(J$5,NFI,5,0),1,0)*Table_NFI[[#This Row],[Sanitary Kit]],Table_NFI[Sanitary Kit])</f>
        <v>0</v>
      </c>
      <c r="AB1334" s="294">
        <f>IF(NFI_Expiration=1,IF($A1334&lt;VLOOKUP(K$5,NFI,5,0),1,0)*Table_NFI[[#This Row],[Mosquito net]],Table_NFI[Mosquito net])</f>
        <v>0</v>
      </c>
      <c r="AC1334" s="294">
        <f>IF(NFI_Expiration=1,IF($A1334&lt;VLOOKUP(L$5,NFI,5,0),1,0)*Table_NFI[[#This Row],[Tarpaulin]],Table_NFI[[#This Row],[Tarpaulin]])</f>
        <v>0</v>
      </c>
      <c r="AD1334" s="294">
        <f>IF(NFI_Expiration=1,IF($A1334&lt;VLOOKUP(M$5,NFI,5,0),1,0)*Table_NFI[[#This Row],[Blanket]],Table_NFI[[#This Row],[Blanket]])</f>
        <v>0</v>
      </c>
      <c r="AE1334" s="294">
        <f>IF(NFI_Expiration=1,IF($A1334&lt;VLOOKUP(N$5,NFI,5,0),1,0)*Table_NFI[[#This Row],[Kitchen Set]],Table_NFI[Kitchen Set])</f>
        <v>0</v>
      </c>
      <c r="AF1334" s="294">
        <f>IF(NFI_Expiration=1,IF($A1334&lt;VLOOKUP(O$5,NFI,5,0),1,0)*Table_NFI[[#This Row],[Clothes Kit]],Table_NFI[Clothes Kit])</f>
        <v>0</v>
      </c>
      <c r="AG1334" s="294">
        <f>IF(NFI_Expiration=1,IF($A1334&lt;VLOOKUP(P$5,NFI,5,0),1,0)*Table_NFI[[#This Row],[Plastic Bucket]],Table_NFI[Plastic Bucket])</f>
        <v>0</v>
      </c>
      <c r="AH1334" s="294">
        <f>IF(NFI_Expiration=1,IF($A1334&lt;VLOOKUP(Q$5,NFI,5,0),1,0)*Table_NFI[[#This Row],[Plastic Mat]],Table_NFI[Plastic Mat])*IF(Table_NFI[[#This Row],[Distribution Date]]&gt;"2014-04-01",1,2.5)</f>
        <v>0</v>
      </c>
      <c r="AI1334" s="294">
        <f>IF(NFI_Expiration=1,IF($A1334&lt;VLOOKUP(R$5,NFI,5,0),1,0)*Table_NFI[[#This Row],[Winter Clothes Adult]],Table_NFI[Winter Clothes Adult])</f>
        <v>0</v>
      </c>
      <c r="AJ1334" s="294">
        <f>IF(NFI_Expiration=1,IF($A1334&lt;VLOOKUP(S$5,NFI,5,0),1,0)*Table_NFI[[#This Row],[Winter Clothes Children]],Table_NFI[Winter Clothes Children])</f>
        <v>0</v>
      </c>
      <c r="AK1334" s="294">
        <f>IF(NFI_Expiration=1,IF($A1334&lt;VLOOKUP(T$5,NFI,5,0),1,0)*Table_NFI[[#This Row],[Winter Items Other]],Table_NFI[Winter Items Other])</f>
        <v>0</v>
      </c>
      <c r="AL1334" s="294">
        <f>IF(NFI_Expiration=1,IF($A1334&lt;VLOOKUP(M$5,NFI,5,0),1,0)*Table_NFI[[#This Row],[Winter Blanket]],Table_NFI[[#This Row],[Winter Blanket]])</f>
        <v>0</v>
      </c>
      <c r="AM1334" s="294">
        <f>IF(Table_NFI[[#This Row],[Winter Clothes Adult]]+Table_NFI[[#This Row],[Winter Clothes Children]]+Table_NFI[[#This Row],[Winter Items Other]]+Table_NFI[[#This Row],[Winter Blanket]]&gt;0,1,0)</f>
        <v>0</v>
      </c>
      <c r="AN1334" s="331">
        <f>IF(NFI_Expiration=1,IF($A1334&lt;VLOOKUP(V$5,NFI,5,0),1,0)*Table_NFI[[#This Row],[Jerry Can]],Table_NFI[Jerry Can])</f>
        <v>0</v>
      </c>
      <c r="AO1334" s="331">
        <f>IF(NFI_Expiration=1,IF($A1334&lt;VLOOKUP(V$5,NFI,5,0),1,0)*Table_NFI[[#This Row],[Shelter Tool kit]],Table_NFI[Shelter Tool kit])</f>
        <v>0</v>
      </c>
      <c r="AP1334" s="331">
        <f>IF(NFI_Expiration=1,IF($A1334&lt;VLOOKUP(V$5,NFI,5,0),1,0)*Table_NFI[[#This Row],[Tent]],Table_NFI[Tent])</f>
        <v>0</v>
      </c>
      <c r="AQ1334" s="467" t="str">
        <f>IFERROR(VLOOKUP(Table_NFI[[#This Row],[Camp Name]],CL,2,0),"")</f>
        <v/>
      </c>
      <c r="AR1334" s="835" t="str">
        <f ca="1">IF(Table_NFI[[#This Row],[Pcode]]="","",IF(OFFSET(CampList[Opening Date],MATCH(Table_NFI[[#This Row],[Pcode]],CampList[CP_Pcode],0)-1,0,1,1)&gt;=NFI_Monitor_Date,1,0))</f>
        <v/>
      </c>
      <c r="AS1334" s="467" t="str">
        <f>IFERROR(VLOOKUP(Table_NFI[[#This Row],[Camp Name]],CL,3,0),"")</f>
        <v/>
      </c>
      <c r="AT1334" s="294" t="str">
        <f ca="1">IF(Table_NFI[[#This Row],[Pcode]]="","",OFFSET(CampList[Priority],MATCH(Table_NFI[[#This Row],[Pcode]],CampList[CP_Pcode],0)-1,0,1,1))</f>
        <v/>
      </c>
      <c r="AU1334" s="293" t="str">
        <f>IFERROR(Table_NFI[[#This Row],[Kitchen Set]]/VLOOKUP(Table_NFI[[#This Row],[Camp Name]],CL,4,0),"")</f>
        <v/>
      </c>
      <c r="AV1334" s="465"/>
      <c r="AW1334" s="468"/>
    </row>
    <row r="1335" spans="1:49" ht="14.45" customHeight="1" x14ac:dyDescent="0.25">
      <c r="A1335" s="329" t="str">
        <f t="shared" si="20"/>
        <v/>
      </c>
      <c r="B1335" s="469"/>
      <c r="C1335" s="471"/>
      <c r="D1335" s="471"/>
      <c r="E1335" s="471"/>
      <c r="F1335" s="471"/>
      <c r="G1335" s="471"/>
      <c r="H1335" s="330"/>
      <c r="I1335" s="330"/>
      <c r="J1335" s="330"/>
      <c r="K1335" s="330"/>
      <c r="L1335" s="330"/>
      <c r="M1335" s="330"/>
      <c r="N1335" s="330"/>
      <c r="O1335" s="330"/>
      <c r="P1335" s="331"/>
      <c r="Q1335" s="331"/>
      <c r="R1335" s="331"/>
      <c r="S1335" s="331"/>
      <c r="T1335" s="331"/>
      <c r="U1335" s="331"/>
      <c r="V1335" s="431"/>
      <c r="W1335" s="331"/>
      <c r="X1335" s="331"/>
      <c r="Y1335" s="331">
        <f>IF(NFI_Expiration=1,IF($A1335&lt;VLOOKUP(H$5,NFI,5,0),1,0)*Table_NFI[[#This Row],[Hygiene Kit]],Table_NFI[Hygiene Kit])</f>
        <v>0</v>
      </c>
      <c r="Z1335" s="331">
        <f>IF(NFI_Expiration=1,IF($A1335&lt;VLOOKUP(I$5,NFI,5,0),1,0)*Table_NFI[[#This Row],[NFI Core Kit]],Table_NFI[NFI Core Kit])</f>
        <v>0</v>
      </c>
      <c r="AA1335" s="331">
        <f>IF(NFI_Expiration=1,IF($A1335&lt;VLOOKUP(J$5,NFI,5,0),1,0)*Table_NFI[[#This Row],[Sanitary Kit]],Table_NFI[Sanitary Kit])</f>
        <v>0</v>
      </c>
      <c r="AB1335" s="331">
        <f>IF(NFI_Expiration=1,IF($A1335&lt;VLOOKUP(K$5,NFI,5,0),1,0)*Table_NFI[[#This Row],[Mosquito net]],Table_NFI[Mosquito net])</f>
        <v>0</v>
      </c>
      <c r="AC1335" s="331">
        <f>IF(NFI_Expiration=1,IF($A1335&lt;VLOOKUP(L$5,NFI,5,0),1,0)*Table_NFI[[#This Row],[Tarpaulin]],Table_NFI[[#This Row],[Tarpaulin]])</f>
        <v>0</v>
      </c>
      <c r="AD1335" s="331">
        <f>IF(NFI_Expiration=1,IF($A1335&lt;VLOOKUP(M$5,NFI,5,0),1,0)*Table_NFI[[#This Row],[Blanket]],Table_NFI[[#This Row],[Blanket]])</f>
        <v>0</v>
      </c>
      <c r="AE1335" s="331">
        <f>IF(NFI_Expiration=1,IF($A1335&lt;VLOOKUP(N$5,NFI,5,0),1,0)*Table_NFI[[#This Row],[Kitchen Set]],Table_NFI[Kitchen Set])</f>
        <v>0</v>
      </c>
      <c r="AF1335" s="331">
        <f>IF(NFI_Expiration=1,IF($A1335&lt;VLOOKUP(O$5,NFI,5,0),1,0)*Table_NFI[[#This Row],[Clothes Kit]],Table_NFI[Clothes Kit])</f>
        <v>0</v>
      </c>
      <c r="AG1335" s="331">
        <f>IF(NFI_Expiration=1,IF($A1335&lt;VLOOKUP(P$5,NFI,5,0),1,0)*Table_NFI[[#This Row],[Plastic Bucket]],Table_NFI[Plastic Bucket])</f>
        <v>0</v>
      </c>
      <c r="AH1335" s="331">
        <f>IF(NFI_Expiration=1,IF($A1335&lt;VLOOKUP(Q$5,NFI,5,0),1,0)*Table_NFI[[#This Row],[Plastic Mat]],Table_NFI[Plastic Mat])*IF(Table_NFI[[#This Row],[Distribution Date]]&gt;"2014-04-01",1,2.5)</f>
        <v>0</v>
      </c>
      <c r="AI1335" s="331">
        <f>IF(NFI_Expiration=1,IF($A1335&lt;VLOOKUP(R$5,NFI,5,0),1,0)*Table_NFI[[#This Row],[Winter Clothes Adult]],Table_NFI[Winter Clothes Adult])</f>
        <v>0</v>
      </c>
      <c r="AJ1335" s="331">
        <f>IF(NFI_Expiration=1,IF($A1335&lt;VLOOKUP(S$5,NFI,5,0),1,0)*Table_NFI[[#This Row],[Winter Clothes Children]],Table_NFI[Winter Clothes Children])</f>
        <v>0</v>
      </c>
      <c r="AK1335" s="331">
        <f>IF(NFI_Expiration=1,IF($A1335&lt;VLOOKUP(T$5,NFI,5,0),1,0)*Table_NFI[[#This Row],[Winter Items Other]],Table_NFI[Winter Items Other])</f>
        <v>0</v>
      </c>
      <c r="AL1335" s="331">
        <f>IF(NFI_Expiration=1,IF($A1335&lt;VLOOKUP(M$5,NFI,5,0),1,0)*Table_NFI[[#This Row],[Winter Blanket]],Table_NFI[[#This Row],[Winter Blanket]])</f>
        <v>0</v>
      </c>
      <c r="AM1335" s="331">
        <f>IF(Table_NFI[[#This Row],[Winter Clothes Adult]]+Table_NFI[[#This Row],[Winter Clothes Children]]+Table_NFI[[#This Row],[Winter Items Other]]+Table_NFI[[#This Row],[Winter Blanket]]&gt;0,1,0)</f>
        <v>0</v>
      </c>
      <c r="AN1335" s="331">
        <f>IF(NFI_Expiration=1,IF($A1335&lt;VLOOKUP(V$5,NFI,5,0),1,0)*Table_NFI[[#This Row],[Jerry Can]],Table_NFI[Jerry Can])</f>
        <v>0</v>
      </c>
      <c r="AO1335" s="331">
        <f>IF(NFI_Expiration=1,IF($A1335&lt;VLOOKUP(V$5,NFI,5,0),1,0)*Table_NFI[[#This Row],[Shelter Tool kit]],Table_NFI[Shelter Tool kit])</f>
        <v>0</v>
      </c>
      <c r="AP1335" s="331">
        <f>IF(NFI_Expiration=1,IF($A1335&lt;VLOOKUP(V$5,NFI,5,0),1,0)*Table_NFI[[#This Row],[Tent]],Table_NFI[Tent])</f>
        <v>0</v>
      </c>
      <c r="AQ1335" s="477" t="str">
        <f>IFERROR(VLOOKUP(Table_NFI[[#This Row],[Camp Name]],CL,2,0),"")</f>
        <v/>
      </c>
      <c r="AR1335" s="835" t="str">
        <f ca="1">IF(Table_NFI[[#This Row],[Pcode]]="","",IF(OFFSET(CampList[Opening Date],MATCH(Table_NFI[[#This Row],[Pcode]],CampList[CP_Pcode],0)-1,0,1,1)&gt;=NFI_Monitor_Date,1,0))</f>
        <v/>
      </c>
      <c r="AS1335" s="477" t="str">
        <f>IFERROR(VLOOKUP(Table_NFI[[#This Row],[Camp Name]],CL,3,0),"")</f>
        <v/>
      </c>
      <c r="AT1335" s="331" t="str">
        <f ca="1">IF(Table_NFI[[#This Row],[Pcode]]="","",OFFSET(CampList[Priority],MATCH(Table_NFI[[#This Row],[Pcode]],CampList[CP_Pcode],0)-1,0,1,1))</f>
        <v/>
      </c>
      <c r="AU1335" s="332" t="str">
        <f>IFERROR(Table_NFI[[#This Row],[Kitchen Set]]/VLOOKUP(Table_NFI[[#This Row],[Camp Name]],CL,4,0),"")</f>
        <v/>
      </c>
      <c r="AV1335" s="471"/>
      <c r="AW1335" s="478"/>
    </row>
    <row r="1336" spans="1:49" ht="14.45" customHeight="1" x14ac:dyDescent="0.25">
      <c r="A1336" s="329" t="str">
        <f t="shared" si="20"/>
        <v/>
      </c>
      <c r="B1336" s="469"/>
      <c r="C1336" s="471"/>
      <c r="D1336" s="471"/>
      <c r="E1336" s="471"/>
      <c r="F1336" s="471"/>
      <c r="G1336" s="471"/>
      <c r="H1336" s="330"/>
      <c r="I1336" s="330"/>
      <c r="J1336" s="330"/>
      <c r="K1336" s="330"/>
      <c r="L1336" s="330"/>
      <c r="M1336" s="330"/>
      <c r="N1336" s="330"/>
      <c r="O1336" s="330"/>
      <c r="P1336" s="331"/>
      <c r="Q1336" s="331"/>
      <c r="R1336" s="331"/>
      <c r="S1336" s="331"/>
      <c r="T1336" s="331"/>
      <c r="U1336" s="331"/>
      <c r="V1336" s="431"/>
      <c r="W1336" s="331"/>
      <c r="X1336" s="331"/>
      <c r="Y1336" s="331">
        <f>IF(NFI_Expiration=1,IF($A1336&lt;VLOOKUP(H$5,NFI,5,0),1,0)*Table_NFI[[#This Row],[Hygiene Kit]],Table_NFI[Hygiene Kit])</f>
        <v>0</v>
      </c>
      <c r="Z1336" s="331">
        <f>IF(NFI_Expiration=1,IF($A1336&lt;VLOOKUP(I$5,NFI,5,0),1,0)*Table_NFI[[#This Row],[NFI Core Kit]],Table_NFI[NFI Core Kit])</f>
        <v>0</v>
      </c>
      <c r="AA1336" s="331">
        <f>IF(NFI_Expiration=1,IF($A1336&lt;VLOOKUP(J$5,NFI,5,0),1,0)*Table_NFI[[#This Row],[Sanitary Kit]],Table_NFI[Sanitary Kit])</f>
        <v>0</v>
      </c>
      <c r="AB1336" s="331">
        <f>IF(NFI_Expiration=1,IF($A1336&lt;VLOOKUP(K$5,NFI,5,0),1,0)*Table_NFI[[#This Row],[Mosquito net]],Table_NFI[Mosquito net])</f>
        <v>0</v>
      </c>
      <c r="AC1336" s="331">
        <f>IF(NFI_Expiration=1,IF($A1336&lt;VLOOKUP(L$5,NFI,5,0),1,0)*Table_NFI[[#This Row],[Tarpaulin]],Table_NFI[[#This Row],[Tarpaulin]])</f>
        <v>0</v>
      </c>
      <c r="AD1336" s="331">
        <f>IF(NFI_Expiration=1,IF($A1336&lt;VLOOKUP(M$5,NFI,5,0),1,0)*Table_NFI[[#This Row],[Blanket]],Table_NFI[[#This Row],[Blanket]])</f>
        <v>0</v>
      </c>
      <c r="AE1336" s="331">
        <f>IF(NFI_Expiration=1,IF($A1336&lt;VLOOKUP(N$5,NFI,5,0),1,0)*Table_NFI[[#This Row],[Kitchen Set]],Table_NFI[Kitchen Set])</f>
        <v>0</v>
      </c>
      <c r="AF1336" s="331">
        <f>IF(NFI_Expiration=1,IF($A1336&lt;VLOOKUP(O$5,NFI,5,0),1,0)*Table_NFI[[#This Row],[Clothes Kit]],Table_NFI[Clothes Kit])</f>
        <v>0</v>
      </c>
      <c r="AG1336" s="331">
        <f>IF(NFI_Expiration=1,IF($A1336&lt;VLOOKUP(P$5,NFI,5,0),1,0)*Table_NFI[[#This Row],[Plastic Bucket]],Table_NFI[Plastic Bucket])</f>
        <v>0</v>
      </c>
      <c r="AH1336" s="331">
        <f>IF(NFI_Expiration=1,IF($A1336&lt;VLOOKUP(Q$5,NFI,5,0),1,0)*Table_NFI[[#This Row],[Plastic Mat]],Table_NFI[Plastic Mat])*IF(Table_NFI[[#This Row],[Distribution Date]]&gt;"2014-04-01",1,2.5)</f>
        <v>0</v>
      </c>
      <c r="AI1336" s="331">
        <f>IF(NFI_Expiration=1,IF($A1336&lt;VLOOKUP(R$5,NFI,5,0),1,0)*Table_NFI[[#This Row],[Winter Clothes Adult]],Table_NFI[Winter Clothes Adult])</f>
        <v>0</v>
      </c>
      <c r="AJ1336" s="331">
        <f>IF(NFI_Expiration=1,IF($A1336&lt;VLOOKUP(S$5,NFI,5,0),1,0)*Table_NFI[[#This Row],[Winter Clothes Children]],Table_NFI[Winter Clothes Children])</f>
        <v>0</v>
      </c>
      <c r="AK1336" s="331">
        <f>IF(NFI_Expiration=1,IF($A1336&lt;VLOOKUP(T$5,NFI,5,0),1,0)*Table_NFI[[#This Row],[Winter Items Other]],Table_NFI[Winter Items Other])</f>
        <v>0</v>
      </c>
      <c r="AL1336" s="331">
        <f>IF(NFI_Expiration=1,IF($A1336&lt;VLOOKUP(M$5,NFI,5,0),1,0)*Table_NFI[[#This Row],[Winter Blanket]],Table_NFI[[#This Row],[Winter Blanket]])</f>
        <v>0</v>
      </c>
      <c r="AM1336" s="331">
        <f>IF(Table_NFI[[#This Row],[Winter Clothes Adult]]+Table_NFI[[#This Row],[Winter Clothes Children]]+Table_NFI[[#This Row],[Winter Items Other]]+Table_NFI[[#This Row],[Winter Blanket]]&gt;0,1,0)</f>
        <v>0</v>
      </c>
      <c r="AN1336" s="331">
        <f>IF(NFI_Expiration=1,IF($A1336&lt;VLOOKUP(V$5,NFI,5,0),1,0)*Table_NFI[[#This Row],[Jerry Can]],Table_NFI[Jerry Can])</f>
        <v>0</v>
      </c>
      <c r="AO1336" s="331">
        <f>IF(NFI_Expiration=1,IF($A1336&lt;VLOOKUP(V$5,NFI,5,0),1,0)*Table_NFI[[#This Row],[Shelter Tool kit]],Table_NFI[Shelter Tool kit])</f>
        <v>0</v>
      </c>
      <c r="AP1336" s="331">
        <f>IF(NFI_Expiration=1,IF($A1336&lt;VLOOKUP(V$5,NFI,5,0),1,0)*Table_NFI[[#This Row],[Tent]],Table_NFI[Tent])</f>
        <v>0</v>
      </c>
      <c r="AQ1336" s="477" t="str">
        <f>IFERROR(VLOOKUP(Table_NFI[[#This Row],[Camp Name]],CL,2,0),"")</f>
        <v/>
      </c>
      <c r="AR1336" s="835" t="str">
        <f ca="1">IF(Table_NFI[[#This Row],[Pcode]]="","",IF(OFFSET(CampList[Opening Date],MATCH(Table_NFI[[#This Row],[Pcode]],CampList[CP_Pcode],0)-1,0,1,1)&gt;=NFI_Monitor_Date,1,0))</f>
        <v/>
      </c>
      <c r="AS1336" s="477" t="str">
        <f>IFERROR(VLOOKUP(Table_NFI[[#This Row],[Camp Name]],CL,3,0),"")</f>
        <v/>
      </c>
      <c r="AT1336" s="331" t="str">
        <f ca="1">IF(Table_NFI[[#This Row],[Pcode]]="","",OFFSET(CampList[Priority],MATCH(Table_NFI[[#This Row],[Pcode]],CampList[CP_Pcode],0)-1,0,1,1))</f>
        <v/>
      </c>
      <c r="AU1336" s="293" t="str">
        <f>IFERROR(Table_NFI[[#This Row],[Kitchen Set]]/VLOOKUP(Table_NFI[[#This Row],[Camp Name]],CL,4,0),"")</f>
        <v/>
      </c>
      <c r="AV1336" s="471"/>
      <c r="AW1336" s="478"/>
    </row>
    <row r="1337" spans="1:49" ht="14.45" customHeight="1" x14ac:dyDescent="0.25">
      <c r="A1337" s="297" t="str">
        <f t="shared" si="20"/>
        <v/>
      </c>
      <c r="B1337" s="460"/>
      <c r="C1337" s="465"/>
      <c r="D1337" s="465"/>
      <c r="E1337" s="465"/>
      <c r="F1337" s="465"/>
      <c r="G1337" s="465"/>
      <c r="H1337" s="292"/>
      <c r="I1337" s="292"/>
      <c r="J1337" s="292"/>
      <c r="K1337" s="292"/>
      <c r="L1337" s="292"/>
      <c r="M1337" s="292"/>
      <c r="N1337" s="292"/>
      <c r="O1337" s="292"/>
      <c r="P1337" s="294"/>
      <c r="Q1337" s="294"/>
      <c r="R1337" s="294"/>
      <c r="S1337" s="294"/>
      <c r="T1337" s="294"/>
      <c r="U1337" s="294"/>
      <c r="V1337" s="431"/>
      <c r="W1337" s="331"/>
      <c r="X1337" s="331"/>
      <c r="Y1337" s="294">
        <f>IF(NFI_Expiration=1,IF($A1337&lt;VLOOKUP(H$5,NFI,5,0),1,0)*Table_NFI[[#This Row],[Hygiene Kit]],Table_NFI[Hygiene Kit])</f>
        <v>0</v>
      </c>
      <c r="Z1337" s="294">
        <f>IF(NFI_Expiration=1,IF($A1337&lt;VLOOKUP(I$5,NFI,5,0),1,0)*Table_NFI[[#This Row],[NFI Core Kit]],Table_NFI[NFI Core Kit])</f>
        <v>0</v>
      </c>
      <c r="AA1337" s="294">
        <f>IF(NFI_Expiration=1,IF($A1337&lt;VLOOKUP(J$5,NFI,5,0),1,0)*Table_NFI[[#This Row],[Sanitary Kit]],Table_NFI[Sanitary Kit])</f>
        <v>0</v>
      </c>
      <c r="AB1337" s="294">
        <f>IF(NFI_Expiration=1,IF($A1337&lt;VLOOKUP(K$5,NFI,5,0),1,0)*Table_NFI[[#This Row],[Mosquito net]],Table_NFI[Mosquito net])</f>
        <v>0</v>
      </c>
      <c r="AC1337" s="294">
        <f>IF(NFI_Expiration=1,IF($A1337&lt;VLOOKUP(L$5,NFI,5,0),1,0)*Table_NFI[[#This Row],[Tarpaulin]],Table_NFI[[#This Row],[Tarpaulin]])</f>
        <v>0</v>
      </c>
      <c r="AD1337" s="294">
        <f>IF(NFI_Expiration=1,IF($A1337&lt;VLOOKUP(M$5,NFI,5,0),1,0)*Table_NFI[[#This Row],[Blanket]],Table_NFI[[#This Row],[Blanket]])</f>
        <v>0</v>
      </c>
      <c r="AE1337" s="294">
        <f>IF(NFI_Expiration=1,IF($A1337&lt;VLOOKUP(N$5,NFI,5,0),1,0)*Table_NFI[[#This Row],[Kitchen Set]],Table_NFI[Kitchen Set])</f>
        <v>0</v>
      </c>
      <c r="AF1337" s="294">
        <f>IF(NFI_Expiration=1,IF($A1337&lt;VLOOKUP(O$5,NFI,5,0),1,0)*Table_NFI[[#This Row],[Clothes Kit]],Table_NFI[Clothes Kit])</f>
        <v>0</v>
      </c>
      <c r="AG1337" s="294">
        <f>IF(NFI_Expiration=1,IF($A1337&lt;VLOOKUP(P$5,NFI,5,0),1,0)*Table_NFI[[#This Row],[Plastic Bucket]],Table_NFI[Plastic Bucket])</f>
        <v>0</v>
      </c>
      <c r="AH1337" s="294">
        <f>IF(NFI_Expiration=1,IF($A1337&lt;VLOOKUP(Q$5,NFI,5,0),1,0)*Table_NFI[[#This Row],[Plastic Mat]],Table_NFI[Plastic Mat])*IF(Table_NFI[[#This Row],[Distribution Date]]&gt;"2014-04-01",1,2.5)</f>
        <v>0</v>
      </c>
      <c r="AI1337" s="294">
        <f>IF(NFI_Expiration=1,IF($A1337&lt;VLOOKUP(R$5,NFI,5,0),1,0)*Table_NFI[[#This Row],[Winter Clothes Adult]],Table_NFI[Winter Clothes Adult])</f>
        <v>0</v>
      </c>
      <c r="AJ1337" s="294">
        <f>IF(NFI_Expiration=1,IF($A1337&lt;VLOOKUP(S$5,NFI,5,0),1,0)*Table_NFI[[#This Row],[Winter Clothes Children]],Table_NFI[Winter Clothes Children])</f>
        <v>0</v>
      </c>
      <c r="AK1337" s="294">
        <f>IF(NFI_Expiration=1,IF($A1337&lt;VLOOKUP(T$5,NFI,5,0),1,0)*Table_NFI[[#This Row],[Winter Items Other]],Table_NFI[Winter Items Other])</f>
        <v>0</v>
      </c>
      <c r="AL1337" s="294">
        <f>IF(NFI_Expiration=1,IF($A1337&lt;VLOOKUP(M$5,NFI,5,0),1,0)*Table_NFI[[#This Row],[Winter Blanket]],Table_NFI[[#This Row],[Winter Blanket]])</f>
        <v>0</v>
      </c>
      <c r="AM1337" s="294">
        <f>IF(Table_NFI[[#This Row],[Winter Clothes Adult]]+Table_NFI[[#This Row],[Winter Clothes Children]]+Table_NFI[[#This Row],[Winter Items Other]]+Table_NFI[[#This Row],[Winter Blanket]]&gt;0,1,0)</f>
        <v>0</v>
      </c>
      <c r="AN1337" s="331">
        <f>IF(NFI_Expiration=1,IF($A1337&lt;VLOOKUP(V$5,NFI,5,0),1,0)*Table_NFI[[#This Row],[Jerry Can]],Table_NFI[Jerry Can])</f>
        <v>0</v>
      </c>
      <c r="AO1337" s="331">
        <f>IF(NFI_Expiration=1,IF($A1337&lt;VLOOKUP(V$5,NFI,5,0),1,0)*Table_NFI[[#This Row],[Shelter Tool kit]],Table_NFI[Shelter Tool kit])</f>
        <v>0</v>
      </c>
      <c r="AP1337" s="331">
        <f>IF(NFI_Expiration=1,IF($A1337&lt;VLOOKUP(V$5,NFI,5,0),1,0)*Table_NFI[[#This Row],[Tent]],Table_NFI[Tent])</f>
        <v>0</v>
      </c>
      <c r="AQ1337" s="467" t="str">
        <f>IFERROR(VLOOKUP(Table_NFI[[#This Row],[Camp Name]],CL,2,0),"")</f>
        <v/>
      </c>
      <c r="AR1337" s="835" t="str">
        <f ca="1">IF(Table_NFI[[#This Row],[Pcode]]="","",IF(OFFSET(CampList[Opening Date],MATCH(Table_NFI[[#This Row],[Pcode]],CampList[CP_Pcode],0)-1,0,1,1)&gt;=NFI_Monitor_Date,1,0))</f>
        <v/>
      </c>
      <c r="AS1337" s="467" t="str">
        <f>IFERROR(VLOOKUP(Table_NFI[[#This Row],[Camp Name]],CL,3,0),"")</f>
        <v/>
      </c>
      <c r="AT1337" s="294" t="str">
        <f ca="1">IF(Table_NFI[[#This Row],[Pcode]]="","",OFFSET(CampList[Priority],MATCH(Table_NFI[[#This Row],[Pcode]],CampList[CP_Pcode],0)-1,0,1,1))</f>
        <v/>
      </c>
      <c r="AU1337" s="293" t="str">
        <f>IFERROR(Table_NFI[[#This Row],[Kitchen Set]]/VLOOKUP(Table_NFI[[#This Row],[Camp Name]],CL,4,0),"")</f>
        <v/>
      </c>
      <c r="AV1337" s="465"/>
      <c r="AW1337" s="468"/>
    </row>
    <row r="1338" spans="1:49" x14ac:dyDescent="0.25">
      <c r="A1338" s="329" t="str">
        <f t="shared" si="20"/>
        <v/>
      </c>
      <c r="B1338" s="469"/>
      <c r="C1338" s="471"/>
      <c r="D1338" s="471"/>
      <c r="E1338" s="470"/>
      <c r="F1338" s="470"/>
      <c r="G1338" s="465"/>
      <c r="H1338" s="330"/>
      <c r="I1338" s="330"/>
      <c r="J1338" s="330"/>
      <c r="K1338" s="330"/>
      <c r="L1338" s="330"/>
      <c r="M1338" s="330"/>
      <c r="N1338" s="330"/>
      <c r="O1338" s="330"/>
      <c r="P1338" s="331"/>
      <c r="Q1338" s="331"/>
      <c r="R1338" s="331"/>
      <c r="S1338" s="331"/>
      <c r="T1338" s="331"/>
      <c r="U1338" s="331"/>
      <c r="V1338" s="431"/>
      <c r="W1338" s="331"/>
      <c r="X1338" s="331"/>
      <c r="Y1338" s="331">
        <f>IF(NFI_Expiration=1,IF($A1338&lt;VLOOKUP(H$5,NFI,5,0),1,0)*Table_NFI[[#This Row],[Hygiene Kit]],Table_NFI[Hygiene Kit])</f>
        <v>0</v>
      </c>
      <c r="Z1338" s="331">
        <f>IF(NFI_Expiration=1,IF($A1338&lt;VLOOKUP(I$5,NFI,5,0),1,0)*Table_NFI[[#This Row],[NFI Core Kit]],Table_NFI[NFI Core Kit])</f>
        <v>0</v>
      </c>
      <c r="AA1338" s="331">
        <f>IF(NFI_Expiration=1,IF($A1338&lt;VLOOKUP(J$5,NFI,5,0),1,0)*Table_NFI[[#This Row],[Sanitary Kit]],Table_NFI[Sanitary Kit])</f>
        <v>0</v>
      </c>
      <c r="AB1338" s="331">
        <f>IF(NFI_Expiration=1,IF($A1338&lt;VLOOKUP(K$5,NFI,5,0),1,0)*Table_NFI[[#This Row],[Mosquito net]],Table_NFI[Mosquito net])</f>
        <v>0</v>
      </c>
      <c r="AC1338" s="331">
        <f>IF(NFI_Expiration=1,IF($A1338&lt;VLOOKUP(L$5,NFI,5,0),1,0)*Table_NFI[[#This Row],[Tarpaulin]],Table_NFI[[#This Row],[Tarpaulin]])</f>
        <v>0</v>
      </c>
      <c r="AD1338" s="331">
        <f>IF(NFI_Expiration=1,IF($A1338&lt;VLOOKUP(M$5,NFI,5,0),1,0)*Table_NFI[[#This Row],[Blanket]],Table_NFI[[#This Row],[Blanket]])</f>
        <v>0</v>
      </c>
      <c r="AE1338" s="331">
        <f>IF(NFI_Expiration=1,IF($A1338&lt;VLOOKUP(N$5,NFI,5,0),1,0)*Table_NFI[[#This Row],[Kitchen Set]],Table_NFI[Kitchen Set])</f>
        <v>0</v>
      </c>
      <c r="AF1338" s="331">
        <f>IF(NFI_Expiration=1,IF($A1338&lt;VLOOKUP(O$5,NFI,5,0),1,0)*Table_NFI[[#This Row],[Clothes Kit]],Table_NFI[Clothes Kit])</f>
        <v>0</v>
      </c>
      <c r="AG1338" s="331">
        <f>IF(NFI_Expiration=1,IF($A1338&lt;VLOOKUP(P$5,NFI,5,0),1,0)*Table_NFI[[#This Row],[Plastic Bucket]],Table_NFI[Plastic Bucket])</f>
        <v>0</v>
      </c>
      <c r="AH1338" s="331">
        <f>IF(NFI_Expiration=1,IF($A1338&lt;VLOOKUP(Q$5,NFI,5,0),1,0)*Table_NFI[[#This Row],[Plastic Mat]],Table_NFI[Plastic Mat])*IF(Table_NFI[[#This Row],[Distribution Date]]&gt;"2014-04-01",1,2.5)</f>
        <v>0</v>
      </c>
      <c r="AI1338" s="331">
        <f>IF(NFI_Expiration=1,IF($A1338&lt;VLOOKUP(R$5,NFI,5,0),1,0)*Table_NFI[[#This Row],[Winter Clothes Adult]],Table_NFI[Winter Clothes Adult])</f>
        <v>0</v>
      </c>
      <c r="AJ1338" s="331">
        <f>IF(NFI_Expiration=1,IF($A1338&lt;VLOOKUP(S$5,NFI,5,0),1,0)*Table_NFI[[#This Row],[Winter Clothes Children]],Table_NFI[Winter Clothes Children])</f>
        <v>0</v>
      </c>
      <c r="AK1338" s="331">
        <f>IF(NFI_Expiration=1,IF($A1338&lt;VLOOKUP(T$5,NFI,5,0),1,0)*Table_NFI[[#This Row],[Winter Items Other]],Table_NFI[Winter Items Other])</f>
        <v>0</v>
      </c>
      <c r="AL1338" s="331">
        <f>IF(NFI_Expiration=1,IF($A1338&lt;VLOOKUP(M$5,NFI,5,0),1,0)*Table_NFI[[#This Row],[Winter Blanket]],Table_NFI[[#This Row],[Winter Blanket]])</f>
        <v>0</v>
      </c>
      <c r="AM1338" s="331">
        <f>IF(Table_NFI[[#This Row],[Winter Clothes Adult]]+Table_NFI[[#This Row],[Winter Clothes Children]]+Table_NFI[[#This Row],[Winter Items Other]]+Table_NFI[[#This Row],[Winter Blanket]]&gt;0,1,0)</f>
        <v>0</v>
      </c>
      <c r="AN1338" s="331">
        <f>IF(NFI_Expiration=1,IF($A1338&lt;VLOOKUP(V$5,NFI,5,0),1,0)*Table_NFI[[#This Row],[Jerry Can]],Table_NFI[Jerry Can])</f>
        <v>0</v>
      </c>
      <c r="AO1338" s="331">
        <f>IF(NFI_Expiration=1,IF($A1338&lt;VLOOKUP(V$5,NFI,5,0),1,0)*Table_NFI[[#This Row],[Shelter Tool kit]],Table_NFI[Shelter Tool kit])</f>
        <v>0</v>
      </c>
      <c r="AP1338" s="331">
        <f>IF(NFI_Expiration=1,IF($A1338&lt;VLOOKUP(V$5,NFI,5,0),1,0)*Table_NFI[[#This Row],[Tent]],Table_NFI[Tent])</f>
        <v>0</v>
      </c>
      <c r="AQ1338" s="477" t="str">
        <f>IFERROR(VLOOKUP(Table_NFI[[#This Row],[Camp Name]],CL,2,0),"")</f>
        <v/>
      </c>
      <c r="AR1338" s="835" t="str">
        <f ca="1">IF(Table_NFI[[#This Row],[Pcode]]="","",IF(OFFSET(CampList[Opening Date],MATCH(Table_NFI[[#This Row],[Pcode]],CampList[CP_Pcode],0)-1,0,1,1)&gt;=NFI_Monitor_Date,1,0))</f>
        <v/>
      </c>
      <c r="AS1338" s="477" t="str">
        <f>IFERROR(VLOOKUP(Table_NFI[[#This Row],[Camp Name]],CL,3,0),"")</f>
        <v/>
      </c>
      <c r="AT1338" s="331" t="str">
        <f ca="1">IF(Table_NFI[[#This Row],[Pcode]]="","",OFFSET(CampList[Priority],MATCH(Table_NFI[[#This Row],[Pcode]],CampList[CP_Pcode],0)-1,0,1,1))</f>
        <v/>
      </c>
      <c r="AU1338" s="332" t="str">
        <f>IFERROR(Table_NFI[[#This Row],[Kitchen Set]]/VLOOKUP(Table_NFI[[#This Row],[Camp Name]],CL,4,0),"")</f>
        <v/>
      </c>
      <c r="AV1338" s="471"/>
      <c r="AW1338" s="478"/>
    </row>
    <row r="1339" spans="1:49" x14ac:dyDescent="0.25">
      <c r="A1339" s="297" t="str">
        <f t="shared" si="20"/>
        <v/>
      </c>
      <c r="B1339" s="460"/>
      <c r="C1339" s="465"/>
      <c r="D1339" s="465"/>
      <c r="E1339" s="461"/>
      <c r="F1339" s="461"/>
      <c r="G1339" s="465"/>
      <c r="H1339" s="292"/>
      <c r="I1339" s="292"/>
      <c r="J1339" s="292"/>
      <c r="K1339" s="292"/>
      <c r="L1339" s="292"/>
      <c r="M1339" s="292"/>
      <c r="N1339" s="292"/>
      <c r="O1339" s="292"/>
      <c r="P1339" s="294"/>
      <c r="Q1339" s="294"/>
      <c r="R1339" s="294"/>
      <c r="S1339" s="294"/>
      <c r="T1339" s="294"/>
      <c r="U1339" s="294"/>
      <c r="V1339" s="431"/>
      <c r="W1339" s="331"/>
      <c r="X1339" s="331"/>
      <c r="Y1339" s="294">
        <f>IF(NFI_Expiration=1,IF($A1339&lt;VLOOKUP(H$5,NFI,5,0),1,0)*Table_NFI[[#This Row],[Hygiene Kit]],Table_NFI[Hygiene Kit])</f>
        <v>0</v>
      </c>
      <c r="Z1339" s="294">
        <f>IF(NFI_Expiration=1,IF($A1339&lt;VLOOKUP(I$5,NFI,5,0),1,0)*Table_NFI[[#This Row],[NFI Core Kit]],Table_NFI[NFI Core Kit])</f>
        <v>0</v>
      </c>
      <c r="AA1339" s="294">
        <f>IF(NFI_Expiration=1,IF($A1339&lt;VLOOKUP(J$5,NFI,5,0),1,0)*Table_NFI[[#This Row],[Sanitary Kit]],Table_NFI[Sanitary Kit])</f>
        <v>0</v>
      </c>
      <c r="AB1339" s="294">
        <f>IF(NFI_Expiration=1,IF($A1339&lt;VLOOKUP(K$5,NFI,5,0),1,0)*Table_NFI[[#This Row],[Mosquito net]],Table_NFI[Mosquito net])</f>
        <v>0</v>
      </c>
      <c r="AC1339" s="294">
        <f>IF(NFI_Expiration=1,IF($A1339&lt;VLOOKUP(L$5,NFI,5,0),1,0)*Table_NFI[[#This Row],[Tarpaulin]],Table_NFI[[#This Row],[Tarpaulin]])</f>
        <v>0</v>
      </c>
      <c r="AD1339" s="294">
        <f>IF(NFI_Expiration=1,IF($A1339&lt;VLOOKUP(M$5,NFI,5,0),1,0)*Table_NFI[[#This Row],[Blanket]],Table_NFI[[#This Row],[Blanket]])</f>
        <v>0</v>
      </c>
      <c r="AE1339" s="294">
        <f>IF(NFI_Expiration=1,IF($A1339&lt;VLOOKUP(N$5,NFI,5,0),1,0)*Table_NFI[[#This Row],[Kitchen Set]],Table_NFI[Kitchen Set])</f>
        <v>0</v>
      </c>
      <c r="AF1339" s="294">
        <f>IF(NFI_Expiration=1,IF($A1339&lt;VLOOKUP(O$5,NFI,5,0),1,0)*Table_NFI[[#This Row],[Clothes Kit]],Table_NFI[Clothes Kit])</f>
        <v>0</v>
      </c>
      <c r="AG1339" s="294">
        <f>IF(NFI_Expiration=1,IF($A1339&lt;VLOOKUP(P$5,NFI,5,0),1,0)*Table_NFI[[#This Row],[Plastic Bucket]],Table_NFI[Plastic Bucket])</f>
        <v>0</v>
      </c>
      <c r="AH1339" s="294">
        <f>IF(NFI_Expiration=1,IF($A1339&lt;VLOOKUP(Q$5,NFI,5,0),1,0)*Table_NFI[[#This Row],[Plastic Mat]],Table_NFI[Plastic Mat])*IF(Table_NFI[[#This Row],[Distribution Date]]&gt;"2014-04-01",1,2.5)</f>
        <v>0</v>
      </c>
      <c r="AI1339" s="294">
        <f>IF(NFI_Expiration=1,IF($A1339&lt;VLOOKUP(R$5,NFI,5,0),1,0)*Table_NFI[[#This Row],[Winter Clothes Adult]],Table_NFI[Winter Clothes Adult])</f>
        <v>0</v>
      </c>
      <c r="AJ1339" s="294">
        <f>IF(NFI_Expiration=1,IF($A1339&lt;VLOOKUP(S$5,NFI,5,0),1,0)*Table_NFI[[#This Row],[Winter Clothes Children]],Table_NFI[Winter Clothes Children])</f>
        <v>0</v>
      </c>
      <c r="AK1339" s="294">
        <f>IF(NFI_Expiration=1,IF($A1339&lt;VLOOKUP(T$5,NFI,5,0),1,0)*Table_NFI[[#This Row],[Winter Items Other]],Table_NFI[Winter Items Other])</f>
        <v>0</v>
      </c>
      <c r="AL1339" s="294">
        <f>IF(NFI_Expiration=1,IF($A1339&lt;VLOOKUP(M$5,NFI,5,0),1,0)*Table_NFI[[#This Row],[Winter Blanket]],Table_NFI[[#This Row],[Winter Blanket]])</f>
        <v>0</v>
      </c>
      <c r="AM1339" s="294">
        <f>IF(Table_NFI[[#This Row],[Winter Clothes Adult]]+Table_NFI[[#This Row],[Winter Clothes Children]]+Table_NFI[[#This Row],[Winter Items Other]]+Table_NFI[[#This Row],[Winter Blanket]]&gt;0,1,0)</f>
        <v>0</v>
      </c>
      <c r="AN1339" s="331">
        <f>IF(NFI_Expiration=1,IF($A1339&lt;VLOOKUP(V$5,NFI,5,0),1,0)*Table_NFI[[#This Row],[Jerry Can]],Table_NFI[Jerry Can])</f>
        <v>0</v>
      </c>
      <c r="AO1339" s="331">
        <f>IF(NFI_Expiration=1,IF($A1339&lt;VLOOKUP(V$5,NFI,5,0),1,0)*Table_NFI[[#This Row],[Shelter Tool kit]],Table_NFI[Shelter Tool kit])</f>
        <v>0</v>
      </c>
      <c r="AP1339" s="331">
        <f>IF(NFI_Expiration=1,IF($A1339&lt;VLOOKUP(V$5,NFI,5,0),1,0)*Table_NFI[[#This Row],[Tent]],Table_NFI[Tent])</f>
        <v>0</v>
      </c>
      <c r="AQ1339" s="467" t="str">
        <f>IFERROR(VLOOKUP(Table_NFI[[#This Row],[Camp Name]],CL,2,0),"")</f>
        <v/>
      </c>
      <c r="AR1339" s="835" t="str">
        <f ca="1">IF(Table_NFI[[#This Row],[Pcode]]="","",IF(OFFSET(CampList[Opening Date],MATCH(Table_NFI[[#This Row],[Pcode]],CampList[CP_Pcode],0)-1,0,1,1)&gt;=NFI_Monitor_Date,1,0))</f>
        <v/>
      </c>
      <c r="AS1339" s="467" t="str">
        <f>IFERROR(VLOOKUP(Table_NFI[[#This Row],[Camp Name]],CL,3,0),"")</f>
        <v/>
      </c>
      <c r="AT1339" s="294" t="str">
        <f ca="1">IF(Table_NFI[[#This Row],[Pcode]]="","",OFFSET(CampList[Priority],MATCH(Table_NFI[[#This Row],[Pcode]],CampList[CP_Pcode],0)-1,0,1,1))</f>
        <v/>
      </c>
      <c r="AU1339" s="293" t="str">
        <f>IFERROR(Table_NFI[[#This Row],[Kitchen Set]]/VLOOKUP(Table_NFI[[#This Row],[Camp Name]],CL,4,0),"")</f>
        <v/>
      </c>
      <c r="AV1339" s="465"/>
      <c r="AW1339" s="468"/>
    </row>
    <row r="1340" spans="1:49" x14ac:dyDescent="0.25">
      <c r="A1340" s="297" t="str">
        <f t="shared" si="20"/>
        <v/>
      </c>
      <c r="B1340" s="460"/>
      <c r="C1340" s="465"/>
      <c r="D1340" s="465"/>
      <c r="E1340" s="461"/>
      <c r="F1340" s="461"/>
      <c r="G1340" s="465"/>
      <c r="H1340" s="292"/>
      <c r="I1340" s="292"/>
      <c r="J1340" s="292"/>
      <c r="K1340" s="292"/>
      <c r="L1340" s="292"/>
      <c r="M1340" s="292"/>
      <c r="N1340" s="292"/>
      <c r="O1340" s="292"/>
      <c r="P1340" s="294"/>
      <c r="Q1340" s="294"/>
      <c r="R1340" s="294"/>
      <c r="S1340" s="294"/>
      <c r="T1340" s="294"/>
      <c r="U1340" s="294"/>
      <c r="V1340" s="431"/>
      <c r="W1340" s="331"/>
      <c r="X1340" s="836"/>
      <c r="Y1340" s="294">
        <f>IF(NFI_Expiration=1,IF($A1340&lt;VLOOKUP(H$5,NFI,5,0),1,0)*Table_NFI[[#This Row],[Hygiene Kit]],Table_NFI[Hygiene Kit])</f>
        <v>0</v>
      </c>
      <c r="Z1340" s="294">
        <f>IF(NFI_Expiration=1,IF($A1340&lt;VLOOKUP(I$5,NFI,5,0),1,0)*Table_NFI[[#This Row],[NFI Core Kit]],Table_NFI[NFI Core Kit])</f>
        <v>0</v>
      </c>
      <c r="AA1340" s="294">
        <f>IF(NFI_Expiration=1,IF($A1340&lt;VLOOKUP(J$5,NFI,5,0),1,0)*Table_NFI[[#This Row],[Sanitary Kit]],Table_NFI[Sanitary Kit])</f>
        <v>0</v>
      </c>
      <c r="AB1340" s="294">
        <f>IF(NFI_Expiration=1,IF($A1340&lt;VLOOKUP(K$5,NFI,5,0),1,0)*Table_NFI[[#This Row],[Mosquito net]],Table_NFI[Mosquito net])</f>
        <v>0</v>
      </c>
      <c r="AC1340" s="294">
        <f>IF(NFI_Expiration=1,IF($A1340&lt;VLOOKUP(L$5,NFI,5,0),1,0)*Table_NFI[[#This Row],[Tarpaulin]],Table_NFI[[#This Row],[Tarpaulin]])</f>
        <v>0</v>
      </c>
      <c r="AD1340" s="294">
        <f>IF(NFI_Expiration=1,IF($A1340&lt;VLOOKUP(M$5,NFI,5,0),1,0)*Table_NFI[[#This Row],[Blanket]],Table_NFI[[#This Row],[Blanket]])</f>
        <v>0</v>
      </c>
      <c r="AE1340" s="294">
        <f>IF(NFI_Expiration=1,IF($A1340&lt;VLOOKUP(N$5,NFI,5,0),1,0)*Table_NFI[[#This Row],[Kitchen Set]],Table_NFI[Kitchen Set])</f>
        <v>0</v>
      </c>
      <c r="AF1340" s="294">
        <f>IF(NFI_Expiration=1,IF($A1340&lt;VLOOKUP(O$5,NFI,5,0),1,0)*Table_NFI[[#This Row],[Clothes Kit]],Table_NFI[Clothes Kit])</f>
        <v>0</v>
      </c>
      <c r="AG1340" s="294">
        <f>IF(NFI_Expiration=1,IF($A1340&lt;VLOOKUP(P$5,NFI,5,0),1,0)*Table_NFI[[#This Row],[Plastic Bucket]],Table_NFI[Plastic Bucket])</f>
        <v>0</v>
      </c>
      <c r="AH1340" s="294">
        <f>IF(NFI_Expiration=1,IF($A1340&lt;VLOOKUP(Q$5,NFI,5,0),1,0)*Table_NFI[[#This Row],[Plastic Mat]],Table_NFI[Plastic Mat])*IF(Table_NFI[[#This Row],[Distribution Date]]&gt;"2014-04-01",1,2.5)</f>
        <v>0</v>
      </c>
      <c r="AI1340" s="294">
        <f>IF(NFI_Expiration=1,IF($A1340&lt;VLOOKUP(R$5,NFI,5,0),1,0)*Table_NFI[[#This Row],[Winter Clothes Adult]],Table_NFI[Winter Clothes Adult])</f>
        <v>0</v>
      </c>
      <c r="AJ1340" s="294">
        <f>IF(NFI_Expiration=1,IF($A1340&lt;VLOOKUP(S$5,NFI,5,0),1,0)*Table_NFI[[#This Row],[Winter Clothes Children]],Table_NFI[Winter Clothes Children])</f>
        <v>0</v>
      </c>
      <c r="AK1340" s="294">
        <f>IF(NFI_Expiration=1,IF($A1340&lt;VLOOKUP(T$5,NFI,5,0),1,0)*Table_NFI[[#This Row],[Winter Items Other]],Table_NFI[Winter Items Other])</f>
        <v>0</v>
      </c>
      <c r="AL1340" s="294">
        <f>IF(NFI_Expiration=1,IF($A1340&lt;VLOOKUP(M$5,NFI,5,0),1,0)*Table_NFI[[#This Row],[Winter Blanket]],Table_NFI[[#This Row],[Winter Blanket]])</f>
        <v>0</v>
      </c>
      <c r="AM1340" s="294">
        <f>IF(Table_NFI[[#This Row],[Winter Clothes Adult]]+Table_NFI[[#This Row],[Winter Clothes Children]]+Table_NFI[[#This Row],[Winter Items Other]]+Table_NFI[[#This Row],[Winter Blanket]]&gt;0,1,0)</f>
        <v>0</v>
      </c>
      <c r="AN1340" s="331">
        <f>IF(NFI_Expiration=1,IF($A1340&lt;VLOOKUP(V$5,NFI,5,0),1,0)*Table_NFI[[#This Row],[Jerry Can]],Table_NFI[Jerry Can])</f>
        <v>0</v>
      </c>
      <c r="AO1340" s="836">
        <f>IF(NFI_Expiration=1,IF($A1340&lt;VLOOKUP(V$5,NFI,5,0),1,0)*Table_NFI[[#This Row],[Shelter Tool kit]],Table_NFI[Shelter Tool kit])</f>
        <v>0</v>
      </c>
      <c r="AP1340" s="836">
        <f>IF(NFI_Expiration=1,IF($A1340&lt;VLOOKUP(V$5,NFI,5,0),1,0)*Table_NFI[[#This Row],[Tent]],Table_NFI[Tent])</f>
        <v>0</v>
      </c>
      <c r="AQ1340" s="467" t="str">
        <f>IFERROR(VLOOKUP(Table_NFI[[#This Row],[Camp Name]],CL,2,0),"")</f>
        <v/>
      </c>
      <c r="AR1340" s="835" t="str">
        <f ca="1">IF(Table_NFI[[#This Row],[Pcode]]="","",IF(OFFSET(CampList[Opening Date],MATCH(Table_NFI[[#This Row],[Pcode]],CampList[CP_Pcode],0)-1,0,1,1)&gt;=NFI_Monitor_Date,1,0))</f>
        <v/>
      </c>
      <c r="AS1340" s="467" t="str">
        <f>IFERROR(VLOOKUP(Table_NFI[[#This Row],[Camp Name]],CL,3,0),"")</f>
        <v/>
      </c>
      <c r="AT1340" s="294" t="str">
        <f ca="1">IF(Table_NFI[[#This Row],[Pcode]]="","",OFFSET(CampList[Priority],MATCH(Table_NFI[[#This Row],[Pcode]],CampList[CP_Pcode],0)-1,0,1,1))</f>
        <v/>
      </c>
      <c r="AU1340" s="293" t="str">
        <f>IFERROR(Table_NFI[[#This Row],[Kitchen Set]]/VLOOKUP(Table_NFI[[#This Row],[Camp Name]],CL,4,0),"")</f>
        <v/>
      </c>
      <c r="AV1340" s="465"/>
      <c r="AW1340" s="468"/>
    </row>
  </sheetData>
  <sortState ref="A873:G911">
    <sortCondition descending="1" ref="A8"/>
  </sortState>
  <mergeCells count="3">
    <mergeCell ref="A4:C4"/>
    <mergeCell ref="A2:H2"/>
    <mergeCell ref="A3:H3"/>
  </mergeCells>
  <conditionalFormatting sqref="AQ908:AQ930 AQ11:AQ904 AS22:AS1083">
    <cfRule type="containsText" dxfId="897" priority="59" operator="containsText" text="close">
      <formula>NOT(ISERROR(SEARCH("close",AQ11)))</formula>
    </cfRule>
    <cfRule type="containsText" dxfId="896" priority="60" operator="containsText" text="open">
      <formula>NOT(ISERROR(SEARCH("open",AQ11)))</formula>
    </cfRule>
  </conditionalFormatting>
  <conditionalFormatting sqref="AQ905:AQ907">
    <cfRule type="containsText" dxfId="895" priority="55" operator="containsText" text="close">
      <formula>NOT(ISERROR(SEARCH("close",AQ905)))</formula>
    </cfRule>
    <cfRule type="containsText" dxfId="894" priority="56" operator="containsText" text="open">
      <formula>NOT(ISERROR(SEARCH("open",AQ905)))</formula>
    </cfRule>
  </conditionalFormatting>
  <conditionalFormatting sqref="AQ999:AQ1054">
    <cfRule type="containsText" dxfId="893" priority="17" operator="containsText" text="close">
      <formula>NOT(ISERROR(SEARCH("close",AQ999)))</formula>
    </cfRule>
    <cfRule type="containsText" dxfId="892" priority="18" operator="containsText" text="open">
      <formula>NOT(ISERROR(SEARCH("open",AQ999)))</formula>
    </cfRule>
  </conditionalFormatting>
  <conditionalFormatting sqref="AS21">
    <cfRule type="containsText" dxfId="891" priority="15" operator="containsText" text="close">
      <formula>NOT(ISERROR(SEARCH("close",AS21)))</formula>
    </cfRule>
    <cfRule type="containsText" dxfId="890" priority="16" operator="containsText" text="open">
      <formula>NOT(ISERROR(SEARCH("open",AS21)))</formula>
    </cfRule>
  </conditionalFormatting>
  <conditionalFormatting sqref="AS8">
    <cfRule type="containsText" dxfId="889" priority="13" operator="containsText" text="close">
      <formula>NOT(ISERROR(SEARCH("close",AS8)))</formula>
    </cfRule>
    <cfRule type="containsText" dxfId="888" priority="14" operator="containsText" text="open">
      <formula>NOT(ISERROR(SEARCH("open",AS8)))</formula>
    </cfRule>
  </conditionalFormatting>
  <conditionalFormatting sqref="AS6">
    <cfRule type="containsText" dxfId="887" priority="11" operator="containsText" text="close">
      <formula>NOT(ISERROR(SEARCH("close",AS6)))</formula>
    </cfRule>
    <cfRule type="containsText" dxfId="886" priority="12" operator="containsText" text="open">
      <formula>NOT(ISERROR(SEARCH("open",AS6)))</formula>
    </cfRule>
  </conditionalFormatting>
  <conditionalFormatting sqref="AS11:AS19">
    <cfRule type="containsText" dxfId="885" priority="9" operator="containsText" text="close">
      <formula>NOT(ISERROR(SEARCH("close",AS11)))</formula>
    </cfRule>
    <cfRule type="containsText" dxfId="884" priority="10" operator="containsText" text="open">
      <formula>NOT(ISERROR(SEARCH("open",AS11)))</formula>
    </cfRule>
  </conditionalFormatting>
  <conditionalFormatting sqref="AS7">
    <cfRule type="containsText" dxfId="883" priority="7" operator="containsText" text="close">
      <formula>NOT(ISERROR(SEARCH("close",AS7)))</formula>
    </cfRule>
    <cfRule type="containsText" dxfId="882" priority="8" operator="containsText" text="open">
      <formula>NOT(ISERROR(SEARCH("open",AS7)))</formula>
    </cfRule>
  </conditionalFormatting>
  <conditionalFormatting sqref="AS9">
    <cfRule type="containsText" dxfId="881" priority="5" operator="containsText" text="close">
      <formula>NOT(ISERROR(SEARCH("close",AS9)))</formula>
    </cfRule>
    <cfRule type="containsText" dxfId="880" priority="6" operator="containsText" text="open">
      <formula>NOT(ISERROR(SEARCH("open",AS9)))</formula>
    </cfRule>
  </conditionalFormatting>
  <conditionalFormatting sqref="AS46">
    <cfRule type="containsText" dxfId="879" priority="3" operator="containsText" text="close">
      <formula>NOT(ISERROR(SEARCH("close",AS46)))</formula>
    </cfRule>
    <cfRule type="containsText" dxfId="878" priority="4" operator="containsText" text="open">
      <formula>NOT(ISERROR(SEARCH("open",AS46)))</formula>
    </cfRule>
  </conditionalFormatting>
  <dataValidations count="3">
    <dataValidation type="list" allowBlank="1" showInputMessage="1" showErrorMessage="1" sqref="G6:G1051 G1053:G1193 G1338:G1340">
      <formula1>OFFSET(TCL_T1,MATCH(F6,TCL_T,0)-1,1,COUNTIF(TCL_T,F6),1)</formula1>
    </dataValidation>
    <dataValidation type="list" allowBlank="1" showInputMessage="1" showErrorMessage="1" sqref="E1336:E1337 E6:E1193">
      <formula1>State</formula1>
    </dataValidation>
    <dataValidation type="list" showInputMessage="1" showErrorMessage="1" sqref="F1336:F1337 F6:F1193">
      <formula1>INDIRECT(E6)</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B8B7960-D170-4028-938C-C6E3F05FD96F}">
            <xm:f>NOT(ISERROR(SEARCH($AS$501,AS1)))</xm:f>
            <xm:f>$AS$501</xm:f>
            <x14:dxf>
              <fill>
                <patternFill>
                  <bgColor rgb="FFFF0000"/>
                </patternFill>
              </fill>
            </x14:dxf>
          </x14:cfRule>
          <x14:cfRule type="containsText" priority="2" operator="containsText" id="{03B24ED1-56BC-4755-B8C1-72AAA54F21F6}">
            <xm:f>NOT(ISERROR(SEARCH($AS$994,AS1)))</xm:f>
            <xm:f>$AS$994</xm:f>
            <x14:dxf>
              <fill>
                <patternFill>
                  <bgColor rgb="FF92D050"/>
                </patternFill>
              </fill>
            </x14:dxf>
          </x14:cfRule>
          <xm:sqref>AS1:AS1048576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2"/>
  <sheetViews>
    <sheetView showZeros="0" zoomScale="80" zoomScaleNormal="80" workbookViewId="0">
      <selection activeCell="AE16" sqref="AE16"/>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36" customWidth="1"/>
    <col min="7" max="7" width="6.140625" style="1" customWidth="1"/>
    <col min="8" max="8" width="6.140625" style="37" customWidth="1"/>
    <col min="9" max="9" width="6.140625" style="36" customWidth="1"/>
    <col min="10" max="10" width="6.140625" style="1" customWidth="1"/>
    <col min="11" max="11" width="6.140625" style="37" customWidth="1"/>
    <col min="12" max="12" width="6.140625" style="36" customWidth="1"/>
    <col min="13" max="13" width="6.140625" style="1" customWidth="1"/>
    <col min="14" max="14" width="6.140625" style="37" customWidth="1"/>
    <col min="15" max="15" width="9.7109375" style="36" customWidth="1"/>
    <col min="16" max="16" width="9.140625" style="1" customWidth="1"/>
    <col min="17" max="17" width="6.5703125" style="1" customWidth="1"/>
    <col min="18" max="18" width="8.85546875" style="36" customWidth="1"/>
    <col min="19" max="19" width="9.7109375" style="1" customWidth="1"/>
    <col min="20" max="20" width="6.140625" style="37" bestFit="1" customWidth="1"/>
    <col min="21" max="21" width="8.85546875" customWidth="1"/>
    <col min="22" max="22" width="9.140625" style="27" customWidth="1"/>
    <col min="23" max="23" width="6.140625" style="27" bestFit="1" customWidth="1"/>
    <col min="24" max="24" width="8.85546875" style="36" customWidth="1"/>
    <col min="25" max="25" width="10" style="1" customWidth="1"/>
    <col min="26" max="26" width="6.140625" style="37" bestFit="1" customWidth="1"/>
    <col min="27" max="27" width="9" style="36" customWidth="1"/>
    <col min="28" max="28" width="9.28515625" style="1" customWidth="1"/>
    <col min="29" max="29" width="6.140625" style="37" bestFit="1" customWidth="1"/>
    <col min="30" max="30" width="8.7109375" style="36" customWidth="1"/>
    <col min="31" max="31" width="9.42578125" style="1" customWidth="1"/>
    <col min="32" max="32" width="6.140625" style="37" bestFit="1" customWidth="1"/>
    <col min="33" max="33" width="8.85546875" style="36" customWidth="1"/>
    <col min="34" max="34" width="9.28515625" style="1" customWidth="1"/>
    <col min="35" max="35" width="6.7109375" style="37" customWidth="1"/>
    <col min="36" max="38" width="6.7109375" style="334" customWidth="1"/>
    <col min="39" max="39" width="8.85546875" style="36" customWidth="1"/>
    <col min="40" max="40" width="9.42578125" style="1" customWidth="1"/>
    <col min="41" max="41" width="7.5703125" style="37" customWidth="1"/>
    <col min="42" max="42" width="8.85546875" style="36" customWidth="1"/>
    <col min="43" max="43" width="9.5703125" style="1" customWidth="1"/>
    <col min="44" max="44" width="8.85546875" style="37" customWidth="1"/>
    <col min="45" max="45" width="8.85546875" style="36" customWidth="1"/>
    <col min="46" max="46" width="9.7109375" style="1" customWidth="1"/>
    <col min="47" max="47" width="8.85546875" style="37" customWidth="1"/>
    <col min="48" max="48" width="8.85546875" style="36" customWidth="1"/>
    <col min="49" max="49" width="9.28515625" style="1" customWidth="1"/>
    <col min="50" max="50" width="8.85546875" style="37" customWidth="1"/>
  </cols>
  <sheetData>
    <row r="1" spans="1:68" s="1" customFormat="1" ht="36" x14ac:dyDescent="0.25">
      <c r="A1" s="231"/>
      <c r="B1" s="232"/>
      <c r="C1" s="232"/>
      <c r="D1" s="232"/>
      <c r="E1" s="232"/>
      <c r="F1" s="232"/>
      <c r="G1" s="232"/>
      <c r="H1" s="232"/>
      <c r="I1" s="237"/>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8"/>
      <c r="AV1" s="189"/>
      <c r="AW1" s="189"/>
      <c r="AX1" s="190"/>
      <c r="BO1" s="46"/>
      <c r="BP1" s="46"/>
    </row>
    <row r="2" spans="1:68" s="1" customFormat="1" ht="66" customHeight="1" x14ac:dyDescent="0.25">
      <c r="A2" s="298" t="s">
        <v>509</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172"/>
      <c r="AW2" s="172"/>
      <c r="AX2" s="191"/>
      <c r="BO2" s="46"/>
      <c r="BP2" s="46"/>
    </row>
    <row r="3" spans="1:68" s="15" customFormat="1" ht="18" customHeight="1" thickBot="1" x14ac:dyDescent="0.3">
      <c r="A3" s="873">
        <f>Definition!B23</f>
        <v>42736</v>
      </c>
      <c r="B3" s="874"/>
      <c r="C3" s="874"/>
      <c r="D3" s="278"/>
      <c r="E3" s="278"/>
      <c r="F3" s="278"/>
      <c r="G3" s="278"/>
      <c r="H3" s="278"/>
      <c r="I3" s="278"/>
      <c r="J3" s="278"/>
      <c r="K3" s="193"/>
      <c r="L3" s="278"/>
      <c r="M3" s="278"/>
      <c r="N3" s="278"/>
      <c r="O3" s="278"/>
      <c r="P3" s="278"/>
      <c r="Q3" s="278"/>
      <c r="R3" s="278"/>
      <c r="S3" s="299"/>
      <c r="T3" s="278"/>
      <c r="U3" s="278"/>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BO3" s="47"/>
      <c r="BP3" s="47"/>
    </row>
    <row r="4" spans="1:68" s="38" customFormat="1" ht="16.5" hidden="1" customHeight="1" thickBot="1" x14ac:dyDescent="0.3">
      <c r="AA4" s="65"/>
      <c r="AB4" s="65"/>
      <c r="AC4" s="65"/>
      <c r="AD4" s="65"/>
      <c r="AE4" s="65"/>
      <c r="AF4" s="65"/>
      <c r="AJ4" s="333"/>
      <c r="AK4" s="333"/>
      <c r="AL4" s="333"/>
      <c r="AM4" s="92"/>
      <c r="AN4" s="92"/>
      <c r="AO4" s="92"/>
      <c r="AP4" s="92"/>
      <c r="AQ4" s="92"/>
      <c r="AR4" s="92"/>
      <c r="AS4" s="92"/>
      <c r="AT4" s="92"/>
      <c r="AU4" s="92"/>
      <c r="AV4" s="92"/>
      <c r="AW4" s="92"/>
      <c r="AX4" s="92"/>
    </row>
    <row r="5" spans="1:68" s="32" customFormat="1" ht="47.25" customHeight="1" thickBot="1" x14ac:dyDescent="0.3">
      <c r="A5" s="898" t="s">
        <v>409</v>
      </c>
      <c r="B5" s="888" t="s">
        <v>402</v>
      </c>
      <c r="C5" s="888" t="s">
        <v>413</v>
      </c>
      <c r="D5" s="896" t="s">
        <v>395</v>
      </c>
      <c r="E5" s="888" t="s">
        <v>0</v>
      </c>
      <c r="F5" s="905" t="s">
        <v>403</v>
      </c>
      <c r="G5" s="905"/>
      <c r="H5" s="905"/>
      <c r="I5" s="906" t="s">
        <v>404</v>
      </c>
      <c r="J5" s="906"/>
      <c r="K5" s="906"/>
      <c r="L5" s="904" t="s">
        <v>405</v>
      </c>
      <c r="M5" s="904"/>
      <c r="N5" s="904"/>
      <c r="O5" s="903" t="s">
        <v>406</v>
      </c>
      <c r="P5" s="903"/>
      <c r="Q5" s="903"/>
      <c r="R5" s="900" t="s">
        <v>407</v>
      </c>
      <c r="S5" s="901"/>
      <c r="T5" s="902"/>
      <c r="U5" s="893" t="s">
        <v>435</v>
      </c>
      <c r="V5" s="894"/>
      <c r="W5" s="895"/>
      <c r="X5" s="890" t="s">
        <v>436</v>
      </c>
      <c r="Y5" s="891"/>
      <c r="Z5" s="892"/>
      <c r="AA5" s="882" t="s">
        <v>1223</v>
      </c>
      <c r="AB5" s="883"/>
      <c r="AC5" s="884"/>
      <c r="AD5" s="885" t="s">
        <v>577</v>
      </c>
      <c r="AE5" s="886"/>
      <c r="AF5" s="887"/>
      <c r="AG5" s="879" t="s">
        <v>578</v>
      </c>
      <c r="AH5" s="880"/>
      <c r="AI5" s="881"/>
      <c r="AJ5" s="879" t="s">
        <v>1355</v>
      </c>
      <c r="AK5" s="880"/>
      <c r="AL5" s="881"/>
      <c r="AM5" s="882" t="s">
        <v>987</v>
      </c>
      <c r="AN5" s="883"/>
      <c r="AO5" s="884"/>
      <c r="AP5" s="885" t="s">
        <v>991</v>
      </c>
      <c r="AQ5" s="886"/>
      <c r="AR5" s="887"/>
      <c r="AS5" s="879" t="s">
        <v>995</v>
      </c>
      <c r="AT5" s="880"/>
      <c r="AU5" s="881"/>
      <c r="AV5" s="879" t="s">
        <v>1111</v>
      </c>
      <c r="AW5" s="880"/>
      <c r="AX5" s="881"/>
    </row>
    <row r="6" spans="1:68" s="32" customFormat="1" ht="75.75" customHeight="1" thickBot="1" x14ac:dyDescent="0.3">
      <c r="A6" s="899"/>
      <c r="B6" s="889"/>
      <c r="C6" s="889"/>
      <c r="D6" s="897"/>
      <c r="E6" s="889"/>
      <c r="F6" s="474" t="s">
        <v>408</v>
      </c>
      <c r="G6" s="474" t="s">
        <v>410</v>
      </c>
      <c r="H6" s="474" t="s">
        <v>411</v>
      </c>
      <c r="I6" s="474" t="s">
        <v>408</v>
      </c>
      <c r="J6" s="474" t="s">
        <v>410</v>
      </c>
      <c r="K6" s="474" t="s">
        <v>411</v>
      </c>
      <c r="L6" s="474" t="s">
        <v>408</v>
      </c>
      <c r="M6" s="474" t="s">
        <v>410</v>
      </c>
      <c r="N6" s="474" t="s">
        <v>411</v>
      </c>
      <c r="O6" s="301" t="s">
        <v>408</v>
      </c>
      <c r="P6" s="301" t="s">
        <v>410</v>
      </c>
      <c r="Q6" s="301" t="s">
        <v>411</v>
      </c>
      <c r="R6" s="300" t="s">
        <v>408</v>
      </c>
      <c r="S6" s="301" t="s">
        <v>410</v>
      </c>
      <c r="T6" s="303" t="s">
        <v>411</v>
      </c>
      <c r="U6" s="302" t="s">
        <v>408</v>
      </c>
      <c r="V6" s="301" t="s">
        <v>410</v>
      </c>
      <c r="W6" s="302" t="s">
        <v>411</v>
      </c>
      <c r="X6" s="300" t="s">
        <v>408</v>
      </c>
      <c r="Y6" s="301" t="s">
        <v>410</v>
      </c>
      <c r="Z6" s="303" t="s">
        <v>411</v>
      </c>
      <c r="AA6" s="300" t="s">
        <v>408</v>
      </c>
      <c r="AB6" s="301" t="s">
        <v>410</v>
      </c>
      <c r="AC6" s="303" t="s">
        <v>411</v>
      </c>
      <c r="AD6" s="300" t="s">
        <v>408</v>
      </c>
      <c r="AE6" s="301" t="s">
        <v>410</v>
      </c>
      <c r="AF6" s="303" t="s">
        <v>411</v>
      </c>
      <c r="AG6" s="300" t="s">
        <v>408</v>
      </c>
      <c r="AH6" s="301" t="s">
        <v>410</v>
      </c>
      <c r="AI6" s="303" t="s">
        <v>411</v>
      </c>
      <c r="AJ6" s="300" t="s">
        <v>408</v>
      </c>
      <c r="AK6" s="301" t="s">
        <v>410</v>
      </c>
      <c r="AL6" s="303" t="s">
        <v>411</v>
      </c>
      <c r="AM6" s="300" t="s">
        <v>408</v>
      </c>
      <c r="AN6" s="301" t="s">
        <v>410</v>
      </c>
      <c r="AO6" s="303" t="s">
        <v>411</v>
      </c>
      <c r="AP6" s="300" t="s">
        <v>408</v>
      </c>
      <c r="AQ6" s="301" t="s">
        <v>410</v>
      </c>
      <c r="AR6" s="303" t="s">
        <v>411</v>
      </c>
      <c r="AS6" s="300" t="s">
        <v>408</v>
      </c>
      <c r="AT6" s="301" t="s">
        <v>410</v>
      </c>
      <c r="AU6" s="303" t="s">
        <v>411</v>
      </c>
      <c r="AV6" s="300" t="s">
        <v>408</v>
      </c>
      <c r="AW6" s="301" t="s">
        <v>410</v>
      </c>
      <c r="AX6" s="303" t="s">
        <v>411</v>
      </c>
    </row>
    <row r="7" spans="1:68" s="4" customFormat="1" ht="23.25" customHeight="1" x14ac:dyDescent="0.25">
      <c r="A7" s="437">
        <v>42803</v>
      </c>
      <c r="B7" s="4" t="s">
        <v>452</v>
      </c>
      <c r="C7" s="4" t="s">
        <v>460</v>
      </c>
      <c r="D7" s="4" t="s">
        <v>380</v>
      </c>
      <c r="E7" s="4" t="s">
        <v>237</v>
      </c>
      <c r="F7" s="435"/>
      <c r="G7" s="340"/>
      <c r="H7" s="436"/>
      <c r="I7" s="435">
        <v>7</v>
      </c>
      <c r="J7" s="340"/>
      <c r="K7" s="436"/>
      <c r="L7" s="435"/>
      <c r="M7" s="340"/>
      <c r="N7" s="436"/>
      <c r="O7" s="435">
        <v>200</v>
      </c>
      <c r="P7" s="340"/>
      <c r="Q7" s="340"/>
      <c r="R7" s="435">
        <v>1</v>
      </c>
      <c r="S7" s="340"/>
      <c r="T7" s="436"/>
      <c r="U7" s="4">
        <v>15</v>
      </c>
      <c r="X7" s="435">
        <v>107</v>
      </c>
      <c r="Y7" s="340"/>
      <c r="Z7" s="436"/>
      <c r="AA7" s="435"/>
      <c r="AB7" s="340"/>
      <c r="AC7" s="436"/>
      <c r="AD7" s="435">
        <v>16</v>
      </c>
      <c r="AE7" s="340"/>
      <c r="AF7" s="436"/>
      <c r="AG7" s="435">
        <v>32</v>
      </c>
      <c r="AH7" s="340"/>
      <c r="AI7" s="436"/>
      <c r="AJ7" s="435"/>
      <c r="AK7" s="340"/>
      <c r="AL7" s="436"/>
      <c r="AM7" s="435"/>
      <c r="AN7" s="340"/>
      <c r="AO7" s="436"/>
      <c r="AP7" s="435"/>
      <c r="AQ7" s="340"/>
      <c r="AR7" s="436"/>
      <c r="AS7" s="435"/>
      <c r="AT7" s="340"/>
      <c r="AU7" s="436"/>
      <c r="AV7" s="435"/>
      <c r="AW7" s="340"/>
      <c r="AX7" s="436"/>
    </row>
    <row r="8" spans="1:68" s="4" customFormat="1" ht="23.25" customHeight="1" x14ac:dyDescent="0.25">
      <c r="A8" s="437">
        <v>42803</v>
      </c>
      <c r="B8" s="4" t="s">
        <v>452</v>
      </c>
      <c r="C8" s="4" t="s">
        <v>460</v>
      </c>
      <c r="D8" s="4" t="s">
        <v>1352</v>
      </c>
      <c r="E8" s="4" t="s">
        <v>230</v>
      </c>
      <c r="F8" s="435"/>
      <c r="G8" s="340"/>
      <c r="H8" s="436"/>
      <c r="I8" s="435">
        <v>156</v>
      </c>
      <c r="J8" s="340"/>
      <c r="K8" s="436"/>
      <c r="L8" s="435"/>
      <c r="M8" s="340"/>
      <c r="N8" s="436"/>
      <c r="O8" s="435">
        <v>584</v>
      </c>
      <c r="P8" s="340"/>
      <c r="Q8" s="340"/>
      <c r="R8" s="435">
        <v>57</v>
      </c>
      <c r="S8" s="340"/>
      <c r="T8" s="436"/>
      <c r="U8" s="4">
        <v>674</v>
      </c>
      <c r="X8" s="435">
        <v>32</v>
      </c>
      <c r="Y8" s="340"/>
      <c r="Z8" s="436"/>
      <c r="AA8" s="435"/>
      <c r="AB8" s="340"/>
      <c r="AC8" s="436"/>
      <c r="AD8" s="435">
        <v>247</v>
      </c>
      <c r="AE8" s="340"/>
      <c r="AF8" s="436"/>
      <c r="AG8" s="435">
        <v>777</v>
      </c>
      <c r="AH8" s="340"/>
      <c r="AI8" s="436"/>
      <c r="AJ8" s="435">
        <v>33</v>
      </c>
      <c r="AK8" s="340"/>
      <c r="AL8" s="436"/>
      <c r="AM8" s="435"/>
      <c r="AN8" s="340"/>
      <c r="AO8" s="436"/>
      <c r="AP8" s="435">
        <v>465</v>
      </c>
      <c r="AQ8" s="340"/>
      <c r="AR8" s="436"/>
      <c r="AS8" s="435"/>
      <c r="AT8" s="340"/>
      <c r="AU8" s="436"/>
      <c r="AV8" s="435"/>
      <c r="AW8" s="340"/>
      <c r="AX8" s="436"/>
    </row>
    <row r="9" spans="1:68" s="4" customFormat="1" ht="23.25" customHeight="1" x14ac:dyDescent="0.25">
      <c r="A9" s="437">
        <v>42803</v>
      </c>
      <c r="B9" s="4" t="s">
        <v>452</v>
      </c>
      <c r="C9" s="4" t="s">
        <v>460</v>
      </c>
      <c r="D9" s="4" t="s">
        <v>1353</v>
      </c>
      <c r="E9" s="4" t="s">
        <v>1354</v>
      </c>
      <c r="F9" s="435"/>
      <c r="G9" s="340"/>
      <c r="H9" s="436"/>
      <c r="I9" s="435">
        <v>20</v>
      </c>
      <c r="J9" s="340"/>
      <c r="K9" s="436"/>
      <c r="L9" s="435"/>
      <c r="M9" s="340"/>
      <c r="N9" s="436"/>
      <c r="O9" s="435">
        <v>32</v>
      </c>
      <c r="P9" s="340"/>
      <c r="Q9" s="340"/>
      <c r="R9" s="435">
        <v>1</v>
      </c>
      <c r="S9" s="340"/>
      <c r="T9" s="436"/>
      <c r="U9" s="4">
        <v>411</v>
      </c>
      <c r="X9" s="435">
        <v>17</v>
      </c>
      <c r="Y9" s="340"/>
      <c r="Z9" s="436"/>
      <c r="AA9" s="435"/>
      <c r="AB9" s="340"/>
      <c r="AC9" s="436"/>
      <c r="AD9" s="435">
        <v>24</v>
      </c>
      <c r="AE9" s="340"/>
      <c r="AF9" s="436"/>
      <c r="AG9" s="435">
        <v>596</v>
      </c>
      <c r="AH9" s="340"/>
      <c r="AI9" s="436"/>
      <c r="AJ9" s="435">
        <v>0</v>
      </c>
      <c r="AK9" s="340"/>
      <c r="AL9" s="436"/>
      <c r="AM9" s="435"/>
      <c r="AN9" s="340"/>
      <c r="AO9" s="436"/>
      <c r="AP9" s="435"/>
      <c r="AQ9" s="340"/>
      <c r="AR9" s="436"/>
      <c r="AS9" s="435"/>
      <c r="AT9" s="340"/>
      <c r="AU9" s="436"/>
      <c r="AV9" s="435"/>
      <c r="AW9" s="340"/>
      <c r="AX9" s="436"/>
    </row>
    <row r="10" spans="1:68" s="4" customFormat="1" ht="23.25" customHeight="1" x14ac:dyDescent="0.25">
      <c r="A10" s="437">
        <v>42803</v>
      </c>
      <c r="B10" s="4" t="s">
        <v>452</v>
      </c>
      <c r="C10" s="4" t="s">
        <v>452</v>
      </c>
      <c r="D10" s="4" t="s">
        <v>380</v>
      </c>
      <c r="E10" s="4" t="s">
        <v>237</v>
      </c>
      <c r="F10" s="435"/>
      <c r="G10" s="340"/>
      <c r="H10" s="436"/>
      <c r="I10" s="435">
        <v>643</v>
      </c>
      <c r="J10" s="340"/>
      <c r="K10" s="436"/>
      <c r="L10" s="435">
        <v>138</v>
      </c>
      <c r="M10" s="340"/>
      <c r="N10" s="436"/>
      <c r="O10" s="852">
        <v>1325</v>
      </c>
      <c r="P10" s="340"/>
      <c r="Q10" s="340"/>
      <c r="R10" s="852">
        <v>812</v>
      </c>
      <c r="S10" s="340"/>
      <c r="T10" s="436"/>
      <c r="U10" s="853">
        <v>2396</v>
      </c>
      <c r="X10" s="852">
        <v>723</v>
      </c>
      <c r="Y10" s="340"/>
      <c r="Z10" s="436"/>
      <c r="AA10" s="435"/>
      <c r="AB10" s="340"/>
      <c r="AC10" s="436"/>
      <c r="AD10" s="852">
        <v>605</v>
      </c>
      <c r="AE10" s="340"/>
      <c r="AF10" s="436"/>
      <c r="AG10" s="852">
        <v>3343</v>
      </c>
      <c r="AH10" s="340"/>
      <c r="AI10" s="436"/>
      <c r="AJ10" s="852">
        <v>100</v>
      </c>
      <c r="AK10" s="340"/>
      <c r="AL10" s="340"/>
      <c r="AM10" s="435"/>
      <c r="AN10" s="340"/>
      <c r="AO10" s="436"/>
      <c r="AP10" s="435"/>
      <c r="AQ10" s="340"/>
      <c r="AR10" s="436"/>
      <c r="AS10" s="435"/>
      <c r="AT10" s="340"/>
      <c r="AU10" s="436"/>
      <c r="AV10" s="852">
        <v>4148</v>
      </c>
      <c r="AW10" s="340"/>
      <c r="AX10" s="436"/>
    </row>
    <row r="11" spans="1:68" s="4" customFormat="1" ht="23.25" customHeight="1" x14ac:dyDescent="0.25">
      <c r="A11" s="437">
        <v>42803</v>
      </c>
      <c r="B11" s="4" t="s">
        <v>452</v>
      </c>
      <c r="C11" s="4" t="s">
        <v>452</v>
      </c>
      <c r="D11" s="4" t="s">
        <v>380</v>
      </c>
      <c r="E11" s="4" t="s">
        <v>5</v>
      </c>
      <c r="F11" s="435"/>
      <c r="G11" s="340"/>
      <c r="H11" s="436"/>
      <c r="I11" s="435">
        <v>80</v>
      </c>
      <c r="J11" s="340"/>
      <c r="K11" s="436"/>
      <c r="L11" s="435">
        <v>86</v>
      </c>
      <c r="M11" s="340"/>
      <c r="N11" s="436"/>
      <c r="O11" s="435">
        <v>545</v>
      </c>
      <c r="P11" s="340"/>
      <c r="Q11" s="340"/>
      <c r="R11" s="435">
        <v>682</v>
      </c>
      <c r="S11" s="340"/>
      <c r="T11" s="436"/>
      <c r="U11" s="4">
        <v>456</v>
      </c>
      <c r="X11" s="435">
        <v>112</v>
      </c>
      <c r="Y11" s="340"/>
      <c r="Z11" s="436"/>
      <c r="AA11" s="435"/>
      <c r="AB11" s="340"/>
      <c r="AC11" s="436"/>
      <c r="AD11" s="435">
        <v>220</v>
      </c>
      <c r="AE11" s="340"/>
      <c r="AF11" s="436"/>
      <c r="AG11" s="435">
        <v>417</v>
      </c>
      <c r="AH11" s="340"/>
      <c r="AI11" s="436"/>
      <c r="AJ11" s="340">
        <v>50</v>
      </c>
      <c r="AK11" s="340"/>
      <c r="AL11" s="340"/>
      <c r="AM11" s="435"/>
      <c r="AN11" s="340"/>
      <c r="AO11" s="436"/>
      <c r="AP11" s="435"/>
      <c r="AQ11" s="340"/>
      <c r="AR11" s="436"/>
      <c r="AS11" s="435"/>
      <c r="AT11" s="340"/>
      <c r="AU11" s="436"/>
      <c r="AV11" s="435">
        <v>520</v>
      </c>
      <c r="AW11" s="340"/>
      <c r="AX11" s="436"/>
    </row>
    <row r="12" spans="1:68" ht="23.25" customHeight="1" x14ac:dyDescent="0.25">
      <c r="A12" s="437">
        <v>42803</v>
      </c>
      <c r="B12" s="92" t="s">
        <v>452</v>
      </c>
      <c r="C12" s="92" t="s">
        <v>452</v>
      </c>
      <c r="D12" s="92" t="s">
        <v>380</v>
      </c>
      <c r="E12" s="92"/>
      <c r="I12" s="435"/>
      <c r="J12" s="340"/>
      <c r="K12" s="436"/>
      <c r="L12" s="435"/>
      <c r="M12" s="340"/>
      <c r="N12" s="436"/>
      <c r="O12" s="435"/>
      <c r="P12" s="340">
        <v>20000</v>
      </c>
      <c r="Q12" s="340"/>
      <c r="R12" s="435"/>
      <c r="S12" s="340">
        <v>10000</v>
      </c>
      <c r="T12" s="436"/>
      <c r="U12" s="4"/>
      <c r="V12" s="4">
        <v>20000</v>
      </c>
      <c r="W12" s="4"/>
      <c r="X12" s="435"/>
      <c r="Y12" s="340">
        <v>10000</v>
      </c>
      <c r="Z12" s="436"/>
      <c r="AA12" s="435"/>
      <c r="AB12" s="340">
        <v>10000</v>
      </c>
      <c r="AC12" s="436"/>
      <c r="AD12" s="435"/>
      <c r="AE12" s="340">
        <v>10000</v>
      </c>
      <c r="AF12" s="436"/>
      <c r="AG12" s="435"/>
      <c r="AH12" s="340">
        <v>50000</v>
      </c>
      <c r="AI12" s="436"/>
      <c r="AJ12" s="340"/>
      <c r="AK12" s="340"/>
      <c r="AL12" s="340"/>
      <c r="AM12" s="435"/>
      <c r="AN12" s="340"/>
      <c r="AO12" s="436"/>
      <c r="AP12" s="435"/>
      <c r="AQ12" s="340"/>
      <c r="AR12" s="436"/>
      <c r="AS12" s="435"/>
      <c r="AT12" s="340"/>
      <c r="AU12" s="436"/>
      <c r="AV12" s="435"/>
      <c r="AW12" s="340"/>
      <c r="AX12" s="436"/>
      <c r="AY12" s="4"/>
      <c r="AZ12" s="4"/>
    </row>
    <row r="13" spans="1:68" ht="23.25" customHeight="1" x14ac:dyDescent="0.25">
      <c r="I13" s="435"/>
      <c r="J13" s="340"/>
      <c r="K13" s="436"/>
      <c r="L13" s="435"/>
      <c r="M13" s="340"/>
      <c r="N13" s="436"/>
      <c r="O13" s="435"/>
      <c r="P13" s="340"/>
      <c r="Q13" s="340"/>
      <c r="R13" s="435"/>
      <c r="S13" s="340"/>
      <c r="T13" s="436"/>
      <c r="U13" s="4"/>
      <c r="V13" s="4"/>
      <c r="W13" s="4"/>
      <c r="X13" s="435"/>
      <c r="Y13" s="340"/>
      <c r="Z13" s="436"/>
      <c r="AA13" s="435"/>
      <c r="AB13" s="340"/>
      <c r="AC13" s="436"/>
      <c r="AD13" s="435"/>
      <c r="AE13" s="340"/>
      <c r="AF13" s="436"/>
      <c r="AG13" s="435"/>
      <c r="AH13" s="340"/>
      <c r="AI13" s="436"/>
      <c r="AJ13" s="340"/>
      <c r="AK13" s="340"/>
      <c r="AL13" s="340"/>
      <c r="AM13" s="435"/>
      <c r="AN13" s="340"/>
      <c r="AO13" s="436"/>
      <c r="AP13" s="435"/>
      <c r="AQ13" s="340"/>
      <c r="AR13" s="436"/>
      <c r="AS13" s="435"/>
      <c r="AT13" s="340"/>
      <c r="AU13" s="436"/>
      <c r="AV13" s="435"/>
      <c r="AW13" s="340"/>
      <c r="AX13" s="436"/>
      <c r="AY13" s="4"/>
      <c r="AZ13" s="4"/>
    </row>
    <row r="14" spans="1:68" ht="23.25" customHeight="1" x14ac:dyDescent="0.25"/>
    <row r="15" spans="1:68" ht="23.25" customHeight="1" x14ac:dyDescent="0.25"/>
    <row r="16" spans="1:68"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sheetData>
  <mergeCells count="21">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 ref="AV5:AX5"/>
    <mergeCell ref="AM5:AO5"/>
    <mergeCell ref="AP5:AR5"/>
    <mergeCell ref="AS5:AU5"/>
    <mergeCell ref="C5:C6"/>
    <mergeCell ref="AJ5:AL5"/>
  </mergeCells>
  <pageMargins left="0.25" right="0.25" top="0.75" bottom="0.75" header="0.3" footer="0.3"/>
  <pageSetup paperSize="9" scale="4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439</v>
      </c>
      <c r="B1" t="s">
        <v>412</v>
      </c>
      <c r="C1" t="s">
        <v>402</v>
      </c>
      <c r="D1" t="s">
        <v>413</v>
      </c>
      <c r="E1" t="s">
        <v>395</v>
      </c>
      <c r="F1" t="s">
        <v>0</v>
      </c>
      <c r="G1" t="s">
        <v>394</v>
      </c>
      <c r="H1" t="s">
        <v>455</v>
      </c>
      <c r="I1" t="s">
        <v>404</v>
      </c>
      <c r="J1" t="s">
        <v>456</v>
      </c>
      <c r="K1" t="s">
        <v>595</v>
      </c>
      <c r="L1" t="s">
        <v>457</v>
      </c>
      <c r="M1" t="s">
        <v>435</v>
      </c>
      <c r="N1" t="s">
        <v>436</v>
      </c>
      <c r="O1" t="s">
        <v>1218</v>
      </c>
      <c r="P1" t="s">
        <v>577</v>
      </c>
      <c r="Q1" t="s">
        <v>578</v>
      </c>
      <c r="R1" t="s">
        <v>987</v>
      </c>
      <c r="S1" t="s">
        <v>991</v>
      </c>
      <c r="T1" t="s">
        <v>995</v>
      </c>
      <c r="U1" t="s">
        <v>1111</v>
      </c>
      <c r="V1" t="s">
        <v>1136</v>
      </c>
      <c r="W1" t="s">
        <v>1137</v>
      </c>
      <c r="X1" t="s">
        <v>1138</v>
      </c>
      <c r="Y1" t="s">
        <v>1139</v>
      </c>
      <c r="Z1" t="s">
        <v>1140</v>
      </c>
      <c r="AA1" t="s">
        <v>1142</v>
      </c>
      <c r="AB1" t="s">
        <v>1141</v>
      </c>
      <c r="AC1" t="s">
        <v>1219</v>
      </c>
      <c r="AD1" t="s">
        <v>1143</v>
      </c>
      <c r="AE1" t="s">
        <v>1144</v>
      </c>
      <c r="AF1" t="s">
        <v>1145</v>
      </c>
      <c r="AG1" t="s">
        <v>1146</v>
      </c>
      <c r="AH1" t="s">
        <v>1147</v>
      </c>
      <c r="AI1" t="s">
        <v>1148</v>
      </c>
      <c r="AJ1" t="s">
        <v>1151</v>
      </c>
      <c r="AK1" t="s">
        <v>558</v>
      </c>
      <c r="AL1" t="s">
        <v>1135</v>
      </c>
      <c r="AM1" t="s">
        <v>498</v>
      </c>
      <c r="AN1" t="s">
        <v>1080</v>
      </c>
      <c r="AO1" t="s">
        <v>441</v>
      </c>
      <c r="AP1" t="s">
        <v>1091</v>
      </c>
      <c r="AQ1" t="s">
        <v>496</v>
      </c>
    </row>
    <row r="2" spans="1:43" x14ac:dyDescent="0.25">
      <c r="A2">
        <v>15.566666666666666</v>
      </c>
      <c r="B2" s="146">
        <v>41750</v>
      </c>
      <c r="C2" t="s">
        <v>452</v>
      </c>
      <c r="E2" t="s">
        <v>553</v>
      </c>
      <c r="F2" t="s">
        <v>289</v>
      </c>
      <c r="G2" t="s">
        <v>1055</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1056</v>
      </c>
      <c r="AL2">
        <v>1</v>
      </c>
      <c r="AM2" t="s">
        <v>500</v>
      </c>
      <c r="AN2" t="s">
        <v>1093</v>
      </c>
      <c r="AO2">
        <v>1.1951219512195121</v>
      </c>
    </row>
    <row r="3" spans="1:43" x14ac:dyDescent="0.25">
      <c r="A3">
        <v>15.566666666666666</v>
      </c>
      <c r="B3" s="146">
        <v>41750</v>
      </c>
      <c r="C3" t="s">
        <v>452</v>
      </c>
      <c r="E3" t="s">
        <v>553</v>
      </c>
      <c r="F3" t="s">
        <v>289</v>
      </c>
      <c r="G3" t="s">
        <v>1055</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1056</v>
      </c>
      <c r="AL3">
        <v>1</v>
      </c>
      <c r="AM3" t="s">
        <v>500</v>
      </c>
      <c r="AN3" t="s">
        <v>1093</v>
      </c>
      <c r="AO3">
        <v>2.4390243902439025E-2</v>
      </c>
      <c r="AQ3" t="s">
        <v>1232</v>
      </c>
    </row>
    <row r="4" spans="1:43" x14ac:dyDescent="0.25">
      <c r="A4">
        <v>14.866666666666667</v>
      </c>
      <c r="B4" s="146">
        <v>41771</v>
      </c>
      <c r="C4" t="s">
        <v>452</v>
      </c>
      <c r="E4" t="s">
        <v>553</v>
      </c>
      <c r="F4" t="s">
        <v>230</v>
      </c>
      <c r="G4" t="s">
        <v>1063</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1064</v>
      </c>
      <c r="AL4">
        <v>1</v>
      </c>
      <c r="AM4" t="s">
        <v>500</v>
      </c>
      <c r="AN4" t="s">
        <v>1093</v>
      </c>
      <c r="AO4">
        <v>1.3666666666666667</v>
      </c>
    </row>
    <row r="5" spans="1:43" x14ac:dyDescent="0.25">
      <c r="A5">
        <v>14.866666666666667</v>
      </c>
      <c r="B5" s="146">
        <v>41771</v>
      </c>
      <c r="C5" t="s">
        <v>452</v>
      </c>
      <c r="E5" t="s">
        <v>553</v>
      </c>
      <c r="F5" t="s">
        <v>230</v>
      </c>
      <c r="G5" t="s">
        <v>1063</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1064</v>
      </c>
      <c r="AL5">
        <v>1</v>
      </c>
      <c r="AM5" t="s">
        <v>500</v>
      </c>
      <c r="AN5" t="s">
        <v>1093</v>
      </c>
      <c r="AO5">
        <v>0.3</v>
      </c>
      <c r="AQ5" t="s">
        <v>1232</v>
      </c>
    </row>
    <row r="6" spans="1:43" x14ac:dyDescent="0.25">
      <c r="A6">
        <v>14.9</v>
      </c>
      <c r="B6" s="146">
        <v>41770</v>
      </c>
      <c r="C6" t="s">
        <v>452</v>
      </c>
      <c r="E6" t="s">
        <v>553</v>
      </c>
      <c r="F6" t="s">
        <v>230</v>
      </c>
      <c r="G6" t="s">
        <v>1053</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1054</v>
      </c>
      <c r="AL6">
        <v>1</v>
      </c>
      <c r="AM6" t="s">
        <v>500</v>
      </c>
      <c r="AN6" t="s">
        <v>1093</v>
      </c>
      <c r="AO6">
        <v>1.3278688524590163</v>
      </c>
    </row>
    <row r="7" spans="1:43" x14ac:dyDescent="0.25">
      <c r="A7">
        <v>14.9</v>
      </c>
      <c r="B7" s="146">
        <v>41770</v>
      </c>
      <c r="C7" t="s">
        <v>452</v>
      </c>
      <c r="E7" t="s">
        <v>553</v>
      </c>
      <c r="F7" t="s">
        <v>230</v>
      </c>
      <c r="G7" t="s">
        <v>1053</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1054</v>
      </c>
      <c r="AL7">
        <v>1</v>
      </c>
      <c r="AM7" t="s">
        <v>500</v>
      </c>
      <c r="AN7" t="s">
        <v>1093</v>
      </c>
      <c r="AO7">
        <v>0.31147540983606559</v>
      </c>
      <c r="AQ7" t="s">
        <v>1232</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80"/>
  <sheetViews>
    <sheetView showZeros="0" zoomScale="70" zoomScaleNormal="70" workbookViewId="0">
      <pane ySplit="2" topLeftCell="A3" activePane="bottomLeft" state="frozen"/>
      <selection activeCell="AS915" sqref="AS915"/>
      <selection pane="bottomLeft" activeCell="K11" sqref="K11"/>
    </sheetView>
  </sheetViews>
  <sheetFormatPr defaultRowHeight="15" x14ac:dyDescent="0.25"/>
  <cols>
    <col min="1" max="1" width="17.140625" customWidth="1"/>
    <col min="2" max="2" width="12.42578125" customWidth="1"/>
    <col min="3" max="3" width="10.28515625" customWidth="1"/>
    <col min="4" max="4" width="15" customWidth="1"/>
    <col min="5" max="5" width="18.85546875" customWidth="1"/>
    <col min="6"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231"/>
      <c r="B1" s="232"/>
      <c r="C1" s="232"/>
      <c r="D1" s="232"/>
      <c r="E1" s="232"/>
      <c r="F1" s="232"/>
      <c r="G1" s="232"/>
      <c r="H1" s="232"/>
      <c r="I1" s="232"/>
      <c r="J1" s="232"/>
      <c r="K1" s="232"/>
      <c r="L1" s="232"/>
      <c r="M1" s="232"/>
      <c r="N1" s="233"/>
      <c r="O1" s="221"/>
      <c r="P1" s="221"/>
      <c r="Q1" s="221"/>
      <c r="R1" s="221"/>
      <c r="S1" s="221"/>
      <c r="T1" s="221"/>
      <c r="U1" s="221"/>
      <c r="V1" s="221"/>
      <c r="W1" s="221"/>
      <c r="X1" s="221"/>
      <c r="Y1" s="221"/>
      <c r="Z1" s="221"/>
      <c r="AA1" s="15"/>
      <c r="AB1" s="15"/>
      <c r="BF1" s="46"/>
      <c r="BG1" s="46"/>
    </row>
    <row r="2" spans="1:59" s="1" customFormat="1" ht="33.75" x14ac:dyDescent="0.35">
      <c r="A2" s="871" t="s">
        <v>458</v>
      </c>
      <c r="B2" s="872"/>
      <c r="C2" s="872"/>
      <c r="D2" s="872"/>
      <c r="E2" s="872"/>
      <c r="F2" s="872"/>
      <c r="G2" s="872"/>
      <c r="H2" s="872"/>
      <c r="I2" s="66"/>
      <c r="J2" s="66"/>
      <c r="K2" s="66"/>
      <c r="L2" s="66"/>
      <c r="M2" s="66"/>
      <c r="N2" s="234"/>
      <c r="O2" s="222"/>
      <c r="P2" s="15"/>
      <c r="Q2" s="15"/>
      <c r="R2" s="15"/>
      <c r="S2" s="15"/>
      <c r="T2" s="15"/>
      <c r="U2" s="15"/>
      <c r="V2" s="4"/>
      <c r="W2" s="4"/>
      <c r="X2" s="4"/>
      <c r="Y2" s="4"/>
      <c r="Z2" s="4"/>
      <c r="AA2" s="4"/>
      <c r="AB2" s="4"/>
      <c r="AC2" s="65"/>
      <c r="AD2" s="65"/>
      <c r="AE2" s="65"/>
      <c r="AF2" s="65"/>
      <c r="AG2" s="65"/>
      <c r="AH2" s="65"/>
      <c r="AI2" s="65"/>
      <c r="AJ2" s="65"/>
      <c r="AK2" s="65"/>
      <c r="AL2" s="65"/>
      <c r="AM2" s="65"/>
      <c r="AN2" s="65"/>
      <c r="AO2" s="65"/>
      <c r="AP2" s="65"/>
      <c r="AZ2" s="46"/>
      <c r="BA2" s="46"/>
    </row>
    <row r="3" spans="1:59" s="15" customFormat="1" ht="33.75" x14ac:dyDescent="0.35">
      <c r="A3" s="873">
        <f>Definition!B23</f>
        <v>42736</v>
      </c>
      <c r="B3" s="874"/>
      <c r="C3" s="874"/>
      <c r="D3" s="874"/>
      <c r="E3" s="874"/>
      <c r="F3" s="874"/>
      <c r="G3" s="874"/>
      <c r="H3" s="874"/>
      <c r="I3" s="235"/>
      <c r="J3" s="235"/>
      <c r="K3" s="235"/>
      <c r="L3" s="235"/>
      <c r="M3" s="235"/>
      <c r="N3" s="236"/>
      <c r="O3" s="222"/>
      <c r="W3" s="4"/>
      <c r="X3" s="4"/>
      <c r="Y3" s="4"/>
      <c r="Z3" s="4"/>
      <c r="AA3" s="4"/>
      <c r="AB3" s="4"/>
      <c r="AC3" s="65"/>
      <c r="AD3" s="65"/>
      <c r="AE3" s="65"/>
      <c r="AF3" s="65"/>
      <c r="AG3" s="65"/>
      <c r="AH3" s="65"/>
      <c r="AI3" s="65"/>
      <c r="AJ3" s="65"/>
      <c r="AK3" s="65"/>
      <c r="AL3" s="65"/>
      <c r="AM3" s="65"/>
      <c r="AN3" s="65"/>
      <c r="AO3" s="65"/>
      <c r="AP3" s="65"/>
      <c r="AZ3" s="47"/>
      <c r="BA3" s="47"/>
    </row>
    <row r="4" spans="1:59" s="15" customFormat="1" ht="36" x14ac:dyDescent="0.25">
      <c r="A4" s="48"/>
      <c r="B4" s="48"/>
      <c r="C4" s="48"/>
      <c r="D4" s="33"/>
      <c r="E4" s="33"/>
      <c r="F4" s="33"/>
      <c r="G4" s="33"/>
      <c r="H4" s="33"/>
      <c r="I4" s="33"/>
      <c r="J4" s="33"/>
      <c r="L4" s="33"/>
      <c r="M4" s="33"/>
      <c r="N4" s="33"/>
      <c r="O4" s="33"/>
      <c r="P4" s="33"/>
      <c r="Q4" s="33"/>
      <c r="R4" s="33"/>
      <c r="S4" s="47"/>
      <c r="T4" s="33"/>
      <c r="U4" s="33"/>
      <c r="BF4" s="47"/>
      <c r="BG4" s="47"/>
    </row>
    <row r="5" spans="1:59" s="38" customFormat="1" ht="32.25" thickBot="1" x14ac:dyDescent="0.55000000000000004">
      <c r="A5" s="42" t="s">
        <v>380</v>
      </c>
      <c r="B5" s="44"/>
      <c r="C5" s="44"/>
      <c r="D5" s="44"/>
      <c r="E5" s="44"/>
      <c r="F5" s="44"/>
      <c r="G5" s="44"/>
      <c r="H5" s="44"/>
      <c r="I5" s="44"/>
      <c r="J5" s="44"/>
      <c r="K5" s="44"/>
      <c r="L5" s="44"/>
      <c r="M5" s="44"/>
      <c r="N5" s="44"/>
      <c r="O5" s="223"/>
      <c r="P5" s="223"/>
      <c r="Q5" s="223"/>
      <c r="R5" s="223"/>
      <c r="S5" s="223"/>
      <c r="T5" s="223"/>
      <c r="U5" s="223"/>
      <c r="V5" s="223"/>
      <c r="W5" s="223"/>
      <c r="X5" s="223"/>
      <c r="Y5" s="223"/>
      <c r="Z5" s="223"/>
      <c r="AA5" s="4"/>
      <c r="AB5" s="4"/>
    </row>
    <row r="6" spans="1:59" ht="25.5" x14ac:dyDescent="0.25">
      <c r="A6" s="907" t="s">
        <v>0</v>
      </c>
      <c r="B6" s="909" t="s">
        <v>426</v>
      </c>
      <c r="C6" s="909" t="s">
        <v>427</v>
      </c>
      <c r="D6" s="253" t="s">
        <v>483</v>
      </c>
      <c r="E6" s="253" t="s">
        <v>457</v>
      </c>
      <c r="F6" s="253" t="s">
        <v>435</v>
      </c>
      <c r="G6" s="253" t="s">
        <v>436</v>
      </c>
      <c r="H6" s="253" t="s">
        <v>484</v>
      </c>
      <c r="I6" s="253" t="s">
        <v>577</v>
      </c>
      <c r="J6" s="253" t="s">
        <v>578</v>
      </c>
      <c r="K6" s="253" t="s">
        <v>987</v>
      </c>
      <c r="L6" s="253" t="s">
        <v>991</v>
      </c>
      <c r="M6" s="253" t="s">
        <v>995</v>
      </c>
      <c r="N6" s="78" t="s">
        <v>995</v>
      </c>
      <c r="O6" s="4"/>
      <c r="P6" s="4"/>
      <c r="Q6" s="4"/>
      <c r="R6" s="4"/>
      <c r="S6" s="4"/>
      <c r="T6" s="4"/>
      <c r="U6" s="4"/>
      <c r="V6" s="4"/>
      <c r="W6" s="4"/>
      <c r="X6" s="4"/>
      <c r="Y6" s="4"/>
      <c r="Z6" s="4"/>
      <c r="AA6" s="4"/>
      <c r="AB6" s="4"/>
    </row>
    <row r="7" spans="1:59" x14ac:dyDescent="0.25">
      <c r="A7" s="908"/>
      <c r="B7" s="910"/>
      <c r="C7" s="910"/>
      <c r="D7" s="254" t="s">
        <v>437</v>
      </c>
      <c r="E7" s="254" t="s">
        <v>437</v>
      </c>
      <c r="F7" s="254" t="s">
        <v>437</v>
      </c>
      <c r="G7" s="254" t="s">
        <v>437</v>
      </c>
      <c r="H7" s="254" t="s">
        <v>437</v>
      </c>
      <c r="I7" s="254" t="s">
        <v>437</v>
      </c>
      <c r="J7" s="254" t="s">
        <v>437</v>
      </c>
      <c r="K7" s="254" t="s">
        <v>437</v>
      </c>
      <c r="L7" s="254" t="s">
        <v>437</v>
      </c>
      <c r="M7" s="254" t="s">
        <v>437</v>
      </c>
      <c r="N7" s="79" t="s">
        <v>437</v>
      </c>
      <c r="O7" s="4"/>
      <c r="P7" s="4"/>
      <c r="Q7" s="4"/>
      <c r="R7" s="4"/>
      <c r="S7" s="4"/>
      <c r="T7" s="4"/>
      <c r="U7" s="4"/>
      <c r="V7" s="4"/>
      <c r="W7" s="4"/>
      <c r="X7" s="4"/>
      <c r="Y7" s="4"/>
      <c r="Z7" s="4"/>
      <c r="AA7" s="4"/>
      <c r="AB7" s="4"/>
    </row>
    <row r="8" spans="1:59" x14ac:dyDescent="0.25">
      <c r="A8" s="305" t="s">
        <v>5</v>
      </c>
      <c r="B8" s="304">
        <f>SUMIFS(Camplist_HH,Camplist_Township,'NFI Distribution (by Tship)'!$A8,Camplist_Type_Of_Acc,"Camp")</f>
        <v>1273</v>
      </c>
      <c r="C8" s="304">
        <f>SUMIFS(Camplist_Popl,Camplist_Township,'NFI Distribution (by Tship)'!$A8,Camplist_Type_Of_Acc,"Camp")</f>
        <v>7139</v>
      </c>
      <c r="D8" s="24">
        <f t="shared" ref="D8:D29" si="0">SUMIF(NFI_Township,$A8,NFI_Mosquito_Track)</f>
        <v>0</v>
      </c>
      <c r="E8" s="24">
        <f t="shared" ref="E8:E29" si="1">SUMIF(NFI_Township,$A8,NFI_Tarpaulin_Track)</f>
        <v>14</v>
      </c>
      <c r="F8" s="24">
        <f t="shared" ref="F8:F29" si="2">SUMIF(NFI_Township,$A8,NFI_Blanket_Track)</f>
        <v>0</v>
      </c>
      <c r="G8" s="24">
        <f t="shared" ref="G8:G29" si="3">SUMIF(NFI_Township,$A8,NFI_Kitchen_Track)</f>
        <v>0</v>
      </c>
      <c r="H8" s="24">
        <f t="shared" ref="H8:H29" si="4">SUMIF(NFI_Township,$A8,NFI_Clothes_Track)</f>
        <v>0</v>
      </c>
      <c r="I8" s="24">
        <f t="shared" ref="I8:I29" si="5">SUMIF(NFI_Township,$A8,NFI_Plastic_Bucket_Track)</f>
        <v>0</v>
      </c>
      <c r="J8" s="24">
        <f t="shared" ref="J8:J29" si="6">SUMIF(NFI_Township,$A8,NFI_Plastic_Mat_Track)</f>
        <v>0</v>
      </c>
      <c r="K8" s="24">
        <f t="shared" ref="K8:K29" si="7">SUMIF(NFI_Township,$A8,NFI_Winter_Clothes_Adult_Track)</f>
        <v>0</v>
      </c>
      <c r="L8" s="24">
        <f t="shared" ref="L8:L29" si="8">SUMIF(NFI_Township,$A8,NFI_Winter_Clothes_Children_Track)</f>
        <v>0</v>
      </c>
      <c r="M8" s="24">
        <f t="shared" ref="M8:M29" si="9">SUMIF(NFI_Township,$A8,NFI_Winter_Items_Other_Track)</f>
        <v>0</v>
      </c>
      <c r="N8" s="306">
        <f t="shared" ref="N8:N29" si="10">SUMIF(NFI_Township,$A8,NFI_Winter_Blanket_Track)</f>
        <v>0</v>
      </c>
      <c r="O8" s="4"/>
      <c r="P8" s="4"/>
      <c r="Q8" s="4"/>
      <c r="R8" s="4"/>
      <c r="S8" s="4"/>
      <c r="T8" s="4"/>
      <c r="U8" s="4"/>
      <c r="V8" s="4"/>
      <c r="W8" s="4"/>
      <c r="X8" s="4"/>
      <c r="Y8" s="4"/>
      <c r="Z8" s="4"/>
      <c r="AA8" s="4"/>
      <c r="AB8" s="4"/>
    </row>
    <row r="9" spans="1:59" x14ac:dyDescent="0.25">
      <c r="A9" s="305" t="s">
        <v>27</v>
      </c>
      <c r="B9" s="304">
        <f>SUMIFS(Camplist_HH,Camplist_Township,'NFI Distribution (by Tship)'!$A9,Camplist_Type_Of_Acc,"Camp")</f>
        <v>500</v>
      </c>
      <c r="C9" s="304">
        <f>SUMIFS(Camplist_Popl,Camplist_Township,'NFI Distribution (by Tship)'!$A9,Camplist_Type_Of_Acc,"Camp")</f>
        <v>2374</v>
      </c>
      <c r="D9" s="24">
        <f t="shared" si="0"/>
        <v>0</v>
      </c>
      <c r="E9" s="24">
        <f t="shared" si="1"/>
        <v>0</v>
      </c>
      <c r="F9" s="24">
        <f t="shared" si="2"/>
        <v>345</v>
      </c>
      <c r="G9" s="24">
        <f t="shared" si="3"/>
        <v>0</v>
      </c>
      <c r="H9" s="24">
        <f t="shared" si="4"/>
        <v>0</v>
      </c>
      <c r="I9" s="24">
        <f t="shared" si="5"/>
        <v>0</v>
      </c>
      <c r="J9" s="24">
        <f t="shared" si="6"/>
        <v>0</v>
      </c>
      <c r="K9" s="24">
        <f t="shared" si="7"/>
        <v>0</v>
      </c>
      <c r="L9" s="24">
        <f t="shared" si="8"/>
        <v>765</v>
      </c>
      <c r="M9" s="24">
        <f t="shared" si="9"/>
        <v>0</v>
      </c>
      <c r="N9" s="306">
        <f t="shared" si="10"/>
        <v>0</v>
      </c>
      <c r="O9" s="4"/>
      <c r="P9" s="4"/>
      <c r="Q9" s="4"/>
      <c r="R9" s="4"/>
      <c r="S9" s="4"/>
      <c r="T9" s="4"/>
      <c r="U9" s="4"/>
      <c r="V9" s="4"/>
      <c r="W9" s="4"/>
      <c r="X9" s="4"/>
      <c r="Y9" s="4"/>
      <c r="Z9" s="4"/>
      <c r="AA9" s="4"/>
      <c r="AB9" s="4"/>
    </row>
    <row r="10" spans="1:59" x14ac:dyDescent="0.25">
      <c r="A10" s="305" t="s">
        <v>527</v>
      </c>
      <c r="B10" s="304">
        <f>SUMIFS(Camplist_HH,Camplist_Township,'NFI Distribution (by Tship)'!$A10,Camplist_Type_Of_Acc,"Camp")</f>
        <v>787</v>
      </c>
      <c r="C10" s="304">
        <f>SUMIFS(Camplist_Popl,Camplist_Township,'NFI Distribution (by Tship)'!$A10,Camplist_Type_Of_Acc,"Camp")</f>
        <v>3668</v>
      </c>
      <c r="D10" s="24">
        <f t="shared" si="0"/>
        <v>203</v>
      </c>
      <c r="E10" s="24">
        <f t="shared" si="1"/>
        <v>104</v>
      </c>
      <c r="F10" s="24">
        <f t="shared" si="2"/>
        <v>208</v>
      </c>
      <c r="G10" s="24">
        <f t="shared" si="3"/>
        <v>104</v>
      </c>
      <c r="H10" s="24">
        <f t="shared" si="4"/>
        <v>0</v>
      </c>
      <c r="I10" s="24">
        <f t="shared" si="5"/>
        <v>104</v>
      </c>
      <c r="J10" s="24">
        <f t="shared" si="6"/>
        <v>575</v>
      </c>
      <c r="K10" s="24">
        <f t="shared" si="7"/>
        <v>0</v>
      </c>
      <c r="L10" s="24">
        <f t="shared" si="8"/>
        <v>0</v>
      </c>
      <c r="M10" s="24">
        <f t="shared" si="9"/>
        <v>0</v>
      </c>
      <c r="N10" s="306">
        <f t="shared" si="10"/>
        <v>0</v>
      </c>
    </row>
    <row r="11" spans="1:59" x14ac:dyDescent="0.25">
      <c r="A11" s="305" t="s">
        <v>779</v>
      </c>
      <c r="B11" s="304">
        <f>SUMIFS(Camplist_HH,Camplist_Township,'NFI Distribution (by Tship)'!$A11,Camplist_Type_Of_Acc,"Camp")</f>
        <v>50</v>
      </c>
      <c r="C11" s="304">
        <f>SUMIFS(Camplist_Popl,Camplist_Township,'NFI Distribution (by Tship)'!$A11,Camplist_Type_Of_Acc,"Camp")</f>
        <v>287</v>
      </c>
      <c r="D11" s="24">
        <f t="shared" si="0"/>
        <v>0</v>
      </c>
      <c r="E11" s="24">
        <f t="shared" si="1"/>
        <v>0</v>
      </c>
      <c r="F11" s="24">
        <f t="shared" si="2"/>
        <v>0</v>
      </c>
      <c r="G11" s="24">
        <f t="shared" si="3"/>
        <v>0</v>
      </c>
      <c r="H11" s="24">
        <f t="shared" si="4"/>
        <v>0</v>
      </c>
      <c r="I11" s="24">
        <f t="shared" si="5"/>
        <v>0</v>
      </c>
      <c r="J11" s="24">
        <f t="shared" si="6"/>
        <v>0</v>
      </c>
      <c r="K11" s="24">
        <f t="shared" si="7"/>
        <v>0</v>
      </c>
      <c r="L11" s="24">
        <f t="shared" si="8"/>
        <v>0</v>
      </c>
      <c r="M11" s="24">
        <f t="shared" si="9"/>
        <v>0</v>
      </c>
      <c r="N11" s="306">
        <f t="shared" si="10"/>
        <v>0</v>
      </c>
    </row>
    <row r="12" spans="1:59" s="333" customFormat="1" x14ac:dyDescent="0.25">
      <c r="A12" s="305" t="s">
        <v>1502</v>
      </c>
      <c r="B12" s="304">
        <f>SUMIFS(Camplist_HH,Camplist_Township,'NFI Distribution (by Tship)'!$A12,Camplist_Type_Of_Acc,"Camp")</f>
        <v>37</v>
      </c>
      <c r="C12" s="304">
        <f>SUMIFS(Camplist_Popl,Camplist_Township,'NFI Distribution (by Tship)'!$A12,Camplist_Type_Of_Acc,"Camp")</f>
        <v>120</v>
      </c>
      <c r="D12" s="24">
        <f t="shared" si="0"/>
        <v>0</v>
      </c>
      <c r="E12" s="24">
        <f t="shared" si="1"/>
        <v>38</v>
      </c>
      <c r="F12" s="24">
        <f t="shared" si="2"/>
        <v>0</v>
      </c>
      <c r="G12" s="24">
        <f t="shared" si="3"/>
        <v>0</v>
      </c>
      <c r="H12" s="24">
        <f t="shared" si="4"/>
        <v>0</v>
      </c>
      <c r="I12" s="24">
        <f t="shared" si="5"/>
        <v>0</v>
      </c>
      <c r="J12" s="24">
        <f t="shared" si="6"/>
        <v>0</v>
      </c>
      <c r="K12" s="24">
        <f t="shared" si="7"/>
        <v>0</v>
      </c>
      <c r="L12" s="24">
        <f t="shared" si="8"/>
        <v>0</v>
      </c>
      <c r="M12" s="24">
        <f t="shared" si="9"/>
        <v>0</v>
      </c>
      <c r="N12" s="306">
        <f t="shared" si="10"/>
        <v>0</v>
      </c>
    </row>
    <row r="13" spans="1:59" x14ac:dyDescent="0.25">
      <c r="A13" s="305" t="s">
        <v>363</v>
      </c>
      <c r="B13" s="304">
        <f>SUMIFS(Camplist_HH,Camplist_Township,'NFI Distribution (by Tship)'!$A13,Camplist_Type_Of_Acc,"Camp")</f>
        <v>0</v>
      </c>
      <c r="C13" s="304">
        <f>SUMIFS(Camplist_Popl,Camplist_Township,'NFI Distribution (by Tship)'!$A13,Camplist_Type_Of_Acc,"Camp")</f>
        <v>0</v>
      </c>
      <c r="D13" s="24">
        <f t="shared" si="0"/>
        <v>0</v>
      </c>
      <c r="E13" s="24">
        <f t="shared" si="1"/>
        <v>0</v>
      </c>
      <c r="F13" s="24">
        <f t="shared" si="2"/>
        <v>0</v>
      </c>
      <c r="G13" s="24">
        <f t="shared" si="3"/>
        <v>0</v>
      </c>
      <c r="H13" s="24">
        <f t="shared" si="4"/>
        <v>0</v>
      </c>
      <c r="I13" s="24">
        <f t="shared" si="5"/>
        <v>0</v>
      </c>
      <c r="J13" s="24">
        <f t="shared" si="6"/>
        <v>0</v>
      </c>
      <c r="K13" s="24">
        <f t="shared" si="7"/>
        <v>0</v>
      </c>
      <c r="L13" s="24">
        <f t="shared" si="8"/>
        <v>0</v>
      </c>
      <c r="M13" s="24">
        <f t="shared" si="9"/>
        <v>0</v>
      </c>
      <c r="N13" s="306">
        <f t="shared" si="10"/>
        <v>0</v>
      </c>
    </row>
    <row r="14" spans="1:59" s="65" customFormat="1" x14ac:dyDescent="0.25">
      <c r="A14" s="305" t="s">
        <v>144</v>
      </c>
      <c r="B14" s="304">
        <f>SUMIFS(Camplist_HH,Camplist_Township,'NFI Distribution (by Tship)'!$A14,Camplist_Type_Of_Acc,"Camp")</f>
        <v>0</v>
      </c>
      <c r="C14" s="304">
        <f>SUMIFS(Camplist_Popl,Camplist_Township,'NFI Distribution (by Tship)'!$A14,Camplist_Type_Of_Acc,"Camp")</f>
        <v>0</v>
      </c>
      <c r="D14" s="24">
        <f t="shared" si="0"/>
        <v>0</v>
      </c>
      <c r="E14" s="24">
        <f t="shared" si="1"/>
        <v>0</v>
      </c>
      <c r="F14" s="24">
        <f t="shared" si="2"/>
        <v>0</v>
      </c>
      <c r="G14" s="24">
        <f t="shared" si="3"/>
        <v>0</v>
      </c>
      <c r="H14" s="24">
        <f t="shared" si="4"/>
        <v>0</v>
      </c>
      <c r="I14" s="24">
        <f t="shared" si="5"/>
        <v>0</v>
      </c>
      <c r="J14" s="24">
        <f t="shared" si="6"/>
        <v>0</v>
      </c>
      <c r="K14" s="24">
        <f t="shared" si="7"/>
        <v>0</v>
      </c>
      <c r="L14" s="24">
        <f t="shared" si="8"/>
        <v>0</v>
      </c>
      <c r="M14" s="24">
        <f t="shared" si="9"/>
        <v>0</v>
      </c>
      <c r="N14" s="306">
        <f t="shared" si="10"/>
        <v>0</v>
      </c>
    </row>
    <row r="15" spans="1:59" s="65" customFormat="1" x14ac:dyDescent="0.25">
      <c r="A15" s="305" t="s">
        <v>146</v>
      </c>
      <c r="B15" s="304">
        <f>SUMIFS(Camplist_HH,Camplist_Township,'NFI Distribution (by Tship)'!$A15,Camplist_Type_Of_Acc,"Camp")</f>
        <v>926</v>
      </c>
      <c r="C15" s="304">
        <f>SUMIFS(Camplist_Popl,Camplist_Township,'NFI Distribution (by Tship)'!$A15,Camplist_Type_Of_Acc,"Camp")</f>
        <v>4538</v>
      </c>
      <c r="D15" s="24">
        <f t="shared" si="0"/>
        <v>600</v>
      </c>
      <c r="E15" s="24">
        <f t="shared" si="1"/>
        <v>0</v>
      </c>
      <c r="F15" s="24">
        <f t="shared" si="2"/>
        <v>0</v>
      </c>
      <c r="G15" s="24">
        <f t="shared" si="3"/>
        <v>0</v>
      </c>
      <c r="H15" s="24">
        <f t="shared" si="4"/>
        <v>0</v>
      </c>
      <c r="I15" s="24">
        <f t="shared" si="5"/>
        <v>0</v>
      </c>
      <c r="J15" s="24">
        <f t="shared" si="6"/>
        <v>0</v>
      </c>
      <c r="K15" s="24">
        <f t="shared" si="7"/>
        <v>0</v>
      </c>
      <c r="L15" s="24">
        <f t="shared" si="8"/>
        <v>0</v>
      </c>
      <c r="M15" s="24">
        <f t="shared" si="9"/>
        <v>0</v>
      </c>
      <c r="N15" s="306">
        <f t="shared" si="10"/>
        <v>0</v>
      </c>
    </row>
    <row r="16" spans="1:59" s="65" customFormat="1" x14ac:dyDescent="0.25">
      <c r="A16" s="305" t="s">
        <v>892</v>
      </c>
      <c r="B16" s="304">
        <f>SUMIFS(Camplist_HH,Camplist_Township,'NFI Distribution (by Tship)'!$A16,Camplist_Type_Of_Acc,"Camp")</f>
        <v>0</v>
      </c>
      <c r="C16" s="304">
        <f>SUMIFS(Camplist_Popl,Camplist_Township,'NFI Distribution (by Tship)'!$A16,Camplist_Type_Of_Acc,"Camp")</f>
        <v>0</v>
      </c>
      <c r="D16" s="24">
        <f t="shared" si="0"/>
        <v>0</v>
      </c>
      <c r="E16" s="24">
        <f t="shared" si="1"/>
        <v>0</v>
      </c>
      <c r="F16" s="24">
        <f t="shared" si="2"/>
        <v>0</v>
      </c>
      <c r="G16" s="24">
        <f t="shared" si="3"/>
        <v>0</v>
      </c>
      <c r="H16" s="24">
        <f t="shared" si="4"/>
        <v>0</v>
      </c>
      <c r="I16" s="24">
        <f t="shared" si="5"/>
        <v>0</v>
      </c>
      <c r="J16" s="24">
        <f t="shared" si="6"/>
        <v>0</v>
      </c>
      <c r="K16" s="24">
        <f t="shared" si="7"/>
        <v>0</v>
      </c>
      <c r="L16" s="24">
        <f t="shared" si="8"/>
        <v>0</v>
      </c>
      <c r="M16" s="24">
        <f t="shared" si="9"/>
        <v>0</v>
      </c>
      <c r="N16" s="306">
        <f t="shared" si="10"/>
        <v>0</v>
      </c>
    </row>
    <row r="17" spans="1:14" s="65" customFormat="1" x14ac:dyDescent="0.25">
      <c r="A17" s="305" t="s">
        <v>151</v>
      </c>
      <c r="B17" s="304">
        <f>SUMIFS(Camplist_HH,Camplist_Township,'NFI Distribution (by Tship)'!$A17,Camplist_Type_Of_Acc,"Camp")</f>
        <v>2562</v>
      </c>
      <c r="C17" s="304">
        <f>SUMIFS(Camplist_Popl,Camplist_Township,'NFI Distribution (by Tship)'!$A17,Camplist_Type_Of_Acc,"Camp")</f>
        <v>12217</v>
      </c>
      <c r="D17" s="24">
        <f t="shared" si="0"/>
        <v>90</v>
      </c>
      <c r="E17" s="24">
        <f t="shared" si="1"/>
        <v>75</v>
      </c>
      <c r="F17" s="24">
        <f t="shared" si="2"/>
        <v>90</v>
      </c>
      <c r="G17" s="24">
        <f t="shared" si="3"/>
        <v>50</v>
      </c>
      <c r="H17" s="24">
        <f t="shared" si="4"/>
        <v>0</v>
      </c>
      <c r="I17" s="24">
        <f t="shared" si="5"/>
        <v>50</v>
      </c>
      <c r="J17" s="24">
        <f t="shared" si="6"/>
        <v>415</v>
      </c>
      <c r="K17" s="24">
        <f t="shared" si="7"/>
        <v>0</v>
      </c>
      <c r="L17" s="24">
        <f t="shared" si="8"/>
        <v>0</v>
      </c>
      <c r="M17" s="24">
        <f t="shared" si="9"/>
        <v>0</v>
      </c>
      <c r="N17" s="306">
        <f t="shared" si="10"/>
        <v>0</v>
      </c>
    </row>
    <row r="18" spans="1:14" x14ac:dyDescent="0.25">
      <c r="A18" s="305" t="s">
        <v>166</v>
      </c>
      <c r="B18" s="304">
        <f>SUMIFS(Camplist_HH,Camplist_Township,'NFI Distribution (by Tship)'!$A18,Camplist_Type_Of_Acc,"Camp")</f>
        <v>101</v>
      </c>
      <c r="C18" s="304">
        <f>SUMIFS(Camplist_Popl,Camplist_Township,'NFI Distribution (by Tship)'!$A18,Camplist_Type_Of_Acc,"Camp")</f>
        <v>545</v>
      </c>
      <c r="D18" s="24">
        <f t="shared" si="0"/>
        <v>0</v>
      </c>
      <c r="E18" s="24">
        <f t="shared" si="1"/>
        <v>0</v>
      </c>
      <c r="F18" s="24">
        <f t="shared" si="2"/>
        <v>0</v>
      </c>
      <c r="G18" s="24">
        <f t="shared" si="3"/>
        <v>0</v>
      </c>
      <c r="H18" s="24">
        <f t="shared" si="4"/>
        <v>0</v>
      </c>
      <c r="I18" s="24">
        <f t="shared" si="5"/>
        <v>0</v>
      </c>
      <c r="J18" s="24">
        <f t="shared" si="6"/>
        <v>0</v>
      </c>
      <c r="K18" s="24">
        <f t="shared" si="7"/>
        <v>0</v>
      </c>
      <c r="L18" s="24">
        <f t="shared" si="8"/>
        <v>0</v>
      </c>
      <c r="M18" s="24">
        <f t="shared" si="9"/>
        <v>0</v>
      </c>
      <c r="N18" s="306">
        <f t="shared" si="10"/>
        <v>0</v>
      </c>
    </row>
    <row r="19" spans="1:14" x14ac:dyDescent="0.25">
      <c r="A19" s="305" t="s">
        <v>173</v>
      </c>
      <c r="B19" s="304">
        <f>SUMIFS(Camplist_HH,Camplist_Township,'NFI Distribution (by Tship)'!$A19,Camplist_Type_Of_Acc,"Camp")</f>
        <v>75</v>
      </c>
      <c r="C19" s="304">
        <f>SUMIFS(Camplist_Popl,Camplist_Township,'NFI Distribution (by Tship)'!$A19,Camplist_Type_Of_Acc,"Camp")</f>
        <v>350</v>
      </c>
      <c r="D19" s="24">
        <f t="shared" si="0"/>
        <v>13</v>
      </c>
      <c r="E19" s="24">
        <f t="shared" si="1"/>
        <v>7</v>
      </c>
      <c r="F19" s="24">
        <f t="shared" si="2"/>
        <v>13</v>
      </c>
      <c r="G19" s="24">
        <f t="shared" si="3"/>
        <v>7</v>
      </c>
      <c r="H19" s="24">
        <f t="shared" si="4"/>
        <v>7</v>
      </c>
      <c r="I19" s="24">
        <f t="shared" si="5"/>
        <v>7</v>
      </c>
      <c r="J19" s="24">
        <f t="shared" si="6"/>
        <v>32.5</v>
      </c>
      <c r="K19" s="24">
        <f t="shared" si="7"/>
        <v>0</v>
      </c>
      <c r="L19" s="24">
        <f t="shared" si="8"/>
        <v>0</v>
      </c>
      <c r="M19" s="24">
        <f t="shared" si="9"/>
        <v>0</v>
      </c>
      <c r="N19" s="306">
        <f t="shared" si="10"/>
        <v>0</v>
      </c>
    </row>
    <row r="20" spans="1:14" x14ac:dyDescent="0.25">
      <c r="A20" s="305" t="s">
        <v>180</v>
      </c>
      <c r="B20" s="304">
        <f>SUMIFS(Camplist_HH,Camplist_Township,'NFI Distribution (by Tship)'!$A20,Camplist_Type_Of_Acc,"Camp")</f>
        <v>31</v>
      </c>
      <c r="C20" s="304">
        <f>SUMIFS(Camplist_Popl,Camplist_Township,'NFI Distribution (by Tship)'!$A20,Camplist_Type_Of_Acc,"Camp")</f>
        <v>164</v>
      </c>
      <c r="D20" s="24">
        <f t="shared" si="0"/>
        <v>0</v>
      </c>
      <c r="E20" s="24">
        <f t="shared" si="1"/>
        <v>0</v>
      </c>
      <c r="F20" s="24">
        <f t="shared" si="2"/>
        <v>0</v>
      </c>
      <c r="G20" s="24">
        <f t="shared" si="3"/>
        <v>0</v>
      </c>
      <c r="H20" s="24">
        <f t="shared" si="4"/>
        <v>0</v>
      </c>
      <c r="I20" s="24">
        <f t="shared" si="5"/>
        <v>0</v>
      </c>
      <c r="J20" s="24">
        <f t="shared" si="6"/>
        <v>0</v>
      </c>
      <c r="K20" s="24">
        <f t="shared" si="7"/>
        <v>0</v>
      </c>
      <c r="L20" s="24">
        <f t="shared" si="8"/>
        <v>0</v>
      </c>
      <c r="M20" s="24">
        <f t="shared" si="9"/>
        <v>0</v>
      </c>
      <c r="N20" s="306">
        <f t="shared" si="10"/>
        <v>0</v>
      </c>
    </row>
    <row r="21" spans="1:14" x14ac:dyDescent="0.25">
      <c r="A21" s="305" t="s">
        <v>185</v>
      </c>
      <c r="B21" s="304">
        <f>SUMIFS(Camplist_HH,Camplist_Township,'NFI Distribution (by Tship)'!$A21,Camplist_Type_Of_Acc,"Camp")</f>
        <v>2828</v>
      </c>
      <c r="C21" s="304">
        <f>SUMIFS(Camplist_Popl,Camplist_Township,'NFI Distribution (by Tship)'!$A21,Camplist_Type_Of_Acc,"Camp")</f>
        <v>14229</v>
      </c>
      <c r="D21" s="24">
        <f t="shared" si="0"/>
        <v>0</v>
      </c>
      <c r="E21" s="24">
        <f t="shared" si="1"/>
        <v>0</v>
      </c>
      <c r="F21" s="24">
        <f t="shared" si="2"/>
        <v>0</v>
      </c>
      <c r="G21" s="24">
        <f t="shared" si="3"/>
        <v>0</v>
      </c>
      <c r="H21" s="24">
        <f t="shared" si="4"/>
        <v>0</v>
      </c>
      <c r="I21" s="24">
        <f t="shared" si="5"/>
        <v>0</v>
      </c>
      <c r="J21" s="24">
        <f t="shared" si="6"/>
        <v>0</v>
      </c>
      <c r="K21" s="24">
        <f t="shared" si="7"/>
        <v>0</v>
      </c>
      <c r="L21" s="24">
        <f t="shared" si="8"/>
        <v>0</v>
      </c>
      <c r="M21" s="24">
        <f t="shared" si="9"/>
        <v>0</v>
      </c>
      <c r="N21" s="306">
        <f t="shared" si="10"/>
        <v>0</v>
      </c>
    </row>
    <row r="22" spans="1:14" x14ac:dyDescent="0.25">
      <c r="A22" s="305" t="s">
        <v>230</v>
      </c>
      <c r="B22" s="304">
        <f>SUMIFS(Camplist_HH,Camplist_Township,'NFI Distribution (by Tship)'!$A22,Camplist_Type_Of_Acc,"Camp")</f>
        <v>76</v>
      </c>
      <c r="C22" s="304">
        <f>SUMIFS(Camplist_Popl,Camplist_Township,'NFI Distribution (by Tship)'!$A22,Camplist_Type_Of_Acc,"Camp")</f>
        <v>327</v>
      </c>
      <c r="D22" s="24">
        <f>SUMIF(NFI_Township,$A22,NFI_Mosquito_Track)</f>
        <v>76</v>
      </c>
      <c r="E22" s="24">
        <f t="shared" si="1"/>
        <v>38</v>
      </c>
      <c r="F22" s="24">
        <f t="shared" si="2"/>
        <v>76</v>
      </c>
      <c r="G22" s="24">
        <f t="shared" si="3"/>
        <v>0</v>
      </c>
      <c r="H22" s="24">
        <f t="shared" si="4"/>
        <v>0</v>
      </c>
      <c r="I22" s="24">
        <f t="shared" si="5"/>
        <v>38</v>
      </c>
      <c r="J22" s="24">
        <f t="shared" si="6"/>
        <v>285</v>
      </c>
      <c r="K22" s="24">
        <f t="shared" si="7"/>
        <v>0</v>
      </c>
      <c r="L22" s="24">
        <f t="shared" si="8"/>
        <v>0</v>
      </c>
      <c r="M22" s="24">
        <f t="shared" si="9"/>
        <v>0</v>
      </c>
      <c r="N22" s="306">
        <f t="shared" si="10"/>
        <v>0</v>
      </c>
    </row>
    <row r="23" spans="1:14" x14ac:dyDescent="0.25">
      <c r="A23" s="305" t="s">
        <v>237</v>
      </c>
      <c r="B23" s="304">
        <f>SUMIFS(Camplist_HH,Camplist_Township,'NFI Distribution (by Tship)'!$A23,Camplist_Type_Of_Acc,"Camp")</f>
        <v>1273</v>
      </c>
      <c r="C23" s="304">
        <f>SUMIFS(Camplist_Popl,Camplist_Township,'NFI Distribution (by Tship)'!$A23,Camplist_Type_Of_Acc,"Camp")</f>
        <v>6461</v>
      </c>
      <c r="D23" s="24">
        <f>SUMIF(NFI_Township,$A23,NFI_Mosquito_Track)</f>
        <v>0</v>
      </c>
      <c r="E23" s="24">
        <f t="shared" si="1"/>
        <v>29</v>
      </c>
      <c r="F23" s="24">
        <f t="shared" si="2"/>
        <v>0</v>
      </c>
      <c r="G23" s="24">
        <f t="shared" si="3"/>
        <v>0</v>
      </c>
      <c r="H23" s="24">
        <f t="shared" si="4"/>
        <v>0</v>
      </c>
      <c r="I23" s="24">
        <f t="shared" si="5"/>
        <v>0</v>
      </c>
      <c r="J23" s="24">
        <f t="shared" si="6"/>
        <v>0</v>
      </c>
      <c r="K23" s="24">
        <f t="shared" si="7"/>
        <v>0</v>
      </c>
      <c r="L23" s="24">
        <f t="shared" si="8"/>
        <v>0</v>
      </c>
      <c r="M23" s="24">
        <f t="shared" si="9"/>
        <v>0</v>
      </c>
      <c r="N23" s="306">
        <f t="shared" si="10"/>
        <v>0</v>
      </c>
    </row>
    <row r="24" spans="1:14" x14ac:dyDescent="0.25">
      <c r="A24" s="305" t="s">
        <v>289</v>
      </c>
      <c r="B24" s="304">
        <f>SUMIFS(Camplist_HH,Camplist_Township,'NFI Distribution (by Tship)'!$A24,Camplist_Type_Of_Acc,"Camp")</f>
        <v>596</v>
      </c>
      <c r="C24" s="304">
        <f>SUMIFS(Camplist_Popl,Camplist_Township,'NFI Distribution (by Tship)'!$A24,Camplist_Type_Of_Acc,"Camp")</f>
        <v>2769</v>
      </c>
      <c r="D24" s="24">
        <f>SUMIF(NFI_Township,$A24,NFI_Mosquito_Track)</f>
        <v>126</v>
      </c>
      <c r="E24" s="24">
        <f t="shared" si="1"/>
        <v>0</v>
      </c>
      <c r="F24" s="24">
        <f t="shared" si="2"/>
        <v>126</v>
      </c>
      <c r="G24" s="24">
        <f t="shared" si="3"/>
        <v>64</v>
      </c>
      <c r="H24" s="24">
        <f t="shared" si="4"/>
        <v>0</v>
      </c>
      <c r="I24" s="24">
        <f t="shared" si="5"/>
        <v>0</v>
      </c>
      <c r="J24" s="24">
        <f t="shared" si="6"/>
        <v>305</v>
      </c>
      <c r="K24" s="24">
        <f t="shared" si="7"/>
        <v>0</v>
      </c>
      <c r="L24" s="24">
        <f t="shared" si="8"/>
        <v>0</v>
      </c>
      <c r="M24" s="24">
        <f t="shared" si="9"/>
        <v>0</v>
      </c>
      <c r="N24" s="306">
        <f t="shared" si="10"/>
        <v>0</v>
      </c>
    </row>
    <row r="25" spans="1:14" x14ac:dyDescent="0.25">
      <c r="A25" s="305" t="s">
        <v>298</v>
      </c>
      <c r="B25" s="304">
        <f>SUMIFS(Camplist_HH,Camplist_Township,'NFI Distribution (by Tship)'!$A25,Camplist_Type_Of_Acc,"Camp")</f>
        <v>383</v>
      </c>
      <c r="C25" s="304">
        <f>SUMIFS(Camplist_Popl,Camplist_Township,'NFI Distribution (by Tship)'!$A25,Camplist_Type_Of_Acc,"Camp")</f>
        <v>1458</v>
      </c>
      <c r="D25" s="24">
        <f>SUMIF(NFI_Township,$A25,NFI_Mosquito_Track)</f>
        <v>35</v>
      </c>
      <c r="E25" s="24">
        <f t="shared" si="1"/>
        <v>203</v>
      </c>
      <c r="F25" s="24">
        <f t="shared" si="2"/>
        <v>35</v>
      </c>
      <c r="G25" s="24">
        <f t="shared" si="3"/>
        <v>18</v>
      </c>
      <c r="H25" s="24">
        <f t="shared" si="4"/>
        <v>0</v>
      </c>
      <c r="I25" s="24">
        <f t="shared" si="5"/>
        <v>18</v>
      </c>
      <c r="J25" s="24">
        <f t="shared" si="6"/>
        <v>205</v>
      </c>
      <c r="K25" s="24">
        <f t="shared" si="7"/>
        <v>0</v>
      </c>
      <c r="L25" s="24">
        <f t="shared" si="8"/>
        <v>0</v>
      </c>
      <c r="M25" s="24">
        <f t="shared" si="9"/>
        <v>0</v>
      </c>
      <c r="N25" s="306">
        <f t="shared" si="10"/>
        <v>0</v>
      </c>
    </row>
    <row r="26" spans="1:14" x14ac:dyDescent="0.25">
      <c r="A26" s="305" t="s">
        <v>300</v>
      </c>
      <c r="B26" s="304">
        <f>SUMIFS(Camplist_HH,Camplist_Township,'NFI Distribution (by Tship)'!$A26,Camplist_Type_Of_Acc,"Camp")</f>
        <v>59</v>
      </c>
      <c r="C26" s="304">
        <f>SUMIFS(Camplist_Popl,Camplist_Township,'NFI Distribution (by Tship)'!$A26,Camplist_Type_Of_Acc,"Camp")</f>
        <v>274</v>
      </c>
      <c r="D26" s="24">
        <f t="shared" si="0"/>
        <v>0</v>
      </c>
      <c r="E26" s="24">
        <f t="shared" si="1"/>
        <v>0</v>
      </c>
      <c r="F26" s="24">
        <f t="shared" si="2"/>
        <v>0</v>
      </c>
      <c r="G26" s="24">
        <f t="shared" si="3"/>
        <v>0</v>
      </c>
      <c r="H26" s="24">
        <f t="shared" si="4"/>
        <v>0</v>
      </c>
      <c r="I26" s="24">
        <f>SUMIF(NFI_Township,$A26,NFI_Plastic_Bucket_Track)</f>
        <v>0</v>
      </c>
      <c r="J26" s="24">
        <f t="shared" si="6"/>
        <v>0</v>
      </c>
      <c r="K26" s="24">
        <f t="shared" si="7"/>
        <v>0</v>
      </c>
      <c r="L26" s="24">
        <f t="shared" si="8"/>
        <v>0</v>
      </c>
      <c r="M26" s="24">
        <f t="shared" si="9"/>
        <v>0</v>
      </c>
      <c r="N26" s="306">
        <f t="shared" si="10"/>
        <v>0</v>
      </c>
    </row>
    <row r="27" spans="1:14" s="65" customFormat="1" x14ac:dyDescent="0.25">
      <c r="A27" s="305" t="s">
        <v>302</v>
      </c>
      <c r="B27" s="304">
        <f>SUMIFS(Camplist_HH,Camplist_Township,'NFI Distribution (by Tship)'!$A27,Camplist_Type_Of_Acc,"Camp")</f>
        <v>118</v>
      </c>
      <c r="C27" s="304">
        <f>SUMIFS(Camplist_Popl,Camplist_Township,'NFI Distribution (by Tship)'!$A27,Camplist_Type_Of_Acc,"Camp")</f>
        <v>449</v>
      </c>
      <c r="D27" s="24">
        <f t="shared" si="0"/>
        <v>0</v>
      </c>
      <c r="E27" s="24">
        <f t="shared" si="1"/>
        <v>0</v>
      </c>
      <c r="F27" s="24">
        <f t="shared" si="2"/>
        <v>0</v>
      </c>
      <c r="G27" s="24">
        <f t="shared" si="3"/>
        <v>0</v>
      </c>
      <c r="H27" s="24">
        <f t="shared" si="4"/>
        <v>0</v>
      </c>
      <c r="I27" s="24">
        <f t="shared" si="5"/>
        <v>0</v>
      </c>
      <c r="J27" s="24">
        <f t="shared" si="6"/>
        <v>0</v>
      </c>
      <c r="K27" s="24">
        <f t="shared" si="7"/>
        <v>0</v>
      </c>
      <c r="L27" s="24">
        <f t="shared" si="8"/>
        <v>0</v>
      </c>
      <c r="M27" s="24">
        <f t="shared" si="9"/>
        <v>0</v>
      </c>
      <c r="N27" s="306">
        <f t="shared" si="10"/>
        <v>0</v>
      </c>
    </row>
    <row r="28" spans="1:14" s="65" customFormat="1" x14ac:dyDescent="0.25">
      <c r="A28" s="305" t="s">
        <v>808</v>
      </c>
      <c r="B28" s="304">
        <f>SUMIFS(Camplist_HH,Camplist_Township,'NFI Distribution (by Tship)'!$A28,Camplist_Type_Of_Acc,"Camp")</f>
        <v>218</v>
      </c>
      <c r="C28" s="304">
        <f>SUMIFS(Camplist_Popl,Camplist_Township,'NFI Distribution (by Tship)'!$A28,Camplist_Type_Of_Acc,"Camp")</f>
        <v>851</v>
      </c>
      <c r="D28" s="24">
        <f t="shared" si="0"/>
        <v>25</v>
      </c>
      <c r="E28" s="24">
        <f t="shared" si="1"/>
        <v>8</v>
      </c>
      <c r="F28" s="24">
        <f t="shared" si="2"/>
        <v>66</v>
      </c>
      <c r="G28" s="24">
        <f t="shared" si="3"/>
        <v>34</v>
      </c>
      <c r="H28" s="24">
        <f t="shared" si="4"/>
        <v>0</v>
      </c>
      <c r="I28" s="24">
        <f t="shared" si="5"/>
        <v>6</v>
      </c>
      <c r="J28" s="24">
        <f t="shared" si="6"/>
        <v>260</v>
      </c>
      <c r="K28" s="24">
        <f t="shared" si="7"/>
        <v>0</v>
      </c>
      <c r="L28" s="24">
        <f t="shared" si="8"/>
        <v>0</v>
      </c>
      <c r="M28" s="24">
        <f t="shared" si="9"/>
        <v>0</v>
      </c>
      <c r="N28" s="306">
        <f t="shared" si="10"/>
        <v>0</v>
      </c>
    </row>
    <row r="29" spans="1:14" x14ac:dyDescent="0.25">
      <c r="A29" s="305" t="s">
        <v>310</v>
      </c>
      <c r="B29" s="304">
        <f>SUMIFS(Camplist_HH,Camplist_Township,'NFI Distribution (by Tship)'!$A29,Camplist_Type_Of_Acc,"Camp")</f>
        <v>6083</v>
      </c>
      <c r="C29" s="304">
        <f>SUMIFS(Camplist_Popl,Camplist_Township,'NFI Distribution (by Tship)'!$A29,Camplist_Type_Of_Acc,"Camp")</f>
        <v>30585</v>
      </c>
      <c r="D29" s="24">
        <f t="shared" si="0"/>
        <v>0</v>
      </c>
      <c r="E29" s="24">
        <f t="shared" si="1"/>
        <v>0</v>
      </c>
      <c r="F29" s="24">
        <f t="shared" si="2"/>
        <v>670</v>
      </c>
      <c r="G29" s="24">
        <f t="shared" si="3"/>
        <v>0</v>
      </c>
      <c r="H29" s="24">
        <f t="shared" si="4"/>
        <v>0</v>
      </c>
      <c r="I29" s="24">
        <f t="shared" si="5"/>
        <v>345</v>
      </c>
      <c r="J29" s="24">
        <f t="shared" si="6"/>
        <v>0</v>
      </c>
      <c r="K29" s="24">
        <f t="shared" si="7"/>
        <v>710</v>
      </c>
      <c r="L29" s="24">
        <f t="shared" si="8"/>
        <v>710</v>
      </c>
      <c r="M29" s="24">
        <f t="shared" si="9"/>
        <v>0</v>
      </c>
      <c r="N29" s="306">
        <f t="shared" si="10"/>
        <v>346</v>
      </c>
    </row>
    <row r="30" spans="1:14" ht="21" customHeight="1" thickBot="1" x14ac:dyDescent="0.3">
      <c r="A30" s="81" t="s">
        <v>3</v>
      </c>
      <c r="B30" s="82">
        <f t="shared" ref="B30:N30" si="11">SUM(B8:B29)</f>
        <v>17976</v>
      </c>
      <c r="C30" s="82">
        <f t="shared" si="11"/>
        <v>88805</v>
      </c>
      <c r="D30" s="82">
        <f t="shared" si="11"/>
        <v>1168</v>
      </c>
      <c r="E30" s="82">
        <f t="shared" si="11"/>
        <v>516</v>
      </c>
      <c r="F30" s="82">
        <f t="shared" si="11"/>
        <v>1629</v>
      </c>
      <c r="G30" s="82">
        <f t="shared" si="11"/>
        <v>277</v>
      </c>
      <c r="H30" s="82">
        <f t="shared" si="11"/>
        <v>7</v>
      </c>
      <c r="I30" s="82">
        <f t="shared" si="11"/>
        <v>568</v>
      </c>
      <c r="J30" s="307">
        <f t="shared" si="11"/>
        <v>2077.5</v>
      </c>
      <c r="K30" s="82">
        <f t="shared" si="11"/>
        <v>710</v>
      </c>
      <c r="L30" s="82">
        <f t="shared" si="11"/>
        <v>1475</v>
      </c>
      <c r="M30" s="82">
        <f t="shared" si="11"/>
        <v>0</v>
      </c>
      <c r="N30" s="83">
        <f t="shared" si="11"/>
        <v>346</v>
      </c>
    </row>
    <row r="31" spans="1:14" s="92" customFormat="1" ht="21" hidden="1" customHeight="1" x14ac:dyDescent="0.25">
      <c r="A31" s="111"/>
      <c r="B31" s="111"/>
      <c r="C31" s="111"/>
      <c r="D31" s="111"/>
      <c r="E31" s="111"/>
      <c r="F31" s="111"/>
      <c r="G31" s="111"/>
      <c r="H31" s="111"/>
      <c r="I31" s="111"/>
      <c r="J31" s="111"/>
      <c r="K31" s="111"/>
      <c r="L31" s="111"/>
      <c r="M31" s="111"/>
      <c r="N31" s="111"/>
    </row>
    <row r="32" spans="1:14" s="65" customFormat="1" ht="21" hidden="1" customHeight="1" thickBot="1" x14ac:dyDescent="0.3">
      <c r="A32"/>
      <c r="B32"/>
      <c r="C32"/>
      <c r="D32"/>
      <c r="E32"/>
      <c r="F32"/>
      <c r="G32"/>
      <c r="H32"/>
      <c r="I32"/>
      <c r="J32"/>
    </row>
    <row r="33" spans="1:15" s="65" customFormat="1" ht="21" hidden="1" customHeight="1" x14ac:dyDescent="0.25">
      <c r="A33" s="907" t="s">
        <v>0</v>
      </c>
      <c r="B33" s="909" t="s">
        <v>426</v>
      </c>
      <c r="C33" s="909" t="s">
        <v>427</v>
      </c>
      <c r="D33" s="912" t="s">
        <v>455</v>
      </c>
      <c r="E33" s="912"/>
      <c r="F33" s="912"/>
      <c r="G33" s="913"/>
      <c r="H33" s="93" t="s">
        <v>404</v>
      </c>
      <c r="I33" s="94"/>
      <c r="J33" s="94"/>
      <c r="K33" s="95"/>
      <c r="L33" s="911" t="s">
        <v>456</v>
      </c>
      <c r="M33" s="912"/>
      <c r="N33" s="912"/>
      <c r="O33" s="913"/>
    </row>
    <row r="34" spans="1:15" s="65" customFormat="1" ht="21" hidden="1" customHeight="1" x14ac:dyDescent="0.25">
      <c r="A34" s="908"/>
      <c r="B34" s="910"/>
      <c r="C34" s="910"/>
      <c r="D34" s="73" t="s">
        <v>437</v>
      </c>
      <c r="E34" s="74" t="s">
        <v>440</v>
      </c>
      <c r="F34" s="74" t="s">
        <v>410</v>
      </c>
      <c r="G34" s="11" t="s">
        <v>438</v>
      </c>
      <c r="H34" s="74" t="s">
        <v>437</v>
      </c>
      <c r="I34" s="74" t="s">
        <v>440</v>
      </c>
      <c r="J34" s="74" t="s">
        <v>410</v>
      </c>
      <c r="K34" s="11" t="s">
        <v>438</v>
      </c>
      <c r="L34" s="74" t="s">
        <v>437</v>
      </c>
      <c r="M34" s="74" t="s">
        <v>440</v>
      </c>
      <c r="N34" s="74" t="s">
        <v>410</v>
      </c>
      <c r="O34" s="11" t="s">
        <v>438</v>
      </c>
    </row>
    <row r="35" spans="1:15" s="65" customFormat="1" ht="21" hidden="1" customHeight="1" x14ac:dyDescent="0.25">
      <c r="A35" s="80" t="s">
        <v>5</v>
      </c>
      <c r="B35" s="8">
        <f>SUMIF(Camplist_Township,'NFI Distribution (by Tship)'!$A35,Camplist_HH)</f>
        <v>1470</v>
      </c>
      <c r="C35" s="8">
        <f>SUMIF(Camplist_Township,'NFI Distribution (by Tship)'!$A35,Camplist_Popl)</f>
        <v>8096</v>
      </c>
      <c r="D35" s="76">
        <f t="shared" ref="D35:D54" si="12">SUMIF(NFI_Township,$A35,NFI_Hygiene_Track)</f>
        <v>0</v>
      </c>
      <c r="E35" s="8">
        <f t="shared" ref="E35:E54" si="13">SUMIF(NFI_Pipeline_Township,$A35,NFI_Hygiene_Stock)</f>
        <v>0</v>
      </c>
      <c r="F35" s="8">
        <f t="shared" ref="F35:F54" si="14">SUMIF(NFI_Pipeline_Township,$A33,NFI_Hygiene_Pipeline)</f>
        <v>0</v>
      </c>
      <c r="G35" s="12">
        <f t="shared" ref="G35:G54" si="15">IF(B35-(D35+E35+F35)&lt;0,0,B35-(D35+E35+F35))</f>
        <v>1470</v>
      </c>
      <c r="H35" s="7">
        <f t="shared" ref="H35:H54" si="16">SUMIF(NFI_Township,$A35,NFI_Core_Track)</f>
        <v>0</v>
      </c>
      <c r="I35" s="7">
        <f t="shared" ref="I35:I54" si="17">SUMIF(NFI_Pipeline_Township,$A35,NFI_Core_Stock)</f>
        <v>80</v>
      </c>
      <c r="J35" s="7">
        <f t="shared" ref="J35:J54" si="18">SUMIF(NFI_Pipeline_Township,$A33,NFI_Core_Pipeline)</f>
        <v>0</v>
      </c>
      <c r="K35" s="14">
        <f t="shared" ref="K35:K54" si="19">IF(B35-(H35+I35+J35)&lt;0,0,B35-(H35+I35+J35))</f>
        <v>1390</v>
      </c>
      <c r="L35" s="7">
        <f t="shared" ref="L35:L54" si="20">SUMIF(NFI_Township,$A35,NFI_Sanitary_Track)</f>
        <v>1539</v>
      </c>
      <c r="M35" s="7">
        <f t="shared" ref="M35:M54" si="21">SUMIF(NFI_Pipeline_Township,$A35,NFI_Sanitary_Stock)</f>
        <v>86</v>
      </c>
      <c r="N35" s="7">
        <f t="shared" ref="N35:N54" si="22">SUMIF(NFI_Pipeline_Township,$A33,NFI_Sanitary_Pipeline)</f>
        <v>0</v>
      </c>
      <c r="O35" s="14">
        <f t="shared" ref="O35:O54" si="23">IF(B35-(L35+M35+N35)&lt;0,0,B35-(L35+M35+N35))</f>
        <v>0</v>
      </c>
    </row>
    <row r="36" spans="1:15" s="65" customFormat="1" ht="21" hidden="1" customHeight="1" x14ac:dyDescent="0.25">
      <c r="A36" s="80" t="s">
        <v>27</v>
      </c>
      <c r="B36" s="8">
        <f>SUMIF(Camplist_Township,'NFI Distribution (by Tship)'!$A36,Camplist_HH)</f>
        <v>500</v>
      </c>
      <c r="C36" s="8">
        <f>SUMIF(Camplist_Township,'NFI Distribution (by Tship)'!$A36,Camplist_Popl)</f>
        <v>2374</v>
      </c>
      <c r="D36" s="76">
        <f t="shared" si="12"/>
        <v>0</v>
      </c>
      <c r="E36" s="8">
        <f t="shared" si="13"/>
        <v>0</v>
      </c>
      <c r="F36" s="8">
        <f t="shared" si="14"/>
        <v>0</v>
      </c>
      <c r="G36" s="12">
        <f t="shared" si="15"/>
        <v>500</v>
      </c>
      <c r="H36" s="7">
        <f t="shared" si="16"/>
        <v>0</v>
      </c>
      <c r="I36" s="7">
        <f t="shared" si="17"/>
        <v>0</v>
      </c>
      <c r="J36" s="7">
        <f t="shared" si="18"/>
        <v>0</v>
      </c>
      <c r="K36" s="14">
        <f t="shared" si="19"/>
        <v>500</v>
      </c>
      <c r="L36" s="7">
        <f t="shared" si="20"/>
        <v>0</v>
      </c>
      <c r="M36" s="7">
        <f t="shared" si="21"/>
        <v>0</v>
      </c>
      <c r="N36" s="7">
        <f t="shared" si="22"/>
        <v>0</v>
      </c>
      <c r="O36" s="14">
        <f t="shared" si="23"/>
        <v>500</v>
      </c>
    </row>
    <row r="37" spans="1:15" s="65" customFormat="1" ht="21" hidden="1" customHeight="1" x14ac:dyDescent="0.25">
      <c r="A37" s="80" t="s">
        <v>527</v>
      </c>
      <c r="B37" s="8">
        <f>SUMIF(Camplist_Township,'NFI Distribution (by Tship)'!$A37,Camplist_HH)</f>
        <v>787</v>
      </c>
      <c r="C37" s="8">
        <f>SUMIF(Camplist_Township,'NFI Distribution (by Tship)'!$A37,Camplist_Popl)</f>
        <v>3668</v>
      </c>
      <c r="D37" s="76">
        <f t="shared" si="12"/>
        <v>165</v>
      </c>
      <c r="E37" s="8">
        <f t="shared" si="13"/>
        <v>0</v>
      </c>
      <c r="F37" s="8">
        <f t="shared" si="14"/>
        <v>0</v>
      </c>
      <c r="G37" s="12">
        <f t="shared" si="15"/>
        <v>622</v>
      </c>
      <c r="H37" s="7">
        <f t="shared" si="16"/>
        <v>243</v>
      </c>
      <c r="I37" s="7">
        <f t="shared" si="17"/>
        <v>0</v>
      </c>
      <c r="J37" s="7">
        <f t="shared" si="18"/>
        <v>0</v>
      </c>
      <c r="K37" s="14">
        <f t="shared" si="19"/>
        <v>544</v>
      </c>
      <c r="L37" s="7">
        <f t="shared" si="20"/>
        <v>81</v>
      </c>
      <c r="M37" s="7">
        <f t="shared" si="21"/>
        <v>0</v>
      </c>
      <c r="N37" s="7">
        <f t="shared" si="22"/>
        <v>0</v>
      </c>
      <c r="O37" s="14">
        <f t="shared" si="23"/>
        <v>706</v>
      </c>
    </row>
    <row r="38" spans="1:15" s="65" customFormat="1" ht="21" hidden="1" customHeight="1" x14ac:dyDescent="0.25">
      <c r="A38" s="80" t="s">
        <v>779</v>
      </c>
      <c r="B38" s="8">
        <f>SUMIF(Camplist_Township,'NFI Distribution (by Tship)'!$A38,Camplist_HH)</f>
        <v>117</v>
      </c>
      <c r="C38" s="8">
        <f>SUMIF(Camplist_Township,'NFI Distribution (by Tship)'!$A38,Camplist_Popl)</f>
        <v>679</v>
      </c>
      <c r="D38" s="76">
        <f t="shared" si="12"/>
        <v>0</v>
      </c>
      <c r="E38" s="8">
        <f t="shared" si="13"/>
        <v>0</v>
      </c>
      <c r="F38" s="8">
        <f t="shared" si="14"/>
        <v>0</v>
      </c>
      <c r="G38" s="12">
        <f t="shared" si="15"/>
        <v>117</v>
      </c>
      <c r="H38" s="7">
        <f t="shared" si="16"/>
        <v>0</v>
      </c>
      <c r="I38" s="7">
        <f t="shared" si="17"/>
        <v>0</v>
      </c>
      <c r="J38" s="7">
        <f t="shared" si="18"/>
        <v>0</v>
      </c>
      <c r="K38" s="14">
        <f t="shared" si="19"/>
        <v>117</v>
      </c>
      <c r="L38" s="7">
        <f t="shared" si="20"/>
        <v>0</v>
      </c>
      <c r="M38" s="7">
        <f t="shared" si="21"/>
        <v>0</v>
      </c>
      <c r="N38" s="7">
        <f t="shared" si="22"/>
        <v>0</v>
      </c>
      <c r="O38" s="14">
        <f t="shared" si="23"/>
        <v>117</v>
      </c>
    </row>
    <row r="39" spans="1:15" s="65" customFormat="1" ht="21" hidden="1" customHeight="1" x14ac:dyDescent="0.25">
      <c r="A39" s="80" t="s">
        <v>363</v>
      </c>
      <c r="B39" s="8">
        <f>SUMIF(Camplist_Township,'NFI Distribution (by Tship)'!$A39,Camplist_HH)</f>
        <v>0</v>
      </c>
      <c r="C39" s="8">
        <f>SUMIF(Camplist_Township,'NFI Distribution (by Tship)'!$A39,Camplist_Popl)</f>
        <v>0</v>
      </c>
      <c r="D39" s="76">
        <f t="shared" si="12"/>
        <v>0</v>
      </c>
      <c r="E39" s="8">
        <f t="shared" si="13"/>
        <v>0</v>
      </c>
      <c r="F39" s="8">
        <f t="shared" si="14"/>
        <v>0</v>
      </c>
      <c r="G39" s="12">
        <f t="shared" si="15"/>
        <v>0</v>
      </c>
      <c r="H39" s="7">
        <f t="shared" si="16"/>
        <v>0</v>
      </c>
      <c r="I39" s="7">
        <f t="shared" si="17"/>
        <v>0</v>
      </c>
      <c r="J39" s="7">
        <f t="shared" si="18"/>
        <v>0</v>
      </c>
      <c r="K39" s="14">
        <f t="shared" si="19"/>
        <v>0</v>
      </c>
      <c r="L39" s="7">
        <f t="shared" si="20"/>
        <v>0</v>
      </c>
      <c r="M39" s="7">
        <f t="shared" si="21"/>
        <v>0</v>
      </c>
      <c r="N39" s="7">
        <f t="shared" si="22"/>
        <v>0</v>
      </c>
      <c r="O39" s="14">
        <f t="shared" si="23"/>
        <v>0</v>
      </c>
    </row>
    <row r="40" spans="1:15" s="65" customFormat="1" ht="21" hidden="1" customHeight="1" x14ac:dyDescent="0.25">
      <c r="A40" s="80" t="s">
        <v>144</v>
      </c>
      <c r="B40" s="8">
        <f>SUMIF(Camplist_Township,'NFI Distribution (by Tship)'!$A40,Camplist_HH)</f>
        <v>0</v>
      </c>
      <c r="C40" s="8">
        <f>SUMIF(Camplist_Township,'NFI Distribution (by Tship)'!$A40,Camplist_Popl)</f>
        <v>0</v>
      </c>
      <c r="D40" s="76">
        <f t="shared" si="12"/>
        <v>0</v>
      </c>
      <c r="E40" s="8">
        <f t="shared" si="13"/>
        <v>0</v>
      </c>
      <c r="F40" s="8">
        <f t="shared" si="14"/>
        <v>0</v>
      </c>
      <c r="G40" s="12">
        <f t="shared" si="15"/>
        <v>0</v>
      </c>
      <c r="H40" s="7">
        <f t="shared" si="16"/>
        <v>0</v>
      </c>
      <c r="I40" s="7">
        <f t="shared" si="17"/>
        <v>0</v>
      </c>
      <c r="J40" s="7">
        <f t="shared" si="18"/>
        <v>0</v>
      </c>
      <c r="K40" s="14">
        <f t="shared" si="19"/>
        <v>0</v>
      </c>
      <c r="L40" s="7">
        <f t="shared" si="20"/>
        <v>0</v>
      </c>
      <c r="M40" s="7">
        <f t="shared" si="21"/>
        <v>0</v>
      </c>
      <c r="N40" s="7">
        <f t="shared" si="22"/>
        <v>0</v>
      </c>
      <c r="O40" s="14">
        <f t="shared" si="23"/>
        <v>0</v>
      </c>
    </row>
    <row r="41" spans="1:15" s="65" customFormat="1" ht="21" hidden="1" customHeight="1" x14ac:dyDescent="0.25">
      <c r="A41" s="80" t="s">
        <v>146</v>
      </c>
      <c r="B41" s="8">
        <f>SUMIF(Camplist_Township,'NFI Distribution (by Tship)'!$A41,Camplist_HH)</f>
        <v>926</v>
      </c>
      <c r="C41" s="8">
        <f>SUMIF(Camplist_Township,'NFI Distribution (by Tship)'!$A41,Camplist_Popl)</f>
        <v>4538</v>
      </c>
      <c r="D41" s="76">
        <f t="shared" si="12"/>
        <v>0</v>
      </c>
      <c r="E41" s="8">
        <f t="shared" si="13"/>
        <v>0</v>
      </c>
      <c r="F41" s="8">
        <f t="shared" si="14"/>
        <v>0</v>
      </c>
      <c r="G41" s="12">
        <f t="shared" si="15"/>
        <v>926</v>
      </c>
      <c r="H41" s="7">
        <f t="shared" si="16"/>
        <v>0</v>
      </c>
      <c r="I41" s="7">
        <f t="shared" si="17"/>
        <v>0</v>
      </c>
      <c r="J41" s="7">
        <f t="shared" si="18"/>
        <v>0</v>
      </c>
      <c r="K41" s="14">
        <f t="shared" si="19"/>
        <v>926</v>
      </c>
      <c r="L41" s="7">
        <f t="shared" si="20"/>
        <v>0</v>
      </c>
      <c r="M41" s="7">
        <f t="shared" si="21"/>
        <v>0</v>
      </c>
      <c r="N41" s="7">
        <f t="shared" si="22"/>
        <v>0</v>
      </c>
      <c r="O41" s="14">
        <f t="shared" si="23"/>
        <v>926</v>
      </c>
    </row>
    <row r="42" spans="1:15" s="65" customFormat="1" ht="21" hidden="1" customHeight="1" x14ac:dyDescent="0.25">
      <c r="A42" s="80" t="s">
        <v>151</v>
      </c>
      <c r="B42" s="8">
        <f>SUMIF(Camplist_Township,'NFI Distribution (by Tship)'!$A42,Camplist_HH)</f>
        <v>2810</v>
      </c>
      <c r="C42" s="8">
        <f>SUMIF(Camplist_Township,'NFI Distribution (by Tship)'!$A42,Camplist_Popl)</f>
        <v>13325</v>
      </c>
      <c r="D42" s="76">
        <f t="shared" si="12"/>
        <v>25</v>
      </c>
      <c r="E42" s="8">
        <f t="shared" si="13"/>
        <v>0</v>
      </c>
      <c r="F42" s="8">
        <f t="shared" si="14"/>
        <v>0</v>
      </c>
      <c r="G42" s="12">
        <f t="shared" si="15"/>
        <v>2785</v>
      </c>
      <c r="H42" s="7">
        <f t="shared" si="16"/>
        <v>73</v>
      </c>
      <c r="I42" s="7">
        <f t="shared" si="17"/>
        <v>0</v>
      </c>
      <c r="J42" s="7">
        <f t="shared" si="18"/>
        <v>0</v>
      </c>
      <c r="K42" s="14">
        <f t="shared" si="19"/>
        <v>2737</v>
      </c>
      <c r="L42" s="7">
        <f t="shared" si="20"/>
        <v>50</v>
      </c>
      <c r="M42" s="7">
        <f t="shared" si="21"/>
        <v>0</v>
      </c>
      <c r="N42" s="7">
        <f t="shared" si="22"/>
        <v>0</v>
      </c>
      <c r="O42" s="14">
        <f t="shared" si="23"/>
        <v>2760</v>
      </c>
    </row>
    <row r="43" spans="1:15" s="65" customFormat="1" ht="21" hidden="1" customHeight="1" x14ac:dyDescent="0.25">
      <c r="A43" s="80" t="s">
        <v>166</v>
      </c>
      <c r="B43" s="8">
        <f>SUMIF(Camplist_Township,'NFI Distribution (by Tship)'!$A43,Camplist_HH)</f>
        <v>101</v>
      </c>
      <c r="C43" s="8">
        <f>SUMIF(Camplist_Township,'NFI Distribution (by Tship)'!$A43,Camplist_Popl)</f>
        <v>545</v>
      </c>
      <c r="D43" s="76">
        <f t="shared" si="12"/>
        <v>0</v>
      </c>
      <c r="E43" s="8">
        <f t="shared" si="13"/>
        <v>0</v>
      </c>
      <c r="F43" s="8">
        <f t="shared" si="14"/>
        <v>0</v>
      </c>
      <c r="G43" s="12">
        <f t="shared" si="15"/>
        <v>101</v>
      </c>
      <c r="H43" s="7">
        <f t="shared" si="16"/>
        <v>0</v>
      </c>
      <c r="I43" s="7">
        <f t="shared" si="17"/>
        <v>0</v>
      </c>
      <c r="J43" s="7">
        <f t="shared" si="18"/>
        <v>0</v>
      </c>
      <c r="K43" s="14">
        <f t="shared" si="19"/>
        <v>101</v>
      </c>
      <c r="L43" s="7">
        <f t="shared" si="20"/>
        <v>0</v>
      </c>
      <c r="M43" s="7">
        <f t="shared" si="21"/>
        <v>0</v>
      </c>
      <c r="N43" s="7">
        <f t="shared" si="22"/>
        <v>0</v>
      </c>
      <c r="O43" s="14">
        <f t="shared" si="23"/>
        <v>101</v>
      </c>
    </row>
    <row r="44" spans="1:15" s="65" customFormat="1" ht="21" hidden="1" customHeight="1" x14ac:dyDescent="0.25">
      <c r="A44" s="80" t="s">
        <v>173</v>
      </c>
      <c r="B44" s="8">
        <f>SUMIF(Camplist_Township,'NFI Distribution (by Tship)'!$A44,Camplist_HH)</f>
        <v>99</v>
      </c>
      <c r="C44" s="8">
        <f>SUMIF(Camplist_Township,'NFI Distribution (by Tship)'!$A44,Camplist_Popl)</f>
        <v>433</v>
      </c>
      <c r="D44" s="76">
        <f t="shared" si="12"/>
        <v>0</v>
      </c>
      <c r="E44" s="8">
        <f t="shared" si="13"/>
        <v>0</v>
      </c>
      <c r="F44" s="8">
        <f t="shared" si="14"/>
        <v>0</v>
      </c>
      <c r="G44" s="12">
        <f t="shared" si="15"/>
        <v>99</v>
      </c>
      <c r="H44" s="7">
        <f t="shared" si="16"/>
        <v>7</v>
      </c>
      <c r="I44" s="7">
        <f t="shared" si="17"/>
        <v>0</v>
      </c>
      <c r="J44" s="7">
        <f t="shared" si="18"/>
        <v>0</v>
      </c>
      <c r="K44" s="14">
        <f t="shared" si="19"/>
        <v>92</v>
      </c>
      <c r="L44" s="7">
        <f t="shared" si="20"/>
        <v>7</v>
      </c>
      <c r="M44" s="7">
        <f t="shared" si="21"/>
        <v>0</v>
      </c>
      <c r="N44" s="7">
        <f t="shared" si="22"/>
        <v>0</v>
      </c>
      <c r="O44" s="14">
        <f t="shared" si="23"/>
        <v>92</v>
      </c>
    </row>
    <row r="45" spans="1:15" s="65" customFormat="1" ht="21" hidden="1" customHeight="1" x14ac:dyDescent="0.25">
      <c r="A45" s="80" t="s">
        <v>180</v>
      </c>
      <c r="B45" s="8">
        <f>SUMIF(Camplist_Township,'NFI Distribution (by Tship)'!$A45,Camplist_HH)</f>
        <v>81</v>
      </c>
      <c r="C45" s="8">
        <f>SUMIF(Camplist_Township,'NFI Distribution (by Tship)'!$A45,Camplist_Popl)</f>
        <v>380</v>
      </c>
      <c r="D45" s="76">
        <f t="shared" si="12"/>
        <v>0</v>
      </c>
      <c r="E45" s="8">
        <f t="shared" si="13"/>
        <v>0</v>
      </c>
      <c r="F45" s="8">
        <f t="shared" si="14"/>
        <v>0</v>
      </c>
      <c r="G45" s="12">
        <f t="shared" si="15"/>
        <v>81</v>
      </c>
      <c r="H45" s="7">
        <f t="shared" si="16"/>
        <v>0</v>
      </c>
      <c r="I45" s="7">
        <f t="shared" si="17"/>
        <v>0</v>
      </c>
      <c r="J45" s="7">
        <f t="shared" si="18"/>
        <v>0</v>
      </c>
      <c r="K45" s="14">
        <f t="shared" si="19"/>
        <v>81</v>
      </c>
      <c r="L45" s="7">
        <f t="shared" si="20"/>
        <v>0</v>
      </c>
      <c r="M45" s="7">
        <f t="shared" si="21"/>
        <v>0</v>
      </c>
      <c r="N45" s="7">
        <f t="shared" si="22"/>
        <v>0</v>
      </c>
      <c r="O45" s="14">
        <f t="shared" si="23"/>
        <v>81</v>
      </c>
    </row>
    <row r="46" spans="1:15" s="65" customFormat="1" ht="21" hidden="1" customHeight="1" x14ac:dyDescent="0.25">
      <c r="A46" s="80" t="s">
        <v>185</v>
      </c>
      <c r="B46" s="8">
        <f>SUMIF(Camplist_Township,'NFI Distribution (by Tship)'!$A46,Camplist_HH)</f>
        <v>3181</v>
      </c>
      <c r="C46" s="8">
        <f>SUMIF(Camplist_Township,'NFI Distribution (by Tship)'!$A46,Camplist_Popl)</f>
        <v>15854</v>
      </c>
      <c r="D46" s="76">
        <f t="shared" si="12"/>
        <v>0</v>
      </c>
      <c r="E46" s="8">
        <f t="shared" si="13"/>
        <v>0</v>
      </c>
      <c r="F46" s="8">
        <f t="shared" si="14"/>
        <v>0</v>
      </c>
      <c r="G46" s="12">
        <f t="shared" si="15"/>
        <v>3181</v>
      </c>
      <c r="H46" s="7">
        <f t="shared" si="16"/>
        <v>0</v>
      </c>
      <c r="I46" s="7">
        <f t="shared" si="17"/>
        <v>0</v>
      </c>
      <c r="J46" s="7">
        <f t="shared" si="18"/>
        <v>0</v>
      </c>
      <c r="K46" s="14">
        <f t="shared" si="19"/>
        <v>3181</v>
      </c>
      <c r="L46" s="7">
        <f t="shared" si="20"/>
        <v>2464</v>
      </c>
      <c r="M46" s="7">
        <f t="shared" si="21"/>
        <v>0</v>
      </c>
      <c r="N46" s="7">
        <f t="shared" si="22"/>
        <v>0</v>
      </c>
      <c r="O46" s="14">
        <f t="shared" si="23"/>
        <v>717</v>
      </c>
    </row>
    <row r="47" spans="1:15" s="65" customFormat="1" ht="21" hidden="1" customHeight="1" x14ac:dyDescent="0.25">
      <c r="A47" s="80" t="s">
        <v>230</v>
      </c>
      <c r="B47" s="8">
        <f>SUMIF(Camplist_Township,'NFI Distribution (by Tship)'!$A47,Camplist_HH)</f>
        <v>108</v>
      </c>
      <c r="C47" s="8">
        <f>SUMIF(Camplist_Township,'NFI Distribution (by Tship)'!$A47,Camplist_Popl)</f>
        <v>514</v>
      </c>
      <c r="D47" s="76">
        <f t="shared" si="12"/>
        <v>0</v>
      </c>
      <c r="E47" s="8">
        <f t="shared" si="13"/>
        <v>0</v>
      </c>
      <c r="F47" s="8">
        <f t="shared" si="14"/>
        <v>0</v>
      </c>
      <c r="G47" s="12">
        <f t="shared" si="15"/>
        <v>108</v>
      </c>
      <c r="H47" s="7">
        <f t="shared" si="16"/>
        <v>0</v>
      </c>
      <c r="I47" s="7">
        <f t="shared" si="17"/>
        <v>156</v>
      </c>
      <c r="J47" s="7">
        <f t="shared" si="18"/>
        <v>0</v>
      </c>
      <c r="K47" s="14">
        <f t="shared" si="19"/>
        <v>0</v>
      </c>
      <c r="L47" s="7">
        <f t="shared" si="20"/>
        <v>0</v>
      </c>
      <c r="M47" s="7">
        <f t="shared" si="21"/>
        <v>0</v>
      </c>
      <c r="N47" s="7">
        <f t="shared" si="22"/>
        <v>0</v>
      </c>
      <c r="O47" s="14">
        <f t="shared" si="23"/>
        <v>108</v>
      </c>
    </row>
    <row r="48" spans="1:15" s="65" customFormat="1" ht="21" hidden="1" customHeight="1" x14ac:dyDescent="0.25">
      <c r="A48" s="80" t="s">
        <v>237</v>
      </c>
      <c r="B48" s="8">
        <f>SUMIF(Camplist_Township,'NFI Distribution (by Tship)'!$A48,Camplist_HH)</f>
        <v>1273</v>
      </c>
      <c r="C48" s="8">
        <f>SUMIF(Camplist_Township,'NFI Distribution (by Tship)'!$A48,Camplist_Popl)</f>
        <v>6461</v>
      </c>
      <c r="D48" s="76">
        <f t="shared" si="12"/>
        <v>0</v>
      </c>
      <c r="E48" s="8">
        <f t="shared" si="13"/>
        <v>0</v>
      </c>
      <c r="F48" s="8">
        <f t="shared" si="14"/>
        <v>0</v>
      </c>
      <c r="G48" s="12">
        <f t="shared" si="15"/>
        <v>1273</v>
      </c>
      <c r="H48" s="7">
        <f t="shared" si="16"/>
        <v>0</v>
      </c>
      <c r="I48" s="7">
        <f t="shared" si="17"/>
        <v>650</v>
      </c>
      <c r="J48" s="7">
        <f t="shared" si="18"/>
        <v>0</v>
      </c>
      <c r="K48" s="14">
        <f t="shared" si="19"/>
        <v>623</v>
      </c>
      <c r="L48" s="7">
        <f t="shared" si="20"/>
        <v>0</v>
      </c>
      <c r="M48" s="7">
        <f t="shared" si="21"/>
        <v>138</v>
      </c>
      <c r="N48" s="7">
        <f t="shared" si="22"/>
        <v>0</v>
      </c>
      <c r="O48" s="14">
        <f t="shared" si="23"/>
        <v>1135</v>
      </c>
    </row>
    <row r="49" spans="1:15" s="65" customFormat="1" ht="21" hidden="1" customHeight="1" x14ac:dyDescent="0.25">
      <c r="A49" s="80" t="s">
        <v>289</v>
      </c>
      <c r="B49" s="8">
        <f>SUMIF(Camplist_Township,'NFI Distribution (by Tship)'!$A49,Camplist_HH)</f>
        <v>596</v>
      </c>
      <c r="C49" s="8">
        <f>SUMIF(Camplist_Township,'NFI Distribution (by Tship)'!$A49,Camplist_Popl)</f>
        <v>2769</v>
      </c>
      <c r="D49" s="76">
        <f t="shared" si="12"/>
        <v>0</v>
      </c>
      <c r="E49" s="8">
        <f t="shared" si="13"/>
        <v>0</v>
      </c>
      <c r="F49" s="8">
        <f t="shared" si="14"/>
        <v>0</v>
      </c>
      <c r="G49" s="12">
        <f t="shared" si="15"/>
        <v>596</v>
      </c>
      <c r="H49" s="7">
        <f t="shared" si="16"/>
        <v>0</v>
      </c>
      <c r="I49" s="7">
        <f t="shared" si="17"/>
        <v>0</v>
      </c>
      <c r="J49" s="7">
        <f t="shared" si="18"/>
        <v>0</v>
      </c>
      <c r="K49" s="14">
        <f t="shared" si="19"/>
        <v>596</v>
      </c>
      <c r="L49" s="7">
        <f t="shared" si="20"/>
        <v>0</v>
      </c>
      <c r="M49" s="7">
        <f t="shared" si="21"/>
        <v>0</v>
      </c>
      <c r="N49" s="7">
        <f t="shared" si="22"/>
        <v>0</v>
      </c>
      <c r="O49" s="14">
        <f t="shared" si="23"/>
        <v>596</v>
      </c>
    </row>
    <row r="50" spans="1:15" s="65" customFormat="1" ht="21" hidden="1" customHeight="1" x14ac:dyDescent="0.25">
      <c r="A50" s="80" t="s">
        <v>298</v>
      </c>
      <c r="B50" s="8">
        <f>SUMIF(Camplist_Township,'NFI Distribution (by Tship)'!$A50,Camplist_HH)</f>
        <v>501</v>
      </c>
      <c r="C50" s="8">
        <f>SUMIF(Camplist_Township,'NFI Distribution (by Tship)'!$A50,Camplist_Popl)</f>
        <v>1978</v>
      </c>
      <c r="D50" s="76">
        <f t="shared" si="12"/>
        <v>121</v>
      </c>
      <c r="E50" s="8">
        <f t="shared" si="13"/>
        <v>0</v>
      </c>
      <c r="F50" s="8">
        <f t="shared" si="14"/>
        <v>0</v>
      </c>
      <c r="G50" s="12">
        <f t="shared" si="15"/>
        <v>380</v>
      </c>
      <c r="H50" s="7">
        <f t="shared" si="16"/>
        <v>0</v>
      </c>
      <c r="I50" s="7">
        <f t="shared" si="17"/>
        <v>0</v>
      </c>
      <c r="J50" s="7">
        <f t="shared" si="18"/>
        <v>0</v>
      </c>
      <c r="K50" s="14">
        <f t="shared" si="19"/>
        <v>501</v>
      </c>
      <c r="L50" s="7">
        <f t="shared" si="20"/>
        <v>0</v>
      </c>
      <c r="M50" s="7">
        <f t="shared" si="21"/>
        <v>0</v>
      </c>
      <c r="N50" s="7">
        <f t="shared" si="22"/>
        <v>0</v>
      </c>
      <c r="O50" s="14">
        <f t="shared" si="23"/>
        <v>501</v>
      </c>
    </row>
    <row r="51" spans="1:15" s="65" customFormat="1" ht="21" hidden="1" customHeight="1" x14ac:dyDescent="0.25">
      <c r="A51" s="80" t="s">
        <v>300</v>
      </c>
      <c r="B51" s="8">
        <f>SUMIF(Camplist_Township,'NFI Distribution (by Tship)'!$A51,Camplist_HH)</f>
        <v>83</v>
      </c>
      <c r="C51" s="8">
        <f>SUMIF(Camplist_Township,'NFI Distribution (by Tship)'!$A51,Camplist_Popl)</f>
        <v>394</v>
      </c>
      <c r="D51" s="76">
        <f t="shared" si="12"/>
        <v>0</v>
      </c>
      <c r="E51" s="8">
        <f t="shared" si="13"/>
        <v>0</v>
      </c>
      <c r="F51" s="8">
        <f t="shared" si="14"/>
        <v>0</v>
      </c>
      <c r="G51" s="12">
        <f t="shared" si="15"/>
        <v>83</v>
      </c>
      <c r="H51" s="7">
        <f t="shared" si="16"/>
        <v>0</v>
      </c>
      <c r="I51" s="7">
        <f t="shared" si="17"/>
        <v>0</v>
      </c>
      <c r="J51" s="7">
        <f t="shared" si="18"/>
        <v>0</v>
      </c>
      <c r="K51" s="14">
        <f t="shared" si="19"/>
        <v>83</v>
      </c>
      <c r="L51" s="7">
        <f t="shared" si="20"/>
        <v>0</v>
      </c>
      <c r="M51" s="7">
        <f t="shared" si="21"/>
        <v>0</v>
      </c>
      <c r="N51" s="7">
        <f t="shared" si="22"/>
        <v>0</v>
      </c>
      <c r="O51" s="14">
        <f t="shared" si="23"/>
        <v>83</v>
      </c>
    </row>
    <row r="52" spans="1:15" s="65" customFormat="1" ht="21" hidden="1" customHeight="1" x14ac:dyDescent="0.25">
      <c r="A52" s="80" t="s">
        <v>302</v>
      </c>
      <c r="B52" s="8">
        <f>SUMIF(Camplist_Township,'NFI Distribution (by Tship)'!$A52,Camplist_HH)</f>
        <v>502</v>
      </c>
      <c r="C52" s="8">
        <f>SUMIF(Camplist_Township,'NFI Distribution (by Tship)'!$A52,Camplist_Popl)</f>
        <v>2170</v>
      </c>
      <c r="D52" s="76">
        <f t="shared" si="12"/>
        <v>0</v>
      </c>
      <c r="E52" s="8">
        <f t="shared" si="13"/>
        <v>0</v>
      </c>
      <c r="F52" s="8">
        <f t="shared" si="14"/>
        <v>0</v>
      </c>
      <c r="G52" s="12">
        <f t="shared" si="15"/>
        <v>502</v>
      </c>
      <c r="H52" s="7">
        <f t="shared" si="16"/>
        <v>0</v>
      </c>
      <c r="I52" s="7">
        <f t="shared" si="17"/>
        <v>0</v>
      </c>
      <c r="J52" s="7">
        <f t="shared" si="18"/>
        <v>0</v>
      </c>
      <c r="K52" s="14">
        <f t="shared" si="19"/>
        <v>502</v>
      </c>
      <c r="L52" s="7">
        <f t="shared" si="20"/>
        <v>0</v>
      </c>
      <c r="M52" s="7">
        <f t="shared" si="21"/>
        <v>0</v>
      </c>
      <c r="N52" s="7">
        <f t="shared" si="22"/>
        <v>0</v>
      </c>
      <c r="O52" s="14">
        <f t="shared" si="23"/>
        <v>502</v>
      </c>
    </row>
    <row r="53" spans="1:15" s="65" customFormat="1" ht="21" hidden="1" customHeight="1" x14ac:dyDescent="0.25">
      <c r="A53" s="80" t="s">
        <v>808</v>
      </c>
      <c r="B53" s="8">
        <f>SUMIF(Camplist_Township,'NFI Distribution (by Tship)'!$A53,Camplist_HH)</f>
        <v>218</v>
      </c>
      <c r="C53" s="8">
        <f>SUMIF(Camplist_Township,'NFI Distribution (by Tship)'!$A53,Camplist_Popl)</f>
        <v>851</v>
      </c>
      <c r="D53" s="76">
        <f t="shared" si="12"/>
        <v>0</v>
      </c>
      <c r="E53" s="8">
        <f t="shared" si="13"/>
        <v>0</v>
      </c>
      <c r="F53" s="8">
        <f t="shared" si="14"/>
        <v>0</v>
      </c>
      <c r="G53" s="12">
        <f t="shared" si="15"/>
        <v>218</v>
      </c>
      <c r="H53" s="7">
        <f t="shared" si="16"/>
        <v>0</v>
      </c>
      <c r="I53" s="7">
        <f t="shared" si="17"/>
        <v>0</v>
      </c>
      <c r="J53" s="7">
        <f t="shared" si="18"/>
        <v>0</v>
      </c>
      <c r="K53" s="14">
        <f t="shared" si="19"/>
        <v>218</v>
      </c>
      <c r="L53" s="7">
        <f t="shared" si="20"/>
        <v>0</v>
      </c>
      <c r="M53" s="7">
        <f t="shared" si="21"/>
        <v>0</v>
      </c>
      <c r="N53" s="7">
        <f t="shared" si="22"/>
        <v>0</v>
      </c>
      <c r="O53" s="14">
        <f t="shared" si="23"/>
        <v>218</v>
      </c>
    </row>
    <row r="54" spans="1:15" s="65" customFormat="1" ht="21" hidden="1" customHeight="1" x14ac:dyDescent="0.25">
      <c r="A54" s="80" t="s">
        <v>310</v>
      </c>
      <c r="B54" s="8">
        <f>SUMIF(Camplist_Township,'NFI Distribution (by Tship)'!$A54,Camplist_HH)</f>
        <v>6438</v>
      </c>
      <c r="C54" s="8">
        <f>SUMIF(Camplist_Township,'NFI Distribution (by Tship)'!$A54,Camplist_Popl)</f>
        <v>36082</v>
      </c>
      <c r="D54" s="76">
        <f t="shared" si="12"/>
        <v>0</v>
      </c>
      <c r="E54" s="8">
        <f t="shared" si="13"/>
        <v>0</v>
      </c>
      <c r="F54" s="8">
        <f t="shared" si="14"/>
        <v>0</v>
      </c>
      <c r="G54" s="12">
        <f t="shared" si="15"/>
        <v>6438</v>
      </c>
      <c r="H54" s="7">
        <f t="shared" si="16"/>
        <v>0</v>
      </c>
      <c r="I54" s="7">
        <f t="shared" si="17"/>
        <v>0</v>
      </c>
      <c r="J54" s="7">
        <f t="shared" si="18"/>
        <v>0</v>
      </c>
      <c r="K54" s="14">
        <f t="shared" si="19"/>
        <v>6438</v>
      </c>
      <c r="L54" s="7">
        <f t="shared" si="20"/>
        <v>0</v>
      </c>
      <c r="M54" s="7">
        <f t="shared" si="21"/>
        <v>0</v>
      </c>
      <c r="N54" s="7">
        <f t="shared" si="22"/>
        <v>0</v>
      </c>
      <c r="O54" s="14">
        <f t="shared" si="23"/>
        <v>6438</v>
      </c>
    </row>
    <row r="55" spans="1:15" ht="21" hidden="1" customHeight="1" thickBot="1" x14ac:dyDescent="0.3">
      <c r="A55" s="81" t="s">
        <v>3</v>
      </c>
      <c r="B55" s="82">
        <f t="shared" ref="B55:J55" si="24">SUM(B35:B54)</f>
        <v>19791</v>
      </c>
      <c r="C55" s="82">
        <f t="shared" si="24"/>
        <v>101111</v>
      </c>
      <c r="D55" s="77">
        <f t="shared" si="24"/>
        <v>311</v>
      </c>
      <c r="E55" s="9">
        <f t="shared" si="24"/>
        <v>0</v>
      </c>
      <c r="F55" s="9">
        <f t="shared" si="24"/>
        <v>0</v>
      </c>
      <c r="G55" s="13">
        <f t="shared" si="24"/>
        <v>19480</v>
      </c>
      <c r="H55" s="9">
        <f t="shared" si="24"/>
        <v>323</v>
      </c>
      <c r="I55" s="9">
        <f t="shared" si="24"/>
        <v>886</v>
      </c>
      <c r="J55" s="9">
        <f t="shared" si="24"/>
        <v>0</v>
      </c>
      <c r="K55" s="13">
        <f>SUM(K35:K54)</f>
        <v>18630</v>
      </c>
      <c r="L55" s="9">
        <f>SUM(L35:L54)</f>
        <v>4141</v>
      </c>
      <c r="M55" s="9">
        <f>SUM(M35:M54)</f>
        <v>224</v>
      </c>
      <c r="N55" s="9">
        <f>SUM(N35:N54)</f>
        <v>0</v>
      </c>
      <c r="O55" s="26">
        <f>SUM(O35:O54)</f>
        <v>15581</v>
      </c>
    </row>
    <row r="56" spans="1:15" ht="21" customHeight="1" x14ac:dyDescent="0.25"/>
    <row r="57" spans="1:15" ht="17.25" hidden="1" customHeight="1" x14ac:dyDescent="0.25">
      <c r="I57" s="27"/>
    </row>
    <row r="58" spans="1:15" hidden="1" x14ac:dyDescent="0.25">
      <c r="I58" s="27"/>
    </row>
    <row r="60" spans="1:15" x14ac:dyDescent="0.25">
      <c r="A60" s="276" t="s">
        <v>498</v>
      </c>
      <c r="B60" s="18" t="s">
        <v>500</v>
      </c>
    </row>
    <row r="61" spans="1:15" x14ac:dyDescent="0.25">
      <c r="A61" s="276" t="s">
        <v>1135</v>
      </c>
      <c r="B61" s="18" t="s">
        <v>596</v>
      </c>
      <c r="C61" s="27"/>
      <c r="D61" s="27"/>
      <c r="E61" s="27"/>
      <c r="F61" s="27"/>
      <c r="G61" s="27"/>
      <c r="H61" s="27"/>
    </row>
    <row r="62" spans="1:15" x14ac:dyDescent="0.25">
      <c r="A62" s="27"/>
      <c r="B62" s="27"/>
      <c r="C62" s="27"/>
      <c r="D62" s="27"/>
      <c r="E62" s="27"/>
      <c r="F62" s="27"/>
      <c r="G62" s="27"/>
      <c r="H62" s="27"/>
    </row>
    <row r="63" spans="1:15" x14ac:dyDescent="0.25">
      <c r="A63" s="18" t="s">
        <v>1225</v>
      </c>
      <c r="B63" s="18" t="s">
        <v>457</v>
      </c>
      <c r="C63" s="18" t="s">
        <v>435</v>
      </c>
      <c r="D63" s="18" t="s">
        <v>436</v>
      </c>
      <c r="E63" s="18" t="s">
        <v>1226</v>
      </c>
      <c r="F63" s="18" t="s">
        <v>1227</v>
      </c>
    </row>
    <row r="64" spans="1:15" s="92" customFormat="1" x14ac:dyDescent="0.25">
      <c r="A64" s="410">
        <v>37979</v>
      </c>
      <c r="B64" s="410">
        <v>18566</v>
      </c>
      <c r="C64" s="410">
        <v>44938</v>
      </c>
      <c r="D64" s="410">
        <v>17650</v>
      </c>
      <c r="E64" s="410">
        <v>15065</v>
      </c>
      <c r="F64" s="410">
        <v>40915</v>
      </c>
      <c r="G64"/>
      <c r="H64"/>
      <c r="I64"/>
      <c r="J64"/>
      <c r="K64"/>
      <c r="L64"/>
    </row>
    <row r="65" spans="1:12" s="92" customFormat="1" x14ac:dyDescent="0.25">
      <c r="A65"/>
      <c r="B65"/>
      <c r="C65"/>
      <c r="D65"/>
      <c r="E65"/>
      <c r="F65"/>
      <c r="G65"/>
      <c r="H65"/>
    </row>
    <row r="66" spans="1:12" s="92" customFormat="1" x14ac:dyDescent="0.25">
      <c r="A66"/>
      <c r="B66"/>
      <c r="C66"/>
      <c r="D66"/>
      <c r="E66"/>
      <c r="F66"/>
      <c r="G66"/>
      <c r="H66"/>
    </row>
    <row r="67" spans="1:12" s="92" customFormat="1" x14ac:dyDescent="0.25">
      <c r="A67"/>
      <c r="B67"/>
      <c r="C67"/>
      <c r="D67"/>
      <c r="E67"/>
      <c r="F67"/>
      <c r="G67"/>
      <c r="H67"/>
    </row>
    <row r="68" spans="1:12" s="92" customFormat="1" x14ac:dyDescent="0.25">
      <c r="A68"/>
      <c r="B68"/>
      <c r="C68"/>
      <c r="D68"/>
      <c r="E68"/>
      <c r="F68"/>
      <c r="G68"/>
      <c r="H68"/>
    </row>
    <row r="69" spans="1:12" s="92" customFormat="1" x14ac:dyDescent="0.25">
      <c r="A69" s="276" t="s">
        <v>498</v>
      </c>
      <c r="B69" s="18" t="s">
        <v>500</v>
      </c>
      <c r="C69"/>
      <c r="D69"/>
      <c r="E69"/>
      <c r="F69"/>
      <c r="G69"/>
      <c r="H69"/>
    </row>
    <row r="70" spans="1:12" s="92" customFormat="1" x14ac:dyDescent="0.25">
      <c r="A70" s="276" t="s">
        <v>1080</v>
      </c>
      <c r="B70" s="18" t="s">
        <v>1077</v>
      </c>
      <c r="E70"/>
      <c r="F70"/>
      <c r="G70"/>
    </row>
    <row r="71" spans="1:12" x14ac:dyDescent="0.25">
      <c r="A71" s="276" t="s">
        <v>1151</v>
      </c>
      <c r="B71" s="275">
        <v>1</v>
      </c>
      <c r="C71" s="92"/>
      <c r="D71" s="92"/>
      <c r="H71" s="92"/>
    </row>
    <row r="72" spans="1:12" x14ac:dyDescent="0.25">
      <c r="A72" s="92"/>
      <c r="B72" s="92"/>
      <c r="C72" s="92"/>
      <c r="D72" s="92"/>
      <c r="H72" s="92"/>
    </row>
    <row r="73" spans="1:12" s="101" customFormat="1" ht="45" x14ac:dyDescent="0.25">
      <c r="A73" s="308" t="s">
        <v>414</v>
      </c>
      <c r="B73" s="309" t="s">
        <v>999</v>
      </c>
      <c r="C73" s="309" t="s">
        <v>1000</v>
      </c>
      <c r="D73" s="309" t="s">
        <v>1224</v>
      </c>
    </row>
    <row r="74" spans="1:12" x14ac:dyDescent="0.25">
      <c r="A74" s="275" t="s">
        <v>1104</v>
      </c>
      <c r="B74" s="410"/>
      <c r="C74" s="410"/>
      <c r="D74" s="410">
        <v>684</v>
      </c>
    </row>
    <row r="75" spans="1:12" x14ac:dyDescent="0.25">
      <c r="A75" s="275" t="s">
        <v>453</v>
      </c>
      <c r="B75" s="410">
        <v>944</v>
      </c>
      <c r="C75" s="410">
        <v>553</v>
      </c>
      <c r="D75" s="410"/>
    </row>
    <row r="76" spans="1:12" x14ac:dyDescent="0.25">
      <c r="A76" s="275" t="s">
        <v>1094</v>
      </c>
      <c r="B76" s="410">
        <v>941</v>
      </c>
      <c r="C76" s="410">
        <v>619</v>
      </c>
      <c r="D76" s="410">
        <v>549</v>
      </c>
    </row>
    <row r="77" spans="1:12" x14ac:dyDescent="0.25">
      <c r="A77" s="275" t="s">
        <v>1036</v>
      </c>
      <c r="B77" s="410"/>
      <c r="C77" s="410">
        <v>1333</v>
      </c>
      <c r="D77" s="410"/>
      <c r="L77" s="3"/>
    </row>
    <row r="78" spans="1:12" x14ac:dyDescent="0.25">
      <c r="A78" s="275" t="s">
        <v>905</v>
      </c>
      <c r="B78" s="410">
        <v>1155</v>
      </c>
      <c r="C78" s="410">
        <v>2263</v>
      </c>
      <c r="D78" s="410">
        <v>3418</v>
      </c>
    </row>
    <row r="79" spans="1:12" x14ac:dyDescent="0.25">
      <c r="A79" s="275" t="s">
        <v>452</v>
      </c>
      <c r="B79" s="410">
        <v>2342</v>
      </c>
      <c r="C79" s="410">
        <v>3896</v>
      </c>
      <c r="D79" s="410">
        <v>3416</v>
      </c>
    </row>
    <row r="80" spans="1:12" x14ac:dyDescent="0.25">
      <c r="A80" s="275" t="s">
        <v>415</v>
      </c>
      <c r="B80" s="410">
        <v>5382</v>
      </c>
      <c r="C80" s="410">
        <v>8664</v>
      </c>
      <c r="D80" s="410">
        <v>8067</v>
      </c>
    </row>
  </sheetData>
  <sortState ref="A8:T17">
    <sortCondition ref="A8:A17"/>
  </sortState>
  <mergeCells count="10">
    <mergeCell ref="L33:O33"/>
    <mergeCell ref="A33:A34"/>
    <mergeCell ref="B33:B34"/>
    <mergeCell ref="C33:C34"/>
    <mergeCell ref="D33:G33"/>
    <mergeCell ref="A2:H2"/>
    <mergeCell ref="A3:H3"/>
    <mergeCell ref="A6:A7"/>
    <mergeCell ref="B6:B7"/>
    <mergeCell ref="C6:C7"/>
  </mergeCells>
  <pageMargins left="0.25" right="0.25" top="0.75" bottom="0.75" header="0.3" footer="0.3"/>
  <pageSetup paperSize="9" scale="4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C279"/>
  <sheetViews>
    <sheetView showZeros="0" zoomScaleNormal="100" workbookViewId="0">
      <pane xSplit="1" ySplit="4" topLeftCell="J158" activePane="bottomRight" state="frozen"/>
      <selection activeCell="AS915" sqref="AS915"/>
      <selection pane="topRight" activeCell="AS915" sqref="AS915"/>
      <selection pane="bottomLeft" activeCell="AS915" sqref="AS915"/>
      <selection pane="bottomRight" activeCell="U181" sqref="U181"/>
    </sheetView>
  </sheetViews>
  <sheetFormatPr defaultColWidth="8.85546875" defaultRowHeight="15.6" customHeight="1" x14ac:dyDescent="0.25"/>
  <cols>
    <col min="1" max="1" width="14" style="540" customWidth="1"/>
    <col min="2" max="2" width="11.85546875" style="540" customWidth="1"/>
    <col min="3" max="3" width="9.28515625" style="531" customWidth="1"/>
    <col min="4" max="4" width="10.5703125" style="531" customWidth="1"/>
    <col min="5" max="5" width="13.85546875" style="531" customWidth="1"/>
    <col min="6" max="6" width="16.85546875" style="531" customWidth="1"/>
    <col min="7" max="7" width="19.28515625" style="531" customWidth="1"/>
    <col min="8" max="8" width="33.7109375" style="531" customWidth="1"/>
    <col min="9" max="10" width="19.28515625" style="531" customWidth="1"/>
    <col min="11" max="11" width="22.28515625" style="531" customWidth="1"/>
    <col min="12" max="12" width="38.85546875" style="541" customWidth="1"/>
    <col min="13" max="13" width="17.42578125" style="531" customWidth="1"/>
    <col min="14" max="15" width="13.7109375" style="532" customWidth="1"/>
    <col min="16" max="16" width="6.42578125" style="532" customWidth="1"/>
    <col min="17" max="17" width="8" style="849" customWidth="1"/>
    <col min="18" max="18" width="6.42578125" style="850" customWidth="1"/>
    <col min="19" max="19" width="11.5703125" style="545" customWidth="1"/>
    <col min="20" max="20" width="9.140625" style="530" customWidth="1"/>
    <col min="21" max="21" width="14.42578125" style="426" customWidth="1"/>
    <col min="22" max="22" width="24.140625" style="530" customWidth="1"/>
    <col min="23" max="23" width="18.7109375" style="530" customWidth="1"/>
    <col min="24" max="24" width="16.28515625" style="552" customWidth="1"/>
    <col min="25" max="25" width="11.42578125" style="553" customWidth="1"/>
    <col min="26" max="26" width="10.28515625" style="553" customWidth="1"/>
    <col min="27" max="27" width="7" style="532" customWidth="1"/>
    <col min="28" max="28" width="9.28515625" style="96" customWidth="1"/>
    <col min="29" max="29" width="12.42578125" style="532" customWidth="1"/>
    <col min="30" max="30" width="107.28515625" style="606" customWidth="1"/>
    <col min="31" max="31" width="9.7109375" style="530" customWidth="1"/>
    <col min="32" max="32" width="13.28515625" style="530" customWidth="1"/>
    <col min="33" max="33" width="17.7109375" style="530" customWidth="1"/>
    <col min="34" max="34" width="14.28515625" style="532" customWidth="1"/>
    <col min="35" max="35" width="16.7109375" style="530" customWidth="1"/>
    <col min="36" max="36" width="12.5703125" style="558" customWidth="1"/>
    <col min="37" max="37" width="12.42578125" style="532" customWidth="1"/>
    <col min="38" max="39" width="9.140625" style="2"/>
    <col min="40" max="48" width="8.85546875" style="2"/>
    <col min="49" max="49" width="8.85546875" style="529"/>
    <col min="50" max="51" width="9.140625" style="2" customWidth="1"/>
    <col min="52" max="16384" width="8.85546875" style="529"/>
  </cols>
  <sheetData>
    <row r="1" spans="1:55" s="527" customFormat="1" ht="41.45" customHeight="1" x14ac:dyDescent="0.25">
      <c r="A1" s="539"/>
      <c r="B1" s="534"/>
      <c r="C1" s="534"/>
      <c r="D1" s="534"/>
      <c r="E1" s="534"/>
      <c r="F1" s="534"/>
      <c r="G1" s="534"/>
      <c r="H1" s="534"/>
      <c r="I1" s="534"/>
      <c r="J1" s="534"/>
      <c r="K1" s="534"/>
      <c r="L1" s="537"/>
      <c r="M1" s="534"/>
      <c r="N1" s="542"/>
      <c r="O1" s="542"/>
      <c r="P1" s="542"/>
      <c r="Q1" s="533"/>
      <c r="R1" s="533"/>
      <c r="S1" s="542"/>
      <c r="T1" s="533"/>
      <c r="U1" s="533"/>
      <c r="V1" s="533"/>
      <c r="W1" s="533"/>
      <c r="X1" s="546"/>
      <c r="Y1" s="547"/>
      <c r="Z1" s="547"/>
      <c r="AA1" s="542"/>
      <c r="AB1" s="535"/>
      <c r="AC1" s="542"/>
      <c r="AD1" s="604"/>
      <c r="AE1" s="554"/>
      <c r="AF1" s="554"/>
      <c r="AG1" s="554"/>
      <c r="AH1" s="548"/>
      <c r="AI1" s="554"/>
      <c r="AJ1" s="555"/>
      <c r="AK1" s="559"/>
      <c r="AL1" s="46"/>
      <c r="AM1" s="46"/>
      <c r="AN1" s="46"/>
      <c r="AO1" s="46"/>
      <c r="AP1" s="46"/>
      <c r="AQ1" s="46"/>
      <c r="AR1" s="46"/>
      <c r="AS1" s="46"/>
      <c r="AT1" s="46"/>
      <c r="AU1" s="46"/>
      <c r="AV1" s="46"/>
      <c r="AW1" s="46"/>
      <c r="AX1" s="46"/>
    </row>
    <row r="2" spans="1:55" s="527" customFormat="1" ht="15.6" customHeight="1" x14ac:dyDescent="0.25">
      <c r="A2" s="649" t="s">
        <v>419</v>
      </c>
      <c r="B2" s="537"/>
      <c r="C2" s="537"/>
      <c r="D2" s="537"/>
      <c r="E2" s="537"/>
      <c r="F2" s="537"/>
      <c r="G2" s="537"/>
      <c r="H2" s="537"/>
      <c r="I2" s="537"/>
      <c r="J2" s="537"/>
      <c r="K2" s="537"/>
      <c r="L2" s="537"/>
      <c r="M2" s="537"/>
      <c r="N2" s="543"/>
      <c r="O2" s="543"/>
      <c r="P2" s="543"/>
      <c r="Q2" s="837"/>
      <c r="R2" s="837"/>
      <c r="S2" s="544"/>
      <c r="T2" s="536"/>
      <c r="U2" s="536"/>
      <c r="V2" s="536"/>
      <c r="W2" s="536"/>
      <c r="X2" s="549"/>
      <c r="Y2" s="550"/>
      <c r="Z2" s="550"/>
      <c r="AA2" s="543"/>
      <c r="AB2" s="538"/>
      <c r="AC2" s="543"/>
      <c r="AD2" s="605"/>
      <c r="AE2" s="556"/>
      <c r="AF2" s="556"/>
      <c r="AG2" s="556"/>
      <c r="AH2" s="551"/>
      <c r="AI2" s="556"/>
      <c r="AJ2" s="557"/>
      <c r="AK2" s="560"/>
      <c r="AL2" s="46"/>
      <c r="AM2" s="46"/>
      <c r="AN2" s="46"/>
      <c r="AO2" s="46"/>
      <c r="AP2" s="46"/>
      <c r="AQ2" s="46"/>
      <c r="AR2" s="46"/>
      <c r="AS2" s="46"/>
      <c r="AT2" s="46"/>
      <c r="AU2" s="46"/>
      <c r="AV2" s="46"/>
    </row>
    <row r="3" spans="1:55" s="528" customFormat="1" ht="15.6" customHeight="1" x14ac:dyDescent="0.25">
      <c r="A3" s="861">
        <f>Definition!B23</f>
        <v>42736</v>
      </c>
      <c r="B3" s="862"/>
      <c r="C3" s="862"/>
      <c r="D3" s="537"/>
      <c r="E3" s="537"/>
      <c r="F3" s="537"/>
      <c r="G3" s="537"/>
      <c r="H3" s="537"/>
      <c r="I3" s="537"/>
      <c r="J3" s="537"/>
      <c r="K3" s="537"/>
      <c r="L3" s="537"/>
      <c r="M3" s="537"/>
      <c r="N3" s="543"/>
      <c r="O3" s="543"/>
      <c r="P3" s="543"/>
      <c r="Q3" s="837"/>
      <c r="R3" s="837"/>
      <c r="S3" s="544"/>
      <c r="T3" s="536"/>
      <c r="U3" s="536"/>
      <c r="V3" s="536"/>
      <c r="W3" s="536"/>
      <c r="X3" s="549"/>
      <c r="Y3" s="550"/>
      <c r="Z3" s="550"/>
      <c r="AA3" s="543"/>
      <c r="AB3" s="538"/>
      <c r="AC3" s="543"/>
      <c r="AD3" s="605"/>
      <c r="AE3" s="556"/>
      <c r="AF3" s="556"/>
      <c r="AG3" s="556"/>
      <c r="AH3" s="551"/>
      <c r="AI3" s="556"/>
      <c r="AJ3" s="557"/>
      <c r="AK3" s="560"/>
      <c r="AL3" s="47"/>
      <c r="AM3" s="47"/>
      <c r="AN3" s="47"/>
      <c r="AO3" s="47"/>
      <c r="AP3" s="47"/>
      <c r="AQ3" s="47"/>
      <c r="AR3" s="47"/>
      <c r="AS3" s="47"/>
      <c r="AT3" s="47"/>
      <c r="AU3" s="47"/>
      <c r="AV3" s="47"/>
    </row>
    <row r="4" spans="1:55" s="563" customFormat="1" ht="15.75" customHeight="1" x14ac:dyDescent="0.25">
      <c r="A4" s="598" t="s">
        <v>498</v>
      </c>
      <c r="B4" s="598" t="s">
        <v>395</v>
      </c>
      <c r="C4" s="598" t="s">
        <v>919</v>
      </c>
      <c r="D4" s="598" t="s">
        <v>524</v>
      </c>
      <c r="E4" s="598" t="s">
        <v>920</v>
      </c>
      <c r="F4" s="598" t="s">
        <v>0</v>
      </c>
      <c r="G4" s="598" t="s">
        <v>921</v>
      </c>
      <c r="H4" s="598" t="s">
        <v>922</v>
      </c>
      <c r="I4" s="598" t="s">
        <v>923</v>
      </c>
      <c r="J4" s="598" t="s">
        <v>523</v>
      </c>
      <c r="K4" s="598" t="s">
        <v>924</v>
      </c>
      <c r="L4" s="598" t="s">
        <v>554</v>
      </c>
      <c r="M4" s="598" t="s">
        <v>925</v>
      </c>
      <c r="N4" s="598" t="s">
        <v>1</v>
      </c>
      <c r="O4" s="599" t="s">
        <v>1320</v>
      </c>
      <c r="P4" s="599" t="s">
        <v>852</v>
      </c>
      <c r="Q4" s="599" t="s">
        <v>2</v>
      </c>
      <c r="R4" s="646" t="s">
        <v>3</v>
      </c>
      <c r="S4" s="670" t="s">
        <v>490</v>
      </c>
      <c r="T4" s="598" t="s">
        <v>497</v>
      </c>
      <c r="U4" s="599" t="s">
        <v>1249</v>
      </c>
      <c r="V4" s="598" t="s">
        <v>401</v>
      </c>
      <c r="W4" s="599" t="s">
        <v>853</v>
      </c>
      <c r="X4" s="600" t="s">
        <v>854</v>
      </c>
      <c r="Y4" s="671" t="s">
        <v>927</v>
      </c>
      <c r="Z4" s="599" t="s">
        <v>926</v>
      </c>
      <c r="AA4" s="598" t="s">
        <v>491</v>
      </c>
      <c r="AB4" s="598" t="s">
        <v>492</v>
      </c>
      <c r="AC4" s="672" t="s">
        <v>501</v>
      </c>
      <c r="AD4" s="673" t="s">
        <v>496</v>
      </c>
      <c r="AE4" s="601" t="s">
        <v>1080</v>
      </c>
      <c r="AF4" s="602" t="s">
        <v>1126</v>
      </c>
      <c r="AG4" s="602" t="s">
        <v>1123</v>
      </c>
      <c r="AH4" s="602" t="s">
        <v>1124</v>
      </c>
      <c r="AI4" s="603" t="s">
        <v>1189</v>
      </c>
      <c r="AJ4" s="674" t="s">
        <v>1190</v>
      </c>
      <c r="AK4" s="674" t="s">
        <v>1211</v>
      </c>
      <c r="AL4" s="564"/>
      <c r="AM4" s="564"/>
      <c r="AN4" s="564"/>
      <c r="AO4" s="564"/>
      <c r="AP4" s="564"/>
      <c r="AQ4" s="564"/>
      <c r="AR4" s="564"/>
      <c r="AS4" s="564"/>
      <c r="AT4" s="564"/>
      <c r="AU4" s="564"/>
      <c r="AV4" s="564"/>
      <c r="BB4" s="564"/>
      <c r="BC4" s="564"/>
    </row>
    <row r="5" spans="1:55" s="444" customFormat="1" ht="15.75" customHeight="1" x14ac:dyDescent="0.25">
      <c r="A5" s="695" t="s">
        <v>500</v>
      </c>
      <c r="B5" s="652" t="s">
        <v>380</v>
      </c>
      <c r="C5" s="652" t="s">
        <v>525</v>
      </c>
      <c r="D5" s="652" t="s">
        <v>5</v>
      </c>
      <c r="E5" s="652" t="s">
        <v>529</v>
      </c>
      <c r="F5" s="652" t="s">
        <v>5</v>
      </c>
      <c r="G5" s="652" t="s">
        <v>530</v>
      </c>
      <c r="H5" s="652" t="s">
        <v>1361</v>
      </c>
      <c r="I5" s="696" t="s">
        <v>1362</v>
      </c>
      <c r="J5" s="652" t="s">
        <v>1361</v>
      </c>
      <c r="K5" s="652">
        <v>166836</v>
      </c>
      <c r="L5" s="652" t="s">
        <v>6</v>
      </c>
      <c r="M5" s="652" t="s">
        <v>4</v>
      </c>
      <c r="N5" s="678">
        <v>97.238829999999993</v>
      </c>
      <c r="O5" s="678">
        <v>24.260719999999999</v>
      </c>
      <c r="P5" s="698"/>
      <c r="Q5" s="844">
        <v>257</v>
      </c>
      <c r="R5" s="844">
        <v>1266</v>
      </c>
      <c r="S5" s="679">
        <f>IF(CampList[[#This Row],[HH]]&gt;0,CampList[[#This Row],[Total]]/CampList[[#This Row],[HH]],"NA")</f>
        <v>4.9260700389105061</v>
      </c>
      <c r="T5" s="476" t="s">
        <v>511</v>
      </c>
      <c r="U5" s="653" t="s">
        <v>1191</v>
      </c>
      <c r="V5" s="476" t="s">
        <v>554</v>
      </c>
      <c r="W5" s="476" t="s">
        <v>803</v>
      </c>
      <c r="X5" s="699">
        <v>40848</v>
      </c>
      <c r="Y5" s="698">
        <v>2</v>
      </c>
      <c r="Z5" s="698" t="s">
        <v>1089</v>
      </c>
      <c r="AA5" s="678" t="s">
        <v>842</v>
      </c>
      <c r="AB5" s="678"/>
      <c r="AC5" s="683">
        <v>42780</v>
      </c>
      <c r="AD5" s="700" t="s">
        <v>1522</v>
      </c>
      <c r="AE5" s="685" t="s">
        <v>1093</v>
      </c>
      <c r="AF5" s="701">
        <f>IF(CampList[[#This Row],[Type of Accomodation]]="camp",MAX(0,CampList[[#This Row],[HH]]-SUMIF(Table_Shelter[Pcode],CampList[[#This Row],[CP_Pcode]],Table_Shelter[HH Covered])),0)</f>
        <v>87</v>
      </c>
      <c r="AG5" s="476">
        <v>20</v>
      </c>
      <c r="AH5" s="677">
        <f>MIN(CampList[[#This Row],[Shelter Gap]],CampList[[#This Row],[Land Status]])</f>
        <v>20</v>
      </c>
      <c r="AI5" s="701" t="str">
        <f ca="1">IFERROR(OFFSET(DistanceToCamp[Nearest Town],MATCH(CampList[[#This Row],[CP_Pcode]],DistanceToCamp[CP_Pcode],0)-1,0,1,1),"")</f>
        <v>Bhamo Town</v>
      </c>
      <c r="AJ5" s="686">
        <f ca="1">IFERROR(OFFSET(DistanceToCamp[distance],MATCH(CampList[[#This Row],[CP_Pcode]],DistanceToCamp[CP_Pcode],0)-1,0,1,1),"")</f>
        <v>0.78440046838596356</v>
      </c>
      <c r="AK5" s="702">
        <f ca="1">IFERROR(INT(CampList[[#This Row],[Distance]]/5)+1,"")</f>
        <v>1</v>
      </c>
      <c r="AL5" s="669"/>
      <c r="AM5" s="669"/>
      <c r="AN5" s="669"/>
      <c r="AO5" s="669"/>
      <c r="AP5" s="669"/>
      <c r="AQ5" s="669"/>
      <c r="AR5" s="669"/>
      <c r="AS5" s="669"/>
      <c r="AT5" s="669"/>
      <c r="AU5" s="669"/>
      <c r="AV5" s="669"/>
    </row>
    <row r="6" spans="1:55" s="444" customFormat="1" ht="15.75" customHeight="1" x14ac:dyDescent="0.25">
      <c r="A6" s="675" t="s">
        <v>500</v>
      </c>
      <c r="B6" s="651" t="s">
        <v>380</v>
      </c>
      <c r="C6" s="651" t="s">
        <v>525</v>
      </c>
      <c r="D6" s="651" t="s">
        <v>5</v>
      </c>
      <c r="E6" s="651" t="s">
        <v>529</v>
      </c>
      <c r="F6" s="651" t="s">
        <v>5</v>
      </c>
      <c r="G6" s="651" t="s">
        <v>530</v>
      </c>
      <c r="H6" s="684" t="s">
        <v>1364</v>
      </c>
      <c r="I6" s="684" t="s">
        <v>1363</v>
      </c>
      <c r="J6" s="684" t="s">
        <v>1364</v>
      </c>
      <c r="K6" s="703">
        <v>166904</v>
      </c>
      <c r="L6" s="651" t="s">
        <v>512</v>
      </c>
      <c r="M6" s="651" t="s">
        <v>377</v>
      </c>
      <c r="N6" s="676">
        <v>97.252650000000003</v>
      </c>
      <c r="O6" s="676">
        <v>24.260466999999998</v>
      </c>
      <c r="P6" s="677">
        <v>0</v>
      </c>
      <c r="Q6" s="464">
        <v>12</v>
      </c>
      <c r="R6" s="464">
        <v>56</v>
      </c>
      <c r="S6" s="679">
        <f>IF(CampList[[#This Row],[HH]]&gt;0,CampList[[#This Row],[Total]]/CampList[[#This Row],[HH]],"NA")</f>
        <v>4.666666666666667</v>
      </c>
      <c r="T6" s="653" t="s">
        <v>511</v>
      </c>
      <c r="U6" s="653" t="s">
        <v>1191</v>
      </c>
      <c r="V6" s="653" t="s">
        <v>554</v>
      </c>
      <c r="W6" s="653" t="s">
        <v>803</v>
      </c>
      <c r="X6" s="680">
        <v>40787</v>
      </c>
      <c r="Y6" s="681">
        <v>1</v>
      </c>
      <c r="Z6" s="680" t="s">
        <v>460</v>
      </c>
      <c r="AA6" s="693" t="s">
        <v>842</v>
      </c>
      <c r="AB6" s="682"/>
      <c r="AC6" s="683">
        <v>42809</v>
      </c>
      <c r="AD6" s="675" t="s">
        <v>1588</v>
      </c>
      <c r="AE6" s="685" t="s">
        <v>1093</v>
      </c>
      <c r="AF6" s="476">
        <f>IF(CampList[[#This Row],[Type of Accomodation]]="camp",MAX(0,CampList[[#This Row],[HH]]-SUMIF(Table_Shelter[Pcode],CampList[[#This Row],[CP_Pcode]],Table_Shelter[HH Covered])),0)</f>
        <v>0</v>
      </c>
      <c r="AG6" s="653"/>
      <c r="AH6" s="682">
        <f>MIN(CampList[[#This Row],[Shelter Gap]],CampList[[#This Row],[Land Status]])</f>
        <v>0</v>
      </c>
      <c r="AI6" s="653" t="str">
        <f ca="1">IFERROR(OFFSET(DistanceToCamp[Nearest Town],MATCH(CampList[[#This Row],[CP_Pcode]],DistanceToCamp[CP_Pcode],0)-1,0,1,1),"")</f>
        <v>Bhamo Town</v>
      </c>
      <c r="AJ6" s="686">
        <f ca="1">IFERROR(OFFSET(DistanceToCamp[distance],MATCH(CampList[[#This Row],[CP_Pcode]],DistanceToCamp[CP_Pcode],0)-1,0,1,1),"")</f>
        <v>1.9489261822960435</v>
      </c>
      <c r="AK6" s="687">
        <f ca="1">IFERROR(INT(CampList[[#This Row],[Distance]]/5)+1,"")</f>
        <v>1</v>
      </c>
      <c r="AL6" s="669"/>
      <c r="AM6" s="669"/>
      <c r="AN6" s="669"/>
      <c r="AO6" s="669"/>
      <c r="AP6" s="669"/>
      <c r="AQ6" s="669"/>
      <c r="AR6" s="669"/>
      <c r="AS6" s="669"/>
      <c r="AT6" s="669"/>
      <c r="AU6" s="669"/>
      <c r="AV6" s="669"/>
    </row>
    <row r="7" spans="1:55" s="444" customFormat="1" ht="15.75" customHeight="1" x14ac:dyDescent="0.25">
      <c r="A7" s="675" t="s">
        <v>500</v>
      </c>
      <c r="B7" s="651" t="s">
        <v>553</v>
      </c>
      <c r="C7" s="651" t="s">
        <v>536</v>
      </c>
      <c r="D7" s="651" t="s">
        <v>230</v>
      </c>
      <c r="E7" s="651" t="s">
        <v>537</v>
      </c>
      <c r="F7" s="651" t="s">
        <v>289</v>
      </c>
      <c r="G7" s="651" t="s">
        <v>549</v>
      </c>
      <c r="H7" s="651" t="s">
        <v>751</v>
      </c>
      <c r="I7" s="651" t="s">
        <v>752</v>
      </c>
      <c r="J7" s="651" t="s">
        <v>751</v>
      </c>
      <c r="K7" s="651">
        <v>208353</v>
      </c>
      <c r="L7" s="651" t="s">
        <v>290</v>
      </c>
      <c r="M7" s="651" t="s">
        <v>288</v>
      </c>
      <c r="N7" s="676">
        <v>97.669557999999995</v>
      </c>
      <c r="O7" s="676">
        <v>23.828520000000001</v>
      </c>
      <c r="P7" s="677">
        <v>740</v>
      </c>
      <c r="Q7" s="476">
        <v>69</v>
      </c>
      <c r="R7" s="476">
        <v>344</v>
      </c>
      <c r="S7" s="679">
        <f>IF(CampList[[#This Row],[HH]]&gt;0,CampList[[#This Row],[Total]]/CampList[[#This Row],[HH]],"NA")</f>
        <v>4.9855072463768115</v>
      </c>
      <c r="T7" s="653" t="s">
        <v>511</v>
      </c>
      <c r="U7" s="653" t="s">
        <v>1191</v>
      </c>
      <c r="V7" s="653" t="s">
        <v>554</v>
      </c>
      <c r="W7" s="653" t="s">
        <v>803</v>
      </c>
      <c r="X7" s="680">
        <v>40878</v>
      </c>
      <c r="Y7" s="681">
        <v>2</v>
      </c>
      <c r="Z7" s="680" t="s">
        <v>460</v>
      </c>
      <c r="AA7" s="693" t="s">
        <v>842</v>
      </c>
      <c r="AB7" s="682"/>
      <c r="AC7" s="683">
        <v>42809</v>
      </c>
      <c r="AD7" s="684" t="s">
        <v>1614</v>
      </c>
      <c r="AE7" s="685" t="s">
        <v>1079</v>
      </c>
      <c r="AF7" s="476">
        <f>IF(CampList[[#This Row],[Type of Accomodation]]="camp",MAX(0,CampList[[#This Row],[HH]]-SUMIF(Table_Shelter[Pcode],CampList[[#This Row],[CP_Pcode]],Table_Shelter[HH Covered])),0)</f>
        <v>39</v>
      </c>
      <c r="AG7" s="653"/>
      <c r="AH7" s="682">
        <f>MIN(CampList[[#This Row],[Shelter Gap]],CampList[[#This Row],[Land Status]])</f>
        <v>39</v>
      </c>
      <c r="AI7" s="653" t="str">
        <f ca="1">IFERROR(OFFSET(DistanceToCamp[Nearest Town],MATCH(CampList[[#This Row],[CP_Pcode]],DistanceToCamp[CP_Pcode],0)-1,0,1,1),"")</f>
        <v>Namhkan Town</v>
      </c>
      <c r="AJ7" s="686">
        <f ca="1">IFERROR(OFFSET(DistanceToCamp[distance],MATCH(CampList[[#This Row],[CP_Pcode]],DistanceToCamp[CP_Pcode],0)-1,0,1,1),"")</f>
        <v>1.5619149693996526</v>
      </c>
      <c r="AK7" s="687">
        <f ca="1">IFERROR(INT(CampList[[#This Row],[Distance]]/5)+1,"")</f>
        <v>1</v>
      </c>
      <c r="AL7" s="669"/>
      <c r="AM7" s="669"/>
      <c r="AN7" s="669"/>
      <c r="AO7" s="669"/>
      <c r="AP7" s="669"/>
      <c r="AQ7" s="669"/>
      <c r="AR7" s="669"/>
      <c r="AS7" s="669"/>
      <c r="AT7" s="669"/>
      <c r="AU7" s="669"/>
      <c r="AV7" s="669"/>
    </row>
    <row r="8" spans="1:55" s="444" customFormat="1" ht="15.75" customHeight="1" x14ac:dyDescent="0.25">
      <c r="A8" s="675" t="s">
        <v>500</v>
      </c>
      <c r="B8" s="651" t="s">
        <v>380</v>
      </c>
      <c r="C8" s="651" t="s">
        <v>525</v>
      </c>
      <c r="D8" s="651" t="s">
        <v>5</v>
      </c>
      <c r="E8" s="651" t="s">
        <v>529</v>
      </c>
      <c r="F8" s="651" t="s">
        <v>5</v>
      </c>
      <c r="G8" s="651" t="s">
        <v>530</v>
      </c>
      <c r="H8" s="684" t="s">
        <v>637</v>
      </c>
      <c r="I8" s="684" t="s">
        <v>638</v>
      </c>
      <c r="J8" s="651"/>
      <c r="K8" s="651"/>
      <c r="L8" s="651" t="s">
        <v>12</v>
      </c>
      <c r="M8" s="651" t="s">
        <v>11</v>
      </c>
      <c r="N8" s="676">
        <v>97.228835000000004</v>
      </c>
      <c r="O8" s="676">
        <v>24.263786</v>
      </c>
      <c r="P8" s="698"/>
      <c r="Q8" s="840">
        <v>197</v>
      </c>
      <c r="R8" s="841">
        <v>957</v>
      </c>
      <c r="S8" s="679">
        <f>IF(CampList[[#This Row],[HH]]&gt;0,CampList[[#This Row],[Total]]/CampList[[#This Row],[HH]],"NA")</f>
        <v>4.8578680203045685</v>
      </c>
      <c r="T8" s="653" t="s">
        <v>511</v>
      </c>
      <c r="U8" s="653" t="s">
        <v>1191</v>
      </c>
      <c r="V8" s="712" t="s">
        <v>12</v>
      </c>
      <c r="W8" s="653" t="s">
        <v>803</v>
      </c>
      <c r="X8" s="699"/>
      <c r="Y8" s="698"/>
      <c r="Z8" s="682"/>
      <c r="AA8" s="693" t="s">
        <v>842</v>
      </c>
      <c r="AB8" s="682"/>
      <c r="AC8" s="716">
        <v>42832</v>
      </c>
      <c r="AD8" s="675" t="s">
        <v>1660</v>
      </c>
      <c r="AE8" s="708" t="s">
        <v>1093</v>
      </c>
      <c r="AF8" s="476">
        <f>IF(CampList[[#This Row],[Type of Accomodation]]="camp",MAX(0,CampList[[#This Row],[HH]]-SUMIF(Table_Shelter[Pcode],CampList[[#This Row],[CP_Pcode]],Table_Shelter[HH Covered])),0)</f>
        <v>0</v>
      </c>
      <c r="AG8" s="653"/>
      <c r="AH8" s="682">
        <f>MIN(CampList[[#This Row],[Shelter Gap]],CampList[[#This Row],[Land Status]])</f>
        <v>0</v>
      </c>
      <c r="AI8" s="653" t="str">
        <f ca="1">IFERROR(OFFSET(DistanceToCamp[Nearest Town],MATCH(CampList[[#This Row],[CP_Pcode]],DistanceToCamp[CP_Pcode],0)-1,0,1,1),"")</f>
        <v>Bhamo Town</v>
      </c>
      <c r="AJ8" s="686">
        <f ca="1">IFERROR(OFFSET(DistanceToCamp[distance],MATCH(CampList[[#This Row],[CP_Pcode]],DistanceToCamp[CP_Pcode],0)-1,0,1,1),"")</f>
        <v>1.1354007641426449</v>
      </c>
      <c r="AK8" s="687">
        <f ca="1">IFERROR(INT(CampList[[#This Row],[Distance]]/5)+1,"")</f>
        <v>1</v>
      </c>
      <c r="AL8" s="669"/>
      <c r="AM8" s="669"/>
      <c r="AN8" s="669"/>
      <c r="AO8" s="669"/>
      <c r="AP8" s="669"/>
      <c r="AQ8" s="669"/>
      <c r="AR8" s="669"/>
      <c r="AS8" s="669"/>
      <c r="AT8" s="669"/>
      <c r="AU8" s="669"/>
      <c r="AV8" s="669"/>
    </row>
    <row r="9" spans="1:55" s="444" customFormat="1" ht="15.75" customHeight="1" x14ac:dyDescent="0.25">
      <c r="A9" s="675" t="s">
        <v>500</v>
      </c>
      <c r="B9" s="651" t="s">
        <v>380</v>
      </c>
      <c r="C9" s="651" t="s">
        <v>525</v>
      </c>
      <c r="D9" s="651" t="s">
        <v>5</v>
      </c>
      <c r="E9" s="651" t="s">
        <v>529</v>
      </c>
      <c r="F9" s="651" t="s">
        <v>5</v>
      </c>
      <c r="G9" s="651" t="s">
        <v>530</v>
      </c>
      <c r="H9" s="684" t="s">
        <v>637</v>
      </c>
      <c r="I9" s="684" t="s">
        <v>638</v>
      </c>
      <c r="J9" s="684" t="s">
        <v>643</v>
      </c>
      <c r="K9" s="684" t="s">
        <v>644</v>
      </c>
      <c r="L9" s="651" t="s">
        <v>14</v>
      </c>
      <c r="M9" s="651" t="s">
        <v>13</v>
      </c>
      <c r="N9" s="676">
        <v>97.236919999999998</v>
      </c>
      <c r="O9" s="676">
        <v>24.24766</v>
      </c>
      <c r="P9" s="677">
        <v>0</v>
      </c>
      <c r="Q9" s="476">
        <v>38</v>
      </c>
      <c r="R9" s="476">
        <v>221</v>
      </c>
      <c r="S9" s="679">
        <f>IF(CampList[[#This Row],[HH]]&gt;0,CampList[[#This Row],[Total]]/CampList[[#This Row],[HH]],"NA")</f>
        <v>5.8157894736842106</v>
      </c>
      <c r="T9" s="653" t="s">
        <v>511</v>
      </c>
      <c r="U9" s="653" t="s">
        <v>1191</v>
      </c>
      <c r="V9" s="653" t="s">
        <v>554</v>
      </c>
      <c r="W9" s="653" t="s">
        <v>803</v>
      </c>
      <c r="X9" s="680">
        <v>40878</v>
      </c>
      <c r="Y9" s="681">
        <v>1</v>
      </c>
      <c r="Z9" s="680" t="s">
        <v>460</v>
      </c>
      <c r="AA9" s="693" t="s">
        <v>842</v>
      </c>
      <c r="AB9" s="682"/>
      <c r="AC9" s="683">
        <v>42809</v>
      </c>
      <c r="AD9" s="675" t="s">
        <v>1596</v>
      </c>
      <c r="AE9" s="685" t="s">
        <v>1093</v>
      </c>
      <c r="AF9" s="476">
        <f>IF(CampList[[#This Row],[Type of Accomodation]]="camp",MAX(0,CampList[[#This Row],[HH]]-SUMIF(Table_Shelter[Pcode],CampList[[#This Row],[CP_Pcode]],Table_Shelter[HH Covered])),0)</f>
        <v>0</v>
      </c>
      <c r="AG9" s="653"/>
      <c r="AH9" s="682">
        <f>MIN(CampList[[#This Row],[Shelter Gap]],CampList[[#This Row],[Land Status]])</f>
        <v>0</v>
      </c>
      <c r="AI9" s="653" t="str">
        <f ca="1">IFERROR(OFFSET(DistanceToCamp[Nearest Town],MATCH(CampList[[#This Row],[CP_Pcode]],DistanceToCamp[CP_Pcode],0)-1,0,1,1),"")</f>
        <v>Bhamo Town</v>
      </c>
      <c r="AJ9" s="686">
        <f ca="1">IFERROR(OFFSET(DistanceToCamp[distance],MATCH(CampList[[#This Row],[CP_Pcode]],DistanceToCamp[CP_Pcode],0)-1,0,1,1),"")</f>
        <v>0.84749304721635399</v>
      </c>
      <c r="AK9" s="687">
        <f ca="1">IFERROR(INT(CampList[[#This Row],[Distance]]/5)+1,"")</f>
        <v>1</v>
      </c>
      <c r="AL9" s="669"/>
      <c r="AM9" s="669"/>
      <c r="AN9" s="669"/>
      <c r="AO9" s="669"/>
      <c r="AP9" s="669"/>
      <c r="AQ9" s="669"/>
      <c r="AR9" s="669"/>
      <c r="AS9" s="669"/>
      <c r="AT9" s="669"/>
      <c r="AU9" s="669"/>
      <c r="AV9" s="669"/>
    </row>
    <row r="10" spans="1:55" s="444" customFormat="1" ht="15.75" hidden="1" customHeight="1" x14ac:dyDescent="0.25">
      <c r="A10" s="675" t="s">
        <v>843</v>
      </c>
      <c r="B10" s="651" t="s">
        <v>553</v>
      </c>
      <c r="C10" s="651" t="s">
        <v>536</v>
      </c>
      <c r="D10" s="651" t="s">
        <v>230</v>
      </c>
      <c r="E10" s="651" t="s">
        <v>537</v>
      </c>
      <c r="F10" s="651" t="s">
        <v>289</v>
      </c>
      <c r="G10" s="651" t="s">
        <v>549</v>
      </c>
      <c r="H10" s="651" t="s">
        <v>751</v>
      </c>
      <c r="I10" s="651" t="s">
        <v>752</v>
      </c>
      <c r="J10" s="651" t="s">
        <v>751</v>
      </c>
      <c r="K10" s="651">
        <v>208353</v>
      </c>
      <c r="L10" s="651" t="s">
        <v>294</v>
      </c>
      <c r="M10" s="651" t="s">
        <v>293</v>
      </c>
      <c r="N10" s="676"/>
      <c r="O10" s="676"/>
      <c r="P10" s="698"/>
      <c r="Q10" s="840">
        <v>0</v>
      </c>
      <c r="R10" s="841">
        <v>0</v>
      </c>
      <c r="S10" s="679" t="str">
        <f>IF(CampList[[#This Row],[HH]]&gt;0,CampList[[#This Row],[Total]]/CampList[[#This Row],[HH]],"NA")</f>
        <v>NA</v>
      </c>
      <c r="T10" s="653" t="s">
        <v>513</v>
      </c>
      <c r="U10" s="688" t="s">
        <v>1191</v>
      </c>
      <c r="V10" s="653" t="s">
        <v>554</v>
      </c>
      <c r="W10" s="688"/>
      <c r="X10" s="706"/>
      <c r="Y10" s="697"/>
      <c r="Z10" s="707"/>
      <c r="AA10" s="693" t="s">
        <v>842</v>
      </c>
      <c r="AB10" s="682"/>
      <c r="AC10" s="683">
        <v>41701</v>
      </c>
      <c r="AD10" s="675" t="s">
        <v>1014</v>
      </c>
      <c r="AE10" s="708" t="s">
        <v>1007</v>
      </c>
      <c r="AF10" s="476">
        <f>IF(CampList[[#This Row],[Type of Accomodation]]="camp",MAX(0,CampList[[#This Row],[HH]]-SUMIF(Table_Shelter[Pcode],CampList[[#This Row],[CP_Pcode]],Table_Shelter[HH Covered])),0)</f>
        <v>0</v>
      </c>
      <c r="AG10" s="653"/>
      <c r="AH10" s="682">
        <f>MIN(CampList[[#This Row],[Shelter Gap]],CampList[[#This Row],[Land Status]])</f>
        <v>0</v>
      </c>
      <c r="AI10" s="653" t="str">
        <f ca="1">IFERROR(OFFSET(DistanceToCamp[Nearest Town],MATCH(CampList[[#This Row],[CP_Pcode]],DistanceToCamp[CP_Pcode],0)-1,0,1,1),"")</f>
        <v/>
      </c>
      <c r="AJ10" s="686" t="str">
        <f ca="1">IFERROR(OFFSET(DistanceToCamp[distance],MATCH(CampList[[#This Row],[CP_Pcode]],DistanceToCamp[CP_Pcode],0)-1,0,1,1),"")</f>
        <v/>
      </c>
      <c r="AK10" s="687" t="str">
        <f ca="1">IFERROR(INT(CampList[[#This Row],[Distance]]/5)+1,"")</f>
        <v/>
      </c>
      <c r="AL10" s="669"/>
      <c r="AM10" s="669"/>
      <c r="AN10" s="669"/>
      <c r="AO10" s="669"/>
      <c r="AP10" s="669"/>
      <c r="AQ10" s="669"/>
      <c r="AR10" s="669"/>
      <c r="AS10" s="669"/>
      <c r="AT10" s="669"/>
      <c r="AU10" s="669"/>
      <c r="AV10" s="669"/>
    </row>
    <row r="11" spans="1:55" s="444" customFormat="1" ht="15.75" customHeight="1" x14ac:dyDescent="0.25">
      <c r="A11" s="675" t="s">
        <v>500</v>
      </c>
      <c r="B11" s="651" t="s">
        <v>380</v>
      </c>
      <c r="C11" s="651" t="s">
        <v>525</v>
      </c>
      <c r="D11" s="651" t="s">
        <v>5</v>
      </c>
      <c r="E11" s="651" t="s">
        <v>529</v>
      </c>
      <c r="F11" s="651" t="s">
        <v>5</v>
      </c>
      <c r="G11" s="651" t="s">
        <v>530</v>
      </c>
      <c r="H11" s="684" t="s">
        <v>1361</v>
      </c>
      <c r="I11" s="684" t="s">
        <v>1362</v>
      </c>
      <c r="J11" s="684" t="s">
        <v>1361</v>
      </c>
      <c r="K11" s="703">
        <v>166836</v>
      </c>
      <c r="L11" s="651" t="s">
        <v>18</v>
      </c>
      <c r="M11" s="651" t="s">
        <v>17</v>
      </c>
      <c r="N11" s="676">
        <v>97.240183461538507</v>
      </c>
      <c r="O11" s="676">
        <v>24.2631743589744</v>
      </c>
      <c r="P11" s="677">
        <v>0</v>
      </c>
      <c r="Q11" s="839">
        <v>116</v>
      </c>
      <c r="R11" s="839">
        <v>659</v>
      </c>
      <c r="S11" s="679">
        <f>IF(CampList[[#This Row],[HH]]&gt;0,CampList[[#This Row],[Total]]/CampList[[#This Row],[HH]],"NA")</f>
        <v>5.681034482758621</v>
      </c>
      <c r="T11" s="653" t="s">
        <v>511</v>
      </c>
      <c r="U11" s="653" t="s">
        <v>1191</v>
      </c>
      <c r="V11" s="653" t="s">
        <v>554</v>
      </c>
      <c r="W11" s="653" t="s">
        <v>803</v>
      </c>
      <c r="X11" s="680">
        <v>40695</v>
      </c>
      <c r="Y11" s="681">
        <v>2</v>
      </c>
      <c r="Z11" s="680" t="s">
        <v>505</v>
      </c>
      <c r="AA11" s="693" t="s">
        <v>842</v>
      </c>
      <c r="AB11" s="682"/>
      <c r="AC11" s="683">
        <v>42780</v>
      </c>
      <c r="AD11" s="675" t="s">
        <v>1566</v>
      </c>
      <c r="AE11" s="685" t="s">
        <v>1093</v>
      </c>
      <c r="AF11" s="476">
        <f>IF(CampList[[#This Row],[Type of Accomodation]]="camp",MAX(0,CampList[[#This Row],[HH]]-SUMIF(Table_Shelter[Pcode],CampList[[#This Row],[CP_Pcode]],Table_Shelter[HH Covered])),0)</f>
        <v>14</v>
      </c>
      <c r="AG11" s="653"/>
      <c r="AH11" s="682">
        <f>MIN(CampList[[#This Row],[Shelter Gap]],CampList[[#This Row],[Land Status]])</f>
        <v>14</v>
      </c>
      <c r="AI11" s="653" t="str">
        <f ca="1">IFERROR(OFFSET(DistanceToCamp[Nearest Town],MATCH(CampList[[#This Row],[CP_Pcode]],DistanceToCamp[CP_Pcode],0)-1,0,1,1),"")</f>
        <v>Bhamo Town</v>
      </c>
      <c r="AJ11" s="686">
        <f ca="1">IFERROR(OFFSET(DistanceToCamp[distance],MATCH(CampList[[#This Row],[CP_Pcode]],DistanceToCamp[CP_Pcode],0)-1,0,1,1),"")</f>
        <v>1.0876401420946245</v>
      </c>
      <c r="AK11" s="687">
        <f ca="1">IFERROR(INT(CampList[[#This Row],[Distance]]/5)+1,"")</f>
        <v>1</v>
      </c>
      <c r="AL11" s="669"/>
      <c r="AM11" s="669"/>
      <c r="AN11" s="669"/>
      <c r="AO11" s="669"/>
      <c r="AP11" s="669"/>
      <c r="AQ11" s="669"/>
      <c r="AR11" s="669"/>
      <c r="AS11" s="669"/>
      <c r="AT11" s="669"/>
      <c r="AU11" s="669"/>
      <c r="AV11" s="669"/>
    </row>
    <row r="12" spans="1:55" s="444" customFormat="1" ht="15.75" customHeight="1" x14ac:dyDescent="0.25">
      <c r="A12" s="695" t="s">
        <v>500</v>
      </c>
      <c r="B12" s="652" t="s">
        <v>553</v>
      </c>
      <c r="C12" s="652" t="s">
        <v>536</v>
      </c>
      <c r="D12" s="652" t="s">
        <v>230</v>
      </c>
      <c r="E12" s="652" t="s">
        <v>537</v>
      </c>
      <c r="F12" s="652" t="s">
        <v>289</v>
      </c>
      <c r="G12" s="652" t="s">
        <v>549</v>
      </c>
      <c r="H12" s="652" t="s">
        <v>751</v>
      </c>
      <c r="I12" s="696" t="s">
        <v>752</v>
      </c>
      <c r="J12" s="652" t="s">
        <v>751</v>
      </c>
      <c r="K12" s="652">
        <v>208353</v>
      </c>
      <c r="L12" s="652" t="s">
        <v>374</v>
      </c>
      <c r="M12" s="652" t="s">
        <v>295</v>
      </c>
      <c r="N12" s="678">
        <v>97.670360000000002</v>
      </c>
      <c r="O12" s="678">
        <v>23.828150000000001</v>
      </c>
      <c r="P12" s="698">
        <v>751.8</v>
      </c>
      <c r="Q12" s="476">
        <v>33</v>
      </c>
      <c r="R12" s="708">
        <v>211</v>
      </c>
      <c r="S12" s="679">
        <f>IF(CampList[[#This Row],[HH]]&gt;0,CampList[[#This Row],[Total]]/CampList[[#This Row],[HH]],"NA")</f>
        <v>6.3939393939393936</v>
      </c>
      <c r="T12" s="476" t="s">
        <v>511</v>
      </c>
      <c r="U12" s="653" t="s">
        <v>1191</v>
      </c>
      <c r="V12" s="476" t="s">
        <v>554</v>
      </c>
      <c r="W12" s="476" t="s">
        <v>803</v>
      </c>
      <c r="X12" s="699">
        <v>40878</v>
      </c>
      <c r="Y12" s="698"/>
      <c r="Z12" s="698" t="s">
        <v>1262</v>
      </c>
      <c r="AA12" s="678" t="s">
        <v>842</v>
      </c>
      <c r="AB12" s="678"/>
      <c r="AC12" s="683">
        <v>42780</v>
      </c>
      <c r="AD12" s="700" t="s">
        <v>1535</v>
      </c>
      <c r="AE12" s="685" t="s">
        <v>1079</v>
      </c>
      <c r="AF12" s="701">
        <f>IF(CampList[[#This Row],[Type of Accomodation]]="camp",MAX(0,CampList[[#This Row],[HH]]-SUMIF(Table_Shelter[Pcode],CampList[[#This Row],[CP_Pcode]],Table_Shelter[HH Covered])),0)</f>
        <v>33</v>
      </c>
      <c r="AG12" s="476"/>
      <c r="AH12" s="677">
        <f>MIN(CampList[[#This Row],[Shelter Gap]],CampList[[#This Row],[Land Status]])</f>
        <v>33</v>
      </c>
      <c r="AI12" s="701" t="str">
        <f ca="1">IFERROR(OFFSET(DistanceToCamp[Nearest Town],MATCH(CampList[[#This Row],[CP_Pcode]],DistanceToCamp[CP_Pcode],0)-1,0,1,1),"")</f>
        <v>Namhkan Town</v>
      </c>
      <c r="AJ12" s="686">
        <f ca="1">IFERROR(OFFSET(DistanceToCamp[distance],MATCH(CampList[[#This Row],[CP_Pcode]],DistanceToCamp[CP_Pcode],0)-1,0,1,1),"")</f>
        <v>1.5239325151406049</v>
      </c>
      <c r="AK12" s="702">
        <f ca="1">IFERROR(INT(CampList[[#This Row],[Distance]]/5)+1,"")</f>
        <v>1</v>
      </c>
      <c r="AL12" s="669"/>
      <c r="AM12" s="669"/>
      <c r="AN12" s="669"/>
      <c r="AO12" s="669"/>
      <c r="AP12" s="669"/>
      <c r="AQ12" s="669"/>
      <c r="AR12" s="669"/>
      <c r="AS12" s="669"/>
      <c r="AT12" s="669"/>
      <c r="AU12" s="669"/>
      <c r="AV12" s="669"/>
    </row>
    <row r="13" spans="1:55" s="444" customFormat="1" ht="15.75" customHeight="1" x14ac:dyDescent="0.25">
      <c r="A13" s="675" t="s">
        <v>500</v>
      </c>
      <c r="B13" s="651" t="s">
        <v>380</v>
      </c>
      <c r="C13" s="651" t="s">
        <v>525</v>
      </c>
      <c r="D13" s="651" t="s">
        <v>5</v>
      </c>
      <c r="E13" s="651" t="s">
        <v>529</v>
      </c>
      <c r="F13" s="651" t="s">
        <v>5</v>
      </c>
      <c r="G13" s="651" t="s">
        <v>530</v>
      </c>
      <c r="H13" s="684" t="s">
        <v>637</v>
      </c>
      <c r="I13" s="684" t="s">
        <v>638</v>
      </c>
      <c r="J13" s="684" t="s">
        <v>643</v>
      </c>
      <c r="K13" s="684" t="s">
        <v>644</v>
      </c>
      <c r="L13" s="651" t="s">
        <v>8</v>
      </c>
      <c r="M13" s="651" t="s">
        <v>7</v>
      </c>
      <c r="N13" s="676">
        <v>97.234200000000001</v>
      </c>
      <c r="O13" s="676">
        <v>24.253067000000001</v>
      </c>
      <c r="P13" s="677">
        <v>0</v>
      </c>
      <c r="Q13" s="839">
        <v>14</v>
      </c>
      <c r="R13" s="839">
        <v>61</v>
      </c>
      <c r="S13" s="679">
        <f>IF(CampList[[#This Row],[HH]]&gt;0,CampList[[#This Row],[Total]]/CampList[[#This Row],[HH]],"NA")</f>
        <v>4.3571428571428568</v>
      </c>
      <c r="T13" s="653" t="s">
        <v>511</v>
      </c>
      <c r="U13" s="653" t="s">
        <v>1191</v>
      </c>
      <c r="V13" s="653" t="s">
        <v>554</v>
      </c>
      <c r="W13" s="653" t="s">
        <v>803</v>
      </c>
      <c r="X13" s="680">
        <v>41183</v>
      </c>
      <c r="Y13" s="681">
        <v>1</v>
      </c>
      <c r="Z13" s="680" t="s">
        <v>505</v>
      </c>
      <c r="AA13" s="693" t="s">
        <v>842</v>
      </c>
      <c r="AB13" s="682"/>
      <c r="AC13" s="683">
        <v>42780</v>
      </c>
      <c r="AD13" s="675" t="s">
        <v>1571</v>
      </c>
      <c r="AE13" s="685" t="s">
        <v>1093</v>
      </c>
      <c r="AF13" s="476">
        <f>IF(CampList[[#This Row],[Type of Accomodation]]="camp",MAX(0,CampList[[#This Row],[HH]]-SUMIF(Table_Shelter[Pcode],CampList[[#This Row],[CP_Pcode]],Table_Shelter[HH Covered])),0)</f>
        <v>0</v>
      </c>
      <c r="AG13" s="653"/>
      <c r="AH13" s="682">
        <f>MIN(CampList[[#This Row],[Shelter Gap]],CampList[[#This Row],[Land Status]])</f>
        <v>0</v>
      </c>
      <c r="AI13" s="653" t="str">
        <f ca="1">IFERROR(OFFSET(DistanceToCamp[Nearest Town],MATCH(CampList[[#This Row],[CP_Pcode]],DistanceToCamp[CP_Pcode],0)-1,0,1,1),"")</f>
        <v>Bhamo Town</v>
      </c>
      <c r="AJ13" s="686">
        <f ca="1">IFERROR(OFFSET(DistanceToCamp[distance],MATCH(CampList[[#This Row],[CP_Pcode]],DistanceToCamp[CP_Pcode],0)-1,0,1,1),"")</f>
        <v>0.20824727902294948</v>
      </c>
      <c r="AK13" s="687">
        <f ca="1">IFERROR(INT(CampList[[#This Row],[Distance]]/5)+1,"")</f>
        <v>1</v>
      </c>
      <c r="AL13" s="669"/>
      <c r="AM13" s="669"/>
      <c r="AN13" s="669"/>
      <c r="AO13" s="669"/>
      <c r="AP13" s="669"/>
      <c r="AQ13" s="669"/>
      <c r="AR13" s="669"/>
      <c r="AS13" s="669"/>
      <c r="AT13" s="669"/>
      <c r="AU13" s="669"/>
      <c r="AV13" s="669"/>
    </row>
    <row r="14" spans="1:55" s="444" customFormat="1" ht="15.75" customHeight="1" x14ac:dyDescent="0.25">
      <c r="A14" s="695" t="s">
        <v>500</v>
      </c>
      <c r="B14" s="652" t="s">
        <v>380</v>
      </c>
      <c r="C14" s="652" t="s">
        <v>525</v>
      </c>
      <c r="D14" s="652" t="s">
        <v>5</v>
      </c>
      <c r="E14" s="652" t="s">
        <v>529</v>
      </c>
      <c r="F14" s="652" t="s">
        <v>5</v>
      </c>
      <c r="G14" s="652" t="s">
        <v>530</v>
      </c>
      <c r="H14" s="652" t="s">
        <v>654</v>
      </c>
      <c r="I14" s="696" t="s">
        <v>655</v>
      </c>
      <c r="J14" s="652" t="s">
        <v>654</v>
      </c>
      <c r="K14" s="652">
        <v>166844</v>
      </c>
      <c r="L14" s="652" t="s">
        <v>20</v>
      </c>
      <c r="M14" s="652" t="s">
        <v>19</v>
      </c>
      <c r="N14" s="678">
        <v>97.315860000000001</v>
      </c>
      <c r="O14" s="678">
        <v>24.32638</v>
      </c>
      <c r="P14" s="698"/>
      <c r="Q14" s="844">
        <v>21</v>
      </c>
      <c r="R14" s="844">
        <v>111</v>
      </c>
      <c r="S14" s="679">
        <f>IF(CampList[[#This Row],[HH]]&gt;0,CampList[[#This Row],[Total]]/CampList[[#This Row],[HH]],"NA")</f>
        <v>5.2857142857142856</v>
      </c>
      <c r="T14" s="476" t="s">
        <v>511</v>
      </c>
      <c r="U14" s="653" t="s">
        <v>1191</v>
      </c>
      <c r="V14" s="476" t="s">
        <v>554</v>
      </c>
      <c r="W14" s="476" t="s">
        <v>803</v>
      </c>
      <c r="X14" s="699">
        <v>40848</v>
      </c>
      <c r="Y14" s="698">
        <v>2</v>
      </c>
      <c r="Z14" s="698" t="s">
        <v>1089</v>
      </c>
      <c r="AA14" s="678" t="s">
        <v>842</v>
      </c>
      <c r="AB14" s="678"/>
      <c r="AC14" s="683">
        <v>42780</v>
      </c>
      <c r="AD14" s="700" t="s">
        <v>1523</v>
      </c>
      <c r="AE14" s="685" t="s">
        <v>1093</v>
      </c>
      <c r="AF14" s="701">
        <f>IF(CampList[[#This Row],[Type of Accomodation]]="camp",MAX(0,CampList[[#This Row],[HH]]-SUMIF(Table_Shelter[Pcode],CampList[[#This Row],[CP_Pcode]],Table_Shelter[HH Covered])),0)</f>
        <v>11</v>
      </c>
      <c r="AG14" s="476"/>
      <c r="AH14" s="677">
        <f>MIN(CampList[[#This Row],[Shelter Gap]],CampList[[#This Row],[Land Status]])</f>
        <v>11</v>
      </c>
      <c r="AI14" s="701" t="str">
        <f ca="1">IFERROR(OFFSET(DistanceToCamp[Nearest Town],MATCH(CampList[[#This Row],[CP_Pcode]],DistanceToCamp[CP_Pcode],0)-1,0,1,1),"")</f>
        <v>Momauk Town</v>
      </c>
      <c r="AJ14" s="686">
        <f ca="1">IFERROR(OFFSET(DistanceToCamp[distance],MATCH(CampList[[#This Row],[CP_Pcode]],DistanceToCamp[CP_Pcode],0)-1,0,1,1),"")</f>
        <v>8.3788619521763046</v>
      </c>
      <c r="AK14" s="702">
        <f ca="1">IFERROR(INT(CampList[[#This Row],[Distance]]/5)+1,"")</f>
        <v>2</v>
      </c>
      <c r="AL14" s="669"/>
      <c r="AM14" s="669"/>
      <c r="AN14" s="669"/>
      <c r="AO14" s="669"/>
      <c r="AP14" s="669"/>
      <c r="AQ14" s="669"/>
      <c r="AR14" s="669"/>
      <c r="AS14" s="669"/>
      <c r="AT14" s="669"/>
      <c r="AU14" s="669"/>
      <c r="AV14" s="669"/>
    </row>
    <row r="15" spans="1:55" s="444" customFormat="1" ht="15.75" customHeight="1" x14ac:dyDescent="0.25">
      <c r="A15" s="675" t="s">
        <v>500</v>
      </c>
      <c r="B15" s="651" t="s">
        <v>380</v>
      </c>
      <c r="C15" s="651" t="s">
        <v>525</v>
      </c>
      <c r="D15" s="651" t="s">
        <v>5</v>
      </c>
      <c r="E15" s="651" t="s">
        <v>529</v>
      </c>
      <c r="F15" s="651" t="s">
        <v>5</v>
      </c>
      <c r="G15" s="651" t="s">
        <v>530</v>
      </c>
      <c r="H15" s="651" t="s">
        <v>645</v>
      </c>
      <c r="I15" s="651" t="s">
        <v>646</v>
      </c>
      <c r="J15" s="651" t="s">
        <v>647</v>
      </c>
      <c r="K15" s="651">
        <v>166854</v>
      </c>
      <c r="L15" s="651" t="s">
        <v>366</v>
      </c>
      <c r="M15" s="651" t="s">
        <v>376</v>
      </c>
      <c r="N15" s="676">
        <v>97.252650000000003</v>
      </c>
      <c r="O15" s="676">
        <v>24.222349999999999</v>
      </c>
      <c r="P15" s="677">
        <v>0</v>
      </c>
      <c r="Q15" s="476">
        <v>153</v>
      </c>
      <c r="R15" s="476">
        <v>773</v>
      </c>
      <c r="S15" s="679">
        <f>IF(CampList[[#This Row],[HH]]&gt;0,CampList[[#This Row],[Total]]/CampList[[#This Row],[HH]],"NA")</f>
        <v>5.0522875816993462</v>
      </c>
      <c r="T15" s="653" t="s">
        <v>511</v>
      </c>
      <c r="U15" s="653" t="s">
        <v>1191</v>
      </c>
      <c r="V15" s="653" t="s">
        <v>554</v>
      </c>
      <c r="W15" s="653" t="s">
        <v>803</v>
      </c>
      <c r="X15" s="680">
        <v>41275</v>
      </c>
      <c r="Y15" s="681">
        <v>1</v>
      </c>
      <c r="Z15" s="680" t="s">
        <v>460</v>
      </c>
      <c r="AA15" s="682" t="s">
        <v>842</v>
      </c>
      <c r="AB15" s="682"/>
      <c r="AC15" s="683">
        <v>42809</v>
      </c>
      <c r="AD15" s="684" t="s">
        <v>1628</v>
      </c>
      <c r="AE15" s="685" t="s">
        <v>1093</v>
      </c>
      <c r="AF15" s="476">
        <f>IF(CampList[[#This Row],[Type of Accomodation]]="camp",MAX(0,CampList[[#This Row],[HH]]-SUMIF(Table_Shelter[Pcode],CampList[[#This Row],[CP_Pcode]],Table_Shelter[HH Covered])),0)</f>
        <v>27</v>
      </c>
      <c r="AG15" s="476"/>
      <c r="AH15" s="682">
        <f>MIN(CampList[[#This Row],[Shelter Gap]],CampList[[#This Row],[Land Status]])</f>
        <v>27</v>
      </c>
      <c r="AI15" s="653" t="str">
        <f ca="1">IFERROR(OFFSET(DistanceToCamp[Nearest Town],MATCH(CampList[[#This Row],[CP_Pcode]],DistanceToCamp[CP_Pcode],0)-1,0,1,1),"")</f>
        <v>Bhamo Town</v>
      </c>
      <c r="AJ15" s="686">
        <f ca="1">IFERROR(OFFSET(DistanceToCamp[distance],MATCH(CampList[[#This Row],[CP_Pcode]],DistanceToCamp[CP_Pcode],0)-1,0,1,1),"")</f>
        <v>4.067486452659054</v>
      </c>
      <c r="AK15" s="687">
        <f ca="1">IFERROR(INT(CampList[[#This Row],[Distance]]/5)+1,"")</f>
        <v>1</v>
      </c>
      <c r="AL15" s="669"/>
      <c r="AM15" s="669"/>
      <c r="AN15" s="669"/>
      <c r="AO15" s="669"/>
      <c r="AP15" s="669"/>
      <c r="AQ15" s="669"/>
      <c r="AR15" s="669"/>
      <c r="AS15" s="669"/>
      <c r="AT15" s="669"/>
      <c r="AU15" s="669"/>
      <c r="AV15" s="669"/>
    </row>
    <row r="16" spans="1:55" s="444" customFormat="1" ht="15.75" customHeight="1" x14ac:dyDescent="0.25">
      <c r="A16" s="675" t="s">
        <v>500</v>
      </c>
      <c r="B16" s="651" t="s">
        <v>380</v>
      </c>
      <c r="C16" s="651" t="s">
        <v>525</v>
      </c>
      <c r="D16" s="651" t="s">
        <v>5</v>
      </c>
      <c r="E16" s="651" t="s">
        <v>529</v>
      </c>
      <c r="F16" s="651" t="s">
        <v>5</v>
      </c>
      <c r="G16" s="651" t="s">
        <v>530</v>
      </c>
      <c r="H16" s="651" t="s">
        <v>637</v>
      </c>
      <c r="I16" s="651" t="s">
        <v>638</v>
      </c>
      <c r="J16" s="651" t="s">
        <v>641</v>
      </c>
      <c r="K16" s="651" t="s">
        <v>642</v>
      </c>
      <c r="L16" s="651" t="s">
        <v>22</v>
      </c>
      <c r="M16" s="651" t="s">
        <v>21</v>
      </c>
      <c r="N16" s="676">
        <v>97.229116811594196</v>
      </c>
      <c r="O16" s="676">
        <v>24.268292826086999</v>
      </c>
      <c r="P16" s="677"/>
      <c r="Q16" s="476">
        <v>626</v>
      </c>
      <c r="R16" s="476">
        <v>3822</v>
      </c>
      <c r="S16" s="679">
        <f>IF(CampList[[#This Row],[HH]]&gt;0,CampList[[#This Row],[Total]]/CampList[[#This Row],[HH]],"NA")</f>
        <v>6.1054313099041533</v>
      </c>
      <c r="T16" s="653" t="s">
        <v>511</v>
      </c>
      <c r="U16" s="653" t="s">
        <v>1191</v>
      </c>
      <c r="V16" s="653" t="s">
        <v>554</v>
      </c>
      <c r="W16" s="653" t="s">
        <v>803</v>
      </c>
      <c r="X16" s="680">
        <v>40725</v>
      </c>
      <c r="Y16" s="681">
        <v>3</v>
      </c>
      <c r="Z16" s="680" t="s">
        <v>460</v>
      </c>
      <c r="AA16" s="682" t="s">
        <v>842</v>
      </c>
      <c r="AB16" s="682"/>
      <c r="AC16" s="683">
        <v>42809</v>
      </c>
      <c r="AD16" s="684" t="s">
        <v>1630</v>
      </c>
      <c r="AE16" s="685" t="s">
        <v>1093</v>
      </c>
      <c r="AF16" s="476">
        <f>IF(CampList[[#This Row],[Type of Accomodation]]="camp",MAX(0,CampList[[#This Row],[HH]]-SUMIF(Table_Shelter[Pcode],CampList[[#This Row],[CP_Pcode]],Table_Shelter[HH Covered])),0)</f>
        <v>201</v>
      </c>
      <c r="AG16" s="476"/>
      <c r="AH16" s="682">
        <f>MIN(CampList[[#This Row],[Shelter Gap]],CampList[[#This Row],[Land Status]])</f>
        <v>201</v>
      </c>
      <c r="AI16" s="653" t="str">
        <f ca="1">IFERROR(OFFSET(DistanceToCamp[Nearest Town],MATCH(CampList[[#This Row],[CP_Pcode]],DistanceToCamp[CP_Pcode],0)-1,0,1,1),"")</f>
        <v>Bhamo Town</v>
      </c>
      <c r="AJ16" s="686">
        <f ca="1">IFERROR(OFFSET(DistanceToCamp[distance],MATCH(CampList[[#This Row],[CP_Pcode]],DistanceToCamp[CP_Pcode],0)-1,0,1,1),"")</f>
        <v>1.5797992800898704</v>
      </c>
      <c r="AK16" s="687">
        <f ca="1">IFERROR(INT(CampList[[#This Row],[Distance]]/5)+1,"")</f>
        <v>1</v>
      </c>
      <c r="AL16" s="669"/>
      <c r="AM16" s="669"/>
      <c r="AN16" s="669"/>
      <c r="AO16" s="669"/>
      <c r="AP16" s="669"/>
      <c r="AQ16" s="669"/>
      <c r="AR16" s="669"/>
      <c r="AS16" s="669"/>
      <c r="AT16" s="669"/>
      <c r="AU16" s="669"/>
      <c r="AV16" s="669"/>
    </row>
    <row r="17" spans="1:48" s="444" customFormat="1" ht="15.75" customHeight="1" x14ac:dyDescent="0.25">
      <c r="A17" s="675" t="s">
        <v>500</v>
      </c>
      <c r="B17" s="651" t="s">
        <v>380</v>
      </c>
      <c r="C17" s="651" t="s">
        <v>525</v>
      </c>
      <c r="D17" s="651" t="s">
        <v>5</v>
      </c>
      <c r="E17" s="651" t="s">
        <v>529</v>
      </c>
      <c r="F17" s="651" t="s">
        <v>5</v>
      </c>
      <c r="G17" s="651" t="s">
        <v>530</v>
      </c>
      <c r="H17" s="651" t="s">
        <v>637</v>
      </c>
      <c r="I17" s="651" t="s">
        <v>638</v>
      </c>
      <c r="J17" s="651" t="s">
        <v>639</v>
      </c>
      <c r="K17" s="651" t="s">
        <v>640</v>
      </c>
      <c r="L17" s="651" t="s">
        <v>24</v>
      </c>
      <c r="M17" s="651" t="s">
        <v>23</v>
      </c>
      <c r="N17" s="676">
        <v>97.227789999999999</v>
      </c>
      <c r="O17" s="676">
        <v>24.29138</v>
      </c>
      <c r="P17" s="677">
        <v>0</v>
      </c>
      <c r="Q17" s="839">
        <v>21</v>
      </c>
      <c r="R17" s="839">
        <v>95</v>
      </c>
      <c r="S17" s="679">
        <f>IF(CampList[[#This Row],[HH]]&gt;0,CampList[[#This Row],[Total]]/CampList[[#This Row],[HH]],"NA")</f>
        <v>4.5238095238095237</v>
      </c>
      <c r="T17" s="653" t="s">
        <v>511</v>
      </c>
      <c r="U17" s="653" t="s">
        <v>1191</v>
      </c>
      <c r="V17" s="653" t="s">
        <v>554</v>
      </c>
      <c r="W17" s="653" t="s">
        <v>803</v>
      </c>
      <c r="X17" s="680">
        <v>41030</v>
      </c>
      <c r="Y17" s="681">
        <v>2</v>
      </c>
      <c r="Z17" s="680" t="s">
        <v>505</v>
      </c>
      <c r="AA17" s="682" t="s">
        <v>842</v>
      </c>
      <c r="AB17" s="682"/>
      <c r="AC17" s="683">
        <v>42780</v>
      </c>
      <c r="AD17" s="684" t="s">
        <v>1578</v>
      </c>
      <c r="AE17" s="685" t="s">
        <v>1093</v>
      </c>
      <c r="AF17" s="476">
        <f>IF(CampList[[#This Row],[Type of Accomodation]]="camp",MAX(0,CampList[[#This Row],[HH]]-SUMIF(Table_Shelter[Pcode],CampList[[#This Row],[CP_Pcode]],Table_Shelter[HH Covered])),0)</f>
        <v>0</v>
      </c>
      <c r="AG17" s="653">
        <v>0</v>
      </c>
      <c r="AH17" s="682">
        <f>MIN(CampList[[#This Row],[Shelter Gap]],CampList[[#This Row],[Land Status]])</f>
        <v>0</v>
      </c>
      <c r="AI17" s="653" t="str">
        <f ca="1">IFERROR(OFFSET(DistanceToCamp[Nearest Town],MATCH(CampList[[#This Row],[CP_Pcode]],DistanceToCamp[CP_Pcode],0)-1,0,1,1),"")</f>
        <v>Bhamo Town</v>
      </c>
      <c r="AJ17" s="686">
        <f ca="1">IFERROR(OFFSET(DistanceToCamp[distance],MATCH(CampList[[#This Row],[CP_Pcode]],DistanceToCamp[CP_Pcode],0)-1,0,1,1),"")</f>
        <v>4.108228790802368</v>
      </c>
      <c r="AK17" s="687">
        <f ca="1">IFERROR(INT(CampList[[#This Row],[Distance]]/5)+1,"")</f>
        <v>1</v>
      </c>
      <c r="AL17" s="669"/>
      <c r="AM17" s="669"/>
      <c r="AN17" s="669"/>
      <c r="AO17" s="669"/>
      <c r="AP17" s="669"/>
      <c r="AQ17" s="669"/>
      <c r="AR17" s="669"/>
      <c r="AS17" s="669"/>
      <c r="AT17" s="669"/>
      <c r="AU17" s="669"/>
      <c r="AV17" s="669"/>
    </row>
    <row r="18" spans="1:48" s="444" customFormat="1" ht="15.75" customHeight="1" x14ac:dyDescent="0.25">
      <c r="A18" s="675" t="s">
        <v>500</v>
      </c>
      <c r="B18" s="651" t="s">
        <v>380</v>
      </c>
      <c r="C18" s="651" t="s">
        <v>525</v>
      </c>
      <c r="D18" s="651" t="s">
        <v>5</v>
      </c>
      <c r="E18" s="651" t="s">
        <v>529</v>
      </c>
      <c r="F18" s="651" t="s">
        <v>5</v>
      </c>
      <c r="G18" s="651" t="s">
        <v>530</v>
      </c>
      <c r="H18" s="684" t="s">
        <v>645</v>
      </c>
      <c r="I18" s="684" t="s">
        <v>646</v>
      </c>
      <c r="J18" s="651" t="s">
        <v>645</v>
      </c>
      <c r="K18" s="696">
        <v>166851</v>
      </c>
      <c r="L18" s="651" t="s">
        <v>26</v>
      </c>
      <c r="M18" s="651" t="s">
        <v>25</v>
      </c>
      <c r="N18" s="676">
        <v>97.240639999999999</v>
      </c>
      <c r="O18" s="676">
        <v>24.24953</v>
      </c>
      <c r="P18" s="677">
        <v>0</v>
      </c>
      <c r="Q18" s="839">
        <v>15</v>
      </c>
      <c r="R18" s="839">
        <v>75</v>
      </c>
      <c r="S18" s="679">
        <f>IF(CampList[[#This Row],[HH]]&gt;0,CampList[[#This Row],[Total]]/CampList[[#This Row],[HH]],"NA")</f>
        <v>5</v>
      </c>
      <c r="T18" s="653" t="s">
        <v>511</v>
      </c>
      <c r="U18" s="653" t="s">
        <v>1191</v>
      </c>
      <c r="V18" s="653" t="s">
        <v>554</v>
      </c>
      <c r="W18" s="653" t="s">
        <v>803</v>
      </c>
      <c r="X18" s="680">
        <v>41122</v>
      </c>
      <c r="Y18" s="681">
        <v>1</v>
      </c>
      <c r="Z18" s="680" t="s">
        <v>505</v>
      </c>
      <c r="AA18" s="682" t="s">
        <v>842</v>
      </c>
      <c r="AB18" s="682"/>
      <c r="AC18" s="683">
        <v>42780</v>
      </c>
      <c r="AD18" s="684" t="s">
        <v>1581</v>
      </c>
      <c r="AE18" s="685" t="s">
        <v>1093</v>
      </c>
      <c r="AF18" s="476">
        <f>IF(CampList[[#This Row],[Type of Accomodation]]="camp",MAX(0,CampList[[#This Row],[HH]]-SUMIF(Table_Shelter[Pcode],CampList[[#This Row],[CP_Pcode]],Table_Shelter[HH Covered])),0)</f>
        <v>0</v>
      </c>
      <c r="AG18" s="653">
        <v>0</v>
      </c>
      <c r="AH18" s="682">
        <f>MIN(CampList[[#This Row],[Shelter Gap]],CampList[[#This Row],[Land Status]])</f>
        <v>0</v>
      </c>
      <c r="AI18" s="653" t="str">
        <f ca="1">IFERROR(OFFSET(DistanceToCamp[Nearest Town],MATCH(CampList[[#This Row],[CP_Pcode]],DistanceToCamp[CP_Pcode],0)-1,0,1,1),"")</f>
        <v>Bhamo Town</v>
      </c>
      <c r="AJ18" s="686">
        <f ca="1">IFERROR(OFFSET(DistanceToCamp[distance],MATCH(CampList[[#This Row],[CP_Pcode]],DistanceToCamp[CP_Pcode],0)-1,0,1,1),"")</f>
        <v>0.87147615879849294</v>
      </c>
      <c r="AK18" s="687">
        <f ca="1">IFERROR(INT(CampList[[#This Row],[Distance]]/5)+1,"")</f>
        <v>1</v>
      </c>
      <c r="AL18" s="669"/>
      <c r="AM18" s="669"/>
      <c r="AN18" s="669"/>
      <c r="AO18" s="669"/>
      <c r="AP18" s="669"/>
      <c r="AQ18" s="669"/>
      <c r="AR18" s="669"/>
      <c r="AS18" s="669"/>
      <c r="AT18" s="669"/>
      <c r="AU18" s="669"/>
      <c r="AV18" s="669"/>
    </row>
    <row r="19" spans="1:48" s="444" customFormat="1" ht="15.75" customHeight="1" x14ac:dyDescent="0.25">
      <c r="A19" s="675" t="s">
        <v>500</v>
      </c>
      <c r="B19" s="651" t="s">
        <v>380</v>
      </c>
      <c r="C19" s="651" t="s">
        <v>525</v>
      </c>
      <c r="D19" s="651" t="s">
        <v>237</v>
      </c>
      <c r="E19" s="651" t="s">
        <v>531</v>
      </c>
      <c r="F19" s="651" t="s">
        <v>27</v>
      </c>
      <c r="G19" s="651" t="s">
        <v>534</v>
      </c>
      <c r="H19" s="651" t="s">
        <v>791</v>
      </c>
      <c r="I19" s="651" t="s">
        <v>792</v>
      </c>
      <c r="J19" s="651" t="s">
        <v>1366</v>
      </c>
      <c r="K19" s="694" t="s">
        <v>1365</v>
      </c>
      <c r="L19" s="651" t="s">
        <v>28</v>
      </c>
      <c r="M19" s="651" t="s">
        <v>30</v>
      </c>
      <c r="N19" s="676">
        <v>98.131550000000004</v>
      </c>
      <c r="O19" s="676">
        <v>25.889410000000002</v>
      </c>
      <c r="P19" s="677">
        <v>304</v>
      </c>
      <c r="Q19" s="842">
        <v>110</v>
      </c>
      <c r="R19" s="98">
        <v>516</v>
      </c>
      <c r="S19" s="679">
        <f>IF(CampList[[#This Row],[HH]]&gt;0,CampList[[#This Row],[Total]]/CampList[[#This Row],[HH]],"NA")</f>
        <v>4.6909090909090905</v>
      </c>
      <c r="T19" s="653" t="s">
        <v>511</v>
      </c>
      <c r="U19" s="653" t="s">
        <v>1191</v>
      </c>
      <c r="V19" s="653" t="s">
        <v>554</v>
      </c>
      <c r="W19" s="653" t="s">
        <v>803</v>
      </c>
      <c r="X19" s="680">
        <v>41244</v>
      </c>
      <c r="Y19" s="681">
        <v>1</v>
      </c>
      <c r="Z19" s="680" t="s">
        <v>505</v>
      </c>
      <c r="AA19" s="693" t="s">
        <v>842</v>
      </c>
      <c r="AB19" s="682"/>
      <c r="AC19" s="683">
        <v>42780</v>
      </c>
      <c r="AD19" s="675" t="s">
        <v>1559</v>
      </c>
      <c r="AE19" s="685" t="s">
        <v>1077</v>
      </c>
      <c r="AF19" s="476">
        <f>IF(CampList[[#This Row],[Type of Accomodation]]="camp",MAX(0,CampList[[#This Row],[HH]]-SUMIF(Table_Shelter[Pcode],CampList[[#This Row],[CP_Pcode]],Table_Shelter[HH Covered])),0)</f>
        <v>3</v>
      </c>
      <c r="AG19" s="653"/>
      <c r="AH19" s="682">
        <f>MIN(CampList[[#This Row],[Shelter Gap]],CampList[[#This Row],[Land Status]])</f>
        <v>3</v>
      </c>
      <c r="AI19" s="653" t="str">
        <f ca="1">IFERROR(OFFSET(DistanceToCamp[Nearest Town],MATCH(CampList[[#This Row],[CP_Pcode]],DistanceToCamp[CP_Pcode],0)-1,0,1,1),"")</f>
        <v>Chipwi Town</v>
      </c>
      <c r="AJ19" s="686">
        <f ca="1">IFERROR(OFFSET(DistanceToCamp[distance],MATCH(CampList[[#This Row],[CP_Pcode]],DistanceToCamp[CP_Pcode],0)-1,0,1,1),"")</f>
        <v>0.15809623370782155</v>
      </c>
      <c r="AK19" s="687">
        <f ca="1">IFERROR(INT(CampList[[#This Row],[Distance]]/5)+1,"")</f>
        <v>1</v>
      </c>
      <c r="AL19" s="669"/>
      <c r="AM19" s="669"/>
      <c r="AN19" s="669"/>
      <c r="AO19" s="669"/>
      <c r="AP19" s="669"/>
      <c r="AQ19" s="669"/>
      <c r="AR19" s="669"/>
      <c r="AS19" s="669"/>
      <c r="AT19" s="669"/>
      <c r="AU19" s="669"/>
      <c r="AV19" s="669"/>
    </row>
    <row r="20" spans="1:48" s="444" customFormat="1" ht="15.75" customHeight="1" x14ac:dyDescent="0.25">
      <c r="A20" s="675" t="s">
        <v>500</v>
      </c>
      <c r="B20" s="651" t="s">
        <v>380</v>
      </c>
      <c r="C20" s="651" t="s">
        <v>525</v>
      </c>
      <c r="D20" s="651" t="s">
        <v>237</v>
      </c>
      <c r="E20" s="651" t="s">
        <v>531</v>
      </c>
      <c r="F20" s="651" t="s">
        <v>27</v>
      </c>
      <c r="G20" s="651" t="s">
        <v>534</v>
      </c>
      <c r="H20" s="684" t="s">
        <v>793</v>
      </c>
      <c r="I20" s="684" t="s">
        <v>794</v>
      </c>
      <c r="J20" s="684" t="s">
        <v>795</v>
      </c>
      <c r="K20" s="684">
        <v>166355</v>
      </c>
      <c r="L20" s="651" t="s">
        <v>364</v>
      </c>
      <c r="M20" s="651" t="s">
        <v>29</v>
      </c>
      <c r="N20" s="676">
        <v>98.475719999999995</v>
      </c>
      <c r="O20" s="676">
        <v>25.754110000000001</v>
      </c>
      <c r="P20" s="677">
        <v>2785</v>
      </c>
      <c r="Q20" s="476">
        <v>155</v>
      </c>
      <c r="R20" s="476">
        <v>768</v>
      </c>
      <c r="S20" s="679">
        <f>IF(CampList[[#This Row],[HH]]&gt;0,CampList[[#This Row],[Total]]/CampList[[#This Row],[HH]],"NA")</f>
        <v>4.9548387096774196</v>
      </c>
      <c r="T20" s="653" t="s">
        <v>513</v>
      </c>
      <c r="U20" s="653" t="s">
        <v>1191</v>
      </c>
      <c r="V20" s="653" t="s">
        <v>554</v>
      </c>
      <c r="W20" s="653" t="s">
        <v>857</v>
      </c>
      <c r="X20" s="680">
        <v>41030</v>
      </c>
      <c r="Y20" s="681">
        <v>2</v>
      </c>
      <c r="Z20" s="680" t="s">
        <v>460</v>
      </c>
      <c r="AA20" s="693" t="s">
        <v>842</v>
      </c>
      <c r="AB20" s="682"/>
      <c r="AC20" s="683">
        <v>42809</v>
      </c>
      <c r="AD20" s="675" t="s">
        <v>1595</v>
      </c>
      <c r="AE20" s="685" t="s">
        <v>1077</v>
      </c>
      <c r="AF20" s="476">
        <f>IF(CampList[[#This Row],[Type of Accomodation]]="camp",MAX(0,CampList[[#This Row],[HH]]-SUMIF(Table_Shelter[Pcode],CampList[[#This Row],[CP_Pcode]],Table_Shelter[HH Covered])),0)</f>
        <v>155</v>
      </c>
      <c r="AG20" s="653"/>
      <c r="AH20" s="682">
        <f>MIN(CampList[[#This Row],[Shelter Gap]],CampList[[#This Row],[Land Status]])</f>
        <v>155</v>
      </c>
      <c r="AI20" s="653" t="str">
        <f ca="1">IFERROR(OFFSET(DistanceToCamp[Nearest Town],MATCH(CampList[[#This Row],[CP_Pcode]],DistanceToCamp[CP_Pcode],0)-1,0,1,1),"")</f>
        <v>Pang War Town</v>
      </c>
      <c r="AJ20" s="686">
        <f ca="1">IFERROR(OFFSET(DistanceToCamp[distance],MATCH(CampList[[#This Row],[CP_Pcode]],DistanceToCamp[CP_Pcode],0)-1,0,1,1),"")</f>
        <v>19.834999342466848</v>
      </c>
      <c r="AK20" s="687">
        <f ca="1">IFERROR(INT(CampList[[#This Row],[Distance]]/5)+1,"")</f>
        <v>4</v>
      </c>
      <c r="AL20" s="669"/>
      <c r="AM20" s="669"/>
      <c r="AN20" s="669"/>
      <c r="AO20" s="669"/>
      <c r="AP20" s="669"/>
      <c r="AQ20" s="669"/>
      <c r="AR20" s="669"/>
      <c r="AS20" s="669"/>
      <c r="AT20" s="669"/>
      <c r="AU20" s="669"/>
      <c r="AV20" s="669"/>
    </row>
    <row r="21" spans="1:48" s="444" customFormat="1" ht="15.75" hidden="1" customHeight="1" x14ac:dyDescent="0.25">
      <c r="A21" s="675" t="s">
        <v>843</v>
      </c>
      <c r="B21" s="651" t="s">
        <v>380</v>
      </c>
      <c r="C21" s="651" t="s">
        <v>525</v>
      </c>
      <c r="D21" s="651" t="s">
        <v>237</v>
      </c>
      <c r="E21" s="651" t="s">
        <v>531</v>
      </c>
      <c r="F21" s="651" t="s">
        <v>237</v>
      </c>
      <c r="G21" s="651" t="s">
        <v>535</v>
      </c>
      <c r="H21" s="684" t="s">
        <v>671</v>
      </c>
      <c r="I21" s="684" t="s">
        <v>672</v>
      </c>
      <c r="J21" s="684" t="s">
        <v>674</v>
      </c>
      <c r="K21" s="684" t="s">
        <v>675</v>
      </c>
      <c r="L21" s="651" t="s">
        <v>267</v>
      </c>
      <c r="M21" s="651" t="s">
        <v>266</v>
      </c>
      <c r="N21" s="676">
        <v>97.376671999999999</v>
      </c>
      <c r="O21" s="676">
        <v>25.387862999999999</v>
      </c>
      <c r="P21" s="677">
        <v>0</v>
      </c>
      <c r="Q21" s="840">
        <v>0</v>
      </c>
      <c r="R21" s="841">
        <v>0</v>
      </c>
      <c r="S21" s="679" t="str">
        <f>IF(CampList[[#This Row],[HH]]&gt;0,CampList[[#This Row],[Total]]/CampList[[#This Row],[HH]],"NA")</f>
        <v>NA</v>
      </c>
      <c r="T21" s="653" t="s">
        <v>511</v>
      </c>
      <c r="U21" s="688" t="s">
        <v>1191</v>
      </c>
      <c r="V21" s="653" t="s">
        <v>554</v>
      </c>
      <c r="W21" s="688" t="s">
        <v>803</v>
      </c>
      <c r="X21" s="689">
        <v>40817</v>
      </c>
      <c r="Y21" s="690">
        <v>1</v>
      </c>
      <c r="Z21" s="689" t="s">
        <v>505</v>
      </c>
      <c r="AA21" s="693" t="s">
        <v>842</v>
      </c>
      <c r="AB21" s="682"/>
      <c r="AC21" s="683">
        <v>42180</v>
      </c>
      <c r="AD21" s="675" t="s">
        <v>1261</v>
      </c>
      <c r="AE21" s="685" t="s">
        <v>1093</v>
      </c>
      <c r="AF21" s="476">
        <f>IF(CampList[[#This Row],[Type of Accomodation]]="camp",MAX(0,CampList[[#This Row],[HH]]-SUMIF(Table_Shelter[Pcode],CampList[[#This Row],[CP_Pcode]],Table_Shelter[HH Covered])),0)</f>
        <v>0</v>
      </c>
      <c r="AG21" s="653"/>
      <c r="AH21" s="682">
        <f>MIN(CampList[[#This Row],[Shelter Gap]],CampList[[#This Row],[Land Status]])</f>
        <v>0</v>
      </c>
      <c r="AI21" s="653" t="str">
        <f ca="1">IFERROR(OFFSET(DistanceToCamp[Nearest Town],MATCH(CampList[[#This Row],[CP_Pcode]],DistanceToCamp[CP_Pcode],0)-1,0,1,1),"")</f>
        <v>Myitkyina Town</v>
      </c>
      <c r="AJ21" s="686">
        <f ca="1">IFERROR(OFFSET(DistanceToCamp[distance],MATCH(CampList[[#This Row],[CP_Pcode]],DistanceToCamp[CP_Pcode],0)-1,0,1,1),"")</f>
        <v>1.3751794210741128</v>
      </c>
      <c r="AK21" s="687">
        <f ca="1">IFERROR(INT(CampList[[#This Row],[Distance]]/5)+1,"")</f>
        <v>1</v>
      </c>
      <c r="AL21" s="669"/>
      <c r="AM21" s="669"/>
      <c r="AN21" s="669"/>
      <c r="AO21" s="669"/>
      <c r="AP21" s="669"/>
      <c r="AQ21" s="669"/>
      <c r="AR21" s="669"/>
      <c r="AS21" s="669"/>
      <c r="AT21" s="669"/>
      <c r="AU21" s="669"/>
      <c r="AV21" s="669"/>
    </row>
    <row r="22" spans="1:48" s="444" customFormat="1" ht="15.75" customHeight="1" x14ac:dyDescent="0.25">
      <c r="A22" s="675" t="s">
        <v>500</v>
      </c>
      <c r="B22" s="651" t="s">
        <v>380</v>
      </c>
      <c r="C22" s="651" t="s">
        <v>525</v>
      </c>
      <c r="D22" s="651" t="s">
        <v>5</v>
      </c>
      <c r="E22" s="651" t="s">
        <v>529</v>
      </c>
      <c r="F22" s="651" t="s">
        <v>151</v>
      </c>
      <c r="G22" s="651" t="s">
        <v>539</v>
      </c>
      <c r="H22" s="684" t="s">
        <v>650</v>
      </c>
      <c r="I22" s="684" t="s">
        <v>651</v>
      </c>
      <c r="J22" s="651"/>
      <c r="K22" s="651"/>
      <c r="L22" s="651" t="s">
        <v>12</v>
      </c>
      <c r="M22" s="651" t="s">
        <v>390</v>
      </c>
      <c r="N22" s="676">
        <v>97.298055000000005</v>
      </c>
      <c r="O22" s="676">
        <v>24.118618999999999</v>
      </c>
      <c r="P22" s="698"/>
      <c r="Q22" s="840">
        <v>73</v>
      </c>
      <c r="R22" s="841">
        <v>274</v>
      </c>
      <c r="S22" s="679">
        <f>IF(CampList[[#This Row],[HH]]&gt;0,CampList[[#This Row],[Total]]/CampList[[#This Row],[HH]],"NA")</f>
        <v>3.7534246575342465</v>
      </c>
      <c r="T22" s="653" t="s">
        <v>511</v>
      </c>
      <c r="U22" s="653" t="s">
        <v>1191</v>
      </c>
      <c r="V22" s="712" t="s">
        <v>12</v>
      </c>
      <c r="W22" s="653" t="s">
        <v>803</v>
      </c>
      <c r="X22" s="699"/>
      <c r="Y22" s="698"/>
      <c r="Z22" s="682"/>
      <c r="AA22" s="693" t="s">
        <v>842</v>
      </c>
      <c r="AB22" s="682"/>
      <c r="AC22" s="716">
        <v>42832</v>
      </c>
      <c r="AD22" s="675" t="s">
        <v>1661</v>
      </c>
      <c r="AE22" s="708" t="s">
        <v>1093</v>
      </c>
      <c r="AF22" s="476">
        <f>IF(CampList[[#This Row],[Type of Accomodation]]="camp",MAX(0,CampList[[#This Row],[HH]]-SUMIF(Table_Shelter[Pcode],CampList[[#This Row],[CP_Pcode]],Table_Shelter[HH Covered])),0)</f>
        <v>0</v>
      </c>
      <c r="AG22" s="653"/>
      <c r="AH22" s="682">
        <f>MIN(CampList[[#This Row],[Shelter Gap]],CampList[[#This Row],[Land Status]])</f>
        <v>0</v>
      </c>
      <c r="AI22" s="653" t="str">
        <f ca="1">IFERROR(OFFSET(DistanceToCamp[Nearest Town],MATCH(CampList[[#This Row],[CP_Pcode]],DistanceToCamp[CP_Pcode],0)-1,0,1,1),"")</f>
        <v>Mansi Town</v>
      </c>
      <c r="AJ22" s="686">
        <f ca="1">IFERROR(OFFSET(DistanceToCamp[distance],MATCH(CampList[[#This Row],[CP_Pcode]],DistanceToCamp[CP_Pcode],0)-1,0,1,1),"")</f>
        <v>0.51447052329458698</v>
      </c>
      <c r="AK22" s="687">
        <f ca="1">IFERROR(INT(CampList[[#This Row],[Distance]]/5)+1,"")</f>
        <v>1</v>
      </c>
      <c r="AL22" s="669"/>
      <c r="AM22" s="669"/>
      <c r="AN22" s="669"/>
      <c r="AO22" s="669"/>
      <c r="AP22" s="669"/>
      <c r="AQ22" s="669"/>
      <c r="AR22" s="669"/>
      <c r="AS22" s="669"/>
      <c r="AT22" s="669"/>
      <c r="AU22" s="669"/>
      <c r="AV22" s="669"/>
    </row>
    <row r="23" spans="1:48" s="444" customFormat="1" ht="15.75" customHeight="1" x14ac:dyDescent="0.25">
      <c r="A23" s="675" t="s">
        <v>500</v>
      </c>
      <c r="B23" s="651" t="s">
        <v>380</v>
      </c>
      <c r="C23" s="651" t="s">
        <v>525</v>
      </c>
      <c r="D23" s="651" t="s">
        <v>237</v>
      </c>
      <c r="E23" s="651" t="s">
        <v>531</v>
      </c>
      <c r="F23" s="651" t="s">
        <v>27</v>
      </c>
      <c r="G23" s="651" t="s">
        <v>534</v>
      </c>
      <c r="H23" s="705" t="s">
        <v>803</v>
      </c>
      <c r="I23" s="651" t="s">
        <v>792</v>
      </c>
      <c r="J23" s="705" t="s">
        <v>804</v>
      </c>
      <c r="K23" s="705"/>
      <c r="L23" s="651" t="s">
        <v>365</v>
      </c>
      <c r="M23" s="651" t="s">
        <v>378</v>
      </c>
      <c r="N23" s="676">
        <v>98.129990000000006</v>
      </c>
      <c r="O23" s="676">
        <v>25.887339999999998</v>
      </c>
      <c r="P23" s="698">
        <v>259.10000000000002</v>
      </c>
      <c r="Q23" s="842">
        <v>143</v>
      </c>
      <c r="R23" s="98">
        <v>637</v>
      </c>
      <c r="S23" s="679">
        <f>IF(CampList[[#This Row],[HH]]&gt;0,CampList[[#This Row],[Total]]/CampList[[#This Row],[HH]],"NA")</f>
        <v>4.4545454545454541</v>
      </c>
      <c r="T23" s="653" t="s">
        <v>511</v>
      </c>
      <c r="U23" s="653" t="s">
        <v>1191</v>
      </c>
      <c r="V23" s="653" t="s">
        <v>554</v>
      </c>
      <c r="W23" s="653" t="s">
        <v>856</v>
      </c>
      <c r="X23" s="680">
        <v>40940</v>
      </c>
      <c r="Y23" s="681">
        <v>1</v>
      </c>
      <c r="Z23" s="680" t="s">
        <v>505</v>
      </c>
      <c r="AA23" s="693" t="s">
        <v>842</v>
      </c>
      <c r="AB23" s="682"/>
      <c r="AC23" s="683">
        <v>42780</v>
      </c>
      <c r="AD23" s="675" t="s">
        <v>1563</v>
      </c>
      <c r="AE23" s="685" t="s">
        <v>1077</v>
      </c>
      <c r="AF23" s="476">
        <f>IF(CampList[[#This Row],[Type of Accomodation]]="camp",MAX(0,CampList[[#This Row],[HH]]-SUMIF(Table_Shelter[Pcode],CampList[[#This Row],[CP_Pcode]],Table_Shelter[HH Covered])),0)</f>
        <v>70</v>
      </c>
      <c r="AG23" s="653"/>
      <c r="AH23" s="682">
        <f>MIN(CampList[[#This Row],[Shelter Gap]],CampList[[#This Row],[Land Status]])</f>
        <v>70</v>
      </c>
      <c r="AI23" s="653" t="str">
        <f ca="1">IFERROR(OFFSET(DistanceToCamp[Nearest Town],MATCH(CampList[[#This Row],[CP_Pcode]],DistanceToCamp[CP_Pcode],0)-1,0,1,1),"")</f>
        <v>Chipwi Town</v>
      </c>
      <c r="AJ23" s="686">
        <f ca="1">IFERROR(OFFSET(DistanceToCamp[distance],MATCH(CampList[[#This Row],[CP_Pcode]],DistanceToCamp[CP_Pcode],0)-1,0,1,1),"")</f>
        <v>0</v>
      </c>
      <c r="AK23" s="687">
        <f ca="1">IFERROR(INT(CampList[[#This Row],[Distance]]/5)+1,"")</f>
        <v>1</v>
      </c>
      <c r="AL23" s="669"/>
      <c r="AM23" s="669"/>
      <c r="AN23" s="669"/>
      <c r="AO23" s="669"/>
      <c r="AP23" s="669"/>
      <c r="AQ23" s="669"/>
      <c r="AR23" s="669"/>
      <c r="AS23" s="669"/>
      <c r="AT23" s="669"/>
      <c r="AU23" s="669"/>
      <c r="AV23" s="669"/>
    </row>
    <row r="24" spans="1:48" s="444" customFormat="1" ht="15.75" customHeight="1" x14ac:dyDescent="0.25">
      <c r="A24" s="695" t="s">
        <v>500</v>
      </c>
      <c r="B24" s="652" t="s">
        <v>380</v>
      </c>
      <c r="C24" s="652" t="s">
        <v>525</v>
      </c>
      <c r="D24" s="652" t="s">
        <v>237</v>
      </c>
      <c r="E24" s="652" t="s">
        <v>531</v>
      </c>
      <c r="F24" s="652" t="s">
        <v>27</v>
      </c>
      <c r="G24" s="652" t="s">
        <v>534</v>
      </c>
      <c r="H24" s="652" t="s">
        <v>1195</v>
      </c>
      <c r="I24" s="696" t="s">
        <v>1376</v>
      </c>
      <c r="J24" s="652" t="s">
        <v>716</v>
      </c>
      <c r="K24" s="652" t="s">
        <v>1377</v>
      </c>
      <c r="L24" s="652" t="s">
        <v>864</v>
      </c>
      <c r="M24" s="652" t="s">
        <v>863</v>
      </c>
      <c r="N24" s="678">
        <v>98.377780000000001</v>
      </c>
      <c r="O24" s="678">
        <v>25.60867</v>
      </c>
      <c r="P24" s="698">
        <v>2345</v>
      </c>
      <c r="Q24" s="476">
        <v>61</v>
      </c>
      <c r="R24" s="708">
        <v>273</v>
      </c>
      <c r="S24" s="679">
        <f>IF(CampList[[#This Row],[HH]]&gt;0,CampList[[#This Row],[Total]]/CampList[[#This Row],[HH]],"NA")</f>
        <v>4.4754098360655741</v>
      </c>
      <c r="T24" s="476" t="s">
        <v>511</v>
      </c>
      <c r="U24" s="653" t="s">
        <v>1191</v>
      </c>
      <c r="V24" s="476" t="s">
        <v>554</v>
      </c>
      <c r="W24" s="476" t="s">
        <v>856</v>
      </c>
      <c r="X24" s="699">
        <v>41091</v>
      </c>
      <c r="Y24" s="698">
        <v>1</v>
      </c>
      <c r="Z24" s="698" t="s">
        <v>1090</v>
      </c>
      <c r="AA24" s="678" t="s">
        <v>842</v>
      </c>
      <c r="AB24" s="678"/>
      <c r="AC24" s="683">
        <v>42780</v>
      </c>
      <c r="AD24" s="700" t="s">
        <v>1552</v>
      </c>
      <c r="AE24" s="685" t="s">
        <v>1077</v>
      </c>
      <c r="AF24" s="701">
        <f>IF(CampList[[#This Row],[Type of Accomodation]]="camp",MAX(0,CampList[[#This Row],[HH]]-SUMIF(Table_Shelter[Pcode],CampList[[#This Row],[CP_Pcode]],Table_Shelter[HH Covered])),0)</f>
        <v>61</v>
      </c>
      <c r="AG24" s="476"/>
      <c r="AH24" s="677">
        <f>MIN(CampList[[#This Row],[Shelter Gap]],CampList[[#This Row],[Land Status]])</f>
        <v>61</v>
      </c>
      <c r="AI24" s="701" t="str">
        <f ca="1">IFERROR(OFFSET(DistanceToCamp[Nearest Town],MATCH(CampList[[#This Row],[CP_Pcode]],DistanceToCamp[CP_Pcode],0)-1,0,1,1),"")</f>
        <v>Pang War Town</v>
      </c>
      <c r="AJ24" s="686">
        <f ca="1">IFERROR(OFFSET(DistanceToCamp[distance],MATCH(CampList[[#This Row],[CP_Pcode]],DistanceToCamp[CP_Pcode],0)-1,0,1,1),"")</f>
        <v>0.18710270881855062</v>
      </c>
      <c r="AK24" s="702">
        <f ca="1">IFERROR(INT(CampList[[#This Row],[Distance]]/5)+1,"")</f>
        <v>1</v>
      </c>
      <c r="AL24" s="669"/>
      <c r="AM24" s="669"/>
      <c r="AN24" s="669"/>
      <c r="AO24" s="669"/>
      <c r="AP24" s="669"/>
      <c r="AQ24" s="669"/>
      <c r="AR24" s="669"/>
      <c r="AS24" s="669"/>
      <c r="AT24" s="669"/>
      <c r="AU24" s="669"/>
      <c r="AV24" s="669"/>
    </row>
    <row r="25" spans="1:48" s="444" customFormat="1" ht="15.75" customHeight="1" x14ac:dyDescent="0.25">
      <c r="A25" s="695" t="s">
        <v>500</v>
      </c>
      <c r="B25" s="652" t="s">
        <v>380</v>
      </c>
      <c r="C25" s="652" t="s">
        <v>525</v>
      </c>
      <c r="D25" s="652" t="s">
        <v>237</v>
      </c>
      <c r="E25" s="652" t="s">
        <v>531</v>
      </c>
      <c r="F25" s="652" t="s">
        <v>27</v>
      </c>
      <c r="G25" s="652" t="s">
        <v>534</v>
      </c>
      <c r="H25" s="652" t="s">
        <v>790</v>
      </c>
      <c r="I25" s="696" t="s">
        <v>789</v>
      </c>
      <c r="J25" s="652" t="s">
        <v>1019</v>
      </c>
      <c r="K25" s="652"/>
      <c r="L25" s="652" t="s">
        <v>1019</v>
      </c>
      <c r="M25" s="652" t="s">
        <v>1020</v>
      </c>
      <c r="N25" s="678">
        <v>98.356260000000006</v>
      </c>
      <c r="O25" s="678">
        <v>25.645959999999999</v>
      </c>
      <c r="P25" s="698">
        <v>1945</v>
      </c>
      <c r="Q25" s="476">
        <v>31</v>
      </c>
      <c r="R25" s="708">
        <v>180</v>
      </c>
      <c r="S25" s="679">
        <f>IF(CampList[[#This Row],[HH]]&gt;0,CampList[[#This Row],[Total]]/CampList[[#This Row],[HH]],"NA")</f>
        <v>5.806451612903226</v>
      </c>
      <c r="T25" s="476" t="s">
        <v>511</v>
      </c>
      <c r="U25" s="653" t="s">
        <v>1191</v>
      </c>
      <c r="V25" s="476" t="s">
        <v>554</v>
      </c>
      <c r="W25" s="476" t="s">
        <v>803</v>
      </c>
      <c r="X25" s="699">
        <v>41091</v>
      </c>
      <c r="Y25" s="698"/>
      <c r="Z25" s="698" t="s">
        <v>1090</v>
      </c>
      <c r="AA25" s="678" t="s">
        <v>842</v>
      </c>
      <c r="AB25" s="678"/>
      <c r="AC25" s="683">
        <v>42780</v>
      </c>
      <c r="AD25" s="700" t="s">
        <v>1554</v>
      </c>
      <c r="AE25" s="685" t="s">
        <v>1077</v>
      </c>
      <c r="AF25" s="701">
        <f>IF(CampList[[#This Row],[Type of Accomodation]]="camp",MAX(0,CampList[[#This Row],[HH]]-SUMIF(Table_Shelter[Pcode],CampList[[#This Row],[CP_Pcode]],Table_Shelter[HH Covered])),0)</f>
        <v>31</v>
      </c>
      <c r="AG25" s="476"/>
      <c r="AH25" s="677">
        <f>MIN(CampList[[#This Row],[Shelter Gap]],CampList[[#This Row],[Land Status]])</f>
        <v>31</v>
      </c>
      <c r="AI25" s="701" t="str">
        <f ca="1">IFERROR(OFFSET(DistanceToCamp[Nearest Town],MATCH(CampList[[#This Row],[CP_Pcode]],DistanceToCamp[CP_Pcode],0)-1,0,1,1),"")</f>
        <v>Naypyitaw Town</v>
      </c>
      <c r="AJ25" s="686">
        <f ca="1">IFERROR(OFFSET(DistanceToCamp[distance],MATCH(CampList[[#This Row],[CP_Pcode]],DistanceToCamp[CP_Pcode],0)-1,0,1,1),"")</f>
        <v>0</v>
      </c>
      <c r="AK25" s="702">
        <f ca="1">IFERROR(INT(CampList[[#This Row],[Distance]]/5)+1,"")</f>
        <v>1</v>
      </c>
      <c r="AL25" s="669"/>
      <c r="AM25" s="669"/>
      <c r="AN25" s="669"/>
      <c r="AO25" s="669"/>
      <c r="AP25" s="669"/>
      <c r="AQ25" s="669"/>
      <c r="AR25" s="669"/>
      <c r="AS25" s="669"/>
      <c r="AT25" s="669"/>
      <c r="AU25" s="669"/>
      <c r="AV25" s="669"/>
    </row>
    <row r="26" spans="1:48" s="444" customFormat="1" ht="15.75" customHeight="1" x14ac:dyDescent="0.25">
      <c r="A26" s="675" t="s">
        <v>500</v>
      </c>
      <c r="B26" s="651" t="s">
        <v>380</v>
      </c>
      <c r="C26" s="651" t="s">
        <v>525</v>
      </c>
      <c r="D26" s="651" t="s">
        <v>180</v>
      </c>
      <c r="E26" s="651" t="s">
        <v>526</v>
      </c>
      <c r="F26" s="651" t="s">
        <v>527</v>
      </c>
      <c r="G26" s="651" t="s">
        <v>528</v>
      </c>
      <c r="H26" s="684" t="s">
        <v>612</v>
      </c>
      <c r="I26" s="684" t="s">
        <v>613</v>
      </c>
      <c r="J26" s="684" t="s">
        <v>612</v>
      </c>
      <c r="K26" s="684">
        <v>166773</v>
      </c>
      <c r="L26" s="651" t="s">
        <v>62</v>
      </c>
      <c r="M26" s="651" t="s">
        <v>61</v>
      </c>
      <c r="N26" s="676">
        <v>96.355270000000004</v>
      </c>
      <c r="O26" s="676">
        <v>25.656130000000001</v>
      </c>
      <c r="P26" s="677">
        <v>0</v>
      </c>
      <c r="Q26" s="464">
        <v>67</v>
      </c>
      <c r="R26" s="464">
        <v>351</v>
      </c>
      <c r="S26" s="679">
        <f>IF(CampList[[#This Row],[HH]]&gt;0,CampList[[#This Row],[Total]]/CampList[[#This Row],[HH]],"NA")</f>
        <v>5.2388059701492535</v>
      </c>
      <c r="T26" s="653" t="s">
        <v>511</v>
      </c>
      <c r="U26" s="653" t="s">
        <v>1191</v>
      </c>
      <c r="V26" s="653" t="s">
        <v>554</v>
      </c>
      <c r="W26" s="653" t="s">
        <v>856</v>
      </c>
      <c r="X26" s="680">
        <v>41275</v>
      </c>
      <c r="Y26" s="681">
        <v>2</v>
      </c>
      <c r="Z26" s="680" t="s">
        <v>460</v>
      </c>
      <c r="AA26" s="693" t="s">
        <v>842</v>
      </c>
      <c r="AB26" s="682"/>
      <c r="AC26" s="683">
        <v>42809</v>
      </c>
      <c r="AD26" s="675" t="s">
        <v>1587</v>
      </c>
      <c r="AE26" s="685" t="s">
        <v>1093</v>
      </c>
      <c r="AF26" s="476">
        <f>IF(CampList[[#This Row],[Type of Accomodation]]="camp",MAX(0,CampList[[#This Row],[HH]]-SUMIF(Table_Shelter[Pcode],CampList[[#This Row],[CP_Pcode]],Table_Shelter[HH Covered])),0)</f>
        <v>47</v>
      </c>
      <c r="AG26" s="653"/>
      <c r="AH26" s="682">
        <f>MIN(CampList[[#This Row],[Shelter Gap]],CampList[[#This Row],[Land Status]])</f>
        <v>47</v>
      </c>
      <c r="AI26" s="653" t="str">
        <f ca="1">IFERROR(OFFSET(DistanceToCamp[Nearest Town],MATCH(CampList[[#This Row],[CP_Pcode]],DistanceToCamp[CP_Pcode],0)-1,0,1,1),"")</f>
        <v>Hpakant Town</v>
      </c>
      <c r="AJ26" s="686">
        <f ca="1">IFERROR(OFFSET(DistanceToCamp[distance],MATCH(CampList[[#This Row],[CP_Pcode]],DistanceToCamp[CP_Pcode],0)-1,0,1,1),"")</f>
        <v>6.4753396248436657</v>
      </c>
      <c r="AK26" s="687">
        <f ca="1">IFERROR(INT(CampList[[#This Row],[Distance]]/5)+1,"")</f>
        <v>2</v>
      </c>
      <c r="AL26" s="669"/>
      <c r="AM26" s="669"/>
      <c r="AN26" s="669"/>
      <c r="AO26" s="669"/>
      <c r="AP26" s="669"/>
      <c r="AQ26" s="669"/>
      <c r="AR26" s="669"/>
      <c r="AS26" s="669"/>
      <c r="AT26" s="669"/>
      <c r="AU26" s="669"/>
      <c r="AV26" s="669"/>
    </row>
    <row r="27" spans="1:48" s="444" customFormat="1" ht="15.75" customHeight="1" x14ac:dyDescent="0.25">
      <c r="A27" s="675" t="s">
        <v>500</v>
      </c>
      <c r="B27" s="651" t="s">
        <v>380</v>
      </c>
      <c r="C27" s="651" t="s">
        <v>525</v>
      </c>
      <c r="D27" s="651" t="s">
        <v>180</v>
      </c>
      <c r="E27" s="651" t="s">
        <v>526</v>
      </c>
      <c r="F27" s="651" t="s">
        <v>527</v>
      </c>
      <c r="G27" s="651" t="s">
        <v>528</v>
      </c>
      <c r="H27" s="684" t="s">
        <v>612</v>
      </c>
      <c r="I27" s="684" t="s">
        <v>613</v>
      </c>
      <c r="J27" s="684" t="s">
        <v>612</v>
      </c>
      <c r="K27" s="684">
        <v>166773</v>
      </c>
      <c r="L27" s="651" t="s">
        <v>120</v>
      </c>
      <c r="M27" s="651" t="s">
        <v>119</v>
      </c>
      <c r="N27" s="676">
        <v>96.361609999999999</v>
      </c>
      <c r="O27" s="676">
        <v>25.656009999999998</v>
      </c>
      <c r="P27" s="677">
        <v>317</v>
      </c>
      <c r="Q27" s="840">
        <v>72</v>
      </c>
      <c r="R27" s="841">
        <v>363</v>
      </c>
      <c r="S27" s="679">
        <f>IF(CampList[[#This Row],[HH]]&gt;0,CampList[[#This Row],[Total]]/CampList[[#This Row],[HH]],"NA")</f>
        <v>5.041666666666667</v>
      </c>
      <c r="T27" s="653" t="s">
        <v>511</v>
      </c>
      <c r="U27" s="653" t="s">
        <v>1191</v>
      </c>
      <c r="V27" s="653" t="s">
        <v>554</v>
      </c>
      <c r="W27" s="653" t="s">
        <v>856</v>
      </c>
      <c r="X27" s="680">
        <v>41275</v>
      </c>
      <c r="Y27" s="681"/>
      <c r="Z27" s="680" t="s">
        <v>1090</v>
      </c>
      <c r="AA27" s="693" t="s">
        <v>842</v>
      </c>
      <c r="AB27" s="682"/>
      <c r="AC27" s="683">
        <v>42780</v>
      </c>
      <c r="AD27" s="675" t="s">
        <v>1541</v>
      </c>
      <c r="AE27" s="685" t="s">
        <v>1093</v>
      </c>
      <c r="AF27" s="476">
        <f>IF(CampList[[#This Row],[Type of Accomodation]]="camp",MAX(0,CampList[[#This Row],[HH]]-SUMIF(Table_Shelter[Pcode],CampList[[#This Row],[CP_Pcode]],Table_Shelter[HH Covered])),0)</f>
        <v>60</v>
      </c>
      <c r="AG27" s="653"/>
      <c r="AH27" s="682">
        <f>MIN(CampList[[#This Row],[Shelter Gap]],CampList[[#This Row],[Land Status]])</f>
        <v>60</v>
      </c>
      <c r="AI27" s="653" t="str">
        <f ca="1">IFERROR(OFFSET(DistanceToCamp[Nearest Town],MATCH(CampList[[#This Row],[CP_Pcode]],DistanceToCamp[CP_Pcode],0)-1,0,1,1),"")</f>
        <v>Hpakant Town</v>
      </c>
      <c r="AJ27" s="686">
        <f ca="1">IFERROR(OFFSET(DistanceToCamp[distance],MATCH(CampList[[#This Row],[CP_Pcode]],DistanceToCamp[CP_Pcode],0)-1,0,1,1),"")</f>
        <v>6.3039408411778268</v>
      </c>
      <c r="AK27" s="687">
        <f ca="1">IFERROR(INT(CampList[[#This Row],[Distance]]/5)+1,"")</f>
        <v>2</v>
      </c>
      <c r="AL27" s="669"/>
      <c r="AM27" s="669"/>
      <c r="AN27" s="669"/>
      <c r="AO27" s="669"/>
      <c r="AP27" s="669"/>
      <c r="AQ27" s="669"/>
      <c r="AR27" s="669"/>
      <c r="AS27" s="669"/>
      <c r="AT27" s="669"/>
      <c r="AU27" s="669"/>
      <c r="AV27" s="669"/>
    </row>
    <row r="28" spans="1:48" s="444" customFormat="1" ht="15.75" customHeight="1" x14ac:dyDescent="0.25">
      <c r="A28" s="675" t="s">
        <v>500</v>
      </c>
      <c r="B28" s="651" t="s">
        <v>380</v>
      </c>
      <c r="C28" s="651" t="s">
        <v>525</v>
      </c>
      <c r="D28" s="651" t="s">
        <v>180</v>
      </c>
      <c r="E28" s="651" t="s">
        <v>526</v>
      </c>
      <c r="F28" s="651" t="s">
        <v>527</v>
      </c>
      <c r="G28" s="651" t="s">
        <v>528</v>
      </c>
      <c r="H28" s="652" t="s">
        <v>1441</v>
      </c>
      <c r="I28" s="696" t="s">
        <v>1442</v>
      </c>
      <c r="J28" s="652" t="s">
        <v>1450</v>
      </c>
      <c r="K28" s="652">
        <v>166819</v>
      </c>
      <c r="L28" s="55" t="s">
        <v>1445</v>
      </c>
      <c r="M28" s="652" t="s">
        <v>1451</v>
      </c>
      <c r="N28" s="729">
        <v>96.662092000000001</v>
      </c>
      <c r="O28" s="729">
        <v>25.920006000000001</v>
      </c>
      <c r="P28" s="698"/>
      <c r="Q28" s="476">
        <v>32</v>
      </c>
      <c r="R28" s="708">
        <v>83</v>
      </c>
      <c r="S28" s="679">
        <f>IF(CampList[[#This Row],[HH]]&gt;0,CampList[[#This Row],[Total]]/CampList[[#This Row],[HH]],"NA")</f>
        <v>2.59375</v>
      </c>
      <c r="T28" s="476" t="s">
        <v>511</v>
      </c>
      <c r="U28" s="653" t="s">
        <v>1191</v>
      </c>
      <c r="V28" s="476" t="s">
        <v>554</v>
      </c>
      <c r="W28" s="476" t="s">
        <v>856</v>
      </c>
      <c r="X28" s="699">
        <v>42584</v>
      </c>
      <c r="Y28" s="698"/>
      <c r="Z28" s="698"/>
      <c r="AA28" s="678" t="s">
        <v>842</v>
      </c>
      <c r="AB28" s="678"/>
      <c r="AC28" s="683">
        <v>42629</v>
      </c>
      <c r="AD28" s="700" t="s">
        <v>1456</v>
      </c>
      <c r="AE28" s="685"/>
      <c r="AF28" s="701">
        <f>IF(CampList[[#This Row],[Type of Accomodation]]="camp",MAX(0,CampList[[#This Row],[HH]]-SUMIF(Table_Shelter[Pcode],CampList[[#This Row],[CP_Pcode]],Table_Shelter[HH Covered])),0)</f>
        <v>32</v>
      </c>
      <c r="AG28" s="476"/>
      <c r="AH28" s="677">
        <f>MIN(CampList[[#This Row],[Shelter Gap]],CampList[[#This Row],[Land Status]])</f>
        <v>32</v>
      </c>
      <c r="AI28" s="701" t="str">
        <f ca="1">IFERROR(OFFSET(DistanceToCamp[Nearest Town],MATCH(CampList[[#This Row],[CP_Pcode]],DistanceToCamp[CP_Pcode],0)-1,0,1,1),"")</f>
        <v>Hpakant Town</v>
      </c>
      <c r="AJ28" s="686">
        <f ca="1">IFERROR(OFFSET(DistanceToCamp[distance],MATCH(CampList[[#This Row],[CP_Pcode]],DistanceToCamp[CP_Pcode],0)-1,0,1,1),"")</f>
        <v>0</v>
      </c>
      <c r="AK28" s="702">
        <f ca="1">IFERROR(INT(CampList[[#This Row],[Distance]]/5)+1,"")</f>
        <v>1</v>
      </c>
      <c r="AL28" s="669"/>
      <c r="AM28" s="669"/>
      <c r="AN28" s="669"/>
      <c r="AO28" s="669"/>
      <c r="AP28" s="669"/>
      <c r="AQ28" s="669"/>
      <c r="AR28" s="669"/>
      <c r="AS28" s="669"/>
      <c r="AT28" s="669"/>
      <c r="AU28" s="669"/>
      <c r="AV28" s="669"/>
    </row>
    <row r="29" spans="1:48" s="444" customFormat="1" ht="15.75" customHeight="1" x14ac:dyDescent="0.25">
      <c r="A29" s="675" t="s">
        <v>500</v>
      </c>
      <c r="B29" s="651" t="s">
        <v>380</v>
      </c>
      <c r="C29" s="651" t="s">
        <v>525</v>
      </c>
      <c r="D29" s="651" t="s">
        <v>180</v>
      </c>
      <c r="E29" s="651" t="s">
        <v>526</v>
      </c>
      <c r="F29" s="651" t="s">
        <v>527</v>
      </c>
      <c r="G29" s="651" t="s">
        <v>528</v>
      </c>
      <c r="H29" s="684" t="s">
        <v>612</v>
      </c>
      <c r="I29" s="684" t="s">
        <v>613</v>
      </c>
      <c r="J29" s="684" t="s">
        <v>612</v>
      </c>
      <c r="K29" s="691">
        <v>166773</v>
      </c>
      <c r="L29" s="651" t="s">
        <v>41</v>
      </c>
      <c r="M29" s="651" t="s">
        <v>40</v>
      </c>
      <c r="N29" s="676">
        <v>96.345569999999995</v>
      </c>
      <c r="O29" s="676">
        <v>25.635300000000001</v>
      </c>
      <c r="P29" s="677">
        <v>0</v>
      </c>
      <c r="Q29" s="839">
        <v>67</v>
      </c>
      <c r="R29" s="98">
        <v>353</v>
      </c>
      <c r="S29" s="679">
        <f>IF(CampList[[#This Row],[HH]]&gt;0,CampList[[#This Row],[Total]]/CampList[[#This Row],[HH]],"NA")</f>
        <v>5.2686567164179108</v>
      </c>
      <c r="T29" s="653" t="s">
        <v>511</v>
      </c>
      <c r="U29" s="653" t="s">
        <v>1191</v>
      </c>
      <c r="V29" s="653" t="s">
        <v>554</v>
      </c>
      <c r="W29" s="653" t="s">
        <v>803</v>
      </c>
      <c r="X29" s="680">
        <v>41275</v>
      </c>
      <c r="Y29" s="681">
        <v>1</v>
      </c>
      <c r="Z29" s="680" t="s">
        <v>505</v>
      </c>
      <c r="AA29" s="693" t="s">
        <v>842</v>
      </c>
      <c r="AB29" s="682"/>
      <c r="AC29" s="683">
        <v>42780</v>
      </c>
      <c r="AD29" s="675" t="s">
        <v>1557</v>
      </c>
      <c r="AE29" s="685" t="s">
        <v>1093</v>
      </c>
      <c r="AF29" s="476">
        <f>IF(CampList[[#This Row],[Type of Accomodation]]="camp",MAX(0,CampList[[#This Row],[HH]]-SUMIF(Table_Shelter[Pcode],CampList[[#This Row],[CP_Pcode]],Table_Shelter[HH Covered])),0)</f>
        <v>7</v>
      </c>
      <c r="AG29" s="653"/>
      <c r="AH29" s="682">
        <f>MIN(CampList[[#This Row],[Shelter Gap]],CampList[[#This Row],[Land Status]])</f>
        <v>7</v>
      </c>
      <c r="AI29" s="653" t="str">
        <f ca="1">IFERROR(OFFSET(DistanceToCamp[Nearest Town],MATCH(CampList[[#This Row],[CP_Pcode]],DistanceToCamp[CP_Pcode],0)-1,0,1,1),"")</f>
        <v>Hpakant Town</v>
      </c>
      <c r="AJ29" s="686">
        <f ca="1">IFERROR(OFFSET(DistanceToCamp[distance],MATCH(CampList[[#This Row],[CP_Pcode]],DistanceToCamp[CP_Pcode],0)-1,0,1,1),"")</f>
        <v>4.1842484710239098</v>
      </c>
      <c r="AK29" s="687">
        <f ca="1">IFERROR(INT(CampList[[#This Row],[Distance]]/5)+1,"")</f>
        <v>1</v>
      </c>
      <c r="AL29" s="669"/>
      <c r="AM29" s="669"/>
      <c r="AN29" s="669"/>
      <c r="AO29" s="669"/>
      <c r="AP29" s="669"/>
      <c r="AQ29" s="669"/>
      <c r="AR29" s="669"/>
      <c r="AS29" s="669"/>
      <c r="AT29" s="669"/>
      <c r="AU29" s="669"/>
      <c r="AV29" s="669"/>
    </row>
    <row r="30" spans="1:48" s="444" customFormat="1" ht="15.75" customHeight="1" x14ac:dyDescent="0.25">
      <c r="A30" s="675" t="s">
        <v>500</v>
      </c>
      <c r="B30" s="651" t="s">
        <v>380</v>
      </c>
      <c r="C30" s="651" t="s">
        <v>525</v>
      </c>
      <c r="D30" s="651" t="s">
        <v>180</v>
      </c>
      <c r="E30" s="651" t="s">
        <v>526</v>
      </c>
      <c r="F30" s="651" t="s">
        <v>527</v>
      </c>
      <c r="G30" s="651" t="s">
        <v>528</v>
      </c>
      <c r="H30" s="684" t="s">
        <v>603</v>
      </c>
      <c r="I30" s="684" t="s">
        <v>604</v>
      </c>
      <c r="J30" s="684" t="s">
        <v>607</v>
      </c>
      <c r="K30" s="684" t="s">
        <v>608</v>
      </c>
      <c r="L30" s="651" t="s">
        <v>43</v>
      </c>
      <c r="M30" s="651" t="s">
        <v>42</v>
      </c>
      <c r="N30" s="676">
        <v>96.317350000000005</v>
      </c>
      <c r="O30" s="676">
        <v>25.616509000000001</v>
      </c>
      <c r="P30" s="677">
        <v>264</v>
      </c>
      <c r="Q30" s="839">
        <v>14</v>
      </c>
      <c r="R30" s="98">
        <v>83</v>
      </c>
      <c r="S30" s="679">
        <f>IF(CampList[[#This Row],[HH]]&gt;0,CampList[[#This Row],[Total]]/CampList[[#This Row],[HH]],"NA")</f>
        <v>5.9285714285714288</v>
      </c>
      <c r="T30" s="653" t="s">
        <v>511</v>
      </c>
      <c r="U30" s="653" t="s">
        <v>1191</v>
      </c>
      <c r="V30" s="653" t="s">
        <v>554</v>
      </c>
      <c r="W30" s="476" t="s">
        <v>803</v>
      </c>
      <c r="X30" s="680">
        <v>41275</v>
      </c>
      <c r="Y30" s="681">
        <v>1</v>
      </c>
      <c r="Z30" s="680" t="s">
        <v>505</v>
      </c>
      <c r="AA30" s="693" t="s">
        <v>842</v>
      </c>
      <c r="AB30" s="682"/>
      <c r="AC30" s="683">
        <v>42780</v>
      </c>
      <c r="AD30" s="675" t="s">
        <v>1557</v>
      </c>
      <c r="AE30" s="685" t="s">
        <v>1093</v>
      </c>
      <c r="AF30" s="476">
        <f>IF(CampList[[#This Row],[Type of Accomodation]]="camp",MAX(0,CampList[[#This Row],[HH]]-SUMIF(Table_Shelter[Pcode],CampList[[#This Row],[CP_Pcode]],Table_Shelter[HH Covered])),0)</f>
        <v>4</v>
      </c>
      <c r="AG30" s="653"/>
      <c r="AH30" s="682">
        <f>MIN(CampList[[#This Row],[Shelter Gap]],CampList[[#This Row],[Land Status]])</f>
        <v>4</v>
      </c>
      <c r="AI30" s="653" t="str">
        <f ca="1">IFERROR(OFFSET(DistanceToCamp[Nearest Town],MATCH(CampList[[#This Row],[CP_Pcode]],DistanceToCamp[CP_Pcode],0)-1,0,1,1),"")</f>
        <v>Hpakant Town</v>
      </c>
      <c r="AJ30" s="686">
        <f ca="1">IFERROR(OFFSET(DistanceToCamp[distance],MATCH(CampList[[#This Row],[CP_Pcode]],DistanceToCamp[CP_Pcode],0)-1,0,1,1),"")</f>
        <v>0.66733171900141897</v>
      </c>
      <c r="AK30" s="687">
        <f ca="1">IFERROR(INT(CampList[[#This Row],[Distance]]/5)+1,"")</f>
        <v>1</v>
      </c>
      <c r="AL30" s="669"/>
      <c r="AM30" s="669"/>
      <c r="AN30" s="669"/>
      <c r="AO30" s="669"/>
      <c r="AP30" s="669"/>
      <c r="AQ30" s="669"/>
      <c r="AR30" s="669"/>
      <c r="AS30" s="669"/>
      <c r="AT30" s="669"/>
      <c r="AU30" s="669"/>
      <c r="AV30" s="669"/>
    </row>
    <row r="31" spans="1:48" s="444" customFormat="1" ht="15.75" customHeight="1" x14ac:dyDescent="0.25">
      <c r="A31" s="675" t="s">
        <v>500</v>
      </c>
      <c r="B31" s="651" t="s">
        <v>380</v>
      </c>
      <c r="C31" s="651" t="s">
        <v>525</v>
      </c>
      <c r="D31" s="651" t="s">
        <v>180</v>
      </c>
      <c r="E31" s="651" t="s">
        <v>526</v>
      </c>
      <c r="F31" s="651" t="s">
        <v>527</v>
      </c>
      <c r="G31" s="651" t="s">
        <v>528</v>
      </c>
      <c r="H31" s="684" t="s">
        <v>612</v>
      </c>
      <c r="I31" s="684" t="s">
        <v>613</v>
      </c>
      <c r="J31" s="684" t="s">
        <v>614</v>
      </c>
      <c r="K31" s="684">
        <v>166775</v>
      </c>
      <c r="L31" s="651" t="s">
        <v>52</v>
      </c>
      <c r="M31" s="651" t="s">
        <v>51</v>
      </c>
      <c r="N31" s="676">
        <v>96.346469999999997</v>
      </c>
      <c r="O31" s="676">
        <v>25.647649999999999</v>
      </c>
      <c r="P31" s="677">
        <v>0</v>
      </c>
      <c r="Q31" s="464">
        <v>38</v>
      </c>
      <c r="R31" s="464">
        <v>233</v>
      </c>
      <c r="S31" s="679">
        <f>IF(CampList[[#This Row],[HH]]&gt;0,CampList[[#This Row],[Total]]/CampList[[#This Row],[HH]],"NA")</f>
        <v>6.1315789473684212</v>
      </c>
      <c r="T31" s="653" t="s">
        <v>511</v>
      </c>
      <c r="U31" s="653" t="s">
        <v>1191</v>
      </c>
      <c r="V31" s="653" t="s">
        <v>554</v>
      </c>
      <c r="W31" s="653" t="s">
        <v>856</v>
      </c>
      <c r="X31" s="680">
        <v>41275</v>
      </c>
      <c r="Y31" s="681">
        <v>2</v>
      </c>
      <c r="Z31" s="680" t="s">
        <v>460</v>
      </c>
      <c r="AA31" s="693" t="s">
        <v>842</v>
      </c>
      <c r="AB31" s="682"/>
      <c r="AC31" s="683">
        <v>42809</v>
      </c>
      <c r="AD31" s="675" t="s">
        <v>1589</v>
      </c>
      <c r="AE31" s="685" t="s">
        <v>1093</v>
      </c>
      <c r="AF31" s="476">
        <f>IF(CampList[[#This Row],[Type of Accomodation]]="camp",MAX(0,CampList[[#This Row],[HH]]-SUMIF(Table_Shelter[Pcode],CampList[[#This Row],[CP_Pcode]],Table_Shelter[HH Covered])),0)</f>
        <v>18</v>
      </c>
      <c r="AG31" s="653"/>
      <c r="AH31" s="682">
        <f>MIN(CampList[[#This Row],[Shelter Gap]],CampList[[#This Row],[Land Status]])</f>
        <v>18</v>
      </c>
      <c r="AI31" s="653" t="str">
        <f ca="1">IFERROR(OFFSET(DistanceToCamp[Nearest Town],MATCH(CampList[[#This Row],[CP_Pcode]],DistanceToCamp[CP_Pcode],0)-1,0,1,1),"")</f>
        <v>Hpakant Town</v>
      </c>
      <c r="AJ31" s="686">
        <f ca="1">IFERROR(OFFSET(DistanceToCamp[distance],MATCH(CampList[[#This Row],[CP_Pcode]],DistanceToCamp[CP_Pcode],0)-1,0,1,1),"")</f>
        <v>5.184483270539272</v>
      </c>
      <c r="AK31" s="687">
        <f ca="1">IFERROR(INT(CampList[[#This Row],[Distance]]/5)+1,"")</f>
        <v>2</v>
      </c>
      <c r="AL31" s="669"/>
      <c r="AM31" s="669"/>
      <c r="AN31" s="669"/>
      <c r="AO31" s="669"/>
      <c r="AP31" s="669"/>
      <c r="AQ31" s="669"/>
      <c r="AR31" s="669"/>
      <c r="AS31" s="669"/>
      <c r="AT31" s="669"/>
      <c r="AU31" s="669"/>
      <c r="AV31" s="669"/>
    </row>
    <row r="32" spans="1:48" s="444" customFormat="1" ht="15.75" customHeight="1" x14ac:dyDescent="0.25">
      <c r="A32" s="675" t="s">
        <v>500</v>
      </c>
      <c r="B32" s="651" t="s">
        <v>380</v>
      </c>
      <c r="C32" s="651" t="s">
        <v>525</v>
      </c>
      <c r="D32" s="651" t="s">
        <v>180</v>
      </c>
      <c r="E32" s="651" t="s">
        <v>526</v>
      </c>
      <c r="F32" s="651" t="s">
        <v>527</v>
      </c>
      <c r="G32" s="651" t="s">
        <v>528</v>
      </c>
      <c r="H32" s="684" t="s">
        <v>598</v>
      </c>
      <c r="I32" s="684" t="s">
        <v>599</v>
      </c>
      <c r="J32" s="684" t="s">
        <v>598</v>
      </c>
      <c r="K32" s="684">
        <v>166783</v>
      </c>
      <c r="L32" s="651" t="s">
        <v>72</v>
      </c>
      <c r="M32" s="651" t="s">
        <v>71</v>
      </c>
      <c r="N32" s="676">
        <v>96.283377000000002</v>
      </c>
      <c r="O32" s="676">
        <v>25.582065</v>
      </c>
      <c r="P32" s="677">
        <v>0</v>
      </c>
      <c r="Q32" s="839">
        <v>6</v>
      </c>
      <c r="R32" s="98">
        <v>30</v>
      </c>
      <c r="S32" s="679">
        <f>IF(CampList[[#This Row],[HH]]&gt;0,CampList[[#This Row],[Total]]/CampList[[#This Row],[HH]],"NA")</f>
        <v>5</v>
      </c>
      <c r="T32" s="653" t="s">
        <v>511</v>
      </c>
      <c r="U32" s="653" t="s">
        <v>1191</v>
      </c>
      <c r="V32" s="653" t="s">
        <v>554</v>
      </c>
      <c r="W32" s="476" t="s">
        <v>803</v>
      </c>
      <c r="X32" s="680">
        <v>41487</v>
      </c>
      <c r="Y32" s="681">
        <v>1</v>
      </c>
      <c r="Z32" s="680" t="s">
        <v>505</v>
      </c>
      <c r="AA32" s="693" t="s">
        <v>842</v>
      </c>
      <c r="AB32" s="682"/>
      <c r="AC32" s="683">
        <v>42780</v>
      </c>
      <c r="AD32" s="675" t="s">
        <v>1558</v>
      </c>
      <c r="AE32" s="685" t="s">
        <v>1093</v>
      </c>
      <c r="AF32" s="476">
        <f>IF(CampList[[#This Row],[Type of Accomodation]]="camp",MAX(0,CampList[[#This Row],[HH]]-SUMIF(Table_Shelter[Pcode],CampList[[#This Row],[CP_Pcode]],Table_Shelter[HH Covered])),0)</f>
        <v>0</v>
      </c>
      <c r="AG32" s="653"/>
      <c r="AH32" s="682">
        <f>MIN(CampList[[#This Row],[Shelter Gap]],CampList[[#This Row],[Land Status]])</f>
        <v>0</v>
      </c>
      <c r="AI32" s="653" t="str">
        <f ca="1">IFERROR(OFFSET(DistanceToCamp[Nearest Town],MATCH(CampList[[#This Row],[CP_Pcode]],DistanceToCamp[CP_Pcode],0)-1,0,1,1),"")</f>
        <v>Hpakant Town</v>
      </c>
      <c r="AJ32" s="686">
        <f ca="1">IFERROR(OFFSET(DistanceToCamp[distance],MATCH(CampList[[#This Row],[CP_Pcode]],DistanceToCamp[CP_Pcode],0)-1,0,1,1),"")</f>
        <v>4.4704963044882238</v>
      </c>
      <c r="AK32" s="687">
        <f ca="1">IFERROR(INT(CampList[[#This Row],[Distance]]/5)+1,"")</f>
        <v>1</v>
      </c>
      <c r="AL32" s="669"/>
      <c r="AM32" s="669"/>
      <c r="AN32" s="669"/>
      <c r="AO32" s="669"/>
      <c r="AP32" s="669"/>
      <c r="AQ32" s="669"/>
      <c r="AR32" s="669"/>
      <c r="AS32" s="669"/>
      <c r="AT32" s="669"/>
      <c r="AU32" s="669"/>
      <c r="AV32" s="669"/>
    </row>
    <row r="33" spans="1:48" s="444" customFormat="1" ht="15.75" customHeight="1" x14ac:dyDescent="0.25">
      <c r="A33" s="675" t="s">
        <v>500</v>
      </c>
      <c r="B33" s="651" t="s">
        <v>380</v>
      </c>
      <c r="C33" s="651" t="s">
        <v>525</v>
      </c>
      <c r="D33" s="651" t="s">
        <v>180</v>
      </c>
      <c r="E33" s="651" t="s">
        <v>526</v>
      </c>
      <c r="F33" s="651" t="s">
        <v>527</v>
      </c>
      <c r="G33" s="651" t="s">
        <v>528</v>
      </c>
      <c r="H33" s="684" t="s">
        <v>612</v>
      </c>
      <c r="I33" s="684" t="s">
        <v>613</v>
      </c>
      <c r="J33" s="684" t="s">
        <v>1367</v>
      </c>
      <c r="K33" s="703">
        <v>216876</v>
      </c>
      <c r="L33" s="651" t="s">
        <v>76</v>
      </c>
      <c r="M33" s="651" t="s">
        <v>75</v>
      </c>
      <c r="N33" s="676">
        <v>96.35257</v>
      </c>
      <c r="O33" s="676">
        <v>25.637309999999999</v>
      </c>
      <c r="P33" s="677">
        <v>277.60000000000002</v>
      </c>
      <c r="Q33" s="839">
        <v>66</v>
      </c>
      <c r="R33" s="98">
        <v>362</v>
      </c>
      <c r="S33" s="679">
        <f>IF(CampList[[#This Row],[HH]]&gt;0,CampList[[#This Row],[Total]]/CampList[[#This Row],[HH]],"NA")</f>
        <v>5.4848484848484844</v>
      </c>
      <c r="T33" s="653" t="s">
        <v>511</v>
      </c>
      <c r="U33" s="653" t="s">
        <v>1191</v>
      </c>
      <c r="V33" s="653" t="s">
        <v>554</v>
      </c>
      <c r="W33" s="476" t="s">
        <v>803</v>
      </c>
      <c r="X33" s="680">
        <v>41275</v>
      </c>
      <c r="Y33" s="681">
        <v>1</v>
      </c>
      <c r="Z33" s="680" t="s">
        <v>505</v>
      </c>
      <c r="AA33" s="693" t="s">
        <v>842</v>
      </c>
      <c r="AB33" s="682"/>
      <c r="AC33" s="683">
        <v>42780</v>
      </c>
      <c r="AD33" s="675" t="s">
        <v>1560</v>
      </c>
      <c r="AE33" s="685" t="s">
        <v>1093</v>
      </c>
      <c r="AF33" s="476">
        <f>IF(CampList[[#This Row],[Type of Accomodation]]="camp",MAX(0,CampList[[#This Row],[HH]]-SUMIF(Table_Shelter[Pcode],CampList[[#This Row],[CP_Pcode]],Table_Shelter[HH Covered])),0)</f>
        <v>0</v>
      </c>
      <c r="AG33" s="653"/>
      <c r="AH33" s="682">
        <f>MIN(CampList[[#This Row],[Shelter Gap]],CampList[[#This Row],[Land Status]])</f>
        <v>0</v>
      </c>
      <c r="AI33" s="653" t="str">
        <f ca="1">IFERROR(OFFSET(DistanceToCamp[Nearest Town],MATCH(CampList[[#This Row],[CP_Pcode]],DistanceToCamp[CP_Pcode],0)-1,0,1,1),"")</f>
        <v>Hpakant Town</v>
      </c>
      <c r="AJ33" s="686">
        <f ca="1">IFERROR(OFFSET(DistanceToCamp[distance],MATCH(CampList[[#This Row],[CP_Pcode]],DistanceToCamp[CP_Pcode],0)-1,0,1,1),"")</f>
        <v>4.8862832644478198</v>
      </c>
      <c r="AK33" s="687">
        <f ca="1">IFERROR(INT(CampList[[#This Row],[Distance]]/5)+1,"")</f>
        <v>1</v>
      </c>
      <c r="AL33" s="669"/>
      <c r="AM33" s="669"/>
      <c r="AN33" s="669"/>
      <c r="AO33" s="669"/>
      <c r="AP33" s="669"/>
      <c r="AQ33" s="669"/>
      <c r="AR33" s="669"/>
      <c r="AS33" s="669"/>
      <c r="AT33" s="669"/>
      <c r="AU33" s="669"/>
      <c r="AV33" s="669"/>
    </row>
    <row r="34" spans="1:48" s="444" customFormat="1" ht="15.75" customHeight="1" x14ac:dyDescent="0.25">
      <c r="A34" s="675" t="s">
        <v>500</v>
      </c>
      <c r="B34" s="651" t="s">
        <v>380</v>
      </c>
      <c r="C34" s="651" t="s">
        <v>525</v>
      </c>
      <c r="D34" s="651" t="s">
        <v>180</v>
      </c>
      <c r="E34" s="651" t="s">
        <v>526</v>
      </c>
      <c r="F34" s="651" t="s">
        <v>527</v>
      </c>
      <c r="G34" s="651" t="s">
        <v>528</v>
      </c>
      <c r="H34" s="651" t="s">
        <v>1130</v>
      </c>
      <c r="I34" s="651" t="s">
        <v>1253</v>
      </c>
      <c r="J34" s="651" t="s">
        <v>1369</v>
      </c>
      <c r="K34" s="703">
        <v>220512</v>
      </c>
      <c r="L34" s="651" t="s">
        <v>88</v>
      </c>
      <c r="M34" s="651" t="s">
        <v>87</v>
      </c>
      <c r="N34" s="676">
        <v>96.705960000000005</v>
      </c>
      <c r="O34" s="676">
        <v>25.51352</v>
      </c>
      <c r="P34" s="677">
        <v>0</v>
      </c>
      <c r="Q34" s="476">
        <v>13</v>
      </c>
      <c r="R34" s="476">
        <v>46</v>
      </c>
      <c r="S34" s="679">
        <f>IF(CampList[[#This Row],[HH]]&gt;0,CampList[[#This Row],[Total]]/CampList[[#This Row],[HH]],"NA")</f>
        <v>3.5384615384615383</v>
      </c>
      <c r="T34" s="653" t="s">
        <v>511</v>
      </c>
      <c r="U34" s="653" t="s">
        <v>1191</v>
      </c>
      <c r="V34" s="653" t="s">
        <v>554</v>
      </c>
      <c r="W34" s="653" t="s">
        <v>803</v>
      </c>
      <c r="X34" s="680">
        <v>41183</v>
      </c>
      <c r="Y34" s="681">
        <v>1</v>
      </c>
      <c r="Z34" s="680" t="s">
        <v>460</v>
      </c>
      <c r="AA34" s="693" t="s">
        <v>842</v>
      </c>
      <c r="AB34" s="682"/>
      <c r="AC34" s="683">
        <v>42809</v>
      </c>
      <c r="AD34" s="675" t="s">
        <v>1593</v>
      </c>
      <c r="AE34" s="685" t="s">
        <v>1093</v>
      </c>
      <c r="AF34" s="476">
        <f>IF(CampList[[#This Row],[Type of Accomodation]]="camp",MAX(0,CampList[[#This Row],[HH]]-SUMIF(Table_Shelter[Pcode],CampList[[#This Row],[CP_Pcode]],Table_Shelter[HH Covered])),0)</f>
        <v>13</v>
      </c>
      <c r="AG34" s="653"/>
      <c r="AH34" s="682">
        <f>MIN(CampList[[#This Row],[Shelter Gap]],CampList[[#This Row],[Land Status]])</f>
        <v>13</v>
      </c>
      <c r="AI34" s="653" t="str">
        <f ca="1">IFERROR(OFFSET(DistanceToCamp[Nearest Town],MATCH(CampList[[#This Row],[CP_Pcode]],DistanceToCamp[CP_Pcode],0)-1,0,1,1),"")</f>
        <v>Kamaing Town</v>
      </c>
      <c r="AJ34" s="686">
        <f ca="1">IFERROR(OFFSET(DistanceToCamp[distance],MATCH(CampList[[#This Row],[CP_Pcode]],DistanceToCamp[CP_Pcode],0)-1,0,1,1),"")</f>
        <v>1.1537462444167914</v>
      </c>
      <c r="AK34" s="687">
        <f ca="1">IFERROR(INT(CampList[[#This Row],[Distance]]/5)+1,"")</f>
        <v>1</v>
      </c>
      <c r="AL34" s="669"/>
      <c r="AM34" s="669"/>
      <c r="AN34" s="669"/>
      <c r="AO34" s="669"/>
      <c r="AP34" s="669"/>
      <c r="AQ34" s="669"/>
      <c r="AR34" s="669"/>
      <c r="AS34" s="669"/>
      <c r="AT34" s="669"/>
      <c r="AU34" s="669"/>
      <c r="AV34" s="669"/>
    </row>
    <row r="35" spans="1:48" s="444" customFormat="1" ht="15.75" customHeight="1" x14ac:dyDescent="0.25">
      <c r="A35" s="675" t="s">
        <v>500</v>
      </c>
      <c r="B35" s="651" t="s">
        <v>380</v>
      </c>
      <c r="C35" s="651" t="s">
        <v>525</v>
      </c>
      <c r="D35" s="651" t="s">
        <v>180</v>
      </c>
      <c r="E35" s="651" t="s">
        <v>526</v>
      </c>
      <c r="F35" s="651" t="s">
        <v>527</v>
      </c>
      <c r="G35" s="651" t="s">
        <v>528</v>
      </c>
      <c r="H35" s="684" t="s">
        <v>603</v>
      </c>
      <c r="I35" s="684" t="s">
        <v>604</v>
      </c>
      <c r="J35" s="684" t="s">
        <v>607</v>
      </c>
      <c r="K35" s="684" t="s">
        <v>608</v>
      </c>
      <c r="L35" s="651" t="s">
        <v>44</v>
      </c>
      <c r="M35" s="651" t="s">
        <v>45</v>
      </c>
      <c r="N35" s="676">
        <v>96.316564</v>
      </c>
      <c r="O35" s="676">
        <v>25.615960999999999</v>
      </c>
      <c r="P35" s="677">
        <v>281</v>
      </c>
      <c r="Q35" s="839">
        <v>5</v>
      </c>
      <c r="R35" s="98">
        <v>34</v>
      </c>
      <c r="S35" s="679">
        <f>IF(CampList[[#This Row],[HH]]&gt;0,CampList[[#This Row],[Total]]/CampList[[#This Row],[HH]],"NA")</f>
        <v>6.8</v>
      </c>
      <c r="T35" s="653" t="s">
        <v>511</v>
      </c>
      <c r="U35" s="653" t="s">
        <v>1191</v>
      </c>
      <c r="V35" s="653" t="s">
        <v>554</v>
      </c>
      <c r="W35" s="653" t="s">
        <v>803</v>
      </c>
      <c r="X35" s="680">
        <v>41122</v>
      </c>
      <c r="Y35" s="681">
        <v>1</v>
      </c>
      <c r="Z35" s="680" t="s">
        <v>505</v>
      </c>
      <c r="AA35" s="693" t="s">
        <v>842</v>
      </c>
      <c r="AB35" s="682"/>
      <c r="AC35" s="683">
        <v>42780</v>
      </c>
      <c r="AD35" s="675" t="s">
        <v>1562</v>
      </c>
      <c r="AE35" s="685" t="s">
        <v>1093</v>
      </c>
      <c r="AF35" s="476">
        <f>IF(CampList[[#This Row],[Type of Accomodation]]="camp",MAX(0,CampList[[#This Row],[HH]]-SUMIF(Table_Shelter[Pcode],CampList[[#This Row],[CP_Pcode]],Table_Shelter[HH Covered])),0)</f>
        <v>0</v>
      </c>
      <c r="AG35" s="653"/>
      <c r="AH35" s="682">
        <f>MIN(CampList[[#This Row],[Shelter Gap]],CampList[[#This Row],[Land Status]])</f>
        <v>0</v>
      </c>
      <c r="AI35" s="653" t="str">
        <f ca="1">IFERROR(OFFSET(DistanceToCamp[Nearest Town],MATCH(CampList[[#This Row],[CP_Pcode]],DistanceToCamp[CP_Pcode],0)-1,0,1,1),"")</f>
        <v>Hpakant Town</v>
      </c>
      <c r="AJ35" s="686">
        <f ca="1">IFERROR(OFFSET(DistanceToCamp[distance],MATCH(CampList[[#This Row],[CP_Pcode]],DistanceToCamp[CP_Pcode],0)-1,0,1,1),"")</f>
        <v>0.56771790814545575</v>
      </c>
      <c r="AK35" s="687">
        <f ca="1">IFERROR(INT(CampList[[#This Row],[Distance]]/5)+1,"")</f>
        <v>1</v>
      </c>
      <c r="AL35" s="669"/>
      <c r="AM35" s="669"/>
      <c r="AN35" s="669"/>
      <c r="AO35" s="669"/>
      <c r="AP35" s="669"/>
      <c r="AQ35" s="669"/>
      <c r="AR35" s="669"/>
      <c r="AS35" s="669"/>
      <c r="AT35" s="669"/>
      <c r="AU35" s="669"/>
      <c r="AV35" s="669"/>
    </row>
    <row r="36" spans="1:48" s="444" customFormat="1" ht="15.75" customHeight="1" x14ac:dyDescent="0.25">
      <c r="A36" s="675" t="s">
        <v>500</v>
      </c>
      <c r="B36" s="651" t="s">
        <v>380</v>
      </c>
      <c r="C36" s="651" t="s">
        <v>525</v>
      </c>
      <c r="D36" s="651" t="s">
        <v>180</v>
      </c>
      <c r="E36" s="651" t="s">
        <v>526</v>
      </c>
      <c r="F36" s="651" t="s">
        <v>527</v>
      </c>
      <c r="G36" s="651" t="s">
        <v>528</v>
      </c>
      <c r="H36" s="684" t="s">
        <v>609</v>
      </c>
      <c r="I36" s="684" t="s">
        <v>610</v>
      </c>
      <c r="J36" s="684" t="s">
        <v>609</v>
      </c>
      <c r="K36" s="684">
        <v>166776</v>
      </c>
      <c r="L36" s="651" t="s">
        <v>1065</v>
      </c>
      <c r="M36" s="651" t="s">
        <v>1066</v>
      </c>
      <c r="N36" s="676">
        <v>96.312790000000007</v>
      </c>
      <c r="O36" s="676">
        <v>25.611160000000002</v>
      </c>
      <c r="P36" s="698"/>
      <c r="Q36" s="476">
        <v>103</v>
      </c>
      <c r="R36" s="476">
        <v>490</v>
      </c>
      <c r="S36" s="679">
        <f>IF(CampList[[#This Row],[HH]]&gt;0,CampList[[#This Row],[Total]]/CampList[[#This Row],[HH]],"NA")</f>
        <v>4.7572815533980579</v>
      </c>
      <c r="T36" s="653" t="s">
        <v>511</v>
      </c>
      <c r="U36" s="653" t="s">
        <v>1191</v>
      </c>
      <c r="V36" s="653" t="s">
        <v>554</v>
      </c>
      <c r="W36" s="653" t="s">
        <v>803</v>
      </c>
      <c r="X36" s="699">
        <v>41122</v>
      </c>
      <c r="Y36" s="698"/>
      <c r="Z36" s="682" t="s">
        <v>460</v>
      </c>
      <c r="AA36" s="682" t="s">
        <v>842</v>
      </c>
      <c r="AB36" s="682"/>
      <c r="AC36" s="683">
        <v>42809</v>
      </c>
      <c r="AD36" s="684" t="s">
        <v>1594</v>
      </c>
      <c r="AE36" s="708" t="s">
        <v>1093</v>
      </c>
      <c r="AF36" s="476">
        <f>IF(CampList[[#This Row],[Type of Accomodation]]="camp",MAX(0,CampList[[#This Row],[HH]]-SUMIF(Table_Shelter[Pcode],CampList[[#This Row],[CP_Pcode]],Table_Shelter[HH Covered])),0)</f>
        <v>103</v>
      </c>
      <c r="AG36" s="653"/>
      <c r="AH36" s="682">
        <f>MIN(CampList[[#This Row],[Shelter Gap]],CampList[[#This Row],[Land Status]])</f>
        <v>103</v>
      </c>
      <c r="AI36" s="653" t="str">
        <f ca="1">IFERROR(OFFSET(DistanceToCamp[Nearest Town],MATCH(CampList[[#This Row],[CP_Pcode]],DistanceToCamp[CP_Pcode],0)-1,0,1,1),"")</f>
        <v>Hpakant Town</v>
      </c>
      <c r="AJ36" s="686">
        <f ca="1">IFERROR(OFFSET(DistanceToCamp[distance],MATCH(CampList[[#This Row],[CP_Pcode]],DistanceToCamp[CP_Pcode],0)-1,0,1,1),"")</f>
        <v>0.19374952337076978</v>
      </c>
      <c r="AK36" s="702">
        <f ca="1">IFERROR(INT(CampList[[#This Row],[Distance]]/5)+1,"")</f>
        <v>1</v>
      </c>
      <c r="AL36" s="669"/>
      <c r="AM36" s="669"/>
      <c r="AN36" s="669"/>
      <c r="AO36" s="669"/>
      <c r="AP36" s="669"/>
      <c r="AQ36" s="669"/>
      <c r="AR36" s="669"/>
      <c r="AS36" s="669"/>
      <c r="AT36" s="669"/>
      <c r="AU36" s="669"/>
      <c r="AV36" s="669"/>
    </row>
    <row r="37" spans="1:48" s="444" customFormat="1" ht="15.75" customHeight="1" x14ac:dyDescent="0.25">
      <c r="A37" s="675" t="s">
        <v>500</v>
      </c>
      <c r="B37" s="651" t="s">
        <v>380</v>
      </c>
      <c r="C37" s="651" t="s">
        <v>525</v>
      </c>
      <c r="D37" s="651" t="s">
        <v>180</v>
      </c>
      <c r="E37" s="651" t="s">
        <v>526</v>
      </c>
      <c r="F37" s="651" t="s">
        <v>527</v>
      </c>
      <c r="G37" s="651" t="s">
        <v>528</v>
      </c>
      <c r="H37" s="651" t="s">
        <v>612</v>
      </c>
      <c r="I37" s="651" t="s">
        <v>613</v>
      </c>
      <c r="J37" s="651" t="s">
        <v>760</v>
      </c>
      <c r="K37" s="651">
        <v>216877</v>
      </c>
      <c r="L37" s="651" t="s">
        <v>1120</v>
      </c>
      <c r="M37" s="651" t="s">
        <v>1121</v>
      </c>
      <c r="N37" s="678">
        <v>96.637</v>
      </c>
      <c r="O37" s="678">
        <v>25.806999999999999</v>
      </c>
      <c r="P37" s="698"/>
      <c r="Q37" s="476">
        <v>52</v>
      </c>
      <c r="R37" s="476">
        <v>242</v>
      </c>
      <c r="S37" s="679">
        <f>IF(CampList[[#This Row],[HH]]&gt;0,CampList[[#This Row],[Total]]/CampList[[#This Row],[HH]],"NA")</f>
        <v>4.6538461538461542</v>
      </c>
      <c r="T37" s="653" t="s">
        <v>511</v>
      </c>
      <c r="U37" s="653" t="s">
        <v>1191</v>
      </c>
      <c r="V37" s="653" t="s">
        <v>554</v>
      </c>
      <c r="W37" s="653" t="s">
        <v>856</v>
      </c>
      <c r="X37" s="680">
        <v>42019</v>
      </c>
      <c r="Y37" s="698"/>
      <c r="Z37" s="682" t="s">
        <v>460</v>
      </c>
      <c r="AA37" s="682" t="s">
        <v>842</v>
      </c>
      <c r="AB37" s="682"/>
      <c r="AC37" s="683">
        <v>42809</v>
      </c>
      <c r="AD37" s="684" t="s">
        <v>1598</v>
      </c>
      <c r="AE37" s="685"/>
      <c r="AF37" s="476">
        <f>IF(CampList[[#This Row],[Type of Accomodation]]="camp",MAX(0,CampList[[#This Row],[HH]]-SUMIF(Table_Shelter[Pcode],CampList[[#This Row],[CP_Pcode]],Table_Shelter[HH Covered])),0)</f>
        <v>2</v>
      </c>
      <c r="AG37" s="653"/>
      <c r="AH37" s="682">
        <f>MIN(CampList[[#This Row],[Shelter Gap]],CampList[[#This Row],[Land Status]])</f>
        <v>2</v>
      </c>
      <c r="AI37" s="653" t="str">
        <f ca="1">IFERROR(OFFSET(DistanceToCamp[Nearest Town],MATCH(CampList[[#This Row],[CP_Pcode]],DistanceToCamp[CP_Pcode],0)-1,0,1,1),"")</f>
        <v>Hpakant Town</v>
      </c>
      <c r="AJ37" s="686">
        <f ca="1">IFERROR(OFFSET(DistanceToCamp[distance],MATCH(CampList[[#This Row],[CP_Pcode]],DistanceToCamp[CP_Pcode],0)-1,0,1,1),"")</f>
        <v>10</v>
      </c>
      <c r="AK37" s="702">
        <f ca="1">IFERROR(INT(CampList[[#This Row],[Distance]]/5)+1,"")</f>
        <v>3</v>
      </c>
      <c r="AL37" s="669"/>
      <c r="AM37" s="669"/>
      <c r="AN37" s="669"/>
      <c r="AO37" s="669"/>
      <c r="AP37" s="669"/>
      <c r="AQ37" s="669"/>
      <c r="AR37" s="669"/>
      <c r="AS37" s="669"/>
      <c r="AT37" s="669"/>
      <c r="AU37" s="669"/>
      <c r="AV37" s="669"/>
    </row>
    <row r="38" spans="1:48" s="444" customFormat="1" ht="15.75" hidden="1" customHeight="1" x14ac:dyDescent="0.25">
      <c r="A38" s="675" t="s">
        <v>843</v>
      </c>
      <c r="B38" s="651" t="s">
        <v>380</v>
      </c>
      <c r="C38" s="651" t="s">
        <v>525</v>
      </c>
      <c r="D38" s="651" t="s">
        <v>237</v>
      </c>
      <c r="E38" s="651" t="s">
        <v>531</v>
      </c>
      <c r="F38" s="651" t="s">
        <v>310</v>
      </c>
      <c r="G38" s="651" t="s">
        <v>532</v>
      </c>
      <c r="H38" s="684" t="s">
        <v>749</v>
      </c>
      <c r="I38" s="684" t="s">
        <v>750</v>
      </c>
      <c r="J38" s="684" t="s">
        <v>749</v>
      </c>
      <c r="K38" s="684">
        <v>165750</v>
      </c>
      <c r="L38" s="651" t="s">
        <v>1247</v>
      </c>
      <c r="M38" s="651" t="s">
        <v>360</v>
      </c>
      <c r="N38" s="676"/>
      <c r="O38" s="676"/>
      <c r="P38" s="698"/>
      <c r="Q38" s="840">
        <v>0</v>
      </c>
      <c r="R38" s="841">
        <v>0</v>
      </c>
      <c r="S38" s="679" t="str">
        <f>IF(CampList[[#This Row],[HH]]&gt;0,CampList[[#This Row],[Total]]/CampList[[#This Row],[HH]],"NA")</f>
        <v>NA</v>
      </c>
      <c r="T38" s="653" t="s">
        <v>511</v>
      </c>
      <c r="U38" s="688" t="s">
        <v>1191</v>
      </c>
      <c r="V38" s="653" t="s">
        <v>554</v>
      </c>
      <c r="W38" s="688"/>
      <c r="X38" s="706"/>
      <c r="Y38" s="697"/>
      <c r="Z38" s="707"/>
      <c r="AA38" s="693"/>
      <c r="AB38" s="682"/>
      <c r="AC38" s="710"/>
      <c r="AD38" s="675" t="s">
        <v>601</v>
      </c>
      <c r="AE38" s="708" t="s">
        <v>1007</v>
      </c>
      <c r="AF38" s="476">
        <f>IF(CampList[[#This Row],[Type of Accomodation]]="camp",MAX(0,CampList[[#This Row],[HH]]-SUMIF(Table_Shelter[Pcode],CampList[[#This Row],[CP_Pcode]],Table_Shelter[HH Covered])),0)</f>
        <v>0</v>
      </c>
      <c r="AG38" s="653"/>
      <c r="AH38" s="682">
        <f>MIN(CampList[[#This Row],[Shelter Gap]],CampList[[#This Row],[Land Status]])</f>
        <v>0</v>
      </c>
      <c r="AI38" s="653" t="str">
        <f ca="1">IFERROR(OFFSET(DistanceToCamp[Nearest Town],MATCH(CampList[[#This Row],[CP_Pcode]],DistanceToCamp[CP_Pcode],0)-1,0,1,1),"")</f>
        <v/>
      </c>
      <c r="AJ38" s="686" t="str">
        <f ca="1">IFERROR(OFFSET(DistanceToCamp[distance],MATCH(CampList[[#This Row],[CP_Pcode]],DistanceToCamp[CP_Pcode],0)-1,0,1,1),"")</f>
        <v/>
      </c>
      <c r="AK38" s="687" t="str">
        <f ca="1">IFERROR(INT(CampList[[#This Row],[Distance]]/5)+1,"")</f>
        <v/>
      </c>
      <c r="AL38" s="669"/>
      <c r="AM38" s="669"/>
      <c r="AN38" s="669"/>
      <c r="AO38" s="669"/>
      <c r="AP38" s="669"/>
      <c r="AQ38" s="669"/>
      <c r="AR38" s="669"/>
      <c r="AS38" s="669"/>
      <c r="AT38" s="669"/>
      <c r="AU38" s="669"/>
      <c r="AV38" s="669"/>
    </row>
    <row r="39" spans="1:48" s="444" customFormat="1" ht="15.75" hidden="1" customHeight="1" x14ac:dyDescent="0.25">
      <c r="A39" s="675" t="s">
        <v>843</v>
      </c>
      <c r="B39" s="651" t="s">
        <v>380</v>
      </c>
      <c r="C39" s="651" t="s">
        <v>525</v>
      </c>
      <c r="D39" s="651" t="s">
        <v>237</v>
      </c>
      <c r="E39" s="651" t="s">
        <v>531</v>
      </c>
      <c r="F39" s="651" t="s">
        <v>310</v>
      </c>
      <c r="G39" s="651" t="s">
        <v>532</v>
      </c>
      <c r="H39" s="684" t="s">
        <v>624</v>
      </c>
      <c r="I39" s="651" t="s">
        <v>625</v>
      </c>
      <c r="J39" s="684" t="s">
        <v>624</v>
      </c>
      <c r="K39" s="684">
        <v>165735</v>
      </c>
      <c r="L39" s="651" t="s">
        <v>1246</v>
      </c>
      <c r="M39" s="651" t="s">
        <v>359</v>
      </c>
      <c r="N39" s="676">
        <v>97.421104</v>
      </c>
      <c r="O39" s="676">
        <v>25.328987000000001</v>
      </c>
      <c r="P39" s="698"/>
      <c r="Q39" s="840">
        <v>0</v>
      </c>
      <c r="R39" s="841">
        <v>0</v>
      </c>
      <c r="S39" s="679" t="str">
        <f>IF(CampList[[#This Row],[HH]]&gt;0,CampList[[#This Row],[Total]]/CampList[[#This Row],[HH]],"NA")</f>
        <v>NA</v>
      </c>
      <c r="T39" s="653" t="s">
        <v>511</v>
      </c>
      <c r="U39" s="688" t="s">
        <v>1191</v>
      </c>
      <c r="V39" s="653" t="s">
        <v>554</v>
      </c>
      <c r="W39" s="688"/>
      <c r="X39" s="706"/>
      <c r="Y39" s="697"/>
      <c r="Z39" s="707"/>
      <c r="AA39" s="693"/>
      <c r="AB39" s="682"/>
      <c r="AC39" s="710"/>
      <c r="AD39" s="675" t="s">
        <v>601</v>
      </c>
      <c r="AE39" s="708" t="s">
        <v>1007</v>
      </c>
      <c r="AF39" s="476">
        <f>IF(CampList[[#This Row],[Type of Accomodation]]="camp",MAX(0,CampList[[#This Row],[HH]]-SUMIF(Table_Shelter[Pcode],CampList[[#This Row],[CP_Pcode]],Table_Shelter[HH Covered])),0)</f>
        <v>0</v>
      </c>
      <c r="AG39" s="653"/>
      <c r="AH39" s="682">
        <f>MIN(CampList[[#This Row],[Shelter Gap]],CampList[[#This Row],[Land Status]])</f>
        <v>0</v>
      </c>
      <c r="AI39" s="653" t="str">
        <f ca="1">IFERROR(OFFSET(DistanceToCamp[Nearest Town],MATCH(CampList[[#This Row],[CP_Pcode]],DistanceToCamp[CP_Pcode],0)-1,0,1,1),"")</f>
        <v/>
      </c>
      <c r="AJ39" s="686" t="str">
        <f ca="1">IFERROR(OFFSET(DistanceToCamp[distance],MATCH(CampList[[#This Row],[CP_Pcode]],DistanceToCamp[CP_Pcode],0)-1,0,1,1),"")</f>
        <v/>
      </c>
      <c r="AK39" s="687" t="str">
        <f ca="1">IFERROR(INT(CampList[[#This Row],[Distance]]/5)+1,"")</f>
        <v/>
      </c>
      <c r="AL39" s="669"/>
      <c r="AM39" s="669"/>
      <c r="AN39" s="669"/>
      <c r="AO39" s="669"/>
      <c r="AP39" s="669"/>
      <c r="AQ39" s="669"/>
      <c r="AR39" s="669"/>
      <c r="AS39" s="669"/>
      <c r="AT39" s="669"/>
      <c r="AU39" s="669"/>
      <c r="AV39" s="669"/>
    </row>
    <row r="40" spans="1:48" s="444" customFormat="1" ht="15.75" hidden="1" customHeight="1" x14ac:dyDescent="0.25">
      <c r="A40" s="675" t="s">
        <v>843</v>
      </c>
      <c r="B40" s="651" t="s">
        <v>380</v>
      </c>
      <c r="C40" s="651" t="s">
        <v>525</v>
      </c>
      <c r="D40" s="651" t="s">
        <v>237</v>
      </c>
      <c r="E40" s="651" t="s">
        <v>531</v>
      </c>
      <c r="F40" s="651" t="s">
        <v>310</v>
      </c>
      <c r="G40" s="651" t="s">
        <v>532</v>
      </c>
      <c r="H40" s="651" t="s">
        <v>695</v>
      </c>
      <c r="I40" s="651" t="s">
        <v>696</v>
      </c>
      <c r="J40" s="651" t="s">
        <v>716</v>
      </c>
      <c r="K40" s="651" t="s">
        <v>717</v>
      </c>
      <c r="L40" s="651" t="s">
        <v>311</v>
      </c>
      <c r="M40" s="651" t="s">
        <v>309</v>
      </c>
      <c r="N40" s="676">
        <v>97.438259000000002</v>
      </c>
      <c r="O40" s="676">
        <v>25.355841999999999</v>
      </c>
      <c r="P40" s="692">
        <v>0</v>
      </c>
      <c r="Q40" s="701"/>
      <c r="R40" s="708"/>
      <c r="S40" s="679" t="str">
        <f>IF(CampList[[#This Row],[HH]]&gt;0,CampList[[#This Row],[Total]]/CampList[[#This Row],[HH]],"NA")</f>
        <v>NA</v>
      </c>
      <c r="T40" s="653" t="s">
        <v>511</v>
      </c>
      <c r="U40" s="653" t="s">
        <v>1191</v>
      </c>
      <c r="V40" s="653" t="s">
        <v>986</v>
      </c>
      <c r="W40" s="653" t="s">
        <v>803</v>
      </c>
      <c r="X40" s="680">
        <v>40848</v>
      </c>
      <c r="Y40" s="681">
        <v>1</v>
      </c>
      <c r="Z40" s="680" t="s">
        <v>460</v>
      </c>
      <c r="AA40" s="682" t="s">
        <v>842</v>
      </c>
      <c r="AB40" s="682"/>
      <c r="AC40" s="683">
        <v>42432</v>
      </c>
      <c r="AD40" s="684" t="s">
        <v>1342</v>
      </c>
      <c r="AE40" s="685" t="s">
        <v>1093</v>
      </c>
      <c r="AF40" s="476">
        <f>IF(CampList[[#This Row],[Type of Accomodation]]="camp",MAX(0,CampList[[#This Row],[HH]]-SUMIF(Table_Shelter[Pcode],CampList[[#This Row],[CP_Pcode]],Table_Shelter[HH Covered])),0)</f>
        <v>0</v>
      </c>
      <c r="AG40" s="653"/>
      <c r="AH40" s="682">
        <f>MIN(CampList[[#This Row],[Shelter Gap]],CampList[[#This Row],[Land Status]])</f>
        <v>0</v>
      </c>
      <c r="AI40" s="653" t="str">
        <f ca="1">IFERROR(OFFSET(DistanceToCamp[Nearest Town],MATCH(CampList[[#This Row],[CP_Pcode]],DistanceToCamp[CP_Pcode],0)-1,0,1,1),"")</f>
        <v>Waingmaw Town</v>
      </c>
      <c r="AJ40" s="686">
        <f ca="1">IFERROR(OFFSET(DistanceToCamp[distance],MATCH(CampList[[#This Row],[CP_Pcode]],DistanceToCamp[CP_Pcode],0)-1,0,1,1),"")</f>
        <v>0.70725493400809891</v>
      </c>
      <c r="AK40" s="687">
        <f ca="1">IFERROR(INT(CampList[[#This Row],[Distance]]/5)+1,"")</f>
        <v>1</v>
      </c>
      <c r="AL40" s="669"/>
      <c r="AM40" s="669"/>
      <c r="AN40" s="669"/>
      <c r="AO40" s="669"/>
      <c r="AP40" s="669"/>
      <c r="AQ40" s="669"/>
      <c r="AR40" s="669"/>
      <c r="AS40" s="669"/>
      <c r="AT40" s="669"/>
      <c r="AU40" s="669"/>
      <c r="AV40" s="669"/>
    </row>
    <row r="41" spans="1:48" s="444" customFormat="1" ht="15.75" customHeight="1" x14ac:dyDescent="0.25">
      <c r="A41" s="675" t="s">
        <v>500</v>
      </c>
      <c r="B41" s="651" t="s">
        <v>380</v>
      </c>
      <c r="C41" s="651" t="s">
        <v>525</v>
      </c>
      <c r="D41" s="651" t="s">
        <v>180</v>
      </c>
      <c r="E41" s="651" t="s">
        <v>526</v>
      </c>
      <c r="F41" s="651" t="s">
        <v>527</v>
      </c>
      <c r="G41" s="651" t="s">
        <v>528</v>
      </c>
      <c r="H41" s="651" t="s">
        <v>598</v>
      </c>
      <c r="I41" s="651" t="s">
        <v>599</v>
      </c>
      <c r="J41" s="684" t="s">
        <v>600</v>
      </c>
      <c r="K41" s="684">
        <v>166785</v>
      </c>
      <c r="L41" s="651" t="s">
        <v>90</v>
      </c>
      <c r="M41" s="651" t="s">
        <v>89</v>
      </c>
      <c r="N41" s="676">
        <v>96.269199999999998</v>
      </c>
      <c r="O41" s="676">
        <v>25.566510000000001</v>
      </c>
      <c r="P41" s="677">
        <v>278</v>
      </c>
      <c r="Q41" s="839">
        <v>25</v>
      </c>
      <c r="R41" s="98">
        <v>118</v>
      </c>
      <c r="S41" s="679">
        <f>IF(CampList[[#This Row],[HH]]&gt;0,CampList[[#This Row],[Total]]/CampList[[#This Row],[HH]],"NA")</f>
        <v>4.72</v>
      </c>
      <c r="T41" s="653" t="s">
        <v>511</v>
      </c>
      <c r="U41" s="653" t="s">
        <v>1191</v>
      </c>
      <c r="V41" s="653" t="s">
        <v>554</v>
      </c>
      <c r="W41" s="653" t="s">
        <v>856</v>
      </c>
      <c r="X41" s="680">
        <v>41275</v>
      </c>
      <c r="Y41" s="681">
        <v>1</v>
      </c>
      <c r="Z41" s="680" t="s">
        <v>505</v>
      </c>
      <c r="AA41" s="693" t="s">
        <v>842</v>
      </c>
      <c r="AB41" s="682"/>
      <c r="AC41" s="683">
        <v>42780</v>
      </c>
      <c r="AD41" s="675" t="s">
        <v>1564</v>
      </c>
      <c r="AE41" s="685" t="s">
        <v>1093</v>
      </c>
      <c r="AF41" s="476">
        <f>IF(CampList[[#This Row],[Type of Accomodation]]="camp",MAX(0,CampList[[#This Row],[HH]]-SUMIF(Table_Shelter[Pcode],CampList[[#This Row],[CP_Pcode]],Table_Shelter[HH Covered])),0)</f>
        <v>0</v>
      </c>
      <c r="AG41" s="653"/>
      <c r="AH41" s="682">
        <f>MIN(CampList[[#This Row],[Shelter Gap]],CampList[[#This Row],[Land Status]])</f>
        <v>0</v>
      </c>
      <c r="AI41" s="653" t="str">
        <f ca="1">IFERROR(OFFSET(DistanceToCamp[Nearest Town],MATCH(CampList[[#This Row],[CP_Pcode]],DistanceToCamp[CP_Pcode],0)-1,0,1,1),"")</f>
        <v>Hpakant Town</v>
      </c>
      <c r="AJ41" s="686">
        <f ca="1">IFERROR(OFFSET(DistanceToCamp[distance],MATCH(CampList[[#This Row],[CP_Pcode]],DistanceToCamp[CP_Pcode],0)-1,0,1,1),"")</f>
        <v>6.7094919928483892</v>
      </c>
      <c r="AK41" s="687">
        <f ca="1">IFERROR(INT(CampList[[#This Row],[Distance]]/5)+1,"")</f>
        <v>2</v>
      </c>
      <c r="AL41" s="669"/>
      <c r="AM41" s="669"/>
      <c r="AN41" s="669"/>
      <c r="AO41" s="669"/>
      <c r="AP41" s="669"/>
      <c r="AQ41" s="669"/>
      <c r="AR41" s="669"/>
      <c r="AS41" s="669"/>
      <c r="AT41" s="669"/>
      <c r="AU41" s="669"/>
      <c r="AV41" s="669"/>
    </row>
    <row r="42" spans="1:48" s="444" customFormat="1" ht="15.75" customHeight="1" x14ac:dyDescent="0.25">
      <c r="A42" s="675" t="s">
        <v>500</v>
      </c>
      <c r="B42" s="651" t="s">
        <v>380</v>
      </c>
      <c r="C42" s="651" t="s">
        <v>525</v>
      </c>
      <c r="D42" s="651" t="s">
        <v>180</v>
      </c>
      <c r="E42" s="651" t="s">
        <v>526</v>
      </c>
      <c r="F42" s="651" t="s">
        <v>527</v>
      </c>
      <c r="G42" s="651" t="s">
        <v>528</v>
      </c>
      <c r="H42" s="651" t="s">
        <v>603</v>
      </c>
      <c r="I42" s="651" t="s">
        <v>604</v>
      </c>
      <c r="J42" s="651" t="s">
        <v>607</v>
      </c>
      <c r="K42" s="651" t="s">
        <v>608</v>
      </c>
      <c r="L42" s="651" t="s">
        <v>92</v>
      </c>
      <c r="M42" s="651" t="s">
        <v>91</v>
      </c>
      <c r="N42" s="676">
        <v>96.316400000000002</v>
      </c>
      <c r="O42" s="676">
        <v>25.61842</v>
      </c>
      <c r="P42" s="677">
        <v>250</v>
      </c>
      <c r="Q42" s="839">
        <v>15</v>
      </c>
      <c r="R42" s="98">
        <v>73</v>
      </c>
      <c r="S42" s="679">
        <f>IF(CampList[[#This Row],[HH]]&gt;0,CampList[[#This Row],[Total]]/CampList[[#This Row],[HH]],"NA")</f>
        <v>4.8666666666666663</v>
      </c>
      <c r="T42" s="653" t="s">
        <v>511</v>
      </c>
      <c r="U42" s="653" t="s">
        <v>1191</v>
      </c>
      <c r="V42" s="653" t="s">
        <v>554</v>
      </c>
      <c r="W42" s="653" t="s">
        <v>803</v>
      </c>
      <c r="X42" s="680">
        <v>41275</v>
      </c>
      <c r="Y42" s="681">
        <v>1</v>
      </c>
      <c r="Z42" s="680" t="s">
        <v>505</v>
      </c>
      <c r="AA42" s="693" t="s">
        <v>842</v>
      </c>
      <c r="AB42" s="682"/>
      <c r="AC42" s="683">
        <v>42780</v>
      </c>
      <c r="AD42" s="675" t="s">
        <v>1565</v>
      </c>
      <c r="AE42" s="685" t="s">
        <v>1093</v>
      </c>
      <c r="AF42" s="476">
        <f>IF(CampList[[#This Row],[Type of Accomodation]]="camp",MAX(0,CampList[[#This Row],[HH]]-SUMIF(Table_Shelter[Pcode],CampList[[#This Row],[CP_Pcode]],Table_Shelter[HH Covered])),0)</f>
        <v>0</v>
      </c>
      <c r="AG42" s="653"/>
      <c r="AH42" s="682">
        <f>MIN(CampList[[#This Row],[Shelter Gap]],CampList[[#This Row],[Land Status]])</f>
        <v>0</v>
      </c>
      <c r="AI42" s="653" t="str">
        <f ca="1">IFERROR(OFFSET(DistanceToCamp[Nearest Town],MATCH(CampList[[#This Row],[CP_Pcode]],DistanceToCamp[CP_Pcode],0)-1,0,1,1),"")</f>
        <v>Hpakant Town</v>
      </c>
      <c r="AJ42" s="686">
        <f ca="1">IFERROR(OFFSET(DistanceToCamp[distance],MATCH(CampList[[#This Row],[CP_Pcode]],DistanceToCamp[CP_Pcode],0)-1,0,1,1),"")</f>
        <v>0.75842119772531946</v>
      </c>
      <c r="AK42" s="687">
        <f ca="1">IFERROR(INT(CampList[[#This Row],[Distance]]/5)+1,"")</f>
        <v>1</v>
      </c>
      <c r="AL42" s="669"/>
      <c r="AM42" s="669"/>
      <c r="AN42" s="669"/>
      <c r="AO42" s="669"/>
      <c r="AP42" s="669"/>
      <c r="AQ42" s="669"/>
      <c r="AR42" s="669"/>
      <c r="AS42" s="669"/>
      <c r="AT42" s="669"/>
      <c r="AU42" s="669"/>
      <c r="AV42" s="669"/>
    </row>
    <row r="43" spans="1:48" s="444" customFormat="1" ht="15.75" customHeight="1" x14ac:dyDescent="0.25">
      <c r="A43" s="675" t="s">
        <v>500</v>
      </c>
      <c r="B43" s="651" t="s">
        <v>553</v>
      </c>
      <c r="C43" s="651" t="s">
        <v>536</v>
      </c>
      <c r="D43" s="651" t="s">
        <v>230</v>
      </c>
      <c r="E43" s="651" t="s">
        <v>537</v>
      </c>
      <c r="F43" s="651" t="s">
        <v>289</v>
      </c>
      <c r="G43" s="651" t="s">
        <v>549</v>
      </c>
      <c r="H43" s="651" t="s">
        <v>751</v>
      </c>
      <c r="I43" s="651" t="s">
        <v>752</v>
      </c>
      <c r="J43" s="651" t="s">
        <v>751</v>
      </c>
      <c r="K43" s="651">
        <v>208353</v>
      </c>
      <c r="L43" s="651" t="s">
        <v>292</v>
      </c>
      <c r="M43" s="651" t="s">
        <v>291</v>
      </c>
      <c r="N43" s="676">
        <v>97.681970000000007</v>
      </c>
      <c r="O43" s="676">
        <v>23.821380000000001</v>
      </c>
      <c r="P43" s="677">
        <v>811.6</v>
      </c>
      <c r="Q43" s="476">
        <v>75</v>
      </c>
      <c r="R43" s="476">
        <v>383</v>
      </c>
      <c r="S43" s="679">
        <f>IF(CampList[[#This Row],[HH]]&gt;0,CampList[[#This Row],[Total]]/CampList[[#This Row],[HH]],"NA")</f>
        <v>5.1066666666666665</v>
      </c>
      <c r="T43" s="653" t="s">
        <v>511</v>
      </c>
      <c r="U43" s="653" t="s">
        <v>1191</v>
      </c>
      <c r="V43" s="653" t="s">
        <v>554</v>
      </c>
      <c r="W43" s="653" t="s">
        <v>803</v>
      </c>
      <c r="X43" s="680">
        <v>41609</v>
      </c>
      <c r="Y43" s="681">
        <v>2</v>
      </c>
      <c r="Z43" s="680" t="s">
        <v>460</v>
      </c>
      <c r="AA43" s="693" t="s">
        <v>842</v>
      </c>
      <c r="AB43" s="682"/>
      <c r="AC43" s="683">
        <v>42809</v>
      </c>
      <c r="AD43" s="684" t="s">
        <v>1614</v>
      </c>
      <c r="AE43" s="685" t="s">
        <v>1079</v>
      </c>
      <c r="AF43" s="476">
        <f>IF(CampList[[#This Row],[Type of Accomodation]]="camp",MAX(0,CampList[[#This Row],[HH]]-SUMIF(Table_Shelter[Pcode],CampList[[#This Row],[CP_Pcode]],Table_Shelter[HH Covered])),0)</f>
        <v>0</v>
      </c>
      <c r="AG43" s="653"/>
      <c r="AH43" s="682">
        <f>MIN(CampList[[#This Row],[Shelter Gap]],CampList[[#This Row],[Land Status]])</f>
        <v>0</v>
      </c>
      <c r="AI43" s="653" t="str">
        <f ca="1">IFERROR(OFFSET(DistanceToCamp[Nearest Town],MATCH(CampList[[#This Row],[CP_Pcode]],DistanceToCamp[CP_Pcode],0)-1,0,1,1),"")</f>
        <v>Namhkan Town</v>
      </c>
      <c r="AJ43" s="686">
        <f ca="1">IFERROR(OFFSET(DistanceToCamp[distance],MATCH(CampList[[#This Row],[CP_Pcode]],DistanceToCamp[CP_Pcode],0)-1,0,1,1),"")</f>
        <v>1.7369508287203668</v>
      </c>
      <c r="AK43" s="687">
        <f ca="1">IFERROR(INT(CampList[[#This Row],[Distance]]/5)+1,"")</f>
        <v>1</v>
      </c>
      <c r="AL43" s="669"/>
      <c r="AM43" s="669"/>
      <c r="AN43" s="669"/>
      <c r="AO43" s="669"/>
      <c r="AP43" s="669"/>
      <c r="AQ43" s="669"/>
      <c r="AR43" s="669"/>
      <c r="AS43" s="669"/>
      <c r="AT43" s="669"/>
      <c r="AU43" s="669"/>
      <c r="AV43" s="669"/>
    </row>
    <row r="44" spans="1:48" s="444" customFormat="1" ht="15.75" customHeight="1" x14ac:dyDescent="0.25">
      <c r="A44" s="675" t="s">
        <v>500</v>
      </c>
      <c r="B44" s="651" t="s">
        <v>380</v>
      </c>
      <c r="C44" s="651" t="s">
        <v>525</v>
      </c>
      <c r="D44" s="651" t="s">
        <v>180</v>
      </c>
      <c r="E44" s="651" t="s">
        <v>526</v>
      </c>
      <c r="F44" s="651" t="s">
        <v>527</v>
      </c>
      <c r="G44" s="651" t="s">
        <v>528</v>
      </c>
      <c r="H44" s="684" t="s">
        <v>603</v>
      </c>
      <c r="I44" s="684" t="s">
        <v>604</v>
      </c>
      <c r="J44" s="684" t="s">
        <v>607</v>
      </c>
      <c r="K44" s="684" t="s">
        <v>608</v>
      </c>
      <c r="L44" s="651" t="s">
        <v>100</v>
      </c>
      <c r="M44" s="651" t="s">
        <v>99</v>
      </c>
      <c r="N44" s="676">
        <v>96.319829999999996</v>
      </c>
      <c r="O44" s="676">
        <v>25.6145</v>
      </c>
      <c r="P44" s="677">
        <v>65</v>
      </c>
      <c r="Q44" s="839">
        <v>4</v>
      </c>
      <c r="R44" s="98">
        <v>22</v>
      </c>
      <c r="S44" s="679">
        <f>IF(CampList[[#This Row],[HH]]&gt;0,CampList[[#This Row],[Total]]/CampList[[#This Row],[HH]],"NA")</f>
        <v>5.5</v>
      </c>
      <c r="T44" s="653" t="s">
        <v>511</v>
      </c>
      <c r="U44" s="653" t="s">
        <v>1191</v>
      </c>
      <c r="V44" s="653" t="s">
        <v>554</v>
      </c>
      <c r="W44" s="653" t="s">
        <v>803</v>
      </c>
      <c r="X44" s="680">
        <v>41122</v>
      </c>
      <c r="Y44" s="681">
        <v>1</v>
      </c>
      <c r="Z44" s="680" t="s">
        <v>505</v>
      </c>
      <c r="AA44" s="693" t="s">
        <v>842</v>
      </c>
      <c r="AB44" s="682"/>
      <c r="AC44" s="683">
        <v>42780</v>
      </c>
      <c r="AD44" s="675" t="s">
        <v>1570</v>
      </c>
      <c r="AE44" s="685" t="s">
        <v>1093</v>
      </c>
      <c r="AF44" s="476">
        <f>IF(CampList[[#This Row],[Type of Accomodation]]="camp",MAX(0,CampList[[#This Row],[HH]]-SUMIF(Table_Shelter[Pcode],CampList[[#This Row],[CP_Pcode]],Table_Shelter[HH Covered])),0)</f>
        <v>0</v>
      </c>
      <c r="AG44" s="653"/>
      <c r="AH44" s="682">
        <f>MIN(CampList[[#This Row],[Shelter Gap]],CampList[[#This Row],[Land Status]])</f>
        <v>0</v>
      </c>
      <c r="AI44" s="653" t="str">
        <f ca="1">IFERROR(OFFSET(DistanceToCamp[Nearest Town],MATCH(CampList[[#This Row],[CP_Pcode]],DistanceToCamp[CP_Pcode],0)-1,0,1,1),"")</f>
        <v>Hpakant Town</v>
      </c>
      <c r="AJ44" s="686">
        <f ca="1">IFERROR(OFFSET(DistanceToCamp[distance],MATCH(CampList[[#This Row],[CP_Pcode]],DistanceToCamp[CP_Pcode],0)-1,0,1,1),"")</f>
        <v>0.79577754007276646</v>
      </c>
      <c r="AK44" s="687">
        <f ca="1">IFERROR(INT(CampList[[#This Row],[Distance]]/5)+1,"")</f>
        <v>1</v>
      </c>
      <c r="AL44" s="669"/>
      <c r="AM44" s="669"/>
      <c r="AN44" s="669"/>
      <c r="AO44" s="669"/>
      <c r="AP44" s="669"/>
      <c r="AQ44" s="669"/>
      <c r="AR44" s="669"/>
      <c r="AS44" s="669"/>
      <c r="AT44" s="669"/>
      <c r="AU44" s="669"/>
      <c r="AV44" s="669"/>
    </row>
    <row r="45" spans="1:48" s="444" customFormat="1" ht="15.75" customHeight="1" x14ac:dyDescent="0.25">
      <c r="A45" s="675" t="s">
        <v>500</v>
      </c>
      <c r="B45" s="651" t="s">
        <v>380</v>
      </c>
      <c r="C45" s="651" t="s">
        <v>525</v>
      </c>
      <c r="D45" s="651" t="s">
        <v>180</v>
      </c>
      <c r="E45" s="651" t="s">
        <v>526</v>
      </c>
      <c r="F45" s="651" t="s">
        <v>527</v>
      </c>
      <c r="G45" s="651" t="s">
        <v>528</v>
      </c>
      <c r="H45" s="652" t="s">
        <v>1441</v>
      </c>
      <c r="I45" s="696" t="s">
        <v>1442</v>
      </c>
      <c r="J45" s="652" t="s">
        <v>1450</v>
      </c>
      <c r="K45" s="652">
        <v>166819</v>
      </c>
      <c r="L45" s="55" t="s">
        <v>1447</v>
      </c>
      <c r="M45" s="652" t="s">
        <v>1455</v>
      </c>
      <c r="N45" s="729">
        <v>96.662092000000001</v>
      </c>
      <c r="O45" s="729">
        <v>25.920006000000001</v>
      </c>
      <c r="P45" s="698"/>
      <c r="Q45" s="476">
        <v>22</v>
      </c>
      <c r="R45" s="708">
        <v>52</v>
      </c>
      <c r="S45" s="679">
        <f>IF(CampList[[#This Row],[HH]]&gt;0,CampList[[#This Row],[Total]]/CampList[[#This Row],[HH]],"NA")</f>
        <v>2.3636363636363638</v>
      </c>
      <c r="T45" s="476" t="s">
        <v>511</v>
      </c>
      <c r="U45" s="653" t="s">
        <v>1191</v>
      </c>
      <c r="V45" s="476" t="s">
        <v>554</v>
      </c>
      <c r="W45" s="476" t="s">
        <v>856</v>
      </c>
      <c r="X45" s="699">
        <v>42584</v>
      </c>
      <c r="Y45" s="698"/>
      <c r="Z45" s="698"/>
      <c r="AA45" s="678" t="s">
        <v>842</v>
      </c>
      <c r="AB45" s="678"/>
      <c r="AC45" s="683">
        <v>42629</v>
      </c>
      <c r="AD45" s="700" t="s">
        <v>1456</v>
      </c>
      <c r="AE45" s="685"/>
      <c r="AF45" s="701">
        <f>IF(CampList[[#This Row],[Type of Accomodation]]="camp",MAX(0,CampList[[#This Row],[HH]]-SUMIF(Table_Shelter[Pcode],CampList[[#This Row],[CP_Pcode]],Table_Shelter[HH Covered])),0)</f>
        <v>22</v>
      </c>
      <c r="AG45" s="476"/>
      <c r="AH45" s="677">
        <f>MIN(CampList[[#This Row],[Shelter Gap]],CampList[[#This Row],[Land Status]])</f>
        <v>22</v>
      </c>
      <c r="AI45" s="701" t="str">
        <f ca="1">IFERROR(OFFSET(DistanceToCamp[Nearest Town],MATCH(CampList[[#This Row],[CP_Pcode]],DistanceToCamp[CP_Pcode],0)-1,0,1,1),"")</f>
        <v>Hpakant Town</v>
      </c>
      <c r="AJ45" s="686">
        <f ca="1">IFERROR(OFFSET(DistanceToCamp[distance],MATCH(CampList[[#This Row],[CP_Pcode]],DistanceToCamp[CP_Pcode],0)-1,0,1,1),"")</f>
        <v>0</v>
      </c>
      <c r="AK45" s="702">
        <f ca="1">IFERROR(INT(CampList[[#This Row],[Distance]]/5)+1,"")</f>
        <v>1</v>
      </c>
      <c r="AL45" s="669"/>
      <c r="AM45" s="669"/>
      <c r="AN45" s="669"/>
      <c r="AO45" s="669"/>
      <c r="AP45" s="669"/>
      <c r="AQ45" s="669"/>
      <c r="AR45" s="669"/>
      <c r="AS45" s="669"/>
      <c r="AT45" s="669"/>
      <c r="AU45" s="669"/>
      <c r="AV45" s="669"/>
    </row>
    <row r="46" spans="1:48" s="444" customFormat="1" ht="15.75" customHeight="1" x14ac:dyDescent="0.25">
      <c r="A46" s="675" t="s">
        <v>500</v>
      </c>
      <c r="B46" s="651" t="s">
        <v>380</v>
      </c>
      <c r="C46" s="651" t="s">
        <v>525</v>
      </c>
      <c r="D46" s="651" t="s">
        <v>180</v>
      </c>
      <c r="E46" s="651" t="s">
        <v>526</v>
      </c>
      <c r="F46" s="651" t="s">
        <v>527</v>
      </c>
      <c r="G46" s="651" t="s">
        <v>528</v>
      </c>
      <c r="H46" s="684" t="s">
        <v>609</v>
      </c>
      <c r="I46" s="684" t="s">
        <v>610</v>
      </c>
      <c r="J46" s="684" t="s">
        <v>609</v>
      </c>
      <c r="K46" s="684">
        <v>166776</v>
      </c>
      <c r="L46" s="651" t="s">
        <v>611</v>
      </c>
      <c r="M46" s="651" t="s">
        <v>46</v>
      </c>
      <c r="N46" s="676">
        <v>96.339590000000001</v>
      </c>
      <c r="O46" s="676">
        <v>25.617998</v>
      </c>
      <c r="P46" s="698"/>
      <c r="Q46" s="839">
        <v>12</v>
      </c>
      <c r="R46" s="98">
        <v>50</v>
      </c>
      <c r="S46" s="679">
        <f>IF(CampList[[#This Row],[HH]]&gt;0,CampList[[#This Row],[Total]]/CampList[[#This Row],[HH]],"NA")</f>
        <v>4.166666666666667</v>
      </c>
      <c r="T46" s="653" t="s">
        <v>511</v>
      </c>
      <c r="U46" s="653" t="s">
        <v>1191</v>
      </c>
      <c r="V46" s="653" t="s">
        <v>554</v>
      </c>
      <c r="W46" s="653" t="s">
        <v>803</v>
      </c>
      <c r="X46" s="680">
        <v>41275</v>
      </c>
      <c r="Y46" s="681">
        <v>1</v>
      </c>
      <c r="Z46" s="680" t="s">
        <v>505</v>
      </c>
      <c r="AA46" s="693" t="s">
        <v>842</v>
      </c>
      <c r="AB46" s="682"/>
      <c r="AC46" s="683">
        <v>42780</v>
      </c>
      <c r="AD46" s="675" t="s">
        <v>1572</v>
      </c>
      <c r="AE46" s="685" t="s">
        <v>1093</v>
      </c>
      <c r="AF46" s="476">
        <f>IF(CampList[[#This Row],[Type of Accomodation]]="camp",MAX(0,CampList[[#This Row],[HH]]-SUMIF(Table_Shelter[Pcode],CampList[[#This Row],[CP_Pcode]],Table_Shelter[HH Covered])),0)</f>
        <v>0</v>
      </c>
      <c r="AG46" s="653"/>
      <c r="AH46" s="682">
        <f>MIN(CampList[[#This Row],[Shelter Gap]],CampList[[#This Row],[Land Status]])</f>
        <v>0</v>
      </c>
      <c r="AI46" s="653" t="str">
        <f ca="1">IFERROR(OFFSET(DistanceToCamp[Nearest Town],MATCH(CampList[[#This Row],[CP_Pcode]],DistanceToCamp[CP_Pcode],0)-1,0,1,1),"")</f>
        <v>Hpakant Town</v>
      </c>
      <c r="AJ46" s="686">
        <f ca="1">IFERROR(OFFSET(DistanceToCamp[distance],MATCH(CampList[[#This Row],[CP_Pcode]],DistanceToCamp[CP_Pcode],0)-1,0,1,1),"")</f>
        <v>2.814225084976667</v>
      </c>
      <c r="AK46" s="687">
        <f ca="1">IFERROR(INT(CampList[[#This Row],[Distance]]/5)+1,"")</f>
        <v>1</v>
      </c>
      <c r="AL46" s="669"/>
      <c r="AM46" s="669"/>
      <c r="AN46" s="669"/>
      <c r="AO46" s="669"/>
      <c r="AP46" s="669"/>
      <c r="AQ46" s="669"/>
      <c r="AR46" s="669"/>
      <c r="AS46" s="669"/>
      <c r="AT46" s="669"/>
      <c r="AU46" s="669"/>
      <c r="AV46" s="669"/>
    </row>
    <row r="47" spans="1:48" s="444" customFormat="1" ht="15.75" customHeight="1" x14ac:dyDescent="0.25">
      <c r="A47" s="675" t="s">
        <v>500</v>
      </c>
      <c r="B47" s="651" t="s">
        <v>380</v>
      </c>
      <c r="C47" s="651" t="s">
        <v>525</v>
      </c>
      <c r="D47" s="651" t="s">
        <v>180</v>
      </c>
      <c r="E47" s="651" t="s">
        <v>526</v>
      </c>
      <c r="F47" s="651" t="s">
        <v>527</v>
      </c>
      <c r="G47" s="651" t="s">
        <v>528</v>
      </c>
      <c r="H47" s="684" t="s">
        <v>609</v>
      </c>
      <c r="I47" s="684" t="s">
        <v>610</v>
      </c>
      <c r="J47" s="684" t="s">
        <v>609</v>
      </c>
      <c r="K47" s="684">
        <v>166776</v>
      </c>
      <c r="L47" s="651" t="s">
        <v>108</v>
      </c>
      <c r="M47" s="651" t="s">
        <v>107</v>
      </c>
      <c r="N47" s="676">
        <v>96.341352999999998</v>
      </c>
      <c r="O47" s="676">
        <v>25.613894999999999</v>
      </c>
      <c r="P47" s="677">
        <v>251</v>
      </c>
      <c r="Q47" s="840">
        <v>51</v>
      </c>
      <c r="R47" s="841">
        <v>225</v>
      </c>
      <c r="S47" s="679">
        <f>IF(CampList[[#This Row],[HH]]&gt;0,CampList[[#This Row],[Total]]/CampList[[#This Row],[HH]],"NA")</f>
        <v>4.4117647058823533</v>
      </c>
      <c r="T47" s="653" t="s">
        <v>511</v>
      </c>
      <c r="U47" s="653" t="s">
        <v>1191</v>
      </c>
      <c r="V47" s="653" t="s">
        <v>554</v>
      </c>
      <c r="W47" s="653" t="s">
        <v>803</v>
      </c>
      <c r="X47" s="680">
        <v>41487</v>
      </c>
      <c r="Y47" s="681">
        <v>3</v>
      </c>
      <c r="Z47" s="680" t="s">
        <v>1090</v>
      </c>
      <c r="AA47" s="693" t="s">
        <v>842</v>
      </c>
      <c r="AB47" s="682"/>
      <c r="AC47" s="683">
        <v>42780</v>
      </c>
      <c r="AD47" s="675" t="s">
        <v>1550</v>
      </c>
      <c r="AE47" s="685" t="s">
        <v>1093</v>
      </c>
      <c r="AF47" s="476">
        <f>IF(CampList[[#This Row],[Type of Accomodation]]="camp",MAX(0,CampList[[#This Row],[HH]]-SUMIF(Table_Shelter[Pcode],CampList[[#This Row],[CP_Pcode]],Table_Shelter[HH Covered])),0)</f>
        <v>0</v>
      </c>
      <c r="AG47" s="653"/>
      <c r="AH47" s="682">
        <f>MIN(CampList[[#This Row],[Shelter Gap]],CampList[[#This Row],[Land Status]])</f>
        <v>0</v>
      </c>
      <c r="AI47" s="653" t="str">
        <f ca="1">IFERROR(OFFSET(DistanceToCamp[Nearest Town],MATCH(CampList[[#This Row],[CP_Pcode]],DistanceToCamp[CP_Pcode],0)-1,0,1,1),"")</f>
        <v>Hpakant Town</v>
      </c>
      <c r="AJ47" s="686">
        <f ca="1">IFERROR(OFFSET(DistanceToCamp[distance],MATCH(CampList[[#This Row],[CP_Pcode]],DistanceToCamp[CP_Pcode],0)-1,0,1,1),"")</f>
        <v>2.9334852607184256</v>
      </c>
      <c r="AK47" s="687">
        <f ca="1">IFERROR(INT(CampList[[#This Row],[Distance]]/5)+1,"")</f>
        <v>1</v>
      </c>
      <c r="AL47" s="669"/>
      <c r="AM47" s="669"/>
      <c r="AN47" s="669"/>
      <c r="AO47" s="669"/>
      <c r="AP47" s="669"/>
      <c r="AQ47" s="669"/>
      <c r="AR47" s="669"/>
      <c r="AS47" s="669"/>
      <c r="AT47" s="669"/>
      <c r="AU47" s="669"/>
      <c r="AV47" s="669"/>
    </row>
    <row r="48" spans="1:48" s="444" customFormat="1" ht="15.75" hidden="1" customHeight="1" x14ac:dyDescent="0.25">
      <c r="A48" s="675" t="s">
        <v>843</v>
      </c>
      <c r="B48" s="651" t="s">
        <v>380</v>
      </c>
      <c r="C48" s="651" t="s">
        <v>525</v>
      </c>
      <c r="D48" s="651" t="s">
        <v>237</v>
      </c>
      <c r="E48" s="651" t="s">
        <v>531</v>
      </c>
      <c r="F48" s="651" t="s">
        <v>27</v>
      </c>
      <c r="G48" s="651" t="s">
        <v>534</v>
      </c>
      <c r="H48" s="651"/>
      <c r="I48" s="651"/>
      <c r="J48" s="651"/>
      <c r="K48" s="651"/>
      <c r="L48" s="651" t="s">
        <v>37</v>
      </c>
      <c r="M48" s="651" t="s">
        <v>36</v>
      </c>
      <c r="N48" s="676"/>
      <c r="O48" s="676"/>
      <c r="P48" s="697"/>
      <c r="Q48" s="840">
        <v>0</v>
      </c>
      <c r="R48" s="841">
        <v>0</v>
      </c>
      <c r="S48" s="679" t="str">
        <f>IF(CampList[[#This Row],[HH]]&gt;0,CampList[[#This Row],[Total]]/CampList[[#This Row],[HH]],"NA")</f>
        <v>NA</v>
      </c>
      <c r="T48" s="653" t="s">
        <v>511</v>
      </c>
      <c r="U48" s="688" t="s">
        <v>1191</v>
      </c>
      <c r="V48" s="653" t="s">
        <v>554</v>
      </c>
      <c r="W48" s="688"/>
      <c r="X48" s="706"/>
      <c r="Y48" s="697"/>
      <c r="Z48" s="707"/>
      <c r="AA48" s="711"/>
      <c r="AB48" s="682"/>
      <c r="AC48" s="710"/>
      <c r="AD48" s="675" t="s">
        <v>601</v>
      </c>
      <c r="AE48" s="708" t="s">
        <v>1007</v>
      </c>
      <c r="AF48" s="476">
        <f>IF(CampList[[#This Row],[Type of Accomodation]]="camp",MAX(0,CampList[[#This Row],[HH]]-SUMIF(Table_Shelter[Pcode],CampList[[#This Row],[CP_Pcode]],Table_Shelter[HH Covered])),0)</f>
        <v>0</v>
      </c>
      <c r="AG48" s="653"/>
      <c r="AH48" s="682">
        <f>MIN(CampList[[#This Row],[Shelter Gap]],CampList[[#This Row],[Land Status]])</f>
        <v>0</v>
      </c>
      <c r="AI48" s="653" t="str">
        <f ca="1">IFERROR(OFFSET(DistanceToCamp[Nearest Town],MATCH(CampList[[#This Row],[CP_Pcode]],DistanceToCamp[CP_Pcode],0)-1,0,1,1),"")</f>
        <v/>
      </c>
      <c r="AJ48" s="686" t="str">
        <f ca="1">IFERROR(OFFSET(DistanceToCamp[distance],MATCH(CampList[[#This Row],[CP_Pcode]],DistanceToCamp[CP_Pcode],0)-1,0,1,1),"")</f>
        <v/>
      </c>
      <c r="AK48" s="687" t="str">
        <f ca="1">IFERROR(INT(CampList[[#This Row],[Distance]]/5)+1,"")</f>
        <v/>
      </c>
      <c r="AL48" s="669"/>
      <c r="AM48" s="669"/>
      <c r="AN48" s="669"/>
      <c r="AO48" s="669"/>
      <c r="AP48" s="669"/>
      <c r="AQ48" s="669"/>
      <c r="AR48" s="669"/>
      <c r="AS48" s="669"/>
      <c r="AT48" s="669"/>
      <c r="AU48" s="669"/>
      <c r="AV48" s="669"/>
    </row>
    <row r="49" spans="1:48" s="444" customFormat="1" ht="15.75" customHeight="1" x14ac:dyDescent="0.25">
      <c r="A49" s="675" t="s">
        <v>500</v>
      </c>
      <c r="B49" s="651" t="s">
        <v>380</v>
      </c>
      <c r="C49" s="651" t="s">
        <v>525</v>
      </c>
      <c r="D49" s="651" t="s">
        <v>180</v>
      </c>
      <c r="E49" s="651" t="s">
        <v>526</v>
      </c>
      <c r="F49" s="651" t="s">
        <v>527</v>
      </c>
      <c r="G49" s="651" t="s">
        <v>528</v>
      </c>
      <c r="H49" s="651" t="s">
        <v>598</v>
      </c>
      <c r="I49" s="651" t="s">
        <v>599</v>
      </c>
      <c r="J49" s="651" t="s">
        <v>600</v>
      </c>
      <c r="K49" s="651">
        <v>166785</v>
      </c>
      <c r="L49" s="651" t="s">
        <v>118</v>
      </c>
      <c r="M49" s="651" t="s">
        <v>117</v>
      </c>
      <c r="N49" s="676">
        <v>96.279200000000003</v>
      </c>
      <c r="O49" s="676">
        <v>25.56551</v>
      </c>
      <c r="P49" s="677">
        <v>259</v>
      </c>
      <c r="Q49" s="839">
        <v>10</v>
      </c>
      <c r="R49" s="98">
        <v>39</v>
      </c>
      <c r="S49" s="679">
        <f>IF(CampList[[#This Row],[HH]]&gt;0,CampList[[#This Row],[Total]]/CampList[[#This Row],[HH]],"NA")</f>
        <v>3.9</v>
      </c>
      <c r="T49" s="653" t="s">
        <v>511</v>
      </c>
      <c r="U49" s="653" t="s">
        <v>1191</v>
      </c>
      <c r="V49" s="653" t="s">
        <v>554</v>
      </c>
      <c r="W49" s="653" t="s">
        <v>856</v>
      </c>
      <c r="X49" s="680">
        <v>41275</v>
      </c>
      <c r="Y49" s="681">
        <v>1</v>
      </c>
      <c r="Z49" s="680" t="s">
        <v>505</v>
      </c>
      <c r="AA49" s="682" t="s">
        <v>842</v>
      </c>
      <c r="AB49" s="682"/>
      <c r="AC49" s="683">
        <v>42780</v>
      </c>
      <c r="AD49" s="684" t="s">
        <v>1576</v>
      </c>
      <c r="AE49" s="685" t="s">
        <v>1093</v>
      </c>
      <c r="AF49" s="476">
        <f>IF(CampList[[#This Row],[Type of Accomodation]]="camp",MAX(0,CampList[[#This Row],[HH]]-SUMIF(Table_Shelter[Pcode],CampList[[#This Row],[CP_Pcode]],Table_Shelter[HH Covered])),0)</f>
        <v>0</v>
      </c>
      <c r="AG49" s="476"/>
      <c r="AH49" s="682">
        <f>MIN(CampList[[#This Row],[Shelter Gap]],CampList[[#This Row],[Land Status]])</f>
        <v>0</v>
      </c>
      <c r="AI49" s="653" t="str">
        <f ca="1">IFERROR(OFFSET(DistanceToCamp[Nearest Town],MATCH(CampList[[#This Row],[CP_Pcode]],DistanceToCamp[CP_Pcode],0)-1,0,1,1),"")</f>
        <v>Hpakant Town</v>
      </c>
      <c r="AJ49" s="686">
        <f ca="1">IFERROR(OFFSET(DistanceToCamp[distance],MATCH(CampList[[#This Row],[CP_Pcode]],DistanceToCamp[CP_Pcode],0)-1,0,1,1),"")</f>
        <v>6.2085564346706201</v>
      </c>
      <c r="AK49" s="687">
        <f ca="1">IFERROR(INT(CampList[[#This Row],[Distance]]/5)+1,"")</f>
        <v>2</v>
      </c>
      <c r="AL49" s="669"/>
      <c r="AM49" s="669"/>
      <c r="AN49" s="669"/>
      <c r="AO49" s="669"/>
      <c r="AP49" s="669"/>
      <c r="AQ49" s="669"/>
      <c r="AR49" s="669"/>
      <c r="AS49" s="669"/>
      <c r="AT49" s="669"/>
      <c r="AU49" s="669"/>
      <c r="AV49" s="669"/>
    </row>
    <row r="50" spans="1:48" s="444" customFormat="1" ht="15.75" hidden="1" customHeight="1" x14ac:dyDescent="0.25">
      <c r="A50" s="675" t="s">
        <v>843</v>
      </c>
      <c r="B50" s="651" t="s">
        <v>380</v>
      </c>
      <c r="C50" s="651" t="s">
        <v>525</v>
      </c>
      <c r="D50" s="651" t="s">
        <v>237</v>
      </c>
      <c r="E50" s="651" t="s">
        <v>531</v>
      </c>
      <c r="F50" s="651" t="s">
        <v>27</v>
      </c>
      <c r="G50" s="651" t="s">
        <v>534</v>
      </c>
      <c r="H50" s="651"/>
      <c r="I50" s="651"/>
      <c r="J50" s="651"/>
      <c r="K50" s="651"/>
      <c r="L50" s="651" t="s">
        <v>32</v>
      </c>
      <c r="M50" s="651" t="s">
        <v>31</v>
      </c>
      <c r="N50" s="676"/>
      <c r="O50" s="676"/>
      <c r="P50" s="697"/>
      <c r="Q50" s="840"/>
      <c r="R50" s="841"/>
      <c r="S50" s="679" t="str">
        <f>IF(CampList[[#This Row],[HH]]&gt;0,CampList[[#This Row],[Total]]/CampList[[#This Row],[HH]],"NA")</f>
        <v>NA</v>
      </c>
      <c r="T50" s="653" t="s">
        <v>511</v>
      </c>
      <c r="U50" s="688" t="s">
        <v>1191</v>
      </c>
      <c r="V50" s="653" t="s">
        <v>554</v>
      </c>
      <c r="W50" s="688" t="s">
        <v>856</v>
      </c>
      <c r="X50" s="706"/>
      <c r="Y50" s="697"/>
      <c r="Z50" s="689" t="s">
        <v>1090</v>
      </c>
      <c r="AA50" s="693" t="s">
        <v>842</v>
      </c>
      <c r="AB50" s="682"/>
      <c r="AC50" s="683">
        <v>42096</v>
      </c>
      <c r="AD50" s="675" t="s">
        <v>1239</v>
      </c>
      <c r="AE50" s="708" t="s">
        <v>1077</v>
      </c>
      <c r="AF50" s="476">
        <f>IF(CampList[[#This Row],[Type of Accomodation]]="camp",MAX(0,CampList[[#This Row],[HH]]-SUMIF(Table_Shelter[Pcode],CampList[[#This Row],[CP_Pcode]],Table_Shelter[HH Covered])),0)</f>
        <v>0</v>
      </c>
      <c r="AG50" s="653"/>
      <c r="AH50" s="682">
        <f>MIN(CampList[[#This Row],[Shelter Gap]],CampList[[#This Row],[Land Status]])</f>
        <v>0</v>
      </c>
      <c r="AI50" s="653" t="str">
        <f ca="1">IFERROR(OFFSET(DistanceToCamp[Nearest Town],MATCH(CampList[[#This Row],[CP_Pcode]],DistanceToCamp[CP_Pcode],0)-1,0,1,1),"")</f>
        <v/>
      </c>
      <c r="AJ50" s="686" t="str">
        <f ca="1">IFERROR(OFFSET(DistanceToCamp[distance],MATCH(CampList[[#This Row],[CP_Pcode]],DistanceToCamp[CP_Pcode],0)-1,0,1,1),"")</f>
        <v/>
      </c>
      <c r="AK50" s="687" t="str">
        <f ca="1">IFERROR(INT(CampList[[#This Row],[Distance]]/5)+1,"")</f>
        <v/>
      </c>
      <c r="AL50" s="669"/>
      <c r="AM50" s="669"/>
      <c r="AN50" s="669"/>
      <c r="AO50" s="669"/>
      <c r="AP50" s="669"/>
      <c r="AQ50" s="669"/>
      <c r="AR50" s="669"/>
      <c r="AS50" s="669"/>
      <c r="AT50" s="669"/>
      <c r="AU50" s="669"/>
      <c r="AV50" s="669"/>
    </row>
    <row r="51" spans="1:48" s="444" customFormat="1" ht="15.75" customHeight="1" x14ac:dyDescent="0.25">
      <c r="A51" s="675" t="s">
        <v>500</v>
      </c>
      <c r="B51" s="651" t="s">
        <v>380</v>
      </c>
      <c r="C51" s="651" t="s">
        <v>525</v>
      </c>
      <c r="D51" s="651" t="s">
        <v>180</v>
      </c>
      <c r="E51" s="651" t="s">
        <v>526</v>
      </c>
      <c r="F51" s="651" t="s">
        <v>527</v>
      </c>
      <c r="G51" s="651" t="s">
        <v>528</v>
      </c>
      <c r="H51" s="651" t="s">
        <v>598</v>
      </c>
      <c r="I51" s="651" t="s">
        <v>599</v>
      </c>
      <c r="J51" s="651" t="s">
        <v>600</v>
      </c>
      <c r="K51" s="696">
        <v>166785</v>
      </c>
      <c r="L51" s="651" t="s">
        <v>124</v>
      </c>
      <c r="M51" s="651" t="s">
        <v>123</v>
      </c>
      <c r="N51" s="676">
        <v>96.353030000000004</v>
      </c>
      <c r="O51" s="676">
        <v>25.668399999999998</v>
      </c>
      <c r="P51" s="677">
        <v>0</v>
      </c>
      <c r="Q51" s="476">
        <v>8</v>
      </c>
      <c r="R51" s="476">
        <v>36</v>
      </c>
      <c r="S51" s="679">
        <f>IF(CampList[[#This Row],[HH]]&gt;0,CampList[[#This Row],[Total]]/CampList[[#This Row],[HH]],"NA")</f>
        <v>4.5</v>
      </c>
      <c r="T51" s="653" t="s">
        <v>511</v>
      </c>
      <c r="U51" s="653" t="s">
        <v>1191</v>
      </c>
      <c r="V51" s="653" t="s">
        <v>554</v>
      </c>
      <c r="W51" s="653" t="s">
        <v>856</v>
      </c>
      <c r="X51" s="680">
        <v>41275</v>
      </c>
      <c r="Y51" s="681">
        <v>1</v>
      </c>
      <c r="Z51" s="680" t="s">
        <v>460</v>
      </c>
      <c r="AA51" s="682" t="s">
        <v>842</v>
      </c>
      <c r="AB51" s="682"/>
      <c r="AC51" s="683">
        <v>42809</v>
      </c>
      <c r="AD51" s="684" t="s">
        <v>1631</v>
      </c>
      <c r="AE51" s="685" t="s">
        <v>1093</v>
      </c>
      <c r="AF51" s="476">
        <f>IF(CampList[[#This Row],[Type of Accomodation]]="camp",MAX(0,CampList[[#This Row],[HH]]-SUMIF(Table_Shelter[Pcode],CampList[[#This Row],[CP_Pcode]],Table_Shelter[HH Covered])),0)</f>
        <v>3</v>
      </c>
      <c r="AG51" s="476"/>
      <c r="AH51" s="682">
        <f>MIN(CampList[[#This Row],[Shelter Gap]],CampList[[#This Row],[Land Status]])</f>
        <v>3</v>
      </c>
      <c r="AI51" s="653" t="str">
        <f ca="1">IFERROR(OFFSET(DistanceToCamp[Nearest Town],MATCH(CampList[[#This Row],[CP_Pcode]],DistanceToCamp[CP_Pcode],0)-1,0,1,1),"")</f>
        <v>Hpakant Town</v>
      </c>
      <c r="AJ51" s="686">
        <f ca="1">IFERROR(OFFSET(DistanceToCamp[distance],MATCH(CampList[[#This Row],[CP_Pcode]],DistanceToCamp[CP_Pcode],0)-1,0,1,1),"")</f>
        <v>7.419312682373878</v>
      </c>
      <c r="AK51" s="687">
        <f ca="1">IFERROR(INT(CampList[[#This Row],[Distance]]/5)+1,"")</f>
        <v>2</v>
      </c>
      <c r="AL51" s="669"/>
      <c r="AM51" s="669"/>
      <c r="AN51" s="669"/>
      <c r="AO51" s="669"/>
      <c r="AP51" s="669"/>
      <c r="AQ51" s="669"/>
      <c r="AR51" s="669"/>
      <c r="AS51" s="669"/>
      <c r="AT51" s="669"/>
      <c r="AU51" s="669"/>
      <c r="AV51" s="669"/>
    </row>
    <row r="52" spans="1:48" s="444" customFormat="1" ht="15.75" hidden="1" customHeight="1" x14ac:dyDescent="0.25">
      <c r="A52" s="675" t="s">
        <v>843</v>
      </c>
      <c r="B52" s="651" t="s">
        <v>380</v>
      </c>
      <c r="C52" s="651" t="s">
        <v>525</v>
      </c>
      <c r="D52" s="651" t="s">
        <v>5</v>
      </c>
      <c r="E52" s="651" t="s">
        <v>529</v>
      </c>
      <c r="F52" s="651" t="s">
        <v>5</v>
      </c>
      <c r="G52" s="651" t="s">
        <v>530</v>
      </c>
      <c r="H52" s="651"/>
      <c r="I52" s="651"/>
      <c r="J52" s="651"/>
      <c r="K52" s="651"/>
      <c r="L52" s="651" t="s">
        <v>16</v>
      </c>
      <c r="M52" s="651" t="s">
        <v>15</v>
      </c>
      <c r="N52" s="676">
        <v>97.221556500999995</v>
      </c>
      <c r="O52" s="676">
        <v>24.262418020999998</v>
      </c>
      <c r="P52" s="697"/>
      <c r="Q52" s="840">
        <v>0</v>
      </c>
      <c r="R52" s="841">
        <v>0</v>
      </c>
      <c r="S52" s="679" t="str">
        <f>IF(CampList[[#This Row],[HH]]&gt;0,CampList[[#This Row],[Total]]/CampList[[#This Row],[HH]],"NA")</f>
        <v>NA</v>
      </c>
      <c r="T52" s="653" t="s">
        <v>511</v>
      </c>
      <c r="U52" s="688" t="s">
        <v>1191</v>
      </c>
      <c r="V52" s="653" t="s">
        <v>554</v>
      </c>
      <c r="W52" s="688"/>
      <c r="X52" s="706"/>
      <c r="Y52" s="697"/>
      <c r="Z52" s="707"/>
      <c r="AA52" s="693" t="s">
        <v>842</v>
      </c>
      <c r="AB52" s="682"/>
      <c r="AC52" s="683">
        <v>41661</v>
      </c>
      <c r="AD52" s="675" t="s">
        <v>937</v>
      </c>
      <c r="AE52" s="708" t="s">
        <v>1007</v>
      </c>
      <c r="AF52" s="476">
        <f>IF(CampList[[#This Row],[Type of Accomodation]]="camp",MAX(0,CampList[[#This Row],[HH]]-SUMIF(Table_Shelter[Pcode],CampList[[#This Row],[CP_Pcode]],Table_Shelter[HH Covered])),0)</f>
        <v>0</v>
      </c>
      <c r="AG52" s="653"/>
      <c r="AH52" s="682">
        <f>MIN(CampList[[#This Row],[Shelter Gap]],CampList[[#This Row],[Land Status]])</f>
        <v>0</v>
      </c>
      <c r="AI52" s="653" t="str">
        <f ca="1">IFERROR(OFFSET(DistanceToCamp[Nearest Town],MATCH(CampList[[#This Row],[CP_Pcode]],DistanceToCamp[CP_Pcode],0)-1,0,1,1),"")</f>
        <v/>
      </c>
      <c r="AJ52" s="686" t="str">
        <f ca="1">IFERROR(OFFSET(DistanceToCamp[distance],MATCH(CampList[[#This Row],[CP_Pcode]],DistanceToCamp[CP_Pcode],0)-1,0,1,1),"")</f>
        <v/>
      </c>
      <c r="AK52" s="687" t="str">
        <f ca="1">IFERROR(INT(CampList[[#This Row],[Distance]]/5)+1,"")</f>
        <v/>
      </c>
      <c r="AL52" s="669"/>
      <c r="AM52" s="669"/>
      <c r="AN52" s="669"/>
      <c r="AO52" s="669"/>
      <c r="AP52" s="669"/>
      <c r="AQ52" s="669"/>
      <c r="AR52" s="669"/>
      <c r="AS52" s="669"/>
      <c r="AT52" s="669"/>
      <c r="AU52" s="669"/>
      <c r="AV52" s="669"/>
    </row>
    <row r="53" spans="1:48" s="444" customFormat="1" ht="15.75" customHeight="1" x14ac:dyDescent="0.25">
      <c r="A53" s="675" t="s">
        <v>500</v>
      </c>
      <c r="B53" s="651" t="s">
        <v>380</v>
      </c>
      <c r="C53" s="651" t="s">
        <v>525</v>
      </c>
      <c r="D53" s="651" t="s">
        <v>180</v>
      </c>
      <c r="E53" s="651" t="s">
        <v>526</v>
      </c>
      <c r="F53" s="651" t="s">
        <v>527</v>
      </c>
      <c r="G53" s="651" t="s">
        <v>528</v>
      </c>
      <c r="H53" s="652" t="s">
        <v>1441</v>
      </c>
      <c r="I53" s="696" t="s">
        <v>1442</v>
      </c>
      <c r="J53" s="652" t="s">
        <v>1450</v>
      </c>
      <c r="K53" s="652">
        <v>166819</v>
      </c>
      <c r="L53" s="55" t="s">
        <v>1449</v>
      </c>
      <c r="M53" s="652" t="s">
        <v>1452</v>
      </c>
      <c r="N53" s="729">
        <v>96.662092000000001</v>
      </c>
      <c r="O53" s="729">
        <v>25.920006000000001</v>
      </c>
      <c r="P53" s="698"/>
      <c r="Q53" s="476">
        <v>32</v>
      </c>
      <c r="R53" s="708">
        <v>92</v>
      </c>
      <c r="S53" s="679">
        <f>IF(CampList[[#This Row],[HH]]&gt;0,CampList[[#This Row],[Total]]/CampList[[#This Row],[HH]],"NA")</f>
        <v>2.875</v>
      </c>
      <c r="T53" s="476" t="s">
        <v>511</v>
      </c>
      <c r="U53" s="653" t="s">
        <v>1191</v>
      </c>
      <c r="V53" s="476" t="s">
        <v>554</v>
      </c>
      <c r="W53" s="476" t="s">
        <v>856</v>
      </c>
      <c r="X53" s="699">
        <v>42584</v>
      </c>
      <c r="Y53" s="698"/>
      <c r="Z53" s="698" t="s">
        <v>460</v>
      </c>
      <c r="AA53" s="678" t="s">
        <v>842</v>
      </c>
      <c r="AB53" s="678"/>
      <c r="AC53" s="683">
        <v>42809</v>
      </c>
      <c r="AD53" s="700" t="s">
        <v>1633</v>
      </c>
      <c r="AE53" s="685"/>
      <c r="AF53" s="701">
        <f>IF(CampList[[#This Row],[Type of Accomodation]]="camp",MAX(0,CampList[[#This Row],[HH]]-SUMIF(Table_Shelter[Pcode],CampList[[#This Row],[CP_Pcode]],Table_Shelter[HH Covered])),0)</f>
        <v>32</v>
      </c>
      <c r="AG53" s="476"/>
      <c r="AH53" s="677">
        <f>MIN(CampList[[#This Row],[Shelter Gap]],CampList[[#This Row],[Land Status]])</f>
        <v>32</v>
      </c>
      <c r="AI53" s="701" t="str">
        <f ca="1">IFERROR(OFFSET(DistanceToCamp[Nearest Town],MATCH(CampList[[#This Row],[CP_Pcode]],DistanceToCamp[CP_Pcode],0)-1,0,1,1),"")</f>
        <v>Hpakant Town</v>
      </c>
      <c r="AJ53" s="686">
        <f ca="1">IFERROR(OFFSET(DistanceToCamp[distance],MATCH(CampList[[#This Row],[CP_Pcode]],DistanceToCamp[CP_Pcode],0)-1,0,1,1),"")</f>
        <v>0</v>
      </c>
      <c r="AK53" s="702">
        <f ca="1">IFERROR(INT(CampList[[#This Row],[Distance]]/5)+1,"")</f>
        <v>1</v>
      </c>
      <c r="AL53" s="669"/>
      <c r="AM53" s="669"/>
      <c r="AN53" s="669"/>
      <c r="AO53" s="669"/>
      <c r="AP53" s="669"/>
      <c r="AQ53" s="669"/>
      <c r="AR53" s="669"/>
      <c r="AS53" s="669"/>
      <c r="AT53" s="669"/>
      <c r="AU53" s="669"/>
      <c r="AV53" s="669"/>
    </row>
    <row r="54" spans="1:48" s="444" customFormat="1" ht="15.75" customHeight="1" x14ac:dyDescent="0.25">
      <c r="A54" s="675" t="s">
        <v>500</v>
      </c>
      <c r="B54" s="651" t="s">
        <v>380</v>
      </c>
      <c r="C54" s="651" t="s">
        <v>525</v>
      </c>
      <c r="D54" s="651" t="s">
        <v>180</v>
      </c>
      <c r="E54" s="651" t="s">
        <v>526</v>
      </c>
      <c r="F54" s="651" t="s">
        <v>527</v>
      </c>
      <c r="G54" s="651" t="s">
        <v>528</v>
      </c>
      <c r="H54" s="652" t="s">
        <v>1441</v>
      </c>
      <c r="I54" s="696" t="s">
        <v>1442</v>
      </c>
      <c r="J54" s="652" t="s">
        <v>1450</v>
      </c>
      <c r="K54" s="652">
        <v>166819</v>
      </c>
      <c r="L54" s="55" t="s">
        <v>1448</v>
      </c>
      <c r="M54" s="652" t="s">
        <v>1454</v>
      </c>
      <c r="N54" s="729">
        <v>96.662092000000001</v>
      </c>
      <c r="O54" s="729">
        <v>25.920006000000001</v>
      </c>
      <c r="P54" s="698"/>
      <c r="Q54" s="476">
        <v>7</v>
      </c>
      <c r="R54" s="708">
        <v>19</v>
      </c>
      <c r="S54" s="679">
        <f>IF(CampList[[#This Row],[HH]]&gt;0,CampList[[#This Row],[Total]]/CampList[[#This Row],[HH]],"NA")</f>
        <v>2.7142857142857144</v>
      </c>
      <c r="T54" s="476" t="s">
        <v>511</v>
      </c>
      <c r="U54" s="653" t="s">
        <v>1191</v>
      </c>
      <c r="V54" s="476" t="s">
        <v>554</v>
      </c>
      <c r="W54" s="476" t="s">
        <v>856</v>
      </c>
      <c r="X54" s="699">
        <v>42584</v>
      </c>
      <c r="Y54" s="698"/>
      <c r="Z54" s="698"/>
      <c r="AA54" s="678" t="s">
        <v>842</v>
      </c>
      <c r="AB54" s="678"/>
      <c r="AC54" s="683">
        <v>42629</v>
      </c>
      <c r="AD54" s="700" t="s">
        <v>1456</v>
      </c>
      <c r="AE54" s="685"/>
      <c r="AF54" s="701">
        <f>IF(CampList[[#This Row],[Type of Accomodation]]="camp",MAX(0,CampList[[#This Row],[HH]]-SUMIF(Table_Shelter[Pcode],CampList[[#This Row],[CP_Pcode]],Table_Shelter[HH Covered])),0)</f>
        <v>7</v>
      </c>
      <c r="AG54" s="476"/>
      <c r="AH54" s="677">
        <f>MIN(CampList[[#This Row],[Shelter Gap]],CampList[[#This Row],[Land Status]])</f>
        <v>7</v>
      </c>
      <c r="AI54" s="701" t="str">
        <f ca="1">IFERROR(OFFSET(DistanceToCamp[Nearest Town],MATCH(CampList[[#This Row],[CP_Pcode]],DistanceToCamp[CP_Pcode],0)-1,0,1,1),"")</f>
        <v>Hpakant Town</v>
      </c>
      <c r="AJ54" s="686">
        <f ca="1">IFERROR(OFFSET(DistanceToCamp[distance],MATCH(CampList[[#This Row],[CP_Pcode]],DistanceToCamp[CP_Pcode],0)-1,0,1,1),"")</f>
        <v>0</v>
      </c>
      <c r="AK54" s="702">
        <f ca="1">IFERROR(INT(CampList[[#This Row],[Distance]]/5)+1,"")</f>
        <v>1</v>
      </c>
      <c r="AL54" s="669"/>
      <c r="AM54" s="669"/>
      <c r="AN54" s="669"/>
      <c r="AO54" s="669"/>
      <c r="AP54" s="669"/>
      <c r="AQ54" s="669"/>
      <c r="AR54" s="669"/>
      <c r="AS54" s="669"/>
      <c r="AT54" s="669"/>
      <c r="AU54" s="669"/>
      <c r="AV54" s="669"/>
    </row>
    <row r="55" spans="1:48" s="444" customFormat="1" ht="15.75" customHeight="1" x14ac:dyDescent="0.25">
      <c r="A55" s="675" t="s">
        <v>500</v>
      </c>
      <c r="B55" s="651" t="s">
        <v>380</v>
      </c>
      <c r="C55" s="651" t="s">
        <v>525</v>
      </c>
      <c r="D55" s="651" t="s">
        <v>180</v>
      </c>
      <c r="E55" s="651" t="s">
        <v>526</v>
      </c>
      <c r="F55" s="651" t="s">
        <v>527</v>
      </c>
      <c r="G55" s="651" t="s">
        <v>528</v>
      </c>
      <c r="H55" s="652" t="s">
        <v>1441</v>
      </c>
      <c r="I55" s="696" t="s">
        <v>1442</v>
      </c>
      <c r="J55" s="652" t="s">
        <v>1450</v>
      </c>
      <c r="K55" s="652">
        <v>166819</v>
      </c>
      <c r="L55" s="55" t="s">
        <v>1446</v>
      </c>
      <c r="M55" s="652" t="s">
        <v>1453</v>
      </c>
      <c r="N55" s="729">
        <v>96.662092000000001</v>
      </c>
      <c r="O55" s="729">
        <v>25.920006000000001</v>
      </c>
      <c r="P55" s="698"/>
      <c r="Q55" s="476">
        <v>13</v>
      </c>
      <c r="R55" s="708">
        <v>47</v>
      </c>
      <c r="S55" s="679">
        <f>IF(CampList[[#This Row],[HH]]&gt;0,CampList[[#This Row],[Total]]/CampList[[#This Row],[HH]],"NA")</f>
        <v>3.6153846153846154</v>
      </c>
      <c r="T55" s="476" t="s">
        <v>511</v>
      </c>
      <c r="U55" s="653" t="s">
        <v>1191</v>
      </c>
      <c r="V55" s="476" t="s">
        <v>554</v>
      </c>
      <c r="W55" s="476" t="s">
        <v>856</v>
      </c>
      <c r="X55" s="699">
        <v>42584</v>
      </c>
      <c r="Y55" s="698"/>
      <c r="Z55" s="698"/>
      <c r="AA55" s="678" t="s">
        <v>842</v>
      </c>
      <c r="AB55" s="678"/>
      <c r="AC55" s="683">
        <v>42629</v>
      </c>
      <c r="AD55" s="700" t="s">
        <v>1456</v>
      </c>
      <c r="AE55" s="685"/>
      <c r="AF55" s="701">
        <f>IF(CampList[[#This Row],[Type of Accomodation]]="camp",MAX(0,CampList[[#This Row],[HH]]-SUMIF(Table_Shelter[Pcode],CampList[[#This Row],[CP_Pcode]],Table_Shelter[HH Covered])),0)</f>
        <v>13</v>
      </c>
      <c r="AG55" s="476"/>
      <c r="AH55" s="677">
        <f>MIN(CampList[[#This Row],[Shelter Gap]],CampList[[#This Row],[Land Status]])</f>
        <v>13</v>
      </c>
      <c r="AI55" s="701" t="str">
        <f ca="1">IFERROR(OFFSET(DistanceToCamp[Nearest Town],MATCH(CampList[[#This Row],[CP_Pcode]],DistanceToCamp[CP_Pcode],0)-1,0,1,1),"")</f>
        <v>Hpakant Town</v>
      </c>
      <c r="AJ55" s="686">
        <f ca="1">IFERROR(OFFSET(DistanceToCamp[distance],MATCH(CampList[[#This Row],[CP_Pcode]],DistanceToCamp[CP_Pcode],0)-1,0,1,1),"")</f>
        <v>0</v>
      </c>
      <c r="AK55" s="702">
        <f ca="1">IFERROR(INT(CampList[[#This Row],[Distance]]/5)+1,"")</f>
        <v>1</v>
      </c>
      <c r="AL55" s="669"/>
      <c r="AM55" s="669"/>
      <c r="AN55" s="669"/>
      <c r="AO55" s="669"/>
      <c r="AP55" s="669"/>
      <c r="AQ55" s="669"/>
      <c r="AR55" s="669"/>
      <c r="AS55" s="669"/>
      <c r="AT55" s="669"/>
      <c r="AU55" s="669"/>
      <c r="AV55" s="669"/>
    </row>
    <row r="56" spans="1:48" s="444" customFormat="1" ht="15.75" customHeight="1" x14ac:dyDescent="0.25">
      <c r="A56" s="695" t="s">
        <v>500</v>
      </c>
      <c r="B56" s="651" t="s">
        <v>380</v>
      </c>
      <c r="C56" s="651" t="s">
        <v>525</v>
      </c>
      <c r="D56" s="652" t="s">
        <v>237</v>
      </c>
      <c r="E56" s="652" t="s">
        <v>531</v>
      </c>
      <c r="F56" s="652" t="s">
        <v>527</v>
      </c>
      <c r="G56" s="652" t="s">
        <v>1411</v>
      </c>
      <c r="H56" s="652" t="s">
        <v>1441</v>
      </c>
      <c r="I56" s="696" t="s">
        <v>1442</v>
      </c>
      <c r="J56" s="651" t="s">
        <v>1441</v>
      </c>
      <c r="K56" s="696">
        <v>166818</v>
      </c>
      <c r="L56" s="652" t="s">
        <v>1409</v>
      </c>
      <c r="M56" s="651" t="s">
        <v>1410</v>
      </c>
      <c r="N56" s="678">
        <v>96.637</v>
      </c>
      <c r="O56" s="678">
        <v>25.806999999999999</v>
      </c>
      <c r="P56" s="698"/>
      <c r="Q56" s="701">
        <v>6</v>
      </c>
      <c r="R56" s="708">
        <v>9</v>
      </c>
      <c r="S56" s="679">
        <f>IF(CampList[[#This Row],[HH]]&gt;0,CampList[[#This Row],[Total]]/CampList[[#This Row],[HH]],"NA")</f>
        <v>1.5</v>
      </c>
      <c r="T56" s="653" t="s">
        <v>511</v>
      </c>
      <c r="U56" s="653" t="s">
        <v>1191</v>
      </c>
      <c r="V56" s="653" t="s">
        <v>554</v>
      </c>
      <c r="W56" s="653" t="s">
        <v>856</v>
      </c>
      <c r="X56" s="699">
        <v>42370</v>
      </c>
      <c r="Y56" s="681"/>
      <c r="Z56" s="680"/>
      <c r="AA56" s="682" t="s">
        <v>842</v>
      </c>
      <c r="AB56" s="682"/>
      <c r="AC56" s="683">
        <v>42576</v>
      </c>
      <c r="AD56" s="675" t="s">
        <v>1407</v>
      </c>
      <c r="AE56" s="685"/>
      <c r="AF56" s="701">
        <f>IF(CampList[[#This Row],[Type of Accomodation]]="camp",MAX(0,CampList[[#This Row],[HH]]-SUMIF(Table_Shelter[Pcode],CampList[[#This Row],[CP_Pcode]],Table_Shelter[HH Covered])),0)</f>
        <v>6</v>
      </c>
      <c r="AG56" s="653"/>
      <c r="AH56" s="677">
        <f>MIN(CampList[[#This Row],[Shelter Gap]],CampList[[#This Row],[Land Status]])</f>
        <v>6</v>
      </c>
      <c r="AI56" s="653" t="str">
        <f ca="1">IFERROR(OFFSET(DistanceToCamp[Nearest Town],MATCH(CampList[[#This Row],[CP_Pcode]],DistanceToCamp[CP_Pcode],0)-1,0,1,1),"")</f>
        <v>Hpakant Town</v>
      </c>
      <c r="AJ56" s="686">
        <f ca="1">IFERROR(OFFSET(DistanceToCamp[distance],MATCH(CampList[[#This Row],[CP_Pcode]],DistanceToCamp[CP_Pcode],0)-1,0,1,1),"")</f>
        <v>0</v>
      </c>
      <c r="AK56" s="687">
        <f ca="1">IFERROR(INT(CampList[[#This Row],[Distance]]/5)+1,"")</f>
        <v>1</v>
      </c>
      <c r="AL56" s="669"/>
      <c r="AM56" s="669"/>
      <c r="AN56" s="669"/>
      <c r="AO56" s="669"/>
      <c r="AP56" s="669"/>
      <c r="AQ56" s="669"/>
      <c r="AR56" s="669"/>
      <c r="AS56" s="669"/>
      <c r="AT56" s="669"/>
      <c r="AU56" s="669"/>
      <c r="AV56" s="669"/>
    </row>
    <row r="57" spans="1:48" s="444" customFormat="1" ht="15.75" customHeight="1" x14ac:dyDescent="0.25">
      <c r="A57" s="675" t="s">
        <v>500</v>
      </c>
      <c r="B57" s="651" t="s">
        <v>380</v>
      </c>
      <c r="C57" s="651" t="s">
        <v>525</v>
      </c>
      <c r="D57" s="651" t="s">
        <v>180</v>
      </c>
      <c r="E57" s="651" t="s">
        <v>526</v>
      </c>
      <c r="F57" s="651" t="s">
        <v>527</v>
      </c>
      <c r="G57" s="651" t="s">
        <v>528</v>
      </c>
      <c r="H57" s="651" t="s">
        <v>598</v>
      </c>
      <c r="I57" s="651" t="s">
        <v>599</v>
      </c>
      <c r="J57" s="651" t="s">
        <v>602</v>
      </c>
      <c r="K57" s="651">
        <v>166788</v>
      </c>
      <c r="L57" s="651" t="s">
        <v>126</v>
      </c>
      <c r="M57" s="651" t="s">
        <v>125</v>
      </c>
      <c r="N57" s="676">
        <v>96.286680000000004</v>
      </c>
      <c r="O57" s="676">
        <v>25.577559999999998</v>
      </c>
      <c r="P57" s="677">
        <v>0</v>
      </c>
      <c r="Q57" s="476">
        <v>35</v>
      </c>
      <c r="R57" s="476">
        <v>173</v>
      </c>
      <c r="S57" s="679">
        <f>IF(CampList[[#This Row],[HH]]&gt;0,CampList[[#This Row],[Total]]/CampList[[#This Row],[HH]],"NA")</f>
        <v>4.9428571428571431</v>
      </c>
      <c r="T57" s="653" t="s">
        <v>511</v>
      </c>
      <c r="U57" s="653" t="s">
        <v>1191</v>
      </c>
      <c r="V57" s="653" t="s">
        <v>554</v>
      </c>
      <c r="W57" s="653" t="s">
        <v>803</v>
      </c>
      <c r="X57" s="680">
        <v>41275</v>
      </c>
      <c r="Y57" s="681">
        <v>2</v>
      </c>
      <c r="Z57" s="680" t="s">
        <v>460</v>
      </c>
      <c r="AA57" s="682" t="s">
        <v>842</v>
      </c>
      <c r="AB57" s="682"/>
      <c r="AC57" s="683">
        <v>42809</v>
      </c>
      <c r="AD57" s="684" t="s">
        <v>1641</v>
      </c>
      <c r="AE57" s="685" t="s">
        <v>1093</v>
      </c>
      <c r="AF57" s="476">
        <f>IF(CampList[[#This Row],[Type of Accomodation]]="camp",MAX(0,CampList[[#This Row],[HH]]-SUMIF(Table_Shelter[Pcode],CampList[[#This Row],[CP_Pcode]],Table_Shelter[HH Covered])),0)</f>
        <v>20</v>
      </c>
      <c r="AG57" s="653"/>
      <c r="AH57" s="682">
        <f>MIN(CampList[[#This Row],[Shelter Gap]],CampList[[#This Row],[Land Status]])</f>
        <v>20</v>
      </c>
      <c r="AI57" s="653" t="str">
        <f ca="1">IFERROR(OFFSET(DistanceToCamp[Nearest Town],MATCH(CampList[[#This Row],[CP_Pcode]],DistanceToCamp[CP_Pcode],0)-1,0,1,1),"")</f>
        <v>Hpakant Town</v>
      </c>
      <c r="AJ57" s="686">
        <f ca="1">IFERROR(OFFSET(DistanceToCamp[distance],MATCH(CampList[[#This Row],[CP_Pcode]],DistanceToCamp[CP_Pcode],0)-1,0,1,1),"")</f>
        <v>4.6754712546149264</v>
      </c>
      <c r="AK57" s="687">
        <f ca="1">IFERROR(INT(CampList[[#This Row],[Distance]]/5)+1,"")</f>
        <v>1</v>
      </c>
      <c r="AL57" s="669"/>
      <c r="AM57" s="669"/>
      <c r="AN57" s="669"/>
      <c r="AO57" s="669"/>
      <c r="AP57" s="669"/>
      <c r="AQ57" s="669"/>
      <c r="AR57" s="669"/>
      <c r="AS57" s="669"/>
      <c r="AT57" s="669"/>
      <c r="AU57" s="669"/>
      <c r="AV57" s="669"/>
    </row>
    <row r="58" spans="1:48" s="444" customFormat="1" ht="15.75" customHeight="1" x14ac:dyDescent="0.25">
      <c r="A58" s="675" t="s">
        <v>500</v>
      </c>
      <c r="B58" s="651" t="s">
        <v>380</v>
      </c>
      <c r="C58" s="651" t="s">
        <v>525</v>
      </c>
      <c r="D58" s="651" t="s">
        <v>180</v>
      </c>
      <c r="E58" s="651" t="s">
        <v>526</v>
      </c>
      <c r="F58" s="651" t="s">
        <v>527</v>
      </c>
      <c r="G58" s="651" t="s">
        <v>528</v>
      </c>
      <c r="H58" s="684" t="s">
        <v>609</v>
      </c>
      <c r="I58" s="684" t="s">
        <v>610</v>
      </c>
      <c r="J58" s="651" t="s">
        <v>609</v>
      </c>
      <c r="K58" s="696">
        <v>166776</v>
      </c>
      <c r="L58" s="651" t="s">
        <v>140</v>
      </c>
      <c r="M58" s="651" t="s">
        <v>139</v>
      </c>
      <c r="N58" s="676">
        <v>96.306910999999999</v>
      </c>
      <c r="O58" s="676">
        <v>25.599250000000001</v>
      </c>
      <c r="P58" s="677">
        <v>0</v>
      </c>
      <c r="Q58" s="476">
        <v>12</v>
      </c>
      <c r="R58" s="476">
        <v>43</v>
      </c>
      <c r="S58" s="679">
        <f>IF(CampList[[#This Row],[HH]]&gt;0,CampList[[#This Row],[Total]]/CampList[[#This Row],[HH]],"NA")</f>
        <v>3.5833333333333335</v>
      </c>
      <c r="T58" s="653" t="s">
        <v>511</v>
      </c>
      <c r="U58" s="653" t="s">
        <v>1191</v>
      </c>
      <c r="V58" s="653" t="s">
        <v>554</v>
      </c>
      <c r="W58" s="653" t="s">
        <v>803</v>
      </c>
      <c r="X58" s="680">
        <v>41122</v>
      </c>
      <c r="Y58" s="681">
        <v>1</v>
      </c>
      <c r="Z58" s="680" t="s">
        <v>460</v>
      </c>
      <c r="AA58" s="682" t="s">
        <v>842</v>
      </c>
      <c r="AB58" s="682"/>
      <c r="AC58" s="683">
        <v>42809</v>
      </c>
      <c r="AD58" s="684" t="s">
        <v>1642</v>
      </c>
      <c r="AE58" s="685" t="s">
        <v>1093</v>
      </c>
      <c r="AF58" s="476">
        <f>IF(CampList[[#This Row],[Type of Accomodation]]="camp",MAX(0,CampList[[#This Row],[HH]]-SUMIF(Table_Shelter[Pcode],CampList[[#This Row],[CP_Pcode]],Table_Shelter[HH Covered])),0)</f>
        <v>2</v>
      </c>
      <c r="AG58" s="653"/>
      <c r="AH58" s="682">
        <f>MIN(CampList[[#This Row],[Shelter Gap]],CampList[[#This Row],[Land Status]])</f>
        <v>2</v>
      </c>
      <c r="AI58" s="653" t="str">
        <f ca="1">IFERROR(OFFSET(DistanceToCamp[Nearest Town],MATCH(CampList[[#This Row],[CP_Pcode]],DistanceToCamp[CP_Pcode],0)-1,0,1,1),"")</f>
        <v>Hpakant Town</v>
      </c>
      <c r="AJ58" s="686">
        <f ca="1">IFERROR(OFFSET(DistanceToCamp[distance],MATCH(CampList[[#This Row],[CP_Pcode]],DistanceToCamp[CP_Pcode],0)-1,0,1,1),"")</f>
        <v>1.5942018764815451</v>
      </c>
      <c r="AK58" s="687">
        <f ca="1">IFERROR(INT(CampList[[#This Row],[Distance]]/5)+1,"")</f>
        <v>1</v>
      </c>
      <c r="AL58" s="669"/>
      <c r="AM58" s="669"/>
      <c r="AN58" s="669"/>
      <c r="AO58" s="669"/>
      <c r="AP58" s="669"/>
      <c r="AQ58" s="669"/>
      <c r="AR58" s="669"/>
      <c r="AS58" s="669"/>
      <c r="AT58" s="669"/>
      <c r="AU58" s="669"/>
      <c r="AV58" s="669"/>
    </row>
    <row r="59" spans="1:48" s="444" customFormat="1" ht="15.75" customHeight="1" x14ac:dyDescent="0.25">
      <c r="A59" s="675" t="s">
        <v>500</v>
      </c>
      <c r="B59" s="651" t="s">
        <v>380</v>
      </c>
      <c r="C59" s="651" t="s">
        <v>525</v>
      </c>
      <c r="D59" s="651" t="s">
        <v>5</v>
      </c>
      <c r="E59" s="651" t="s">
        <v>529</v>
      </c>
      <c r="F59" s="651" t="s">
        <v>185</v>
      </c>
      <c r="G59" s="651" t="s">
        <v>533</v>
      </c>
      <c r="H59" s="651" t="s">
        <v>662</v>
      </c>
      <c r="I59" s="651" t="s">
        <v>663</v>
      </c>
      <c r="J59" s="651"/>
      <c r="K59" s="651"/>
      <c r="L59" s="651" t="s">
        <v>12</v>
      </c>
      <c r="M59" s="651" t="s">
        <v>391</v>
      </c>
      <c r="N59" s="676">
        <v>97.348405</v>
      </c>
      <c r="O59" s="676">
        <v>24.251232000000002</v>
      </c>
      <c r="P59" s="698"/>
      <c r="Q59" s="840">
        <v>226</v>
      </c>
      <c r="R59" s="841">
        <v>1048</v>
      </c>
      <c r="S59" s="679">
        <f>IF(CampList[[#This Row],[HH]]&gt;0,CampList[[#This Row],[Total]]/CampList[[#This Row],[HH]],"NA")</f>
        <v>4.6371681415929205</v>
      </c>
      <c r="T59" s="653" t="s">
        <v>511</v>
      </c>
      <c r="U59" s="653" t="s">
        <v>1191</v>
      </c>
      <c r="V59" s="712" t="s">
        <v>12</v>
      </c>
      <c r="W59" s="653" t="s">
        <v>803</v>
      </c>
      <c r="X59" s="699"/>
      <c r="Y59" s="698"/>
      <c r="Z59" s="682"/>
      <c r="AA59" s="693" t="s">
        <v>841</v>
      </c>
      <c r="AB59" s="682"/>
      <c r="AC59" s="716">
        <v>42832</v>
      </c>
      <c r="AD59" s="675" t="s">
        <v>1662</v>
      </c>
      <c r="AE59" s="708" t="s">
        <v>1093</v>
      </c>
      <c r="AF59" s="476">
        <f>IF(CampList[[#This Row],[Type of Accomodation]]="camp",MAX(0,CampList[[#This Row],[HH]]-SUMIF(Table_Shelter[Pcode],CampList[[#This Row],[CP_Pcode]],Table_Shelter[HH Covered])),0)</f>
        <v>0</v>
      </c>
      <c r="AG59" s="653"/>
      <c r="AH59" s="682">
        <f>MIN(CampList[[#This Row],[Shelter Gap]],CampList[[#This Row],[Land Status]])</f>
        <v>0</v>
      </c>
      <c r="AI59" s="653" t="str">
        <f ca="1">IFERROR(OFFSET(DistanceToCamp[Nearest Town],MATCH(CampList[[#This Row],[CP_Pcode]],DistanceToCamp[CP_Pcode],0)-1,0,1,1),"")</f>
        <v>Momauk Town</v>
      </c>
      <c r="AJ59" s="686">
        <f ca="1">IFERROR(OFFSET(DistanceToCamp[distance],MATCH(CampList[[#This Row],[CP_Pcode]],DistanceToCamp[CP_Pcode],0)-1,0,1,1),"")</f>
        <v>0.60629049139006752</v>
      </c>
      <c r="AK59" s="687">
        <f ca="1">IFERROR(INT(CampList[[#This Row],[Distance]]/5)+1,"")</f>
        <v>1</v>
      </c>
      <c r="AL59" s="669"/>
      <c r="AM59" s="669"/>
      <c r="AN59" s="669"/>
      <c r="AO59" s="669"/>
      <c r="AP59" s="669"/>
      <c r="AQ59" s="669"/>
      <c r="AR59" s="669"/>
      <c r="AS59" s="669"/>
      <c r="AT59" s="669"/>
      <c r="AU59" s="669"/>
      <c r="AV59" s="669"/>
    </row>
    <row r="60" spans="1:48" s="444" customFormat="1" ht="15.75" customHeight="1" x14ac:dyDescent="0.25">
      <c r="A60" s="675" t="s">
        <v>500</v>
      </c>
      <c r="B60" s="651" t="s">
        <v>553</v>
      </c>
      <c r="C60" s="651" t="s">
        <v>536</v>
      </c>
      <c r="D60" s="651" t="s">
        <v>230</v>
      </c>
      <c r="E60" s="651" t="s">
        <v>537</v>
      </c>
      <c r="F60" s="651" t="s">
        <v>146</v>
      </c>
      <c r="G60" s="651" t="s">
        <v>544</v>
      </c>
      <c r="H60" s="651" t="s">
        <v>785</v>
      </c>
      <c r="I60" s="651" t="s">
        <v>786</v>
      </c>
      <c r="J60" s="694" t="s">
        <v>787</v>
      </c>
      <c r="K60" s="652">
        <v>219842</v>
      </c>
      <c r="L60" s="651" t="s">
        <v>371</v>
      </c>
      <c r="M60" s="651" t="s">
        <v>147</v>
      </c>
      <c r="N60" s="676">
        <v>98.220614999999995</v>
      </c>
      <c r="O60" s="676">
        <v>23.400155999999999</v>
      </c>
      <c r="P60" s="677">
        <v>3109</v>
      </c>
      <c r="Q60" s="476">
        <v>46</v>
      </c>
      <c r="R60" s="476">
        <v>255</v>
      </c>
      <c r="S60" s="679">
        <f>IF(CampList[[#This Row],[HH]]&gt;0,CampList[[#This Row],[Total]]/CampList[[#This Row],[HH]],"NA")</f>
        <v>5.5434782608695654</v>
      </c>
      <c r="T60" s="653" t="s">
        <v>511</v>
      </c>
      <c r="U60" s="653" t="s">
        <v>1191</v>
      </c>
      <c r="V60" s="653" t="s">
        <v>554</v>
      </c>
      <c r="W60" s="653" t="s">
        <v>856</v>
      </c>
      <c r="X60" s="680">
        <v>40787</v>
      </c>
      <c r="Y60" s="681">
        <v>1</v>
      </c>
      <c r="Z60" s="680" t="s">
        <v>460</v>
      </c>
      <c r="AA60" s="693" t="s">
        <v>842</v>
      </c>
      <c r="AB60" s="682"/>
      <c r="AC60" s="683">
        <v>42809</v>
      </c>
      <c r="AD60" s="675" t="s">
        <v>1619</v>
      </c>
      <c r="AE60" s="685" t="s">
        <v>1077</v>
      </c>
      <c r="AF60" s="476">
        <f>IF(CampList[[#This Row],[Type of Accomodation]]="camp",MAX(0,CampList[[#This Row],[HH]]-SUMIF(Table_Shelter[Pcode],CampList[[#This Row],[CP_Pcode]],Table_Shelter[HH Covered])),0)</f>
        <v>41</v>
      </c>
      <c r="AG60" s="653"/>
      <c r="AH60" s="682">
        <f>MIN(CampList[[#This Row],[Shelter Gap]],CampList[[#This Row],[Land Status]])</f>
        <v>41</v>
      </c>
      <c r="AI60" s="653" t="str">
        <f ca="1">IFERROR(OFFSET(DistanceToCamp[Nearest Town],MATCH(CampList[[#This Row],[CP_Pcode]],DistanceToCamp[CP_Pcode],0)-1,0,1,1),"")</f>
        <v>Tarmoenye Town</v>
      </c>
      <c r="AJ60" s="686">
        <f ca="1">IFERROR(OFFSET(DistanceToCamp[distance],MATCH(CampList[[#This Row],[CP_Pcode]],DistanceToCamp[CP_Pcode],0)-1,0,1,1),"")</f>
        <v>23.172399462804503</v>
      </c>
      <c r="AK60" s="687">
        <f ca="1">IFERROR(INT(CampList[[#This Row],[Distance]]/5)+1,"")</f>
        <v>5</v>
      </c>
      <c r="AL60" s="669"/>
      <c r="AM60" s="669"/>
      <c r="AN60" s="669"/>
      <c r="AO60" s="669"/>
      <c r="AP60" s="669"/>
      <c r="AQ60" s="669"/>
      <c r="AR60" s="669"/>
      <c r="AS60" s="669"/>
      <c r="AT60" s="669"/>
      <c r="AU60" s="669"/>
      <c r="AV60" s="669"/>
    </row>
    <row r="61" spans="1:48" s="444" customFormat="1" ht="15.75" hidden="1" customHeight="1" x14ac:dyDescent="0.25">
      <c r="A61" s="675" t="s">
        <v>843</v>
      </c>
      <c r="B61" s="651" t="s">
        <v>380</v>
      </c>
      <c r="C61" s="651" t="s">
        <v>525</v>
      </c>
      <c r="D61" s="651" t="s">
        <v>5</v>
      </c>
      <c r="E61" s="651" t="s">
        <v>529</v>
      </c>
      <c r="F61" s="651" t="s">
        <v>185</v>
      </c>
      <c r="G61" s="651" t="s">
        <v>533</v>
      </c>
      <c r="H61" s="684" t="s">
        <v>662</v>
      </c>
      <c r="I61" s="684" t="s">
        <v>663</v>
      </c>
      <c r="J61" s="684" t="s">
        <v>667</v>
      </c>
      <c r="K61" s="684" t="s">
        <v>668</v>
      </c>
      <c r="L61" s="651" t="s">
        <v>211</v>
      </c>
      <c r="M61" s="651" t="s">
        <v>210</v>
      </c>
      <c r="N61" s="676">
        <v>97.346950000000007</v>
      </c>
      <c r="O61" s="676">
        <v>24.25177</v>
      </c>
      <c r="P61" s="677">
        <v>0</v>
      </c>
      <c r="Q61" s="840"/>
      <c r="R61" s="841"/>
      <c r="S61" s="679" t="str">
        <f>IF(CampList[[#This Row],[HH]]&gt;0,CampList[[#This Row],[Total]]/CampList[[#This Row],[HH]],"NA")</f>
        <v>NA</v>
      </c>
      <c r="T61" s="653" t="s">
        <v>511</v>
      </c>
      <c r="U61" s="688" t="s">
        <v>1191</v>
      </c>
      <c r="V61" s="653" t="s">
        <v>554</v>
      </c>
      <c r="W61" s="688" t="s">
        <v>803</v>
      </c>
      <c r="X61" s="689">
        <v>40756</v>
      </c>
      <c r="Y61" s="690">
        <v>2</v>
      </c>
      <c r="Z61" s="689" t="s">
        <v>1089</v>
      </c>
      <c r="AA61" s="693" t="s">
        <v>842</v>
      </c>
      <c r="AB61" s="682"/>
      <c r="AC61" s="683">
        <v>41971</v>
      </c>
      <c r="AD61" s="675" t="s">
        <v>1119</v>
      </c>
      <c r="AE61" s="685" t="s">
        <v>1093</v>
      </c>
      <c r="AF61" s="476">
        <f>IF(CampList[[#This Row],[Type of Accomodation]]="camp",MAX(0,CampList[[#This Row],[HH]]-SUMIF(Table_Shelter[Pcode],CampList[[#This Row],[CP_Pcode]],Table_Shelter[HH Covered])),0)</f>
        <v>0</v>
      </c>
      <c r="AG61" s="653"/>
      <c r="AH61" s="682">
        <f>MIN(CampList[[#This Row],[Shelter Gap]],CampList[[#This Row],[Land Status]])</f>
        <v>0</v>
      </c>
      <c r="AI61" s="653" t="str">
        <f ca="1">IFERROR(OFFSET(DistanceToCamp[Nearest Town],MATCH(CampList[[#This Row],[CP_Pcode]],DistanceToCamp[CP_Pcode],0)-1,0,1,1),"")</f>
        <v/>
      </c>
      <c r="AJ61" s="686" t="str">
        <f ca="1">IFERROR(OFFSET(DistanceToCamp[distance],MATCH(CampList[[#This Row],[CP_Pcode]],DistanceToCamp[CP_Pcode],0)-1,0,1,1),"")</f>
        <v/>
      </c>
      <c r="AK61" s="687" t="str">
        <f ca="1">IFERROR(INT(CampList[[#This Row],[Distance]]/5)+1,"")</f>
        <v/>
      </c>
      <c r="AL61" s="669"/>
      <c r="AM61" s="669"/>
      <c r="AN61" s="669"/>
      <c r="AO61" s="669"/>
      <c r="AP61" s="669"/>
      <c r="AQ61" s="669"/>
      <c r="AR61" s="669"/>
      <c r="AS61" s="669"/>
      <c r="AT61" s="669"/>
      <c r="AU61" s="669"/>
      <c r="AV61" s="669"/>
    </row>
    <row r="62" spans="1:48" s="444" customFormat="1" ht="15.75" hidden="1" customHeight="1" x14ac:dyDescent="0.25">
      <c r="A62" s="675" t="s">
        <v>843</v>
      </c>
      <c r="B62" s="651" t="s">
        <v>380</v>
      </c>
      <c r="C62" s="651" t="s">
        <v>525</v>
      </c>
      <c r="D62" s="651" t="s">
        <v>5</v>
      </c>
      <c r="E62" s="651" t="s">
        <v>529</v>
      </c>
      <c r="F62" s="651" t="s">
        <v>185</v>
      </c>
      <c r="G62" s="651" t="s">
        <v>533</v>
      </c>
      <c r="H62" s="684" t="s">
        <v>662</v>
      </c>
      <c r="I62" s="684" t="s">
        <v>663</v>
      </c>
      <c r="J62" s="684" t="s">
        <v>664</v>
      </c>
      <c r="K62" s="684" t="s">
        <v>665</v>
      </c>
      <c r="L62" s="651" t="s">
        <v>207</v>
      </c>
      <c r="M62" s="651" t="s">
        <v>206</v>
      </c>
      <c r="N62" s="676">
        <v>97.346940000000004</v>
      </c>
      <c r="O62" s="676">
        <v>24.251860000000001</v>
      </c>
      <c r="P62" s="692">
        <v>0</v>
      </c>
      <c r="Q62" s="840"/>
      <c r="R62" s="841"/>
      <c r="S62" s="679" t="str">
        <f>IF(CampList[[#This Row],[HH]]&gt;0,CampList[[#This Row],[Total]]/CampList[[#This Row],[HH]],"NA")</f>
        <v>NA</v>
      </c>
      <c r="T62" s="653" t="s">
        <v>511</v>
      </c>
      <c r="U62" s="688" t="s">
        <v>1191</v>
      </c>
      <c r="V62" s="653" t="s">
        <v>554</v>
      </c>
      <c r="W62" s="688" t="s">
        <v>803</v>
      </c>
      <c r="X62" s="689">
        <v>40817</v>
      </c>
      <c r="Y62" s="690"/>
      <c r="Z62" s="689"/>
      <c r="AA62" s="693" t="s">
        <v>842</v>
      </c>
      <c r="AB62" s="682"/>
      <c r="AC62" s="683">
        <v>42317</v>
      </c>
      <c r="AD62" s="675" t="s">
        <v>1311</v>
      </c>
      <c r="AE62" s="685" t="s">
        <v>1093</v>
      </c>
      <c r="AF62" s="476">
        <f>IF(CampList[[#This Row],[Type of Accomodation]]="camp",MAX(0,CampList[[#This Row],[HH]]-SUMIF(Table_Shelter[Pcode],CampList[[#This Row],[CP_Pcode]],Table_Shelter[HH Covered])),0)</f>
        <v>0</v>
      </c>
      <c r="AG62" s="653"/>
      <c r="AH62" s="682">
        <f>MIN(CampList[[#This Row],[Shelter Gap]],CampList[[#This Row],[Land Status]])</f>
        <v>0</v>
      </c>
      <c r="AI62" s="653"/>
      <c r="AJ62" s="686"/>
      <c r="AK62" s="687"/>
      <c r="AL62" s="669"/>
      <c r="AM62" s="669"/>
      <c r="AN62" s="669"/>
      <c r="AO62" s="669"/>
      <c r="AP62" s="669"/>
      <c r="AQ62" s="669"/>
      <c r="AR62" s="669"/>
      <c r="AS62" s="669"/>
      <c r="AT62" s="669"/>
      <c r="AU62" s="669"/>
      <c r="AV62" s="669"/>
    </row>
    <row r="63" spans="1:48" s="444" customFormat="1" ht="15.75" hidden="1" customHeight="1" x14ac:dyDescent="0.25">
      <c r="A63" s="675" t="s">
        <v>843</v>
      </c>
      <c r="B63" s="651" t="s">
        <v>380</v>
      </c>
      <c r="C63" s="651" t="s">
        <v>525</v>
      </c>
      <c r="D63" s="651" t="s">
        <v>5</v>
      </c>
      <c r="E63" s="651" t="s">
        <v>529</v>
      </c>
      <c r="F63" s="651" t="s">
        <v>185</v>
      </c>
      <c r="G63" s="651" t="s">
        <v>533</v>
      </c>
      <c r="H63" s="651" t="s">
        <v>662</v>
      </c>
      <c r="I63" s="651" t="s">
        <v>663</v>
      </c>
      <c r="J63" s="651" t="s">
        <v>664</v>
      </c>
      <c r="K63" s="651" t="s">
        <v>665</v>
      </c>
      <c r="L63" s="651" t="s">
        <v>217</v>
      </c>
      <c r="M63" s="651" t="s">
        <v>216</v>
      </c>
      <c r="N63" s="676">
        <v>97.347740000000002</v>
      </c>
      <c r="O63" s="676">
        <v>24.253769999999999</v>
      </c>
      <c r="P63" s="677">
        <v>0</v>
      </c>
      <c r="Q63" s="701"/>
      <c r="R63" s="708"/>
      <c r="S63" s="679" t="str">
        <f>IF(CampList[[#This Row],[HH]]&gt;0,CampList[[#This Row],[Total]]/CampList[[#This Row],[HH]],"NA")</f>
        <v>NA</v>
      </c>
      <c r="T63" s="653" t="s">
        <v>511</v>
      </c>
      <c r="U63" s="688" t="s">
        <v>1191</v>
      </c>
      <c r="V63" s="653" t="s">
        <v>554</v>
      </c>
      <c r="W63" s="688" t="s">
        <v>803</v>
      </c>
      <c r="X63" s="689">
        <v>40817</v>
      </c>
      <c r="Y63" s="690">
        <v>1</v>
      </c>
      <c r="Z63" s="689" t="s">
        <v>505</v>
      </c>
      <c r="AA63" s="682" t="s">
        <v>842</v>
      </c>
      <c r="AB63" s="682"/>
      <c r="AC63" s="683">
        <v>42537</v>
      </c>
      <c r="AD63" s="684" t="s">
        <v>1389</v>
      </c>
      <c r="AE63" s="685" t="s">
        <v>1093</v>
      </c>
      <c r="AF63" s="476">
        <f>IF(CampList[[#This Row],[Type of Accomodation]]="camp",MAX(0,CampList[[#This Row],[HH]]-SUMIF(Table_Shelter[Pcode],CampList[[#This Row],[CP_Pcode]],Table_Shelter[HH Covered])),0)</f>
        <v>0</v>
      </c>
      <c r="AG63" s="476"/>
      <c r="AH63" s="682">
        <f>MIN(CampList[[#This Row],[Shelter Gap]],CampList[[#This Row],[Land Status]])</f>
        <v>0</v>
      </c>
      <c r="AI63" s="653" t="str">
        <f ca="1">IFERROR(OFFSET(DistanceToCamp[Nearest Town],MATCH(CampList[[#This Row],[CP_Pcode]],DistanceToCamp[CP_Pcode],0)-1,0,1,1),"")</f>
        <v>Momauk Town</v>
      </c>
      <c r="AJ63" s="686">
        <f ca="1">IFERROR(OFFSET(DistanceToCamp[distance],MATCH(CampList[[#This Row],[CP_Pcode]],DistanceToCamp[CP_Pcode],0)-1,0,1,1),"")</f>
        <v>0.32830807173487342</v>
      </c>
      <c r="AK63" s="687">
        <f ca="1">IFERROR(INT(CampList[[#This Row],[Distance]]/5)+1,"")</f>
        <v>1</v>
      </c>
      <c r="AL63" s="669"/>
      <c r="AM63" s="669"/>
      <c r="AN63" s="669"/>
      <c r="AO63" s="669"/>
      <c r="AP63" s="669"/>
      <c r="AQ63" s="669"/>
      <c r="AR63" s="669"/>
      <c r="AS63" s="669"/>
      <c r="AT63" s="669"/>
      <c r="AU63" s="669"/>
      <c r="AV63" s="669"/>
    </row>
    <row r="64" spans="1:48" s="444" customFormat="1" ht="15.75" customHeight="1" x14ac:dyDescent="0.25">
      <c r="A64" s="675" t="s">
        <v>500</v>
      </c>
      <c r="B64" s="651" t="s">
        <v>553</v>
      </c>
      <c r="C64" s="651" t="s">
        <v>536</v>
      </c>
      <c r="D64" s="651" t="s">
        <v>230</v>
      </c>
      <c r="E64" s="651" t="s">
        <v>537</v>
      </c>
      <c r="F64" s="651" t="s">
        <v>146</v>
      </c>
      <c r="G64" s="651" t="s">
        <v>544</v>
      </c>
      <c r="H64" s="705" t="s">
        <v>723</v>
      </c>
      <c r="I64" s="651" t="s">
        <v>1255</v>
      </c>
      <c r="J64" s="705" t="s">
        <v>724</v>
      </c>
      <c r="K64" s="723">
        <v>208696</v>
      </c>
      <c r="L64" s="651" t="s">
        <v>149</v>
      </c>
      <c r="M64" s="651" t="s">
        <v>148</v>
      </c>
      <c r="N64" s="676">
        <v>97.818979999999996</v>
      </c>
      <c r="O64" s="676">
        <v>23.694130000000001</v>
      </c>
      <c r="P64" s="677">
        <v>1135.7</v>
      </c>
      <c r="Q64" s="476">
        <v>64</v>
      </c>
      <c r="R64" s="476">
        <v>284</v>
      </c>
      <c r="S64" s="679">
        <f>IF(CampList[[#This Row],[HH]]&gt;0,CampList[[#This Row],[Total]]/CampList[[#This Row],[HH]],"NA")</f>
        <v>4.4375</v>
      </c>
      <c r="T64" s="653" t="s">
        <v>511</v>
      </c>
      <c r="U64" s="653" t="s">
        <v>1191</v>
      </c>
      <c r="V64" s="653" t="s">
        <v>554</v>
      </c>
      <c r="W64" s="653" t="s">
        <v>856</v>
      </c>
      <c r="X64" s="680">
        <v>40878</v>
      </c>
      <c r="Y64" s="681">
        <v>1</v>
      </c>
      <c r="Z64" s="680" t="s">
        <v>460</v>
      </c>
      <c r="AA64" s="693" t="s">
        <v>842</v>
      </c>
      <c r="AB64" s="682"/>
      <c r="AC64" s="683">
        <v>42809</v>
      </c>
      <c r="AD64" s="675" t="s">
        <v>1617</v>
      </c>
      <c r="AE64" s="685" t="s">
        <v>1079</v>
      </c>
      <c r="AF64" s="476">
        <f>IF(CampList[[#This Row],[Type of Accomodation]]="camp",MAX(0,CampList[[#This Row],[HH]]-SUMIF(Table_Shelter[Pcode],CampList[[#This Row],[CP_Pcode]],Table_Shelter[HH Covered])),0)</f>
        <v>38</v>
      </c>
      <c r="AG64" s="653"/>
      <c r="AH64" s="682">
        <f>MIN(CampList[[#This Row],[Shelter Gap]],CampList[[#This Row],[Land Status]])</f>
        <v>38</v>
      </c>
      <c r="AI64" s="653" t="str">
        <f ca="1">IFERROR(OFFSET(DistanceToCamp[Nearest Town],MATCH(CampList[[#This Row],[CP_Pcode]],DistanceToCamp[CP_Pcode],0)-1,0,1,1),"")</f>
        <v>Namhkan Town</v>
      </c>
      <c r="AJ64" s="686">
        <f ca="1">IFERROR(OFFSET(DistanceToCamp[distance],MATCH(CampList[[#This Row],[CP_Pcode]],DistanceToCamp[CP_Pcode],0)-1,0,1,1),"")</f>
        <v>21.148671772283631</v>
      </c>
      <c r="AK64" s="687">
        <f ca="1">IFERROR(INT(CampList[[#This Row],[Distance]]/5)+1,"")</f>
        <v>5</v>
      </c>
      <c r="AL64" s="669"/>
      <c r="AM64" s="669"/>
      <c r="AN64" s="669"/>
      <c r="AO64" s="669"/>
      <c r="AP64" s="669"/>
      <c r="AQ64" s="669"/>
      <c r="AR64" s="669"/>
      <c r="AS64" s="669"/>
      <c r="AT64" s="669"/>
      <c r="AU64" s="669"/>
      <c r="AV64" s="669"/>
    </row>
    <row r="65" spans="1:48" s="444" customFormat="1" ht="15.75" customHeight="1" x14ac:dyDescent="0.25">
      <c r="A65" s="675" t="s">
        <v>500</v>
      </c>
      <c r="B65" s="651" t="s">
        <v>553</v>
      </c>
      <c r="C65" s="651" t="s">
        <v>536</v>
      </c>
      <c r="D65" s="651" t="s">
        <v>541</v>
      </c>
      <c r="E65" s="651" t="s">
        <v>542</v>
      </c>
      <c r="F65" s="651" t="s">
        <v>166</v>
      </c>
      <c r="G65" s="651" t="s">
        <v>543</v>
      </c>
      <c r="H65" s="705" t="s">
        <v>803</v>
      </c>
      <c r="I65" s="724" t="s">
        <v>1134</v>
      </c>
      <c r="J65" s="652" t="s">
        <v>716</v>
      </c>
      <c r="K65" s="652" t="s">
        <v>1375</v>
      </c>
      <c r="L65" s="651" t="s">
        <v>167</v>
      </c>
      <c r="M65" s="651" t="s">
        <v>165</v>
      </c>
      <c r="N65" s="676">
        <v>97.124403000000001</v>
      </c>
      <c r="O65" s="676">
        <v>23.250678000000001</v>
      </c>
      <c r="P65" s="677">
        <v>1250</v>
      </c>
      <c r="Q65" s="476">
        <v>36</v>
      </c>
      <c r="R65" s="476">
        <v>179</v>
      </c>
      <c r="S65" s="679">
        <f>IF(CampList[[#This Row],[HH]]&gt;0,CampList[[#This Row],[Total]]/CampList[[#This Row],[HH]],"NA")</f>
        <v>4.9722222222222223</v>
      </c>
      <c r="T65" s="653" t="s">
        <v>511</v>
      </c>
      <c r="U65" s="653" t="s">
        <v>1191</v>
      </c>
      <c r="V65" s="653" t="s">
        <v>554</v>
      </c>
      <c r="W65" s="653" t="s">
        <v>803</v>
      </c>
      <c r="X65" s="680">
        <v>41000</v>
      </c>
      <c r="Y65" s="681">
        <v>1</v>
      </c>
      <c r="Z65" s="680" t="s">
        <v>460</v>
      </c>
      <c r="AA65" s="693" t="s">
        <v>842</v>
      </c>
      <c r="AB65" s="682"/>
      <c r="AC65" s="683">
        <v>42809</v>
      </c>
      <c r="AD65" s="675" t="s">
        <v>1615</v>
      </c>
      <c r="AE65" s="685" t="s">
        <v>1078</v>
      </c>
      <c r="AF65" s="476">
        <f>IF(CampList[[#This Row],[Type of Accomodation]]="camp",MAX(0,CampList[[#This Row],[HH]]-SUMIF(Table_Shelter[Pcode],CampList[[#This Row],[CP_Pcode]],Table_Shelter[HH Covered])),0)</f>
        <v>0</v>
      </c>
      <c r="AG65" s="653"/>
      <c r="AH65" s="682">
        <f>MIN(CampList[[#This Row],[Shelter Gap]],CampList[[#This Row],[Land Status]])</f>
        <v>0</v>
      </c>
      <c r="AI65" s="653" t="str">
        <f ca="1">IFERROR(OFFSET(DistanceToCamp[Nearest Town],MATCH(CampList[[#This Row],[CP_Pcode]],DistanceToCamp[CP_Pcode],0)-1,0,1,1),"")</f>
        <v>Manton Town</v>
      </c>
      <c r="AJ65" s="686">
        <f ca="1">IFERROR(OFFSET(DistanceToCamp[distance],MATCH(CampList[[#This Row],[CP_Pcode]],DistanceToCamp[CP_Pcode],0)-1,0,1,1),"")</f>
        <v>0.43878855438285824</v>
      </c>
      <c r="AK65" s="687">
        <f ca="1">IFERROR(INT(CampList[[#This Row],[Distance]]/5)+1,"")</f>
        <v>1</v>
      </c>
      <c r="AL65" s="669"/>
      <c r="AM65" s="669"/>
      <c r="AN65" s="669"/>
      <c r="AO65" s="669"/>
      <c r="AP65" s="669"/>
      <c r="AQ65" s="669"/>
      <c r="AR65" s="669"/>
      <c r="AS65" s="669"/>
      <c r="AT65" s="669"/>
      <c r="AU65" s="669"/>
      <c r="AV65" s="669"/>
    </row>
    <row r="66" spans="1:48" s="444" customFormat="1" ht="15.75" customHeight="1" x14ac:dyDescent="0.25">
      <c r="A66" s="675" t="s">
        <v>500</v>
      </c>
      <c r="B66" s="651" t="s">
        <v>380</v>
      </c>
      <c r="C66" s="651" t="s">
        <v>525</v>
      </c>
      <c r="D66" s="651" t="s">
        <v>5</v>
      </c>
      <c r="E66" s="651" t="s">
        <v>529</v>
      </c>
      <c r="F66" s="651" t="s">
        <v>185</v>
      </c>
      <c r="G66" s="651" t="s">
        <v>533</v>
      </c>
      <c r="H66" s="684" t="s">
        <v>798</v>
      </c>
      <c r="I66" s="684" t="s">
        <v>799</v>
      </c>
      <c r="J66" s="684" t="s">
        <v>798</v>
      </c>
      <c r="K66" s="684">
        <v>167048</v>
      </c>
      <c r="L66" s="651" t="s">
        <v>213</v>
      </c>
      <c r="M66" s="651" t="s">
        <v>212</v>
      </c>
      <c r="N66" s="676">
        <v>97.407787999999996</v>
      </c>
      <c r="O66" s="676">
        <v>24.404876999999999</v>
      </c>
      <c r="P66" s="698"/>
      <c r="Q66" s="840">
        <v>44</v>
      </c>
      <c r="R66" s="841">
        <v>143</v>
      </c>
      <c r="S66" s="679">
        <f>IF(CampList[[#This Row],[HH]]&gt;0,CampList[[#This Row],[Total]]/CampList[[#This Row],[HH]],"NA")</f>
        <v>3.25</v>
      </c>
      <c r="T66" s="653" t="s">
        <v>511</v>
      </c>
      <c r="U66" s="653" t="s">
        <v>1191</v>
      </c>
      <c r="V66" s="712" t="s">
        <v>12</v>
      </c>
      <c r="W66" s="653" t="s">
        <v>856</v>
      </c>
      <c r="X66" s="699"/>
      <c r="Y66" s="698"/>
      <c r="Z66" s="682"/>
      <c r="AA66" s="693" t="s">
        <v>841</v>
      </c>
      <c r="AB66" s="682"/>
      <c r="AC66" s="716">
        <v>42832</v>
      </c>
      <c r="AD66" s="675" t="s">
        <v>1663</v>
      </c>
      <c r="AE66" s="708" t="s">
        <v>1093</v>
      </c>
      <c r="AF66" s="476">
        <f>IF(CampList[[#This Row],[Type of Accomodation]]="camp",MAX(0,CampList[[#This Row],[HH]]-SUMIF(Table_Shelter[Pcode],CampList[[#This Row],[CP_Pcode]],Table_Shelter[HH Covered])),0)</f>
        <v>0</v>
      </c>
      <c r="AG66" s="653"/>
      <c r="AH66" s="682">
        <f>MIN(CampList[[#This Row],[Shelter Gap]],CampList[[#This Row],[Land Status]])</f>
        <v>0</v>
      </c>
      <c r="AI66" s="653" t="str">
        <f ca="1">IFERROR(OFFSET(DistanceToCamp[Nearest Town],MATCH(CampList[[#This Row],[CP_Pcode]],DistanceToCamp[CP_Pcode],0)-1,0,1,1),"")</f>
        <v>Momauk Town</v>
      </c>
      <c r="AJ66" s="686">
        <f ca="1">IFERROR(OFFSET(DistanceToCamp[distance],MATCH(CampList[[#This Row],[CP_Pcode]],DistanceToCamp[CP_Pcode],0)-1,0,1,1),"")</f>
        <v>17.689123339899055</v>
      </c>
      <c r="AK66" s="687">
        <f ca="1">IFERROR(INT(CampList[[#This Row],[Distance]]/5)+1,"")</f>
        <v>4</v>
      </c>
      <c r="AL66" s="669"/>
      <c r="AM66" s="669"/>
      <c r="AN66" s="669"/>
      <c r="AO66" s="669"/>
      <c r="AP66" s="669"/>
      <c r="AQ66" s="669"/>
      <c r="AR66" s="669"/>
      <c r="AS66" s="669"/>
      <c r="AT66" s="669"/>
      <c r="AU66" s="669"/>
      <c r="AV66" s="669"/>
    </row>
    <row r="67" spans="1:48" s="444" customFormat="1" ht="15.75" hidden="1" customHeight="1" x14ac:dyDescent="0.25">
      <c r="A67" s="675" t="s">
        <v>843</v>
      </c>
      <c r="B67" s="651" t="s">
        <v>380</v>
      </c>
      <c r="C67" s="651" t="s">
        <v>525</v>
      </c>
      <c r="D67" s="651" t="s">
        <v>5</v>
      </c>
      <c r="E67" s="651" t="s">
        <v>529</v>
      </c>
      <c r="F67" s="651" t="s">
        <v>151</v>
      </c>
      <c r="G67" s="651" t="s">
        <v>539</v>
      </c>
      <c r="H67" s="684"/>
      <c r="I67" s="684"/>
      <c r="J67" s="684"/>
      <c r="K67" s="684"/>
      <c r="L67" s="651" t="s">
        <v>877</v>
      </c>
      <c r="M67" s="651" t="s">
        <v>881</v>
      </c>
      <c r="N67" s="676"/>
      <c r="O67" s="676"/>
      <c r="P67" s="697"/>
      <c r="Q67" s="840">
        <v>0</v>
      </c>
      <c r="R67" s="841">
        <v>0</v>
      </c>
      <c r="S67" s="679" t="str">
        <f>IF(CampList[[#This Row],[HH]]&gt;0,CampList[[#This Row],[Total]]/CampList[[#This Row],[HH]],"NA")</f>
        <v>NA</v>
      </c>
      <c r="T67" s="653" t="s">
        <v>511</v>
      </c>
      <c r="U67" s="688" t="s">
        <v>1191</v>
      </c>
      <c r="V67" s="653" t="s">
        <v>12</v>
      </c>
      <c r="W67" s="688" t="s">
        <v>856</v>
      </c>
      <c r="X67" s="706"/>
      <c r="Y67" s="697"/>
      <c r="Z67" s="707"/>
      <c r="AA67" s="693" t="s">
        <v>842</v>
      </c>
      <c r="AB67" s="682"/>
      <c r="AC67" s="683">
        <v>42090</v>
      </c>
      <c r="AD67" s="675" t="s">
        <v>1237</v>
      </c>
      <c r="AE67" s="708" t="s">
        <v>1093</v>
      </c>
      <c r="AF67" s="476">
        <f>IF(CampList[[#This Row],[Type of Accomodation]]="camp",MAX(0,CampList[[#This Row],[HH]]-SUMIF(Table_Shelter[Pcode],CampList[[#This Row],[CP_Pcode]],Table_Shelter[HH Covered])),0)</f>
        <v>0</v>
      </c>
      <c r="AG67" s="653"/>
      <c r="AH67" s="682">
        <f>MIN(CampList[[#This Row],[Shelter Gap]],CampList[[#This Row],[Land Status]])</f>
        <v>0</v>
      </c>
      <c r="AI67" s="653" t="str">
        <f ca="1">IFERROR(OFFSET(DistanceToCamp[Nearest Town],MATCH(CampList[[#This Row],[CP_Pcode]],DistanceToCamp[CP_Pcode],0)-1,0,1,1),"")</f>
        <v/>
      </c>
      <c r="AJ67" s="686" t="str">
        <f ca="1">IFERROR(OFFSET(DistanceToCamp[distance],MATCH(CampList[[#This Row],[CP_Pcode]],DistanceToCamp[CP_Pcode],0)-1,0,1,1),"")</f>
        <v/>
      </c>
      <c r="AK67" s="687" t="str">
        <f ca="1">IFERROR(INT(CampList[[#This Row],[Distance]]/5)+1,"")</f>
        <v/>
      </c>
      <c r="AL67" s="669"/>
      <c r="AM67" s="669"/>
      <c r="AN67" s="669"/>
      <c r="AO67" s="669"/>
      <c r="AP67" s="669"/>
      <c r="AQ67" s="669"/>
      <c r="AR67" s="669"/>
      <c r="AS67" s="669"/>
      <c r="AT67" s="669"/>
      <c r="AU67" s="669"/>
      <c r="AV67" s="669"/>
    </row>
    <row r="68" spans="1:48" s="444" customFormat="1" ht="15.75" hidden="1" customHeight="1" x14ac:dyDescent="0.25">
      <c r="A68" s="675" t="s">
        <v>843</v>
      </c>
      <c r="B68" s="651" t="s">
        <v>553</v>
      </c>
      <c r="C68" s="651" t="s">
        <v>536</v>
      </c>
      <c r="D68" s="651" t="s">
        <v>230</v>
      </c>
      <c r="E68" s="651" t="s">
        <v>537</v>
      </c>
      <c r="F68" s="651" t="s">
        <v>230</v>
      </c>
      <c r="G68" s="651" t="s">
        <v>538</v>
      </c>
      <c r="H68" s="705" t="s">
        <v>815</v>
      </c>
      <c r="I68" s="651" t="s">
        <v>1256</v>
      </c>
      <c r="J68" s="705" t="s">
        <v>816</v>
      </c>
      <c r="K68" s="705"/>
      <c r="L68" s="651" t="s">
        <v>233</v>
      </c>
      <c r="M68" s="651" t="s">
        <v>232</v>
      </c>
      <c r="N68" s="676">
        <v>98.320651999999995</v>
      </c>
      <c r="O68" s="676">
        <v>24.101320999999999</v>
      </c>
      <c r="P68" s="692">
        <v>2979</v>
      </c>
      <c r="Q68" s="840"/>
      <c r="R68" s="841"/>
      <c r="S68" s="679" t="str">
        <f>IF(CampList[[#This Row],[HH]]&gt;0,CampList[[#This Row],[Total]]/CampList[[#This Row],[HH]],"NA")</f>
        <v>NA</v>
      </c>
      <c r="T68" s="653" t="s">
        <v>513</v>
      </c>
      <c r="U68" s="688" t="s">
        <v>1191</v>
      </c>
      <c r="V68" s="653" t="s">
        <v>554</v>
      </c>
      <c r="W68" s="688" t="s">
        <v>803</v>
      </c>
      <c r="X68" s="689">
        <v>41091</v>
      </c>
      <c r="Y68" s="690">
        <v>1</v>
      </c>
      <c r="Z68" s="689" t="s">
        <v>460</v>
      </c>
      <c r="AA68" s="693" t="s">
        <v>842</v>
      </c>
      <c r="AB68" s="682"/>
      <c r="AC68" s="683">
        <v>42536</v>
      </c>
      <c r="AD68" s="675" t="s">
        <v>1387</v>
      </c>
      <c r="AE68" s="685" t="s">
        <v>1077</v>
      </c>
      <c r="AF68" s="476">
        <f>IF(CampList[[#This Row],[Type of Accomodation]]="camp",MAX(0,CampList[[#This Row],[HH]]-SUMIF(Table_Shelter[Pcode],CampList[[#This Row],[CP_Pcode]],Table_Shelter[HH Covered])),0)</f>
        <v>0</v>
      </c>
      <c r="AG68" s="653"/>
      <c r="AH68" s="682">
        <f>MIN(CampList[[#This Row],[Shelter Gap]],CampList[[#This Row],[Land Status]])</f>
        <v>0</v>
      </c>
      <c r="AI68" s="653" t="str">
        <f ca="1">IFERROR(OFFSET(DistanceToCamp[Nearest Town],MATCH(CampList[[#This Row],[CP_Pcode]],DistanceToCamp[CP_Pcode],0)-1,0,1,1),"")</f>
        <v>Monekoe Town</v>
      </c>
      <c r="AJ68" s="686">
        <f ca="1">IFERROR(OFFSET(DistanceToCamp[distance],MATCH(CampList[[#This Row],[CP_Pcode]],DistanceToCamp[CP_Pcode],0)-1,0,1,1),"")</f>
        <v>1.789574394782699</v>
      </c>
      <c r="AK68" s="687">
        <f ca="1">IFERROR(INT(CampList[[#This Row],[Distance]]/5)+1,"")</f>
        <v>1</v>
      </c>
      <c r="AL68" s="669"/>
      <c r="AM68" s="669"/>
      <c r="AN68" s="669"/>
      <c r="AO68" s="669"/>
      <c r="AP68" s="669"/>
      <c r="AQ68" s="669"/>
      <c r="AR68" s="669"/>
      <c r="AS68" s="669"/>
      <c r="AT68" s="669"/>
      <c r="AU68" s="669"/>
      <c r="AV68" s="669"/>
    </row>
    <row r="69" spans="1:48" s="444" customFormat="1" ht="15.75" customHeight="1" x14ac:dyDescent="0.25">
      <c r="A69" s="675" t="s">
        <v>500</v>
      </c>
      <c r="B69" s="651" t="s">
        <v>553</v>
      </c>
      <c r="C69" s="651" t="s">
        <v>536</v>
      </c>
      <c r="D69" s="651" t="s">
        <v>541</v>
      </c>
      <c r="E69" s="651" t="s">
        <v>542</v>
      </c>
      <c r="F69" s="651" t="s">
        <v>298</v>
      </c>
      <c r="G69" s="651" t="s">
        <v>550</v>
      </c>
      <c r="H69" s="705" t="s">
        <v>817</v>
      </c>
      <c r="I69" s="651" t="s">
        <v>818</v>
      </c>
      <c r="J69" s="705" t="s">
        <v>819</v>
      </c>
      <c r="K69" s="705" t="s">
        <v>820</v>
      </c>
      <c r="L69" s="651" t="s">
        <v>821</v>
      </c>
      <c r="M69" s="651" t="s">
        <v>297</v>
      </c>
      <c r="N69" s="676">
        <v>97.404089999999997</v>
      </c>
      <c r="O69" s="676">
        <v>23.094290000000001</v>
      </c>
      <c r="P69" s="677">
        <v>534.29999999999995</v>
      </c>
      <c r="Q69" s="476">
        <v>8</v>
      </c>
      <c r="R69" s="476">
        <v>39</v>
      </c>
      <c r="S69" s="679">
        <f>IF(CampList[[#This Row],[HH]]&gt;0,CampList[[#This Row],[Total]]/CampList[[#This Row],[HH]],"NA")</f>
        <v>4.875</v>
      </c>
      <c r="T69" s="653" t="s">
        <v>511</v>
      </c>
      <c r="U69" s="653" t="s">
        <v>1191</v>
      </c>
      <c r="V69" s="653" t="s">
        <v>554</v>
      </c>
      <c r="W69" s="653" t="s">
        <v>803</v>
      </c>
      <c r="X69" s="680">
        <v>41000</v>
      </c>
      <c r="Y69" s="681">
        <v>1</v>
      </c>
      <c r="Z69" s="680" t="s">
        <v>460</v>
      </c>
      <c r="AA69" s="693" t="s">
        <v>842</v>
      </c>
      <c r="AB69" s="682"/>
      <c r="AC69" s="683">
        <v>42809</v>
      </c>
      <c r="AD69" s="675" t="s">
        <v>1617</v>
      </c>
      <c r="AE69" s="685" t="s">
        <v>1079</v>
      </c>
      <c r="AF69" s="476">
        <f>IF(CampList[[#This Row],[Type of Accomodation]]="camp",MAX(0,CampList[[#This Row],[HH]]-SUMIF(Table_Shelter[Pcode],CampList[[#This Row],[CP_Pcode]],Table_Shelter[HH Covered])),0)</f>
        <v>0</v>
      </c>
      <c r="AG69" s="653"/>
      <c r="AH69" s="682">
        <f>MIN(CampList[[#This Row],[Shelter Gap]],CampList[[#This Row],[Land Status]])</f>
        <v>0</v>
      </c>
      <c r="AI69" s="653" t="str">
        <f ca="1">IFERROR(OFFSET(DistanceToCamp[Nearest Town],MATCH(CampList[[#This Row],[CP_Pcode]],DistanceToCamp[CP_Pcode],0)-1,0,1,1),"")</f>
        <v>Namtu Town</v>
      </c>
      <c r="AJ69" s="686">
        <f ca="1">IFERROR(OFFSET(DistanceToCamp[distance],MATCH(CampList[[#This Row],[CP_Pcode]],DistanceToCamp[CP_Pcode],0)-1,0,1,1),"")</f>
        <v>0.37588352961435612</v>
      </c>
      <c r="AK69" s="687">
        <f ca="1">IFERROR(INT(CampList[[#This Row],[Distance]]/5)+1,"")</f>
        <v>1</v>
      </c>
      <c r="AL69" s="669"/>
      <c r="AM69" s="669"/>
      <c r="AN69" s="669"/>
      <c r="AO69" s="669"/>
      <c r="AP69" s="669"/>
      <c r="AQ69" s="669"/>
      <c r="AR69" s="669"/>
      <c r="AS69" s="669"/>
      <c r="AT69" s="669"/>
      <c r="AU69" s="669"/>
      <c r="AV69" s="669"/>
    </row>
    <row r="70" spans="1:48" s="444" customFormat="1" ht="15.75" customHeight="1" x14ac:dyDescent="0.25">
      <c r="A70" s="675" t="s">
        <v>500</v>
      </c>
      <c r="B70" s="651" t="s">
        <v>553</v>
      </c>
      <c r="C70" s="651" t="s">
        <v>536</v>
      </c>
      <c r="D70" s="651" t="s">
        <v>230</v>
      </c>
      <c r="E70" s="651" t="s">
        <v>537</v>
      </c>
      <c r="F70" s="651" t="s">
        <v>146</v>
      </c>
      <c r="G70" s="651" t="s">
        <v>544</v>
      </c>
      <c r="H70" s="705" t="s">
        <v>766</v>
      </c>
      <c r="I70" s="651" t="s">
        <v>767</v>
      </c>
      <c r="J70" s="705" t="s">
        <v>768</v>
      </c>
      <c r="K70" s="705">
        <v>208557</v>
      </c>
      <c r="L70" s="651" t="s">
        <v>372</v>
      </c>
      <c r="M70" s="651" t="s">
        <v>382</v>
      </c>
      <c r="N70" s="676">
        <v>97.848529999999997</v>
      </c>
      <c r="O70" s="676">
        <v>23.4008</v>
      </c>
      <c r="P70" s="677">
        <v>0</v>
      </c>
      <c r="Q70" s="476">
        <v>88</v>
      </c>
      <c r="R70" s="476">
        <v>505</v>
      </c>
      <c r="S70" s="679">
        <f>IF(CampList[[#This Row],[HH]]&gt;0,CampList[[#This Row],[Total]]/CampList[[#This Row],[HH]],"NA")</f>
        <v>5.7386363636363633</v>
      </c>
      <c r="T70" s="653" t="s">
        <v>511</v>
      </c>
      <c r="U70" s="653" t="s">
        <v>1191</v>
      </c>
      <c r="V70" s="653" t="s">
        <v>554</v>
      </c>
      <c r="W70" s="653" t="s">
        <v>856</v>
      </c>
      <c r="X70" s="680">
        <v>41275</v>
      </c>
      <c r="Y70" s="681"/>
      <c r="Z70" s="680" t="s">
        <v>460</v>
      </c>
      <c r="AA70" s="693" t="s">
        <v>842</v>
      </c>
      <c r="AB70" s="682"/>
      <c r="AC70" s="683">
        <v>42809</v>
      </c>
      <c r="AD70" s="675" t="s">
        <v>1645</v>
      </c>
      <c r="AE70" s="685" t="s">
        <v>1079</v>
      </c>
      <c r="AF70" s="476">
        <f>IF(CampList[[#This Row],[Type of Accomodation]]="camp",MAX(0,CampList[[#This Row],[HH]]-SUMIF(Table_Shelter[Pcode],CampList[[#This Row],[CP_Pcode]],Table_Shelter[HH Covered])),0)</f>
        <v>0</v>
      </c>
      <c r="AG70" s="653"/>
      <c r="AH70" s="682">
        <f>MIN(CampList[[#This Row],[Shelter Gap]],CampList[[#This Row],[Land Status]])</f>
        <v>0</v>
      </c>
      <c r="AI70" s="653" t="str">
        <f ca="1">IFERROR(OFFSET(DistanceToCamp[Nearest Town],MATCH(CampList[[#This Row],[CP_Pcode]],DistanceToCamp[CP_Pcode],0)-1,0,1,1),"")</f>
        <v>Kutkai Town</v>
      </c>
      <c r="AJ70" s="686">
        <f ca="1">IFERROR(OFFSET(DistanceToCamp[distance],MATCH(CampList[[#This Row],[CP_Pcode]],DistanceToCamp[CP_Pcode],0)-1,0,1,1),"")</f>
        <v>11.65743881259678</v>
      </c>
      <c r="AK70" s="687">
        <f ca="1">IFERROR(INT(CampList[[#This Row],[Distance]]/5)+1,"")</f>
        <v>3</v>
      </c>
      <c r="AL70" s="669"/>
      <c r="AM70" s="669"/>
      <c r="AN70" s="669"/>
      <c r="AO70" s="669"/>
      <c r="AP70" s="669"/>
      <c r="AQ70" s="669"/>
      <c r="AR70" s="669"/>
      <c r="AS70" s="669"/>
      <c r="AT70" s="669"/>
      <c r="AU70" s="669"/>
      <c r="AV70" s="669"/>
    </row>
    <row r="71" spans="1:48" s="444" customFormat="1" ht="15.75" customHeight="1" x14ac:dyDescent="0.25">
      <c r="A71" s="675" t="s">
        <v>500</v>
      </c>
      <c r="B71" s="651" t="s">
        <v>553</v>
      </c>
      <c r="C71" s="651" t="s">
        <v>536</v>
      </c>
      <c r="D71" s="651" t="s">
        <v>230</v>
      </c>
      <c r="E71" s="651" t="s">
        <v>537</v>
      </c>
      <c r="F71" s="651" t="s">
        <v>146</v>
      </c>
      <c r="G71" s="651" t="s">
        <v>544</v>
      </c>
      <c r="H71" s="651" t="s">
        <v>729</v>
      </c>
      <c r="I71" s="651" t="s">
        <v>730</v>
      </c>
      <c r="J71" s="651" t="s">
        <v>731</v>
      </c>
      <c r="K71" s="651" t="s">
        <v>732</v>
      </c>
      <c r="L71" s="651" t="s">
        <v>369</v>
      </c>
      <c r="M71" s="651" t="s">
        <v>383</v>
      </c>
      <c r="N71" s="676">
        <v>97.926813999999993</v>
      </c>
      <c r="O71" s="676">
        <v>23.450914000000001</v>
      </c>
      <c r="P71" s="677">
        <v>4336</v>
      </c>
      <c r="Q71" s="476">
        <v>60</v>
      </c>
      <c r="R71" s="476">
        <v>288</v>
      </c>
      <c r="S71" s="679">
        <f>IF(CampList[[#This Row],[HH]]&gt;0,CampList[[#This Row],[Total]]/CampList[[#This Row],[HH]],"NA")</f>
        <v>4.8</v>
      </c>
      <c r="T71" s="653" t="s">
        <v>511</v>
      </c>
      <c r="U71" s="653" t="s">
        <v>1191</v>
      </c>
      <c r="V71" s="653" t="s">
        <v>554</v>
      </c>
      <c r="W71" s="653" t="s">
        <v>803</v>
      </c>
      <c r="X71" s="680">
        <v>41244</v>
      </c>
      <c r="Y71" s="681">
        <v>2</v>
      </c>
      <c r="Z71" s="680" t="s">
        <v>460</v>
      </c>
      <c r="AA71" s="693" t="s">
        <v>842</v>
      </c>
      <c r="AB71" s="682"/>
      <c r="AC71" s="683">
        <v>42809</v>
      </c>
      <c r="AD71" s="675" t="s">
        <v>1599</v>
      </c>
      <c r="AE71" s="685" t="s">
        <v>1079</v>
      </c>
      <c r="AF71" s="476">
        <f>IF(CampList[[#This Row],[Type of Accomodation]]="camp",MAX(0,CampList[[#This Row],[HH]]-SUMIF(Table_Shelter[Pcode],CampList[[#This Row],[CP_Pcode]],Table_Shelter[HH Covered])),0)</f>
        <v>0</v>
      </c>
      <c r="AG71" s="653"/>
      <c r="AH71" s="682">
        <f>MIN(CampList[[#This Row],[Shelter Gap]],CampList[[#This Row],[Land Status]])</f>
        <v>0</v>
      </c>
      <c r="AI71" s="653" t="str">
        <f ca="1">IFERROR(OFFSET(DistanceToCamp[Nearest Town],MATCH(CampList[[#This Row],[CP_Pcode]],DistanceToCamp[CP_Pcode],0)-1,0,1,1),"")</f>
        <v>Kutkai Town</v>
      </c>
      <c r="AJ71" s="686">
        <f ca="1">IFERROR(OFFSET(DistanceToCamp[distance],MATCH(CampList[[#This Row],[CP_Pcode]],DistanceToCamp[CP_Pcode],0)-1,0,1,1),"")</f>
        <v>1.9281430163271129</v>
      </c>
      <c r="AK71" s="687">
        <f ca="1">IFERROR(INT(CampList[[#This Row],[Distance]]/5)+1,"")</f>
        <v>1</v>
      </c>
      <c r="AL71" s="669"/>
      <c r="AM71" s="669"/>
      <c r="AN71" s="669"/>
      <c r="AO71" s="669"/>
      <c r="AP71" s="669"/>
      <c r="AQ71" s="669"/>
      <c r="AR71" s="669"/>
      <c r="AS71" s="669"/>
      <c r="AT71" s="669"/>
      <c r="AU71" s="669"/>
      <c r="AV71" s="669"/>
    </row>
    <row r="72" spans="1:48" s="444" customFormat="1" ht="15.75" customHeight="1" x14ac:dyDescent="0.25">
      <c r="A72" s="695" t="s">
        <v>500</v>
      </c>
      <c r="B72" s="652" t="s">
        <v>553</v>
      </c>
      <c r="C72" s="652" t="s">
        <v>536</v>
      </c>
      <c r="D72" s="652" t="s">
        <v>230</v>
      </c>
      <c r="E72" s="652" t="s">
        <v>537</v>
      </c>
      <c r="F72" s="652" t="s">
        <v>146</v>
      </c>
      <c r="G72" s="652" t="s">
        <v>544</v>
      </c>
      <c r="H72" s="652" t="s">
        <v>729</v>
      </c>
      <c r="I72" s="696" t="s">
        <v>730</v>
      </c>
      <c r="J72" s="652" t="s">
        <v>714</v>
      </c>
      <c r="K72" s="652" t="s">
        <v>733</v>
      </c>
      <c r="L72" s="652" t="s">
        <v>370</v>
      </c>
      <c r="M72" s="652" t="s">
        <v>384</v>
      </c>
      <c r="N72" s="678">
        <v>97.947360000000003</v>
      </c>
      <c r="O72" s="678">
        <v>23.460349999999998</v>
      </c>
      <c r="P72" s="698">
        <v>4430</v>
      </c>
      <c r="Q72" s="476">
        <v>30</v>
      </c>
      <c r="R72" s="708">
        <v>138</v>
      </c>
      <c r="S72" s="679">
        <f>IF(CampList[[#This Row],[HH]]&gt;0,CampList[[#This Row],[Total]]/CampList[[#This Row],[HH]],"NA")</f>
        <v>4.5999999999999996</v>
      </c>
      <c r="T72" s="476" t="s">
        <v>511</v>
      </c>
      <c r="U72" s="653" t="s">
        <v>1191</v>
      </c>
      <c r="V72" s="476" t="s">
        <v>554</v>
      </c>
      <c r="W72" s="476" t="s">
        <v>803</v>
      </c>
      <c r="X72" s="699">
        <v>41244</v>
      </c>
      <c r="Y72" s="698"/>
      <c r="Z72" s="698" t="s">
        <v>1262</v>
      </c>
      <c r="AA72" s="678" t="s">
        <v>842</v>
      </c>
      <c r="AB72" s="678"/>
      <c r="AC72" s="683">
        <v>42780</v>
      </c>
      <c r="AD72" s="700" t="s">
        <v>1536</v>
      </c>
      <c r="AE72" s="685" t="s">
        <v>1079</v>
      </c>
      <c r="AF72" s="701">
        <f>IF(CampList[[#This Row],[Type of Accomodation]]="camp",MAX(0,CampList[[#This Row],[HH]]-SUMIF(Table_Shelter[Pcode],CampList[[#This Row],[CP_Pcode]],Table_Shelter[HH Covered])),0)</f>
        <v>0</v>
      </c>
      <c r="AG72" s="476"/>
      <c r="AH72" s="677">
        <f>MIN(CampList[[#This Row],[Shelter Gap]],CampList[[#This Row],[Land Status]])</f>
        <v>0</v>
      </c>
      <c r="AI72" s="701" t="str">
        <f ca="1">IFERROR(OFFSET(DistanceToCamp[Nearest Town],MATCH(CampList[[#This Row],[CP_Pcode]],DistanceToCamp[CP_Pcode],0)-1,0,1,1),"")</f>
        <v>Kutkai Town</v>
      </c>
      <c r="AJ72" s="686">
        <f ca="1">IFERROR(OFFSET(DistanceToCamp[distance],MATCH(CampList[[#This Row],[CP_Pcode]],DistanceToCamp[CP_Pcode],0)-1,0,1,1),"")</f>
        <v>0.42212558305526549</v>
      </c>
      <c r="AK72" s="702">
        <f ca="1">IFERROR(INT(CampList[[#This Row],[Distance]]/5)+1,"")</f>
        <v>1</v>
      </c>
      <c r="AL72" s="669"/>
      <c r="AM72" s="669"/>
      <c r="AN72" s="669"/>
      <c r="AO72" s="669"/>
      <c r="AP72" s="669"/>
      <c r="AQ72" s="669"/>
      <c r="AR72" s="669"/>
      <c r="AS72" s="669"/>
      <c r="AT72" s="669"/>
      <c r="AU72" s="669"/>
      <c r="AV72" s="669"/>
    </row>
    <row r="73" spans="1:48" s="444" customFormat="1" ht="15.75" customHeight="1" x14ac:dyDescent="0.25">
      <c r="A73" s="675" t="s">
        <v>500</v>
      </c>
      <c r="B73" s="651" t="s">
        <v>553</v>
      </c>
      <c r="C73" s="651" t="s">
        <v>536</v>
      </c>
      <c r="D73" s="651" t="s">
        <v>230</v>
      </c>
      <c r="E73" s="651" t="s">
        <v>537</v>
      </c>
      <c r="F73" s="651" t="s">
        <v>146</v>
      </c>
      <c r="G73" s="651" t="s">
        <v>544</v>
      </c>
      <c r="H73" s="705" t="s">
        <v>722</v>
      </c>
      <c r="I73" s="651" t="s">
        <v>1254</v>
      </c>
      <c r="J73" s="705" t="s">
        <v>722</v>
      </c>
      <c r="K73" s="726">
        <v>208747</v>
      </c>
      <c r="L73" s="651" t="s">
        <v>368</v>
      </c>
      <c r="M73" s="651" t="s">
        <v>385</v>
      </c>
      <c r="N73" s="676">
        <v>97.793019999999999</v>
      </c>
      <c r="O73" s="676">
        <v>23.588920000000002</v>
      </c>
      <c r="P73" s="677">
        <v>1012.5</v>
      </c>
      <c r="Q73" s="476">
        <v>69</v>
      </c>
      <c r="R73" s="476">
        <v>306</v>
      </c>
      <c r="S73" s="679">
        <f>IF(CampList[[#This Row],[HH]]&gt;0,CampList[[#This Row],[Total]]/CampList[[#This Row],[HH]],"NA")</f>
        <v>4.4347826086956523</v>
      </c>
      <c r="T73" s="653" t="s">
        <v>511</v>
      </c>
      <c r="U73" s="653" t="s">
        <v>1191</v>
      </c>
      <c r="V73" s="653" t="s">
        <v>554</v>
      </c>
      <c r="W73" s="653" t="s">
        <v>856</v>
      </c>
      <c r="X73" s="680">
        <v>41275</v>
      </c>
      <c r="Y73" s="681">
        <v>2</v>
      </c>
      <c r="Z73" s="680" t="s">
        <v>460</v>
      </c>
      <c r="AA73" s="693" t="s">
        <v>842</v>
      </c>
      <c r="AB73" s="682"/>
      <c r="AC73" s="683">
        <v>42809</v>
      </c>
      <c r="AD73" s="675" t="s">
        <v>1617</v>
      </c>
      <c r="AE73" s="685" t="s">
        <v>1079</v>
      </c>
      <c r="AF73" s="476">
        <f>IF(CampList[[#This Row],[Type of Accomodation]]="camp",MAX(0,CampList[[#This Row],[HH]]-SUMIF(Table_Shelter[Pcode],CampList[[#This Row],[CP_Pcode]],Table_Shelter[HH Covered])),0)</f>
        <v>6</v>
      </c>
      <c r="AG73" s="653"/>
      <c r="AH73" s="682">
        <f>MIN(CampList[[#This Row],[Shelter Gap]],CampList[[#This Row],[Land Status]])</f>
        <v>6</v>
      </c>
      <c r="AI73" s="653" t="str">
        <f ca="1">IFERROR(OFFSET(DistanceToCamp[Nearest Town],MATCH(CampList[[#This Row],[CP_Pcode]],DistanceToCamp[CP_Pcode],0)-1,0,1,1),"")</f>
        <v>Kutkai Town</v>
      </c>
      <c r="AJ73" s="686">
        <f ca="1">IFERROR(OFFSET(DistanceToCamp[distance],MATCH(CampList[[#This Row],[CP_Pcode]],DistanceToCamp[CP_Pcode],0)-1,0,1,1),"")</f>
        <v>21.050742639251741</v>
      </c>
      <c r="AK73" s="687">
        <f ca="1">IFERROR(INT(CampList[[#This Row],[Distance]]/5)+1,"")</f>
        <v>5</v>
      </c>
      <c r="AL73" s="669"/>
      <c r="AM73" s="669"/>
      <c r="AN73" s="669"/>
      <c r="AO73" s="669"/>
      <c r="AP73" s="669"/>
      <c r="AQ73" s="669"/>
      <c r="AR73" s="669"/>
      <c r="AS73" s="669"/>
      <c r="AT73" s="669"/>
      <c r="AU73" s="669"/>
      <c r="AV73" s="669"/>
    </row>
    <row r="74" spans="1:48" s="444" customFormat="1" ht="15.75" hidden="1" customHeight="1" x14ac:dyDescent="0.25">
      <c r="A74" s="675" t="s">
        <v>843</v>
      </c>
      <c r="B74" s="651" t="s">
        <v>553</v>
      </c>
      <c r="C74" s="651" t="s">
        <v>536</v>
      </c>
      <c r="D74" s="651" t="s">
        <v>230</v>
      </c>
      <c r="E74" s="651" t="s">
        <v>537</v>
      </c>
      <c r="F74" s="651" t="s">
        <v>146</v>
      </c>
      <c r="G74" s="651" t="s">
        <v>544</v>
      </c>
      <c r="H74" s="651" t="s">
        <v>785</v>
      </c>
      <c r="I74" s="651" t="s">
        <v>786</v>
      </c>
      <c r="J74" s="705" t="s">
        <v>787</v>
      </c>
      <c r="K74" s="705"/>
      <c r="L74" s="651" t="s">
        <v>367</v>
      </c>
      <c r="M74" s="651" t="s">
        <v>386</v>
      </c>
      <c r="N74" s="676">
        <v>98.213958000000005</v>
      </c>
      <c r="O74" s="676">
        <v>23.391741</v>
      </c>
      <c r="P74" s="677">
        <v>0</v>
      </c>
      <c r="Q74" s="840">
        <v>0</v>
      </c>
      <c r="R74" s="841">
        <v>0</v>
      </c>
      <c r="S74" s="679" t="str">
        <f>IF(CampList[[#This Row],[HH]]&gt;0,CampList[[#This Row],[Total]]/CampList[[#This Row],[HH]],"NA")</f>
        <v>NA</v>
      </c>
      <c r="T74" s="653" t="s">
        <v>511</v>
      </c>
      <c r="U74" s="688" t="s">
        <v>1191</v>
      </c>
      <c r="V74" s="653" t="s">
        <v>554</v>
      </c>
      <c r="W74" s="688" t="s">
        <v>856</v>
      </c>
      <c r="X74" s="689">
        <v>40787</v>
      </c>
      <c r="Y74" s="690"/>
      <c r="Z74" s="689"/>
      <c r="AA74" s="693" t="s">
        <v>842</v>
      </c>
      <c r="AB74" s="682"/>
      <c r="AC74" s="683">
        <v>41701</v>
      </c>
      <c r="AD74" s="675" t="s">
        <v>1015</v>
      </c>
      <c r="AE74" s="685" t="s">
        <v>1007</v>
      </c>
      <c r="AF74" s="476">
        <f>IF(CampList[[#This Row],[Type of Accomodation]]="camp",MAX(0,CampList[[#This Row],[HH]]-SUMIF(Table_Shelter[Pcode],CampList[[#This Row],[CP_Pcode]],Table_Shelter[HH Covered])),0)</f>
        <v>0</v>
      </c>
      <c r="AG74" s="653"/>
      <c r="AH74" s="682">
        <f>MIN(CampList[[#This Row],[Shelter Gap]],CampList[[#This Row],[Land Status]])</f>
        <v>0</v>
      </c>
      <c r="AI74" s="653" t="str">
        <f ca="1">IFERROR(OFFSET(DistanceToCamp[Nearest Town],MATCH(CampList[[#This Row],[CP_Pcode]],DistanceToCamp[CP_Pcode],0)-1,0,1,1),"")</f>
        <v/>
      </c>
      <c r="AJ74" s="686" t="str">
        <f ca="1">IFERROR(OFFSET(DistanceToCamp[distance],MATCH(CampList[[#This Row],[CP_Pcode]],DistanceToCamp[CP_Pcode],0)-1,0,1,1),"")</f>
        <v/>
      </c>
      <c r="AK74" s="687" t="str">
        <f ca="1">IFERROR(INT(CampList[[#This Row],[Distance]]/5)+1,"")</f>
        <v/>
      </c>
      <c r="AL74" s="669"/>
      <c r="AM74" s="669"/>
      <c r="AN74" s="669"/>
      <c r="AO74" s="669"/>
      <c r="AP74" s="669"/>
      <c r="AQ74" s="669"/>
      <c r="AR74" s="669"/>
      <c r="AS74" s="669"/>
      <c r="AT74" s="669"/>
      <c r="AU74" s="669"/>
      <c r="AV74" s="669"/>
    </row>
    <row r="75" spans="1:48" s="444" customFormat="1" ht="15.75" customHeight="1" x14ac:dyDescent="0.25">
      <c r="A75" s="704" t="s">
        <v>500</v>
      </c>
      <c r="B75" s="651" t="s">
        <v>553</v>
      </c>
      <c r="C75" s="651" t="s">
        <v>536</v>
      </c>
      <c r="D75" s="651" t="s">
        <v>230</v>
      </c>
      <c r="E75" s="651" t="s">
        <v>537</v>
      </c>
      <c r="F75" s="651" t="s">
        <v>146</v>
      </c>
      <c r="G75" s="651" t="s">
        <v>544</v>
      </c>
      <c r="H75" s="651" t="s">
        <v>766</v>
      </c>
      <c r="I75" s="651" t="s">
        <v>767</v>
      </c>
      <c r="J75" s="651" t="s">
        <v>768</v>
      </c>
      <c r="K75" s="651">
        <v>208557</v>
      </c>
      <c r="L75" s="651" t="s">
        <v>373</v>
      </c>
      <c r="M75" s="651" t="s">
        <v>387</v>
      </c>
      <c r="N75" s="676">
        <v>97.837040000000002</v>
      </c>
      <c r="O75" s="676">
        <v>23.38503</v>
      </c>
      <c r="P75" s="677">
        <v>0</v>
      </c>
      <c r="Q75" s="476">
        <v>189</v>
      </c>
      <c r="R75" s="476">
        <v>917</v>
      </c>
      <c r="S75" s="679">
        <f>IF(CampList[[#This Row],[HH]]&gt;0,CampList[[#This Row],[Total]]/CampList[[#This Row],[HH]],"NA")</f>
        <v>4.8518518518518521</v>
      </c>
      <c r="T75" s="653" t="s">
        <v>511</v>
      </c>
      <c r="U75" s="653" t="s">
        <v>1191</v>
      </c>
      <c r="V75" s="653" t="s">
        <v>554</v>
      </c>
      <c r="W75" s="653" t="s">
        <v>856</v>
      </c>
      <c r="X75" s="680">
        <v>41244</v>
      </c>
      <c r="Y75" s="681"/>
      <c r="Z75" s="680" t="s">
        <v>460</v>
      </c>
      <c r="AA75" s="682" t="s">
        <v>842</v>
      </c>
      <c r="AB75" s="682"/>
      <c r="AC75" s="683">
        <v>42809</v>
      </c>
      <c r="AD75" s="684" t="s">
        <v>1644</v>
      </c>
      <c r="AE75" s="685" t="s">
        <v>1079</v>
      </c>
      <c r="AF75" s="476">
        <f>IF(CampList[[#This Row],[Type of Accomodation]]="camp",MAX(0,CampList[[#This Row],[HH]]-SUMIF(Table_Shelter[Pcode],CampList[[#This Row],[CP_Pcode]],Table_Shelter[HH Covered])),0)</f>
        <v>88</v>
      </c>
      <c r="AG75" s="653"/>
      <c r="AH75" s="682">
        <f>MIN(CampList[[#This Row],[Shelter Gap]],CampList[[#This Row],[Land Status]])</f>
        <v>88</v>
      </c>
      <c r="AI75" s="653" t="str">
        <f ca="1">IFERROR(OFFSET(DistanceToCamp[Nearest Town],MATCH(CampList[[#This Row],[CP_Pcode]],DistanceToCamp[CP_Pcode],0)-1,0,1,1),"")</f>
        <v>Kutkai Town</v>
      </c>
      <c r="AJ75" s="686">
        <f ca="1">IFERROR(OFFSET(DistanceToCamp[distance],MATCH(CampList[[#This Row],[CP_Pcode]],DistanceToCamp[CP_Pcode],0)-1,0,1,1),"")</f>
        <v>13.632081902964599</v>
      </c>
      <c r="AK75" s="687">
        <f ca="1">IFERROR(INT(CampList[[#This Row],[Distance]]/5)+1,"")</f>
        <v>3</v>
      </c>
      <c r="AL75" s="669"/>
      <c r="AM75" s="669"/>
      <c r="AN75" s="669"/>
      <c r="AO75" s="669"/>
      <c r="AP75" s="669"/>
      <c r="AQ75" s="669"/>
      <c r="AR75" s="669"/>
      <c r="AS75" s="669"/>
      <c r="AT75" s="669"/>
      <c r="AU75" s="669"/>
      <c r="AV75" s="669"/>
    </row>
    <row r="76" spans="1:48" s="444" customFormat="1" ht="15.75" hidden="1" customHeight="1" x14ac:dyDescent="0.25">
      <c r="A76" s="675" t="s">
        <v>843</v>
      </c>
      <c r="B76" s="651" t="s">
        <v>380</v>
      </c>
      <c r="C76" s="651" t="s">
        <v>525</v>
      </c>
      <c r="D76" s="651" t="s">
        <v>5</v>
      </c>
      <c r="E76" s="651" t="s">
        <v>529</v>
      </c>
      <c r="F76" s="651" t="s">
        <v>5</v>
      </c>
      <c r="G76" s="651" t="s">
        <v>530</v>
      </c>
      <c r="H76" s="651"/>
      <c r="I76" s="651"/>
      <c r="J76" s="651"/>
      <c r="K76" s="651"/>
      <c r="L76" s="651" t="s">
        <v>10</v>
      </c>
      <c r="M76" s="651" t="s">
        <v>9</v>
      </c>
      <c r="N76" s="676"/>
      <c r="O76" s="676"/>
      <c r="P76" s="697"/>
      <c r="Q76" s="840">
        <v>0</v>
      </c>
      <c r="R76" s="841">
        <v>0</v>
      </c>
      <c r="S76" s="679" t="str">
        <f>IF(CampList[[#This Row],[HH]]&gt;0,CampList[[#This Row],[Total]]/CampList[[#This Row],[HH]],"NA")</f>
        <v>NA</v>
      </c>
      <c r="T76" s="653" t="s">
        <v>511</v>
      </c>
      <c r="U76" s="688" t="s">
        <v>1191</v>
      </c>
      <c r="V76" s="712" t="s">
        <v>12</v>
      </c>
      <c r="W76" s="688"/>
      <c r="X76" s="706"/>
      <c r="Y76" s="697"/>
      <c r="Z76" s="707"/>
      <c r="AA76" s="711"/>
      <c r="AB76" s="682" t="s">
        <v>1250</v>
      </c>
      <c r="AC76" s="716">
        <v>41666</v>
      </c>
      <c r="AD76" s="684" t="s">
        <v>939</v>
      </c>
      <c r="AE76" s="708" t="s">
        <v>1007</v>
      </c>
      <c r="AF76" s="476">
        <f>IF(CampList[[#This Row],[Type of Accomodation]]="camp",MAX(0,CampList[[#This Row],[HH]]-SUMIF(Table_Shelter[Pcode],CampList[[#This Row],[CP_Pcode]],Table_Shelter[HH Covered])),0)</f>
        <v>0</v>
      </c>
      <c r="AG76" s="653"/>
      <c r="AH76" s="682">
        <f>MIN(CampList[[#This Row],[Shelter Gap]],CampList[[#This Row],[Land Status]])</f>
        <v>0</v>
      </c>
      <c r="AI76" s="653" t="str">
        <f ca="1">IFERROR(OFFSET(DistanceToCamp[Nearest Town],MATCH(CampList[[#This Row],[CP_Pcode]],DistanceToCamp[CP_Pcode],0)-1,0,1,1),"")</f>
        <v/>
      </c>
      <c r="AJ76" s="686" t="str">
        <f ca="1">IFERROR(OFFSET(DistanceToCamp[distance],MATCH(CampList[[#This Row],[CP_Pcode]],DistanceToCamp[CP_Pcode],0)-1,0,1,1),"")</f>
        <v/>
      </c>
      <c r="AK76" s="687" t="str">
        <f ca="1">IFERROR(INT(CampList[[#This Row],[Distance]]/5)+1,"")</f>
        <v/>
      </c>
      <c r="AL76" s="669"/>
      <c r="AM76" s="669"/>
      <c r="AN76" s="669"/>
      <c r="AO76" s="669"/>
      <c r="AP76" s="669"/>
      <c r="AQ76" s="669"/>
      <c r="AR76" s="669"/>
      <c r="AS76" s="669"/>
      <c r="AT76" s="669"/>
      <c r="AU76" s="669"/>
      <c r="AV76" s="669"/>
    </row>
    <row r="77" spans="1:48" s="444" customFormat="1" ht="15.75" hidden="1" customHeight="1" x14ac:dyDescent="0.25">
      <c r="A77" s="675" t="s">
        <v>843</v>
      </c>
      <c r="B77" s="651" t="s">
        <v>553</v>
      </c>
      <c r="C77" s="651" t="s">
        <v>536</v>
      </c>
      <c r="D77" s="651" t="s">
        <v>230</v>
      </c>
      <c r="E77" s="651" t="s">
        <v>537</v>
      </c>
      <c r="F77" s="651" t="s">
        <v>289</v>
      </c>
      <c r="G77" s="651" t="s">
        <v>549</v>
      </c>
      <c r="H77" s="651" t="s">
        <v>751</v>
      </c>
      <c r="I77" s="651" t="s">
        <v>752</v>
      </c>
      <c r="J77" s="651" t="s">
        <v>751</v>
      </c>
      <c r="K77" s="651">
        <v>208353</v>
      </c>
      <c r="L77" s="651" t="s">
        <v>375</v>
      </c>
      <c r="M77" s="651" t="s">
        <v>389</v>
      </c>
      <c r="N77" s="676">
        <v>97.678299999999993</v>
      </c>
      <c r="O77" s="676">
        <v>23.82152</v>
      </c>
      <c r="P77" s="698">
        <v>813.4</v>
      </c>
      <c r="Q77" s="840">
        <v>0</v>
      </c>
      <c r="R77" s="841">
        <v>0</v>
      </c>
      <c r="S77" s="679" t="str">
        <f>IF(CampList[[#This Row],[HH]]&gt;0,CampList[[#This Row],[Total]]/CampList[[#This Row],[HH]],"NA")</f>
        <v>NA</v>
      </c>
      <c r="T77" s="653" t="s">
        <v>513</v>
      </c>
      <c r="U77" s="688" t="s">
        <v>1191</v>
      </c>
      <c r="V77" s="653" t="s">
        <v>554</v>
      </c>
      <c r="W77" s="688"/>
      <c r="X77" s="706"/>
      <c r="Y77" s="697"/>
      <c r="Z77" s="689" t="s">
        <v>1089</v>
      </c>
      <c r="AA77" s="693" t="s">
        <v>842</v>
      </c>
      <c r="AB77" s="682"/>
      <c r="AC77" s="683">
        <v>41712</v>
      </c>
      <c r="AD77" s="675" t="s">
        <v>1022</v>
      </c>
      <c r="AE77" s="708" t="s">
        <v>1007</v>
      </c>
      <c r="AF77" s="476">
        <f>IF(CampList[[#This Row],[Type of Accomodation]]="camp",MAX(0,CampList[[#This Row],[HH]]-SUMIF(Table_Shelter[Pcode],CampList[[#This Row],[CP_Pcode]],Table_Shelter[HH Covered])),0)</f>
        <v>0</v>
      </c>
      <c r="AG77" s="653"/>
      <c r="AH77" s="682">
        <f>MIN(CampList[[#This Row],[Shelter Gap]],CampList[[#This Row],[Land Status]])</f>
        <v>0</v>
      </c>
      <c r="AI77" s="653" t="str">
        <f ca="1">IFERROR(OFFSET(DistanceToCamp[Nearest Town],MATCH(CampList[[#This Row],[CP_Pcode]],DistanceToCamp[CP_Pcode],0)-1,0,1,1),"")</f>
        <v/>
      </c>
      <c r="AJ77" s="686" t="str">
        <f ca="1">IFERROR(OFFSET(DistanceToCamp[distance],MATCH(CampList[[#This Row],[CP_Pcode]],DistanceToCamp[CP_Pcode],0)-1,0,1,1),"")</f>
        <v/>
      </c>
      <c r="AK77" s="687" t="str">
        <f ca="1">IFERROR(INT(CampList[[#This Row],[Distance]]/5)+1,"")</f>
        <v/>
      </c>
      <c r="AL77" s="669"/>
      <c r="AM77" s="669"/>
      <c r="AN77" s="669"/>
      <c r="AO77" s="669"/>
      <c r="AP77" s="669"/>
      <c r="AQ77" s="669"/>
      <c r="AR77" s="669"/>
      <c r="AS77" s="669"/>
      <c r="AT77" s="669"/>
      <c r="AU77" s="669"/>
      <c r="AV77" s="669"/>
    </row>
    <row r="78" spans="1:48" s="444" customFormat="1" ht="15.75" hidden="1" customHeight="1" x14ac:dyDescent="0.25">
      <c r="A78" s="675" t="s">
        <v>843</v>
      </c>
      <c r="B78" s="651" t="s">
        <v>380</v>
      </c>
      <c r="C78" s="651" t="s">
        <v>525</v>
      </c>
      <c r="D78" s="651" t="s">
        <v>300</v>
      </c>
      <c r="E78" s="651" t="s">
        <v>546</v>
      </c>
      <c r="F78" s="651" t="s">
        <v>144</v>
      </c>
      <c r="G78" s="651" t="s">
        <v>547</v>
      </c>
      <c r="H78" s="684" t="s">
        <v>783</v>
      </c>
      <c r="I78" s="684" t="s">
        <v>784</v>
      </c>
      <c r="J78" s="684" t="s">
        <v>145</v>
      </c>
      <c r="K78" s="684">
        <v>168236</v>
      </c>
      <c r="L78" s="651" t="s">
        <v>145</v>
      </c>
      <c r="M78" s="651" t="s">
        <v>143</v>
      </c>
      <c r="N78" s="676">
        <v>98.144502500000002</v>
      </c>
      <c r="O78" s="676">
        <v>26.890058</v>
      </c>
      <c r="P78" s="698">
        <v>1393</v>
      </c>
      <c r="Q78" s="840"/>
      <c r="R78" s="841"/>
      <c r="S78" s="679" t="str">
        <f>IF(CampList[[#This Row],[HH]]&gt;0,CampList[[#This Row],[Total]]/CampList[[#This Row],[HH]],"NA")</f>
        <v>NA</v>
      </c>
      <c r="T78" s="653" t="s">
        <v>511</v>
      </c>
      <c r="U78" s="653" t="s">
        <v>1191</v>
      </c>
      <c r="V78" s="653" t="s">
        <v>554</v>
      </c>
      <c r="W78" s="653" t="s">
        <v>856</v>
      </c>
      <c r="X78" s="699"/>
      <c r="Y78" s="698"/>
      <c r="Z78" s="682"/>
      <c r="AA78" s="693" t="s">
        <v>841</v>
      </c>
      <c r="AB78" s="682"/>
      <c r="AC78" s="683">
        <v>42768</v>
      </c>
      <c r="AD78" s="675" t="s">
        <v>1521</v>
      </c>
      <c r="AE78" s="708" t="s">
        <v>1093</v>
      </c>
      <c r="AF78" s="476">
        <f>IF(CampList[[#This Row],[Type of Accomodation]]="camp",MAX(0,CampList[[#This Row],[HH]]-SUMIF(Table_Shelter[Pcode],CampList[[#This Row],[CP_Pcode]],Table_Shelter[HH Covered])),0)</f>
        <v>0</v>
      </c>
      <c r="AG78" s="653"/>
      <c r="AH78" s="682">
        <f>MIN(CampList[[#This Row],[Shelter Gap]],CampList[[#This Row],[Land Status]])</f>
        <v>0</v>
      </c>
      <c r="AI78" s="653" t="str">
        <f ca="1">IFERROR(OFFSET(DistanceToCamp[Nearest Town],MATCH(CampList[[#This Row],[CP_Pcode]],DistanceToCamp[CP_Pcode],0)-1,0,1,1),"")</f>
        <v>Khaunglanhpu Town</v>
      </c>
      <c r="AJ78" s="686">
        <f ca="1">IFERROR(OFFSET(DistanceToCamp[distance],MATCH(CampList[[#This Row],[CP_Pcode]],DistanceToCamp[CP_Pcode],0)-1,0,1,1),"")</f>
        <v>28.422357500443528</v>
      </c>
      <c r="AK78" s="687">
        <f ca="1">IFERROR(INT(CampList[[#This Row],[Distance]]/5)+1,"")</f>
        <v>6</v>
      </c>
      <c r="AL78" s="669"/>
      <c r="AM78" s="669"/>
      <c r="AN78" s="669"/>
      <c r="AO78" s="669"/>
      <c r="AP78" s="669"/>
      <c r="AQ78" s="669"/>
      <c r="AR78" s="669"/>
      <c r="AS78" s="669"/>
      <c r="AT78" s="669"/>
      <c r="AU78" s="669"/>
      <c r="AV78" s="669"/>
    </row>
    <row r="79" spans="1:48" s="444" customFormat="1" ht="15.75" hidden="1" customHeight="1" x14ac:dyDescent="0.25">
      <c r="A79" s="675" t="s">
        <v>843</v>
      </c>
      <c r="B79" s="651" t="s">
        <v>553</v>
      </c>
      <c r="C79" s="651" t="s">
        <v>536</v>
      </c>
      <c r="D79" s="651" t="s">
        <v>230</v>
      </c>
      <c r="E79" s="651" t="s">
        <v>537</v>
      </c>
      <c r="F79" s="651" t="s">
        <v>230</v>
      </c>
      <c r="G79" s="651" t="s">
        <v>538</v>
      </c>
      <c r="H79" s="651" t="s">
        <v>1025</v>
      </c>
      <c r="I79" s="651" t="s">
        <v>1024</v>
      </c>
      <c r="J79" s="651" t="s">
        <v>1026</v>
      </c>
      <c r="K79" s="651">
        <v>208182</v>
      </c>
      <c r="L79" s="651" t="s">
        <v>361</v>
      </c>
      <c r="M79" s="651" t="s">
        <v>837</v>
      </c>
      <c r="N79" s="676"/>
      <c r="O79" s="676"/>
      <c r="P79" s="677">
        <v>0</v>
      </c>
      <c r="Q79" s="840"/>
      <c r="R79" s="841"/>
      <c r="S79" s="679" t="str">
        <f>IF(CampList[[#This Row],[HH]]&gt;0,CampList[[#This Row],[Total]]/CampList[[#This Row],[HH]],"NA")</f>
        <v>NA</v>
      </c>
      <c r="T79" s="653" t="s">
        <v>513</v>
      </c>
      <c r="U79" s="653" t="s">
        <v>1191</v>
      </c>
      <c r="V79" s="653" t="s">
        <v>554</v>
      </c>
      <c r="W79" s="653" t="s">
        <v>856</v>
      </c>
      <c r="X79" s="680">
        <v>40787</v>
      </c>
      <c r="Y79" s="681">
        <v>1</v>
      </c>
      <c r="Z79" s="680" t="s">
        <v>460</v>
      </c>
      <c r="AA79" s="693" t="s">
        <v>842</v>
      </c>
      <c r="AB79" s="682"/>
      <c r="AC79" s="683">
        <v>42432</v>
      </c>
      <c r="AD79" s="675" t="s">
        <v>1341</v>
      </c>
      <c r="AE79" s="685" t="s">
        <v>1078</v>
      </c>
      <c r="AF79" s="476">
        <f>IF(CampList[[#This Row],[Type of Accomodation]]="camp",MAX(0,CampList[[#This Row],[HH]]-SUMIF(Table_Shelter[Pcode],CampList[[#This Row],[CP_Pcode]],Table_Shelter[HH Covered])),0)</f>
        <v>0</v>
      </c>
      <c r="AG79" s="653"/>
      <c r="AH79" s="682">
        <f>MIN(CampList[[#This Row],[Shelter Gap]],CampList[[#This Row],[Land Status]])</f>
        <v>0</v>
      </c>
      <c r="AI79" s="653" t="str">
        <f ca="1">IFERROR(OFFSET(DistanceToCamp[Nearest Town],MATCH(CampList[[#This Row],[CP_Pcode]],DistanceToCamp[CP_Pcode],0)-1,0,1,1),"")</f>
        <v/>
      </c>
      <c r="AJ79" s="686" t="str">
        <f ca="1">IFERROR(OFFSET(DistanceToCamp[distance],MATCH(CampList[[#This Row],[CP_Pcode]],DistanceToCamp[CP_Pcode],0)-1,0,1,1),"")</f>
        <v/>
      </c>
      <c r="AK79" s="687" t="str">
        <f ca="1">IFERROR(INT(CampList[[#This Row],[Distance]]/5)+1,"")</f>
        <v/>
      </c>
      <c r="AL79" s="669"/>
      <c r="AM79" s="669"/>
      <c r="AN79" s="669"/>
      <c r="AO79" s="669"/>
      <c r="AP79" s="669"/>
      <c r="AQ79" s="669"/>
      <c r="AR79" s="669"/>
      <c r="AS79" s="669"/>
      <c r="AT79" s="669"/>
      <c r="AU79" s="669"/>
      <c r="AV79" s="669"/>
    </row>
    <row r="80" spans="1:48" s="444" customFormat="1" ht="15.75" customHeight="1" x14ac:dyDescent="0.25">
      <c r="A80" s="675" t="s">
        <v>500</v>
      </c>
      <c r="B80" s="651" t="s">
        <v>380</v>
      </c>
      <c r="C80" s="651" t="s">
        <v>525</v>
      </c>
      <c r="D80" s="651" t="s">
        <v>180</v>
      </c>
      <c r="E80" s="651" t="s">
        <v>526</v>
      </c>
      <c r="F80" s="651" t="s">
        <v>180</v>
      </c>
      <c r="G80" s="651" t="s">
        <v>551</v>
      </c>
      <c r="H80" s="651" t="s">
        <v>1203</v>
      </c>
      <c r="I80" s="651" t="s">
        <v>1382</v>
      </c>
      <c r="J80" s="651" t="s">
        <v>1383</v>
      </c>
      <c r="K80" s="651" t="s">
        <v>1384</v>
      </c>
      <c r="L80" s="651" t="s">
        <v>1157</v>
      </c>
      <c r="M80" s="651" t="s">
        <v>1159</v>
      </c>
      <c r="N80" s="678">
        <v>96.52534</v>
      </c>
      <c r="O80" s="678">
        <v>24.996279999999999</v>
      </c>
      <c r="P80" s="698"/>
      <c r="Q80" s="476">
        <v>36</v>
      </c>
      <c r="R80" s="708">
        <v>153</v>
      </c>
      <c r="S80" s="679">
        <f>IF(CampList[[#This Row],[HH]]&gt;0,CampList[[#This Row],[Total]]/CampList[[#This Row],[HH]],"NA")</f>
        <v>4.25</v>
      </c>
      <c r="T80" s="653" t="s">
        <v>511</v>
      </c>
      <c r="U80" s="653" t="s">
        <v>1191</v>
      </c>
      <c r="V80" s="712" t="s">
        <v>12</v>
      </c>
      <c r="W80" s="653" t="s">
        <v>803</v>
      </c>
      <c r="X80" s="699">
        <v>41275</v>
      </c>
      <c r="Y80" s="698"/>
      <c r="Z80" s="682"/>
      <c r="AA80" s="682" t="s">
        <v>842</v>
      </c>
      <c r="AB80" s="682"/>
      <c r="AC80" s="683">
        <v>42082</v>
      </c>
      <c r="AD80" s="684" t="s">
        <v>1238</v>
      </c>
      <c r="AE80" s="685"/>
      <c r="AF80" s="476">
        <f>IF(CampList[[#This Row],[Type of Accomodation]]="camp",MAX(0,CampList[[#This Row],[HH]]-SUMIF(Table_Shelter[Pcode],CampList[[#This Row],[CP_Pcode]],Table_Shelter[HH Covered])),0)</f>
        <v>0</v>
      </c>
      <c r="AG80" s="653"/>
      <c r="AH80" s="682">
        <f>MIN(CampList[[#This Row],[Shelter Gap]],CampList[[#This Row],[Land Status]])</f>
        <v>0</v>
      </c>
      <c r="AI80" s="653" t="str">
        <f ca="1">IFERROR(OFFSET(DistanceToCamp[Nearest Town],MATCH(CampList[[#This Row],[CP_Pcode]],DistanceToCamp[CP_Pcode],0)-1,0,1,1),"")</f>
        <v>Hopin Town</v>
      </c>
      <c r="AJ80" s="686">
        <f ca="1">IFERROR(OFFSET(DistanceToCamp[distance],MATCH(CampList[[#This Row],[CP_Pcode]],DistanceToCamp[CP_Pcode],0)-1,0,1,1),"")</f>
        <v>0</v>
      </c>
      <c r="AK80" s="687">
        <f ca="1">IFERROR(INT(CampList[[#This Row],[Distance]]/5)+1,"")</f>
        <v>1</v>
      </c>
      <c r="AL80" s="669"/>
      <c r="AM80" s="669"/>
      <c r="AN80" s="669"/>
      <c r="AO80" s="669"/>
      <c r="AP80" s="669"/>
      <c r="AQ80" s="669"/>
      <c r="AR80" s="669"/>
      <c r="AS80" s="669"/>
      <c r="AT80" s="669"/>
      <c r="AU80" s="669"/>
      <c r="AV80" s="669"/>
    </row>
    <row r="81" spans="1:48" s="444" customFormat="1" ht="15.75" customHeight="1" x14ac:dyDescent="0.25">
      <c r="A81" s="675" t="s">
        <v>500</v>
      </c>
      <c r="B81" s="651" t="s">
        <v>380</v>
      </c>
      <c r="C81" s="651" t="s">
        <v>525</v>
      </c>
      <c r="D81" s="651" t="s">
        <v>5</v>
      </c>
      <c r="E81" s="651" t="s">
        <v>529</v>
      </c>
      <c r="F81" s="684" t="s">
        <v>151</v>
      </c>
      <c r="G81" s="684" t="s">
        <v>539</v>
      </c>
      <c r="H81" s="684" t="s">
        <v>739</v>
      </c>
      <c r="I81" s="684" t="s">
        <v>740</v>
      </c>
      <c r="J81" s="684" t="s">
        <v>739</v>
      </c>
      <c r="K81" s="684" t="s">
        <v>739</v>
      </c>
      <c r="L81" s="651" t="s">
        <v>188</v>
      </c>
      <c r="M81" s="651" t="s">
        <v>187</v>
      </c>
      <c r="N81" s="676">
        <v>97.609832999999995</v>
      </c>
      <c r="O81" s="676">
        <v>24.002433</v>
      </c>
      <c r="P81" s="677">
        <v>854</v>
      </c>
      <c r="Q81" s="840">
        <v>418</v>
      </c>
      <c r="R81" s="841">
        <v>2109</v>
      </c>
      <c r="S81" s="679">
        <f>IF(CampList[[#This Row],[HH]]&gt;0,CampList[[#This Row],[Total]]/CampList[[#This Row],[HH]],"NA")</f>
        <v>5.0454545454545459</v>
      </c>
      <c r="T81" s="653" t="s">
        <v>513</v>
      </c>
      <c r="U81" s="653" t="s">
        <v>1191</v>
      </c>
      <c r="V81" s="653" t="s">
        <v>554</v>
      </c>
      <c r="W81" s="653" t="s">
        <v>856</v>
      </c>
      <c r="X81" s="680">
        <v>40817</v>
      </c>
      <c r="Y81" s="681">
        <v>2</v>
      </c>
      <c r="Z81" s="680" t="s">
        <v>1089</v>
      </c>
      <c r="AA81" s="693" t="s">
        <v>842</v>
      </c>
      <c r="AB81" s="682"/>
      <c r="AC81" s="683">
        <v>42780</v>
      </c>
      <c r="AD81" s="675" t="s">
        <v>1529</v>
      </c>
      <c r="AE81" s="685" t="s">
        <v>1078</v>
      </c>
      <c r="AF81" s="476">
        <f>IF(CampList[[#This Row],[Type of Accomodation]]="camp",MAX(0,CampList[[#This Row],[HH]]-SUMIF(Table_Shelter[Pcode],CampList[[#This Row],[CP_Pcode]],Table_Shelter[HH Covered])),0)</f>
        <v>228</v>
      </c>
      <c r="AG81" s="653"/>
      <c r="AH81" s="682">
        <f>MIN(CampList[[#This Row],[Shelter Gap]],CampList[[#This Row],[Land Status]])</f>
        <v>228</v>
      </c>
      <c r="AI81" s="653" t="str">
        <f ca="1">IFERROR(OFFSET(DistanceToCamp[Nearest Town],MATCH(CampList[[#This Row],[CP_Pcode]],DistanceToCamp[CP_Pcode],0)-1,0,1,1),"")</f>
        <v>Namhkan Town</v>
      </c>
      <c r="AJ81" s="686">
        <f ca="1">IFERROR(OFFSET(DistanceToCamp[distance],MATCH(CampList[[#This Row],[CP_Pcode]],DistanceToCamp[CP_Pcode],0)-1,0,1,1),"")</f>
        <v>19.796407430638478</v>
      </c>
      <c r="AK81" s="687">
        <f ca="1">IFERROR(INT(CampList[[#This Row],[Distance]]/5)+1,"")</f>
        <v>4</v>
      </c>
      <c r="AL81" s="669"/>
      <c r="AM81" s="669"/>
      <c r="AN81" s="669"/>
      <c r="AO81" s="669"/>
      <c r="AP81" s="669"/>
      <c r="AQ81" s="669"/>
      <c r="AR81" s="669"/>
      <c r="AS81" s="669"/>
      <c r="AT81" s="669"/>
      <c r="AU81" s="669"/>
      <c r="AV81" s="669"/>
    </row>
    <row r="82" spans="1:48" s="444" customFormat="1" ht="15.75" customHeight="1" x14ac:dyDescent="0.25">
      <c r="A82" s="704" t="s">
        <v>500</v>
      </c>
      <c r="B82" s="651" t="s">
        <v>380</v>
      </c>
      <c r="C82" s="651" t="s">
        <v>525</v>
      </c>
      <c r="D82" s="651" t="s">
        <v>5</v>
      </c>
      <c r="E82" s="651" t="s">
        <v>529</v>
      </c>
      <c r="F82" s="651" t="s">
        <v>302</v>
      </c>
      <c r="G82" s="651" t="s">
        <v>540</v>
      </c>
      <c r="H82" s="651" t="s">
        <v>621</v>
      </c>
      <c r="I82" s="651" t="s">
        <v>622</v>
      </c>
      <c r="J82" s="651"/>
      <c r="K82" s="651"/>
      <c r="L82" s="651" t="s">
        <v>12</v>
      </c>
      <c r="M82" s="651" t="s">
        <v>393</v>
      </c>
      <c r="N82" s="676">
        <v>96.793177</v>
      </c>
      <c r="O82" s="676">
        <v>24.224830999999998</v>
      </c>
      <c r="P82" s="698"/>
      <c r="Q82" s="840">
        <v>9</v>
      </c>
      <c r="R82" s="841">
        <v>30</v>
      </c>
      <c r="S82" s="679">
        <f>IF(CampList[[#This Row],[HH]]&gt;0,CampList[[#This Row],[Total]]/CampList[[#This Row],[HH]],"NA")</f>
        <v>3.3333333333333335</v>
      </c>
      <c r="T82" s="653" t="s">
        <v>511</v>
      </c>
      <c r="U82" s="653" t="s">
        <v>1191</v>
      </c>
      <c r="V82" s="715" t="s">
        <v>12</v>
      </c>
      <c r="W82" s="653" t="s">
        <v>803</v>
      </c>
      <c r="X82" s="699"/>
      <c r="Y82" s="698"/>
      <c r="Z82" s="682"/>
      <c r="AA82" s="693" t="s">
        <v>841</v>
      </c>
      <c r="AB82" s="682"/>
      <c r="AC82" s="683"/>
      <c r="AD82" s="675"/>
      <c r="AE82" s="708" t="s">
        <v>1093</v>
      </c>
      <c r="AF82" s="476">
        <f>IF(CampList[[#This Row],[Type of Accomodation]]="camp",MAX(0,CampList[[#This Row],[HH]]-SUMIF(Table_Shelter[Pcode],CampList[[#This Row],[CP_Pcode]],Table_Shelter[HH Covered])),0)</f>
        <v>0</v>
      </c>
      <c r="AG82" s="653"/>
      <c r="AH82" s="682">
        <f>MIN(CampList[[#This Row],[Shelter Gap]],CampList[[#This Row],[Land Status]])</f>
        <v>0</v>
      </c>
      <c r="AI82" s="653" t="str">
        <f ca="1">IFERROR(OFFSET(DistanceToCamp[Nearest Town],MATCH(CampList[[#This Row],[CP_Pcode]],DistanceToCamp[CP_Pcode],0)-1,0,1,1),"")</f>
        <v>Shwegu Town</v>
      </c>
      <c r="AJ82" s="686">
        <f ca="1">IFERROR(OFFSET(DistanceToCamp[distance],MATCH(CampList[[#This Row],[CP_Pcode]],DistanceToCamp[CP_Pcode],0)-1,0,1,1),"")</f>
        <v>2.3794331620169178</v>
      </c>
      <c r="AK82" s="687">
        <f ca="1">IFERROR(INT(CampList[[#This Row],[Distance]]/5)+1,"")</f>
        <v>1</v>
      </c>
      <c r="AL82" s="669"/>
      <c r="AM82" s="669"/>
      <c r="AN82" s="669"/>
      <c r="AO82" s="669"/>
      <c r="AP82" s="669"/>
      <c r="AQ82" s="669"/>
      <c r="AR82" s="669"/>
      <c r="AS82" s="669"/>
      <c r="AT82" s="669"/>
      <c r="AU82" s="669"/>
      <c r="AV82" s="669"/>
    </row>
    <row r="83" spans="1:48" s="444" customFormat="1" ht="15.75" customHeight="1" x14ac:dyDescent="0.25">
      <c r="A83" s="695" t="s">
        <v>500</v>
      </c>
      <c r="B83" s="652" t="s">
        <v>380</v>
      </c>
      <c r="C83" s="652" t="s">
        <v>525</v>
      </c>
      <c r="D83" s="652" t="s">
        <v>5</v>
      </c>
      <c r="E83" s="652" t="s">
        <v>529</v>
      </c>
      <c r="F83" s="652" t="s">
        <v>151</v>
      </c>
      <c r="G83" s="652" t="s">
        <v>539</v>
      </c>
      <c r="H83" s="652" t="s">
        <v>743</v>
      </c>
      <c r="I83" s="696" t="s">
        <v>744</v>
      </c>
      <c r="J83" s="652" t="s">
        <v>745</v>
      </c>
      <c r="K83" s="652">
        <v>216948</v>
      </c>
      <c r="L83" s="652" t="s">
        <v>198</v>
      </c>
      <c r="M83" s="652" t="s">
        <v>197</v>
      </c>
      <c r="N83" s="678">
        <v>97.625617000000005</v>
      </c>
      <c r="O83" s="678">
        <v>24.056132999999999</v>
      </c>
      <c r="P83" s="698">
        <v>866</v>
      </c>
      <c r="Q83" s="844">
        <v>547</v>
      </c>
      <c r="R83" s="844">
        <v>2576</v>
      </c>
      <c r="S83" s="679">
        <f>IF(CampList[[#This Row],[HH]]&gt;0,CampList[[#This Row],[Total]]/CampList[[#This Row],[HH]],"NA")</f>
        <v>4.7093235831809874</v>
      </c>
      <c r="T83" s="476" t="s">
        <v>513</v>
      </c>
      <c r="U83" s="653" t="s">
        <v>1191</v>
      </c>
      <c r="V83" s="476" t="s">
        <v>554</v>
      </c>
      <c r="W83" s="476" t="s">
        <v>856</v>
      </c>
      <c r="X83" s="699">
        <v>40817</v>
      </c>
      <c r="Y83" s="698">
        <v>2</v>
      </c>
      <c r="Z83" s="698" t="s">
        <v>1089</v>
      </c>
      <c r="AA83" s="678" t="s">
        <v>842</v>
      </c>
      <c r="AB83" s="678"/>
      <c r="AC83" s="683">
        <v>42780</v>
      </c>
      <c r="AD83" s="700" t="s">
        <v>1528</v>
      </c>
      <c r="AE83" s="685" t="s">
        <v>1078</v>
      </c>
      <c r="AF83" s="701">
        <f>IF(CampList[[#This Row],[Type of Accomodation]]="camp",MAX(0,CampList[[#This Row],[HH]]-SUMIF(Table_Shelter[Pcode],CampList[[#This Row],[CP_Pcode]],Table_Shelter[HH Covered])),0)</f>
        <v>13</v>
      </c>
      <c r="AG83" s="476"/>
      <c r="AH83" s="677">
        <f>MIN(CampList[[#This Row],[Shelter Gap]],CampList[[#This Row],[Land Status]])</f>
        <v>13</v>
      </c>
      <c r="AI83" s="701" t="str">
        <f ca="1">IFERROR(OFFSET(DistanceToCamp[Nearest Town],MATCH(CampList[[#This Row],[CP_Pcode]],DistanceToCamp[CP_Pcode],0)-1,0,1,1),"")</f>
        <v>Lwegel Town</v>
      </c>
      <c r="AJ83" s="686">
        <f ca="1">IFERROR(OFFSET(DistanceToCamp[distance],MATCH(CampList[[#This Row],[CP_Pcode]],DistanceToCamp[CP_Pcode],0)-1,0,1,1),"")</f>
        <v>18.620903555062636</v>
      </c>
      <c r="AK83" s="702">
        <f ca="1">IFERROR(INT(CampList[[#This Row],[Distance]]/5)+1,"")</f>
        <v>4</v>
      </c>
      <c r="AL83" s="669"/>
      <c r="AM83" s="669"/>
      <c r="AN83" s="669"/>
      <c r="AO83" s="669"/>
      <c r="AP83" s="669"/>
      <c r="AQ83" s="669"/>
      <c r="AR83" s="669"/>
      <c r="AS83" s="669"/>
      <c r="AT83" s="669"/>
      <c r="AU83" s="669"/>
      <c r="AV83" s="669"/>
    </row>
    <row r="84" spans="1:48" s="444" customFormat="1" ht="15.75" hidden="1" customHeight="1" x14ac:dyDescent="0.25">
      <c r="A84" s="675" t="s">
        <v>843</v>
      </c>
      <c r="B84" s="651" t="s">
        <v>380</v>
      </c>
      <c r="C84" s="651" t="s">
        <v>525</v>
      </c>
      <c r="D84" s="651" t="s">
        <v>180</v>
      </c>
      <c r="E84" s="651" t="s">
        <v>526</v>
      </c>
      <c r="F84" s="651" t="s">
        <v>180</v>
      </c>
      <c r="G84" s="651" t="s">
        <v>551</v>
      </c>
      <c r="H84" s="684" t="s">
        <v>616</v>
      </c>
      <c r="I84" s="684" t="s">
        <v>617</v>
      </c>
      <c r="J84" s="684" t="s">
        <v>616</v>
      </c>
      <c r="K84" s="684">
        <v>166591</v>
      </c>
      <c r="L84" s="651" t="s">
        <v>183</v>
      </c>
      <c r="M84" s="651" t="s">
        <v>182</v>
      </c>
      <c r="N84" s="676">
        <v>96.364949999999993</v>
      </c>
      <c r="O84" s="676">
        <v>24.998349999999999</v>
      </c>
      <c r="P84" s="677">
        <v>0</v>
      </c>
      <c r="Q84" s="840">
        <v>0</v>
      </c>
      <c r="R84" s="841">
        <v>0</v>
      </c>
      <c r="S84" s="679" t="str">
        <f>IF(CampList[[#This Row],[HH]]&gt;0,CampList[[#This Row],[Total]]/CampList[[#This Row],[HH]],"NA")</f>
        <v>NA</v>
      </c>
      <c r="T84" s="653" t="s">
        <v>511</v>
      </c>
      <c r="U84" s="688" t="s">
        <v>1191</v>
      </c>
      <c r="V84" s="653" t="s">
        <v>554</v>
      </c>
      <c r="W84" s="688" t="s">
        <v>856</v>
      </c>
      <c r="X84" s="689">
        <v>40969</v>
      </c>
      <c r="Y84" s="690"/>
      <c r="Z84" s="689" t="s">
        <v>460</v>
      </c>
      <c r="AA84" s="693" t="s">
        <v>841</v>
      </c>
      <c r="AB84" s="682"/>
      <c r="AC84" s="683">
        <v>41837</v>
      </c>
      <c r="AD84" s="675" t="s">
        <v>1098</v>
      </c>
      <c r="AE84" s="685" t="s">
        <v>1093</v>
      </c>
      <c r="AF84" s="476">
        <f>IF(CampList[[#This Row],[Type of Accomodation]]="camp",MAX(0,CampList[[#This Row],[HH]]-SUMIF(Table_Shelter[Pcode],CampList[[#This Row],[CP_Pcode]],Table_Shelter[HH Covered])),0)</f>
        <v>0</v>
      </c>
      <c r="AG84" s="653"/>
      <c r="AH84" s="682">
        <f>MIN(CampList[[#This Row],[Shelter Gap]],CampList[[#This Row],[Land Status]])</f>
        <v>0</v>
      </c>
      <c r="AI84" s="653" t="str">
        <f ca="1">IFERROR(OFFSET(DistanceToCamp[Nearest Town],MATCH(CampList[[#This Row],[CP_Pcode]],DistanceToCamp[CP_Pcode],0)-1,0,1,1),"")</f>
        <v/>
      </c>
      <c r="AJ84" s="686" t="str">
        <f ca="1">IFERROR(OFFSET(DistanceToCamp[distance],MATCH(CampList[[#This Row],[CP_Pcode]],DistanceToCamp[CP_Pcode],0)-1,0,1,1),"")</f>
        <v/>
      </c>
      <c r="AK84" s="687" t="str">
        <f ca="1">IFERROR(INT(CampList[[#This Row],[Distance]]/5)+1,"")</f>
        <v/>
      </c>
      <c r="AL84" s="669"/>
      <c r="AM84" s="669"/>
      <c r="AN84" s="669"/>
      <c r="AO84" s="669"/>
      <c r="AP84" s="669"/>
      <c r="AQ84" s="669"/>
      <c r="AR84" s="669"/>
      <c r="AS84" s="669"/>
      <c r="AT84" s="669"/>
      <c r="AU84" s="669"/>
      <c r="AV84" s="669"/>
    </row>
    <row r="85" spans="1:48" s="444" customFormat="1" ht="15.75" hidden="1" customHeight="1" x14ac:dyDescent="0.25">
      <c r="A85" s="675" t="s">
        <v>843</v>
      </c>
      <c r="B85" s="651" t="s">
        <v>380</v>
      </c>
      <c r="C85" s="651" t="s">
        <v>525</v>
      </c>
      <c r="D85" s="651" t="s">
        <v>180</v>
      </c>
      <c r="E85" s="651" t="s">
        <v>526</v>
      </c>
      <c r="F85" s="651" t="s">
        <v>527</v>
      </c>
      <c r="G85" s="651" t="s">
        <v>528</v>
      </c>
      <c r="H85" s="684" t="s">
        <v>603</v>
      </c>
      <c r="I85" s="684" t="s">
        <v>604</v>
      </c>
      <c r="J85" s="684" t="s">
        <v>605</v>
      </c>
      <c r="K85" s="684" t="s">
        <v>606</v>
      </c>
      <c r="L85" s="651" t="s">
        <v>110</v>
      </c>
      <c r="M85" s="651" t="s">
        <v>109</v>
      </c>
      <c r="N85" s="676">
        <v>96.312790000000007</v>
      </c>
      <c r="O85" s="676">
        <v>25.611160000000002</v>
      </c>
      <c r="P85" s="677">
        <v>0</v>
      </c>
      <c r="Q85" s="840">
        <v>0</v>
      </c>
      <c r="R85" s="841">
        <v>0</v>
      </c>
      <c r="S85" s="679" t="str">
        <f>IF(CampList[[#This Row],[HH]]&gt;0,CampList[[#This Row],[Total]]/CampList[[#This Row],[HH]],"NA")</f>
        <v>NA</v>
      </c>
      <c r="T85" s="653" t="s">
        <v>511</v>
      </c>
      <c r="U85" s="688" t="s">
        <v>1191</v>
      </c>
      <c r="V85" s="653" t="s">
        <v>554</v>
      </c>
      <c r="W85" s="688" t="s">
        <v>803</v>
      </c>
      <c r="X85" s="689">
        <v>41122</v>
      </c>
      <c r="Y85" s="690">
        <v>2</v>
      </c>
      <c r="Z85" s="689" t="s">
        <v>460</v>
      </c>
      <c r="AA85" s="693" t="s">
        <v>842</v>
      </c>
      <c r="AB85" s="682"/>
      <c r="AC85" s="683">
        <v>41774</v>
      </c>
      <c r="AD85" s="675" t="s">
        <v>1047</v>
      </c>
      <c r="AE85" s="685" t="s">
        <v>1007</v>
      </c>
      <c r="AF85" s="476">
        <f>IF(CampList[[#This Row],[Type of Accomodation]]="camp",MAX(0,CampList[[#This Row],[HH]]-SUMIF(Table_Shelter[Pcode],CampList[[#This Row],[CP_Pcode]],Table_Shelter[HH Covered])),0)</f>
        <v>0</v>
      </c>
      <c r="AG85" s="653"/>
      <c r="AH85" s="682">
        <f>MIN(CampList[[#This Row],[Shelter Gap]],CampList[[#This Row],[Land Status]])</f>
        <v>0</v>
      </c>
      <c r="AI85" s="653" t="str">
        <f ca="1">IFERROR(OFFSET(DistanceToCamp[Nearest Town],MATCH(CampList[[#This Row],[CP_Pcode]],DistanceToCamp[CP_Pcode],0)-1,0,1,1),"")</f>
        <v/>
      </c>
      <c r="AJ85" s="686" t="str">
        <f ca="1">IFERROR(OFFSET(DistanceToCamp[distance],MATCH(CampList[[#This Row],[CP_Pcode]],DistanceToCamp[CP_Pcode],0)-1,0,1,1),"")</f>
        <v/>
      </c>
      <c r="AK85" s="687" t="str">
        <f ca="1">IFERROR(INT(CampList[[#This Row],[Distance]]/5)+1,"")</f>
        <v/>
      </c>
      <c r="AL85" s="669"/>
      <c r="AM85" s="669"/>
      <c r="AN85" s="669"/>
      <c r="AO85" s="669"/>
      <c r="AP85" s="669"/>
      <c r="AQ85" s="669"/>
      <c r="AR85" s="669"/>
      <c r="AS85" s="669"/>
      <c r="AT85" s="669"/>
      <c r="AU85" s="669"/>
      <c r="AV85" s="669"/>
    </row>
    <row r="86" spans="1:48" s="444" customFormat="1" ht="15.75" hidden="1" customHeight="1" x14ac:dyDescent="0.25">
      <c r="A86" s="675" t="s">
        <v>843</v>
      </c>
      <c r="B86" s="651" t="s">
        <v>380</v>
      </c>
      <c r="C86" s="651" t="s">
        <v>525</v>
      </c>
      <c r="D86" s="651" t="s">
        <v>180</v>
      </c>
      <c r="E86" s="651" t="s">
        <v>526</v>
      </c>
      <c r="F86" s="651" t="s">
        <v>527</v>
      </c>
      <c r="G86" s="651" t="s">
        <v>528</v>
      </c>
      <c r="H86" s="684" t="s">
        <v>603</v>
      </c>
      <c r="I86" s="684" t="s">
        <v>604</v>
      </c>
      <c r="J86" s="684" t="s">
        <v>605</v>
      </c>
      <c r="K86" s="684" t="s">
        <v>606</v>
      </c>
      <c r="L86" s="651" t="s">
        <v>112</v>
      </c>
      <c r="M86" s="651" t="s">
        <v>111</v>
      </c>
      <c r="N86" s="676">
        <v>96.31326</v>
      </c>
      <c r="O86" s="676">
        <v>25.611899999999999</v>
      </c>
      <c r="P86" s="698"/>
      <c r="Q86" s="840">
        <v>0</v>
      </c>
      <c r="R86" s="841">
        <v>0</v>
      </c>
      <c r="S86" s="679" t="str">
        <f>IF(CampList[[#This Row],[HH]]&gt;0,CampList[[#This Row],[Total]]/CampList[[#This Row],[HH]],"NA")</f>
        <v>NA</v>
      </c>
      <c r="T86" s="653" t="s">
        <v>511</v>
      </c>
      <c r="U86" s="688" t="s">
        <v>1191</v>
      </c>
      <c r="V86" s="653" t="s">
        <v>554</v>
      </c>
      <c r="W86" s="688"/>
      <c r="X86" s="706"/>
      <c r="Y86" s="697"/>
      <c r="Z86" s="707"/>
      <c r="AA86" s="693"/>
      <c r="AB86" s="682"/>
      <c r="AC86" s="710"/>
      <c r="AD86" s="675" t="s">
        <v>601</v>
      </c>
      <c r="AE86" s="708" t="s">
        <v>1007</v>
      </c>
      <c r="AF86" s="476">
        <f>IF(CampList[[#This Row],[Type of Accomodation]]="camp",MAX(0,CampList[[#This Row],[HH]]-SUMIF(Table_Shelter[Pcode],CampList[[#This Row],[CP_Pcode]],Table_Shelter[HH Covered])),0)</f>
        <v>0</v>
      </c>
      <c r="AG86" s="653"/>
      <c r="AH86" s="682">
        <f>MIN(CampList[[#This Row],[Shelter Gap]],CampList[[#This Row],[Land Status]])</f>
        <v>0</v>
      </c>
      <c r="AI86" s="653" t="str">
        <f ca="1">IFERROR(OFFSET(DistanceToCamp[Nearest Town],MATCH(CampList[[#This Row],[CP_Pcode]],DistanceToCamp[CP_Pcode],0)-1,0,1,1),"")</f>
        <v/>
      </c>
      <c r="AJ86" s="686" t="str">
        <f ca="1">IFERROR(OFFSET(DistanceToCamp[distance],MATCH(CampList[[#This Row],[CP_Pcode]],DistanceToCamp[CP_Pcode],0)-1,0,1,1),"")</f>
        <v/>
      </c>
      <c r="AK86" s="687" t="str">
        <f ca="1">IFERROR(INT(CampList[[#This Row],[Distance]]/5)+1,"")</f>
        <v/>
      </c>
      <c r="AL86" s="669"/>
      <c r="AM86" s="669"/>
      <c r="AN86" s="669"/>
      <c r="AO86" s="669"/>
      <c r="AP86" s="669"/>
      <c r="AQ86" s="669"/>
      <c r="AR86" s="669"/>
      <c r="AS86" s="669"/>
      <c r="AT86" s="669"/>
      <c r="AU86" s="669"/>
      <c r="AV86" s="669"/>
    </row>
    <row r="87" spans="1:48" s="444" customFormat="1" ht="15.75" hidden="1" customHeight="1" x14ac:dyDescent="0.25">
      <c r="A87" s="675" t="s">
        <v>843</v>
      </c>
      <c r="B87" s="651" t="s">
        <v>380</v>
      </c>
      <c r="C87" s="651" t="s">
        <v>525</v>
      </c>
      <c r="D87" s="651" t="s">
        <v>180</v>
      </c>
      <c r="E87" s="651" t="s">
        <v>526</v>
      </c>
      <c r="F87" s="651" t="s">
        <v>527</v>
      </c>
      <c r="G87" s="651" t="s">
        <v>528</v>
      </c>
      <c r="H87" s="684" t="s">
        <v>603</v>
      </c>
      <c r="I87" s="684" t="s">
        <v>604</v>
      </c>
      <c r="J87" s="684" t="s">
        <v>607</v>
      </c>
      <c r="K87" s="684" t="s">
        <v>608</v>
      </c>
      <c r="L87" s="651" t="s">
        <v>86</v>
      </c>
      <c r="M87" s="651" t="s">
        <v>85</v>
      </c>
      <c r="N87" s="676"/>
      <c r="O87" s="676"/>
      <c r="P87" s="698"/>
      <c r="Q87" s="840">
        <v>0</v>
      </c>
      <c r="R87" s="841">
        <v>0</v>
      </c>
      <c r="S87" s="679" t="str">
        <f>IF(CampList[[#This Row],[HH]]&gt;0,CampList[[#This Row],[Total]]/CampList[[#This Row],[HH]],"NA")</f>
        <v>NA</v>
      </c>
      <c r="T87" s="653" t="s">
        <v>511</v>
      </c>
      <c r="U87" s="688" t="s">
        <v>1191</v>
      </c>
      <c r="V87" s="653" t="s">
        <v>554</v>
      </c>
      <c r="W87" s="688"/>
      <c r="X87" s="706"/>
      <c r="Y87" s="697"/>
      <c r="Z87" s="707"/>
      <c r="AA87" s="693"/>
      <c r="AB87" s="682"/>
      <c r="AC87" s="710"/>
      <c r="AD87" s="675" t="s">
        <v>601</v>
      </c>
      <c r="AE87" s="708" t="s">
        <v>1007</v>
      </c>
      <c r="AF87" s="476">
        <f>IF(CampList[[#This Row],[Type of Accomodation]]="camp",MAX(0,CampList[[#This Row],[HH]]-SUMIF(Table_Shelter[Pcode],CampList[[#This Row],[CP_Pcode]],Table_Shelter[HH Covered])),0)</f>
        <v>0</v>
      </c>
      <c r="AG87" s="653"/>
      <c r="AH87" s="682">
        <f>MIN(CampList[[#This Row],[Shelter Gap]],CampList[[#This Row],[Land Status]])</f>
        <v>0</v>
      </c>
      <c r="AI87" s="653" t="str">
        <f ca="1">IFERROR(OFFSET(DistanceToCamp[Nearest Town],MATCH(CampList[[#This Row],[CP_Pcode]],DistanceToCamp[CP_Pcode],0)-1,0,1,1),"")</f>
        <v/>
      </c>
      <c r="AJ87" s="686" t="str">
        <f ca="1">IFERROR(OFFSET(DistanceToCamp[distance],MATCH(CampList[[#This Row],[CP_Pcode]],DistanceToCamp[CP_Pcode],0)-1,0,1,1),"")</f>
        <v/>
      </c>
      <c r="AK87" s="687" t="str">
        <f ca="1">IFERROR(INT(CampList[[#This Row],[Distance]]/5)+1,"")</f>
        <v/>
      </c>
      <c r="AL87" s="669"/>
      <c r="AM87" s="669"/>
      <c r="AN87" s="669"/>
      <c r="AO87" s="669"/>
      <c r="AP87" s="669"/>
      <c r="AQ87" s="669"/>
      <c r="AR87" s="669"/>
      <c r="AS87" s="669"/>
      <c r="AT87" s="669"/>
      <c r="AU87" s="669"/>
      <c r="AV87" s="669"/>
    </row>
    <row r="88" spans="1:48" s="444" customFormat="1" ht="15.75" hidden="1" customHeight="1" x14ac:dyDescent="0.25">
      <c r="A88" s="675" t="s">
        <v>843</v>
      </c>
      <c r="B88" s="651" t="s">
        <v>380</v>
      </c>
      <c r="C88" s="651" t="s">
        <v>525</v>
      </c>
      <c r="D88" s="651" t="s">
        <v>180</v>
      </c>
      <c r="E88" s="651" t="s">
        <v>526</v>
      </c>
      <c r="F88" s="651" t="s">
        <v>527</v>
      </c>
      <c r="G88" s="651" t="s">
        <v>528</v>
      </c>
      <c r="H88" s="684" t="s">
        <v>603</v>
      </c>
      <c r="I88" s="684" t="s">
        <v>604</v>
      </c>
      <c r="J88" s="684" t="s">
        <v>607</v>
      </c>
      <c r="K88" s="684" t="s">
        <v>608</v>
      </c>
      <c r="L88" s="651" t="s">
        <v>84</v>
      </c>
      <c r="M88" s="651" t="s">
        <v>83</v>
      </c>
      <c r="N88" s="676">
        <v>96.316210999999996</v>
      </c>
      <c r="O88" s="676">
        <v>25.619221</v>
      </c>
      <c r="P88" s="698"/>
      <c r="Q88" s="840">
        <v>0</v>
      </c>
      <c r="R88" s="841">
        <v>0</v>
      </c>
      <c r="S88" s="679" t="str">
        <f>IF(CampList[[#This Row],[HH]]&gt;0,CampList[[#This Row],[Total]]/CampList[[#This Row],[HH]],"NA")</f>
        <v>NA</v>
      </c>
      <c r="T88" s="653" t="s">
        <v>511</v>
      </c>
      <c r="U88" s="688" t="s">
        <v>1191</v>
      </c>
      <c r="V88" s="653" t="s">
        <v>554</v>
      </c>
      <c r="W88" s="688"/>
      <c r="X88" s="706"/>
      <c r="Y88" s="697"/>
      <c r="Z88" s="707"/>
      <c r="AA88" s="693"/>
      <c r="AB88" s="682"/>
      <c r="AC88" s="710"/>
      <c r="AD88" s="675" t="s">
        <v>601</v>
      </c>
      <c r="AE88" s="708" t="s">
        <v>1007</v>
      </c>
      <c r="AF88" s="476">
        <f>IF(CampList[[#This Row],[Type of Accomodation]]="camp",MAX(0,CampList[[#This Row],[HH]]-SUMIF(Table_Shelter[Pcode],CampList[[#This Row],[CP_Pcode]],Table_Shelter[HH Covered])),0)</f>
        <v>0</v>
      </c>
      <c r="AG88" s="653"/>
      <c r="AH88" s="682">
        <f>MIN(CampList[[#This Row],[Shelter Gap]],CampList[[#This Row],[Land Status]])</f>
        <v>0</v>
      </c>
      <c r="AI88" s="653" t="str">
        <f ca="1">IFERROR(OFFSET(DistanceToCamp[Nearest Town],MATCH(CampList[[#This Row],[CP_Pcode]],DistanceToCamp[CP_Pcode],0)-1,0,1,1),"")</f>
        <v/>
      </c>
      <c r="AJ88" s="686" t="str">
        <f ca="1">IFERROR(OFFSET(DistanceToCamp[distance],MATCH(CampList[[#This Row],[CP_Pcode]],DistanceToCamp[CP_Pcode],0)-1,0,1,1),"")</f>
        <v/>
      </c>
      <c r="AK88" s="687" t="str">
        <f ca="1">IFERROR(INT(CampList[[#This Row],[Distance]]/5)+1,"")</f>
        <v/>
      </c>
      <c r="AL88" s="669"/>
      <c r="AM88" s="669"/>
      <c r="AN88" s="669"/>
      <c r="AO88" s="669"/>
      <c r="AP88" s="669"/>
      <c r="AQ88" s="669"/>
      <c r="AR88" s="669"/>
      <c r="AS88" s="669"/>
      <c r="AT88" s="669"/>
      <c r="AU88" s="669"/>
      <c r="AV88" s="669"/>
    </row>
    <row r="89" spans="1:48" s="444" customFormat="1" ht="15.75" hidden="1" customHeight="1" x14ac:dyDescent="0.25">
      <c r="A89" s="675" t="s">
        <v>843</v>
      </c>
      <c r="B89" s="651" t="s">
        <v>380</v>
      </c>
      <c r="C89" s="651" t="s">
        <v>525</v>
      </c>
      <c r="D89" s="651" t="s">
        <v>180</v>
      </c>
      <c r="E89" s="651" t="s">
        <v>526</v>
      </c>
      <c r="F89" s="651" t="s">
        <v>527</v>
      </c>
      <c r="G89" s="651" t="s">
        <v>528</v>
      </c>
      <c r="H89" s="651"/>
      <c r="I89" s="651"/>
      <c r="J89" s="651"/>
      <c r="K89" s="651"/>
      <c r="L89" s="651" t="s">
        <v>70</v>
      </c>
      <c r="M89" s="651" t="s">
        <v>69</v>
      </c>
      <c r="N89" s="676"/>
      <c r="O89" s="676"/>
      <c r="P89" s="697"/>
      <c r="Q89" s="840">
        <v>0</v>
      </c>
      <c r="R89" s="841">
        <v>0</v>
      </c>
      <c r="S89" s="679" t="str">
        <f>IF(CampList[[#This Row],[HH]]&gt;0,CampList[[#This Row],[Total]]/CampList[[#This Row],[HH]],"NA")</f>
        <v>NA</v>
      </c>
      <c r="T89" s="653" t="s">
        <v>511</v>
      </c>
      <c r="U89" s="688" t="s">
        <v>1191</v>
      </c>
      <c r="V89" s="653" t="s">
        <v>554</v>
      </c>
      <c r="W89" s="688"/>
      <c r="X89" s="706"/>
      <c r="Y89" s="697"/>
      <c r="Z89" s="707"/>
      <c r="AA89" s="693"/>
      <c r="AB89" s="682"/>
      <c r="AC89" s="710"/>
      <c r="AD89" s="675" t="s">
        <v>601</v>
      </c>
      <c r="AE89" s="708" t="s">
        <v>1007</v>
      </c>
      <c r="AF89" s="476">
        <f>IF(CampList[[#This Row],[Type of Accomodation]]="camp",MAX(0,CampList[[#This Row],[HH]]-SUMIF(Table_Shelter[Pcode],CampList[[#This Row],[CP_Pcode]],Table_Shelter[HH Covered])),0)</f>
        <v>0</v>
      </c>
      <c r="AG89" s="653"/>
      <c r="AH89" s="682">
        <f>MIN(CampList[[#This Row],[Shelter Gap]],CampList[[#This Row],[Land Status]])</f>
        <v>0</v>
      </c>
      <c r="AI89" s="653" t="str">
        <f ca="1">IFERROR(OFFSET(DistanceToCamp[Nearest Town],MATCH(CampList[[#This Row],[CP_Pcode]],DistanceToCamp[CP_Pcode],0)-1,0,1,1),"")</f>
        <v/>
      </c>
      <c r="AJ89" s="686" t="str">
        <f ca="1">IFERROR(OFFSET(DistanceToCamp[distance],MATCH(CampList[[#This Row],[CP_Pcode]],DistanceToCamp[CP_Pcode],0)-1,0,1,1),"")</f>
        <v/>
      </c>
      <c r="AK89" s="687" t="str">
        <f ca="1">IFERROR(INT(CampList[[#This Row],[Distance]]/5)+1,"")</f>
        <v/>
      </c>
      <c r="AL89" s="669"/>
      <c r="AM89" s="669"/>
      <c r="AN89" s="669"/>
      <c r="AO89" s="669"/>
      <c r="AP89" s="669"/>
      <c r="AQ89" s="669"/>
      <c r="AR89" s="669"/>
      <c r="AS89" s="669"/>
      <c r="AT89" s="669"/>
      <c r="AU89" s="669"/>
      <c r="AV89" s="669"/>
    </row>
    <row r="90" spans="1:48" s="444" customFormat="1" ht="15.75" hidden="1" customHeight="1" x14ac:dyDescent="0.25">
      <c r="A90" s="675" t="s">
        <v>843</v>
      </c>
      <c r="B90" s="651" t="s">
        <v>380</v>
      </c>
      <c r="C90" s="651" t="s">
        <v>525</v>
      </c>
      <c r="D90" s="651" t="s">
        <v>180</v>
      </c>
      <c r="E90" s="651" t="s">
        <v>526</v>
      </c>
      <c r="F90" s="651" t="s">
        <v>527</v>
      </c>
      <c r="G90" s="651" t="s">
        <v>528</v>
      </c>
      <c r="H90" s="684" t="s">
        <v>603</v>
      </c>
      <c r="I90" s="684" t="s">
        <v>604</v>
      </c>
      <c r="J90" s="684" t="s">
        <v>607</v>
      </c>
      <c r="K90" s="684" t="s">
        <v>608</v>
      </c>
      <c r="L90" s="651" t="s">
        <v>104</v>
      </c>
      <c r="M90" s="651" t="s">
        <v>103</v>
      </c>
      <c r="N90" s="676"/>
      <c r="O90" s="676"/>
      <c r="P90" s="698"/>
      <c r="Q90" s="840">
        <v>0</v>
      </c>
      <c r="R90" s="841">
        <v>0</v>
      </c>
      <c r="S90" s="679" t="str">
        <f>IF(CampList[[#This Row],[HH]]&gt;0,CampList[[#This Row],[Total]]/CampList[[#This Row],[HH]],"NA")</f>
        <v>NA</v>
      </c>
      <c r="T90" s="653" t="s">
        <v>511</v>
      </c>
      <c r="U90" s="688" t="s">
        <v>1191</v>
      </c>
      <c r="V90" s="653" t="s">
        <v>554</v>
      </c>
      <c r="W90" s="688"/>
      <c r="X90" s="706"/>
      <c r="Y90" s="697"/>
      <c r="Z90" s="707"/>
      <c r="AA90" s="693"/>
      <c r="AB90" s="682"/>
      <c r="AC90" s="710"/>
      <c r="AD90" s="675" t="s">
        <v>601</v>
      </c>
      <c r="AE90" s="708" t="s">
        <v>1007</v>
      </c>
      <c r="AF90" s="476">
        <f>IF(CampList[[#This Row],[Type of Accomodation]]="camp",MAX(0,CampList[[#This Row],[HH]]-SUMIF(Table_Shelter[Pcode],CampList[[#This Row],[CP_Pcode]],Table_Shelter[HH Covered])),0)</f>
        <v>0</v>
      </c>
      <c r="AG90" s="653"/>
      <c r="AH90" s="682">
        <f>MIN(CampList[[#This Row],[Shelter Gap]],CampList[[#This Row],[Land Status]])</f>
        <v>0</v>
      </c>
      <c r="AI90" s="653" t="str">
        <f ca="1">IFERROR(OFFSET(DistanceToCamp[Nearest Town],MATCH(CampList[[#This Row],[CP_Pcode]],DistanceToCamp[CP_Pcode],0)-1,0,1,1),"")</f>
        <v/>
      </c>
      <c r="AJ90" s="686" t="str">
        <f ca="1">IFERROR(OFFSET(DistanceToCamp[distance],MATCH(CampList[[#This Row],[CP_Pcode]],DistanceToCamp[CP_Pcode],0)-1,0,1,1),"")</f>
        <v/>
      </c>
      <c r="AK90" s="687" t="str">
        <f ca="1">IFERROR(INT(CampList[[#This Row],[Distance]]/5)+1,"")</f>
        <v/>
      </c>
      <c r="AL90" s="669"/>
      <c r="AM90" s="669"/>
      <c r="AN90" s="669"/>
      <c r="AO90" s="669"/>
      <c r="AP90" s="669"/>
      <c r="AQ90" s="669"/>
      <c r="AR90" s="669"/>
      <c r="AS90" s="669"/>
      <c r="AT90" s="669"/>
      <c r="AU90" s="669"/>
      <c r="AV90" s="669"/>
    </row>
    <row r="91" spans="1:48" s="444" customFormat="1" ht="15.75" hidden="1" customHeight="1" x14ac:dyDescent="0.25">
      <c r="A91" s="675" t="s">
        <v>843</v>
      </c>
      <c r="B91" s="651" t="s">
        <v>380</v>
      </c>
      <c r="C91" s="651" t="s">
        <v>525</v>
      </c>
      <c r="D91" s="651" t="s">
        <v>180</v>
      </c>
      <c r="E91" s="651" t="s">
        <v>526</v>
      </c>
      <c r="F91" s="651" t="s">
        <v>527</v>
      </c>
      <c r="G91" s="651" t="s">
        <v>528</v>
      </c>
      <c r="H91" s="684" t="s">
        <v>603</v>
      </c>
      <c r="I91" s="684" t="s">
        <v>604</v>
      </c>
      <c r="J91" s="684" t="s">
        <v>607</v>
      </c>
      <c r="K91" s="684" t="s">
        <v>608</v>
      </c>
      <c r="L91" s="651" t="s">
        <v>68</v>
      </c>
      <c r="M91" s="651" t="s">
        <v>67</v>
      </c>
      <c r="N91" s="676"/>
      <c r="O91" s="676"/>
      <c r="P91" s="698"/>
      <c r="Q91" s="840">
        <v>0</v>
      </c>
      <c r="R91" s="841">
        <v>0</v>
      </c>
      <c r="S91" s="679" t="str">
        <f>IF(CampList[[#This Row],[HH]]&gt;0,CampList[[#This Row],[Total]]/CampList[[#This Row],[HH]],"NA")</f>
        <v>NA</v>
      </c>
      <c r="T91" s="653" t="s">
        <v>511</v>
      </c>
      <c r="U91" s="688" t="s">
        <v>1191</v>
      </c>
      <c r="V91" s="653" t="s">
        <v>554</v>
      </c>
      <c r="W91" s="688"/>
      <c r="X91" s="706"/>
      <c r="Y91" s="697"/>
      <c r="Z91" s="707"/>
      <c r="AA91" s="693"/>
      <c r="AB91" s="682"/>
      <c r="AC91" s="710"/>
      <c r="AD91" s="675" t="s">
        <v>601</v>
      </c>
      <c r="AE91" s="708" t="s">
        <v>1007</v>
      </c>
      <c r="AF91" s="476">
        <f>IF(CampList[[#This Row],[Type of Accomodation]]="camp",MAX(0,CampList[[#This Row],[HH]]-SUMIF(Table_Shelter[Pcode],CampList[[#This Row],[CP_Pcode]],Table_Shelter[HH Covered])),0)</f>
        <v>0</v>
      </c>
      <c r="AG91" s="653"/>
      <c r="AH91" s="682">
        <f>MIN(CampList[[#This Row],[Shelter Gap]],CampList[[#This Row],[Land Status]])</f>
        <v>0</v>
      </c>
      <c r="AI91" s="653" t="str">
        <f ca="1">IFERROR(OFFSET(DistanceToCamp[Nearest Town],MATCH(CampList[[#This Row],[CP_Pcode]],DistanceToCamp[CP_Pcode],0)-1,0,1,1),"")</f>
        <v/>
      </c>
      <c r="AJ91" s="686" t="str">
        <f ca="1">IFERROR(OFFSET(DistanceToCamp[distance],MATCH(CampList[[#This Row],[CP_Pcode]],DistanceToCamp[CP_Pcode],0)-1,0,1,1),"")</f>
        <v/>
      </c>
      <c r="AK91" s="687" t="str">
        <f ca="1">IFERROR(INT(CampList[[#This Row],[Distance]]/5)+1,"")</f>
        <v/>
      </c>
      <c r="AL91" s="669"/>
      <c r="AM91" s="669"/>
      <c r="AN91" s="669"/>
      <c r="AO91" s="669"/>
      <c r="AP91" s="669"/>
      <c r="AQ91" s="669"/>
      <c r="AR91" s="669"/>
      <c r="AS91" s="669"/>
      <c r="AT91" s="669"/>
      <c r="AU91" s="669"/>
      <c r="AV91" s="669"/>
    </row>
    <row r="92" spans="1:48" s="444" customFormat="1" ht="15.75" customHeight="1" x14ac:dyDescent="0.25">
      <c r="A92" s="675" t="s">
        <v>500</v>
      </c>
      <c r="B92" s="651" t="s">
        <v>380</v>
      </c>
      <c r="C92" s="651" t="s">
        <v>525</v>
      </c>
      <c r="D92" s="651" t="s">
        <v>5</v>
      </c>
      <c r="E92" s="651" t="s">
        <v>529</v>
      </c>
      <c r="F92" s="651" t="s">
        <v>151</v>
      </c>
      <c r="G92" s="651" t="s">
        <v>539</v>
      </c>
      <c r="H92" s="651" t="s">
        <v>885</v>
      </c>
      <c r="I92" s="651" t="s">
        <v>1380</v>
      </c>
      <c r="J92" s="651" t="s">
        <v>885</v>
      </c>
      <c r="K92" s="651">
        <v>167301</v>
      </c>
      <c r="L92" s="651" t="s">
        <v>885</v>
      </c>
      <c r="M92" s="651" t="s">
        <v>886</v>
      </c>
      <c r="N92" s="676">
        <v>97.225881000000001</v>
      </c>
      <c r="O92" s="676">
        <v>23.972453000000002</v>
      </c>
      <c r="P92" s="698">
        <v>466</v>
      </c>
      <c r="Q92" s="476">
        <v>389</v>
      </c>
      <c r="R92" s="476">
        <v>1799</v>
      </c>
      <c r="S92" s="679">
        <f>IF(CampList[[#This Row],[HH]]&gt;0,CampList[[#This Row],[Total]]/CampList[[#This Row],[HH]],"NA")</f>
        <v>4.6246786632390746</v>
      </c>
      <c r="T92" s="653" t="s">
        <v>511</v>
      </c>
      <c r="U92" s="653" t="s">
        <v>1191</v>
      </c>
      <c r="V92" s="653" t="s">
        <v>554</v>
      </c>
      <c r="W92" s="653" t="s">
        <v>856</v>
      </c>
      <c r="X92" s="680">
        <v>41548</v>
      </c>
      <c r="Y92" s="681">
        <v>2</v>
      </c>
      <c r="Z92" s="680" t="s">
        <v>460</v>
      </c>
      <c r="AA92" s="693" t="s">
        <v>842</v>
      </c>
      <c r="AB92" s="682"/>
      <c r="AC92" s="683">
        <v>42809</v>
      </c>
      <c r="AD92" s="675" t="s">
        <v>1610</v>
      </c>
      <c r="AE92" s="685" t="s">
        <v>1093</v>
      </c>
      <c r="AF92" s="476">
        <f>IF(CampList[[#This Row],[Type of Accomodation]]="camp",MAX(0,CampList[[#This Row],[HH]]-SUMIF(Table_Shelter[Pcode],CampList[[#This Row],[CP_Pcode]],Table_Shelter[HH Covered])),0)</f>
        <v>80</v>
      </c>
      <c r="AG92" s="653"/>
      <c r="AH92" s="682">
        <f>MIN(CampList[[#This Row],[Shelter Gap]],CampList[[#This Row],[Land Status]])</f>
        <v>80</v>
      </c>
      <c r="AI92" s="653" t="str">
        <f ca="1">IFERROR(OFFSET(DistanceToCamp[Nearest Town],MATCH(CampList[[#This Row],[CP_Pcode]],DistanceToCamp[CP_Pcode],0)-1,0,1,1),"")</f>
        <v>Mansi Town</v>
      </c>
      <c r="AJ92" s="686">
        <f ca="1">IFERROR(OFFSET(DistanceToCamp[distance],MATCH(CampList[[#This Row],[CP_Pcode]],DistanceToCamp[CP_Pcode],0)-1,0,1,1),"")</f>
        <v>17.731070777343263</v>
      </c>
      <c r="AK92" s="687">
        <f ca="1">IFERROR(INT(CampList[[#This Row],[Distance]]/5)+1,"")</f>
        <v>4</v>
      </c>
      <c r="AL92" s="669"/>
      <c r="AM92" s="669"/>
      <c r="AN92" s="669"/>
      <c r="AO92" s="669"/>
      <c r="AP92" s="669"/>
      <c r="AQ92" s="669"/>
      <c r="AR92" s="669"/>
      <c r="AS92" s="669"/>
      <c r="AT92" s="669"/>
      <c r="AU92" s="669"/>
      <c r="AV92" s="669"/>
    </row>
    <row r="93" spans="1:48" s="444" customFormat="1" ht="15.75" hidden="1" customHeight="1" x14ac:dyDescent="0.25">
      <c r="A93" s="675" t="s">
        <v>843</v>
      </c>
      <c r="B93" s="651" t="s">
        <v>380</v>
      </c>
      <c r="C93" s="651" t="s">
        <v>525</v>
      </c>
      <c r="D93" s="651" t="s">
        <v>180</v>
      </c>
      <c r="E93" s="651" t="s">
        <v>526</v>
      </c>
      <c r="F93" s="651" t="s">
        <v>527</v>
      </c>
      <c r="G93" s="651" t="s">
        <v>528</v>
      </c>
      <c r="H93" s="684" t="s">
        <v>603</v>
      </c>
      <c r="I93" s="684" t="s">
        <v>604</v>
      </c>
      <c r="J93" s="684" t="s">
        <v>699</v>
      </c>
      <c r="K93" s="684" t="s">
        <v>700</v>
      </c>
      <c r="L93" s="651" t="s">
        <v>50</v>
      </c>
      <c r="M93" s="651" t="s">
        <v>49</v>
      </c>
      <c r="N93" s="676"/>
      <c r="O93" s="676"/>
      <c r="P93" s="697"/>
      <c r="Q93" s="840">
        <v>0</v>
      </c>
      <c r="R93" s="841">
        <v>0</v>
      </c>
      <c r="S93" s="679" t="str">
        <f>IF(CampList[[#This Row],[HH]]&gt;0,CampList[[#This Row],[Total]]/CampList[[#This Row],[HH]],"NA")</f>
        <v>NA</v>
      </c>
      <c r="T93" s="653" t="s">
        <v>511</v>
      </c>
      <c r="U93" s="688" t="s">
        <v>1191</v>
      </c>
      <c r="V93" s="653" t="s">
        <v>554</v>
      </c>
      <c r="W93" s="688"/>
      <c r="X93" s="706"/>
      <c r="Y93" s="697"/>
      <c r="Z93" s="707"/>
      <c r="AA93" s="693"/>
      <c r="AB93" s="682"/>
      <c r="AC93" s="710"/>
      <c r="AD93" s="675" t="s">
        <v>601</v>
      </c>
      <c r="AE93" s="708" t="s">
        <v>1007</v>
      </c>
      <c r="AF93" s="476">
        <f>IF(CampList[[#This Row],[Type of Accomodation]]="camp",MAX(0,CampList[[#This Row],[HH]]-SUMIF(Table_Shelter[Pcode],CampList[[#This Row],[CP_Pcode]],Table_Shelter[HH Covered])),0)</f>
        <v>0</v>
      </c>
      <c r="AG93" s="653"/>
      <c r="AH93" s="682">
        <f>MIN(CampList[[#This Row],[Shelter Gap]],CampList[[#This Row],[Land Status]])</f>
        <v>0</v>
      </c>
      <c r="AI93" s="653" t="str">
        <f ca="1">IFERROR(OFFSET(DistanceToCamp[Nearest Town],MATCH(CampList[[#This Row],[CP_Pcode]],DistanceToCamp[CP_Pcode],0)-1,0,1,1),"")</f>
        <v/>
      </c>
      <c r="AJ93" s="686" t="str">
        <f ca="1">IFERROR(OFFSET(DistanceToCamp[distance],MATCH(CampList[[#This Row],[CP_Pcode]],DistanceToCamp[CP_Pcode],0)-1,0,1,1),"")</f>
        <v/>
      </c>
      <c r="AK93" s="687" t="str">
        <f ca="1">IFERROR(INT(CampList[[#This Row],[Distance]]/5)+1,"")</f>
        <v/>
      </c>
      <c r="AL93" s="669"/>
      <c r="AM93" s="669"/>
      <c r="AN93" s="669"/>
      <c r="AO93" s="669"/>
      <c r="AP93" s="669"/>
      <c r="AQ93" s="669"/>
      <c r="AR93" s="669"/>
      <c r="AS93" s="669"/>
      <c r="AT93" s="669"/>
      <c r="AU93" s="669"/>
      <c r="AV93" s="669"/>
    </row>
    <row r="94" spans="1:48" s="444" customFormat="1" ht="15.75" hidden="1" customHeight="1" x14ac:dyDescent="0.25">
      <c r="A94" s="675" t="s">
        <v>843</v>
      </c>
      <c r="B94" s="651" t="s">
        <v>380</v>
      </c>
      <c r="C94" s="651" t="s">
        <v>525</v>
      </c>
      <c r="D94" s="651" t="s">
        <v>180</v>
      </c>
      <c r="E94" s="651" t="s">
        <v>526</v>
      </c>
      <c r="F94" s="651" t="s">
        <v>527</v>
      </c>
      <c r="G94" s="651" t="s">
        <v>528</v>
      </c>
      <c r="H94" s="684" t="s">
        <v>603</v>
      </c>
      <c r="I94" s="684" t="s">
        <v>604</v>
      </c>
      <c r="J94" s="684" t="s">
        <v>701</v>
      </c>
      <c r="K94" s="684" t="s">
        <v>702</v>
      </c>
      <c r="L94" s="651" t="s">
        <v>66</v>
      </c>
      <c r="M94" s="651" t="s">
        <v>65</v>
      </c>
      <c r="N94" s="676"/>
      <c r="O94" s="676"/>
      <c r="P94" s="697"/>
      <c r="Q94" s="840">
        <v>0</v>
      </c>
      <c r="R94" s="841">
        <v>0</v>
      </c>
      <c r="S94" s="679" t="str">
        <f>IF(CampList[[#This Row],[HH]]&gt;0,CampList[[#This Row],[Total]]/CampList[[#This Row],[HH]],"NA")</f>
        <v>NA</v>
      </c>
      <c r="T94" s="653" t="s">
        <v>511</v>
      </c>
      <c r="U94" s="688" t="s">
        <v>1191</v>
      </c>
      <c r="V94" s="653" t="s">
        <v>554</v>
      </c>
      <c r="W94" s="688"/>
      <c r="X94" s="706"/>
      <c r="Y94" s="697"/>
      <c r="Z94" s="707"/>
      <c r="AA94" s="693"/>
      <c r="AB94" s="682"/>
      <c r="AC94" s="710"/>
      <c r="AD94" s="675" t="s">
        <v>601</v>
      </c>
      <c r="AE94" s="708" t="s">
        <v>1007</v>
      </c>
      <c r="AF94" s="476">
        <f>IF(CampList[[#This Row],[Type of Accomodation]]="camp",MAX(0,CampList[[#This Row],[HH]]-SUMIF(Table_Shelter[Pcode],CampList[[#This Row],[CP_Pcode]],Table_Shelter[HH Covered])),0)</f>
        <v>0</v>
      </c>
      <c r="AG94" s="653"/>
      <c r="AH94" s="682">
        <f>MIN(CampList[[#This Row],[Shelter Gap]],CampList[[#This Row],[Land Status]])</f>
        <v>0</v>
      </c>
      <c r="AI94" s="653" t="str">
        <f ca="1">IFERROR(OFFSET(DistanceToCamp[Nearest Town],MATCH(CampList[[#This Row],[CP_Pcode]],DistanceToCamp[CP_Pcode],0)-1,0,1,1),"")</f>
        <v/>
      </c>
      <c r="AJ94" s="686" t="str">
        <f ca="1">IFERROR(OFFSET(DistanceToCamp[distance],MATCH(CampList[[#This Row],[CP_Pcode]],DistanceToCamp[CP_Pcode],0)-1,0,1,1),"")</f>
        <v/>
      </c>
      <c r="AK94" s="687" t="str">
        <f ca="1">IFERROR(INT(CampList[[#This Row],[Distance]]/5)+1,"")</f>
        <v/>
      </c>
      <c r="AL94" s="669"/>
      <c r="AM94" s="669"/>
      <c r="AN94" s="669"/>
      <c r="AO94" s="669"/>
      <c r="AP94" s="669"/>
      <c r="AQ94" s="669"/>
      <c r="AR94" s="669"/>
      <c r="AS94" s="669"/>
      <c r="AT94" s="669"/>
      <c r="AU94" s="669"/>
      <c r="AV94" s="669"/>
    </row>
    <row r="95" spans="1:48" s="444" customFormat="1" ht="15.75" hidden="1" customHeight="1" x14ac:dyDescent="0.25">
      <c r="A95" s="675" t="s">
        <v>843</v>
      </c>
      <c r="B95" s="651" t="s">
        <v>380</v>
      </c>
      <c r="C95" s="651" t="s">
        <v>525</v>
      </c>
      <c r="D95" s="651" t="s">
        <v>180</v>
      </c>
      <c r="E95" s="651" t="s">
        <v>526</v>
      </c>
      <c r="F95" s="651" t="s">
        <v>527</v>
      </c>
      <c r="G95" s="651" t="s">
        <v>528</v>
      </c>
      <c r="H95" s="684" t="s">
        <v>603</v>
      </c>
      <c r="I95" s="684" t="s">
        <v>604</v>
      </c>
      <c r="J95" s="684" t="s">
        <v>701</v>
      </c>
      <c r="K95" s="684" t="s">
        <v>702</v>
      </c>
      <c r="L95" s="651" t="s">
        <v>54</v>
      </c>
      <c r="M95" s="651" t="s">
        <v>53</v>
      </c>
      <c r="N95" s="676">
        <v>96.310928000000004</v>
      </c>
      <c r="O95" s="676">
        <v>25.609179999999999</v>
      </c>
      <c r="P95" s="697"/>
      <c r="Q95" s="840">
        <v>0</v>
      </c>
      <c r="R95" s="841">
        <v>0</v>
      </c>
      <c r="S95" s="679" t="str">
        <f>IF(CampList[[#This Row],[HH]]&gt;0,CampList[[#This Row],[Total]]/CampList[[#This Row],[HH]],"NA")</f>
        <v>NA</v>
      </c>
      <c r="T95" s="653" t="s">
        <v>511</v>
      </c>
      <c r="U95" s="688" t="s">
        <v>1191</v>
      </c>
      <c r="V95" s="653" t="s">
        <v>554</v>
      </c>
      <c r="W95" s="688"/>
      <c r="X95" s="706"/>
      <c r="Y95" s="697"/>
      <c r="Z95" s="707"/>
      <c r="AA95" s="693"/>
      <c r="AB95" s="682"/>
      <c r="AC95" s="710"/>
      <c r="AD95" s="675" t="s">
        <v>601</v>
      </c>
      <c r="AE95" s="708" t="s">
        <v>1007</v>
      </c>
      <c r="AF95" s="476">
        <f>IF(CampList[[#This Row],[Type of Accomodation]]="camp",MAX(0,CampList[[#This Row],[HH]]-SUMIF(Table_Shelter[Pcode],CampList[[#This Row],[CP_Pcode]],Table_Shelter[HH Covered])),0)</f>
        <v>0</v>
      </c>
      <c r="AG95" s="653"/>
      <c r="AH95" s="682">
        <f>MIN(CampList[[#This Row],[Shelter Gap]],CampList[[#This Row],[Land Status]])</f>
        <v>0</v>
      </c>
      <c r="AI95" s="653" t="str">
        <f ca="1">IFERROR(OFFSET(DistanceToCamp[Nearest Town],MATCH(CampList[[#This Row],[CP_Pcode]],DistanceToCamp[CP_Pcode],0)-1,0,1,1),"")</f>
        <v/>
      </c>
      <c r="AJ95" s="686" t="str">
        <f ca="1">IFERROR(OFFSET(DistanceToCamp[distance],MATCH(CampList[[#This Row],[CP_Pcode]],DistanceToCamp[CP_Pcode],0)-1,0,1,1),"")</f>
        <v/>
      </c>
      <c r="AK95" s="687" t="str">
        <f ca="1">IFERROR(INT(CampList[[#This Row],[Distance]]/5)+1,"")</f>
        <v/>
      </c>
      <c r="AL95" s="669"/>
      <c r="AM95" s="669"/>
      <c r="AN95" s="669"/>
      <c r="AO95" s="669"/>
      <c r="AP95" s="669"/>
      <c r="AQ95" s="669"/>
      <c r="AR95" s="669"/>
      <c r="AS95" s="669"/>
      <c r="AT95" s="669"/>
      <c r="AU95" s="669"/>
      <c r="AV95" s="669"/>
    </row>
    <row r="96" spans="1:48" s="444" customFormat="1" ht="15.75" hidden="1" customHeight="1" x14ac:dyDescent="0.25">
      <c r="A96" s="675" t="s">
        <v>843</v>
      </c>
      <c r="B96" s="651" t="s">
        <v>380</v>
      </c>
      <c r="C96" s="651" t="s">
        <v>525</v>
      </c>
      <c r="D96" s="651" t="s">
        <v>180</v>
      </c>
      <c r="E96" s="651" t="s">
        <v>526</v>
      </c>
      <c r="F96" s="651" t="s">
        <v>527</v>
      </c>
      <c r="G96" s="651" t="s">
        <v>528</v>
      </c>
      <c r="H96" s="684" t="s">
        <v>603</v>
      </c>
      <c r="I96" s="684" t="s">
        <v>604</v>
      </c>
      <c r="J96" s="684" t="s">
        <v>701</v>
      </c>
      <c r="K96" s="684" t="s">
        <v>702</v>
      </c>
      <c r="L96" s="651" t="s">
        <v>116</v>
      </c>
      <c r="M96" s="651" t="s">
        <v>115</v>
      </c>
      <c r="N96" s="676"/>
      <c r="O96" s="676"/>
      <c r="P96" s="697"/>
      <c r="Q96" s="840">
        <v>0</v>
      </c>
      <c r="R96" s="841">
        <v>0</v>
      </c>
      <c r="S96" s="679" t="str">
        <f>IF(CampList[[#This Row],[HH]]&gt;0,CampList[[#This Row],[Total]]/CampList[[#This Row],[HH]],"NA")</f>
        <v>NA</v>
      </c>
      <c r="T96" s="653" t="s">
        <v>511</v>
      </c>
      <c r="U96" s="688" t="s">
        <v>1191</v>
      </c>
      <c r="V96" s="653" t="s">
        <v>554</v>
      </c>
      <c r="W96" s="688"/>
      <c r="X96" s="706"/>
      <c r="Y96" s="697"/>
      <c r="Z96" s="707"/>
      <c r="AA96" s="693"/>
      <c r="AB96" s="682"/>
      <c r="AC96" s="710"/>
      <c r="AD96" s="675" t="s">
        <v>601</v>
      </c>
      <c r="AE96" s="708" t="s">
        <v>1007</v>
      </c>
      <c r="AF96" s="476">
        <f>IF(CampList[[#This Row],[Type of Accomodation]]="camp",MAX(0,CampList[[#This Row],[HH]]-SUMIF(Table_Shelter[Pcode],CampList[[#This Row],[CP_Pcode]],Table_Shelter[HH Covered])),0)</f>
        <v>0</v>
      </c>
      <c r="AG96" s="653"/>
      <c r="AH96" s="682">
        <f>MIN(CampList[[#This Row],[Shelter Gap]],CampList[[#This Row],[Land Status]])</f>
        <v>0</v>
      </c>
      <c r="AI96" s="653" t="str">
        <f ca="1">IFERROR(OFFSET(DistanceToCamp[Nearest Town],MATCH(CampList[[#This Row],[CP_Pcode]],DistanceToCamp[CP_Pcode],0)-1,0,1,1),"")</f>
        <v/>
      </c>
      <c r="AJ96" s="686" t="str">
        <f ca="1">IFERROR(OFFSET(DistanceToCamp[distance],MATCH(CampList[[#This Row],[CP_Pcode]],DistanceToCamp[CP_Pcode],0)-1,0,1,1),"")</f>
        <v/>
      </c>
      <c r="AK96" s="687" t="str">
        <f ca="1">IFERROR(INT(CampList[[#This Row],[Distance]]/5)+1,"")</f>
        <v/>
      </c>
      <c r="AL96" s="669"/>
      <c r="AM96" s="669"/>
      <c r="AN96" s="669"/>
      <c r="AO96" s="669"/>
      <c r="AP96" s="669"/>
      <c r="AQ96" s="669"/>
      <c r="AR96" s="669"/>
      <c r="AS96" s="669"/>
      <c r="AT96" s="669"/>
      <c r="AU96" s="669"/>
      <c r="AV96" s="669"/>
    </row>
    <row r="97" spans="1:48" s="444" customFormat="1" ht="15.75" hidden="1" customHeight="1" x14ac:dyDescent="0.25">
      <c r="A97" s="675" t="s">
        <v>843</v>
      </c>
      <c r="B97" s="651" t="s">
        <v>380</v>
      </c>
      <c r="C97" s="651" t="s">
        <v>525</v>
      </c>
      <c r="D97" s="651" t="s">
        <v>180</v>
      </c>
      <c r="E97" s="651" t="s">
        <v>526</v>
      </c>
      <c r="F97" s="651" t="s">
        <v>527</v>
      </c>
      <c r="G97" s="651" t="s">
        <v>528</v>
      </c>
      <c r="H97" s="684" t="s">
        <v>603</v>
      </c>
      <c r="I97" s="684" t="s">
        <v>604</v>
      </c>
      <c r="J97" s="684" t="s">
        <v>701</v>
      </c>
      <c r="K97" s="684" t="s">
        <v>702</v>
      </c>
      <c r="L97" s="651" t="s">
        <v>80</v>
      </c>
      <c r="M97" s="651" t="s">
        <v>79</v>
      </c>
      <c r="N97" s="676"/>
      <c r="O97" s="676"/>
      <c r="P97" s="697"/>
      <c r="Q97" s="840">
        <v>0</v>
      </c>
      <c r="R97" s="841">
        <v>0</v>
      </c>
      <c r="S97" s="679" t="str">
        <f>IF(CampList[[#This Row],[HH]]&gt;0,CampList[[#This Row],[Total]]/CampList[[#This Row],[HH]],"NA")</f>
        <v>NA</v>
      </c>
      <c r="T97" s="653" t="s">
        <v>511</v>
      </c>
      <c r="U97" s="688" t="s">
        <v>1191</v>
      </c>
      <c r="V97" s="653" t="s">
        <v>554</v>
      </c>
      <c r="W97" s="688"/>
      <c r="X97" s="706"/>
      <c r="Y97" s="697"/>
      <c r="Z97" s="707"/>
      <c r="AA97" s="693"/>
      <c r="AB97" s="682"/>
      <c r="AC97" s="710"/>
      <c r="AD97" s="675" t="s">
        <v>601</v>
      </c>
      <c r="AE97" s="708" t="s">
        <v>1007</v>
      </c>
      <c r="AF97" s="476">
        <f>IF(CampList[[#This Row],[Type of Accomodation]]="camp",MAX(0,CampList[[#This Row],[HH]]-SUMIF(Table_Shelter[Pcode],CampList[[#This Row],[CP_Pcode]],Table_Shelter[HH Covered])),0)</f>
        <v>0</v>
      </c>
      <c r="AG97" s="653"/>
      <c r="AH97" s="682">
        <f>MIN(CampList[[#This Row],[Shelter Gap]],CampList[[#This Row],[Land Status]])</f>
        <v>0</v>
      </c>
      <c r="AI97" s="653" t="str">
        <f ca="1">IFERROR(OFFSET(DistanceToCamp[Nearest Town],MATCH(CampList[[#This Row],[CP_Pcode]],DistanceToCamp[CP_Pcode],0)-1,0,1,1),"")</f>
        <v/>
      </c>
      <c r="AJ97" s="686" t="str">
        <f ca="1">IFERROR(OFFSET(DistanceToCamp[distance],MATCH(CampList[[#This Row],[CP_Pcode]],DistanceToCamp[CP_Pcode],0)-1,0,1,1),"")</f>
        <v/>
      </c>
      <c r="AK97" s="687" t="str">
        <f ca="1">IFERROR(INT(CampList[[#This Row],[Distance]]/5)+1,"")</f>
        <v/>
      </c>
      <c r="AL97" s="669"/>
      <c r="AM97" s="669"/>
      <c r="AN97" s="669"/>
      <c r="AO97" s="669"/>
      <c r="AP97" s="669"/>
      <c r="AQ97" s="669"/>
      <c r="AR97" s="669"/>
      <c r="AS97" s="669"/>
      <c r="AT97" s="669"/>
      <c r="AU97" s="669"/>
      <c r="AV97" s="669"/>
    </row>
    <row r="98" spans="1:48" s="444" customFormat="1" ht="15.75" hidden="1" customHeight="1" x14ac:dyDescent="0.25">
      <c r="A98" s="675" t="s">
        <v>843</v>
      </c>
      <c r="B98" s="651" t="s">
        <v>380</v>
      </c>
      <c r="C98" s="651" t="s">
        <v>525</v>
      </c>
      <c r="D98" s="651" t="s">
        <v>180</v>
      </c>
      <c r="E98" s="651" t="s">
        <v>526</v>
      </c>
      <c r="F98" s="651" t="s">
        <v>527</v>
      </c>
      <c r="G98" s="651" t="s">
        <v>528</v>
      </c>
      <c r="H98" s="684" t="s">
        <v>603</v>
      </c>
      <c r="I98" s="684" t="s">
        <v>604</v>
      </c>
      <c r="J98" s="684" t="s">
        <v>701</v>
      </c>
      <c r="K98" s="684" t="s">
        <v>702</v>
      </c>
      <c r="L98" s="651" t="s">
        <v>138</v>
      </c>
      <c r="M98" s="651" t="s">
        <v>137</v>
      </c>
      <c r="N98" s="676"/>
      <c r="O98" s="676"/>
      <c r="P98" s="697"/>
      <c r="Q98" s="840">
        <v>0</v>
      </c>
      <c r="R98" s="841">
        <v>0</v>
      </c>
      <c r="S98" s="679" t="str">
        <f>IF(CampList[[#This Row],[HH]]&gt;0,CampList[[#This Row],[Total]]/CampList[[#This Row],[HH]],"NA")</f>
        <v>NA</v>
      </c>
      <c r="T98" s="653" t="s">
        <v>511</v>
      </c>
      <c r="U98" s="688" t="s">
        <v>1191</v>
      </c>
      <c r="V98" s="653" t="s">
        <v>554</v>
      </c>
      <c r="W98" s="688"/>
      <c r="X98" s="706"/>
      <c r="Y98" s="697"/>
      <c r="Z98" s="707"/>
      <c r="AA98" s="693"/>
      <c r="AB98" s="682"/>
      <c r="AC98" s="710"/>
      <c r="AD98" s="675" t="s">
        <v>601</v>
      </c>
      <c r="AE98" s="708" t="s">
        <v>1007</v>
      </c>
      <c r="AF98" s="476">
        <f>IF(CampList[[#This Row],[Type of Accomodation]]="camp",MAX(0,CampList[[#This Row],[HH]]-SUMIF(Table_Shelter[Pcode],CampList[[#This Row],[CP_Pcode]],Table_Shelter[HH Covered])),0)</f>
        <v>0</v>
      </c>
      <c r="AG98" s="653"/>
      <c r="AH98" s="682">
        <f>MIN(CampList[[#This Row],[Shelter Gap]],CampList[[#This Row],[Land Status]])</f>
        <v>0</v>
      </c>
      <c r="AI98" s="653" t="str">
        <f ca="1">IFERROR(OFFSET(DistanceToCamp[Nearest Town],MATCH(CampList[[#This Row],[CP_Pcode]],DistanceToCamp[CP_Pcode],0)-1,0,1,1),"")</f>
        <v/>
      </c>
      <c r="AJ98" s="686" t="str">
        <f ca="1">IFERROR(OFFSET(DistanceToCamp[distance],MATCH(CampList[[#This Row],[CP_Pcode]],DistanceToCamp[CP_Pcode],0)-1,0,1,1),"")</f>
        <v/>
      </c>
      <c r="AK98" s="687" t="str">
        <f ca="1">IFERROR(INT(CampList[[#This Row],[Distance]]/5)+1,"")</f>
        <v/>
      </c>
      <c r="AL98" s="669"/>
      <c r="AM98" s="669"/>
      <c r="AN98" s="669"/>
      <c r="AO98" s="669"/>
      <c r="AP98" s="669"/>
      <c r="AQ98" s="669"/>
      <c r="AR98" s="669"/>
      <c r="AS98" s="669"/>
      <c r="AT98" s="669"/>
      <c r="AU98" s="669"/>
      <c r="AV98" s="669"/>
    </row>
    <row r="99" spans="1:48" s="444" customFormat="1" ht="15.75" hidden="1" customHeight="1" x14ac:dyDescent="0.25">
      <c r="A99" s="675" t="s">
        <v>843</v>
      </c>
      <c r="B99" s="651" t="s">
        <v>380</v>
      </c>
      <c r="C99" s="651" t="s">
        <v>525</v>
      </c>
      <c r="D99" s="651" t="s">
        <v>180</v>
      </c>
      <c r="E99" s="651" t="s">
        <v>526</v>
      </c>
      <c r="F99" s="651" t="s">
        <v>527</v>
      </c>
      <c r="G99" s="651" t="s">
        <v>528</v>
      </c>
      <c r="H99" s="684" t="s">
        <v>603</v>
      </c>
      <c r="I99" s="684" t="s">
        <v>604</v>
      </c>
      <c r="J99" s="684" t="s">
        <v>701</v>
      </c>
      <c r="K99" s="684" t="s">
        <v>702</v>
      </c>
      <c r="L99" s="651" t="s">
        <v>102</v>
      </c>
      <c r="M99" s="651" t="s">
        <v>101</v>
      </c>
      <c r="N99" s="676"/>
      <c r="O99" s="676"/>
      <c r="P99" s="697"/>
      <c r="Q99" s="840">
        <v>0</v>
      </c>
      <c r="R99" s="841">
        <v>0</v>
      </c>
      <c r="S99" s="679" t="str">
        <f>IF(CampList[[#This Row],[HH]]&gt;0,CampList[[#This Row],[Total]]/CampList[[#This Row],[HH]],"NA")</f>
        <v>NA</v>
      </c>
      <c r="T99" s="653" t="s">
        <v>511</v>
      </c>
      <c r="U99" s="688" t="s">
        <v>1191</v>
      </c>
      <c r="V99" s="653" t="s">
        <v>554</v>
      </c>
      <c r="W99" s="688"/>
      <c r="X99" s="706"/>
      <c r="Y99" s="697"/>
      <c r="Z99" s="707"/>
      <c r="AA99" s="693"/>
      <c r="AB99" s="682"/>
      <c r="AC99" s="710"/>
      <c r="AD99" s="675" t="s">
        <v>601</v>
      </c>
      <c r="AE99" s="708" t="s">
        <v>1007</v>
      </c>
      <c r="AF99" s="476">
        <f>IF(CampList[[#This Row],[Type of Accomodation]]="camp",MAX(0,CampList[[#This Row],[HH]]-SUMIF(Table_Shelter[Pcode],CampList[[#This Row],[CP_Pcode]],Table_Shelter[HH Covered])),0)</f>
        <v>0</v>
      </c>
      <c r="AG99" s="653"/>
      <c r="AH99" s="682">
        <f>MIN(CampList[[#This Row],[Shelter Gap]],CampList[[#This Row],[Land Status]])</f>
        <v>0</v>
      </c>
      <c r="AI99" s="653" t="str">
        <f ca="1">IFERROR(OFFSET(DistanceToCamp[Nearest Town],MATCH(CampList[[#This Row],[CP_Pcode]],DistanceToCamp[CP_Pcode],0)-1,0,1,1),"")</f>
        <v/>
      </c>
      <c r="AJ99" s="686" t="str">
        <f ca="1">IFERROR(OFFSET(DistanceToCamp[distance],MATCH(CampList[[#This Row],[CP_Pcode]],DistanceToCamp[CP_Pcode],0)-1,0,1,1),"")</f>
        <v/>
      </c>
      <c r="AK99" s="687" t="str">
        <f ca="1">IFERROR(INT(CampList[[#This Row],[Distance]]/5)+1,"")</f>
        <v/>
      </c>
      <c r="AL99" s="669"/>
      <c r="AM99" s="669"/>
      <c r="AN99" s="669"/>
      <c r="AO99" s="669"/>
      <c r="AP99" s="669"/>
      <c r="AQ99" s="669"/>
      <c r="AR99" s="669"/>
      <c r="AS99" s="669"/>
      <c r="AT99" s="669"/>
      <c r="AU99" s="669"/>
      <c r="AV99" s="669"/>
    </row>
    <row r="100" spans="1:48" s="444" customFormat="1" ht="15.75" hidden="1" customHeight="1" x14ac:dyDescent="0.25">
      <c r="A100" s="675" t="s">
        <v>843</v>
      </c>
      <c r="B100" s="651" t="s">
        <v>380</v>
      </c>
      <c r="C100" s="651" t="s">
        <v>525</v>
      </c>
      <c r="D100" s="651" t="s">
        <v>180</v>
      </c>
      <c r="E100" s="651" t="s">
        <v>526</v>
      </c>
      <c r="F100" s="651" t="s">
        <v>527</v>
      </c>
      <c r="G100" s="651" t="s">
        <v>528</v>
      </c>
      <c r="H100" s="684" t="s">
        <v>603</v>
      </c>
      <c r="I100" s="684" t="s">
        <v>604</v>
      </c>
      <c r="J100" s="684" t="s">
        <v>701</v>
      </c>
      <c r="K100" s="684" t="s">
        <v>702</v>
      </c>
      <c r="L100" s="651" t="s">
        <v>106</v>
      </c>
      <c r="M100" s="651" t="s">
        <v>105</v>
      </c>
      <c r="N100" s="676"/>
      <c r="O100" s="676"/>
      <c r="P100" s="697"/>
      <c r="Q100" s="840">
        <v>0</v>
      </c>
      <c r="R100" s="841">
        <v>0</v>
      </c>
      <c r="S100" s="679" t="str">
        <f>IF(CampList[[#This Row],[HH]]&gt;0,CampList[[#This Row],[Total]]/CampList[[#This Row],[HH]],"NA")</f>
        <v>NA</v>
      </c>
      <c r="T100" s="653" t="s">
        <v>511</v>
      </c>
      <c r="U100" s="688" t="s">
        <v>1191</v>
      </c>
      <c r="V100" s="653" t="s">
        <v>554</v>
      </c>
      <c r="W100" s="688"/>
      <c r="X100" s="706"/>
      <c r="Y100" s="697"/>
      <c r="Z100" s="707"/>
      <c r="AA100" s="693"/>
      <c r="AB100" s="682"/>
      <c r="AC100" s="710"/>
      <c r="AD100" s="675" t="s">
        <v>601</v>
      </c>
      <c r="AE100" s="708" t="s">
        <v>1007</v>
      </c>
      <c r="AF100" s="476">
        <f>IF(CampList[[#This Row],[Type of Accomodation]]="camp",MAX(0,CampList[[#This Row],[HH]]-SUMIF(Table_Shelter[Pcode],CampList[[#This Row],[CP_Pcode]],Table_Shelter[HH Covered])),0)</f>
        <v>0</v>
      </c>
      <c r="AG100" s="653"/>
      <c r="AH100" s="682">
        <f>MIN(CampList[[#This Row],[Shelter Gap]],CampList[[#This Row],[Land Status]])</f>
        <v>0</v>
      </c>
      <c r="AI100" s="653" t="str">
        <f ca="1">IFERROR(OFFSET(DistanceToCamp[Nearest Town],MATCH(CampList[[#This Row],[CP_Pcode]],DistanceToCamp[CP_Pcode],0)-1,0,1,1),"")</f>
        <v/>
      </c>
      <c r="AJ100" s="686" t="str">
        <f ca="1">IFERROR(OFFSET(DistanceToCamp[distance],MATCH(CampList[[#This Row],[CP_Pcode]],DistanceToCamp[CP_Pcode],0)-1,0,1,1),"")</f>
        <v/>
      </c>
      <c r="AK100" s="687" t="str">
        <f ca="1">IFERROR(INT(CampList[[#This Row],[Distance]]/5)+1,"")</f>
        <v/>
      </c>
      <c r="AL100" s="669"/>
      <c r="AM100" s="669"/>
      <c r="AN100" s="669"/>
      <c r="AO100" s="669"/>
      <c r="AP100" s="669"/>
      <c r="AQ100" s="669"/>
      <c r="AR100" s="669"/>
      <c r="AS100" s="669"/>
      <c r="AT100" s="669"/>
      <c r="AU100" s="669"/>
      <c r="AV100" s="669"/>
    </row>
    <row r="101" spans="1:48" s="444" customFormat="1" ht="15.75" hidden="1" customHeight="1" x14ac:dyDescent="0.25">
      <c r="A101" s="675" t="s">
        <v>843</v>
      </c>
      <c r="B101" s="651" t="s">
        <v>380</v>
      </c>
      <c r="C101" s="651" t="s">
        <v>525</v>
      </c>
      <c r="D101" s="651" t="s">
        <v>180</v>
      </c>
      <c r="E101" s="651" t="s">
        <v>526</v>
      </c>
      <c r="F101" s="651" t="s">
        <v>527</v>
      </c>
      <c r="G101" s="651" t="s">
        <v>528</v>
      </c>
      <c r="H101" s="684" t="s">
        <v>603</v>
      </c>
      <c r="I101" s="684" t="s">
        <v>604</v>
      </c>
      <c r="J101" s="684" t="s">
        <v>701</v>
      </c>
      <c r="K101" s="684" t="s">
        <v>702</v>
      </c>
      <c r="L101" s="651" t="s">
        <v>130</v>
      </c>
      <c r="M101" s="651" t="s">
        <v>129</v>
      </c>
      <c r="N101" s="676"/>
      <c r="O101" s="676"/>
      <c r="P101" s="697"/>
      <c r="Q101" s="840">
        <v>0</v>
      </c>
      <c r="R101" s="841">
        <v>0</v>
      </c>
      <c r="S101" s="679" t="str">
        <f>IF(CampList[[#This Row],[HH]]&gt;0,CampList[[#This Row],[Total]]/CampList[[#This Row],[HH]],"NA")</f>
        <v>NA</v>
      </c>
      <c r="T101" s="653" t="s">
        <v>511</v>
      </c>
      <c r="U101" s="688" t="s">
        <v>1191</v>
      </c>
      <c r="V101" s="653" t="s">
        <v>554</v>
      </c>
      <c r="W101" s="688"/>
      <c r="X101" s="706"/>
      <c r="Y101" s="697"/>
      <c r="Z101" s="707"/>
      <c r="AA101" s="693"/>
      <c r="AB101" s="682"/>
      <c r="AC101" s="710"/>
      <c r="AD101" s="675" t="s">
        <v>601</v>
      </c>
      <c r="AE101" s="708" t="s">
        <v>1007</v>
      </c>
      <c r="AF101" s="476">
        <f>IF(CampList[[#This Row],[Type of Accomodation]]="camp",MAX(0,CampList[[#This Row],[HH]]-SUMIF(Table_Shelter[Pcode],CampList[[#This Row],[CP_Pcode]],Table_Shelter[HH Covered])),0)</f>
        <v>0</v>
      </c>
      <c r="AG101" s="653"/>
      <c r="AH101" s="682">
        <f>MIN(CampList[[#This Row],[Shelter Gap]],CampList[[#This Row],[Land Status]])</f>
        <v>0</v>
      </c>
      <c r="AI101" s="653" t="str">
        <f ca="1">IFERROR(OFFSET(DistanceToCamp[Nearest Town],MATCH(CampList[[#This Row],[CP_Pcode]],DistanceToCamp[CP_Pcode],0)-1,0,1,1),"")</f>
        <v/>
      </c>
      <c r="AJ101" s="686" t="str">
        <f ca="1">IFERROR(OFFSET(DistanceToCamp[distance],MATCH(CampList[[#This Row],[CP_Pcode]],DistanceToCamp[CP_Pcode],0)-1,0,1,1),"")</f>
        <v/>
      </c>
      <c r="AK101" s="687" t="str">
        <f ca="1">IFERROR(INT(CampList[[#This Row],[Distance]]/5)+1,"")</f>
        <v/>
      </c>
      <c r="AL101" s="669"/>
      <c r="AM101" s="669"/>
      <c r="AN101" s="669"/>
      <c r="AO101" s="669"/>
      <c r="AP101" s="669"/>
      <c r="AQ101" s="669"/>
      <c r="AR101" s="669"/>
      <c r="AS101" s="669"/>
      <c r="AT101" s="669"/>
      <c r="AU101" s="669"/>
      <c r="AV101" s="669"/>
    </row>
    <row r="102" spans="1:48" s="444" customFormat="1" ht="15.75" hidden="1" customHeight="1" x14ac:dyDescent="0.25">
      <c r="A102" s="675" t="s">
        <v>843</v>
      </c>
      <c r="B102" s="651" t="s">
        <v>380</v>
      </c>
      <c r="C102" s="651" t="s">
        <v>525</v>
      </c>
      <c r="D102" s="651" t="s">
        <v>180</v>
      </c>
      <c r="E102" s="651" t="s">
        <v>526</v>
      </c>
      <c r="F102" s="651" t="s">
        <v>527</v>
      </c>
      <c r="G102" s="651" t="s">
        <v>528</v>
      </c>
      <c r="H102" s="684" t="s">
        <v>603</v>
      </c>
      <c r="I102" s="684" t="s">
        <v>604</v>
      </c>
      <c r="J102" s="684" t="s">
        <v>703</v>
      </c>
      <c r="K102" s="684" t="s">
        <v>704</v>
      </c>
      <c r="L102" s="651" t="s">
        <v>134</v>
      </c>
      <c r="M102" s="651" t="s">
        <v>133</v>
      </c>
      <c r="N102" s="676"/>
      <c r="O102" s="676"/>
      <c r="P102" s="697"/>
      <c r="Q102" s="840">
        <v>0</v>
      </c>
      <c r="R102" s="841">
        <v>0</v>
      </c>
      <c r="S102" s="679" t="str">
        <f>IF(CampList[[#This Row],[HH]]&gt;0,CampList[[#This Row],[Total]]/CampList[[#This Row],[HH]],"NA")</f>
        <v>NA</v>
      </c>
      <c r="T102" s="653" t="s">
        <v>511</v>
      </c>
      <c r="U102" s="688" t="s">
        <v>1191</v>
      </c>
      <c r="V102" s="653" t="s">
        <v>554</v>
      </c>
      <c r="W102" s="688"/>
      <c r="X102" s="706"/>
      <c r="Y102" s="697"/>
      <c r="Z102" s="707"/>
      <c r="AA102" s="693"/>
      <c r="AB102" s="682"/>
      <c r="AC102" s="710"/>
      <c r="AD102" s="675" t="s">
        <v>601</v>
      </c>
      <c r="AE102" s="708" t="s">
        <v>1007</v>
      </c>
      <c r="AF102" s="476">
        <f>IF(CampList[[#This Row],[Type of Accomodation]]="camp",MAX(0,CampList[[#This Row],[HH]]-SUMIF(Table_Shelter[Pcode],CampList[[#This Row],[CP_Pcode]],Table_Shelter[HH Covered])),0)</f>
        <v>0</v>
      </c>
      <c r="AG102" s="653"/>
      <c r="AH102" s="682">
        <f>MIN(CampList[[#This Row],[Shelter Gap]],CampList[[#This Row],[Land Status]])</f>
        <v>0</v>
      </c>
      <c r="AI102" s="653" t="str">
        <f ca="1">IFERROR(OFFSET(DistanceToCamp[Nearest Town],MATCH(CampList[[#This Row],[CP_Pcode]],DistanceToCamp[CP_Pcode],0)-1,0,1,1),"")</f>
        <v/>
      </c>
      <c r="AJ102" s="686" t="str">
        <f ca="1">IFERROR(OFFSET(DistanceToCamp[distance],MATCH(CampList[[#This Row],[CP_Pcode]],DistanceToCamp[CP_Pcode],0)-1,0,1,1),"")</f>
        <v/>
      </c>
      <c r="AK102" s="687" t="str">
        <f ca="1">IFERROR(INT(CampList[[#This Row],[Distance]]/5)+1,"")</f>
        <v/>
      </c>
      <c r="AL102" s="669"/>
      <c r="AM102" s="669"/>
      <c r="AN102" s="669"/>
      <c r="AO102" s="669"/>
      <c r="AP102" s="669"/>
      <c r="AQ102" s="669"/>
      <c r="AR102" s="669"/>
      <c r="AS102" s="669"/>
      <c r="AT102" s="669"/>
      <c r="AU102" s="669"/>
      <c r="AV102" s="669"/>
    </row>
    <row r="103" spans="1:48" s="444" customFormat="1" ht="15.75" hidden="1" customHeight="1" x14ac:dyDescent="0.25">
      <c r="A103" s="675" t="s">
        <v>843</v>
      </c>
      <c r="B103" s="651" t="s">
        <v>380</v>
      </c>
      <c r="C103" s="651" t="s">
        <v>525</v>
      </c>
      <c r="D103" s="651" t="s">
        <v>180</v>
      </c>
      <c r="E103" s="651" t="s">
        <v>526</v>
      </c>
      <c r="F103" s="651" t="s">
        <v>527</v>
      </c>
      <c r="G103" s="651" t="s">
        <v>528</v>
      </c>
      <c r="H103" s="684" t="s">
        <v>603</v>
      </c>
      <c r="I103" s="684" t="s">
        <v>604</v>
      </c>
      <c r="J103" s="684" t="s">
        <v>703</v>
      </c>
      <c r="K103" s="684" t="s">
        <v>704</v>
      </c>
      <c r="L103" s="651" t="s">
        <v>114</v>
      </c>
      <c r="M103" s="651" t="s">
        <v>113</v>
      </c>
      <c r="N103" s="676"/>
      <c r="O103" s="676"/>
      <c r="P103" s="698"/>
      <c r="Q103" s="840">
        <v>0</v>
      </c>
      <c r="R103" s="841">
        <v>0</v>
      </c>
      <c r="S103" s="679" t="str">
        <f>IF(CampList[[#This Row],[HH]]&gt;0,CampList[[#This Row],[Total]]/CampList[[#This Row],[HH]],"NA")</f>
        <v>NA</v>
      </c>
      <c r="T103" s="653" t="s">
        <v>511</v>
      </c>
      <c r="U103" s="688" t="s">
        <v>1191</v>
      </c>
      <c r="V103" s="653" t="s">
        <v>554</v>
      </c>
      <c r="W103" s="688"/>
      <c r="X103" s="706"/>
      <c r="Y103" s="697"/>
      <c r="Z103" s="707"/>
      <c r="AA103" s="693"/>
      <c r="AB103" s="682"/>
      <c r="AC103" s="710"/>
      <c r="AD103" s="675" t="s">
        <v>601</v>
      </c>
      <c r="AE103" s="708" t="s">
        <v>1007</v>
      </c>
      <c r="AF103" s="476">
        <f>IF(CampList[[#This Row],[Type of Accomodation]]="camp",MAX(0,CampList[[#This Row],[HH]]-SUMIF(Table_Shelter[Pcode],CampList[[#This Row],[CP_Pcode]],Table_Shelter[HH Covered])),0)</f>
        <v>0</v>
      </c>
      <c r="AG103" s="653"/>
      <c r="AH103" s="682">
        <f>MIN(CampList[[#This Row],[Shelter Gap]],CampList[[#This Row],[Land Status]])</f>
        <v>0</v>
      </c>
      <c r="AI103" s="653" t="str">
        <f ca="1">IFERROR(OFFSET(DistanceToCamp[Nearest Town],MATCH(CampList[[#This Row],[CP_Pcode]],DistanceToCamp[CP_Pcode],0)-1,0,1,1),"")</f>
        <v/>
      </c>
      <c r="AJ103" s="686" t="str">
        <f ca="1">IFERROR(OFFSET(DistanceToCamp[distance],MATCH(CampList[[#This Row],[CP_Pcode]],DistanceToCamp[CP_Pcode],0)-1,0,1,1),"")</f>
        <v/>
      </c>
      <c r="AK103" s="687" t="str">
        <f ca="1">IFERROR(INT(CampList[[#This Row],[Distance]]/5)+1,"")</f>
        <v/>
      </c>
      <c r="AL103" s="669"/>
      <c r="AM103" s="669"/>
      <c r="AN103" s="669"/>
      <c r="AO103" s="669"/>
      <c r="AP103" s="669"/>
      <c r="AQ103" s="669"/>
      <c r="AR103" s="669"/>
      <c r="AS103" s="669"/>
      <c r="AT103" s="669"/>
      <c r="AU103" s="669"/>
      <c r="AV103" s="669"/>
    </row>
    <row r="104" spans="1:48" s="444" customFormat="1" ht="15.75" customHeight="1" x14ac:dyDescent="0.25">
      <c r="A104" s="675" t="s">
        <v>500</v>
      </c>
      <c r="B104" s="651" t="s">
        <v>380</v>
      </c>
      <c r="C104" s="651" t="s">
        <v>525</v>
      </c>
      <c r="D104" s="651" t="s">
        <v>5</v>
      </c>
      <c r="E104" s="651" t="s">
        <v>529</v>
      </c>
      <c r="F104" s="651" t="s">
        <v>151</v>
      </c>
      <c r="G104" s="651" t="s">
        <v>539</v>
      </c>
      <c r="H104" s="651" t="s">
        <v>885</v>
      </c>
      <c r="I104" s="651" t="s">
        <v>1380</v>
      </c>
      <c r="J104" s="651" t="s">
        <v>885</v>
      </c>
      <c r="K104" s="651">
        <v>167301</v>
      </c>
      <c r="L104" s="651" t="s">
        <v>942</v>
      </c>
      <c r="M104" s="651" t="s">
        <v>941</v>
      </c>
      <c r="N104" s="676">
        <v>97.227057000000002</v>
      </c>
      <c r="O104" s="676">
        <v>23.976571</v>
      </c>
      <c r="P104" s="698">
        <v>478</v>
      </c>
      <c r="Q104" s="844">
        <v>167</v>
      </c>
      <c r="R104" s="844">
        <v>730</v>
      </c>
      <c r="S104" s="679">
        <f>IF(CampList[[#This Row],[HH]]&gt;0,CampList[[#This Row],[Total]]/CampList[[#This Row],[HH]],"NA")</f>
        <v>4.3712574850299397</v>
      </c>
      <c r="T104" s="653" t="s">
        <v>511</v>
      </c>
      <c r="U104" s="653" t="s">
        <v>1191</v>
      </c>
      <c r="V104" s="653" t="s">
        <v>554</v>
      </c>
      <c r="W104" s="653" t="s">
        <v>856</v>
      </c>
      <c r="X104" s="680">
        <v>41548</v>
      </c>
      <c r="Y104" s="698">
        <v>2</v>
      </c>
      <c r="Z104" s="680" t="s">
        <v>1089</v>
      </c>
      <c r="AA104" s="682" t="s">
        <v>842</v>
      </c>
      <c r="AB104" s="682"/>
      <c r="AC104" s="683">
        <v>42780</v>
      </c>
      <c r="AD104" s="684" t="s">
        <v>1532</v>
      </c>
      <c r="AE104" s="708" t="s">
        <v>1093</v>
      </c>
      <c r="AF104" s="476">
        <f>IF(CampList[[#This Row],[Type of Accomodation]]="camp",MAX(0,CampList[[#This Row],[HH]]-SUMIF(Table_Shelter[Pcode],CampList[[#This Row],[CP_Pcode]],Table_Shelter[HH Covered])),0)</f>
        <v>117</v>
      </c>
      <c r="AG104" s="653"/>
      <c r="AH104" s="682">
        <f>MIN(CampList[[#This Row],[Shelter Gap]],CampList[[#This Row],[Land Status]])</f>
        <v>117</v>
      </c>
      <c r="AI104" s="653" t="str">
        <f ca="1">IFERROR(OFFSET(DistanceToCamp[Nearest Town],MATCH(CampList[[#This Row],[CP_Pcode]],DistanceToCamp[CP_Pcode],0)-1,0,1,1),"")</f>
        <v>Kamaing Town</v>
      </c>
      <c r="AJ104" s="686">
        <f ca="1">IFERROR(OFFSET(DistanceToCamp[distance],MATCH(CampList[[#This Row],[CP_Pcode]],DistanceToCamp[CP_Pcode],0)-1,0,1,1),"")</f>
        <v>12.257552920582597</v>
      </c>
      <c r="AK104" s="687">
        <f ca="1">IFERROR(INT(CampList[[#This Row],[Distance]]/5)+1,"")</f>
        <v>3</v>
      </c>
      <c r="AL104" s="669"/>
      <c r="AM104" s="669"/>
      <c r="AN104" s="669"/>
      <c r="AO104" s="669"/>
      <c r="AP104" s="669"/>
      <c r="AQ104" s="669"/>
      <c r="AR104" s="669"/>
      <c r="AS104" s="669"/>
      <c r="AT104" s="669"/>
      <c r="AU104" s="669"/>
      <c r="AV104" s="669"/>
    </row>
    <row r="105" spans="1:48" s="444" customFormat="1" ht="15.75" hidden="1" customHeight="1" x14ac:dyDescent="0.25">
      <c r="A105" s="675" t="s">
        <v>843</v>
      </c>
      <c r="B105" s="651" t="s">
        <v>380</v>
      </c>
      <c r="C105" s="651" t="s">
        <v>525</v>
      </c>
      <c r="D105" s="651" t="s">
        <v>180</v>
      </c>
      <c r="E105" s="651" t="s">
        <v>526</v>
      </c>
      <c r="F105" s="651" t="s">
        <v>527</v>
      </c>
      <c r="G105" s="651" t="s">
        <v>528</v>
      </c>
      <c r="H105" s="651"/>
      <c r="I105" s="651"/>
      <c r="J105" s="651"/>
      <c r="K105" s="651"/>
      <c r="L105" s="651" t="s">
        <v>96</v>
      </c>
      <c r="M105" s="651" t="s">
        <v>95</v>
      </c>
      <c r="N105" s="676"/>
      <c r="O105" s="676"/>
      <c r="P105" s="698"/>
      <c r="Q105" s="840">
        <v>0</v>
      </c>
      <c r="R105" s="841">
        <v>0</v>
      </c>
      <c r="S105" s="679" t="str">
        <f>IF(CampList[[#This Row],[HH]]&gt;0,CampList[[#This Row],[Total]]/CampList[[#This Row],[HH]],"NA")</f>
        <v>NA</v>
      </c>
      <c r="T105" s="653" t="s">
        <v>511</v>
      </c>
      <c r="U105" s="688" t="s">
        <v>1191</v>
      </c>
      <c r="V105" s="653" t="s">
        <v>554</v>
      </c>
      <c r="W105" s="688"/>
      <c r="X105" s="706"/>
      <c r="Y105" s="697"/>
      <c r="Z105" s="707"/>
      <c r="AA105" s="711"/>
      <c r="AB105" s="682"/>
      <c r="AC105" s="710"/>
      <c r="AD105" s="675" t="s">
        <v>601</v>
      </c>
      <c r="AE105" s="708" t="s">
        <v>1007</v>
      </c>
      <c r="AF105" s="476">
        <f>IF(CampList[[#This Row],[Type of Accomodation]]="camp",MAX(0,CampList[[#This Row],[HH]]-SUMIF(Table_Shelter[Pcode],CampList[[#This Row],[CP_Pcode]],Table_Shelter[HH Covered])),0)</f>
        <v>0</v>
      </c>
      <c r="AG105" s="653"/>
      <c r="AH105" s="682">
        <f>MIN(CampList[[#This Row],[Shelter Gap]],CampList[[#This Row],[Land Status]])</f>
        <v>0</v>
      </c>
      <c r="AI105" s="653" t="str">
        <f ca="1">IFERROR(OFFSET(DistanceToCamp[Nearest Town],MATCH(CampList[[#This Row],[CP_Pcode]],DistanceToCamp[CP_Pcode],0)-1,0,1,1),"")</f>
        <v/>
      </c>
      <c r="AJ105" s="686" t="str">
        <f ca="1">IFERROR(OFFSET(DistanceToCamp[distance],MATCH(CampList[[#This Row],[CP_Pcode]],DistanceToCamp[CP_Pcode],0)-1,0,1,1),"")</f>
        <v/>
      </c>
      <c r="AK105" s="687" t="str">
        <f ca="1">IFERROR(INT(CampList[[#This Row],[Distance]]/5)+1,"")</f>
        <v/>
      </c>
      <c r="AL105" s="669"/>
      <c r="AM105" s="669"/>
      <c r="AN105" s="669"/>
      <c r="AO105" s="669"/>
      <c r="AP105" s="669"/>
      <c r="AQ105" s="669"/>
      <c r="AR105" s="669"/>
      <c r="AS105" s="669"/>
      <c r="AT105" s="669"/>
      <c r="AU105" s="669"/>
      <c r="AV105" s="669"/>
    </row>
    <row r="106" spans="1:48" s="444" customFormat="1" ht="15.75" customHeight="1" x14ac:dyDescent="0.25">
      <c r="A106" s="675" t="s">
        <v>500</v>
      </c>
      <c r="B106" s="651" t="s">
        <v>380</v>
      </c>
      <c r="C106" s="651" t="s">
        <v>525</v>
      </c>
      <c r="D106" s="651" t="s">
        <v>5</v>
      </c>
      <c r="E106" s="651" t="s">
        <v>529</v>
      </c>
      <c r="F106" s="651" t="s">
        <v>151</v>
      </c>
      <c r="G106" s="651" t="s">
        <v>539</v>
      </c>
      <c r="H106" s="684" t="s">
        <v>660</v>
      </c>
      <c r="I106" s="684" t="s">
        <v>661</v>
      </c>
      <c r="J106" s="684" t="s">
        <v>660</v>
      </c>
      <c r="K106" s="703">
        <v>167405</v>
      </c>
      <c r="L106" s="651" t="s">
        <v>160</v>
      </c>
      <c r="M106" s="651" t="s">
        <v>159</v>
      </c>
      <c r="N106" s="676">
        <v>97.589979999999997</v>
      </c>
      <c r="O106" s="676">
        <v>23.83013</v>
      </c>
      <c r="P106" s="677">
        <v>741</v>
      </c>
      <c r="Q106" s="476">
        <v>107</v>
      </c>
      <c r="R106" s="476">
        <v>539</v>
      </c>
      <c r="S106" s="679">
        <f>IF(CampList[[#This Row],[HH]]&gt;0,CampList[[#This Row],[Total]]/CampList[[#This Row],[HH]],"NA")</f>
        <v>5.037383177570093</v>
      </c>
      <c r="T106" s="653" t="s">
        <v>511</v>
      </c>
      <c r="U106" s="653" t="s">
        <v>1191</v>
      </c>
      <c r="V106" s="653" t="s">
        <v>554</v>
      </c>
      <c r="W106" s="653" t="s">
        <v>856</v>
      </c>
      <c r="X106" s="680">
        <v>40940</v>
      </c>
      <c r="Y106" s="681">
        <v>2</v>
      </c>
      <c r="Z106" s="680" t="s">
        <v>460</v>
      </c>
      <c r="AA106" s="693" t="s">
        <v>842</v>
      </c>
      <c r="AB106" s="682"/>
      <c r="AC106" s="683">
        <v>42809</v>
      </c>
      <c r="AD106" s="684" t="s">
        <v>1613</v>
      </c>
      <c r="AE106" s="685" t="s">
        <v>1093</v>
      </c>
      <c r="AF106" s="476">
        <f>IF(CampList[[#This Row],[Type of Accomodation]]="camp",MAX(0,CampList[[#This Row],[HH]]-SUMIF(Table_Shelter[Pcode],CampList[[#This Row],[CP_Pcode]],Table_Shelter[HH Covered])),0)</f>
        <v>33</v>
      </c>
      <c r="AG106" s="653"/>
      <c r="AH106" s="682">
        <f>MIN(CampList[[#This Row],[Shelter Gap]],CampList[[#This Row],[Land Status]])</f>
        <v>33</v>
      </c>
      <c r="AI106" s="653" t="str">
        <f ca="1">IFERROR(OFFSET(DistanceToCamp[Nearest Town],MATCH(CampList[[#This Row],[CP_Pcode]],DistanceToCamp[CP_Pcode],0)-1,0,1,1),"")</f>
        <v>Namhkan Town</v>
      </c>
      <c r="AJ106" s="686">
        <f ca="1">IFERROR(OFFSET(DistanceToCamp[distance],MATCH(CampList[[#This Row],[CP_Pcode]],DistanceToCamp[CP_Pcode],0)-1,0,1,1),"")</f>
        <v>9.3704379947870464</v>
      </c>
      <c r="AK106" s="687">
        <f ca="1">IFERROR(INT(CampList[[#This Row],[Distance]]/5)+1,"")</f>
        <v>2</v>
      </c>
      <c r="AL106" s="669"/>
      <c r="AM106" s="669"/>
      <c r="AN106" s="669"/>
      <c r="AO106" s="669"/>
      <c r="AP106" s="669"/>
      <c r="AQ106" s="669"/>
      <c r="AR106" s="669"/>
      <c r="AS106" s="669"/>
      <c r="AT106" s="669"/>
      <c r="AU106" s="669"/>
      <c r="AV106" s="669"/>
    </row>
    <row r="107" spans="1:48" s="444" customFormat="1" ht="15.75" hidden="1" customHeight="1" x14ac:dyDescent="0.25">
      <c r="A107" s="675" t="s">
        <v>843</v>
      </c>
      <c r="B107" s="651" t="s">
        <v>380</v>
      </c>
      <c r="C107" s="651" t="s">
        <v>525</v>
      </c>
      <c r="D107" s="651" t="s">
        <v>180</v>
      </c>
      <c r="E107" s="651" t="s">
        <v>526</v>
      </c>
      <c r="F107" s="651" t="s">
        <v>527</v>
      </c>
      <c r="G107" s="651" t="s">
        <v>528</v>
      </c>
      <c r="H107" s="651"/>
      <c r="I107" s="651"/>
      <c r="J107" s="651"/>
      <c r="K107" s="651"/>
      <c r="L107" s="651" t="s">
        <v>136</v>
      </c>
      <c r="M107" s="651" t="s">
        <v>135</v>
      </c>
      <c r="N107" s="676">
        <v>96.343350000000001</v>
      </c>
      <c r="O107" s="676">
        <v>25.6447</v>
      </c>
      <c r="P107" s="697"/>
      <c r="Q107" s="840">
        <v>0</v>
      </c>
      <c r="R107" s="841">
        <v>0</v>
      </c>
      <c r="S107" s="679" t="str">
        <f>IF(CampList[[#This Row],[HH]]&gt;0,CampList[[#This Row],[Total]]/CampList[[#This Row],[HH]],"NA")</f>
        <v>NA</v>
      </c>
      <c r="T107" s="653" t="s">
        <v>511</v>
      </c>
      <c r="U107" s="688" t="s">
        <v>1191</v>
      </c>
      <c r="V107" s="653" t="s">
        <v>554</v>
      </c>
      <c r="W107" s="688"/>
      <c r="X107" s="706"/>
      <c r="Y107" s="697"/>
      <c r="Z107" s="707"/>
      <c r="AA107" s="711"/>
      <c r="AB107" s="682"/>
      <c r="AC107" s="710"/>
      <c r="AD107" s="675" t="s">
        <v>601</v>
      </c>
      <c r="AE107" s="708" t="s">
        <v>1007</v>
      </c>
      <c r="AF107" s="476">
        <f>IF(CampList[[#This Row],[Type of Accomodation]]="camp",MAX(0,CampList[[#This Row],[HH]]-SUMIF(Table_Shelter[Pcode],CampList[[#This Row],[CP_Pcode]],Table_Shelter[HH Covered])),0)</f>
        <v>0</v>
      </c>
      <c r="AG107" s="653"/>
      <c r="AH107" s="682">
        <f>MIN(CampList[[#This Row],[Shelter Gap]],CampList[[#This Row],[Land Status]])</f>
        <v>0</v>
      </c>
      <c r="AI107" s="653" t="str">
        <f ca="1">IFERROR(OFFSET(DistanceToCamp[Nearest Town],MATCH(CampList[[#This Row],[CP_Pcode]],DistanceToCamp[CP_Pcode],0)-1,0,1,1),"")</f>
        <v/>
      </c>
      <c r="AJ107" s="686" t="str">
        <f ca="1">IFERROR(OFFSET(DistanceToCamp[distance],MATCH(CampList[[#This Row],[CP_Pcode]],DistanceToCamp[CP_Pcode],0)-1,0,1,1),"")</f>
        <v/>
      </c>
      <c r="AK107" s="687" t="str">
        <f ca="1">IFERROR(INT(CampList[[#This Row],[Distance]]/5)+1,"")</f>
        <v/>
      </c>
      <c r="AL107" s="669"/>
      <c r="AM107" s="669"/>
      <c r="AN107" s="669"/>
      <c r="AO107" s="669"/>
      <c r="AP107" s="669"/>
      <c r="AQ107" s="669"/>
      <c r="AR107" s="669"/>
      <c r="AS107" s="669"/>
      <c r="AT107" s="669"/>
      <c r="AU107" s="669"/>
      <c r="AV107" s="669"/>
    </row>
    <row r="108" spans="1:48" s="444" customFormat="1" ht="15.75" hidden="1" customHeight="1" x14ac:dyDescent="0.25">
      <c r="A108" s="675" t="s">
        <v>843</v>
      </c>
      <c r="B108" s="651" t="s">
        <v>380</v>
      </c>
      <c r="C108" s="651" t="s">
        <v>525</v>
      </c>
      <c r="D108" s="651" t="s">
        <v>180</v>
      </c>
      <c r="E108" s="651" t="s">
        <v>526</v>
      </c>
      <c r="F108" s="651" t="s">
        <v>527</v>
      </c>
      <c r="G108" s="651" t="s">
        <v>528</v>
      </c>
      <c r="H108" s="684" t="s">
        <v>598</v>
      </c>
      <c r="I108" s="684" t="s">
        <v>599</v>
      </c>
      <c r="J108" s="684" t="s">
        <v>708</v>
      </c>
      <c r="K108" s="684">
        <v>166790</v>
      </c>
      <c r="L108" s="651" t="s">
        <v>94</v>
      </c>
      <c r="M108" s="651" t="s">
        <v>93</v>
      </c>
      <c r="N108" s="676"/>
      <c r="O108" s="676"/>
      <c r="P108" s="697"/>
      <c r="Q108" s="840">
        <v>0</v>
      </c>
      <c r="R108" s="841">
        <v>0</v>
      </c>
      <c r="S108" s="679" t="str">
        <f>IF(CampList[[#This Row],[HH]]&gt;0,CampList[[#This Row],[Total]]/CampList[[#This Row],[HH]],"NA")</f>
        <v>NA</v>
      </c>
      <c r="T108" s="653" t="s">
        <v>511</v>
      </c>
      <c r="U108" s="688" t="s">
        <v>1191</v>
      </c>
      <c r="V108" s="653" t="s">
        <v>554</v>
      </c>
      <c r="W108" s="688"/>
      <c r="X108" s="706"/>
      <c r="Y108" s="697"/>
      <c r="Z108" s="707"/>
      <c r="AA108" s="711"/>
      <c r="AB108" s="682"/>
      <c r="AC108" s="710"/>
      <c r="AD108" s="675" t="s">
        <v>601</v>
      </c>
      <c r="AE108" s="708" t="s">
        <v>1007</v>
      </c>
      <c r="AF108" s="476">
        <f>IF(CampList[[#This Row],[Type of Accomodation]]="camp",MAX(0,CampList[[#This Row],[HH]]-SUMIF(Table_Shelter[Pcode],CampList[[#This Row],[CP_Pcode]],Table_Shelter[HH Covered])),0)</f>
        <v>0</v>
      </c>
      <c r="AG108" s="653"/>
      <c r="AH108" s="682">
        <f>MIN(CampList[[#This Row],[Shelter Gap]],CampList[[#This Row],[Land Status]])</f>
        <v>0</v>
      </c>
      <c r="AI108" s="653" t="str">
        <f ca="1">IFERROR(OFFSET(DistanceToCamp[Nearest Town],MATCH(CampList[[#This Row],[CP_Pcode]],DistanceToCamp[CP_Pcode],0)-1,0,1,1),"")</f>
        <v/>
      </c>
      <c r="AJ108" s="686" t="str">
        <f ca="1">IFERROR(OFFSET(DistanceToCamp[distance],MATCH(CampList[[#This Row],[CP_Pcode]],DistanceToCamp[CP_Pcode],0)-1,0,1,1),"")</f>
        <v/>
      </c>
      <c r="AK108" s="687" t="str">
        <f ca="1">IFERROR(INT(CampList[[#This Row],[Distance]]/5)+1,"")</f>
        <v/>
      </c>
      <c r="AL108" s="669"/>
      <c r="AM108" s="669"/>
      <c r="AN108" s="669"/>
      <c r="AO108" s="669"/>
      <c r="AP108" s="669"/>
      <c r="AQ108" s="669"/>
      <c r="AR108" s="669"/>
      <c r="AS108" s="669"/>
      <c r="AT108" s="669"/>
      <c r="AU108" s="669"/>
      <c r="AV108" s="669"/>
    </row>
    <row r="109" spans="1:48" s="444" customFormat="1" ht="15.75" hidden="1" customHeight="1" x14ac:dyDescent="0.25">
      <c r="A109" s="675" t="s">
        <v>843</v>
      </c>
      <c r="B109" s="651" t="s">
        <v>380</v>
      </c>
      <c r="C109" s="651" t="s">
        <v>525</v>
      </c>
      <c r="D109" s="651" t="s">
        <v>180</v>
      </c>
      <c r="E109" s="651" t="s">
        <v>526</v>
      </c>
      <c r="F109" s="651" t="s">
        <v>527</v>
      </c>
      <c r="G109" s="651" t="s">
        <v>528</v>
      </c>
      <c r="H109" s="651"/>
      <c r="I109" s="651"/>
      <c r="J109" s="651"/>
      <c r="K109" s="651"/>
      <c r="L109" s="651" t="s">
        <v>122</v>
      </c>
      <c r="M109" s="651" t="s">
        <v>121</v>
      </c>
      <c r="N109" s="676"/>
      <c r="O109" s="676"/>
      <c r="P109" s="698"/>
      <c r="Q109" s="840">
        <v>0</v>
      </c>
      <c r="R109" s="841">
        <v>0</v>
      </c>
      <c r="S109" s="679" t="str">
        <f>IF(CampList[[#This Row],[HH]]&gt;0,CampList[[#This Row],[Total]]/CampList[[#This Row],[HH]],"NA")</f>
        <v>NA</v>
      </c>
      <c r="T109" s="653" t="s">
        <v>511</v>
      </c>
      <c r="U109" s="688" t="s">
        <v>1191</v>
      </c>
      <c r="V109" s="653" t="s">
        <v>554</v>
      </c>
      <c r="W109" s="688"/>
      <c r="X109" s="706"/>
      <c r="Y109" s="697"/>
      <c r="Z109" s="707"/>
      <c r="AA109" s="711"/>
      <c r="AB109" s="682"/>
      <c r="AC109" s="710"/>
      <c r="AD109" s="675"/>
      <c r="AE109" s="708" t="s">
        <v>1007</v>
      </c>
      <c r="AF109" s="476">
        <f>IF(CampList[[#This Row],[Type of Accomodation]]="camp",MAX(0,CampList[[#This Row],[HH]]-SUMIF(Table_Shelter[Pcode],CampList[[#This Row],[CP_Pcode]],Table_Shelter[HH Covered])),0)</f>
        <v>0</v>
      </c>
      <c r="AG109" s="653"/>
      <c r="AH109" s="682">
        <f>MIN(CampList[[#This Row],[Shelter Gap]],CampList[[#This Row],[Land Status]])</f>
        <v>0</v>
      </c>
      <c r="AI109" s="653" t="str">
        <f ca="1">IFERROR(OFFSET(DistanceToCamp[Nearest Town],MATCH(CampList[[#This Row],[CP_Pcode]],DistanceToCamp[CP_Pcode],0)-1,0,1,1),"")</f>
        <v/>
      </c>
      <c r="AJ109" s="686" t="str">
        <f ca="1">IFERROR(OFFSET(DistanceToCamp[distance],MATCH(CampList[[#This Row],[CP_Pcode]],DistanceToCamp[CP_Pcode],0)-1,0,1,1),"")</f>
        <v/>
      </c>
      <c r="AK109" s="687" t="str">
        <f ca="1">IFERROR(INT(CampList[[#This Row],[Distance]]/5)+1,"")</f>
        <v/>
      </c>
      <c r="AL109" s="669"/>
      <c r="AM109" s="669"/>
      <c r="AN109" s="669"/>
      <c r="AO109" s="669"/>
      <c r="AP109" s="669"/>
      <c r="AQ109" s="669"/>
      <c r="AR109" s="669"/>
      <c r="AS109" s="669"/>
      <c r="AT109" s="669"/>
      <c r="AU109" s="669"/>
      <c r="AV109" s="669"/>
    </row>
    <row r="110" spans="1:48" s="444" customFormat="1" ht="15.75" customHeight="1" x14ac:dyDescent="0.25">
      <c r="A110" s="675" t="s">
        <v>500</v>
      </c>
      <c r="B110" s="651" t="s">
        <v>380</v>
      </c>
      <c r="C110" s="651" t="s">
        <v>525</v>
      </c>
      <c r="D110" s="651" t="s">
        <v>5</v>
      </c>
      <c r="E110" s="651" t="s">
        <v>529</v>
      </c>
      <c r="F110" s="651" t="s">
        <v>151</v>
      </c>
      <c r="G110" s="651" t="s">
        <v>539</v>
      </c>
      <c r="H110" s="651" t="s">
        <v>660</v>
      </c>
      <c r="I110" s="651" t="s">
        <v>661</v>
      </c>
      <c r="J110" s="651" t="s">
        <v>660</v>
      </c>
      <c r="K110" s="651">
        <v>167405</v>
      </c>
      <c r="L110" s="651" t="s">
        <v>1095</v>
      </c>
      <c r="M110" s="651" t="s">
        <v>1096</v>
      </c>
      <c r="N110" s="678">
        <v>97.590767</v>
      </c>
      <c r="O110" s="678">
        <v>23.829599000000002</v>
      </c>
      <c r="P110" s="698"/>
      <c r="Q110" s="476">
        <v>112</v>
      </c>
      <c r="R110" s="476">
        <v>515</v>
      </c>
      <c r="S110" s="679">
        <f>IF(CampList[[#This Row],[HH]]&gt;0,CampList[[#This Row],[Total]]/CampList[[#This Row],[HH]],"NA")</f>
        <v>4.5982142857142856</v>
      </c>
      <c r="T110" s="653" t="s">
        <v>511</v>
      </c>
      <c r="U110" s="653" t="s">
        <v>1191</v>
      </c>
      <c r="V110" s="653" t="s">
        <v>554</v>
      </c>
      <c r="W110" s="653" t="s">
        <v>856</v>
      </c>
      <c r="X110" s="699">
        <v>41730</v>
      </c>
      <c r="Y110" s="698"/>
      <c r="Z110" s="682" t="s">
        <v>460</v>
      </c>
      <c r="AA110" s="682" t="s">
        <v>842</v>
      </c>
      <c r="AB110" s="682"/>
      <c r="AC110" s="683">
        <v>42809</v>
      </c>
      <c r="AD110" s="684" t="s">
        <v>1614</v>
      </c>
      <c r="AE110" s="708" t="s">
        <v>1007</v>
      </c>
      <c r="AF110" s="476">
        <f>IF(CampList[[#This Row],[Type of Accomodation]]="camp",MAX(0,CampList[[#This Row],[HH]]-SUMIF(Table_Shelter[Pcode],CampList[[#This Row],[CP_Pcode]],Table_Shelter[HH Covered])),0)</f>
        <v>112</v>
      </c>
      <c r="AG110" s="653"/>
      <c r="AH110" s="682">
        <f>MIN(CampList[[#This Row],[Shelter Gap]],CampList[[#This Row],[Land Status]])</f>
        <v>112</v>
      </c>
      <c r="AI110" s="653" t="str">
        <f ca="1">IFERROR(OFFSET(DistanceToCamp[Nearest Town],MATCH(CampList[[#This Row],[CP_Pcode]],DistanceToCamp[CP_Pcode],0)-1,0,1,1),"")</f>
        <v>Namhkan Town</v>
      </c>
      <c r="AJ110" s="686">
        <f ca="1">IFERROR(OFFSET(DistanceToCamp[distance],MATCH(CampList[[#This Row],[CP_Pcode]],DistanceToCamp[CP_Pcode],0)-1,0,1,1),"")</f>
        <v>9.2957189123335944</v>
      </c>
      <c r="AK110" s="702">
        <f ca="1">IFERROR(INT(CampList[[#This Row],[Distance]]/5)+1,"")</f>
        <v>2</v>
      </c>
      <c r="AL110" s="669"/>
      <c r="AM110" s="669"/>
      <c r="AN110" s="669"/>
      <c r="AO110" s="669"/>
      <c r="AP110" s="669"/>
      <c r="AQ110" s="669"/>
      <c r="AR110" s="669"/>
      <c r="AS110" s="669"/>
      <c r="AT110" s="669"/>
      <c r="AU110" s="669"/>
      <c r="AV110" s="669"/>
    </row>
    <row r="111" spans="1:48" s="444" customFormat="1" ht="15.75" hidden="1" customHeight="1" x14ac:dyDescent="0.25">
      <c r="A111" s="675" t="s">
        <v>843</v>
      </c>
      <c r="B111" s="651" t="s">
        <v>380</v>
      </c>
      <c r="C111" s="651" t="s">
        <v>525</v>
      </c>
      <c r="D111" s="651" t="s">
        <v>180</v>
      </c>
      <c r="E111" s="651" t="s">
        <v>526</v>
      </c>
      <c r="F111" s="651" t="s">
        <v>527</v>
      </c>
      <c r="G111" s="651" t="s">
        <v>528</v>
      </c>
      <c r="H111" s="684" t="s">
        <v>712</v>
      </c>
      <c r="I111" s="684" t="s">
        <v>713</v>
      </c>
      <c r="J111" s="684" t="s">
        <v>712</v>
      </c>
      <c r="K111" s="684">
        <v>166794</v>
      </c>
      <c r="L111" s="651" t="s">
        <v>132</v>
      </c>
      <c r="M111" s="651" t="s">
        <v>131</v>
      </c>
      <c r="N111" s="676"/>
      <c r="O111" s="676"/>
      <c r="P111" s="697"/>
      <c r="Q111" s="840">
        <v>0</v>
      </c>
      <c r="R111" s="841">
        <v>0</v>
      </c>
      <c r="S111" s="679" t="str">
        <f>IF(CampList[[#This Row],[HH]]&gt;0,CampList[[#This Row],[Total]]/CampList[[#This Row],[HH]],"NA")</f>
        <v>NA</v>
      </c>
      <c r="T111" s="653" t="s">
        <v>511</v>
      </c>
      <c r="U111" s="688" t="s">
        <v>1191</v>
      </c>
      <c r="V111" s="653" t="s">
        <v>554</v>
      </c>
      <c r="W111" s="688"/>
      <c r="X111" s="706"/>
      <c r="Y111" s="697"/>
      <c r="Z111" s="707"/>
      <c r="AA111" s="711"/>
      <c r="AB111" s="682"/>
      <c r="AC111" s="710"/>
      <c r="AD111" s="675"/>
      <c r="AE111" s="708" t="s">
        <v>1007</v>
      </c>
      <c r="AF111" s="476">
        <f>IF(CampList[[#This Row],[Type of Accomodation]]="camp",MAX(0,CampList[[#This Row],[HH]]-SUMIF(Table_Shelter[Pcode],CampList[[#This Row],[CP_Pcode]],Table_Shelter[HH Covered])),0)</f>
        <v>0</v>
      </c>
      <c r="AG111" s="653"/>
      <c r="AH111" s="682">
        <f>MIN(CampList[[#This Row],[Shelter Gap]],CampList[[#This Row],[Land Status]])</f>
        <v>0</v>
      </c>
      <c r="AI111" s="653" t="str">
        <f ca="1">IFERROR(OFFSET(DistanceToCamp[Nearest Town],MATCH(CampList[[#This Row],[CP_Pcode]],DistanceToCamp[CP_Pcode],0)-1,0,1,1),"")</f>
        <v/>
      </c>
      <c r="AJ111" s="686" t="str">
        <f ca="1">IFERROR(OFFSET(DistanceToCamp[distance],MATCH(CampList[[#This Row],[CP_Pcode]],DistanceToCamp[CP_Pcode],0)-1,0,1,1),"")</f>
        <v/>
      </c>
      <c r="AK111" s="687" t="str">
        <f ca="1">IFERROR(INT(CampList[[#This Row],[Distance]]/5)+1,"")</f>
        <v/>
      </c>
      <c r="AL111" s="669"/>
      <c r="AM111" s="669"/>
      <c r="AN111" s="669"/>
      <c r="AO111" s="669"/>
      <c r="AP111" s="669"/>
      <c r="AQ111" s="669"/>
      <c r="AR111" s="669"/>
      <c r="AS111" s="669"/>
      <c r="AT111" s="669"/>
      <c r="AU111" s="669"/>
      <c r="AV111" s="669"/>
    </row>
    <row r="112" spans="1:48" s="444" customFormat="1" ht="15.75" customHeight="1" x14ac:dyDescent="0.25">
      <c r="A112" s="695" t="s">
        <v>500</v>
      </c>
      <c r="B112" s="652" t="s">
        <v>380</v>
      </c>
      <c r="C112" s="652" t="s">
        <v>525</v>
      </c>
      <c r="D112" s="652" t="s">
        <v>5</v>
      </c>
      <c r="E112" s="652" t="s">
        <v>529</v>
      </c>
      <c r="F112" s="652" t="s">
        <v>151</v>
      </c>
      <c r="G112" s="652" t="s">
        <v>539</v>
      </c>
      <c r="H112" s="652" t="s">
        <v>660</v>
      </c>
      <c r="I112" s="696" t="s">
        <v>661</v>
      </c>
      <c r="J112" s="684" t="s">
        <v>660</v>
      </c>
      <c r="K112" s="703">
        <v>167405</v>
      </c>
      <c r="L112" s="652" t="s">
        <v>154</v>
      </c>
      <c r="M112" s="652" t="s">
        <v>153</v>
      </c>
      <c r="N112" s="678">
        <v>97.578490000000002</v>
      </c>
      <c r="O112" s="678">
        <v>23.835319999999999</v>
      </c>
      <c r="P112" s="698">
        <v>795</v>
      </c>
      <c r="Q112" s="844">
        <v>480</v>
      </c>
      <c r="R112" s="844">
        <v>2437</v>
      </c>
      <c r="S112" s="679">
        <f>IF(CampList[[#This Row],[HH]]&gt;0,CampList[[#This Row],[Total]]/CampList[[#This Row],[HH]],"NA")</f>
        <v>5.0770833333333334</v>
      </c>
      <c r="T112" s="476" t="s">
        <v>511</v>
      </c>
      <c r="U112" s="653" t="s">
        <v>1191</v>
      </c>
      <c r="V112" s="476" t="s">
        <v>554</v>
      </c>
      <c r="W112" s="476" t="s">
        <v>856</v>
      </c>
      <c r="X112" s="699">
        <v>40848</v>
      </c>
      <c r="Y112" s="698">
        <v>2</v>
      </c>
      <c r="Z112" s="698" t="s">
        <v>1089</v>
      </c>
      <c r="AA112" s="678" t="s">
        <v>842</v>
      </c>
      <c r="AB112" s="678"/>
      <c r="AC112" s="683">
        <v>42780</v>
      </c>
      <c r="AD112" s="700" t="s">
        <v>1531</v>
      </c>
      <c r="AE112" s="685" t="s">
        <v>1093</v>
      </c>
      <c r="AF112" s="701">
        <f>IF(CampList[[#This Row],[Type of Accomodation]]="camp",MAX(0,CampList[[#This Row],[HH]]-SUMIF(Table_Shelter[Pcode],CampList[[#This Row],[CP_Pcode]],Table_Shelter[HH Covered])),0)</f>
        <v>280</v>
      </c>
      <c r="AG112" s="653"/>
      <c r="AH112" s="682">
        <f>MIN(CampList[[#This Row],[Shelter Gap]],CampList[[#This Row],[Land Status]])</f>
        <v>280</v>
      </c>
      <c r="AI112" s="701" t="str">
        <f ca="1">IFERROR(OFFSET(DistanceToCamp[Nearest Town],MATCH(CampList[[#This Row],[CP_Pcode]],DistanceToCamp[CP_Pcode],0)-1,0,1,1),"")</f>
        <v>Namhkan Town</v>
      </c>
      <c r="AJ112" s="686">
        <f ca="1">IFERROR(OFFSET(DistanceToCamp[distance],MATCH(CampList[[#This Row],[CP_Pcode]],DistanceToCamp[CP_Pcode],0)-1,0,1,1),"")</f>
        <v>10.509375400480517</v>
      </c>
      <c r="AK112" s="702">
        <f ca="1">IFERROR(INT(CampList[[#This Row],[Distance]]/5)+1,"")</f>
        <v>3</v>
      </c>
      <c r="AL112" s="669"/>
      <c r="AM112" s="669"/>
      <c r="AN112" s="669"/>
      <c r="AO112" s="669"/>
      <c r="AP112" s="669"/>
      <c r="AQ112" s="669"/>
      <c r="AR112" s="669"/>
      <c r="AS112" s="669"/>
      <c r="AT112" s="669"/>
      <c r="AU112" s="669"/>
      <c r="AV112" s="669"/>
    </row>
    <row r="113" spans="1:48" s="444" customFormat="1" ht="15.75" customHeight="1" x14ac:dyDescent="0.25">
      <c r="A113" s="695" t="s">
        <v>500</v>
      </c>
      <c r="B113" s="652" t="s">
        <v>380</v>
      </c>
      <c r="C113" s="652" t="s">
        <v>525</v>
      </c>
      <c r="D113" s="652" t="s">
        <v>5</v>
      </c>
      <c r="E113" s="652" t="s">
        <v>529</v>
      </c>
      <c r="F113" s="652" t="s">
        <v>151</v>
      </c>
      <c r="G113" s="652" t="s">
        <v>539</v>
      </c>
      <c r="H113" s="652" t="s">
        <v>660</v>
      </c>
      <c r="I113" s="696" t="s">
        <v>661</v>
      </c>
      <c r="J113" s="684" t="s">
        <v>660</v>
      </c>
      <c r="K113" s="703">
        <v>167405</v>
      </c>
      <c r="L113" s="652" t="s">
        <v>1061</v>
      </c>
      <c r="M113" s="652" t="s">
        <v>1062</v>
      </c>
      <c r="N113" s="678">
        <v>97.578367</v>
      </c>
      <c r="O113" s="678">
        <v>23.833477999999999</v>
      </c>
      <c r="P113" s="698">
        <v>925</v>
      </c>
      <c r="Q113" s="844">
        <v>147</v>
      </c>
      <c r="R113" s="844">
        <v>631</v>
      </c>
      <c r="S113" s="679">
        <f>IF(CampList[[#This Row],[HH]]&gt;0,CampList[[#This Row],[Total]]/CampList[[#This Row],[HH]],"NA")</f>
        <v>4.2925170068027212</v>
      </c>
      <c r="T113" s="476" t="s">
        <v>511</v>
      </c>
      <c r="U113" s="653" t="s">
        <v>1191</v>
      </c>
      <c r="V113" s="476" t="s">
        <v>554</v>
      </c>
      <c r="W113" s="476" t="s">
        <v>856</v>
      </c>
      <c r="X113" s="699">
        <v>41791</v>
      </c>
      <c r="Y113" s="698"/>
      <c r="Z113" s="698" t="s">
        <v>1089</v>
      </c>
      <c r="AA113" s="678" t="s">
        <v>842</v>
      </c>
      <c r="AB113" s="678"/>
      <c r="AC113" s="683">
        <v>42780</v>
      </c>
      <c r="AD113" s="700" t="s">
        <v>1533</v>
      </c>
      <c r="AE113" s="685" t="s">
        <v>1093</v>
      </c>
      <c r="AF113" s="701">
        <f>IF(CampList[[#This Row],[Type of Accomodation]]="camp",MAX(0,CampList[[#This Row],[HH]]-SUMIF(Table_Shelter[Pcode],CampList[[#This Row],[CP_Pcode]],Table_Shelter[HH Covered])),0)</f>
        <v>147</v>
      </c>
      <c r="AG113" s="653"/>
      <c r="AH113" s="682">
        <f>MIN(CampList[[#This Row],[Shelter Gap]],CampList[[#This Row],[Land Status]])</f>
        <v>147</v>
      </c>
      <c r="AI113" s="701" t="str">
        <f ca="1">IFERROR(OFFSET(DistanceToCamp[Nearest Town],MATCH(CampList[[#This Row],[CP_Pcode]],DistanceToCamp[CP_Pcode],0)-1,0,1,1),"")</f>
        <v>Namhkan Town</v>
      </c>
      <c r="AJ113" s="686">
        <f ca="1">IFERROR(OFFSET(DistanceToCamp[distance],MATCH(CampList[[#This Row],[CP_Pcode]],DistanceToCamp[CP_Pcode],0)-1,0,1,1),"")</f>
        <v>10.527586947557506</v>
      </c>
      <c r="AK113" s="702">
        <f ca="1">IFERROR(INT(CampList[[#This Row],[Distance]]/5)+1,"")</f>
        <v>3</v>
      </c>
      <c r="AL113" s="669"/>
      <c r="AM113" s="669"/>
      <c r="AN113" s="669"/>
      <c r="AO113" s="669"/>
      <c r="AP113" s="669"/>
      <c r="AQ113" s="669"/>
      <c r="AR113" s="669"/>
      <c r="AS113" s="669"/>
      <c r="AT113" s="669"/>
      <c r="AU113" s="669"/>
      <c r="AV113" s="669"/>
    </row>
    <row r="114" spans="1:48" s="444" customFormat="1" ht="15.75" hidden="1" customHeight="1" x14ac:dyDescent="0.25">
      <c r="A114" s="675" t="s">
        <v>843</v>
      </c>
      <c r="B114" s="651" t="s">
        <v>380</v>
      </c>
      <c r="C114" s="651" t="s">
        <v>525</v>
      </c>
      <c r="D114" s="651" t="s">
        <v>237</v>
      </c>
      <c r="E114" s="651" t="s">
        <v>531</v>
      </c>
      <c r="F114" s="651" t="s">
        <v>310</v>
      </c>
      <c r="G114" s="651" t="s">
        <v>532</v>
      </c>
      <c r="H114" s="684" t="s">
        <v>718</v>
      </c>
      <c r="I114" s="651"/>
      <c r="J114" s="651"/>
      <c r="K114" s="651"/>
      <c r="L114" s="651" t="s">
        <v>358</v>
      </c>
      <c r="M114" s="651" t="s">
        <v>357</v>
      </c>
      <c r="N114" s="676">
        <v>97.837778</v>
      </c>
      <c r="O114" s="676">
        <v>25.273333000000001</v>
      </c>
      <c r="P114" s="697"/>
      <c r="Q114" s="840">
        <v>0</v>
      </c>
      <c r="R114" s="841">
        <v>0</v>
      </c>
      <c r="S114" s="679" t="str">
        <f>IF(CampList[[#This Row],[HH]]&gt;0,CampList[[#This Row],[Total]]/CampList[[#This Row],[HH]],"NA")</f>
        <v>NA</v>
      </c>
      <c r="T114" s="653" t="s">
        <v>513</v>
      </c>
      <c r="U114" s="688" t="s">
        <v>1191</v>
      </c>
      <c r="V114" s="653" t="s">
        <v>554</v>
      </c>
      <c r="W114" s="688"/>
      <c r="X114" s="706"/>
      <c r="Y114" s="697"/>
      <c r="Z114" s="707"/>
      <c r="AA114" s="693"/>
      <c r="AB114" s="682"/>
      <c r="AC114" s="710"/>
      <c r="AD114" s="675"/>
      <c r="AE114" s="708" t="s">
        <v>1007</v>
      </c>
      <c r="AF114" s="476">
        <f>IF(CampList[[#This Row],[Type of Accomodation]]="camp",MAX(0,CampList[[#This Row],[HH]]-SUMIF(Table_Shelter[Pcode],CampList[[#This Row],[CP_Pcode]],Table_Shelter[HH Covered])),0)</f>
        <v>0</v>
      </c>
      <c r="AG114" s="653"/>
      <c r="AH114" s="682">
        <f>MIN(CampList[[#This Row],[Shelter Gap]],CampList[[#This Row],[Land Status]])</f>
        <v>0</v>
      </c>
      <c r="AI114" s="653" t="str">
        <f ca="1">IFERROR(OFFSET(DistanceToCamp[Nearest Town],MATCH(CampList[[#This Row],[CP_Pcode]],DistanceToCamp[CP_Pcode],0)-1,0,1,1),"")</f>
        <v/>
      </c>
      <c r="AJ114" s="686" t="str">
        <f ca="1">IFERROR(OFFSET(DistanceToCamp[distance],MATCH(CampList[[#This Row],[CP_Pcode]],DistanceToCamp[CP_Pcode],0)-1,0,1,1),"")</f>
        <v/>
      </c>
      <c r="AK114" s="687" t="str">
        <f ca="1">IFERROR(INT(CampList[[#This Row],[Distance]]/5)+1,"")</f>
        <v/>
      </c>
      <c r="AL114" s="669"/>
      <c r="AM114" s="669"/>
      <c r="AN114" s="669"/>
      <c r="AO114" s="669"/>
      <c r="AP114" s="669"/>
      <c r="AQ114" s="669"/>
      <c r="AR114" s="669"/>
      <c r="AS114" s="669"/>
      <c r="AT114" s="669"/>
      <c r="AU114" s="669"/>
      <c r="AV114" s="669"/>
    </row>
    <row r="115" spans="1:48" s="444" customFormat="1" ht="15.75" hidden="1" customHeight="1" x14ac:dyDescent="0.25">
      <c r="A115" s="675" t="s">
        <v>843</v>
      </c>
      <c r="B115" s="651" t="s">
        <v>553</v>
      </c>
      <c r="C115" s="651" t="s">
        <v>536</v>
      </c>
      <c r="D115" s="651" t="s">
        <v>230</v>
      </c>
      <c r="E115" s="651" t="s">
        <v>542</v>
      </c>
      <c r="F115" s="651" t="s">
        <v>230</v>
      </c>
      <c r="G115" s="651" t="s">
        <v>543</v>
      </c>
      <c r="H115" s="651" t="s">
        <v>1072</v>
      </c>
      <c r="I115" s="651" t="s">
        <v>1073</v>
      </c>
      <c r="J115" s="651" t="s">
        <v>1074</v>
      </c>
      <c r="K115" s="651"/>
      <c r="L115" s="651" t="s">
        <v>169</v>
      </c>
      <c r="M115" s="651" t="s">
        <v>168</v>
      </c>
      <c r="N115" s="676">
        <v>98.116817999999995</v>
      </c>
      <c r="O115" s="676">
        <v>23.917631</v>
      </c>
      <c r="P115" s="698"/>
      <c r="Q115" s="840"/>
      <c r="R115" s="841"/>
      <c r="S115" s="679" t="str">
        <f>IF(CampList[[#This Row],[HH]]&gt;0,CampList[[#This Row],[Total]]/CampList[[#This Row],[HH]],"NA")</f>
        <v>NA</v>
      </c>
      <c r="T115" s="653" t="s">
        <v>511</v>
      </c>
      <c r="U115" s="653" t="s">
        <v>1191</v>
      </c>
      <c r="V115" s="653" t="s">
        <v>12</v>
      </c>
      <c r="W115" s="653" t="s">
        <v>856</v>
      </c>
      <c r="X115" s="699"/>
      <c r="Y115" s="698"/>
      <c r="Z115" s="682"/>
      <c r="AA115" s="693" t="s">
        <v>842</v>
      </c>
      <c r="AB115" s="682"/>
      <c r="AC115" s="683">
        <v>42831</v>
      </c>
      <c r="AD115" s="675" t="s">
        <v>1653</v>
      </c>
      <c r="AE115" s="708" t="s">
        <v>1079</v>
      </c>
      <c r="AF115" s="476">
        <f>IF(CampList[[#This Row],[Type of Accomodation]]="camp",MAX(0,CampList[[#This Row],[HH]]-SUMIF(Table_Shelter[Pcode],CampList[[#This Row],[CP_Pcode]],Table_Shelter[HH Covered])),0)</f>
        <v>0</v>
      </c>
      <c r="AG115" s="653"/>
      <c r="AH115" s="682">
        <f>MIN(CampList[[#This Row],[Shelter Gap]],CampList[[#This Row],[Land Status]])</f>
        <v>0</v>
      </c>
      <c r="AI115" s="653" t="str">
        <f ca="1">IFERROR(OFFSET(DistanceToCamp[Nearest Town],MATCH(CampList[[#This Row],[CP_Pcode]],DistanceToCamp[CP_Pcode],0)-1,0,1,1),"")</f>
        <v>Pang Hseng (Kyu Koke) Town</v>
      </c>
      <c r="AJ115" s="686">
        <f ca="1">IFERROR(OFFSET(DistanceToCamp[distance],MATCH(CampList[[#This Row],[CP_Pcode]],DistanceToCamp[CP_Pcode],0)-1,0,1,1),"")</f>
        <v>18.405283544772924</v>
      </c>
      <c r="AK115" s="687">
        <f ca="1">IFERROR(INT(CampList[[#This Row],[Distance]]/5)+1,"")</f>
        <v>4</v>
      </c>
      <c r="AL115" s="669"/>
      <c r="AM115" s="669"/>
      <c r="AN115" s="669"/>
      <c r="AO115" s="669"/>
      <c r="AP115" s="669"/>
      <c r="AQ115" s="669"/>
      <c r="AR115" s="669"/>
      <c r="AS115" s="669"/>
      <c r="AT115" s="669"/>
      <c r="AU115" s="669"/>
      <c r="AV115" s="669"/>
    </row>
    <row r="116" spans="1:48" s="444" customFormat="1" ht="15.75" customHeight="1" x14ac:dyDescent="0.25">
      <c r="A116" s="675" t="s">
        <v>500</v>
      </c>
      <c r="B116" s="651" t="s">
        <v>380</v>
      </c>
      <c r="C116" s="651" t="s">
        <v>525</v>
      </c>
      <c r="D116" s="651" t="s">
        <v>5</v>
      </c>
      <c r="E116" s="651" t="s">
        <v>529</v>
      </c>
      <c r="F116" s="651" t="s">
        <v>151</v>
      </c>
      <c r="G116" s="651" t="s">
        <v>539</v>
      </c>
      <c r="H116" s="684" t="s">
        <v>650</v>
      </c>
      <c r="I116" s="684" t="s">
        <v>651</v>
      </c>
      <c r="J116" s="684" t="s">
        <v>652</v>
      </c>
      <c r="K116" s="684" t="s">
        <v>653</v>
      </c>
      <c r="L116" s="651" t="s">
        <v>152</v>
      </c>
      <c r="M116" s="651" t="s">
        <v>150</v>
      </c>
      <c r="N116" s="676">
        <v>97.291820000000001</v>
      </c>
      <c r="O116" s="676">
        <v>24.129059999999999</v>
      </c>
      <c r="P116" s="677">
        <v>0</v>
      </c>
      <c r="Q116" s="476">
        <v>195</v>
      </c>
      <c r="R116" s="476">
        <v>881</v>
      </c>
      <c r="S116" s="679">
        <f>IF(CampList[[#This Row],[HH]]&gt;0,CampList[[#This Row],[Total]]/CampList[[#This Row],[HH]],"NA")</f>
        <v>4.5179487179487179</v>
      </c>
      <c r="T116" s="653" t="s">
        <v>511</v>
      </c>
      <c r="U116" s="653" t="s">
        <v>1191</v>
      </c>
      <c r="V116" s="653" t="s">
        <v>554</v>
      </c>
      <c r="W116" s="653" t="s">
        <v>803</v>
      </c>
      <c r="X116" s="680">
        <v>41579</v>
      </c>
      <c r="Y116" s="681">
        <v>2</v>
      </c>
      <c r="Z116" s="680" t="s">
        <v>460</v>
      </c>
      <c r="AA116" s="693" t="s">
        <v>842</v>
      </c>
      <c r="AB116" s="682"/>
      <c r="AC116" s="683">
        <v>42809</v>
      </c>
      <c r="AD116" s="675" t="s">
        <v>1616</v>
      </c>
      <c r="AE116" s="685" t="s">
        <v>1093</v>
      </c>
      <c r="AF116" s="476">
        <f>IF(CampList[[#This Row],[Type of Accomodation]]="camp",MAX(0,CampList[[#This Row],[HH]]-SUMIF(Table_Shelter[Pcode],CampList[[#This Row],[CP_Pcode]],Table_Shelter[HH Covered])),0)</f>
        <v>90</v>
      </c>
      <c r="AG116" s="653"/>
      <c r="AH116" s="682">
        <f>MIN(CampList[[#This Row],[Shelter Gap]],CampList[[#This Row],[Land Status]])</f>
        <v>90</v>
      </c>
      <c r="AI116" s="653" t="str">
        <f ca="1">IFERROR(OFFSET(DistanceToCamp[Nearest Town],MATCH(CampList[[#This Row],[CP_Pcode]],DistanceToCamp[CP_Pcode],0)-1,0,1,1),"")</f>
        <v>Mansi Town</v>
      </c>
      <c r="AJ116" s="686">
        <f ca="1">IFERROR(OFFSET(DistanceToCamp[distance],MATCH(CampList[[#This Row],[CP_Pcode]],DistanceToCamp[CP_Pcode],0)-1,0,1,1),"")</f>
        <v>1.0576516850656514</v>
      </c>
      <c r="AK116" s="687">
        <f ca="1">IFERROR(INT(CampList[[#This Row],[Distance]]/5)+1,"")</f>
        <v>1</v>
      </c>
      <c r="AL116" s="669"/>
      <c r="AM116" s="669"/>
      <c r="AN116" s="669"/>
      <c r="AO116" s="669"/>
      <c r="AP116" s="669"/>
      <c r="AQ116" s="669"/>
      <c r="AR116" s="669"/>
      <c r="AS116" s="669"/>
      <c r="AT116" s="669"/>
      <c r="AU116" s="669"/>
      <c r="AV116" s="669"/>
    </row>
    <row r="117" spans="1:48" s="444" customFormat="1" ht="15.75" hidden="1" customHeight="1" x14ac:dyDescent="0.25">
      <c r="A117" s="675" t="s">
        <v>843</v>
      </c>
      <c r="B117" s="651" t="s">
        <v>380</v>
      </c>
      <c r="C117" s="651" t="s">
        <v>525</v>
      </c>
      <c r="D117" s="651" t="s">
        <v>237</v>
      </c>
      <c r="E117" s="651" t="s">
        <v>531</v>
      </c>
      <c r="F117" s="651" t="s">
        <v>310</v>
      </c>
      <c r="G117" s="651" t="s">
        <v>532</v>
      </c>
      <c r="H117" s="684" t="s">
        <v>727</v>
      </c>
      <c r="I117" s="684" t="s">
        <v>728</v>
      </c>
      <c r="J117" s="684" t="s">
        <v>727</v>
      </c>
      <c r="K117" s="684">
        <v>165772</v>
      </c>
      <c r="L117" s="651" t="s">
        <v>1248</v>
      </c>
      <c r="M117" s="651" t="s">
        <v>314</v>
      </c>
      <c r="N117" s="676">
        <v>97.551507000000001</v>
      </c>
      <c r="O117" s="676">
        <v>24.747212999999999</v>
      </c>
      <c r="P117" s="692">
        <v>221</v>
      </c>
      <c r="Q117" s="840">
        <v>0</v>
      </c>
      <c r="R117" s="841">
        <v>0</v>
      </c>
      <c r="S117" s="679" t="str">
        <f>IF(CampList[[#This Row],[HH]]&gt;0,CampList[[#This Row],[Total]]/CampList[[#This Row],[HH]],"NA")</f>
        <v>NA</v>
      </c>
      <c r="T117" s="653" t="s">
        <v>513</v>
      </c>
      <c r="U117" s="688" t="s">
        <v>1191</v>
      </c>
      <c r="V117" s="653" t="s">
        <v>554</v>
      </c>
      <c r="W117" s="688" t="s">
        <v>856</v>
      </c>
      <c r="X117" s="689">
        <v>40695</v>
      </c>
      <c r="Y117" s="690">
        <v>3</v>
      </c>
      <c r="Z117" s="689" t="s">
        <v>1090</v>
      </c>
      <c r="AA117" s="693" t="s">
        <v>842</v>
      </c>
      <c r="AB117" s="682"/>
      <c r="AC117" s="683">
        <v>42180</v>
      </c>
      <c r="AD117" s="675" t="s">
        <v>1263</v>
      </c>
      <c r="AE117" s="685" t="s">
        <v>1078</v>
      </c>
      <c r="AF117" s="476">
        <f>IF(CampList[[#This Row],[Type of Accomodation]]="camp",MAX(0,CampList[[#This Row],[HH]]-SUMIF(Table_Shelter[Pcode],CampList[[#This Row],[CP_Pcode]],Table_Shelter[HH Covered])),0)</f>
        <v>0</v>
      </c>
      <c r="AG117" s="653">
        <v>0</v>
      </c>
      <c r="AH117" s="682">
        <f>MIN(CampList[[#This Row],[Shelter Gap]],CampList[[#This Row],[Land Status]])</f>
        <v>0</v>
      </c>
      <c r="AI117" s="653" t="str">
        <f ca="1">IFERROR(OFFSET(DistanceToCamp[Nearest Town],MATCH(CampList[[#This Row],[CP_Pcode]],DistanceToCamp[CP_Pcode],0)-1,0,1,1),"")</f>
        <v>Laiza town</v>
      </c>
      <c r="AJ117" s="686">
        <f ca="1">IFERROR(OFFSET(DistanceToCamp[distance],MATCH(CampList[[#This Row],[CP_Pcode]],DistanceToCamp[CP_Pcode],0)-1,0,1,1),"")</f>
        <v>1.857513522619473</v>
      </c>
      <c r="AK117" s="687">
        <f ca="1">IFERROR(INT(CampList[[#This Row],[Distance]]/5)+1,"")</f>
        <v>1</v>
      </c>
      <c r="AL117" s="669"/>
      <c r="AM117" s="669"/>
      <c r="AN117" s="669"/>
      <c r="AO117" s="669"/>
      <c r="AP117" s="669"/>
      <c r="AQ117" s="669"/>
      <c r="AR117" s="669"/>
      <c r="AS117" s="669"/>
      <c r="AT117" s="669"/>
      <c r="AU117" s="669"/>
      <c r="AV117" s="669"/>
    </row>
    <row r="118" spans="1:48" s="444" customFormat="1" ht="15.75" hidden="1" customHeight="1" x14ac:dyDescent="0.25">
      <c r="A118" s="675" t="s">
        <v>843</v>
      </c>
      <c r="B118" s="651" t="s">
        <v>380</v>
      </c>
      <c r="C118" s="651" t="s">
        <v>525</v>
      </c>
      <c r="D118" s="651" t="s">
        <v>237</v>
      </c>
      <c r="E118" s="651" t="s">
        <v>531</v>
      </c>
      <c r="F118" s="651" t="s">
        <v>310</v>
      </c>
      <c r="G118" s="651" t="s">
        <v>532</v>
      </c>
      <c r="H118" s="684" t="s">
        <v>727</v>
      </c>
      <c r="I118" s="684" t="s">
        <v>728</v>
      </c>
      <c r="J118" s="684" t="s">
        <v>727</v>
      </c>
      <c r="K118" s="684">
        <v>165772</v>
      </c>
      <c r="L118" s="651" t="s">
        <v>332</v>
      </c>
      <c r="M118" s="651" t="s">
        <v>331</v>
      </c>
      <c r="N118" s="676">
        <v>97.550267000000005</v>
      </c>
      <c r="O118" s="676">
        <v>24.747966999999999</v>
      </c>
      <c r="P118" s="697"/>
      <c r="Q118" s="840">
        <v>0</v>
      </c>
      <c r="R118" s="841">
        <v>0</v>
      </c>
      <c r="S118" s="679" t="str">
        <f>IF(CampList[[#This Row],[HH]]&gt;0,CampList[[#This Row],[Total]]/CampList[[#This Row],[HH]],"NA")</f>
        <v>NA</v>
      </c>
      <c r="T118" s="653" t="s">
        <v>511</v>
      </c>
      <c r="U118" s="688" t="s">
        <v>1191</v>
      </c>
      <c r="V118" s="653" t="s">
        <v>554</v>
      </c>
      <c r="W118" s="688"/>
      <c r="X118" s="706"/>
      <c r="Y118" s="697"/>
      <c r="Z118" s="707"/>
      <c r="AA118" s="693"/>
      <c r="AB118" s="682"/>
      <c r="AC118" s="710"/>
      <c r="AD118" s="675" t="s">
        <v>844</v>
      </c>
      <c r="AE118" s="708" t="s">
        <v>1007</v>
      </c>
      <c r="AF118" s="476">
        <f>IF(CampList[[#This Row],[Type of Accomodation]]="camp",MAX(0,CampList[[#This Row],[HH]]-SUMIF(Table_Shelter[Pcode],CampList[[#This Row],[CP_Pcode]],Table_Shelter[HH Covered])),0)</f>
        <v>0</v>
      </c>
      <c r="AG118" s="653"/>
      <c r="AH118" s="682">
        <f>MIN(CampList[[#This Row],[Shelter Gap]],CampList[[#This Row],[Land Status]])</f>
        <v>0</v>
      </c>
      <c r="AI118" s="653" t="str">
        <f ca="1">IFERROR(OFFSET(DistanceToCamp[Nearest Town],MATCH(CampList[[#This Row],[CP_Pcode]],DistanceToCamp[CP_Pcode],0)-1,0,1,1),"")</f>
        <v/>
      </c>
      <c r="AJ118" s="686" t="str">
        <f ca="1">IFERROR(OFFSET(DistanceToCamp[distance],MATCH(CampList[[#This Row],[CP_Pcode]],DistanceToCamp[CP_Pcode],0)-1,0,1,1),"")</f>
        <v/>
      </c>
      <c r="AK118" s="687" t="str">
        <f ca="1">IFERROR(INT(CampList[[#This Row],[Distance]]/5)+1,"")</f>
        <v/>
      </c>
      <c r="AL118" s="669"/>
      <c r="AM118" s="669"/>
      <c r="AN118" s="669"/>
      <c r="AO118" s="669"/>
      <c r="AP118" s="669"/>
      <c r="AQ118" s="669"/>
      <c r="AR118" s="669"/>
      <c r="AS118" s="669"/>
      <c r="AT118" s="669"/>
      <c r="AU118" s="669"/>
      <c r="AV118" s="669"/>
    </row>
    <row r="119" spans="1:48" s="444" customFormat="1" ht="15.75" customHeight="1" x14ac:dyDescent="0.25">
      <c r="A119" s="695" t="s">
        <v>500</v>
      </c>
      <c r="B119" s="652" t="s">
        <v>553</v>
      </c>
      <c r="C119" s="652" t="s">
        <v>536</v>
      </c>
      <c r="D119" s="652" t="s">
        <v>541</v>
      </c>
      <c r="E119" s="652" t="s">
        <v>542</v>
      </c>
      <c r="F119" s="652" t="s">
        <v>166</v>
      </c>
      <c r="G119" s="652" t="s">
        <v>543</v>
      </c>
      <c r="H119" s="652" t="s">
        <v>803</v>
      </c>
      <c r="I119" s="696" t="s">
        <v>1134</v>
      </c>
      <c r="J119" s="652" t="s">
        <v>716</v>
      </c>
      <c r="K119" s="652" t="s">
        <v>1375</v>
      </c>
      <c r="L119" s="652" t="s">
        <v>822</v>
      </c>
      <c r="M119" s="652" t="s">
        <v>823</v>
      </c>
      <c r="N119" s="678">
        <v>97.116680000000002</v>
      </c>
      <c r="O119" s="678">
        <v>23.24661</v>
      </c>
      <c r="P119" s="698">
        <v>87.3</v>
      </c>
      <c r="Q119" s="476">
        <v>29</v>
      </c>
      <c r="R119" s="708">
        <v>178</v>
      </c>
      <c r="S119" s="679">
        <f>IF(CampList[[#This Row],[HH]]&gt;0,CampList[[#This Row],[Total]]/CampList[[#This Row],[HH]],"NA")</f>
        <v>6.1379310344827589</v>
      </c>
      <c r="T119" s="476" t="s">
        <v>511</v>
      </c>
      <c r="U119" s="653" t="s">
        <v>1191</v>
      </c>
      <c r="V119" s="476" t="s">
        <v>554</v>
      </c>
      <c r="W119" s="476" t="s">
        <v>803</v>
      </c>
      <c r="X119" s="699">
        <v>41030</v>
      </c>
      <c r="Y119" s="698"/>
      <c r="Z119" s="698" t="s">
        <v>1262</v>
      </c>
      <c r="AA119" s="678" t="s">
        <v>842</v>
      </c>
      <c r="AB119" s="678"/>
      <c r="AC119" s="683">
        <v>42780</v>
      </c>
      <c r="AD119" s="700" t="s">
        <v>1537</v>
      </c>
      <c r="AE119" s="685" t="s">
        <v>1079</v>
      </c>
      <c r="AF119" s="701">
        <f>IF(CampList[[#This Row],[Type of Accomodation]]="camp",MAX(0,CampList[[#This Row],[HH]]-SUMIF(Table_Shelter[Pcode],CampList[[#This Row],[CP_Pcode]],Table_Shelter[HH Covered])),0)</f>
        <v>0</v>
      </c>
      <c r="AG119" s="476"/>
      <c r="AH119" s="677">
        <f>MIN(CampList[[#This Row],[Shelter Gap]],CampList[[#This Row],[Land Status]])</f>
        <v>0</v>
      </c>
      <c r="AI119" s="701" t="str">
        <f ca="1">IFERROR(OFFSET(DistanceToCamp[Nearest Town],MATCH(CampList[[#This Row],[CP_Pcode]],DistanceToCamp[CP_Pcode],0)-1,0,1,1),"")</f>
        <v>Manton Town</v>
      </c>
      <c r="AJ119" s="686">
        <f ca="1">IFERROR(OFFSET(DistanceToCamp[distance],MATCH(CampList[[#This Row],[CP_Pcode]],DistanceToCamp[CP_Pcode],0)-1,0,1,1),"")</f>
        <v>0.71762888500316424</v>
      </c>
      <c r="AK119" s="702">
        <f ca="1">IFERROR(INT(CampList[[#This Row],[Distance]]/5)+1,"")</f>
        <v>1</v>
      </c>
      <c r="AL119" s="669"/>
      <c r="AM119" s="669"/>
      <c r="AN119" s="669"/>
      <c r="AO119" s="669"/>
      <c r="AP119" s="669"/>
      <c r="AQ119" s="669"/>
      <c r="AR119" s="669"/>
      <c r="AS119" s="669"/>
      <c r="AT119" s="669"/>
      <c r="AU119" s="669"/>
      <c r="AV119" s="669"/>
    </row>
    <row r="120" spans="1:48" s="444" customFormat="1" ht="15.75" customHeight="1" x14ac:dyDescent="0.25">
      <c r="A120" s="675" t="s">
        <v>500</v>
      </c>
      <c r="B120" s="651" t="s">
        <v>553</v>
      </c>
      <c r="C120" s="651" t="s">
        <v>536</v>
      </c>
      <c r="D120" s="651" t="s">
        <v>230</v>
      </c>
      <c r="E120" s="651" t="s">
        <v>537</v>
      </c>
      <c r="F120" s="651" t="s">
        <v>230</v>
      </c>
      <c r="G120" s="651" t="s">
        <v>538</v>
      </c>
      <c r="H120" s="651" t="s">
        <v>774</v>
      </c>
      <c r="I120" s="651" t="s">
        <v>775</v>
      </c>
      <c r="J120" s="651" t="s">
        <v>776</v>
      </c>
      <c r="K120" s="651">
        <v>208156</v>
      </c>
      <c r="L120" s="651" t="s">
        <v>231</v>
      </c>
      <c r="M120" s="651" t="s">
        <v>388</v>
      </c>
      <c r="N120" s="676">
        <v>98.115809999999996</v>
      </c>
      <c r="O120" s="676">
        <v>24.08738</v>
      </c>
      <c r="P120" s="698"/>
      <c r="Q120" s="840">
        <v>32</v>
      </c>
      <c r="R120" s="841">
        <v>187</v>
      </c>
      <c r="S120" s="679">
        <f>IF(CampList[[#This Row],[HH]]&gt;0,CampList[[#This Row],[Total]]/CampList[[#This Row],[HH]],"NA")</f>
        <v>5.84375</v>
      </c>
      <c r="T120" s="653" t="s">
        <v>513</v>
      </c>
      <c r="U120" s="653" t="s">
        <v>1191</v>
      </c>
      <c r="V120" s="653" t="s">
        <v>12</v>
      </c>
      <c r="W120" s="653" t="s">
        <v>856</v>
      </c>
      <c r="X120" s="699"/>
      <c r="Y120" s="698"/>
      <c r="Z120" s="682"/>
      <c r="AA120" s="693" t="s">
        <v>572</v>
      </c>
      <c r="AB120" s="682"/>
      <c r="AC120" s="683">
        <v>41701</v>
      </c>
      <c r="AD120" s="675" t="s">
        <v>1011</v>
      </c>
      <c r="AE120" s="708" t="s">
        <v>1093</v>
      </c>
      <c r="AF120" s="476">
        <f>IF(CampList[[#This Row],[Type of Accomodation]]="camp",MAX(0,CampList[[#This Row],[HH]]-SUMIF(Table_Shelter[Pcode],CampList[[#This Row],[CP_Pcode]],Table_Shelter[HH Covered])),0)</f>
        <v>0</v>
      </c>
      <c r="AG120" s="653"/>
      <c r="AH120" s="682">
        <f>MIN(CampList[[#This Row],[Shelter Gap]],CampList[[#This Row],[Land Status]])</f>
        <v>0</v>
      </c>
      <c r="AI120" s="653" t="str">
        <f ca="1">IFERROR(OFFSET(DistanceToCamp[Nearest Town],MATCH(CampList[[#This Row],[CP_Pcode]],DistanceToCamp[CP_Pcode],0)-1,0,1,1),"")</f>
        <v>Pang Hseng (Kyu Koke) Town</v>
      </c>
      <c r="AJ120" s="686">
        <f ca="1">IFERROR(OFFSET(DistanceToCamp[distance],MATCH(CampList[[#This Row],[CP_Pcode]],DistanceToCamp[CP_Pcode],0)-1,0,1,1),"")</f>
        <v>5.5919136174199959</v>
      </c>
      <c r="AK120" s="687">
        <f ca="1">IFERROR(INT(CampList[[#This Row],[Distance]]/5)+1,"")</f>
        <v>2</v>
      </c>
      <c r="AL120" s="669"/>
      <c r="AM120" s="669"/>
      <c r="AN120" s="669"/>
      <c r="AO120" s="669"/>
      <c r="AP120" s="669"/>
      <c r="AQ120" s="669"/>
      <c r="AR120" s="669"/>
      <c r="AS120" s="669"/>
      <c r="AT120" s="669"/>
      <c r="AU120" s="669"/>
      <c r="AV120" s="669"/>
    </row>
    <row r="121" spans="1:48" s="444" customFormat="1" ht="15.75" hidden="1" customHeight="1" x14ac:dyDescent="0.25">
      <c r="A121" s="725" t="s">
        <v>843</v>
      </c>
      <c r="B121" s="651" t="s">
        <v>553</v>
      </c>
      <c r="C121" s="651" t="s">
        <v>536</v>
      </c>
      <c r="D121" s="651" t="s">
        <v>230</v>
      </c>
      <c r="E121" s="651" t="s">
        <v>537</v>
      </c>
      <c r="F121" s="651" t="s">
        <v>146</v>
      </c>
      <c r="G121" s="651" t="s">
        <v>544</v>
      </c>
      <c r="H121" s="651" t="s">
        <v>929</v>
      </c>
      <c r="I121" s="651"/>
      <c r="J121" s="651" t="s">
        <v>929</v>
      </c>
      <c r="K121" s="651"/>
      <c r="L121" s="651" t="s">
        <v>930</v>
      </c>
      <c r="M121" s="651" t="s">
        <v>931</v>
      </c>
      <c r="N121" s="678"/>
      <c r="O121" s="678"/>
      <c r="P121" s="698"/>
      <c r="Q121" s="840">
        <v>0</v>
      </c>
      <c r="R121" s="841">
        <v>0</v>
      </c>
      <c r="S121" s="679" t="str">
        <f>IF(CampList[[#This Row],[HH]]&gt;0,CampList[[#This Row],[Total]]/CampList[[#This Row],[HH]],"NA")</f>
        <v>NA</v>
      </c>
      <c r="T121" s="653" t="s">
        <v>513</v>
      </c>
      <c r="U121" s="688" t="s">
        <v>1191</v>
      </c>
      <c r="V121" s="653" t="s">
        <v>554</v>
      </c>
      <c r="W121" s="653" t="s">
        <v>856</v>
      </c>
      <c r="X121" s="699"/>
      <c r="Y121" s="698"/>
      <c r="Z121" s="682"/>
      <c r="AA121" s="682" t="s">
        <v>842</v>
      </c>
      <c r="AB121" s="682"/>
      <c r="AC121" s="683">
        <v>41289</v>
      </c>
      <c r="AD121" s="684" t="s">
        <v>935</v>
      </c>
      <c r="AE121" s="708" t="s">
        <v>1007</v>
      </c>
      <c r="AF121" s="476">
        <f>IF(CampList[[#This Row],[Type of Accomodation]]="camp",MAX(0,CampList[[#This Row],[HH]]-SUMIF(Table_Shelter[Pcode],CampList[[#This Row],[CP_Pcode]],Table_Shelter[HH Covered])),0)</f>
        <v>0</v>
      </c>
      <c r="AG121" s="653"/>
      <c r="AH121" s="682">
        <f>MIN(CampList[[#This Row],[Shelter Gap]],CampList[[#This Row],[Land Status]])</f>
        <v>0</v>
      </c>
      <c r="AI121" s="653" t="str">
        <f ca="1">IFERROR(OFFSET(DistanceToCamp[Nearest Town],MATCH(CampList[[#This Row],[CP_Pcode]],DistanceToCamp[CP_Pcode],0)-1,0,1,1),"")</f>
        <v/>
      </c>
      <c r="AJ121" s="686" t="str">
        <f ca="1">IFERROR(OFFSET(DistanceToCamp[distance],MATCH(CampList[[#This Row],[CP_Pcode]],DistanceToCamp[CP_Pcode],0)-1,0,1,1),"")</f>
        <v/>
      </c>
      <c r="AK121" s="687" t="str">
        <f ca="1">IFERROR(INT(CampList[[#This Row],[Distance]]/5)+1,"")</f>
        <v/>
      </c>
      <c r="AL121" s="669"/>
      <c r="AM121" s="669"/>
      <c r="AN121" s="669"/>
      <c r="AO121" s="669"/>
      <c r="AP121" s="669"/>
      <c r="AQ121" s="669"/>
      <c r="AR121" s="669"/>
      <c r="AS121" s="669"/>
      <c r="AT121" s="669"/>
      <c r="AU121" s="669"/>
      <c r="AV121" s="669"/>
    </row>
    <row r="122" spans="1:48" s="444" customFormat="1" ht="15.75" customHeight="1" x14ac:dyDescent="0.25">
      <c r="A122" s="675" t="s">
        <v>500</v>
      </c>
      <c r="B122" s="651" t="s">
        <v>380</v>
      </c>
      <c r="C122" s="651" t="s">
        <v>525</v>
      </c>
      <c r="D122" s="651" t="s">
        <v>180</v>
      </c>
      <c r="E122" s="651" t="s">
        <v>526</v>
      </c>
      <c r="F122" s="651" t="s">
        <v>173</v>
      </c>
      <c r="G122" s="651" t="s">
        <v>545</v>
      </c>
      <c r="H122" s="684" t="s">
        <v>630</v>
      </c>
      <c r="I122" s="684" t="s">
        <v>631</v>
      </c>
      <c r="J122" s="714" t="s">
        <v>1370</v>
      </c>
      <c r="K122" s="714" t="s">
        <v>1371</v>
      </c>
      <c r="L122" s="651" t="s">
        <v>174</v>
      </c>
      <c r="M122" s="651" t="s">
        <v>172</v>
      </c>
      <c r="N122" s="676">
        <v>96.922619999999995</v>
      </c>
      <c r="O122" s="676">
        <v>25.305669999999999</v>
      </c>
      <c r="P122" s="677">
        <v>470</v>
      </c>
      <c r="Q122" s="476">
        <v>13</v>
      </c>
      <c r="R122" s="476">
        <v>66</v>
      </c>
      <c r="S122" s="679">
        <f>IF(CampList[[#This Row],[HH]]&gt;0,CampList[[#This Row],[Total]]/CampList[[#This Row],[HH]],"NA")</f>
        <v>5.0769230769230766</v>
      </c>
      <c r="T122" s="653" t="s">
        <v>511</v>
      </c>
      <c r="U122" s="653" t="s">
        <v>1191</v>
      </c>
      <c r="V122" s="653" t="s">
        <v>554</v>
      </c>
      <c r="W122" s="653" t="s">
        <v>803</v>
      </c>
      <c r="X122" s="680">
        <v>41030</v>
      </c>
      <c r="Y122" s="681">
        <v>1</v>
      </c>
      <c r="Z122" s="680" t="s">
        <v>460</v>
      </c>
      <c r="AA122" s="693" t="s">
        <v>842</v>
      </c>
      <c r="AB122" s="682"/>
      <c r="AC122" s="683">
        <v>42809</v>
      </c>
      <c r="AD122" s="675" t="s">
        <v>1601</v>
      </c>
      <c r="AE122" s="685" t="s">
        <v>1093</v>
      </c>
      <c r="AF122" s="476">
        <f>IF(CampList[[#This Row],[Type of Accomodation]]="camp",MAX(0,CampList[[#This Row],[HH]]-SUMIF(Table_Shelter[Pcode],CampList[[#This Row],[CP_Pcode]],Table_Shelter[HH Covered])),0)</f>
        <v>0</v>
      </c>
      <c r="AG122" s="653"/>
      <c r="AH122" s="682">
        <f>MIN(CampList[[#This Row],[Shelter Gap]],CampList[[#This Row],[Land Status]])</f>
        <v>0</v>
      </c>
      <c r="AI122" s="653" t="str">
        <f ca="1">IFERROR(OFFSET(DistanceToCamp[Nearest Town],MATCH(CampList[[#This Row],[CP_Pcode]],DistanceToCamp[CP_Pcode],0)-1,0,1,1),"")</f>
        <v>Mogaung Town</v>
      </c>
      <c r="AJ122" s="686">
        <f ca="1">IFERROR(OFFSET(DistanceToCamp[distance],MATCH(CampList[[#This Row],[CP_Pcode]],DistanceToCamp[CP_Pcode],0)-1,0,1,1),"")</f>
        <v>1.815139598767344</v>
      </c>
      <c r="AK122" s="687">
        <f ca="1">IFERROR(INT(CampList[[#This Row],[Distance]]/5)+1,"")</f>
        <v>1</v>
      </c>
      <c r="AL122" s="669"/>
      <c r="AM122" s="669"/>
      <c r="AN122" s="669"/>
      <c r="AO122" s="669"/>
      <c r="AP122" s="669"/>
      <c r="AQ122" s="669"/>
      <c r="AR122" s="669"/>
      <c r="AS122" s="669"/>
      <c r="AT122" s="669"/>
      <c r="AU122" s="669"/>
      <c r="AV122" s="669"/>
    </row>
    <row r="123" spans="1:48" s="444" customFormat="1" ht="15.75" customHeight="1" x14ac:dyDescent="0.25">
      <c r="A123" s="695" t="s">
        <v>500</v>
      </c>
      <c r="B123" s="652" t="s">
        <v>380</v>
      </c>
      <c r="C123" s="651" t="s">
        <v>525</v>
      </c>
      <c r="D123" s="651" t="s">
        <v>180</v>
      </c>
      <c r="E123" s="651" t="s">
        <v>526</v>
      </c>
      <c r="F123" s="652" t="s">
        <v>173</v>
      </c>
      <c r="G123" s="652" t="s">
        <v>545</v>
      </c>
      <c r="H123" s="652" t="s">
        <v>632</v>
      </c>
      <c r="I123" s="696" t="s">
        <v>633</v>
      </c>
      <c r="J123" s="652" t="s">
        <v>634</v>
      </c>
      <c r="K123" s="652">
        <v>166676</v>
      </c>
      <c r="L123" s="652" t="s">
        <v>1268</v>
      </c>
      <c r="M123" s="652" t="s">
        <v>1271</v>
      </c>
      <c r="N123" s="678">
        <v>96.942279999999997</v>
      </c>
      <c r="O123" s="678">
        <v>25.299679999999999</v>
      </c>
      <c r="P123" s="698"/>
      <c r="Q123" s="476">
        <v>7</v>
      </c>
      <c r="R123" s="708">
        <v>31</v>
      </c>
      <c r="S123" s="679">
        <f>IF(CampList[[#This Row],[HH]]&gt;0,CampList[[#This Row],[Total]]/CampList[[#This Row],[HH]],"NA")</f>
        <v>4.4285714285714288</v>
      </c>
      <c r="T123" s="476" t="s">
        <v>511</v>
      </c>
      <c r="U123" s="653" t="s">
        <v>1191</v>
      </c>
      <c r="V123" s="476" t="s">
        <v>554</v>
      </c>
      <c r="W123" s="476" t="s">
        <v>803</v>
      </c>
      <c r="X123" s="699">
        <v>42125</v>
      </c>
      <c r="Y123" s="698"/>
      <c r="Z123" s="698" t="s">
        <v>1090</v>
      </c>
      <c r="AA123" s="678" t="s">
        <v>842</v>
      </c>
      <c r="AB123" s="678"/>
      <c r="AC123" s="683">
        <v>42831</v>
      </c>
      <c r="AD123" s="700" t="s">
        <v>1652</v>
      </c>
      <c r="AE123" s="685"/>
      <c r="AF123" s="701">
        <f>IF(CampList[[#This Row],[Type of Accomodation]]="camp",MAX(0,CampList[[#This Row],[HH]]-SUMIF(Table_Shelter[Pcode],CampList[[#This Row],[CP_Pcode]],Table_Shelter[HH Covered])),0)</f>
        <v>7</v>
      </c>
      <c r="AG123" s="476"/>
      <c r="AH123" s="677">
        <f>MIN(CampList[[#This Row],[Shelter Gap]],CampList[[#This Row],[Land Status]])</f>
        <v>7</v>
      </c>
      <c r="AI123" s="653" t="str">
        <f ca="1">IFERROR(OFFSET(DistanceToCamp[Nearest Town],MATCH(CampList[[#This Row],[CP_Pcode]],DistanceToCamp[CP_Pcode],0)-1,0,1,1),"")</f>
        <v>Mogaung Town</v>
      </c>
      <c r="AJ123" s="686">
        <f ca="1">IFERROR(OFFSET(DistanceToCamp[distance],MATCH(CampList[[#This Row],[CP_Pcode]],DistanceToCamp[CP_Pcode],0)-1,0,1,1),"")</f>
        <v>0.75</v>
      </c>
      <c r="AK123" s="687">
        <f ca="1">IFERROR(INT(CampList[[#This Row],[Distance]]/5)+1,"")</f>
        <v>1</v>
      </c>
      <c r="AL123" s="669"/>
      <c r="AM123" s="669"/>
      <c r="AN123" s="669"/>
      <c r="AO123" s="669"/>
      <c r="AP123" s="669"/>
      <c r="AQ123" s="669"/>
      <c r="AR123" s="669"/>
      <c r="AS123" s="669"/>
      <c r="AT123" s="669"/>
      <c r="AU123" s="669"/>
      <c r="AV123" s="669"/>
    </row>
    <row r="124" spans="1:48" s="444" customFormat="1" ht="15.75" customHeight="1" x14ac:dyDescent="0.25">
      <c r="A124" s="675" t="s">
        <v>500</v>
      </c>
      <c r="B124" s="651" t="s">
        <v>380</v>
      </c>
      <c r="C124" s="651" t="s">
        <v>525</v>
      </c>
      <c r="D124" s="651" t="s">
        <v>180</v>
      </c>
      <c r="E124" s="651" t="s">
        <v>526</v>
      </c>
      <c r="F124" s="651" t="s">
        <v>173</v>
      </c>
      <c r="G124" s="651" t="s">
        <v>545</v>
      </c>
      <c r="H124" s="684" t="s">
        <v>632</v>
      </c>
      <c r="I124" s="684" t="s">
        <v>633</v>
      </c>
      <c r="J124" s="684" t="s">
        <v>634</v>
      </c>
      <c r="K124" s="684">
        <v>166676</v>
      </c>
      <c r="L124" s="651" t="s">
        <v>176</v>
      </c>
      <c r="M124" s="651" t="s">
        <v>175</v>
      </c>
      <c r="N124" s="676">
        <v>96.942279999999997</v>
      </c>
      <c r="O124" s="676">
        <v>25.296579999999999</v>
      </c>
      <c r="P124" s="677">
        <v>0</v>
      </c>
      <c r="Q124" s="476">
        <v>15</v>
      </c>
      <c r="R124" s="476">
        <v>71</v>
      </c>
      <c r="S124" s="679">
        <f>IF(CampList[[#This Row],[HH]]&gt;0,CampList[[#This Row],[Total]]/CampList[[#This Row],[HH]],"NA")</f>
        <v>4.7333333333333334</v>
      </c>
      <c r="T124" s="653" t="s">
        <v>511</v>
      </c>
      <c r="U124" s="653" t="s">
        <v>1191</v>
      </c>
      <c r="V124" s="653" t="s">
        <v>554</v>
      </c>
      <c r="W124" s="653" t="s">
        <v>803</v>
      </c>
      <c r="X124" s="680">
        <v>41030</v>
      </c>
      <c r="Y124" s="681">
        <v>1</v>
      </c>
      <c r="Z124" s="680" t="s">
        <v>460</v>
      </c>
      <c r="AA124" s="693" t="s">
        <v>842</v>
      </c>
      <c r="AB124" s="682"/>
      <c r="AC124" s="683">
        <v>42809</v>
      </c>
      <c r="AD124" s="675" t="s">
        <v>1601</v>
      </c>
      <c r="AE124" s="685" t="s">
        <v>1093</v>
      </c>
      <c r="AF124" s="476">
        <f>IF(CampList[[#This Row],[Type of Accomodation]]="camp",MAX(0,CampList[[#This Row],[HH]]-SUMIF(Table_Shelter[Pcode],CampList[[#This Row],[CP_Pcode]],Table_Shelter[HH Covered])),0)</f>
        <v>5</v>
      </c>
      <c r="AG124" s="653"/>
      <c r="AH124" s="682">
        <f>MIN(CampList[[#This Row],[Shelter Gap]],CampList[[#This Row],[Land Status]])</f>
        <v>5</v>
      </c>
      <c r="AI124" s="653" t="str">
        <f ca="1">IFERROR(OFFSET(DistanceToCamp[Nearest Town],MATCH(CampList[[#This Row],[CP_Pcode]],DistanceToCamp[CP_Pcode],0)-1,0,1,1),"")</f>
        <v>Mogaung Town</v>
      </c>
      <c r="AJ124" s="686">
        <f ca="1">IFERROR(OFFSET(DistanceToCamp[distance],MATCH(CampList[[#This Row],[CP_Pcode]],DistanceToCamp[CP_Pcode],0)-1,0,1,1),"")</f>
        <v>0.71141459237180937</v>
      </c>
      <c r="AK124" s="687">
        <f ca="1">IFERROR(INT(CampList[[#This Row],[Distance]]/5)+1,"")</f>
        <v>1</v>
      </c>
      <c r="AL124" s="669"/>
      <c r="AM124" s="669"/>
      <c r="AN124" s="669"/>
      <c r="AO124" s="669"/>
      <c r="AP124" s="669"/>
      <c r="AQ124" s="669"/>
      <c r="AR124" s="669"/>
      <c r="AS124" s="669"/>
      <c r="AT124" s="669"/>
      <c r="AU124" s="669"/>
      <c r="AV124" s="669"/>
    </row>
    <row r="125" spans="1:48" s="444" customFormat="1" ht="15.75" customHeight="1" x14ac:dyDescent="0.25">
      <c r="A125" s="675" t="s">
        <v>500</v>
      </c>
      <c r="B125" s="651" t="s">
        <v>380</v>
      </c>
      <c r="C125" s="651" t="s">
        <v>525</v>
      </c>
      <c r="D125" s="651" t="s">
        <v>180</v>
      </c>
      <c r="E125" s="651" t="s">
        <v>526</v>
      </c>
      <c r="F125" s="651" t="s">
        <v>173</v>
      </c>
      <c r="G125" s="651" t="s">
        <v>545</v>
      </c>
      <c r="H125" s="651" t="s">
        <v>630</v>
      </c>
      <c r="I125" s="651" t="s">
        <v>631</v>
      </c>
      <c r="J125" s="651" t="s">
        <v>635</v>
      </c>
      <c r="K125" s="651" t="s">
        <v>636</v>
      </c>
      <c r="L125" s="651" t="s">
        <v>178</v>
      </c>
      <c r="M125" s="651" t="s">
        <v>177</v>
      </c>
      <c r="N125" s="676">
        <v>96.948740000000001</v>
      </c>
      <c r="O125" s="676">
        <v>25.30442</v>
      </c>
      <c r="P125" s="677">
        <v>100</v>
      </c>
      <c r="Q125" s="476">
        <v>12</v>
      </c>
      <c r="R125" s="476">
        <v>46</v>
      </c>
      <c r="S125" s="679">
        <f>IF(CampList[[#This Row],[HH]]&gt;0,CampList[[#This Row],[Total]]/CampList[[#This Row],[HH]],"NA")</f>
        <v>3.8333333333333335</v>
      </c>
      <c r="T125" s="653" t="s">
        <v>511</v>
      </c>
      <c r="U125" s="653" t="s">
        <v>1191</v>
      </c>
      <c r="V125" s="653" t="s">
        <v>554</v>
      </c>
      <c r="W125" s="653" t="s">
        <v>803</v>
      </c>
      <c r="X125" s="680">
        <v>40969</v>
      </c>
      <c r="Y125" s="681">
        <v>1</v>
      </c>
      <c r="Z125" s="680" t="s">
        <v>460</v>
      </c>
      <c r="AA125" s="682" t="s">
        <v>842</v>
      </c>
      <c r="AB125" s="682"/>
      <c r="AC125" s="683">
        <v>42809</v>
      </c>
      <c r="AD125" s="684" t="s">
        <v>1623</v>
      </c>
      <c r="AE125" s="685" t="s">
        <v>1093</v>
      </c>
      <c r="AF125" s="476">
        <f>IF(CampList[[#This Row],[Type of Accomodation]]="camp",MAX(0,CampList[[#This Row],[HH]]-SUMIF(Table_Shelter[Pcode],CampList[[#This Row],[CP_Pcode]],Table_Shelter[HH Covered])),0)</f>
        <v>0</v>
      </c>
      <c r="AG125" s="653"/>
      <c r="AH125" s="682">
        <f>MIN(CampList[[#This Row],[Shelter Gap]],CampList[[#This Row],[Land Status]])</f>
        <v>0</v>
      </c>
      <c r="AI125" s="653" t="str">
        <f ca="1">IFERROR(OFFSET(DistanceToCamp[Nearest Town],MATCH(CampList[[#This Row],[CP_Pcode]],DistanceToCamp[CP_Pcode],0)-1,0,1,1),"")</f>
        <v>Mogaung Town</v>
      </c>
      <c r="AJ125" s="686">
        <f ca="1">IFERROR(OFFSET(DistanceToCamp[distance],MATCH(CampList[[#This Row],[CP_Pcode]],DistanceToCamp[CP_Pcode],0)-1,0,1,1),"")</f>
        <v>0.86042374061342075</v>
      </c>
      <c r="AK125" s="687">
        <f ca="1">IFERROR(INT(CampList[[#This Row],[Distance]]/5)+1,"")</f>
        <v>1</v>
      </c>
      <c r="AL125" s="669"/>
      <c r="AM125" s="669"/>
      <c r="AN125" s="669"/>
      <c r="AO125" s="669"/>
      <c r="AP125" s="669"/>
      <c r="AQ125" s="669"/>
      <c r="AR125" s="669"/>
      <c r="AS125" s="669"/>
      <c r="AT125" s="669"/>
      <c r="AU125" s="669"/>
      <c r="AV125" s="669"/>
    </row>
    <row r="126" spans="1:48" s="444" customFormat="1" ht="15.75" customHeight="1" x14ac:dyDescent="0.25">
      <c r="A126" s="675" t="s">
        <v>500</v>
      </c>
      <c r="B126" s="651" t="s">
        <v>380</v>
      </c>
      <c r="C126" s="651" t="s">
        <v>525</v>
      </c>
      <c r="D126" s="651" t="s">
        <v>300</v>
      </c>
      <c r="E126" s="651" t="s">
        <v>546</v>
      </c>
      <c r="F126" s="651" t="s">
        <v>300</v>
      </c>
      <c r="G126" s="651" t="s">
        <v>552</v>
      </c>
      <c r="H126" s="651" t="s">
        <v>1029</v>
      </c>
      <c r="I126" s="651" t="s">
        <v>1030</v>
      </c>
      <c r="J126" s="651" t="s">
        <v>1040</v>
      </c>
      <c r="K126" s="651">
        <v>217032</v>
      </c>
      <c r="L126" s="651" t="s">
        <v>1041</v>
      </c>
      <c r="M126" s="651" t="s">
        <v>1043</v>
      </c>
      <c r="N126" s="678">
        <v>97.561105999999995</v>
      </c>
      <c r="O126" s="678">
        <v>27.248964999999998</v>
      </c>
      <c r="P126" s="698">
        <v>398</v>
      </c>
      <c r="Q126" s="476">
        <v>10</v>
      </c>
      <c r="R126" s="708">
        <v>56</v>
      </c>
      <c r="S126" s="679">
        <f>IF(CampList[[#This Row],[HH]]&gt;0,CampList[[#This Row],[Total]]/CampList[[#This Row],[HH]],"NA")</f>
        <v>5.6</v>
      </c>
      <c r="T126" s="653" t="s">
        <v>511</v>
      </c>
      <c r="U126" s="653" t="s">
        <v>1191</v>
      </c>
      <c r="V126" s="653" t="s">
        <v>12</v>
      </c>
      <c r="W126" s="653" t="s">
        <v>856</v>
      </c>
      <c r="X126" s="699">
        <v>41487</v>
      </c>
      <c r="Y126" s="698"/>
      <c r="Z126" s="682"/>
      <c r="AA126" s="682" t="s">
        <v>842</v>
      </c>
      <c r="AB126" s="682"/>
      <c r="AC126" s="683">
        <v>41736</v>
      </c>
      <c r="AD126" s="684" t="s">
        <v>1042</v>
      </c>
      <c r="AE126" s="708" t="s">
        <v>1079</v>
      </c>
      <c r="AF126" s="476">
        <f>IF(CampList[[#This Row],[Type of Accomodation]]="camp",MAX(0,CampList[[#This Row],[HH]]-SUMIF(Table_Shelter[Pcode],CampList[[#This Row],[CP_Pcode]],Table_Shelter[HH Covered])),0)</f>
        <v>0</v>
      </c>
      <c r="AG126" s="653"/>
      <c r="AH126" s="682">
        <f>MIN(CampList[[#This Row],[Shelter Gap]],CampList[[#This Row],[Land Status]])</f>
        <v>0</v>
      </c>
      <c r="AI126" s="653" t="str">
        <f ca="1">IFERROR(OFFSET(DistanceToCamp[Nearest Town],MATCH(CampList[[#This Row],[CP_Pcode]],DistanceToCamp[CP_Pcode],0)-1,0,1,1),"")</f>
        <v>Machanbaw Town</v>
      </c>
      <c r="AJ126" s="686">
        <f ca="1">IFERROR(OFFSET(DistanceToCamp[distance],MATCH(CampList[[#This Row],[CP_Pcode]],DistanceToCamp[CP_Pcode],0)-1,0,1,1),"")</f>
        <v>4.789460146835963</v>
      </c>
      <c r="AK126" s="687">
        <f ca="1">IFERROR(INT(CampList[[#This Row],[Distance]]/5)+1,"")</f>
        <v>1</v>
      </c>
      <c r="AL126" s="669"/>
      <c r="AM126" s="669"/>
      <c r="AN126" s="669"/>
      <c r="AO126" s="669"/>
      <c r="AP126" s="669"/>
      <c r="AQ126" s="669"/>
      <c r="AR126" s="669"/>
      <c r="AS126" s="669"/>
      <c r="AT126" s="669"/>
      <c r="AU126" s="669"/>
      <c r="AV126" s="669"/>
    </row>
    <row r="127" spans="1:48" s="444" customFormat="1" ht="15.75" customHeight="1" x14ac:dyDescent="0.25">
      <c r="A127" s="675" t="s">
        <v>500</v>
      </c>
      <c r="B127" s="651" t="s">
        <v>380</v>
      </c>
      <c r="C127" s="651" t="s">
        <v>525</v>
      </c>
      <c r="D127" s="651" t="s">
        <v>180</v>
      </c>
      <c r="E127" s="651" t="s">
        <v>526</v>
      </c>
      <c r="F127" s="651" t="s">
        <v>173</v>
      </c>
      <c r="G127" s="651" t="s">
        <v>545</v>
      </c>
      <c r="H127" s="651" t="s">
        <v>1273</v>
      </c>
      <c r="I127" s="651" t="s">
        <v>1274</v>
      </c>
      <c r="J127" s="651" t="s">
        <v>1273</v>
      </c>
      <c r="K127" s="651">
        <v>166724</v>
      </c>
      <c r="L127" s="651" t="s">
        <v>1277</v>
      </c>
      <c r="M127" s="651" t="s">
        <v>1270</v>
      </c>
      <c r="N127" s="676">
        <v>96.793999999999997</v>
      </c>
      <c r="O127" s="676">
        <v>25.225000000000001</v>
      </c>
      <c r="P127" s="698"/>
      <c r="Q127" s="476">
        <v>28</v>
      </c>
      <c r="R127" s="476">
        <v>136</v>
      </c>
      <c r="S127" s="679">
        <f>IF(CampList[[#This Row],[HH]]&gt;0,CampList[[#This Row],[Total]]/CampList[[#This Row],[HH]],"NA")</f>
        <v>4.8571428571428568</v>
      </c>
      <c r="T127" s="653" t="s">
        <v>511</v>
      </c>
      <c r="U127" s="653" t="s">
        <v>1191</v>
      </c>
      <c r="V127" s="653" t="s">
        <v>554</v>
      </c>
      <c r="W127" s="653" t="s">
        <v>856</v>
      </c>
      <c r="X127" s="699">
        <v>42125</v>
      </c>
      <c r="Y127" s="698"/>
      <c r="Z127" s="682" t="s">
        <v>460</v>
      </c>
      <c r="AA127" s="682" t="s">
        <v>841</v>
      </c>
      <c r="AB127" s="682"/>
      <c r="AC127" s="683">
        <v>42809</v>
      </c>
      <c r="AD127" s="684" t="s">
        <v>1632</v>
      </c>
      <c r="AE127" s="708"/>
      <c r="AF127" s="476">
        <f>IF(CampList[[#This Row],[Type of Accomodation]]="camp",MAX(0,CampList[[#This Row],[HH]]-SUMIF(Table_Shelter[Pcode],CampList[[#This Row],[CP_Pcode]],Table_Shelter[HH Covered])),0)</f>
        <v>0</v>
      </c>
      <c r="AG127" s="653"/>
      <c r="AH127" s="682">
        <f>MIN(CampList[[#This Row],[Shelter Gap]],CampList[[#This Row],[Land Status]])</f>
        <v>0</v>
      </c>
      <c r="AI127" s="653" t="str">
        <f ca="1">IFERROR(OFFSET(DistanceToCamp[Nearest Town],MATCH(CampList[[#This Row],[CP_Pcode]],DistanceToCamp[CP_Pcode],0)-1,0,1,1),"")</f>
        <v>Mogaung Town</v>
      </c>
      <c r="AJ127" s="686">
        <f ca="1">IFERROR(OFFSET(DistanceToCamp[distance],MATCH(CampList[[#This Row],[CP_Pcode]],DistanceToCamp[CP_Pcode],0)-1,0,1,1),"")</f>
        <v>5</v>
      </c>
      <c r="AK127" s="687">
        <f ca="1">IFERROR(INT(CampList[[#This Row],[Distance]]/5)+1,"")</f>
        <v>2</v>
      </c>
      <c r="AL127" s="669"/>
      <c r="AM127" s="669"/>
      <c r="AN127" s="669"/>
      <c r="AO127" s="669"/>
      <c r="AP127" s="669"/>
      <c r="AQ127" s="669"/>
      <c r="AR127" s="669"/>
      <c r="AS127" s="669"/>
      <c r="AT127" s="669"/>
      <c r="AU127" s="669"/>
      <c r="AV127" s="669"/>
    </row>
    <row r="128" spans="1:48" s="444" customFormat="1" ht="15.75" customHeight="1" x14ac:dyDescent="0.25">
      <c r="A128" s="675" t="s">
        <v>500</v>
      </c>
      <c r="B128" s="651" t="s">
        <v>380</v>
      </c>
      <c r="C128" s="651" t="s">
        <v>525</v>
      </c>
      <c r="D128" s="651" t="s">
        <v>5</v>
      </c>
      <c r="E128" s="651" t="s">
        <v>529</v>
      </c>
      <c r="F128" s="651" t="s">
        <v>185</v>
      </c>
      <c r="G128" s="651" t="s">
        <v>533</v>
      </c>
      <c r="H128" s="651" t="s">
        <v>1076</v>
      </c>
      <c r="I128" s="651" t="s">
        <v>1075</v>
      </c>
      <c r="J128" s="651" t="s">
        <v>1076</v>
      </c>
      <c r="K128" s="651">
        <v>167060</v>
      </c>
      <c r="L128" s="651" t="s">
        <v>521</v>
      </c>
      <c r="M128" s="651" t="s">
        <v>522</v>
      </c>
      <c r="N128" s="718">
        <v>97.343406999999999</v>
      </c>
      <c r="O128" s="676">
        <v>24.377054000000001</v>
      </c>
      <c r="P128" s="698"/>
      <c r="Q128" s="840">
        <v>4</v>
      </c>
      <c r="R128" s="841">
        <v>26</v>
      </c>
      <c r="S128" s="679">
        <f>IF(CampList[[#This Row],[HH]]&gt;0,CampList[[#This Row],[Total]]/CampList[[#This Row],[HH]],"NA")</f>
        <v>6.5</v>
      </c>
      <c r="T128" s="653" t="s">
        <v>511</v>
      </c>
      <c r="U128" s="653" t="s">
        <v>1191</v>
      </c>
      <c r="V128" s="653" t="s">
        <v>12</v>
      </c>
      <c r="W128" s="653" t="s">
        <v>856</v>
      </c>
      <c r="X128" s="699"/>
      <c r="Y128" s="698"/>
      <c r="Z128" s="682"/>
      <c r="AA128" s="693" t="s">
        <v>841</v>
      </c>
      <c r="AB128" s="682"/>
      <c r="AC128" s="683">
        <v>41701</v>
      </c>
      <c r="AD128" s="675" t="s">
        <v>1011</v>
      </c>
      <c r="AE128" s="708" t="s">
        <v>1093</v>
      </c>
      <c r="AF128" s="476">
        <f>IF(CampList[[#This Row],[Type of Accomodation]]="camp",MAX(0,CampList[[#This Row],[HH]]-SUMIF(Table_Shelter[Pcode],CampList[[#This Row],[CP_Pcode]],Table_Shelter[HH Covered])),0)</f>
        <v>0</v>
      </c>
      <c r="AG128" s="653"/>
      <c r="AH128" s="682">
        <f>MIN(CampList[[#This Row],[Shelter Gap]],CampList[[#This Row],[Land Status]])</f>
        <v>0</v>
      </c>
      <c r="AI128" s="653" t="str">
        <f ca="1">IFERROR(OFFSET(DistanceToCamp[Nearest Town],MATCH(CampList[[#This Row],[CP_Pcode]],DistanceToCamp[CP_Pcode],0)-1,0,1,1),"")</f>
        <v>Momauk Town</v>
      </c>
      <c r="AJ128" s="686">
        <f ca="1">IFERROR(OFFSET(DistanceToCamp[distance],MATCH(CampList[[#This Row],[CP_Pcode]],DistanceToCamp[CP_Pcode],0)-1,0,1,1),"")</f>
        <v>13.446032768350749</v>
      </c>
      <c r="AK128" s="687">
        <f ca="1">IFERROR(INT(CampList[[#This Row],[Distance]]/5)+1,"")</f>
        <v>3</v>
      </c>
      <c r="AL128" s="669"/>
      <c r="AM128" s="669"/>
      <c r="AN128" s="669"/>
      <c r="AO128" s="669"/>
      <c r="AP128" s="669"/>
      <c r="AQ128" s="669"/>
      <c r="AR128" s="669"/>
      <c r="AS128" s="669"/>
      <c r="AT128" s="669"/>
      <c r="AU128" s="669"/>
      <c r="AV128" s="669"/>
    </row>
    <row r="129" spans="1:48" s="444" customFormat="1" ht="15.75" customHeight="1" x14ac:dyDescent="0.25">
      <c r="A129" s="675" t="s">
        <v>500</v>
      </c>
      <c r="B129" s="651" t="s">
        <v>380</v>
      </c>
      <c r="C129" s="651" t="s">
        <v>525</v>
      </c>
      <c r="D129" s="651" t="s">
        <v>237</v>
      </c>
      <c r="E129" s="651" t="s">
        <v>531</v>
      </c>
      <c r="F129" s="651" t="s">
        <v>27</v>
      </c>
      <c r="G129" s="651" t="s">
        <v>534</v>
      </c>
      <c r="H129" s="684" t="s">
        <v>788</v>
      </c>
      <c r="I129" s="684" t="s">
        <v>789</v>
      </c>
      <c r="J129" s="684" t="s">
        <v>790</v>
      </c>
      <c r="K129" s="684">
        <v>166337</v>
      </c>
      <c r="L129" s="651" t="s">
        <v>34</v>
      </c>
      <c r="M129" s="651" t="s">
        <v>33</v>
      </c>
      <c r="N129" s="676">
        <v>98.354146999999998</v>
      </c>
      <c r="O129" s="676">
        <v>25.708763000000001</v>
      </c>
      <c r="P129" s="698"/>
      <c r="Q129" s="840"/>
      <c r="R129" s="841"/>
      <c r="S129" s="679" t="str">
        <f>IF(CampList[[#This Row],[HH]]&gt;0,CampList[[#This Row],[Total]]/CampList[[#This Row],[HH]],"NA")</f>
        <v>NA</v>
      </c>
      <c r="T129" s="653" t="s">
        <v>511</v>
      </c>
      <c r="U129" s="653" t="s">
        <v>1191</v>
      </c>
      <c r="V129" s="712" t="s">
        <v>12</v>
      </c>
      <c r="W129" s="653" t="s">
        <v>856</v>
      </c>
      <c r="X129" s="699"/>
      <c r="Y129" s="698"/>
      <c r="Z129" s="682"/>
      <c r="AA129" s="711" t="s">
        <v>842</v>
      </c>
      <c r="AB129" s="682"/>
      <c r="AC129" s="713"/>
      <c r="AD129" s="675"/>
      <c r="AE129" s="708" t="s">
        <v>1077</v>
      </c>
      <c r="AF129" s="476">
        <f>IF(CampList[[#This Row],[Type of Accomodation]]="camp",MAX(0,CampList[[#This Row],[HH]]-SUMIF(Table_Shelter[Pcode],CampList[[#This Row],[CP_Pcode]],Table_Shelter[HH Covered])),0)</f>
        <v>0</v>
      </c>
      <c r="AG129" s="653"/>
      <c r="AH129" s="682">
        <f>MIN(CampList[[#This Row],[Shelter Gap]],CampList[[#This Row],[Land Status]])</f>
        <v>0</v>
      </c>
      <c r="AI129" s="653" t="str">
        <f ca="1">IFERROR(OFFSET(DistanceToCamp[Nearest Town],MATCH(CampList[[#This Row],[CP_Pcode]],DistanceToCamp[CP_Pcode],0)-1,0,1,1),"")</f>
        <v>Pang War Town</v>
      </c>
      <c r="AJ129" s="686">
        <f ca="1">IFERROR(OFFSET(DistanceToCamp[distance],MATCH(CampList[[#This Row],[CP_Pcode]],DistanceToCamp[CP_Pcode],0)-1,0,1,1),"")</f>
        <v>12.486065224161463</v>
      </c>
      <c r="AK129" s="687">
        <f ca="1">IFERROR(INT(CampList[[#This Row],[Distance]]/5)+1,"")</f>
        <v>3</v>
      </c>
      <c r="AL129" s="669"/>
      <c r="AM129" s="669"/>
      <c r="AN129" s="669"/>
      <c r="AO129" s="669"/>
      <c r="AP129" s="669"/>
      <c r="AQ129" s="669"/>
      <c r="AR129" s="669"/>
      <c r="AS129" s="669"/>
      <c r="AT129" s="669"/>
      <c r="AU129" s="669"/>
      <c r="AV129" s="669"/>
    </row>
    <row r="130" spans="1:48" s="444" customFormat="1" ht="15.75" customHeight="1" x14ac:dyDescent="0.25">
      <c r="A130" s="675" t="s">
        <v>500</v>
      </c>
      <c r="B130" s="651" t="s">
        <v>380</v>
      </c>
      <c r="C130" s="651" t="s">
        <v>525</v>
      </c>
      <c r="D130" s="651" t="s">
        <v>180</v>
      </c>
      <c r="E130" s="651" t="s">
        <v>526</v>
      </c>
      <c r="F130" s="651" t="s">
        <v>180</v>
      </c>
      <c r="G130" s="651" t="s">
        <v>551</v>
      </c>
      <c r="H130" s="651" t="s">
        <v>616</v>
      </c>
      <c r="I130" s="651" t="s">
        <v>617</v>
      </c>
      <c r="J130" s="651" t="s">
        <v>934</v>
      </c>
      <c r="K130" s="651"/>
      <c r="L130" s="651" t="s">
        <v>287</v>
      </c>
      <c r="M130" s="651" t="s">
        <v>286</v>
      </c>
      <c r="N130" s="676">
        <v>96.364949999999993</v>
      </c>
      <c r="O130" s="676">
        <v>24.998349999999999</v>
      </c>
      <c r="P130" s="677"/>
      <c r="Q130" s="476">
        <v>19</v>
      </c>
      <c r="R130" s="476">
        <v>102</v>
      </c>
      <c r="S130" s="679">
        <f>IF(CampList[[#This Row],[HH]]&gt;0,CampList[[#This Row],[Total]]/CampList[[#This Row],[HH]],"NA")</f>
        <v>5.3684210526315788</v>
      </c>
      <c r="T130" s="653" t="s">
        <v>511</v>
      </c>
      <c r="U130" s="653" t="s">
        <v>1191</v>
      </c>
      <c r="V130" s="653" t="s">
        <v>554</v>
      </c>
      <c r="W130" s="653" t="s">
        <v>856</v>
      </c>
      <c r="X130" s="680">
        <v>40940</v>
      </c>
      <c r="Y130" s="681">
        <v>1</v>
      </c>
      <c r="Z130" s="680" t="s">
        <v>460</v>
      </c>
      <c r="AA130" s="682" t="s">
        <v>842</v>
      </c>
      <c r="AB130" s="682"/>
      <c r="AC130" s="683">
        <v>42809</v>
      </c>
      <c r="AD130" s="684" t="s">
        <v>1624</v>
      </c>
      <c r="AE130" s="685" t="s">
        <v>1093</v>
      </c>
      <c r="AF130" s="476">
        <f>IF(CampList[[#This Row],[Type of Accomodation]]="camp",MAX(0,CampList[[#This Row],[HH]]-SUMIF(Table_Shelter[Pcode],CampList[[#This Row],[CP_Pcode]],Table_Shelter[HH Covered])),0)</f>
        <v>0</v>
      </c>
      <c r="AG130" s="653"/>
      <c r="AH130" s="682">
        <f>MIN(CampList[[#This Row],[Shelter Gap]],CampList[[#This Row],[Land Status]])</f>
        <v>0</v>
      </c>
      <c r="AI130" s="653" t="str">
        <f ca="1">IFERROR(OFFSET(DistanceToCamp[Nearest Town],MATCH(CampList[[#This Row],[CP_Pcode]],DistanceToCamp[CP_Pcode],0)-1,0,1,1),"")</f>
        <v>Hopin Town</v>
      </c>
      <c r="AJ130" s="686">
        <f ca="1">IFERROR(OFFSET(DistanceToCamp[distance],MATCH(CampList[[#This Row],[CP_Pcode]],DistanceToCamp[CP_Pcode],0)-1,0,1,1),"")</f>
        <v>16.668825701583572</v>
      </c>
      <c r="AK130" s="687">
        <f ca="1">IFERROR(INT(CampList[[#This Row],[Distance]]/5)+1,"")</f>
        <v>4</v>
      </c>
      <c r="AL130" s="669"/>
      <c r="AM130" s="669"/>
      <c r="AN130" s="669"/>
      <c r="AO130" s="669"/>
      <c r="AP130" s="669"/>
      <c r="AQ130" s="669"/>
      <c r="AR130" s="669"/>
      <c r="AS130" s="669"/>
      <c r="AT130" s="669"/>
      <c r="AU130" s="669"/>
      <c r="AV130" s="669"/>
    </row>
    <row r="131" spans="1:48" s="444" customFormat="1" ht="15.75" hidden="1" customHeight="1" x14ac:dyDescent="0.25">
      <c r="A131" s="675" t="s">
        <v>843</v>
      </c>
      <c r="B131" s="651" t="s">
        <v>380</v>
      </c>
      <c r="C131" s="651" t="s">
        <v>525</v>
      </c>
      <c r="D131" s="651" t="s">
        <v>5</v>
      </c>
      <c r="E131" s="651" t="s">
        <v>529</v>
      </c>
      <c r="F131" s="651" t="s">
        <v>151</v>
      </c>
      <c r="G131" s="651" t="s">
        <v>539</v>
      </c>
      <c r="H131" s="684" t="s">
        <v>737</v>
      </c>
      <c r="I131" s="684" t="s">
        <v>738</v>
      </c>
      <c r="J131" s="684"/>
      <c r="K131" s="684"/>
      <c r="L131" s="651" t="s">
        <v>158</v>
      </c>
      <c r="M131" s="651" t="s">
        <v>157</v>
      </c>
      <c r="N131" s="676">
        <v>97.585667000000001</v>
      </c>
      <c r="O131" s="676">
        <v>23.9055</v>
      </c>
      <c r="P131" s="692">
        <v>745</v>
      </c>
      <c r="Q131" s="840">
        <v>0</v>
      </c>
      <c r="R131" s="841">
        <v>0</v>
      </c>
      <c r="S131" s="679" t="str">
        <f>IF(CampList[[#This Row],[HH]]&gt;0,CampList[[#This Row],[Total]]/CampList[[#This Row],[HH]],"NA")</f>
        <v>NA</v>
      </c>
      <c r="T131" s="653" t="s">
        <v>513</v>
      </c>
      <c r="U131" s="688" t="s">
        <v>1191</v>
      </c>
      <c r="V131" s="653" t="s">
        <v>554</v>
      </c>
      <c r="W131" s="688" t="s">
        <v>857</v>
      </c>
      <c r="X131" s="689">
        <v>41122</v>
      </c>
      <c r="Y131" s="690">
        <v>2</v>
      </c>
      <c r="Z131" s="689" t="s">
        <v>1089</v>
      </c>
      <c r="AA131" s="693" t="s">
        <v>842</v>
      </c>
      <c r="AB131" s="682"/>
      <c r="AC131" s="683">
        <v>42235</v>
      </c>
      <c r="AD131" s="675" t="s">
        <v>1291</v>
      </c>
      <c r="AE131" s="685" t="s">
        <v>1078</v>
      </c>
      <c r="AF131" s="476">
        <f>IF(CampList[[#This Row],[Type of Accomodation]]="camp",MAX(0,CampList[[#This Row],[HH]]-SUMIF(Table_Shelter[Pcode],CampList[[#This Row],[CP_Pcode]],Table_Shelter[HH Covered])),0)</f>
        <v>0</v>
      </c>
      <c r="AG131" s="653"/>
      <c r="AH131" s="682">
        <f>MIN(CampList[[#This Row],[Shelter Gap]],CampList[[#This Row],[Land Status]])</f>
        <v>0</v>
      </c>
      <c r="AI131" s="653" t="str">
        <f ca="1">IFERROR(OFFSET(DistanceToCamp[Nearest Town],MATCH(CampList[[#This Row],[CP_Pcode]],DistanceToCamp[CP_Pcode],0)-1,0,1,1),"")</f>
        <v>Namhkan Town</v>
      </c>
      <c r="AJ131" s="686">
        <f ca="1">IFERROR(OFFSET(DistanceToCamp[distance],MATCH(CampList[[#This Row],[CP_Pcode]],DistanceToCamp[CP_Pcode],0)-1,0,1,1),"")</f>
        <v>12.392289083396149</v>
      </c>
      <c r="AK131" s="687">
        <f ca="1">IFERROR(INT(CampList[[#This Row],[Distance]]/5)+1,"")</f>
        <v>3</v>
      </c>
      <c r="AL131" s="669"/>
      <c r="AM131" s="669"/>
      <c r="AN131" s="669"/>
      <c r="AO131" s="669"/>
      <c r="AP131" s="669"/>
      <c r="AQ131" s="669"/>
      <c r="AR131" s="669"/>
      <c r="AS131" s="669"/>
      <c r="AT131" s="669"/>
      <c r="AU131" s="669"/>
      <c r="AV131" s="669"/>
    </row>
    <row r="132" spans="1:48" s="444" customFormat="1" ht="15.75" hidden="1" customHeight="1" x14ac:dyDescent="0.25">
      <c r="A132" s="675" t="s">
        <v>843</v>
      </c>
      <c r="B132" s="651" t="s">
        <v>380</v>
      </c>
      <c r="C132" s="651" t="s">
        <v>525</v>
      </c>
      <c r="D132" s="651" t="s">
        <v>5</v>
      </c>
      <c r="E132" s="651" t="s">
        <v>529</v>
      </c>
      <c r="F132" s="651" t="s">
        <v>151</v>
      </c>
      <c r="G132" s="651" t="s">
        <v>539</v>
      </c>
      <c r="H132" s="684" t="s">
        <v>660</v>
      </c>
      <c r="I132" s="684" t="s">
        <v>661</v>
      </c>
      <c r="J132" s="684"/>
      <c r="K132" s="684"/>
      <c r="L132" s="651" t="s">
        <v>162</v>
      </c>
      <c r="M132" s="651" t="s">
        <v>161</v>
      </c>
      <c r="N132" s="676"/>
      <c r="O132" s="676"/>
      <c r="P132" s="698"/>
      <c r="Q132" s="840">
        <v>0</v>
      </c>
      <c r="R132" s="841">
        <v>0</v>
      </c>
      <c r="S132" s="679" t="str">
        <f>IF(CampList[[#This Row],[HH]]&gt;0,CampList[[#This Row],[Total]]/CampList[[#This Row],[HH]],"NA")</f>
        <v>NA</v>
      </c>
      <c r="T132" s="653" t="s">
        <v>513</v>
      </c>
      <c r="U132" s="688" t="s">
        <v>1191</v>
      </c>
      <c r="V132" s="653" t="s">
        <v>554</v>
      </c>
      <c r="W132" s="688"/>
      <c r="X132" s="706"/>
      <c r="Y132" s="697"/>
      <c r="Z132" s="707"/>
      <c r="AA132" s="693" t="s">
        <v>842</v>
      </c>
      <c r="AB132" s="682"/>
      <c r="AC132" s="683">
        <v>41737</v>
      </c>
      <c r="AD132" s="675" t="s">
        <v>1044</v>
      </c>
      <c r="AE132" s="708" t="s">
        <v>1007</v>
      </c>
      <c r="AF132" s="476">
        <f>IF(CampList[[#This Row],[Type of Accomodation]]="camp",MAX(0,CampList[[#This Row],[HH]]-SUMIF(Table_Shelter[Pcode],CampList[[#This Row],[CP_Pcode]],Table_Shelter[HH Covered])),0)</f>
        <v>0</v>
      </c>
      <c r="AG132" s="653"/>
      <c r="AH132" s="682">
        <f>MIN(CampList[[#This Row],[Shelter Gap]],CampList[[#This Row],[Land Status]])</f>
        <v>0</v>
      </c>
      <c r="AI132" s="653" t="str">
        <f ca="1">IFERROR(OFFSET(DistanceToCamp[Nearest Town],MATCH(CampList[[#This Row],[CP_Pcode]],DistanceToCamp[CP_Pcode],0)-1,0,1,1),"")</f>
        <v/>
      </c>
      <c r="AJ132" s="686" t="str">
        <f ca="1">IFERROR(OFFSET(DistanceToCamp[distance],MATCH(CampList[[#This Row],[CP_Pcode]],DistanceToCamp[CP_Pcode],0)-1,0,1,1),"")</f>
        <v/>
      </c>
      <c r="AK132" s="687" t="str">
        <f ca="1">IFERROR(INT(CampList[[#This Row],[Distance]]/5)+1,"")</f>
        <v/>
      </c>
      <c r="AL132" s="669"/>
      <c r="AM132" s="669"/>
      <c r="AN132" s="669"/>
      <c r="AO132" s="669"/>
      <c r="AP132" s="669"/>
      <c r="AQ132" s="669"/>
      <c r="AR132" s="669"/>
      <c r="AS132" s="669"/>
      <c r="AT132" s="669"/>
      <c r="AU132" s="669"/>
      <c r="AV132" s="669"/>
    </row>
    <row r="133" spans="1:48" s="444" customFormat="1" ht="15.75" hidden="1" customHeight="1" x14ac:dyDescent="0.25">
      <c r="A133" s="675" t="s">
        <v>843</v>
      </c>
      <c r="B133" s="651" t="s">
        <v>380</v>
      </c>
      <c r="C133" s="651" t="s">
        <v>525</v>
      </c>
      <c r="D133" s="651" t="s">
        <v>5</v>
      </c>
      <c r="E133" s="651" t="s">
        <v>529</v>
      </c>
      <c r="F133" s="651" t="s">
        <v>151</v>
      </c>
      <c r="G133" s="651" t="s">
        <v>539</v>
      </c>
      <c r="H133" s="684" t="s">
        <v>628</v>
      </c>
      <c r="I133" s="684" t="s">
        <v>629</v>
      </c>
      <c r="J133" s="684"/>
      <c r="K133" s="684"/>
      <c r="L133" s="651" t="s">
        <v>164</v>
      </c>
      <c r="M133" s="651" t="s">
        <v>163</v>
      </c>
      <c r="N133" s="676">
        <v>97.132339999999999</v>
      </c>
      <c r="O133" s="676">
        <v>23.75817</v>
      </c>
      <c r="P133" s="698"/>
      <c r="Q133" s="840">
        <v>0</v>
      </c>
      <c r="R133" s="841">
        <v>0</v>
      </c>
      <c r="S133" s="679" t="str">
        <f>IF(CampList[[#This Row],[HH]]&gt;0,CampList[[#This Row],[Total]]/CampList[[#This Row],[HH]],"NA")</f>
        <v>NA</v>
      </c>
      <c r="T133" s="653" t="s">
        <v>513</v>
      </c>
      <c r="U133" s="688" t="s">
        <v>1191</v>
      </c>
      <c r="V133" s="653" t="s">
        <v>554</v>
      </c>
      <c r="W133" s="688"/>
      <c r="X133" s="706"/>
      <c r="Y133" s="697"/>
      <c r="Z133" s="707"/>
      <c r="AA133" s="693" t="s">
        <v>572</v>
      </c>
      <c r="AB133" s="682"/>
      <c r="AC133" s="710"/>
      <c r="AD133" s="675" t="s">
        <v>845</v>
      </c>
      <c r="AE133" s="708" t="s">
        <v>1007</v>
      </c>
      <c r="AF133" s="476">
        <f>IF(CampList[[#This Row],[Type of Accomodation]]="camp",MAX(0,CampList[[#This Row],[HH]]-SUMIF(Table_Shelter[Pcode],CampList[[#This Row],[CP_Pcode]],Table_Shelter[HH Covered])),0)</f>
        <v>0</v>
      </c>
      <c r="AG133" s="653"/>
      <c r="AH133" s="682">
        <f>MIN(CampList[[#This Row],[Shelter Gap]],CampList[[#This Row],[Land Status]])</f>
        <v>0</v>
      </c>
      <c r="AI133" s="653" t="str">
        <f ca="1">IFERROR(OFFSET(DistanceToCamp[Nearest Town],MATCH(CampList[[#This Row],[CP_Pcode]],DistanceToCamp[CP_Pcode],0)-1,0,1,1),"")</f>
        <v/>
      </c>
      <c r="AJ133" s="686" t="str">
        <f ca="1">IFERROR(OFFSET(DistanceToCamp[distance],MATCH(CampList[[#This Row],[CP_Pcode]],DistanceToCamp[CP_Pcode],0)-1,0,1,1),"")</f>
        <v/>
      </c>
      <c r="AK133" s="687" t="str">
        <f ca="1">IFERROR(INT(CampList[[#This Row],[Distance]]/5)+1,"")</f>
        <v/>
      </c>
      <c r="AL133" s="669"/>
      <c r="AM133" s="669"/>
      <c r="AN133" s="669"/>
      <c r="AO133" s="669"/>
      <c r="AP133" s="669"/>
      <c r="AQ133" s="669"/>
      <c r="AR133" s="669"/>
      <c r="AS133" s="669"/>
      <c r="AT133" s="669"/>
      <c r="AU133" s="669"/>
      <c r="AV133" s="669"/>
    </row>
    <row r="134" spans="1:48" s="444" customFormat="1" ht="15.75" hidden="1" customHeight="1" x14ac:dyDescent="0.25">
      <c r="A134" s="675" t="s">
        <v>843</v>
      </c>
      <c r="B134" s="651" t="s">
        <v>380</v>
      </c>
      <c r="C134" s="651" t="s">
        <v>525</v>
      </c>
      <c r="D134" s="651" t="s">
        <v>237</v>
      </c>
      <c r="E134" s="651" t="s">
        <v>531</v>
      </c>
      <c r="F134" s="651" t="s">
        <v>363</v>
      </c>
      <c r="G134" s="651" t="s">
        <v>548</v>
      </c>
      <c r="H134" s="651"/>
      <c r="I134" s="651"/>
      <c r="J134" s="651"/>
      <c r="K134" s="651"/>
      <c r="L134" s="651" t="s">
        <v>35</v>
      </c>
      <c r="M134" s="651" t="s">
        <v>362</v>
      </c>
      <c r="N134" s="676"/>
      <c r="O134" s="676"/>
      <c r="P134" s="697"/>
      <c r="Q134" s="840">
        <v>0</v>
      </c>
      <c r="R134" s="841">
        <v>0</v>
      </c>
      <c r="S134" s="679" t="str">
        <f>IF(CampList[[#This Row],[HH]]&gt;0,CampList[[#This Row],[Total]]/CampList[[#This Row],[HH]],"NA")</f>
        <v>NA</v>
      </c>
      <c r="T134" s="653" t="s">
        <v>511</v>
      </c>
      <c r="U134" s="688" t="s">
        <v>1191</v>
      </c>
      <c r="V134" s="653" t="s">
        <v>554</v>
      </c>
      <c r="W134" s="688"/>
      <c r="X134" s="706"/>
      <c r="Y134" s="697"/>
      <c r="Z134" s="707"/>
      <c r="AA134" s="693"/>
      <c r="AB134" s="682"/>
      <c r="AC134" s="683">
        <v>41712</v>
      </c>
      <c r="AD134" s="675" t="s">
        <v>1023</v>
      </c>
      <c r="AE134" s="708" t="s">
        <v>1007</v>
      </c>
      <c r="AF134" s="476">
        <f>IF(CampList[[#This Row],[Type of Accomodation]]="camp",MAX(0,CampList[[#This Row],[HH]]-SUMIF(Table_Shelter[Pcode],CampList[[#This Row],[CP_Pcode]],Table_Shelter[HH Covered])),0)</f>
        <v>0</v>
      </c>
      <c r="AG134" s="653"/>
      <c r="AH134" s="682">
        <f>MIN(CampList[[#This Row],[Shelter Gap]],CampList[[#This Row],[Land Status]])</f>
        <v>0</v>
      </c>
      <c r="AI134" s="653" t="str">
        <f ca="1">IFERROR(OFFSET(DistanceToCamp[Nearest Town],MATCH(CampList[[#This Row],[CP_Pcode]],DistanceToCamp[CP_Pcode],0)-1,0,1,1),"")</f>
        <v/>
      </c>
      <c r="AJ134" s="686" t="str">
        <f ca="1">IFERROR(OFFSET(DistanceToCamp[distance],MATCH(CampList[[#This Row],[CP_Pcode]],DistanceToCamp[CP_Pcode],0)-1,0,1,1),"")</f>
        <v/>
      </c>
      <c r="AK134" s="687" t="str">
        <f ca="1">IFERROR(INT(CampList[[#This Row],[Distance]]/5)+1,"")</f>
        <v/>
      </c>
      <c r="AL134" s="669"/>
      <c r="AM134" s="669"/>
      <c r="AN134" s="669"/>
      <c r="AO134" s="669"/>
      <c r="AP134" s="669"/>
      <c r="AQ134" s="669"/>
      <c r="AR134" s="669"/>
      <c r="AS134" s="669"/>
      <c r="AT134" s="669"/>
      <c r="AU134" s="669"/>
      <c r="AV134" s="669"/>
    </row>
    <row r="135" spans="1:48" s="444" customFormat="1" ht="15.75" customHeight="1" x14ac:dyDescent="0.25">
      <c r="A135" s="695" t="s">
        <v>500</v>
      </c>
      <c r="B135" s="652" t="s">
        <v>380</v>
      </c>
      <c r="C135" s="652" t="s">
        <v>525</v>
      </c>
      <c r="D135" s="652" t="s">
        <v>180</v>
      </c>
      <c r="E135" s="652" t="s">
        <v>526</v>
      </c>
      <c r="F135" s="652" t="s">
        <v>180</v>
      </c>
      <c r="G135" s="652" t="s">
        <v>551</v>
      </c>
      <c r="H135" s="652" t="s">
        <v>1131</v>
      </c>
      <c r="I135" s="696" t="s">
        <v>1252</v>
      </c>
      <c r="J135" s="714" t="s">
        <v>1390</v>
      </c>
      <c r="K135" s="714" t="s">
        <v>1391</v>
      </c>
      <c r="L135" s="652" t="s">
        <v>181</v>
      </c>
      <c r="M135" s="652" t="s">
        <v>179</v>
      </c>
      <c r="N135" s="678">
        <v>96.367059999999995</v>
      </c>
      <c r="O135" s="678">
        <v>24.764800000000001</v>
      </c>
      <c r="P135" s="698"/>
      <c r="Q135" s="476">
        <v>12</v>
      </c>
      <c r="R135" s="708">
        <v>62</v>
      </c>
      <c r="S135" s="679">
        <f>IF(CampList[[#This Row],[HH]]&gt;0,CampList[[#This Row],[Total]]/CampList[[#This Row],[HH]],"NA")</f>
        <v>5.166666666666667</v>
      </c>
      <c r="T135" s="476" t="s">
        <v>511</v>
      </c>
      <c r="U135" s="653" t="s">
        <v>1191</v>
      </c>
      <c r="V135" s="476" t="s">
        <v>554</v>
      </c>
      <c r="W135" s="476" t="s">
        <v>803</v>
      </c>
      <c r="X135" s="699">
        <v>41061</v>
      </c>
      <c r="Y135" s="698"/>
      <c r="Z135" s="698" t="s">
        <v>1090</v>
      </c>
      <c r="AA135" s="678" t="s">
        <v>842</v>
      </c>
      <c r="AB135" s="678"/>
      <c r="AC135" s="683">
        <v>42780</v>
      </c>
      <c r="AD135" s="700" t="s">
        <v>1555</v>
      </c>
      <c r="AE135" s="685" t="s">
        <v>1093</v>
      </c>
      <c r="AF135" s="701">
        <f>IF(CampList[[#This Row],[Type of Accomodation]]="camp",MAX(0,CampList[[#This Row],[HH]]-SUMIF(Table_Shelter[Pcode],CampList[[#This Row],[CP_Pcode]],Table_Shelter[HH Covered])),0)</f>
        <v>0</v>
      </c>
      <c r="AG135" s="476"/>
      <c r="AH135" s="677">
        <f>MIN(CampList[[#This Row],[Shelter Gap]],CampList[[#This Row],[Land Status]])</f>
        <v>0</v>
      </c>
      <c r="AI135" s="701" t="str">
        <f ca="1">IFERROR(OFFSET(DistanceToCamp[Nearest Town],MATCH(CampList[[#This Row],[CP_Pcode]],DistanceToCamp[CP_Pcode],0)-1,0,1,1),"")</f>
        <v>Mohnyin Town</v>
      </c>
      <c r="AJ135" s="686">
        <f ca="1">IFERROR(OFFSET(DistanceToCamp[distance],MATCH(CampList[[#This Row],[CP_Pcode]],DistanceToCamp[CP_Pcode],0)-1,0,1,1),"")</f>
        <v>1.7021273757523427</v>
      </c>
      <c r="AK135" s="702">
        <f ca="1">IFERROR(INT(CampList[[#This Row],[Distance]]/5)+1,"")</f>
        <v>1</v>
      </c>
      <c r="AL135" s="669"/>
      <c r="AM135" s="669"/>
      <c r="AN135" s="669"/>
      <c r="AO135" s="669"/>
      <c r="AP135" s="669"/>
      <c r="AQ135" s="669"/>
      <c r="AR135" s="669"/>
      <c r="AS135" s="669"/>
      <c r="AT135" s="669"/>
      <c r="AU135" s="669"/>
      <c r="AV135" s="669"/>
    </row>
    <row r="136" spans="1:48" s="444" customFormat="1" ht="15.75" customHeight="1" x14ac:dyDescent="0.25">
      <c r="A136" s="695" t="s">
        <v>500</v>
      </c>
      <c r="B136" s="651" t="s">
        <v>380</v>
      </c>
      <c r="C136" s="651" t="s">
        <v>525</v>
      </c>
      <c r="D136" s="651" t="s">
        <v>5</v>
      </c>
      <c r="E136" s="651" t="s">
        <v>529</v>
      </c>
      <c r="F136" s="727" t="s">
        <v>185</v>
      </c>
      <c r="G136" s="727" t="s">
        <v>533</v>
      </c>
      <c r="H136" s="727" t="s">
        <v>1205</v>
      </c>
      <c r="I136" s="727" t="s">
        <v>1312</v>
      </c>
      <c r="J136" s="652" t="s">
        <v>716</v>
      </c>
      <c r="K136" s="651" t="s">
        <v>1381</v>
      </c>
      <c r="L136" s="651" t="s">
        <v>1313</v>
      </c>
      <c r="M136" s="651" t="s">
        <v>1314</v>
      </c>
      <c r="N136" s="728">
        <v>97.461271999999994</v>
      </c>
      <c r="O136" s="728">
        <v>24.613976000000001</v>
      </c>
      <c r="P136" s="698"/>
      <c r="Q136" s="701"/>
      <c r="R136" s="708">
        <v>49</v>
      </c>
      <c r="S136" s="679" t="str">
        <f>IF(CampList[[#This Row],[HH]]&gt;0,CampList[[#This Row],[Total]]/CampList[[#This Row],[HH]],"NA")</f>
        <v>NA</v>
      </c>
      <c r="T136" s="653" t="s">
        <v>511</v>
      </c>
      <c r="U136" s="653" t="s">
        <v>1191</v>
      </c>
      <c r="V136" s="653" t="s">
        <v>986</v>
      </c>
      <c r="W136" s="653" t="s">
        <v>856</v>
      </c>
      <c r="X136" s="680"/>
      <c r="Y136" s="681"/>
      <c r="Z136" s="680"/>
      <c r="AA136" s="682" t="s">
        <v>1459</v>
      </c>
      <c r="AB136" s="682"/>
      <c r="AC136" s="683">
        <v>42317</v>
      </c>
      <c r="AD136" s="684" t="s">
        <v>1458</v>
      </c>
      <c r="AE136" s="685"/>
      <c r="AF136" s="701">
        <f>IF(CampList[[#This Row],[Type of Accomodation]]="camp",MAX(0,CampList[[#This Row],[HH]]-SUMIF(Table_Shelter[Pcode],CampList[[#This Row],[CP_Pcode]],Table_Shelter[HH Covered])),0)</f>
        <v>0</v>
      </c>
      <c r="AG136" s="653"/>
      <c r="AH136" s="677">
        <f>MIN(CampList[[#This Row],[Shelter Gap]],CampList[[#This Row],[Land Status]])</f>
        <v>0</v>
      </c>
      <c r="AI136" s="653" t="str">
        <f ca="1">IFERROR(OFFSET(DistanceToCamp[Nearest Town],MATCH(CampList[[#This Row],[CP_Pcode]],DistanceToCamp[CP_Pcode],0)-1,0,1,1),"")</f>
        <v>Dawthponeyan  Town</v>
      </c>
      <c r="AJ136" s="686">
        <f ca="1">IFERROR(OFFSET(DistanceToCamp[distance],MATCH(CampList[[#This Row],[CP_Pcode]],DistanceToCamp[CP_Pcode],0)-1,0,1,1),"")</f>
        <v>0</v>
      </c>
      <c r="AK136" s="687">
        <f ca="1">IFERROR(INT(CampList[[#This Row],[Distance]]/5)+1,"")</f>
        <v>1</v>
      </c>
      <c r="AL136" s="669"/>
      <c r="AM136" s="669"/>
      <c r="AN136" s="669"/>
      <c r="AO136" s="669"/>
      <c r="AP136" s="669"/>
      <c r="AQ136" s="669"/>
      <c r="AR136" s="669"/>
      <c r="AS136" s="669"/>
      <c r="AT136" s="669"/>
      <c r="AU136" s="669"/>
      <c r="AV136" s="669"/>
    </row>
    <row r="137" spans="1:48" s="444" customFormat="1" ht="15.75" customHeight="1" x14ac:dyDescent="0.25">
      <c r="A137" s="695" t="s">
        <v>500</v>
      </c>
      <c r="B137" s="652" t="s">
        <v>380</v>
      </c>
      <c r="C137" s="652" t="s">
        <v>525</v>
      </c>
      <c r="D137" s="652" t="s">
        <v>5</v>
      </c>
      <c r="E137" s="652" t="s">
        <v>529</v>
      </c>
      <c r="F137" s="652" t="s">
        <v>185</v>
      </c>
      <c r="G137" s="652" t="s">
        <v>533</v>
      </c>
      <c r="H137" s="652" t="s">
        <v>725</v>
      </c>
      <c r="I137" s="696" t="s">
        <v>726</v>
      </c>
      <c r="J137" s="652" t="s">
        <v>574</v>
      </c>
      <c r="K137" s="652">
        <v>167343</v>
      </c>
      <c r="L137" s="652" t="s">
        <v>192</v>
      </c>
      <c r="M137" s="652" t="s">
        <v>191</v>
      </c>
      <c r="N137" s="678">
        <v>97.537099999999995</v>
      </c>
      <c r="O137" s="678">
        <v>24.461033</v>
      </c>
      <c r="P137" s="698">
        <v>360</v>
      </c>
      <c r="Q137" s="843">
        <v>109</v>
      </c>
      <c r="R137" s="843">
        <v>408</v>
      </c>
      <c r="S137" s="679">
        <f>IF(CampList[[#This Row],[HH]]&gt;0,CampList[[#This Row],[Total]]/CampList[[#This Row],[HH]],"NA")</f>
        <v>3.7431192660550461</v>
      </c>
      <c r="T137" s="476" t="s">
        <v>513</v>
      </c>
      <c r="U137" s="653" t="s">
        <v>1191</v>
      </c>
      <c r="V137" s="476" t="s">
        <v>554</v>
      </c>
      <c r="W137" s="476" t="s">
        <v>857</v>
      </c>
      <c r="X137" s="699">
        <v>40756</v>
      </c>
      <c r="Y137" s="698">
        <v>4</v>
      </c>
      <c r="Z137" s="698" t="s">
        <v>1090</v>
      </c>
      <c r="AA137" s="678" t="s">
        <v>842</v>
      </c>
      <c r="AB137" s="678"/>
      <c r="AC137" s="683">
        <v>42780</v>
      </c>
      <c r="AD137" s="700" t="s">
        <v>1543</v>
      </c>
      <c r="AE137" s="685" t="s">
        <v>1078</v>
      </c>
      <c r="AF137" s="701">
        <f>IF(CampList[[#This Row],[Type of Accomodation]]="camp",MAX(0,CampList[[#This Row],[HH]]-SUMIF(Table_Shelter[Pcode],CampList[[#This Row],[CP_Pcode]],Table_Shelter[HH Covered])),0)</f>
        <v>0</v>
      </c>
      <c r="AG137" s="476"/>
      <c r="AH137" s="677">
        <f>MIN(CampList[[#This Row],[Shelter Gap]],CampList[[#This Row],[Land Status]])</f>
        <v>0</v>
      </c>
      <c r="AI137" s="701" t="str">
        <f ca="1">IFERROR(OFFSET(DistanceToCamp[Nearest Town],MATCH(CampList[[#This Row],[CP_Pcode]],DistanceToCamp[CP_Pcode],0)-1,0,1,1),"")</f>
        <v>Dawthponeyan  Town</v>
      </c>
      <c r="AJ137" s="686">
        <f ca="1">IFERROR(OFFSET(DistanceToCamp[distance],MATCH(CampList[[#This Row],[CP_Pcode]],DistanceToCamp[CP_Pcode],0)-1,0,1,1),"")</f>
        <v>18.65617244319267</v>
      </c>
      <c r="AK137" s="702">
        <f ca="1">IFERROR(INT(CampList[[#This Row],[Distance]]/5)+1,"")</f>
        <v>4</v>
      </c>
      <c r="AL137" s="669"/>
      <c r="AM137" s="669"/>
      <c r="AN137" s="669"/>
      <c r="AO137" s="669"/>
      <c r="AP137" s="669"/>
      <c r="AQ137" s="669"/>
      <c r="AR137" s="669"/>
      <c r="AS137" s="669"/>
      <c r="AT137" s="669"/>
      <c r="AU137" s="669"/>
      <c r="AV137" s="669"/>
    </row>
    <row r="138" spans="1:48" s="444" customFormat="1" ht="15.75" customHeight="1" x14ac:dyDescent="0.25">
      <c r="A138" s="704" t="s">
        <v>500</v>
      </c>
      <c r="B138" s="651" t="s">
        <v>380</v>
      </c>
      <c r="C138" s="651" t="s">
        <v>525</v>
      </c>
      <c r="D138" s="651" t="s">
        <v>5</v>
      </c>
      <c r="E138" s="651" t="s">
        <v>529</v>
      </c>
      <c r="F138" s="651" t="s">
        <v>302</v>
      </c>
      <c r="G138" s="651" t="s">
        <v>540</v>
      </c>
      <c r="H138" s="651"/>
      <c r="I138" s="651"/>
      <c r="J138" s="651"/>
      <c r="K138" s="651"/>
      <c r="L138" s="651" t="s">
        <v>304</v>
      </c>
      <c r="M138" s="651" t="s">
        <v>303</v>
      </c>
      <c r="N138" s="676"/>
      <c r="O138" s="676"/>
      <c r="P138" s="698"/>
      <c r="Q138" s="840">
        <v>375</v>
      </c>
      <c r="R138" s="841">
        <v>1691</v>
      </c>
      <c r="S138" s="679">
        <f>IF(CampList[[#This Row],[HH]]&gt;0,CampList[[#This Row],[Total]]/CampList[[#This Row],[HH]],"NA")</f>
        <v>4.5093333333333332</v>
      </c>
      <c r="T138" s="653" t="s">
        <v>513</v>
      </c>
      <c r="U138" s="653" t="s">
        <v>1191</v>
      </c>
      <c r="V138" s="653" t="s">
        <v>12</v>
      </c>
      <c r="W138" s="653" t="s">
        <v>856</v>
      </c>
      <c r="X138" s="699">
        <v>41701</v>
      </c>
      <c r="Y138" s="698"/>
      <c r="Z138" s="682"/>
      <c r="AA138" s="693" t="s">
        <v>572</v>
      </c>
      <c r="AB138" s="682"/>
      <c r="AC138" s="683">
        <v>41701</v>
      </c>
      <c r="AD138" s="675" t="s">
        <v>1011</v>
      </c>
      <c r="AE138" s="708" t="s">
        <v>1093</v>
      </c>
      <c r="AF138" s="476">
        <f>IF(CampList[[#This Row],[Type of Accomodation]]="camp",MAX(0,CampList[[#This Row],[HH]]-SUMIF(Table_Shelter[Pcode],CampList[[#This Row],[CP_Pcode]],Table_Shelter[HH Covered])),0)</f>
        <v>0</v>
      </c>
      <c r="AG138" s="653"/>
      <c r="AH138" s="682">
        <f>MIN(CampList[[#This Row],[Shelter Gap]],CampList[[#This Row],[Land Status]])</f>
        <v>0</v>
      </c>
      <c r="AI138" s="653" t="str">
        <f ca="1">IFERROR(OFFSET(DistanceToCamp[Nearest Town],MATCH(CampList[[#This Row],[CP_Pcode]],DistanceToCamp[CP_Pcode],0)-1,0,1,1),"")</f>
        <v/>
      </c>
      <c r="AJ138" s="686" t="str">
        <f ca="1">IFERROR(OFFSET(DistanceToCamp[distance],MATCH(CampList[[#This Row],[CP_Pcode]],DistanceToCamp[CP_Pcode],0)-1,0,1,1),"")</f>
        <v/>
      </c>
      <c r="AK138" s="687" t="str">
        <f ca="1">IFERROR(INT(CampList[[#This Row],[Distance]]/5)+1,"")</f>
        <v/>
      </c>
      <c r="AL138" s="669"/>
      <c r="AM138" s="669"/>
      <c r="AN138" s="669"/>
      <c r="AO138" s="669"/>
      <c r="AP138" s="669"/>
      <c r="AQ138" s="669"/>
      <c r="AR138" s="669"/>
      <c r="AS138" s="669"/>
      <c r="AT138" s="669"/>
      <c r="AU138" s="669"/>
      <c r="AV138" s="669"/>
    </row>
    <row r="139" spans="1:48" s="444" customFormat="1" ht="15.75" customHeight="1" x14ac:dyDescent="0.25">
      <c r="A139" s="675" t="s">
        <v>500</v>
      </c>
      <c r="B139" s="651" t="s">
        <v>380</v>
      </c>
      <c r="C139" s="651" t="s">
        <v>525</v>
      </c>
      <c r="D139" s="651" t="s">
        <v>5</v>
      </c>
      <c r="E139" s="651" t="s">
        <v>529</v>
      </c>
      <c r="F139" s="651" t="s">
        <v>185</v>
      </c>
      <c r="G139" s="651" t="s">
        <v>533</v>
      </c>
      <c r="H139" s="684" t="s">
        <v>1385</v>
      </c>
      <c r="I139" s="684" t="s">
        <v>1386</v>
      </c>
      <c r="J139" s="684" t="s">
        <v>1385</v>
      </c>
      <c r="K139" s="703">
        <v>167078</v>
      </c>
      <c r="L139" s="651" t="s">
        <v>200</v>
      </c>
      <c r="M139" s="651" t="s">
        <v>199</v>
      </c>
      <c r="N139" s="676">
        <v>97.409474000000003</v>
      </c>
      <c r="O139" s="676">
        <v>24.441697000000001</v>
      </c>
      <c r="P139" s="698"/>
      <c r="Q139" s="840">
        <v>2</v>
      </c>
      <c r="R139" s="841">
        <v>9</v>
      </c>
      <c r="S139" s="679">
        <f>IF(CampList[[#This Row],[HH]]&gt;0,CampList[[#This Row],[Total]]/CampList[[#This Row],[HH]],"NA")</f>
        <v>4.5</v>
      </c>
      <c r="T139" s="653" t="s">
        <v>511</v>
      </c>
      <c r="U139" s="653" t="s">
        <v>1191</v>
      </c>
      <c r="V139" s="712" t="s">
        <v>12</v>
      </c>
      <c r="W139" s="653" t="s">
        <v>856</v>
      </c>
      <c r="X139" s="699"/>
      <c r="Y139" s="698"/>
      <c r="Z139" s="682"/>
      <c r="AA139" s="693" t="s">
        <v>841</v>
      </c>
      <c r="AB139" s="682"/>
      <c r="AC139" s="683">
        <v>41803</v>
      </c>
      <c r="AD139" s="675" t="s">
        <v>1068</v>
      </c>
      <c r="AE139" s="708" t="s">
        <v>1093</v>
      </c>
      <c r="AF139" s="476">
        <f>IF(CampList[[#This Row],[Type of Accomodation]]="camp",MAX(0,CampList[[#This Row],[HH]]-SUMIF(Table_Shelter[Pcode],CampList[[#This Row],[CP_Pcode]],Table_Shelter[HH Covered])),0)</f>
        <v>0</v>
      </c>
      <c r="AG139" s="476"/>
      <c r="AH139" s="682">
        <f>MIN(CampList[[#This Row],[Shelter Gap]],CampList[[#This Row],[Land Status]])</f>
        <v>0</v>
      </c>
      <c r="AI139" s="653" t="str">
        <f ca="1">IFERROR(OFFSET(DistanceToCamp[Nearest Town],MATCH(CampList[[#This Row],[CP_Pcode]],DistanceToCamp[CP_Pcode],0)-1,0,1,1),"")</f>
        <v>Dawthponeyan  Town</v>
      </c>
      <c r="AJ139" s="686">
        <f ca="1">IFERROR(OFFSET(DistanceToCamp[distance],MATCH(CampList[[#This Row],[CP_Pcode]],DistanceToCamp[CP_Pcode],0)-1,0,1,1),"")</f>
        <v>19.860265975801305</v>
      </c>
      <c r="AK139" s="687">
        <f ca="1">IFERROR(INT(CampList[[#This Row],[Distance]]/5)+1,"")</f>
        <v>4</v>
      </c>
      <c r="AL139" s="669"/>
      <c r="AM139" s="669"/>
      <c r="AN139" s="669"/>
      <c r="AO139" s="669"/>
      <c r="AP139" s="669"/>
      <c r="AQ139" s="669"/>
      <c r="AR139" s="669"/>
      <c r="AS139" s="669"/>
      <c r="AT139" s="669"/>
      <c r="AU139" s="669"/>
      <c r="AV139" s="669"/>
    </row>
    <row r="140" spans="1:48" s="444" customFormat="1" ht="15.75" customHeight="1" x14ac:dyDescent="0.25">
      <c r="A140" s="695" t="s">
        <v>500</v>
      </c>
      <c r="B140" s="652" t="s">
        <v>380</v>
      </c>
      <c r="C140" s="652" t="s">
        <v>525</v>
      </c>
      <c r="D140" s="652" t="s">
        <v>5</v>
      </c>
      <c r="E140" s="652" t="s">
        <v>529</v>
      </c>
      <c r="F140" s="652" t="s">
        <v>185</v>
      </c>
      <c r="G140" s="652" t="s">
        <v>533</v>
      </c>
      <c r="H140" s="652" t="s">
        <v>734</v>
      </c>
      <c r="I140" s="696" t="s">
        <v>735</v>
      </c>
      <c r="J140" s="652" t="s">
        <v>736</v>
      </c>
      <c r="K140" s="652">
        <v>167223</v>
      </c>
      <c r="L140" s="652" t="s">
        <v>194</v>
      </c>
      <c r="M140" s="652" t="s">
        <v>193</v>
      </c>
      <c r="N140" s="678">
        <v>97.573126000000002</v>
      </c>
      <c r="O140" s="678">
        <v>24.661905999999998</v>
      </c>
      <c r="P140" s="698">
        <v>415</v>
      </c>
      <c r="Q140" s="476">
        <v>641</v>
      </c>
      <c r="R140" s="708">
        <v>2862</v>
      </c>
      <c r="S140" s="679">
        <f>IF(CampList[[#This Row],[HH]]&gt;0,CampList[[#This Row],[Total]]/CampList[[#This Row],[HH]],"NA")</f>
        <v>4.4648985959438381</v>
      </c>
      <c r="T140" s="476" t="s">
        <v>513</v>
      </c>
      <c r="U140" s="653" t="s">
        <v>1191</v>
      </c>
      <c r="V140" s="476" t="s">
        <v>554</v>
      </c>
      <c r="W140" s="476" t="s">
        <v>856</v>
      </c>
      <c r="X140" s="699">
        <v>40695</v>
      </c>
      <c r="Y140" s="698">
        <v>5</v>
      </c>
      <c r="Z140" s="698" t="s">
        <v>1090</v>
      </c>
      <c r="AA140" s="678" t="s">
        <v>842</v>
      </c>
      <c r="AB140" s="678"/>
      <c r="AC140" s="683">
        <v>42780</v>
      </c>
      <c r="AD140" s="700" t="s">
        <v>1544</v>
      </c>
      <c r="AE140" s="685" t="s">
        <v>1078</v>
      </c>
      <c r="AF140" s="701">
        <f>IF(CampList[[#This Row],[Type of Accomodation]]="camp",MAX(0,CampList[[#This Row],[HH]]-SUMIF(Table_Shelter[Pcode],CampList[[#This Row],[CP_Pcode]],Table_Shelter[HH Covered])),0)</f>
        <v>23</v>
      </c>
      <c r="AG140" s="476"/>
      <c r="AH140" s="677">
        <f>MIN(CampList[[#This Row],[Shelter Gap]],CampList[[#This Row],[Land Status]])</f>
        <v>23</v>
      </c>
      <c r="AI140" s="701" t="str">
        <f ca="1">IFERROR(OFFSET(DistanceToCamp[Nearest Town],MATCH(CampList[[#This Row],[CP_Pcode]],DistanceToCamp[CP_Pcode],0)-1,0,1,1),"")</f>
        <v>Laiza town</v>
      </c>
      <c r="AJ140" s="686">
        <f ca="1">IFERROR(OFFSET(DistanceToCamp[distance],MATCH(CampList[[#This Row],[CP_Pcode]],DistanceToCamp[CP_Pcode],0)-1,0,1,1),"")</f>
        <v>10.953347686331073</v>
      </c>
      <c r="AK140" s="702">
        <f ca="1">IFERROR(INT(CampList[[#This Row],[Distance]]/5)+1,"")</f>
        <v>3</v>
      </c>
      <c r="AL140" s="669"/>
      <c r="AM140" s="669"/>
      <c r="AN140" s="669"/>
      <c r="AO140" s="669"/>
      <c r="AP140" s="669"/>
      <c r="AQ140" s="669"/>
      <c r="AR140" s="669"/>
      <c r="AS140" s="669"/>
      <c r="AT140" s="669"/>
      <c r="AU140" s="669"/>
      <c r="AV140" s="669"/>
    </row>
    <row r="141" spans="1:48" s="444" customFormat="1" ht="15.75" customHeight="1" x14ac:dyDescent="0.25">
      <c r="A141" s="675" t="s">
        <v>500</v>
      </c>
      <c r="B141" s="651" t="s">
        <v>380</v>
      </c>
      <c r="C141" s="651" t="s">
        <v>525</v>
      </c>
      <c r="D141" s="651" t="s">
        <v>5</v>
      </c>
      <c r="E141" s="651" t="s">
        <v>529</v>
      </c>
      <c r="F141" s="651" t="s">
        <v>185</v>
      </c>
      <c r="G141" s="651" t="s">
        <v>533</v>
      </c>
      <c r="H141" s="684" t="s">
        <v>656</v>
      </c>
      <c r="I141" s="684" t="s">
        <v>657</v>
      </c>
      <c r="J141" s="684" t="s">
        <v>656</v>
      </c>
      <c r="K141" s="684">
        <v>167063</v>
      </c>
      <c r="L141" s="651" t="s">
        <v>204</v>
      </c>
      <c r="M141" s="651" t="s">
        <v>203</v>
      </c>
      <c r="N141" s="676">
        <v>97.321659999999994</v>
      </c>
      <c r="O141" s="676">
        <v>24.410008999999999</v>
      </c>
      <c r="P141" s="698"/>
      <c r="Q141" s="840">
        <v>28</v>
      </c>
      <c r="R141" s="841">
        <v>136</v>
      </c>
      <c r="S141" s="679">
        <f>IF(CampList[[#This Row],[HH]]&gt;0,CampList[[#This Row],[Total]]/CampList[[#This Row],[HH]],"NA")</f>
        <v>4.8571428571428568</v>
      </c>
      <c r="T141" s="653" t="s">
        <v>511</v>
      </c>
      <c r="U141" s="653" t="s">
        <v>1191</v>
      </c>
      <c r="V141" s="712" t="s">
        <v>12</v>
      </c>
      <c r="W141" s="653" t="s">
        <v>856</v>
      </c>
      <c r="X141" s="699"/>
      <c r="Y141" s="698"/>
      <c r="Z141" s="682"/>
      <c r="AA141" s="693" t="s">
        <v>841</v>
      </c>
      <c r="AB141" s="682"/>
      <c r="AC141" s="683"/>
      <c r="AD141" s="675"/>
      <c r="AE141" s="708" t="s">
        <v>1093</v>
      </c>
      <c r="AF141" s="476">
        <f>IF(CampList[[#This Row],[Type of Accomodation]]="camp",MAX(0,CampList[[#This Row],[HH]]-SUMIF(Table_Shelter[Pcode],CampList[[#This Row],[CP_Pcode]],Table_Shelter[HH Covered])),0)</f>
        <v>0</v>
      </c>
      <c r="AG141" s="653"/>
      <c r="AH141" s="682">
        <f>MIN(CampList[[#This Row],[Shelter Gap]],CampList[[#This Row],[Land Status]])</f>
        <v>0</v>
      </c>
      <c r="AI141" s="653" t="str">
        <f ca="1">IFERROR(OFFSET(DistanceToCamp[Nearest Town],MATCH(CampList[[#This Row],[CP_Pcode]],DistanceToCamp[CP_Pcode],0)-1,0,1,1),"")</f>
        <v>Momauk Town</v>
      </c>
      <c r="AJ141" s="686">
        <f ca="1">IFERROR(OFFSET(DistanceToCamp[distance],MATCH(CampList[[#This Row],[CP_Pcode]],DistanceToCamp[CP_Pcode],0)-1,0,1,1),"")</f>
        <v>17.282528446236295</v>
      </c>
      <c r="AK141" s="687">
        <f ca="1">IFERROR(INT(CampList[[#This Row],[Distance]]/5)+1,"")</f>
        <v>4</v>
      </c>
      <c r="AL141" s="669"/>
      <c r="AM141" s="669"/>
      <c r="AN141" s="669"/>
      <c r="AO141" s="669"/>
      <c r="AP141" s="669"/>
      <c r="AQ141" s="669"/>
      <c r="AR141" s="669"/>
      <c r="AS141" s="669"/>
      <c r="AT141" s="669"/>
      <c r="AU141" s="669"/>
      <c r="AV141" s="669"/>
    </row>
    <row r="142" spans="1:48" s="444" customFormat="1" ht="15.75" customHeight="1" x14ac:dyDescent="0.25">
      <c r="A142" s="675" t="s">
        <v>500</v>
      </c>
      <c r="B142" s="651" t="s">
        <v>380</v>
      </c>
      <c r="C142" s="651" t="s">
        <v>525</v>
      </c>
      <c r="D142" s="651" t="s">
        <v>5</v>
      </c>
      <c r="E142" s="651" t="s">
        <v>529</v>
      </c>
      <c r="F142" s="651" t="s">
        <v>185</v>
      </c>
      <c r="G142" s="651" t="s">
        <v>533</v>
      </c>
      <c r="H142" s="684" t="s">
        <v>753</v>
      </c>
      <c r="I142" s="684" t="s">
        <v>754</v>
      </c>
      <c r="J142" s="714" t="s">
        <v>1372</v>
      </c>
      <c r="K142" s="714" t="s">
        <v>1373</v>
      </c>
      <c r="L142" s="651" t="s">
        <v>186</v>
      </c>
      <c r="M142" s="651" t="s">
        <v>184</v>
      </c>
      <c r="N142" s="676">
        <v>97.718582999999995</v>
      </c>
      <c r="O142" s="676">
        <v>24.200972</v>
      </c>
      <c r="P142" s="698"/>
      <c r="Q142" s="476">
        <v>40</v>
      </c>
      <c r="R142" s="476">
        <v>240</v>
      </c>
      <c r="S142" s="679">
        <f>IF(CampList[[#This Row],[HH]]&gt;0,CampList[[#This Row],[Total]]/CampList[[#This Row],[HH]],"NA")</f>
        <v>6</v>
      </c>
      <c r="T142" s="653" t="s">
        <v>511</v>
      </c>
      <c r="U142" s="653" t="s">
        <v>1191</v>
      </c>
      <c r="V142" s="653" t="s">
        <v>554</v>
      </c>
      <c r="W142" s="653" t="s">
        <v>803</v>
      </c>
      <c r="X142" s="699">
        <v>41030</v>
      </c>
      <c r="Y142" s="681">
        <v>1</v>
      </c>
      <c r="Z142" s="680" t="s">
        <v>460</v>
      </c>
      <c r="AA142" s="693" t="s">
        <v>842</v>
      </c>
      <c r="AB142" s="682"/>
      <c r="AC142" s="683">
        <v>42809</v>
      </c>
      <c r="AD142" s="675" t="s">
        <v>1596</v>
      </c>
      <c r="AE142" s="685" t="s">
        <v>1079</v>
      </c>
      <c r="AF142" s="476">
        <f>IF(CampList[[#This Row],[Type of Accomodation]]="camp",MAX(0,CampList[[#This Row],[HH]]-SUMIF(Table_Shelter[Pcode],CampList[[#This Row],[CP_Pcode]],Table_Shelter[HH Covered])),0)</f>
        <v>1</v>
      </c>
      <c r="AG142" s="653"/>
      <c r="AH142" s="682">
        <f>MIN(CampList[[#This Row],[Shelter Gap]],CampList[[#This Row],[Land Status]])</f>
        <v>1</v>
      </c>
      <c r="AI142" s="653" t="str">
        <f ca="1">IFERROR(OFFSET(DistanceToCamp[Nearest Town],MATCH(CampList[[#This Row],[CP_Pcode]],DistanceToCamp[CP_Pcode],0)-1,0,1,1),"")</f>
        <v>Lwegel Town</v>
      </c>
      <c r="AJ142" s="686">
        <f ca="1">IFERROR(OFFSET(DistanceToCamp[distance],MATCH(CampList[[#This Row],[CP_Pcode]],DistanceToCamp[CP_Pcode],0)-1,0,1,1),"")</f>
        <v>0.28829825866869707</v>
      </c>
      <c r="AK142" s="687">
        <f ca="1">IFERROR(INT(CampList[[#This Row],[Distance]]/5)+1,"")</f>
        <v>1</v>
      </c>
      <c r="AL142" s="669"/>
      <c r="AM142" s="669"/>
      <c r="AN142" s="669"/>
      <c r="AO142" s="669"/>
      <c r="AP142" s="669"/>
      <c r="AQ142" s="669"/>
      <c r="AR142" s="669"/>
      <c r="AS142" s="669"/>
      <c r="AT142" s="669"/>
      <c r="AU142" s="669"/>
      <c r="AV142" s="669"/>
    </row>
    <row r="143" spans="1:48" s="444" customFormat="1" ht="15.75" customHeight="1" x14ac:dyDescent="0.25">
      <c r="A143" s="695" t="s">
        <v>500</v>
      </c>
      <c r="B143" s="652" t="s">
        <v>380</v>
      </c>
      <c r="C143" s="652" t="s">
        <v>525</v>
      </c>
      <c r="D143" s="652" t="s">
        <v>5</v>
      </c>
      <c r="E143" s="652" t="s">
        <v>529</v>
      </c>
      <c r="F143" s="652" t="s">
        <v>185</v>
      </c>
      <c r="G143" s="652" t="s">
        <v>533</v>
      </c>
      <c r="H143" s="652" t="s">
        <v>753</v>
      </c>
      <c r="I143" s="696" t="s">
        <v>754</v>
      </c>
      <c r="J143" s="714" t="s">
        <v>1372</v>
      </c>
      <c r="K143" s="714" t="s">
        <v>1373</v>
      </c>
      <c r="L143" s="652" t="s">
        <v>223</v>
      </c>
      <c r="M143" s="652" t="s">
        <v>222</v>
      </c>
      <c r="N143" s="678">
        <v>97.724566999999993</v>
      </c>
      <c r="O143" s="678">
        <v>24.205417000000001</v>
      </c>
      <c r="P143" s="698"/>
      <c r="Q143" s="844">
        <v>148</v>
      </c>
      <c r="R143" s="844">
        <v>751</v>
      </c>
      <c r="S143" s="679">
        <f>IF(CampList[[#This Row],[HH]]&gt;0,CampList[[#This Row],[Total]]/CampList[[#This Row],[HH]],"NA")</f>
        <v>5.0743243243243246</v>
      </c>
      <c r="T143" s="476" t="s">
        <v>511</v>
      </c>
      <c r="U143" s="653" t="s">
        <v>1191</v>
      </c>
      <c r="V143" s="476" t="s">
        <v>554</v>
      </c>
      <c r="W143" s="476" t="s">
        <v>803</v>
      </c>
      <c r="X143" s="699">
        <v>40848</v>
      </c>
      <c r="Y143" s="698">
        <v>2</v>
      </c>
      <c r="Z143" s="698" t="s">
        <v>1089</v>
      </c>
      <c r="AA143" s="678" t="s">
        <v>842</v>
      </c>
      <c r="AB143" s="678"/>
      <c r="AC143" s="683">
        <v>42780</v>
      </c>
      <c r="AD143" s="700" t="s">
        <v>1526</v>
      </c>
      <c r="AE143" s="685" t="s">
        <v>1079</v>
      </c>
      <c r="AF143" s="701">
        <f>IF(CampList[[#This Row],[Type of Accomodation]]="camp",MAX(0,CampList[[#This Row],[HH]]-SUMIF(Table_Shelter[Pcode],CampList[[#This Row],[CP_Pcode]],Table_Shelter[HH Covered])),0)</f>
        <v>81</v>
      </c>
      <c r="AG143" s="476"/>
      <c r="AH143" s="677">
        <f>MIN(CampList[[#This Row],[Shelter Gap]],CampList[[#This Row],[Land Status]])</f>
        <v>81</v>
      </c>
      <c r="AI143" s="701" t="str">
        <f ca="1">IFERROR(OFFSET(DistanceToCamp[Nearest Town],MATCH(CampList[[#This Row],[CP_Pcode]],DistanceToCamp[CP_Pcode],0)-1,0,1,1),"")</f>
        <v>Lwegel Town</v>
      </c>
      <c r="AJ143" s="686">
        <f ca="1">IFERROR(OFFSET(DistanceToCamp[distance],MATCH(CampList[[#This Row],[CP_Pcode]],DistanceToCamp[CP_Pcode],0)-1,0,1,1),"")</f>
        <v>0.77978735578277303</v>
      </c>
      <c r="AK143" s="702">
        <f ca="1">IFERROR(INT(CampList[[#This Row],[Distance]]/5)+1,"")</f>
        <v>1</v>
      </c>
      <c r="AL143" s="669"/>
      <c r="AM143" s="669"/>
      <c r="AN143" s="669"/>
      <c r="AO143" s="669"/>
      <c r="AP143" s="669"/>
      <c r="AQ143" s="669"/>
      <c r="AR143" s="669"/>
      <c r="AS143" s="669"/>
      <c r="AT143" s="669"/>
      <c r="AU143" s="669"/>
      <c r="AV143" s="669"/>
    </row>
    <row r="144" spans="1:48" s="444" customFormat="1" ht="15.75" customHeight="1" x14ac:dyDescent="0.25">
      <c r="A144" s="675" t="s">
        <v>500</v>
      </c>
      <c r="B144" s="651" t="s">
        <v>380</v>
      </c>
      <c r="C144" s="651" t="s">
        <v>525</v>
      </c>
      <c r="D144" s="651" t="s">
        <v>5</v>
      </c>
      <c r="E144" s="651" t="s">
        <v>529</v>
      </c>
      <c r="F144" s="651" t="s">
        <v>185</v>
      </c>
      <c r="G144" s="651" t="s">
        <v>533</v>
      </c>
      <c r="H144" s="684" t="s">
        <v>753</v>
      </c>
      <c r="I144" s="684" t="s">
        <v>754</v>
      </c>
      <c r="J144" s="684" t="s">
        <v>758</v>
      </c>
      <c r="K144" s="684" t="s">
        <v>759</v>
      </c>
      <c r="L144" s="651" t="s">
        <v>190</v>
      </c>
      <c r="M144" s="651" t="s">
        <v>189</v>
      </c>
      <c r="N144" s="676">
        <v>97.717133000000004</v>
      </c>
      <c r="O144" s="676">
        <v>24.200433</v>
      </c>
      <c r="P144" s="677">
        <v>0</v>
      </c>
      <c r="Q144" s="476">
        <v>194</v>
      </c>
      <c r="R144" s="476">
        <v>1071</v>
      </c>
      <c r="S144" s="679">
        <f>IF(CampList[[#This Row],[HH]]&gt;0,CampList[[#This Row],[Total]]/CampList[[#This Row],[HH]],"NA")</f>
        <v>5.5206185567010309</v>
      </c>
      <c r="T144" s="653" t="s">
        <v>511</v>
      </c>
      <c r="U144" s="653" t="s">
        <v>1191</v>
      </c>
      <c r="V144" s="653" t="s">
        <v>554</v>
      </c>
      <c r="W144" s="653" t="s">
        <v>803</v>
      </c>
      <c r="X144" s="680">
        <v>41000</v>
      </c>
      <c r="Y144" s="681">
        <v>2</v>
      </c>
      <c r="Z144" s="680" t="s">
        <v>460</v>
      </c>
      <c r="AA144" s="693" t="s">
        <v>842</v>
      </c>
      <c r="AB144" s="682"/>
      <c r="AC144" s="683">
        <v>42809</v>
      </c>
      <c r="AD144" s="675" t="s">
        <v>1604</v>
      </c>
      <c r="AE144" s="685" t="s">
        <v>1079</v>
      </c>
      <c r="AF144" s="476">
        <f>IF(CampList[[#This Row],[Type of Accomodation]]="camp",MAX(0,CampList[[#This Row],[HH]]-SUMIF(Table_Shelter[Pcode],CampList[[#This Row],[CP_Pcode]],Table_Shelter[HH Covered])),0)</f>
        <v>112</v>
      </c>
      <c r="AG144" s="653"/>
      <c r="AH144" s="682">
        <f>MIN(CampList[[#This Row],[Shelter Gap]],CampList[[#This Row],[Land Status]])</f>
        <v>112</v>
      </c>
      <c r="AI144" s="653" t="str">
        <f ca="1">IFERROR(OFFSET(DistanceToCamp[Nearest Town],MATCH(CampList[[#This Row],[CP_Pcode]],DistanceToCamp[CP_Pcode],0)-1,0,1,1),"")</f>
        <v>Lwegel Town</v>
      </c>
      <c r="AJ144" s="686">
        <f ca="1">IFERROR(OFFSET(DistanceToCamp[distance],MATCH(CampList[[#This Row],[CP_Pcode]],DistanceToCamp[CP_Pcode],0)-1,0,1,1),"")</f>
        <v>0.38934692601696641</v>
      </c>
      <c r="AK144" s="687">
        <f ca="1">IFERROR(INT(CampList[[#This Row],[Distance]]/5)+1,"")</f>
        <v>1</v>
      </c>
      <c r="AL144" s="669"/>
      <c r="AM144" s="669"/>
      <c r="AN144" s="669"/>
      <c r="AO144" s="669"/>
      <c r="AP144" s="669"/>
      <c r="AQ144" s="669"/>
      <c r="AR144" s="669"/>
      <c r="AS144" s="669"/>
      <c r="AT144" s="669"/>
      <c r="AU144" s="669"/>
      <c r="AV144" s="669"/>
    </row>
    <row r="145" spans="1:48" s="444" customFormat="1" ht="15.75" customHeight="1" x14ac:dyDescent="0.25">
      <c r="A145" s="675" t="s">
        <v>500</v>
      </c>
      <c r="B145" s="651" t="s">
        <v>380</v>
      </c>
      <c r="C145" s="651" t="s">
        <v>525</v>
      </c>
      <c r="D145" s="651" t="s">
        <v>5</v>
      </c>
      <c r="E145" s="651" t="s">
        <v>529</v>
      </c>
      <c r="F145" s="651" t="s">
        <v>185</v>
      </c>
      <c r="G145" s="651" t="s">
        <v>533</v>
      </c>
      <c r="H145" s="684" t="s">
        <v>805</v>
      </c>
      <c r="I145" s="684" t="s">
        <v>806</v>
      </c>
      <c r="J145" s="684" t="s">
        <v>807</v>
      </c>
      <c r="K145" s="684">
        <v>167270</v>
      </c>
      <c r="L145" s="651" t="s">
        <v>205</v>
      </c>
      <c r="M145" s="651" t="s">
        <v>392</v>
      </c>
      <c r="N145" s="676">
        <v>97.276591999999994</v>
      </c>
      <c r="O145" s="676">
        <v>24.759551999999999</v>
      </c>
      <c r="P145" s="698"/>
      <c r="Q145" s="840"/>
      <c r="R145" s="841"/>
      <c r="S145" s="679" t="str">
        <f>IF(CampList[[#This Row],[HH]]&gt;0,CampList[[#This Row],[Total]]/CampList[[#This Row],[HH]],"NA")</f>
        <v>NA</v>
      </c>
      <c r="T145" s="653" t="s">
        <v>511</v>
      </c>
      <c r="U145" s="653" t="s">
        <v>1191</v>
      </c>
      <c r="V145" s="712" t="s">
        <v>12</v>
      </c>
      <c r="W145" s="653" t="s">
        <v>856</v>
      </c>
      <c r="X145" s="699"/>
      <c r="Y145" s="698"/>
      <c r="Z145" s="682"/>
      <c r="AA145" s="693" t="s">
        <v>841</v>
      </c>
      <c r="AB145" s="682"/>
      <c r="AC145" s="683">
        <v>41803</v>
      </c>
      <c r="AD145" s="675" t="s">
        <v>1068</v>
      </c>
      <c r="AE145" s="708" t="s">
        <v>1093</v>
      </c>
      <c r="AF145" s="476">
        <f>IF(CampList[[#This Row],[Type of Accomodation]]="camp",MAX(0,CampList[[#This Row],[HH]]-SUMIF(Table_Shelter[Pcode],CampList[[#This Row],[CP_Pcode]],Table_Shelter[HH Covered])),0)</f>
        <v>0</v>
      </c>
      <c r="AG145" s="653"/>
      <c r="AH145" s="682">
        <f>MIN(CampList[[#This Row],[Shelter Gap]],CampList[[#This Row],[Land Status]])</f>
        <v>0</v>
      </c>
      <c r="AI145" s="653" t="str">
        <f ca="1">IFERROR(OFFSET(DistanceToCamp[Nearest Town],MATCH(CampList[[#This Row],[CP_Pcode]],DistanceToCamp[CP_Pcode],0)-1,0,1,1),"")</f>
        <v>Dawthponeyan  Town</v>
      </c>
      <c r="AJ145" s="686">
        <f ca="1">IFERROR(OFFSET(DistanceToCamp[distance],MATCH(CampList[[#This Row],[CP_Pcode]],DistanceToCamp[CP_Pcode],0)-1,0,1,1),"")</f>
        <v>24.701686141136339</v>
      </c>
      <c r="AK145" s="687">
        <f ca="1">IFERROR(INT(CampList[[#This Row],[Distance]]/5)+1,"")</f>
        <v>5</v>
      </c>
      <c r="AL145" s="669"/>
      <c r="AM145" s="669"/>
      <c r="AN145" s="669"/>
      <c r="AO145" s="669"/>
      <c r="AP145" s="669"/>
      <c r="AQ145" s="669"/>
      <c r="AR145" s="669"/>
      <c r="AS145" s="669"/>
      <c r="AT145" s="669"/>
      <c r="AU145" s="669"/>
      <c r="AV145" s="669"/>
    </row>
    <row r="146" spans="1:48" s="444" customFormat="1" ht="15.75" hidden="1" customHeight="1" x14ac:dyDescent="0.25">
      <c r="A146" s="675" t="s">
        <v>843</v>
      </c>
      <c r="B146" s="651" t="s">
        <v>380</v>
      </c>
      <c r="C146" s="651" t="s">
        <v>525</v>
      </c>
      <c r="D146" s="651" t="s">
        <v>180</v>
      </c>
      <c r="E146" s="651" t="s">
        <v>526</v>
      </c>
      <c r="F146" s="651" t="s">
        <v>527</v>
      </c>
      <c r="G146" s="651" t="s">
        <v>528</v>
      </c>
      <c r="H146" s="684" t="s">
        <v>612</v>
      </c>
      <c r="I146" s="684" t="s">
        <v>613</v>
      </c>
      <c r="J146" s="684" t="s">
        <v>760</v>
      </c>
      <c r="K146" s="684">
        <v>216877</v>
      </c>
      <c r="L146" s="651" t="s">
        <v>48</v>
      </c>
      <c r="M146" s="651" t="s">
        <v>47</v>
      </c>
      <c r="N146" s="676">
        <v>96.339870000000005</v>
      </c>
      <c r="O146" s="676">
        <v>25.655989999999999</v>
      </c>
      <c r="P146" s="697"/>
      <c r="Q146" s="840">
        <v>0</v>
      </c>
      <c r="R146" s="841">
        <v>0</v>
      </c>
      <c r="S146" s="679" t="str">
        <f>IF(CampList[[#This Row],[HH]]&gt;0,CampList[[#This Row],[Total]]/CampList[[#This Row],[HH]],"NA")</f>
        <v>NA</v>
      </c>
      <c r="T146" s="653" t="s">
        <v>511</v>
      </c>
      <c r="U146" s="688" t="s">
        <v>1191</v>
      </c>
      <c r="V146" s="653" t="s">
        <v>554</v>
      </c>
      <c r="W146" s="688"/>
      <c r="X146" s="706"/>
      <c r="Y146" s="697"/>
      <c r="Z146" s="707"/>
      <c r="AA146" s="693"/>
      <c r="AB146" s="682"/>
      <c r="AC146" s="710"/>
      <c r="AD146" s="675" t="s">
        <v>601</v>
      </c>
      <c r="AE146" s="708" t="s">
        <v>1007</v>
      </c>
      <c r="AF146" s="476">
        <f>IF(CampList[[#This Row],[Type of Accomodation]]="camp",MAX(0,CampList[[#This Row],[HH]]-SUMIF(Table_Shelter[Pcode],CampList[[#This Row],[CP_Pcode]],Table_Shelter[HH Covered])),0)</f>
        <v>0</v>
      </c>
      <c r="AG146" s="653"/>
      <c r="AH146" s="682">
        <f>MIN(CampList[[#This Row],[Shelter Gap]],CampList[[#This Row],[Land Status]])</f>
        <v>0</v>
      </c>
      <c r="AI146" s="653" t="str">
        <f ca="1">IFERROR(OFFSET(DistanceToCamp[Nearest Town],MATCH(CampList[[#This Row],[CP_Pcode]],DistanceToCamp[CP_Pcode],0)-1,0,1,1),"")</f>
        <v/>
      </c>
      <c r="AJ146" s="686" t="str">
        <f ca="1">IFERROR(OFFSET(DistanceToCamp[distance],MATCH(CampList[[#This Row],[CP_Pcode]],DistanceToCamp[CP_Pcode],0)-1,0,1,1),"")</f>
        <v/>
      </c>
      <c r="AK146" s="687" t="str">
        <f ca="1">IFERROR(INT(CampList[[#This Row],[Distance]]/5)+1,"")</f>
        <v/>
      </c>
      <c r="AL146" s="669"/>
      <c r="AM146" s="669"/>
      <c r="AN146" s="669"/>
      <c r="AO146" s="669"/>
      <c r="AP146" s="669"/>
      <c r="AQ146" s="669"/>
      <c r="AR146" s="669"/>
      <c r="AS146" s="669"/>
      <c r="AT146" s="669"/>
      <c r="AU146" s="669"/>
      <c r="AV146" s="669"/>
    </row>
    <row r="147" spans="1:48" s="444" customFormat="1" ht="15.75" hidden="1" customHeight="1" x14ac:dyDescent="0.25">
      <c r="A147" s="675" t="s">
        <v>843</v>
      </c>
      <c r="B147" s="651" t="s">
        <v>380</v>
      </c>
      <c r="C147" s="651" t="s">
        <v>525</v>
      </c>
      <c r="D147" s="651" t="s">
        <v>180</v>
      </c>
      <c r="E147" s="651" t="s">
        <v>526</v>
      </c>
      <c r="F147" s="651" t="s">
        <v>527</v>
      </c>
      <c r="G147" s="651" t="s">
        <v>528</v>
      </c>
      <c r="H147" s="684" t="s">
        <v>612</v>
      </c>
      <c r="I147" s="684" t="s">
        <v>613</v>
      </c>
      <c r="J147" s="684" t="s">
        <v>612</v>
      </c>
      <c r="K147" s="684">
        <v>166773</v>
      </c>
      <c r="L147" s="651" t="s">
        <v>128</v>
      </c>
      <c r="M147" s="651" t="s">
        <v>127</v>
      </c>
      <c r="N147" s="676">
        <v>96.359549999999999</v>
      </c>
      <c r="O147" s="676">
        <v>25.658650000000002</v>
      </c>
      <c r="P147" s="697"/>
      <c r="Q147" s="840">
        <v>0</v>
      </c>
      <c r="R147" s="841">
        <v>0</v>
      </c>
      <c r="S147" s="679" t="str">
        <f>IF(CampList[[#This Row],[HH]]&gt;0,CampList[[#This Row],[Total]]/CampList[[#This Row],[HH]],"NA")</f>
        <v>NA</v>
      </c>
      <c r="T147" s="653" t="s">
        <v>511</v>
      </c>
      <c r="U147" s="688" t="s">
        <v>1191</v>
      </c>
      <c r="V147" s="653" t="s">
        <v>554</v>
      </c>
      <c r="W147" s="688"/>
      <c r="X147" s="706"/>
      <c r="Y147" s="697"/>
      <c r="Z147" s="707"/>
      <c r="AA147" s="693"/>
      <c r="AB147" s="682"/>
      <c r="AC147" s="710"/>
      <c r="AD147" s="675" t="s">
        <v>601</v>
      </c>
      <c r="AE147" s="717" t="s">
        <v>1007</v>
      </c>
      <c r="AF147" s="476">
        <f>IF(CampList[[#This Row],[Type of Accomodation]]="camp",MAX(0,CampList[[#This Row],[HH]]-SUMIF(Table_Shelter[Pcode],CampList[[#This Row],[CP_Pcode]],Table_Shelter[HH Covered])),0)</f>
        <v>0</v>
      </c>
      <c r="AG147" s="653"/>
      <c r="AH147" s="682">
        <f>MIN(CampList[[#This Row],[Shelter Gap]],CampList[[#This Row],[Land Status]])</f>
        <v>0</v>
      </c>
      <c r="AI147" s="653" t="str">
        <f ca="1">IFERROR(OFFSET(DistanceToCamp[Nearest Town],MATCH(CampList[[#This Row],[CP_Pcode]],DistanceToCamp[CP_Pcode],0)-1,0,1,1),"")</f>
        <v/>
      </c>
      <c r="AJ147" s="686" t="str">
        <f ca="1">IFERROR(OFFSET(DistanceToCamp[distance],MATCH(CampList[[#This Row],[CP_Pcode]],DistanceToCamp[CP_Pcode],0)-1,0,1,1),"")</f>
        <v/>
      </c>
      <c r="AK147" s="687" t="str">
        <f ca="1">IFERROR(INT(CampList[[#This Row],[Distance]]/5)+1,"")</f>
        <v/>
      </c>
      <c r="AL147" s="669"/>
      <c r="AM147" s="669"/>
      <c r="AN147" s="669"/>
      <c r="AO147" s="669"/>
      <c r="AP147" s="669"/>
      <c r="AQ147" s="669"/>
      <c r="AR147" s="669"/>
      <c r="AS147" s="669"/>
      <c r="AT147" s="669"/>
      <c r="AU147" s="669"/>
      <c r="AV147" s="669"/>
    </row>
    <row r="148" spans="1:48" s="444" customFormat="1" ht="15.75" hidden="1" customHeight="1" x14ac:dyDescent="0.25">
      <c r="A148" s="675" t="s">
        <v>843</v>
      </c>
      <c r="B148" s="651" t="s">
        <v>380</v>
      </c>
      <c r="C148" s="651" t="s">
        <v>525</v>
      </c>
      <c r="D148" s="651" t="s">
        <v>180</v>
      </c>
      <c r="E148" s="651" t="s">
        <v>526</v>
      </c>
      <c r="F148" s="651" t="s">
        <v>527</v>
      </c>
      <c r="G148" s="651" t="s">
        <v>528</v>
      </c>
      <c r="H148" s="684" t="s">
        <v>612</v>
      </c>
      <c r="I148" s="684" t="s">
        <v>613</v>
      </c>
      <c r="J148" s="684" t="s">
        <v>615</v>
      </c>
      <c r="K148" s="684">
        <v>216880</v>
      </c>
      <c r="L148" s="651" t="s">
        <v>60</v>
      </c>
      <c r="M148" s="651" t="s">
        <v>59</v>
      </c>
      <c r="N148" s="676">
        <v>96.353070000000002</v>
      </c>
      <c r="O148" s="676">
        <v>25.668469999999999</v>
      </c>
      <c r="P148" s="692">
        <v>256</v>
      </c>
      <c r="Q148" s="840">
        <v>0</v>
      </c>
      <c r="R148" s="841">
        <v>0</v>
      </c>
      <c r="S148" s="679" t="str">
        <f>IF(CampList[[#This Row],[HH]]&gt;0,CampList[[#This Row],[Total]]/CampList[[#This Row],[HH]],"NA")</f>
        <v>NA</v>
      </c>
      <c r="T148" s="653" t="s">
        <v>511</v>
      </c>
      <c r="U148" s="688" t="s">
        <v>1191</v>
      </c>
      <c r="V148" s="653" t="s">
        <v>554</v>
      </c>
      <c r="W148" s="688" t="s">
        <v>856</v>
      </c>
      <c r="X148" s="689">
        <v>41275</v>
      </c>
      <c r="Y148" s="690"/>
      <c r="Z148" s="689"/>
      <c r="AA148" s="693" t="s">
        <v>841</v>
      </c>
      <c r="AB148" s="682"/>
      <c r="AC148" s="683">
        <v>41774</v>
      </c>
      <c r="AD148" s="675" t="s">
        <v>1046</v>
      </c>
      <c r="AE148" s="685" t="s">
        <v>1007</v>
      </c>
      <c r="AF148" s="476">
        <f>IF(CampList[[#This Row],[Type of Accomodation]]="camp",MAX(0,CampList[[#This Row],[HH]]-SUMIF(Table_Shelter[Pcode],CampList[[#This Row],[CP_Pcode]],Table_Shelter[HH Covered])),0)</f>
        <v>0</v>
      </c>
      <c r="AG148" s="653"/>
      <c r="AH148" s="682">
        <f>MIN(CampList[[#This Row],[Shelter Gap]],CampList[[#This Row],[Land Status]])</f>
        <v>0</v>
      </c>
      <c r="AI148" s="653" t="str">
        <f ca="1">IFERROR(OFFSET(DistanceToCamp[Nearest Town],MATCH(CampList[[#This Row],[CP_Pcode]],DistanceToCamp[CP_Pcode],0)-1,0,1,1),"")</f>
        <v/>
      </c>
      <c r="AJ148" s="686" t="str">
        <f ca="1">IFERROR(OFFSET(DistanceToCamp[distance],MATCH(CampList[[#This Row],[CP_Pcode]],DistanceToCamp[CP_Pcode],0)-1,0,1,1),"")</f>
        <v/>
      </c>
      <c r="AK148" s="687" t="str">
        <f ca="1">IFERROR(INT(CampList[[#This Row],[Distance]]/5)+1,"")</f>
        <v/>
      </c>
      <c r="AL148" s="669"/>
      <c r="AM148" s="669"/>
      <c r="AN148" s="669"/>
      <c r="AO148" s="669"/>
      <c r="AP148" s="669"/>
      <c r="AQ148" s="669"/>
      <c r="AR148" s="669"/>
      <c r="AS148" s="669"/>
      <c r="AT148" s="669"/>
      <c r="AU148" s="669"/>
      <c r="AV148" s="669"/>
    </row>
    <row r="149" spans="1:48" s="444" customFormat="1" ht="15.75" hidden="1" customHeight="1" x14ac:dyDescent="0.25">
      <c r="A149" s="675" t="s">
        <v>843</v>
      </c>
      <c r="B149" s="651" t="s">
        <v>380</v>
      </c>
      <c r="C149" s="651" t="s">
        <v>525</v>
      </c>
      <c r="D149" s="651" t="s">
        <v>180</v>
      </c>
      <c r="E149" s="651" t="s">
        <v>526</v>
      </c>
      <c r="F149" s="651" t="s">
        <v>527</v>
      </c>
      <c r="G149" s="651" t="s">
        <v>528</v>
      </c>
      <c r="H149" s="684" t="s">
        <v>612</v>
      </c>
      <c r="I149" s="684" t="s">
        <v>613</v>
      </c>
      <c r="J149" s="684" t="s">
        <v>614</v>
      </c>
      <c r="K149" s="684">
        <v>166775</v>
      </c>
      <c r="L149" s="651" t="s">
        <v>39</v>
      </c>
      <c r="M149" s="651" t="s">
        <v>38</v>
      </c>
      <c r="N149" s="676"/>
      <c r="O149" s="676"/>
      <c r="P149" s="697"/>
      <c r="Q149" s="840">
        <v>0</v>
      </c>
      <c r="R149" s="841">
        <v>0</v>
      </c>
      <c r="S149" s="679" t="str">
        <f>IF(CampList[[#This Row],[HH]]&gt;0,CampList[[#This Row],[Total]]/CampList[[#This Row],[HH]],"NA")</f>
        <v>NA</v>
      </c>
      <c r="T149" s="653" t="s">
        <v>511</v>
      </c>
      <c r="U149" s="688" t="s">
        <v>1191</v>
      </c>
      <c r="V149" s="653" t="s">
        <v>554</v>
      </c>
      <c r="W149" s="688"/>
      <c r="X149" s="706"/>
      <c r="Y149" s="697"/>
      <c r="Z149" s="707"/>
      <c r="AA149" s="693"/>
      <c r="AB149" s="682"/>
      <c r="AC149" s="710"/>
      <c r="AD149" s="675" t="s">
        <v>601</v>
      </c>
      <c r="AE149" s="708" t="s">
        <v>1007</v>
      </c>
      <c r="AF149" s="476">
        <f>IF(CampList[[#This Row],[Type of Accomodation]]="camp",MAX(0,CampList[[#This Row],[HH]]-SUMIF(Table_Shelter[Pcode],CampList[[#This Row],[CP_Pcode]],Table_Shelter[HH Covered])),0)</f>
        <v>0</v>
      </c>
      <c r="AG149" s="653"/>
      <c r="AH149" s="682">
        <f>MIN(CampList[[#This Row],[Shelter Gap]],CampList[[#This Row],[Land Status]])</f>
        <v>0</v>
      </c>
      <c r="AI149" s="653" t="str">
        <f ca="1">IFERROR(OFFSET(DistanceToCamp[Nearest Town],MATCH(CampList[[#This Row],[CP_Pcode]],DistanceToCamp[CP_Pcode],0)-1,0,1,1),"")</f>
        <v/>
      </c>
      <c r="AJ149" s="686" t="str">
        <f ca="1">IFERROR(OFFSET(DistanceToCamp[distance],MATCH(CampList[[#This Row],[CP_Pcode]],DistanceToCamp[CP_Pcode],0)-1,0,1,1),"")</f>
        <v/>
      </c>
      <c r="AK149" s="687" t="str">
        <f ca="1">IFERROR(INT(CampList[[#This Row],[Distance]]/5)+1,"")</f>
        <v/>
      </c>
      <c r="AL149" s="669"/>
      <c r="AM149" s="669"/>
      <c r="AN149" s="669"/>
      <c r="AO149" s="669"/>
      <c r="AP149" s="669"/>
      <c r="AQ149" s="669"/>
      <c r="AR149" s="669"/>
      <c r="AS149" s="669"/>
      <c r="AT149" s="669"/>
      <c r="AU149" s="669"/>
      <c r="AV149" s="669"/>
    </row>
    <row r="150" spans="1:48" s="444" customFormat="1" ht="15.75" customHeight="1" x14ac:dyDescent="0.25">
      <c r="A150" s="695" t="s">
        <v>500</v>
      </c>
      <c r="B150" s="652" t="s">
        <v>380</v>
      </c>
      <c r="C150" s="652" t="s">
        <v>525</v>
      </c>
      <c r="D150" s="652" t="s">
        <v>5</v>
      </c>
      <c r="E150" s="652" t="s">
        <v>529</v>
      </c>
      <c r="F150" s="652" t="s">
        <v>185</v>
      </c>
      <c r="G150" s="652" t="s">
        <v>533</v>
      </c>
      <c r="H150" s="652" t="s">
        <v>658</v>
      </c>
      <c r="I150" s="696" t="s">
        <v>659</v>
      </c>
      <c r="J150" s="652" t="s">
        <v>658</v>
      </c>
      <c r="K150" s="652">
        <v>167009</v>
      </c>
      <c r="L150" s="652" t="s">
        <v>202</v>
      </c>
      <c r="M150" s="652" t="s">
        <v>201</v>
      </c>
      <c r="N150" s="678">
        <v>97.325019999999995</v>
      </c>
      <c r="O150" s="678">
        <v>24.245100000000001</v>
      </c>
      <c r="P150" s="698"/>
      <c r="Q150" s="844">
        <v>265</v>
      </c>
      <c r="R150" s="844">
        <v>1183</v>
      </c>
      <c r="S150" s="679">
        <f>IF(CampList[[#This Row],[HH]]&gt;0,CampList[[#This Row],[Total]]/CampList[[#This Row],[HH]],"NA")</f>
        <v>4.4641509433962261</v>
      </c>
      <c r="T150" s="476" t="s">
        <v>511</v>
      </c>
      <c r="U150" s="653" t="s">
        <v>1191</v>
      </c>
      <c r="V150" s="476" t="s">
        <v>554</v>
      </c>
      <c r="W150" s="476" t="s">
        <v>803</v>
      </c>
      <c r="X150" s="699">
        <v>41030</v>
      </c>
      <c r="Y150" s="698">
        <v>2</v>
      </c>
      <c r="Z150" s="698" t="s">
        <v>1089</v>
      </c>
      <c r="AA150" s="678" t="s">
        <v>842</v>
      </c>
      <c r="AB150" s="678"/>
      <c r="AC150" s="683">
        <v>42780</v>
      </c>
      <c r="AD150" s="700" t="s">
        <v>1524</v>
      </c>
      <c r="AE150" s="685" t="s">
        <v>1093</v>
      </c>
      <c r="AF150" s="701">
        <f>IF(CampList[[#This Row],[Type of Accomodation]]="camp",MAX(0,CampList[[#This Row],[HH]]-SUMIF(Table_Shelter[Pcode],CampList[[#This Row],[CP_Pcode]],Table_Shelter[HH Covered])),0)</f>
        <v>112</v>
      </c>
      <c r="AG150" s="476"/>
      <c r="AH150" s="677">
        <f>MIN(CampList[[#This Row],[Shelter Gap]],CampList[[#This Row],[Land Status]])</f>
        <v>112</v>
      </c>
      <c r="AI150" s="701" t="str">
        <f ca="1">IFERROR(OFFSET(DistanceToCamp[Nearest Town],MATCH(CampList[[#This Row],[CP_Pcode]],DistanceToCamp[CP_Pcode],0)-1,0,1,1),"")</f>
        <v>Momauk Town</v>
      </c>
      <c r="AJ150" s="686">
        <f ca="1">IFERROR(OFFSET(DistanceToCamp[distance],MATCH(CampList[[#This Row],[CP_Pcode]],DistanceToCamp[CP_Pcode],0)-1,0,1,1),"")</f>
        <v>2.4411071835305544</v>
      </c>
      <c r="AK150" s="702">
        <f ca="1">IFERROR(INT(CampList[[#This Row],[Distance]]/5)+1,"")</f>
        <v>1</v>
      </c>
      <c r="AL150" s="669"/>
      <c r="AM150" s="669"/>
      <c r="AN150" s="669"/>
      <c r="AO150" s="669"/>
      <c r="AP150" s="669"/>
      <c r="AQ150" s="669"/>
      <c r="AR150" s="669"/>
      <c r="AS150" s="669"/>
      <c r="AT150" s="669"/>
      <c r="AU150" s="669"/>
      <c r="AV150" s="669"/>
    </row>
    <row r="151" spans="1:48" s="444" customFormat="1" ht="15.75" hidden="1" customHeight="1" x14ac:dyDescent="0.25">
      <c r="A151" s="675" t="s">
        <v>843</v>
      </c>
      <c r="B151" s="651" t="s">
        <v>380</v>
      </c>
      <c r="C151" s="651" t="s">
        <v>525</v>
      </c>
      <c r="D151" s="651" t="s">
        <v>180</v>
      </c>
      <c r="E151" s="651" t="s">
        <v>526</v>
      </c>
      <c r="F151" s="651" t="s">
        <v>527</v>
      </c>
      <c r="G151" s="651" t="s">
        <v>528</v>
      </c>
      <c r="H151" s="684" t="s">
        <v>603</v>
      </c>
      <c r="I151" s="684" t="s">
        <v>604</v>
      </c>
      <c r="J151" s="684" t="s">
        <v>701</v>
      </c>
      <c r="K151" s="684" t="s">
        <v>702</v>
      </c>
      <c r="L151" s="651" t="s">
        <v>74</v>
      </c>
      <c r="M151" s="651" t="s">
        <v>73</v>
      </c>
      <c r="N151" s="676"/>
      <c r="O151" s="676"/>
      <c r="P151" s="697"/>
      <c r="Q151" s="840">
        <v>0</v>
      </c>
      <c r="R151" s="841">
        <v>0</v>
      </c>
      <c r="S151" s="679" t="str">
        <f>IF(CampList[[#This Row],[HH]]&gt;0,CampList[[#This Row],[Total]]/CampList[[#This Row],[HH]],"NA")</f>
        <v>NA</v>
      </c>
      <c r="T151" s="653" t="s">
        <v>511</v>
      </c>
      <c r="U151" s="688" t="s">
        <v>1191</v>
      </c>
      <c r="V151" s="653" t="s">
        <v>554</v>
      </c>
      <c r="W151" s="688"/>
      <c r="X151" s="706"/>
      <c r="Y151" s="697"/>
      <c r="Z151" s="707"/>
      <c r="AA151" s="693"/>
      <c r="AB151" s="682"/>
      <c r="AC151" s="710"/>
      <c r="AD151" s="675" t="s">
        <v>601</v>
      </c>
      <c r="AE151" s="708" t="s">
        <v>1007</v>
      </c>
      <c r="AF151" s="476">
        <f>IF(CampList[[#This Row],[Type of Accomodation]]="camp",MAX(0,CampList[[#This Row],[HH]]-SUMIF(Table_Shelter[Pcode],CampList[[#This Row],[CP_Pcode]],Table_Shelter[HH Covered])),0)</f>
        <v>0</v>
      </c>
      <c r="AG151" s="653"/>
      <c r="AH151" s="682">
        <f>MIN(CampList[[#This Row],[Shelter Gap]],CampList[[#This Row],[Land Status]])</f>
        <v>0</v>
      </c>
      <c r="AI151" s="653" t="str">
        <f ca="1">IFERROR(OFFSET(DistanceToCamp[Nearest Town],MATCH(CampList[[#This Row],[CP_Pcode]],DistanceToCamp[CP_Pcode],0)-1,0,1,1),"")</f>
        <v/>
      </c>
      <c r="AJ151" s="686" t="str">
        <f ca="1">IFERROR(OFFSET(DistanceToCamp[distance],MATCH(CampList[[#This Row],[CP_Pcode]],DistanceToCamp[CP_Pcode],0)-1,0,1,1),"")</f>
        <v/>
      </c>
      <c r="AK151" s="687" t="str">
        <f ca="1">IFERROR(INT(CampList[[#This Row],[Distance]]/5)+1,"")</f>
        <v/>
      </c>
      <c r="AL151" s="669"/>
      <c r="AM151" s="669"/>
      <c r="AN151" s="669"/>
      <c r="AO151" s="669"/>
      <c r="AP151" s="669"/>
      <c r="AQ151" s="669"/>
      <c r="AR151" s="669"/>
      <c r="AS151" s="669"/>
      <c r="AT151" s="669"/>
      <c r="AU151" s="669"/>
      <c r="AV151" s="669"/>
    </row>
    <row r="152" spans="1:48" s="444" customFormat="1" ht="15.75" customHeight="1" x14ac:dyDescent="0.25">
      <c r="A152" s="675" t="s">
        <v>500</v>
      </c>
      <c r="B152" s="651" t="s">
        <v>380</v>
      </c>
      <c r="C152" s="651" t="s">
        <v>525</v>
      </c>
      <c r="D152" s="651" t="s">
        <v>5</v>
      </c>
      <c r="E152" s="651" t="s">
        <v>529</v>
      </c>
      <c r="F152" s="651" t="s">
        <v>151</v>
      </c>
      <c r="G152" s="651" t="s">
        <v>539</v>
      </c>
      <c r="H152" s="684" t="s">
        <v>660</v>
      </c>
      <c r="I152" s="684" t="s">
        <v>661</v>
      </c>
      <c r="J152" s="684" t="s">
        <v>660</v>
      </c>
      <c r="K152" s="684">
        <v>167405</v>
      </c>
      <c r="L152" s="651" t="s">
        <v>156</v>
      </c>
      <c r="M152" s="651" t="s">
        <v>155</v>
      </c>
      <c r="N152" s="676">
        <v>97.588291999999996</v>
      </c>
      <c r="O152" s="676">
        <v>23.827870999999998</v>
      </c>
      <c r="P152" s="698"/>
      <c r="Q152" s="840">
        <v>175</v>
      </c>
      <c r="R152" s="841">
        <v>834</v>
      </c>
      <c r="S152" s="679">
        <f>IF(CampList[[#This Row],[HH]]&gt;0,CampList[[#This Row],[Total]]/CampList[[#This Row],[HH]],"NA")</f>
        <v>4.765714285714286</v>
      </c>
      <c r="T152" s="653" t="s">
        <v>511</v>
      </c>
      <c r="U152" s="653" t="s">
        <v>1191</v>
      </c>
      <c r="V152" s="712" t="s">
        <v>12</v>
      </c>
      <c r="W152" s="653" t="s">
        <v>856</v>
      </c>
      <c r="X152" s="699"/>
      <c r="Y152" s="698"/>
      <c r="Z152" s="682"/>
      <c r="AA152" s="693" t="s">
        <v>842</v>
      </c>
      <c r="AB152" s="682"/>
      <c r="AC152" s="683">
        <v>42397</v>
      </c>
      <c r="AD152" s="684" t="s">
        <v>1321</v>
      </c>
      <c r="AE152" s="708" t="s">
        <v>1093</v>
      </c>
      <c r="AF152" s="476">
        <f>IF(CampList[[#This Row],[Type of Accomodation]]="camp",MAX(0,CampList[[#This Row],[HH]]-SUMIF(Table_Shelter[Pcode],CampList[[#This Row],[CP_Pcode]],Table_Shelter[HH Covered])),0)</f>
        <v>0</v>
      </c>
      <c r="AG152" s="653"/>
      <c r="AH152" s="682">
        <f>MIN(CampList[[#This Row],[Shelter Gap]],CampList[[#This Row],[Land Status]])</f>
        <v>0</v>
      </c>
      <c r="AI152" s="653" t="str">
        <f ca="1">IFERROR(OFFSET(DistanceToCamp[Nearest Town],MATCH(CampList[[#This Row],[CP_Pcode]],DistanceToCamp[CP_Pcode],0)-1,0,1,1),"")</f>
        <v>Namhkan Town</v>
      </c>
      <c r="AJ152" s="686">
        <f ca="1">IFERROR(OFFSET(DistanceToCamp[distance],MATCH(CampList[[#This Row],[CP_Pcode]],DistanceToCamp[CP_Pcode],0)-1,0,1,1),"")</f>
        <v>9.5650381623500511</v>
      </c>
      <c r="AK152" s="687">
        <f ca="1">IFERROR(INT(CampList[[#This Row],[Distance]]/5)+1,"")</f>
        <v>2</v>
      </c>
      <c r="AL152" s="669"/>
      <c r="AM152" s="669"/>
      <c r="AN152" s="669"/>
      <c r="AO152" s="669"/>
      <c r="AP152" s="669"/>
      <c r="AQ152" s="669"/>
      <c r="AR152" s="669"/>
      <c r="AS152" s="669"/>
      <c r="AT152" s="669"/>
      <c r="AU152" s="669"/>
      <c r="AV152" s="669"/>
    </row>
    <row r="153" spans="1:48" s="444" customFormat="1" ht="15.75" hidden="1" customHeight="1" x14ac:dyDescent="0.25">
      <c r="A153" s="675" t="s">
        <v>843</v>
      </c>
      <c r="B153" s="651" t="s">
        <v>380</v>
      </c>
      <c r="C153" s="651" t="s">
        <v>525</v>
      </c>
      <c r="D153" s="651" t="s">
        <v>180</v>
      </c>
      <c r="E153" s="651" t="s">
        <v>526</v>
      </c>
      <c r="F153" s="651" t="s">
        <v>527</v>
      </c>
      <c r="G153" s="651" t="s">
        <v>528</v>
      </c>
      <c r="H153" s="684" t="s">
        <v>612</v>
      </c>
      <c r="I153" s="684" t="s">
        <v>613</v>
      </c>
      <c r="J153" s="684" t="s">
        <v>612</v>
      </c>
      <c r="K153" s="684">
        <v>166773</v>
      </c>
      <c r="L153" s="651" t="s">
        <v>142</v>
      </c>
      <c r="M153" s="651" t="s">
        <v>141</v>
      </c>
      <c r="N153" s="676">
        <v>96.354159999999993</v>
      </c>
      <c r="O153" s="676">
        <v>25.658670000000001</v>
      </c>
      <c r="P153" s="677">
        <v>0</v>
      </c>
      <c r="Q153" s="840">
        <v>0</v>
      </c>
      <c r="R153" s="841">
        <v>0</v>
      </c>
      <c r="S153" s="679" t="str">
        <f>IF(CampList[[#This Row],[HH]]&gt;0,CampList[[#This Row],[Total]]/CampList[[#This Row],[HH]],"NA")</f>
        <v>NA</v>
      </c>
      <c r="T153" s="653" t="s">
        <v>511</v>
      </c>
      <c r="U153" s="688" t="s">
        <v>1191</v>
      </c>
      <c r="V153" s="653" t="s">
        <v>554</v>
      </c>
      <c r="W153" s="688" t="s">
        <v>856</v>
      </c>
      <c r="X153" s="689">
        <v>41275</v>
      </c>
      <c r="Y153" s="690"/>
      <c r="Z153" s="689"/>
      <c r="AA153" s="693" t="s">
        <v>841</v>
      </c>
      <c r="AB153" s="682"/>
      <c r="AC153" s="683">
        <v>41774</v>
      </c>
      <c r="AD153" s="675" t="s">
        <v>1048</v>
      </c>
      <c r="AE153" s="685" t="s">
        <v>1007</v>
      </c>
      <c r="AF153" s="476">
        <f>IF(CampList[[#This Row],[Type of Accomodation]]="camp",MAX(0,CampList[[#This Row],[HH]]-SUMIF(Table_Shelter[Pcode],CampList[[#This Row],[CP_Pcode]],Table_Shelter[HH Covered])),0)</f>
        <v>0</v>
      </c>
      <c r="AG153" s="653"/>
      <c r="AH153" s="682">
        <f>MIN(CampList[[#This Row],[Shelter Gap]],CampList[[#This Row],[Land Status]])</f>
        <v>0</v>
      </c>
      <c r="AI153" s="653" t="str">
        <f ca="1">IFERROR(OFFSET(DistanceToCamp[Nearest Town],MATCH(CampList[[#This Row],[CP_Pcode]],DistanceToCamp[CP_Pcode],0)-1,0,1,1),"")</f>
        <v/>
      </c>
      <c r="AJ153" s="686" t="str">
        <f ca="1">IFERROR(OFFSET(DistanceToCamp[distance],MATCH(CampList[[#This Row],[CP_Pcode]],DistanceToCamp[CP_Pcode],0)-1,0,1,1),"")</f>
        <v/>
      </c>
      <c r="AK153" s="687" t="str">
        <f ca="1">IFERROR(INT(CampList[[#This Row],[Distance]]/5)+1,"")</f>
        <v/>
      </c>
      <c r="AL153" s="669"/>
      <c r="AM153" s="669"/>
      <c r="AN153" s="669"/>
      <c r="AO153" s="669"/>
      <c r="AP153" s="669"/>
      <c r="AQ153" s="669"/>
      <c r="AR153" s="669"/>
      <c r="AS153" s="669"/>
      <c r="AT153" s="669"/>
      <c r="AU153" s="669"/>
      <c r="AV153" s="669"/>
    </row>
    <row r="154" spans="1:48" s="444" customFormat="1" ht="15.75" hidden="1" customHeight="1" x14ac:dyDescent="0.25">
      <c r="A154" s="675" t="s">
        <v>843</v>
      </c>
      <c r="B154" s="651" t="s">
        <v>380</v>
      </c>
      <c r="C154" s="651" t="s">
        <v>525</v>
      </c>
      <c r="D154" s="651" t="s">
        <v>180</v>
      </c>
      <c r="E154" s="651" t="s">
        <v>526</v>
      </c>
      <c r="F154" s="651" t="s">
        <v>527</v>
      </c>
      <c r="G154" s="651" t="s">
        <v>528</v>
      </c>
      <c r="H154" s="684" t="s">
        <v>612</v>
      </c>
      <c r="I154" s="684" t="s">
        <v>613</v>
      </c>
      <c r="J154" s="684" t="s">
        <v>612</v>
      </c>
      <c r="K154" s="684">
        <v>166773</v>
      </c>
      <c r="L154" s="651" t="s">
        <v>98</v>
      </c>
      <c r="M154" s="651" t="s">
        <v>97</v>
      </c>
      <c r="N154" s="676">
        <v>96.359309999999994</v>
      </c>
      <c r="O154" s="676">
        <v>25.651440000000001</v>
      </c>
      <c r="P154" s="698"/>
      <c r="Q154" s="840">
        <v>0</v>
      </c>
      <c r="R154" s="841">
        <v>0</v>
      </c>
      <c r="S154" s="679" t="str">
        <f>IF(CampList[[#This Row],[HH]]&gt;0,CampList[[#This Row],[Total]]/CampList[[#This Row],[HH]],"NA")</f>
        <v>NA</v>
      </c>
      <c r="T154" s="653" t="s">
        <v>511</v>
      </c>
      <c r="U154" s="688" t="s">
        <v>1191</v>
      </c>
      <c r="V154" s="653" t="s">
        <v>554</v>
      </c>
      <c r="W154" s="688"/>
      <c r="X154" s="706"/>
      <c r="Y154" s="697"/>
      <c r="Z154" s="707"/>
      <c r="AA154" s="693"/>
      <c r="AB154" s="682"/>
      <c r="AC154" s="710"/>
      <c r="AD154" s="675" t="s">
        <v>601</v>
      </c>
      <c r="AE154" s="708" t="s">
        <v>1007</v>
      </c>
      <c r="AF154" s="476">
        <f>IF(CampList[[#This Row],[Type of Accomodation]]="camp",MAX(0,CampList[[#This Row],[HH]]-SUMIF(Table_Shelter[Pcode],CampList[[#This Row],[CP_Pcode]],Table_Shelter[HH Covered])),0)</f>
        <v>0</v>
      </c>
      <c r="AG154" s="653"/>
      <c r="AH154" s="682">
        <f>MIN(CampList[[#This Row],[Shelter Gap]],CampList[[#This Row],[Land Status]])</f>
        <v>0</v>
      </c>
      <c r="AI154" s="653" t="str">
        <f ca="1">IFERROR(OFFSET(DistanceToCamp[Nearest Town],MATCH(CampList[[#This Row],[CP_Pcode]],DistanceToCamp[CP_Pcode],0)-1,0,1,1),"")</f>
        <v/>
      </c>
      <c r="AJ154" s="686" t="str">
        <f ca="1">IFERROR(OFFSET(DistanceToCamp[distance],MATCH(CampList[[#This Row],[CP_Pcode]],DistanceToCamp[CP_Pcode],0)-1,0,1,1),"")</f>
        <v/>
      </c>
      <c r="AK154" s="687" t="str">
        <f ca="1">IFERROR(INT(CampList[[#This Row],[Distance]]/5)+1,"")</f>
        <v/>
      </c>
      <c r="AL154" s="669"/>
      <c r="AM154" s="669"/>
      <c r="AN154" s="669"/>
      <c r="AO154" s="669"/>
      <c r="AP154" s="669"/>
      <c r="AQ154" s="669"/>
      <c r="AR154" s="669"/>
      <c r="AS154" s="669"/>
      <c r="AT154" s="669"/>
      <c r="AU154" s="669"/>
      <c r="AV154" s="669"/>
    </row>
    <row r="155" spans="1:48" s="444" customFormat="1" ht="15.75" customHeight="1" x14ac:dyDescent="0.25">
      <c r="A155" s="675" t="s">
        <v>500</v>
      </c>
      <c r="B155" s="651" t="s">
        <v>380</v>
      </c>
      <c r="C155" s="651" t="s">
        <v>525</v>
      </c>
      <c r="D155" s="651" t="s">
        <v>180</v>
      </c>
      <c r="E155" s="651" t="s">
        <v>526</v>
      </c>
      <c r="F155" s="651" t="s">
        <v>180</v>
      </c>
      <c r="G155" s="651" t="s">
        <v>551</v>
      </c>
      <c r="H155" s="651" t="s">
        <v>1131</v>
      </c>
      <c r="I155" s="651" t="s">
        <v>1252</v>
      </c>
      <c r="J155" s="651"/>
      <c r="K155" s="651"/>
      <c r="L155" s="651" t="s">
        <v>1158</v>
      </c>
      <c r="M155" s="651" t="s">
        <v>1160</v>
      </c>
      <c r="N155" s="678">
        <v>96.366919999999993</v>
      </c>
      <c r="O155" s="678">
        <v>24.764959999999999</v>
      </c>
      <c r="P155" s="698"/>
      <c r="Q155" s="476">
        <v>14</v>
      </c>
      <c r="R155" s="708">
        <v>63</v>
      </c>
      <c r="S155" s="679">
        <f>IF(CampList[[#This Row],[HH]]&gt;0,CampList[[#This Row],[Total]]/CampList[[#This Row],[HH]],"NA")</f>
        <v>4.5</v>
      </c>
      <c r="T155" s="653" t="s">
        <v>511</v>
      </c>
      <c r="U155" s="653" t="s">
        <v>1191</v>
      </c>
      <c r="V155" s="712" t="s">
        <v>12</v>
      </c>
      <c r="W155" s="653" t="s">
        <v>803</v>
      </c>
      <c r="X155" s="699">
        <v>41275</v>
      </c>
      <c r="Y155" s="698"/>
      <c r="Z155" s="682"/>
      <c r="AA155" s="682" t="s">
        <v>842</v>
      </c>
      <c r="AB155" s="682"/>
      <c r="AC155" s="683">
        <v>42745</v>
      </c>
      <c r="AD155" s="684" t="s">
        <v>1466</v>
      </c>
      <c r="AE155" s="685"/>
      <c r="AF155" s="476">
        <f>IF(CampList[[#This Row],[Type of Accomodation]]="camp",MAX(0,CampList[[#This Row],[HH]]-SUMIF(Table_Shelter[Pcode],CampList[[#This Row],[CP_Pcode]],Table_Shelter[HH Covered])),0)</f>
        <v>0</v>
      </c>
      <c r="AG155" s="653"/>
      <c r="AH155" s="682">
        <f>MIN(CampList[[#This Row],[Shelter Gap]],CampList[[#This Row],[Land Status]])</f>
        <v>0</v>
      </c>
      <c r="AI155" s="653" t="str">
        <f ca="1">IFERROR(OFFSET(DistanceToCamp[Nearest Town],MATCH(CampList[[#This Row],[CP_Pcode]],DistanceToCamp[CP_Pcode],0)-1,0,1,1),"")</f>
        <v>Mohnyin Town</v>
      </c>
      <c r="AJ155" s="686">
        <f ca="1">IFERROR(OFFSET(DistanceToCamp[distance],MATCH(CampList[[#This Row],[CP_Pcode]],DistanceToCamp[CP_Pcode],0)-1,0,1,1),"")</f>
        <v>0</v>
      </c>
      <c r="AK155" s="687">
        <f ca="1">IFERROR(INT(CampList[[#This Row],[Distance]]/5)+1,"")</f>
        <v>1</v>
      </c>
      <c r="AL155" s="669"/>
      <c r="AM155" s="669"/>
      <c r="AN155" s="669"/>
      <c r="AO155" s="669"/>
      <c r="AP155" s="669"/>
      <c r="AQ155" s="669"/>
      <c r="AR155" s="669"/>
      <c r="AS155" s="669"/>
      <c r="AT155" s="669"/>
      <c r="AU155" s="669"/>
      <c r="AV155" s="669"/>
    </row>
    <row r="156" spans="1:48" s="444" customFormat="1" ht="15.75" hidden="1" customHeight="1" x14ac:dyDescent="0.25">
      <c r="A156" s="675" t="s">
        <v>843</v>
      </c>
      <c r="B156" s="651" t="s">
        <v>380</v>
      </c>
      <c r="C156" s="651" t="s">
        <v>525</v>
      </c>
      <c r="D156" s="651" t="s">
        <v>180</v>
      </c>
      <c r="E156" s="651" t="s">
        <v>526</v>
      </c>
      <c r="F156" s="651" t="s">
        <v>527</v>
      </c>
      <c r="G156" s="651" t="s">
        <v>528</v>
      </c>
      <c r="H156" s="684" t="s">
        <v>598</v>
      </c>
      <c r="I156" s="684" t="s">
        <v>599</v>
      </c>
      <c r="J156" s="684" t="s">
        <v>598</v>
      </c>
      <c r="K156" s="684">
        <v>166783</v>
      </c>
      <c r="L156" s="651" t="s">
        <v>78</v>
      </c>
      <c r="M156" s="651" t="s">
        <v>77</v>
      </c>
      <c r="N156" s="676"/>
      <c r="O156" s="676"/>
      <c r="P156" s="697"/>
      <c r="Q156" s="840">
        <v>0</v>
      </c>
      <c r="R156" s="841">
        <v>0</v>
      </c>
      <c r="S156" s="679" t="str">
        <f>IF(CampList[[#This Row],[HH]]&gt;0,CampList[[#This Row],[Total]]/CampList[[#This Row],[HH]],"NA")</f>
        <v>NA</v>
      </c>
      <c r="T156" s="653" t="s">
        <v>511</v>
      </c>
      <c r="U156" s="688" t="s">
        <v>1191</v>
      </c>
      <c r="V156" s="653" t="s">
        <v>554</v>
      </c>
      <c r="W156" s="688" t="s">
        <v>856</v>
      </c>
      <c r="X156" s="706"/>
      <c r="Y156" s="697"/>
      <c r="Z156" s="707"/>
      <c r="AA156" s="693" t="s">
        <v>842</v>
      </c>
      <c r="AB156" s="682"/>
      <c r="AC156" s="683">
        <v>41774</v>
      </c>
      <c r="AD156" s="675" t="s">
        <v>1048</v>
      </c>
      <c r="AE156" s="708" t="s">
        <v>1007</v>
      </c>
      <c r="AF156" s="476">
        <f>IF(CampList[[#This Row],[Type of Accomodation]]="camp",MAX(0,CampList[[#This Row],[HH]]-SUMIF(Table_Shelter[Pcode],CampList[[#This Row],[CP_Pcode]],Table_Shelter[HH Covered])),0)</f>
        <v>0</v>
      </c>
      <c r="AG156" s="653"/>
      <c r="AH156" s="682">
        <f>MIN(CampList[[#This Row],[Shelter Gap]],CampList[[#This Row],[Land Status]])</f>
        <v>0</v>
      </c>
      <c r="AI156" s="653" t="str">
        <f ca="1">IFERROR(OFFSET(DistanceToCamp[Nearest Town],MATCH(CampList[[#This Row],[CP_Pcode]],DistanceToCamp[CP_Pcode],0)-1,0,1,1),"")</f>
        <v/>
      </c>
      <c r="AJ156" s="686" t="str">
        <f ca="1">IFERROR(OFFSET(DistanceToCamp[distance],MATCH(CampList[[#This Row],[CP_Pcode]],DistanceToCamp[CP_Pcode],0)-1,0,1,1),"")</f>
        <v/>
      </c>
      <c r="AK156" s="687" t="str">
        <f ca="1">IFERROR(INT(CampList[[#This Row],[Distance]]/5)+1,"")</f>
        <v/>
      </c>
      <c r="AL156" s="669"/>
      <c r="AM156" s="669"/>
      <c r="AN156" s="669"/>
      <c r="AO156" s="669"/>
      <c r="AP156" s="669"/>
      <c r="AQ156" s="669"/>
      <c r="AR156" s="669"/>
      <c r="AS156" s="669"/>
      <c r="AT156" s="669"/>
      <c r="AU156" s="669"/>
      <c r="AV156" s="669"/>
    </row>
    <row r="157" spans="1:48" s="444" customFormat="1" ht="15.75" customHeight="1" x14ac:dyDescent="0.25">
      <c r="A157" s="675" t="s">
        <v>500</v>
      </c>
      <c r="B157" s="651" t="s">
        <v>380</v>
      </c>
      <c r="C157" s="651" t="s">
        <v>525</v>
      </c>
      <c r="D157" s="651" t="s">
        <v>5</v>
      </c>
      <c r="E157" s="651" t="s">
        <v>529</v>
      </c>
      <c r="F157" s="651" t="s">
        <v>185</v>
      </c>
      <c r="G157" s="651" t="s">
        <v>533</v>
      </c>
      <c r="H157" s="684" t="s">
        <v>662</v>
      </c>
      <c r="I157" s="684" t="s">
        <v>663</v>
      </c>
      <c r="J157" s="684" t="s">
        <v>664</v>
      </c>
      <c r="K157" s="684" t="s">
        <v>665</v>
      </c>
      <c r="L157" s="651" t="s">
        <v>209</v>
      </c>
      <c r="M157" s="651" t="s">
        <v>208</v>
      </c>
      <c r="N157" s="676">
        <v>97.344359999999995</v>
      </c>
      <c r="O157" s="676">
        <v>24.250689999999999</v>
      </c>
      <c r="P157" s="677">
        <v>0</v>
      </c>
      <c r="Q157" s="476">
        <v>387</v>
      </c>
      <c r="R157" s="476">
        <v>1844</v>
      </c>
      <c r="S157" s="679">
        <f>IF(CampList[[#This Row],[HH]]&gt;0,CampList[[#This Row],[Total]]/CampList[[#This Row],[HH]],"NA")</f>
        <v>4.7648578811369511</v>
      </c>
      <c r="T157" s="653" t="s">
        <v>511</v>
      </c>
      <c r="U157" s="653" t="s">
        <v>1191</v>
      </c>
      <c r="V157" s="653" t="s">
        <v>554</v>
      </c>
      <c r="W157" s="653" t="s">
        <v>803</v>
      </c>
      <c r="X157" s="680">
        <v>40695</v>
      </c>
      <c r="Y157" s="681">
        <v>3</v>
      </c>
      <c r="Z157" s="680" t="s">
        <v>460</v>
      </c>
      <c r="AA157" s="693" t="s">
        <v>842</v>
      </c>
      <c r="AB157" s="682"/>
      <c r="AC157" s="683">
        <v>42809</v>
      </c>
      <c r="AD157" s="675" t="s">
        <v>1618</v>
      </c>
      <c r="AE157" s="685" t="s">
        <v>1093</v>
      </c>
      <c r="AF157" s="476">
        <f>IF(CampList[[#This Row],[Type of Accomodation]]="camp",MAX(0,CampList[[#This Row],[HH]]-SUMIF(Table_Shelter[Pcode],CampList[[#This Row],[CP_Pcode]],Table_Shelter[HH Covered])),0)</f>
        <v>111</v>
      </c>
      <c r="AG157" s="653"/>
      <c r="AH157" s="682">
        <f>MIN(CampList[[#This Row],[Shelter Gap]],CampList[[#This Row],[Land Status]])</f>
        <v>111</v>
      </c>
      <c r="AI157" s="653" t="str">
        <f ca="1">IFERROR(OFFSET(DistanceToCamp[Nearest Town],MATCH(CampList[[#This Row],[CP_Pcode]],DistanceToCamp[CP_Pcode],0)-1,0,1,1),"")</f>
        <v>Momauk Town</v>
      </c>
      <c r="AJ157" s="686">
        <f ca="1">IFERROR(OFFSET(DistanceToCamp[distance],MATCH(CampList[[#This Row],[CP_Pcode]],DistanceToCamp[CP_Pcode],0)-1,0,1,1),"")</f>
        <v>0.62513510418653162</v>
      </c>
      <c r="AK157" s="687">
        <f ca="1">IFERROR(INT(CampList[[#This Row],[Distance]]/5)+1,"")</f>
        <v>1</v>
      </c>
      <c r="AL157" s="669"/>
      <c r="AM157" s="669"/>
      <c r="AN157" s="669"/>
      <c r="AO157" s="669"/>
      <c r="AP157" s="669"/>
      <c r="AQ157" s="669"/>
      <c r="AR157" s="669"/>
      <c r="AS157" s="669"/>
      <c r="AT157" s="669"/>
      <c r="AU157" s="669"/>
      <c r="AV157" s="669"/>
    </row>
    <row r="158" spans="1:48" s="444" customFormat="1" ht="15.75" hidden="1" customHeight="1" x14ac:dyDescent="0.25">
      <c r="A158" s="675" t="s">
        <v>843</v>
      </c>
      <c r="B158" s="651" t="s">
        <v>553</v>
      </c>
      <c r="C158" s="651" t="s">
        <v>536</v>
      </c>
      <c r="D158" s="651" t="s">
        <v>230</v>
      </c>
      <c r="E158" s="651" t="s">
        <v>537</v>
      </c>
      <c r="F158" s="651" t="s">
        <v>230</v>
      </c>
      <c r="G158" s="651" t="s">
        <v>538</v>
      </c>
      <c r="H158" s="651" t="s">
        <v>235</v>
      </c>
      <c r="I158" s="651" t="s">
        <v>1133</v>
      </c>
      <c r="J158" s="651" t="s">
        <v>235</v>
      </c>
      <c r="K158" s="651"/>
      <c r="L158" s="651" t="s">
        <v>235</v>
      </c>
      <c r="M158" s="651" t="s">
        <v>234</v>
      </c>
      <c r="N158" s="676">
        <v>98.054946000000001</v>
      </c>
      <c r="O158" s="676">
        <v>24.008452999999999</v>
      </c>
      <c r="P158" s="698">
        <v>3396</v>
      </c>
      <c r="Q158" s="840"/>
      <c r="R158" s="841"/>
      <c r="S158" s="679" t="str">
        <f>IF(CampList[[#This Row],[HH]]&gt;0,CampList[[#This Row],[Total]]/CampList[[#This Row],[HH]],"NA")</f>
        <v>NA</v>
      </c>
      <c r="T158" s="653" t="s">
        <v>513</v>
      </c>
      <c r="U158" s="653" t="s">
        <v>1191</v>
      </c>
      <c r="V158" s="653" t="s">
        <v>12</v>
      </c>
      <c r="W158" s="653" t="s">
        <v>856</v>
      </c>
      <c r="X158" s="699"/>
      <c r="Y158" s="698"/>
      <c r="Z158" s="682"/>
      <c r="AA158" s="682" t="s">
        <v>572</v>
      </c>
      <c r="AB158" s="682"/>
      <c r="AC158" s="683">
        <v>42831</v>
      </c>
      <c r="AD158" s="675" t="s">
        <v>1654</v>
      </c>
      <c r="AE158" s="708" t="s">
        <v>1077</v>
      </c>
      <c r="AF158" s="476">
        <f>IF(CampList[[#This Row],[Type of Accomodation]]="camp",MAX(0,CampList[[#This Row],[HH]]-SUMIF(Table_Shelter[Pcode],CampList[[#This Row],[CP_Pcode]],Table_Shelter[HH Covered])),0)</f>
        <v>0</v>
      </c>
      <c r="AG158" s="653"/>
      <c r="AH158" s="682">
        <f>MIN(CampList[[#This Row],[Shelter Gap]],CampList[[#This Row],[Land Status]])</f>
        <v>0</v>
      </c>
      <c r="AI158" s="653" t="str">
        <f ca="1">IFERROR(OFFSET(DistanceToCamp[Nearest Town],MATCH(CampList[[#This Row],[CP_Pcode]],DistanceToCamp[CP_Pcode],0)-1,0,1,1),"")</f>
        <v>Pang Hseng (Kyu Koke) Town</v>
      </c>
      <c r="AJ158" s="686">
        <f ca="1">IFERROR(OFFSET(DistanceToCamp[distance],MATCH(CampList[[#This Row],[CP_Pcode]],DistanceToCamp[CP_Pcode],0)-1,0,1,1),"")</f>
        <v>7.490291417449443</v>
      </c>
      <c r="AK158" s="687">
        <f ca="1">IFERROR(INT(CampList[[#This Row],[Distance]]/5)+1,"")</f>
        <v>2</v>
      </c>
      <c r="AL158" s="669"/>
      <c r="AM158" s="856">
        <v>503</v>
      </c>
      <c r="AN158" s="669"/>
      <c r="AO158" s="669"/>
      <c r="AP158" s="669"/>
      <c r="AQ158" s="669"/>
      <c r="AR158" s="669"/>
      <c r="AS158" s="669"/>
      <c r="AT158" s="669"/>
      <c r="AU158" s="669"/>
      <c r="AV158" s="669"/>
    </row>
    <row r="159" spans="1:48" s="444" customFormat="1" ht="15.75" customHeight="1" x14ac:dyDescent="0.25">
      <c r="A159" s="695" t="s">
        <v>500</v>
      </c>
      <c r="B159" s="652" t="s">
        <v>380</v>
      </c>
      <c r="C159" s="652" t="s">
        <v>525</v>
      </c>
      <c r="D159" s="652" t="s">
        <v>5</v>
      </c>
      <c r="E159" s="652" t="s">
        <v>529</v>
      </c>
      <c r="F159" s="652" t="s">
        <v>185</v>
      </c>
      <c r="G159" s="652" t="s">
        <v>533</v>
      </c>
      <c r="H159" s="652" t="s">
        <v>746</v>
      </c>
      <c r="I159" s="696" t="s">
        <v>747</v>
      </c>
      <c r="J159" s="652" t="s">
        <v>748</v>
      </c>
      <c r="K159" s="652">
        <v>167138</v>
      </c>
      <c r="L159" s="652" t="s">
        <v>215</v>
      </c>
      <c r="M159" s="652" t="s">
        <v>214</v>
      </c>
      <c r="N159" s="678">
        <v>97.669366999999994</v>
      </c>
      <c r="O159" s="678">
        <v>24.378167000000001</v>
      </c>
      <c r="P159" s="698">
        <v>1149</v>
      </c>
      <c r="Q159" s="844">
        <v>355</v>
      </c>
      <c r="R159" s="844">
        <v>1684</v>
      </c>
      <c r="S159" s="679">
        <f>IF(CampList[[#This Row],[HH]]&gt;0,CampList[[#This Row],[Total]]/CampList[[#This Row],[HH]],"NA")</f>
        <v>4.7436619718309858</v>
      </c>
      <c r="T159" s="476" t="s">
        <v>513</v>
      </c>
      <c r="U159" s="653" t="s">
        <v>1191</v>
      </c>
      <c r="V159" s="476" t="s">
        <v>554</v>
      </c>
      <c r="W159" s="476" t="s">
        <v>856</v>
      </c>
      <c r="X159" s="699">
        <v>41000</v>
      </c>
      <c r="Y159" s="698">
        <v>2</v>
      </c>
      <c r="Z159" s="698" t="s">
        <v>1089</v>
      </c>
      <c r="AA159" s="678" t="s">
        <v>842</v>
      </c>
      <c r="AB159" s="678"/>
      <c r="AC159" s="683">
        <v>42780</v>
      </c>
      <c r="AD159" s="700" t="s">
        <v>1530</v>
      </c>
      <c r="AE159" s="685" t="s">
        <v>1077</v>
      </c>
      <c r="AF159" s="701">
        <f>IF(CampList[[#This Row],[Type of Accomodation]]="camp",MAX(0,CampList[[#This Row],[HH]]-SUMIF(Table_Shelter[Pcode],CampList[[#This Row],[CP_Pcode]],Table_Shelter[HH Covered])),0)</f>
        <v>0</v>
      </c>
      <c r="AG159" s="476"/>
      <c r="AH159" s="677">
        <f>MIN(CampList[[#This Row],[Shelter Gap]],CampList[[#This Row],[Land Status]])</f>
        <v>0</v>
      </c>
      <c r="AI159" s="701" t="str">
        <f ca="1">IFERROR(OFFSET(DistanceToCamp[Nearest Town],MATCH(CampList[[#This Row],[CP_Pcode]],DistanceToCamp[CP_Pcode],0)-1,0,1,1),"")</f>
        <v>Lwegel Town</v>
      </c>
      <c r="AJ159" s="686">
        <f ca="1">IFERROR(OFFSET(DistanceToCamp[distance],MATCH(CampList[[#This Row],[CP_Pcode]],DistanceToCamp[CP_Pcode],0)-1,0,1,1),"")</f>
        <v>20.558236360788097</v>
      </c>
      <c r="AK159" s="702">
        <f ca="1">IFERROR(INT(CampList[[#This Row],[Distance]]/5)+1,"")</f>
        <v>5</v>
      </c>
      <c r="AL159" s="669"/>
      <c r="AM159" s="856">
        <v>1684</v>
      </c>
      <c r="AN159" s="669"/>
      <c r="AO159" s="669"/>
      <c r="AP159" s="669"/>
      <c r="AQ159" s="669"/>
      <c r="AR159" s="669"/>
      <c r="AS159" s="669"/>
      <c r="AT159" s="669"/>
      <c r="AU159" s="669"/>
      <c r="AV159" s="669"/>
    </row>
    <row r="160" spans="1:48" s="444" customFormat="1" ht="15.75" customHeight="1" x14ac:dyDescent="0.25">
      <c r="A160" s="675" t="s">
        <v>500</v>
      </c>
      <c r="B160" s="651" t="s">
        <v>380</v>
      </c>
      <c r="C160" s="651" t="s">
        <v>525</v>
      </c>
      <c r="D160" s="651" t="s">
        <v>5</v>
      </c>
      <c r="E160" s="651" t="s">
        <v>529</v>
      </c>
      <c r="F160" s="651" t="s">
        <v>185</v>
      </c>
      <c r="G160" s="651" t="s">
        <v>533</v>
      </c>
      <c r="H160" s="651" t="s">
        <v>753</v>
      </c>
      <c r="I160" s="651" t="s">
        <v>1257</v>
      </c>
      <c r="J160" s="714" t="s">
        <v>758</v>
      </c>
      <c r="K160" s="714" t="s">
        <v>759</v>
      </c>
      <c r="L160" s="651" t="s">
        <v>229</v>
      </c>
      <c r="M160" s="651" t="s">
        <v>228</v>
      </c>
      <c r="N160" s="676">
        <v>97.724483000000006</v>
      </c>
      <c r="O160" s="676">
        <v>24.205417000000001</v>
      </c>
      <c r="P160" s="677">
        <v>0</v>
      </c>
      <c r="Q160" s="476">
        <v>49</v>
      </c>
      <c r="R160" s="476">
        <v>300</v>
      </c>
      <c r="S160" s="679">
        <f>IF(CampList[[#This Row],[HH]]&gt;0,CampList[[#This Row],[Total]]/CampList[[#This Row],[HH]],"NA")</f>
        <v>6.1224489795918364</v>
      </c>
      <c r="T160" s="653" t="s">
        <v>511</v>
      </c>
      <c r="U160" s="653" t="s">
        <v>1191</v>
      </c>
      <c r="V160" s="653" t="s">
        <v>554</v>
      </c>
      <c r="W160" s="653" t="s">
        <v>803</v>
      </c>
      <c r="X160" s="680">
        <v>41122</v>
      </c>
      <c r="Y160" s="681">
        <v>1</v>
      </c>
      <c r="Z160" s="680" t="s">
        <v>460</v>
      </c>
      <c r="AA160" s="682" t="s">
        <v>842</v>
      </c>
      <c r="AB160" s="682"/>
      <c r="AC160" s="683">
        <v>42809</v>
      </c>
      <c r="AD160" s="684" t="s">
        <v>1618</v>
      </c>
      <c r="AE160" s="685" t="s">
        <v>1079</v>
      </c>
      <c r="AF160" s="476">
        <f>IF(CampList[[#This Row],[Type of Accomodation]]="camp",MAX(0,CampList[[#This Row],[HH]]-SUMIF(Table_Shelter[Pcode],CampList[[#This Row],[CP_Pcode]],Table_Shelter[HH Covered])),0)</f>
        <v>4</v>
      </c>
      <c r="AG160" s="476"/>
      <c r="AH160" s="682">
        <f>MIN(CampList[[#This Row],[Shelter Gap]],CampList[[#This Row],[Land Status]])</f>
        <v>4</v>
      </c>
      <c r="AI160" s="653" t="str">
        <f ca="1">IFERROR(OFFSET(DistanceToCamp[Nearest Town],MATCH(CampList[[#This Row],[CP_Pcode]],DistanceToCamp[CP_Pcode],0)-1,0,1,1),"")</f>
        <v>Lwegel Town</v>
      </c>
      <c r="AJ160" s="686">
        <f ca="1">IFERROR(OFFSET(DistanceToCamp[distance],MATCH(CampList[[#This Row],[CP_Pcode]],DistanceToCamp[CP_Pcode],0)-1,0,1,1),"")</f>
        <v>0.77561767807574999</v>
      </c>
      <c r="AK160" s="687">
        <f ca="1">IFERROR(INT(CampList[[#This Row],[Distance]]/5)+1,"")</f>
        <v>1</v>
      </c>
      <c r="AL160" s="669"/>
      <c r="AM160" s="856">
        <v>300</v>
      </c>
      <c r="AN160" s="669"/>
      <c r="AO160" s="669"/>
      <c r="AP160" s="669"/>
      <c r="AQ160" s="669"/>
      <c r="AR160" s="669"/>
      <c r="AS160" s="669"/>
      <c r="AT160" s="669"/>
      <c r="AU160" s="669"/>
      <c r="AV160" s="669"/>
    </row>
    <row r="161" spans="1:48" s="444" customFormat="1" ht="15.75" hidden="1" customHeight="1" x14ac:dyDescent="0.25">
      <c r="A161" s="675" t="s">
        <v>843</v>
      </c>
      <c r="B161" s="651" t="s">
        <v>380</v>
      </c>
      <c r="C161" s="651" t="s">
        <v>525</v>
      </c>
      <c r="D161" s="651" t="s">
        <v>180</v>
      </c>
      <c r="E161" s="651" t="s">
        <v>526</v>
      </c>
      <c r="F161" s="651" t="s">
        <v>527</v>
      </c>
      <c r="G161" s="651" t="s">
        <v>528</v>
      </c>
      <c r="H161" s="684" t="s">
        <v>598</v>
      </c>
      <c r="I161" s="684" t="s">
        <v>599</v>
      </c>
      <c r="J161" s="684" t="s">
        <v>598</v>
      </c>
      <c r="K161" s="684">
        <v>166783</v>
      </c>
      <c r="L161" s="651" t="s">
        <v>64</v>
      </c>
      <c r="M161" s="651" t="s">
        <v>63</v>
      </c>
      <c r="N161" s="676">
        <v>96.288250000000005</v>
      </c>
      <c r="O161" s="676">
        <v>25.57921</v>
      </c>
      <c r="P161" s="692">
        <v>0</v>
      </c>
      <c r="Q161" s="840">
        <v>0</v>
      </c>
      <c r="R161" s="841">
        <v>0</v>
      </c>
      <c r="S161" s="679" t="str">
        <f>IF(CampList[[#This Row],[HH]]&gt;0,CampList[[#This Row],[Total]]/CampList[[#This Row],[HH]],"NA")</f>
        <v>NA</v>
      </c>
      <c r="T161" s="653" t="s">
        <v>511</v>
      </c>
      <c r="U161" s="688" t="s">
        <v>1191</v>
      </c>
      <c r="V161" s="653" t="s">
        <v>554</v>
      </c>
      <c r="W161" s="688" t="s">
        <v>856</v>
      </c>
      <c r="X161" s="689">
        <v>41275</v>
      </c>
      <c r="Y161" s="690"/>
      <c r="Z161" s="689" t="s">
        <v>1090</v>
      </c>
      <c r="AA161" s="693" t="s">
        <v>841</v>
      </c>
      <c r="AB161" s="682"/>
      <c r="AC161" s="683">
        <v>41736</v>
      </c>
      <c r="AD161" s="684" t="s">
        <v>1038</v>
      </c>
      <c r="AE161" s="685" t="s">
        <v>1007</v>
      </c>
      <c r="AF161" s="476">
        <f>IF(CampList[[#This Row],[Type of Accomodation]]="camp",MAX(0,CampList[[#This Row],[HH]]-SUMIF(Table_Shelter[Pcode],CampList[[#This Row],[CP_Pcode]],Table_Shelter[HH Covered])),0)</f>
        <v>0</v>
      </c>
      <c r="AG161" s="653"/>
      <c r="AH161" s="682">
        <f>MIN(CampList[[#This Row],[Shelter Gap]],CampList[[#This Row],[Land Status]])</f>
        <v>0</v>
      </c>
      <c r="AI161" s="653" t="str">
        <f ca="1">IFERROR(OFFSET(DistanceToCamp[Nearest Town],MATCH(CampList[[#This Row],[CP_Pcode]],DistanceToCamp[CP_Pcode],0)-1,0,1,1),"")</f>
        <v/>
      </c>
      <c r="AJ161" s="686" t="str">
        <f ca="1">IFERROR(OFFSET(DistanceToCamp[distance],MATCH(CampList[[#This Row],[CP_Pcode]],DistanceToCamp[CP_Pcode],0)-1,0,1,1),"")</f>
        <v/>
      </c>
      <c r="AK161" s="687" t="str">
        <f ca="1">IFERROR(INT(CampList[[#This Row],[Distance]]/5)+1,"")</f>
        <v/>
      </c>
      <c r="AL161" s="669"/>
      <c r="AM161" s="856">
        <v>0</v>
      </c>
      <c r="AN161" s="669"/>
      <c r="AO161" s="669"/>
      <c r="AP161" s="669"/>
      <c r="AQ161" s="669"/>
      <c r="AR161" s="669"/>
      <c r="AS161" s="669"/>
      <c r="AT161" s="669"/>
      <c r="AU161" s="669"/>
      <c r="AV161" s="669"/>
    </row>
    <row r="162" spans="1:48" s="444" customFormat="1" ht="15.75" hidden="1" customHeight="1" x14ac:dyDescent="0.25">
      <c r="A162" s="675" t="s">
        <v>843</v>
      </c>
      <c r="B162" s="651" t="s">
        <v>380</v>
      </c>
      <c r="C162" s="651" t="s">
        <v>525</v>
      </c>
      <c r="D162" s="651" t="s">
        <v>180</v>
      </c>
      <c r="E162" s="651" t="s">
        <v>526</v>
      </c>
      <c r="F162" s="651" t="s">
        <v>527</v>
      </c>
      <c r="G162" s="651" t="s">
        <v>528</v>
      </c>
      <c r="H162" s="684" t="s">
        <v>598</v>
      </c>
      <c r="I162" s="684" t="s">
        <v>599</v>
      </c>
      <c r="J162" s="684" t="s">
        <v>598</v>
      </c>
      <c r="K162" s="684">
        <v>166783</v>
      </c>
      <c r="L162" s="651" t="s">
        <v>82</v>
      </c>
      <c r="M162" s="651" t="s">
        <v>81</v>
      </c>
      <c r="N162" s="676"/>
      <c r="O162" s="676"/>
      <c r="P162" s="697"/>
      <c r="Q162" s="840">
        <v>0</v>
      </c>
      <c r="R162" s="841">
        <v>0</v>
      </c>
      <c r="S162" s="679" t="str">
        <f>IF(CampList[[#This Row],[HH]]&gt;0,CampList[[#This Row],[Total]]/CampList[[#This Row],[HH]],"NA")</f>
        <v>NA</v>
      </c>
      <c r="T162" s="653" t="s">
        <v>511</v>
      </c>
      <c r="U162" s="688" t="s">
        <v>1191</v>
      </c>
      <c r="V162" s="653" t="s">
        <v>554</v>
      </c>
      <c r="W162" s="688"/>
      <c r="X162" s="706"/>
      <c r="Y162" s="697"/>
      <c r="Z162" s="707"/>
      <c r="AA162" s="693" t="s">
        <v>841</v>
      </c>
      <c r="AB162" s="682"/>
      <c r="AC162" s="683">
        <v>41663</v>
      </c>
      <c r="AD162" s="675" t="s">
        <v>938</v>
      </c>
      <c r="AE162" s="708" t="s">
        <v>1007</v>
      </c>
      <c r="AF162" s="476">
        <f>IF(CampList[[#This Row],[Type of Accomodation]]="camp",MAX(0,CampList[[#This Row],[HH]]-SUMIF(Table_Shelter[Pcode],CampList[[#This Row],[CP_Pcode]],Table_Shelter[HH Covered])),0)</f>
        <v>0</v>
      </c>
      <c r="AG162" s="653"/>
      <c r="AH162" s="682">
        <f>MIN(CampList[[#This Row],[Shelter Gap]],CampList[[#This Row],[Land Status]])</f>
        <v>0</v>
      </c>
      <c r="AI162" s="653" t="str">
        <f ca="1">IFERROR(OFFSET(DistanceToCamp[Nearest Town],MATCH(CampList[[#This Row],[CP_Pcode]],DistanceToCamp[CP_Pcode],0)-1,0,1,1),"")</f>
        <v/>
      </c>
      <c r="AJ162" s="686" t="str">
        <f ca="1">IFERROR(OFFSET(DistanceToCamp[distance],MATCH(CampList[[#This Row],[CP_Pcode]],DistanceToCamp[CP_Pcode],0)-1,0,1,1),"")</f>
        <v/>
      </c>
      <c r="AK162" s="687" t="str">
        <f ca="1">IFERROR(INT(CampList[[#This Row],[Distance]]/5)+1,"")</f>
        <v/>
      </c>
      <c r="AL162" s="669"/>
      <c r="AM162" s="856">
        <v>0</v>
      </c>
      <c r="AN162" s="669"/>
      <c r="AO162" s="669"/>
      <c r="AP162" s="669"/>
      <c r="AQ162" s="669"/>
      <c r="AR162" s="669"/>
      <c r="AS162" s="669"/>
      <c r="AT162" s="669"/>
      <c r="AU162" s="669"/>
      <c r="AV162" s="669"/>
    </row>
    <row r="163" spans="1:48" s="444" customFormat="1" ht="15.75" hidden="1" customHeight="1" x14ac:dyDescent="0.25">
      <c r="A163" s="675" t="s">
        <v>843</v>
      </c>
      <c r="B163" s="651" t="s">
        <v>380</v>
      </c>
      <c r="C163" s="651" t="s">
        <v>525</v>
      </c>
      <c r="D163" s="651" t="s">
        <v>180</v>
      </c>
      <c r="E163" s="651" t="s">
        <v>526</v>
      </c>
      <c r="F163" s="651" t="s">
        <v>527</v>
      </c>
      <c r="G163" s="651" t="s">
        <v>528</v>
      </c>
      <c r="H163" s="684" t="s">
        <v>618</v>
      </c>
      <c r="I163" s="684" t="s">
        <v>619</v>
      </c>
      <c r="J163" s="684" t="s">
        <v>620</v>
      </c>
      <c r="K163" s="684">
        <v>166817</v>
      </c>
      <c r="L163" s="651" t="s">
        <v>58</v>
      </c>
      <c r="M163" s="651" t="s">
        <v>57</v>
      </c>
      <c r="N163" s="676">
        <v>96.673805000000002</v>
      </c>
      <c r="O163" s="676">
        <v>25.728653000000001</v>
      </c>
      <c r="P163" s="697"/>
      <c r="Q163" s="840">
        <v>0</v>
      </c>
      <c r="R163" s="841">
        <v>0</v>
      </c>
      <c r="S163" s="679" t="str">
        <f>IF(CampList[[#This Row],[HH]]&gt;0,CampList[[#This Row],[Total]]/CampList[[#This Row],[HH]],"NA")</f>
        <v>NA</v>
      </c>
      <c r="T163" s="653" t="s">
        <v>511</v>
      </c>
      <c r="U163" s="688" t="s">
        <v>1191</v>
      </c>
      <c r="V163" s="653" t="s">
        <v>554</v>
      </c>
      <c r="W163" s="688" t="s">
        <v>856</v>
      </c>
      <c r="X163" s="706"/>
      <c r="Y163" s="697">
        <v>1</v>
      </c>
      <c r="Z163" s="689" t="s">
        <v>505</v>
      </c>
      <c r="AA163" s="693" t="s">
        <v>842</v>
      </c>
      <c r="AB163" s="682"/>
      <c r="AC163" s="683">
        <v>42096</v>
      </c>
      <c r="AD163" s="675" t="s">
        <v>1297</v>
      </c>
      <c r="AE163" s="708" t="s">
        <v>1093</v>
      </c>
      <c r="AF163" s="476">
        <f>IF(CampList[[#This Row],[Type of Accomodation]]="camp",MAX(0,CampList[[#This Row],[HH]]-SUMIF(Table_Shelter[Pcode],CampList[[#This Row],[CP_Pcode]],Table_Shelter[HH Covered])),0)</f>
        <v>0</v>
      </c>
      <c r="AG163" s="653"/>
      <c r="AH163" s="682">
        <f>MIN(CampList[[#This Row],[Shelter Gap]],CampList[[#This Row],[Land Status]])</f>
        <v>0</v>
      </c>
      <c r="AI163" s="653" t="str">
        <f ca="1">IFERROR(OFFSET(DistanceToCamp[Nearest Town],MATCH(CampList[[#This Row],[CP_Pcode]],DistanceToCamp[CP_Pcode],0)-1,0,1,1),"")</f>
        <v>Kamaing Town</v>
      </c>
      <c r="AJ163" s="686">
        <f ca="1">IFERROR(OFFSET(DistanceToCamp[distance],MATCH(CampList[[#This Row],[CP_Pcode]],DistanceToCamp[CP_Pcode],0)-1,0,1,1),"")</f>
        <v>23.222739740353646</v>
      </c>
      <c r="AK163" s="687">
        <f ca="1">IFERROR(INT(CampList[[#This Row],[Distance]]/5)+1,"")</f>
        <v>5</v>
      </c>
      <c r="AL163" s="669"/>
      <c r="AM163" s="856">
        <v>0</v>
      </c>
      <c r="AN163" s="669"/>
      <c r="AO163" s="669"/>
      <c r="AP163" s="669"/>
      <c r="AQ163" s="669"/>
      <c r="AR163" s="669"/>
      <c r="AS163" s="669"/>
      <c r="AT163" s="669"/>
      <c r="AU163" s="669"/>
      <c r="AV163" s="669"/>
    </row>
    <row r="164" spans="1:48" s="444" customFormat="1" ht="15.75" hidden="1" customHeight="1" x14ac:dyDescent="0.25">
      <c r="A164" s="675" t="s">
        <v>843</v>
      </c>
      <c r="B164" s="651" t="s">
        <v>380</v>
      </c>
      <c r="C164" s="651" t="s">
        <v>525</v>
      </c>
      <c r="D164" s="651" t="s">
        <v>180</v>
      </c>
      <c r="E164" s="651" t="s">
        <v>526</v>
      </c>
      <c r="F164" s="651" t="s">
        <v>527</v>
      </c>
      <c r="G164" s="651" t="s">
        <v>528</v>
      </c>
      <c r="H164" s="684" t="s">
        <v>603</v>
      </c>
      <c r="I164" s="684" t="s">
        <v>604</v>
      </c>
      <c r="J164" s="684" t="s">
        <v>607</v>
      </c>
      <c r="K164" s="684" t="s">
        <v>608</v>
      </c>
      <c r="L164" s="651" t="s">
        <v>56</v>
      </c>
      <c r="M164" s="651" t="s">
        <v>55</v>
      </c>
      <c r="N164" s="676"/>
      <c r="O164" s="676"/>
      <c r="P164" s="697"/>
      <c r="Q164" s="840">
        <v>0</v>
      </c>
      <c r="R164" s="841">
        <v>0</v>
      </c>
      <c r="S164" s="679" t="str">
        <f>IF(CampList[[#This Row],[HH]]&gt;0,CampList[[#This Row],[Total]]/CampList[[#This Row],[HH]],"NA")</f>
        <v>NA</v>
      </c>
      <c r="T164" s="653" t="s">
        <v>511</v>
      </c>
      <c r="U164" s="688" t="s">
        <v>1191</v>
      </c>
      <c r="V164" s="653" t="s">
        <v>554</v>
      </c>
      <c r="W164" s="688"/>
      <c r="X164" s="706"/>
      <c r="Y164" s="697"/>
      <c r="Z164" s="707"/>
      <c r="AA164" s="693"/>
      <c r="AB164" s="682"/>
      <c r="AC164" s="710"/>
      <c r="AD164" s="675"/>
      <c r="AE164" s="708" t="s">
        <v>1007</v>
      </c>
      <c r="AF164" s="476">
        <f>IF(CampList[[#This Row],[Type of Accomodation]]="camp",MAX(0,CampList[[#This Row],[HH]]-SUMIF(Table_Shelter[Pcode],CampList[[#This Row],[CP_Pcode]],Table_Shelter[HH Covered])),0)</f>
        <v>0</v>
      </c>
      <c r="AG164" s="653"/>
      <c r="AH164" s="682">
        <f>MIN(CampList[[#This Row],[Shelter Gap]],CampList[[#This Row],[Land Status]])</f>
        <v>0</v>
      </c>
      <c r="AI164" s="653" t="str">
        <f ca="1">IFERROR(OFFSET(DistanceToCamp[Nearest Town],MATCH(CampList[[#This Row],[CP_Pcode]],DistanceToCamp[CP_Pcode],0)-1,0,1,1),"")</f>
        <v/>
      </c>
      <c r="AJ164" s="686" t="str">
        <f ca="1">IFERROR(OFFSET(DistanceToCamp[distance],MATCH(CampList[[#This Row],[CP_Pcode]],DistanceToCamp[CP_Pcode],0)-1,0,1,1),"")</f>
        <v/>
      </c>
      <c r="AK164" s="687" t="str">
        <f ca="1">IFERROR(INT(CampList[[#This Row],[Distance]]/5)+1,"")</f>
        <v/>
      </c>
      <c r="AL164" s="669"/>
      <c r="AM164" s="856">
        <v>0</v>
      </c>
      <c r="AN164" s="669"/>
      <c r="AO164" s="669"/>
      <c r="AP164" s="669"/>
      <c r="AQ164" s="669"/>
      <c r="AR164" s="669"/>
      <c r="AS164" s="669"/>
      <c r="AT164" s="669"/>
      <c r="AU164" s="669"/>
      <c r="AV164" s="669"/>
    </row>
    <row r="165" spans="1:48" s="444" customFormat="1" ht="15.75" customHeight="1" x14ac:dyDescent="0.25">
      <c r="A165" s="695" t="s">
        <v>500</v>
      </c>
      <c r="B165" s="652" t="s">
        <v>380</v>
      </c>
      <c r="C165" s="652" t="s">
        <v>525</v>
      </c>
      <c r="D165" s="652" t="s">
        <v>5</v>
      </c>
      <c r="E165" s="652" t="s">
        <v>529</v>
      </c>
      <c r="F165" s="652" t="s">
        <v>185</v>
      </c>
      <c r="G165" s="652" t="s">
        <v>533</v>
      </c>
      <c r="H165" s="652" t="s">
        <v>761</v>
      </c>
      <c r="I165" s="696" t="s">
        <v>762</v>
      </c>
      <c r="J165" s="652" t="s">
        <v>763</v>
      </c>
      <c r="K165" s="652">
        <v>216913</v>
      </c>
      <c r="L165" s="652" t="s">
        <v>219</v>
      </c>
      <c r="M165" s="652" t="s">
        <v>218</v>
      </c>
      <c r="N165" s="678">
        <v>97.752667000000002</v>
      </c>
      <c r="O165" s="678">
        <v>24.2744</v>
      </c>
      <c r="P165" s="698">
        <v>978</v>
      </c>
      <c r="Q165" s="846">
        <v>599</v>
      </c>
      <c r="R165" s="844">
        <v>3633</v>
      </c>
      <c r="S165" s="679">
        <f>IF(CampList[[#This Row],[HH]]&gt;0,CampList[[#This Row],[Total]]/CampList[[#This Row],[HH]],"NA")</f>
        <v>6.0651085141903174</v>
      </c>
      <c r="T165" s="476" t="s">
        <v>513</v>
      </c>
      <c r="U165" s="653" t="s">
        <v>1191</v>
      </c>
      <c r="V165" s="476" t="s">
        <v>554</v>
      </c>
      <c r="W165" s="476" t="s">
        <v>856</v>
      </c>
      <c r="X165" s="699">
        <v>41000</v>
      </c>
      <c r="Y165" s="698">
        <v>2</v>
      </c>
      <c r="Z165" s="698" t="s">
        <v>1089</v>
      </c>
      <c r="AA165" s="678" t="s">
        <v>842</v>
      </c>
      <c r="AB165" s="678"/>
      <c r="AC165" s="683">
        <v>42780</v>
      </c>
      <c r="AD165" s="700" t="s">
        <v>1527</v>
      </c>
      <c r="AE165" s="685" t="s">
        <v>1078</v>
      </c>
      <c r="AF165" s="701">
        <f>IF(CampList[[#This Row],[Type of Accomodation]]="camp",MAX(0,CampList[[#This Row],[HH]]-SUMIF(Table_Shelter[Pcode],CampList[[#This Row],[CP_Pcode]],Table_Shelter[HH Covered])),0)</f>
        <v>0</v>
      </c>
      <c r="AG165" s="476"/>
      <c r="AH165" s="677">
        <f>MIN(CampList[[#This Row],[Shelter Gap]],CampList[[#This Row],[Land Status]])</f>
        <v>0</v>
      </c>
      <c r="AI165" s="701" t="str">
        <f ca="1">IFERROR(OFFSET(DistanceToCamp[Nearest Town],MATCH(CampList[[#This Row],[CP_Pcode]],DistanceToCamp[CP_Pcode],0)-1,0,1,1),"")</f>
        <v>Lwegel Town</v>
      </c>
      <c r="AJ165" s="686">
        <f ca="1">IFERROR(OFFSET(DistanceToCamp[distance],MATCH(CampList[[#This Row],[CP_Pcode]],DistanceToCamp[CP_Pcode],0)-1,0,1,1),"")</f>
        <v>8.953204937938569</v>
      </c>
      <c r="AK165" s="702">
        <f ca="1">IFERROR(INT(CampList[[#This Row],[Distance]]/5)+1,"")</f>
        <v>2</v>
      </c>
      <c r="AL165" s="669"/>
      <c r="AM165" s="856">
        <v>3633</v>
      </c>
      <c r="AN165" s="669"/>
      <c r="AO165" s="669"/>
      <c r="AP165" s="669"/>
      <c r="AQ165" s="669"/>
      <c r="AR165" s="669"/>
      <c r="AS165" s="669"/>
      <c r="AT165" s="669"/>
      <c r="AU165" s="669"/>
      <c r="AV165" s="669"/>
    </row>
    <row r="166" spans="1:48" s="444" customFormat="1" ht="15.75" hidden="1" customHeight="1" x14ac:dyDescent="0.25">
      <c r="A166" s="675" t="s">
        <v>843</v>
      </c>
      <c r="B166" s="651" t="s">
        <v>553</v>
      </c>
      <c r="C166" s="651" t="s">
        <v>536</v>
      </c>
      <c r="D166" s="651" t="s">
        <v>230</v>
      </c>
      <c r="E166" s="651" t="s">
        <v>542</v>
      </c>
      <c r="F166" s="651" t="s">
        <v>230</v>
      </c>
      <c r="G166" s="651" t="s">
        <v>543</v>
      </c>
      <c r="H166" s="651" t="s">
        <v>1069</v>
      </c>
      <c r="I166" s="651" t="s">
        <v>1070</v>
      </c>
      <c r="J166" s="651" t="s">
        <v>1071</v>
      </c>
      <c r="K166" s="651">
        <v>208167</v>
      </c>
      <c r="L166" s="651" t="s">
        <v>171</v>
      </c>
      <c r="M166" s="651" t="s">
        <v>170</v>
      </c>
      <c r="N166" s="676">
        <v>98.129380999999995</v>
      </c>
      <c r="O166" s="676">
        <v>23.978088</v>
      </c>
      <c r="P166" s="698"/>
      <c r="Q166" s="840"/>
      <c r="R166" s="841"/>
      <c r="S166" s="679" t="str">
        <f>IF(CampList[[#This Row],[HH]]&gt;0,CampList[[#This Row],[Total]]/CampList[[#This Row],[HH]],"NA")</f>
        <v>NA</v>
      </c>
      <c r="T166" s="653" t="s">
        <v>511</v>
      </c>
      <c r="U166" s="653" t="s">
        <v>1191</v>
      </c>
      <c r="V166" s="653" t="s">
        <v>12</v>
      </c>
      <c r="W166" s="653" t="s">
        <v>856</v>
      </c>
      <c r="X166" s="699"/>
      <c r="Y166" s="698"/>
      <c r="Z166" s="682"/>
      <c r="AA166" s="693" t="s">
        <v>842</v>
      </c>
      <c r="AB166" s="682"/>
      <c r="AC166" s="683">
        <v>42831</v>
      </c>
      <c r="AD166" s="675" t="s">
        <v>1653</v>
      </c>
      <c r="AE166" s="708" t="s">
        <v>1079</v>
      </c>
      <c r="AF166" s="476">
        <f>IF(CampList[[#This Row],[Type of Accomodation]]="camp",MAX(0,CampList[[#This Row],[HH]]-SUMIF(Table_Shelter[Pcode],CampList[[#This Row],[CP_Pcode]],Table_Shelter[HH Covered])),0)</f>
        <v>0</v>
      </c>
      <c r="AG166" s="653"/>
      <c r="AH166" s="682">
        <f>MIN(CampList[[#This Row],[Shelter Gap]],CampList[[#This Row],[Land Status]])</f>
        <v>0</v>
      </c>
      <c r="AI166" s="653" t="str">
        <f ca="1">IFERROR(OFFSET(DistanceToCamp[Nearest Town],MATCH(CampList[[#This Row],[CP_Pcode]],DistanceToCamp[CP_Pcode],0)-1,0,1,1),"")</f>
        <v>Pang Hseng (Kyu Koke) Town</v>
      </c>
      <c r="AJ166" s="686">
        <f ca="1">IFERROR(OFFSET(DistanceToCamp[distance],MATCH(CampList[[#This Row],[CP_Pcode]],DistanceToCamp[CP_Pcode],0)-1,0,1,1),"")</f>
        <v>12.794700705104317</v>
      </c>
      <c r="AK166" s="687">
        <f ca="1">IFERROR(INT(CampList[[#This Row],[Distance]]/5)+1,"")</f>
        <v>3</v>
      </c>
      <c r="AL166" s="669"/>
      <c r="AM166" s="856">
        <v>0</v>
      </c>
      <c r="AN166" s="669"/>
      <c r="AO166" s="669"/>
      <c r="AP166" s="669"/>
      <c r="AQ166" s="669"/>
      <c r="AR166" s="669"/>
      <c r="AS166" s="669"/>
      <c r="AT166" s="669"/>
      <c r="AU166" s="669"/>
      <c r="AV166" s="669"/>
    </row>
    <row r="167" spans="1:48" s="444" customFormat="1" ht="15.75" customHeight="1" x14ac:dyDescent="0.25">
      <c r="A167" s="675" t="s">
        <v>500</v>
      </c>
      <c r="B167" s="651" t="s">
        <v>380</v>
      </c>
      <c r="C167" s="651" t="s">
        <v>525</v>
      </c>
      <c r="D167" s="651" t="s">
        <v>5</v>
      </c>
      <c r="E167" s="651" t="s">
        <v>529</v>
      </c>
      <c r="F167" s="651" t="s">
        <v>185</v>
      </c>
      <c r="G167" s="651" t="s">
        <v>533</v>
      </c>
      <c r="H167" s="651" t="s">
        <v>753</v>
      </c>
      <c r="I167" s="651" t="s">
        <v>754</v>
      </c>
      <c r="J167" s="651" t="s">
        <v>1378</v>
      </c>
      <c r="K167" s="651" t="s">
        <v>1379</v>
      </c>
      <c r="L167" s="651" t="s">
        <v>225</v>
      </c>
      <c r="M167" s="651" t="s">
        <v>224</v>
      </c>
      <c r="N167" s="676">
        <v>97.710864000000001</v>
      </c>
      <c r="O167" s="676">
        <v>24.207332999999998</v>
      </c>
      <c r="P167" s="677">
        <v>0</v>
      </c>
      <c r="Q167" s="476">
        <v>41</v>
      </c>
      <c r="R167" s="476">
        <v>253</v>
      </c>
      <c r="S167" s="679">
        <f>IF(CampList[[#This Row],[HH]]&gt;0,CampList[[#This Row],[Total]]/CampList[[#This Row],[HH]],"NA")</f>
        <v>6.1707317073170733</v>
      </c>
      <c r="T167" s="653" t="s">
        <v>511</v>
      </c>
      <c r="U167" s="653" t="s">
        <v>1191</v>
      </c>
      <c r="V167" s="653" t="s">
        <v>554</v>
      </c>
      <c r="W167" s="653" t="s">
        <v>803</v>
      </c>
      <c r="X167" s="680">
        <v>41122</v>
      </c>
      <c r="Y167" s="681">
        <v>1</v>
      </c>
      <c r="Z167" s="680" t="s">
        <v>460</v>
      </c>
      <c r="AA167" s="682" t="s">
        <v>842</v>
      </c>
      <c r="AB167" s="682"/>
      <c r="AC167" s="683">
        <v>42809</v>
      </c>
      <c r="AD167" s="684" t="s">
        <v>1618</v>
      </c>
      <c r="AE167" s="685" t="s">
        <v>1079</v>
      </c>
      <c r="AF167" s="476">
        <f>IF(CampList[[#This Row],[Type of Accomodation]]="camp",MAX(0,CampList[[#This Row],[HH]]-SUMIF(Table_Shelter[Pcode],CampList[[#This Row],[CP_Pcode]],Table_Shelter[HH Covered])),0)</f>
        <v>1</v>
      </c>
      <c r="AG167" s="653"/>
      <c r="AH167" s="682">
        <f>MIN(CampList[[#This Row],[Shelter Gap]],CampList[[#This Row],[Land Status]])</f>
        <v>1</v>
      </c>
      <c r="AI167" s="653" t="str">
        <f ca="1">IFERROR(OFFSET(DistanceToCamp[Nearest Town],MATCH(CampList[[#This Row],[CP_Pcode]],DistanceToCamp[CP_Pcode],0)-1,0,1,1),"")</f>
        <v>Lwegel Town</v>
      </c>
      <c r="AJ167" s="686">
        <f ca="1">IFERROR(OFFSET(DistanceToCamp[distance],MATCH(CampList[[#This Row],[CP_Pcode]],DistanceToCamp[CP_Pcode],0)-1,0,1,1),"")</f>
        <v>1.343152344964242</v>
      </c>
      <c r="AK167" s="687">
        <f ca="1">IFERROR(INT(CampList[[#This Row],[Distance]]/5)+1,"")</f>
        <v>1</v>
      </c>
      <c r="AL167" s="669"/>
      <c r="AM167" s="856">
        <v>253</v>
      </c>
      <c r="AN167" s="669"/>
      <c r="AO167" s="669"/>
      <c r="AP167" s="669"/>
      <c r="AQ167" s="669"/>
      <c r="AR167" s="669"/>
      <c r="AS167" s="669"/>
      <c r="AT167" s="669"/>
      <c r="AU167" s="669"/>
      <c r="AV167" s="669"/>
    </row>
    <row r="168" spans="1:48" s="444" customFormat="1" ht="15.75" customHeight="1" x14ac:dyDescent="0.25">
      <c r="A168" s="675" t="s">
        <v>500</v>
      </c>
      <c r="B168" s="651" t="s">
        <v>553</v>
      </c>
      <c r="C168" s="651" t="s">
        <v>536</v>
      </c>
      <c r="D168" s="651" t="s">
        <v>541</v>
      </c>
      <c r="E168" s="651" t="s">
        <v>542</v>
      </c>
      <c r="F168" s="651" t="s">
        <v>298</v>
      </c>
      <c r="G168" s="651" t="s">
        <v>550</v>
      </c>
      <c r="H168" s="705" t="s">
        <v>817</v>
      </c>
      <c r="I168" s="651" t="s">
        <v>818</v>
      </c>
      <c r="J168" s="705" t="s">
        <v>819</v>
      </c>
      <c r="K168" s="705" t="s">
        <v>820</v>
      </c>
      <c r="L168" s="651" t="s">
        <v>593</v>
      </c>
      <c r="M168" s="651" t="s">
        <v>824</v>
      </c>
      <c r="N168" s="676">
        <v>97.398989</v>
      </c>
      <c r="O168" s="676">
        <v>23.088058</v>
      </c>
      <c r="P168" s="677">
        <v>1948</v>
      </c>
      <c r="Q168" s="840">
        <v>118</v>
      </c>
      <c r="R168" s="841">
        <v>520</v>
      </c>
      <c r="S168" s="679">
        <f>IF(CampList[[#This Row],[HH]]&gt;0,CampList[[#This Row],[Total]]/CampList[[#This Row],[HH]],"NA")</f>
        <v>4.406779661016949</v>
      </c>
      <c r="T168" s="653" t="s">
        <v>511</v>
      </c>
      <c r="U168" s="653" t="s">
        <v>1191</v>
      </c>
      <c r="V168" s="653" t="s">
        <v>12</v>
      </c>
      <c r="W168" s="653" t="s">
        <v>803</v>
      </c>
      <c r="X168" s="680"/>
      <c r="Y168" s="681"/>
      <c r="Z168" s="680"/>
      <c r="AA168" s="693" t="s">
        <v>842</v>
      </c>
      <c r="AB168" s="682"/>
      <c r="AC168" s="683">
        <v>41883</v>
      </c>
      <c r="AD168" s="675" t="s">
        <v>1109</v>
      </c>
      <c r="AE168" s="685" t="s">
        <v>1079</v>
      </c>
      <c r="AF168" s="476">
        <f>IF(CampList[[#This Row],[Type of Accomodation]]="camp",MAX(0,CampList[[#This Row],[HH]]-SUMIF(Table_Shelter[Pcode],CampList[[#This Row],[CP_Pcode]],Table_Shelter[HH Covered])),0)</f>
        <v>0</v>
      </c>
      <c r="AG168" s="653"/>
      <c r="AH168" s="682">
        <f>MIN(CampList[[#This Row],[Shelter Gap]],CampList[[#This Row],[Land Status]])</f>
        <v>0</v>
      </c>
      <c r="AI168" s="653" t="str">
        <f ca="1">IFERROR(OFFSET(DistanceToCamp[Nearest Town],MATCH(CampList[[#This Row],[CP_Pcode]],DistanceToCamp[CP_Pcode],0)-1,0,1,1),"")</f>
        <v>Namtu Town</v>
      </c>
      <c r="AJ168" s="686">
        <f ca="1">IFERROR(OFFSET(DistanceToCamp[distance],MATCH(CampList[[#This Row],[CP_Pcode]],DistanceToCamp[CP_Pcode],0)-1,0,1,1),"")</f>
        <v>0.63626694856259092</v>
      </c>
      <c r="AK168" s="687">
        <f ca="1">IFERROR(INT(CampList[[#This Row],[Distance]]/5)+1,"")</f>
        <v>1</v>
      </c>
      <c r="AL168" s="669"/>
      <c r="AM168" s="856">
        <v>520</v>
      </c>
      <c r="AN168" s="669"/>
      <c r="AO168" s="669"/>
      <c r="AP168" s="669"/>
      <c r="AQ168" s="669"/>
      <c r="AR168" s="669"/>
      <c r="AS168" s="669"/>
      <c r="AT168" s="669"/>
      <c r="AU168" s="669"/>
      <c r="AV168" s="669"/>
    </row>
    <row r="169" spans="1:48" s="444" customFormat="1" ht="15.75" hidden="1" customHeight="1" x14ac:dyDescent="0.25">
      <c r="A169" s="725" t="s">
        <v>843</v>
      </c>
      <c r="B169" s="651" t="s">
        <v>553</v>
      </c>
      <c r="C169" s="651" t="s">
        <v>536</v>
      </c>
      <c r="D169" s="651" t="s">
        <v>230</v>
      </c>
      <c r="E169" s="651" t="s">
        <v>537</v>
      </c>
      <c r="F169" s="651" t="s">
        <v>146</v>
      </c>
      <c r="G169" s="651" t="s">
        <v>544</v>
      </c>
      <c r="H169" s="651" t="s">
        <v>929</v>
      </c>
      <c r="I169" s="651"/>
      <c r="J169" s="651" t="s">
        <v>929</v>
      </c>
      <c r="K169" s="651"/>
      <c r="L169" s="651" t="s">
        <v>932</v>
      </c>
      <c r="M169" s="651" t="s">
        <v>933</v>
      </c>
      <c r="N169" s="678"/>
      <c r="O169" s="678"/>
      <c r="P169" s="698"/>
      <c r="Q169" s="840">
        <v>0</v>
      </c>
      <c r="R169" s="841">
        <v>0</v>
      </c>
      <c r="S169" s="679" t="str">
        <f>IF(CampList[[#This Row],[HH]]&gt;0,CampList[[#This Row],[Total]]/CampList[[#This Row],[HH]],"NA")</f>
        <v>NA</v>
      </c>
      <c r="T169" s="653" t="s">
        <v>513</v>
      </c>
      <c r="U169" s="688" t="s">
        <v>1191</v>
      </c>
      <c r="V169" s="653" t="s">
        <v>554</v>
      </c>
      <c r="W169" s="653" t="s">
        <v>856</v>
      </c>
      <c r="X169" s="699"/>
      <c r="Y169" s="698"/>
      <c r="Z169" s="682"/>
      <c r="AA169" s="682" t="s">
        <v>842</v>
      </c>
      <c r="AB169" s="682"/>
      <c r="AC169" s="683">
        <v>41289</v>
      </c>
      <c r="AD169" s="684" t="s">
        <v>936</v>
      </c>
      <c r="AE169" s="708" t="s">
        <v>1007</v>
      </c>
      <c r="AF169" s="476">
        <f>IF(CampList[[#This Row],[Type of Accomodation]]="camp",MAX(0,CampList[[#This Row],[HH]]-SUMIF(Table_Shelter[Pcode],CampList[[#This Row],[CP_Pcode]],Table_Shelter[HH Covered])),0)</f>
        <v>0</v>
      </c>
      <c r="AG169" s="653"/>
      <c r="AH169" s="682">
        <f>MIN(CampList[[#This Row],[Shelter Gap]],CampList[[#This Row],[Land Status]])</f>
        <v>0</v>
      </c>
      <c r="AI169" s="653" t="str">
        <f ca="1">IFERROR(OFFSET(DistanceToCamp[Nearest Town],MATCH(CampList[[#This Row],[CP_Pcode]],DistanceToCamp[CP_Pcode],0)-1,0,1,1),"")</f>
        <v/>
      </c>
      <c r="AJ169" s="686" t="str">
        <f ca="1">IFERROR(OFFSET(DistanceToCamp[distance],MATCH(CampList[[#This Row],[CP_Pcode]],DistanceToCamp[CP_Pcode],0)-1,0,1,1),"")</f>
        <v/>
      </c>
      <c r="AK169" s="687" t="str">
        <f ca="1">IFERROR(INT(CampList[[#This Row],[Distance]]/5)+1,"")</f>
        <v/>
      </c>
      <c r="AL169" s="669"/>
      <c r="AM169" s="856">
        <v>0</v>
      </c>
      <c r="AN169" s="669"/>
      <c r="AO169" s="669"/>
      <c r="AP169" s="669"/>
      <c r="AQ169" s="669"/>
      <c r="AR169" s="669"/>
      <c r="AS169" s="669"/>
      <c r="AT169" s="669"/>
      <c r="AU169" s="669"/>
      <c r="AV169" s="669"/>
    </row>
    <row r="170" spans="1:48" s="444" customFormat="1" ht="15.75" customHeight="1" x14ac:dyDescent="0.25">
      <c r="A170" s="675" t="s">
        <v>500</v>
      </c>
      <c r="B170" s="651" t="s">
        <v>553</v>
      </c>
      <c r="C170" s="651" t="s">
        <v>536</v>
      </c>
      <c r="D170" s="651" t="s">
        <v>230</v>
      </c>
      <c r="E170" s="651" t="s">
        <v>537</v>
      </c>
      <c r="F170" s="651" t="s">
        <v>230</v>
      </c>
      <c r="G170" s="651" t="s">
        <v>538</v>
      </c>
      <c r="H170" s="651" t="s">
        <v>1049</v>
      </c>
      <c r="I170" s="651" t="s">
        <v>1050</v>
      </c>
      <c r="J170" s="651" t="s">
        <v>1051</v>
      </c>
      <c r="K170" s="705" t="s">
        <v>1052</v>
      </c>
      <c r="L170" s="651" t="s">
        <v>1053</v>
      </c>
      <c r="M170" s="651" t="s">
        <v>1054</v>
      </c>
      <c r="N170" s="676">
        <v>97.909400000000005</v>
      </c>
      <c r="O170" s="676">
        <v>24.006319999999999</v>
      </c>
      <c r="P170" s="698">
        <v>812.7</v>
      </c>
      <c r="Q170" s="476">
        <v>51</v>
      </c>
      <c r="R170" s="476">
        <v>214</v>
      </c>
      <c r="S170" s="679">
        <f>IF(CampList[[#This Row],[HH]]&gt;0,CampList[[#This Row],[Total]]/CampList[[#This Row],[HH]],"NA")</f>
        <v>4.1960784313725492</v>
      </c>
      <c r="T170" s="653" t="s">
        <v>511</v>
      </c>
      <c r="U170" s="653" t="s">
        <v>1191</v>
      </c>
      <c r="V170" s="653" t="s">
        <v>554</v>
      </c>
      <c r="W170" s="653" t="s">
        <v>803</v>
      </c>
      <c r="X170" s="699">
        <v>41703</v>
      </c>
      <c r="Y170" s="698"/>
      <c r="Z170" s="682" t="s">
        <v>460</v>
      </c>
      <c r="AA170" s="682" t="s">
        <v>842</v>
      </c>
      <c r="AB170" s="682"/>
      <c r="AC170" s="683">
        <v>42809</v>
      </c>
      <c r="AD170" s="684" t="s">
        <v>1620</v>
      </c>
      <c r="AE170" s="708" t="s">
        <v>1093</v>
      </c>
      <c r="AF170" s="476">
        <f>IF(CampList[[#This Row],[Type of Accomodation]]="camp",MAX(0,CampList[[#This Row],[HH]]-SUMIF(Table_Shelter[Pcode],CampList[[#This Row],[CP_Pcode]],Table_Shelter[HH Covered])),0)</f>
        <v>7</v>
      </c>
      <c r="AG170" s="653"/>
      <c r="AH170" s="682">
        <f>MIN(CampList[[#This Row],[Shelter Gap]],CampList[[#This Row],[Land Status]])</f>
        <v>7</v>
      </c>
      <c r="AI170" s="653" t="str">
        <f ca="1">IFERROR(OFFSET(DistanceToCamp[Nearest Town],MATCH(CampList[[#This Row],[CP_Pcode]],DistanceToCamp[CP_Pcode],0)-1,0,1,1),"")</f>
        <v>Muse Town</v>
      </c>
      <c r="AJ170" s="686">
        <f ca="1">IFERROR(OFFSET(DistanceToCamp[distance],MATCH(CampList[[#This Row],[CP_Pcode]],DistanceToCamp[CP_Pcode],0)-1,0,1,1),"")</f>
        <v>1.989668595899414</v>
      </c>
      <c r="AK170" s="687">
        <f ca="1">IFERROR(INT(CampList[[#This Row],[Distance]]/5)+1,"")</f>
        <v>1</v>
      </c>
      <c r="AL170" s="669"/>
      <c r="AM170" s="856">
        <v>214</v>
      </c>
      <c r="AN170" s="669"/>
      <c r="AO170" s="669"/>
      <c r="AP170" s="669"/>
      <c r="AQ170" s="669"/>
      <c r="AR170" s="669"/>
      <c r="AS170" s="669"/>
      <c r="AT170" s="669"/>
      <c r="AU170" s="669"/>
      <c r="AV170" s="669"/>
    </row>
    <row r="171" spans="1:48" s="444" customFormat="1" ht="15.75" customHeight="1" x14ac:dyDescent="0.25">
      <c r="A171" s="675" t="s">
        <v>500</v>
      </c>
      <c r="B171" s="651" t="s">
        <v>553</v>
      </c>
      <c r="C171" s="651" t="s">
        <v>536</v>
      </c>
      <c r="D171" s="651" t="s">
        <v>230</v>
      </c>
      <c r="E171" s="651" t="s">
        <v>537</v>
      </c>
      <c r="F171" s="651" t="s">
        <v>289</v>
      </c>
      <c r="G171" s="651" t="s">
        <v>549</v>
      </c>
      <c r="H171" s="651" t="s">
        <v>751</v>
      </c>
      <c r="I171" s="651" t="s">
        <v>752</v>
      </c>
      <c r="J171" s="651" t="s">
        <v>751</v>
      </c>
      <c r="K171" s="651">
        <v>208353</v>
      </c>
      <c r="L171" s="651" t="s">
        <v>1055</v>
      </c>
      <c r="M171" s="651" t="s">
        <v>1056</v>
      </c>
      <c r="N171" s="676">
        <v>97.700940000000003</v>
      </c>
      <c r="O171" s="676">
        <v>23.841646999999998</v>
      </c>
      <c r="P171" s="698">
        <v>798</v>
      </c>
      <c r="Q171" s="476">
        <v>37</v>
      </c>
      <c r="R171" s="476">
        <v>201</v>
      </c>
      <c r="S171" s="679">
        <f>IF(CampList[[#This Row],[HH]]&gt;0,CampList[[#This Row],[Total]]/CampList[[#This Row],[HH]],"NA")</f>
        <v>5.4324324324324325</v>
      </c>
      <c r="T171" s="653" t="s">
        <v>511</v>
      </c>
      <c r="U171" s="653" t="s">
        <v>1191</v>
      </c>
      <c r="V171" s="653" t="s">
        <v>554</v>
      </c>
      <c r="W171" s="653" t="s">
        <v>803</v>
      </c>
      <c r="X171" s="699">
        <v>41947</v>
      </c>
      <c r="Y171" s="698"/>
      <c r="Z171" s="682" t="s">
        <v>460</v>
      </c>
      <c r="AA171" s="682" t="s">
        <v>842</v>
      </c>
      <c r="AB171" s="682"/>
      <c r="AC171" s="683">
        <v>42809</v>
      </c>
      <c r="AD171" s="684" t="s">
        <v>1614</v>
      </c>
      <c r="AE171" s="708" t="s">
        <v>1093</v>
      </c>
      <c r="AF171" s="476">
        <f>IF(CampList[[#This Row],[Type of Accomodation]]="camp",MAX(0,CampList[[#This Row],[HH]]-SUMIF(Table_Shelter[Pcode],CampList[[#This Row],[CP_Pcode]],Table_Shelter[HH Covered])),0)</f>
        <v>0</v>
      </c>
      <c r="AG171" s="653"/>
      <c r="AH171" s="682">
        <f>MIN(CampList[[#This Row],[Shelter Gap]],CampList[[#This Row],[Land Status]])</f>
        <v>0</v>
      </c>
      <c r="AI171" s="653" t="str">
        <f ca="1">IFERROR(OFFSET(DistanceToCamp[Nearest Town],MATCH(CampList[[#This Row],[CP_Pcode]],DistanceToCamp[CP_Pcode],0)-1,0,1,1),"")</f>
        <v>Namhkan Town</v>
      </c>
      <c r="AJ171" s="686">
        <f ca="1">IFERROR(OFFSET(DistanceToCamp[distance],MATCH(CampList[[#This Row],[CP_Pcode]],DistanceToCamp[CP_Pcode],0)-1,0,1,1),"")</f>
        <v>2.0141034419413328</v>
      </c>
      <c r="AK171" s="687">
        <f ca="1">IFERROR(INT(CampList[[#This Row],[Distance]]/5)+1,"")</f>
        <v>1</v>
      </c>
      <c r="AL171" s="669"/>
      <c r="AM171" s="856">
        <v>201</v>
      </c>
      <c r="AN171" s="669"/>
      <c r="AO171" s="669"/>
      <c r="AP171" s="669"/>
      <c r="AQ171" s="669"/>
      <c r="AR171" s="669"/>
      <c r="AS171" s="669"/>
      <c r="AT171" s="669"/>
      <c r="AU171" s="669"/>
      <c r="AV171" s="669"/>
    </row>
    <row r="172" spans="1:48" s="444" customFormat="1" ht="15.75" customHeight="1" x14ac:dyDescent="0.25">
      <c r="A172" s="675" t="s">
        <v>500</v>
      </c>
      <c r="B172" s="651" t="s">
        <v>380</v>
      </c>
      <c r="C172" s="651" t="s">
        <v>525</v>
      </c>
      <c r="D172" s="651" t="s">
        <v>237</v>
      </c>
      <c r="E172" s="651" t="s">
        <v>531</v>
      </c>
      <c r="F172" s="651" t="s">
        <v>237</v>
      </c>
      <c r="G172" s="651" t="s">
        <v>535</v>
      </c>
      <c r="H172" s="684" t="s">
        <v>671</v>
      </c>
      <c r="I172" s="684" t="s">
        <v>672</v>
      </c>
      <c r="J172" s="684" t="s">
        <v>678</v>
      </c>
      <c r="K172" s="684" t="s">
        <v>679</v>
      </c>
      <c r="L172" s="651" t="s">
        <v>243</v>
      </c>
      <c r="M172" s="651" t="s">
        <v>242</v>
      </c>
      <c r="N172" s="676">
        <v>97.384729629629604</v>
      </c>
      <c r="O172" s="676">
        <v>25.4002701851852</v>
      </c>
      <c r="P172" s="677">
        <v>0</v>
      </c>
      <c r="Q172" s="840">
        <v>6</v>
      </c>
      <c r="R172" s="841">
        <v>28</v>
      </c>
      <c r="S172" s="679">
        <f>IF(CampList[[#This Row],[HH]]&gt;0,CampList[[#This Row],[Total]]/CampList[[#This Row],[HH]],"NA")</f>
        <v>4.666666666666667</v>
      </c>
      <c r="T172" s="653" t="s">
        <v>511</v>
      </c>
      <c r="U172" s="653" t="s">
        <v>1191</v>
      </c>
      <c r="V172" s="653" t="s">
        <v>554</v>
      </c>
      <c r="W172" s="653" t="s">
        <v>803</v>
      </c>
      <c r="X172" s="680">
        <v>40695</v>
      </c>
      <c r="Y172" s="681"/>
      <c r="Z172" s="680" t="s">
        <v>460</v>
      </c>
      <c r="AA172" s="693" t="s">
        <v>841</v>
      </c>
      <c r="AB172" s="682"/>
      <c r="AC172" s="683">
        <v>42809</v>
      </c>
      <c r="AD172" s="675" t="s">
        <v>1590</v>
      </c>
      <c r="AE172" s="685" t="s">
        <v>1093</v>
      </c>
      <c r="AF172" s="476">
        <f>IF(CampList[[#This Row],[Type of Accomodation]]="camp",MAX(0,CampList[[#This Row],[HH]]-SUMIF(Table_Shelter[Pcode],CampList[[#This Row],[CP_Pcode]],Table_Shelter[HH Covered])),0)</f>
        <v>3</v>
      </c>
      <c r="AG172" s="653"/>
      <c r="AH172" s="682">
        <f>MIN(CampList[[#This Row],[Shelter Gap]],CampList[[#This Row],[Land Status]])</f>
        <v>3</v>
      </c>
      <c r="AI172" s="653" t="str">
        <f ca="1">IFERROR(OFFSET(DistanceToCamp[Nearest Town],MATCH(CampList[[#This Row],[CP_Pcode]],DistanceToCamp[CP_Pcode],0)-1,0,1,1),"")</f>
        <v>Myitkyina Town</v>
      </c>
      <c r="AJ172" s="686">
        <f ca="1">IFERROR(OFFSET(DistanceToCamp[distance],MATCH(CampList[[#This Row],[CP_Pcode]],DistanceToCamp[CP_Pcode],0)-1,0,1,1),"")</f>
        <v>1.5295244799681529</v>
      </c>
      <c r="AK172" s="687">
        <f ca="1">IFERROR(INT(CampList[[#This Row],[Distance]]/5)+1,"")</f>
        <v>1</v>
      </c>
      <c r="AL172" s="669"/>
      <c r="AM172" s="856">
        <v>28</v>
      </c>
      <c r="AN172" s="669"/>
      <c r="AO172" s="669"/>
      <c r="AP172" s="669"/>
      <c r="AQ172" s="669"/>
      <c r="AR172" s="669"/>
      <c r="AS172" s="669"/>
      <c r="AT172" s="669"/>
      <c r="AU172" s="669"/>
      <c r="AV172" s="669"/>
    </row>
    <row r="173" spans="1:48" s="444" customFormat="1" ht="15.75" customHeight="1" x14ac:dyDescent="0.25">
      <c r="A173" s="675" t="s">
        <v>500</v>
      </c>
      <c r="B173" s="651" t="s">
        <v>380</v>
      </c>
      <c r="C173" s="651" t="s">
        <v>525</v>
      </c>
      <c r="D173" s="651" t="s">
        <v>237</v>
      </c>
      <c r="E173" s="651" t="s">
        <v>531</v>
      </c>
      <c r="F173" s="651" t="s">
        <v>237</v>
      </c>
      <c r="G173" s="651" t="s">
        <v>535</v>
      </c>
      <c r="H173" s="684" t="s">
        <v>671</v>
      </c>
      <c r="I173" s="684" t="s">
        <v>672</v>
      </c>
      <c r="J173" s="684" t="s">
        <v>678</v>
      </c>
      <c r="K173" s="684" t="s">
        <v>679</v>
      </c>
      <c r="L173" s="651" t="s">
        <v>245</v>
      </c>
      <c r="M173" s="651" t="s">
        <v>244</v>
      </c>
      <c r="N173" s="676">
        <v>97.382997575757599</v>
      </c>
      <c r="O173" s="676">
        <v>25.3959740909091</v>
      </c>
      <c r="P173" s="677">
        <v>0</v>
      </c>
      <c r="Q173" s="840">
        <v>6</v>
      </c>
      <c r="R173" s="841">
        <v>39</v>
      </c>
      <c r="S173" s="679">
        <f>IF(CampList[[#This Row],[HH]]&gt;0,CampList[[#This Row],[Total]]/CampList[[#This Row],[HH]],"NA")</f>
        <v>6.5</v>
      </c>
      <c r="T173" s="653" t="s">
        <v>511</v>
      </c>
      <c r="U173" s="653" t="s">
        <v>1191</v>
      </c>
      <c r="V173" s="653" t="s">
        <v>554</v>
      </c>
      <c r="W173" s="653" t="s">
        <v>803</v>
      </c>
      <c r="X173" s="680">
        <v>40695</v>
      </c>
      <c r="Y173" s="681"/>
      <c r="Z173" s="680" t="s">
        <v>460</v>
      </c>
      <c r="AA173" s="693" t="s">
        <v>841</v>
      </c>
      <c r="AB173" s="682"/>
      <c r="AC173" s="683">
        <v>42809</v>
      </c>
      <c r="AD173" s="675" t="s">
        <v>1590</v>
      </c>
      <c r="AE173" s="685" t="s">
        <v>1093</v>
      </c>
      <c r="AF173" s="476">
        <f>IF(CampList[[#This Row],[Type of Accomodation]]="camp",MAX(0,CampList[[#This Row],[HH]]-SUMIF(Table_Shelter[Pcode],CampList[[#This Row],[CP_Pcode]],Table_Shelter[HH Covered])),0)</f>
        <v>0</v>
      </c>
      <c r="AG173" s="653"/>
      <c r="AH173" s="682">
        <f>MIN(CampList[[#This Row],[Shelter Gap]],CampList[[#This Row],[Land Status]])</f>
        <v>0</v>
      </c>
      <c r="AI173" s="653" t="str">
        <f ca="1">IFERROR(OFFSET(DistanceToCamp[Nearest Town],MATCH(CampList[[#This Row],[CP_Pcode]],DistanceToCamp[CP_Pcode],0)-1,0,1,1),"")</f>
        <v>Myitkyina Town</v>
      </c>
      <c r="AJ173" s="686">
        <f ca="1">IFERROR(OFFSET(DistanceToCamp[distance],MATCH(CampList[[#This Row],[CP_Pcode]],DistanceToCamp[CP_Pcode],0)-1,0,1,1),"")</f>
        <v>1.1985969617964649</v>
      </c>
      <c r="AK173" s="687">
        <f ca="1">IFERROR(INT(CampList[[#This Row],[Distance]]/5)+1,"")</f>
        <v>1</v>
      </c>
      <c r="AL173" s="669"/>
      <c r="AM173" s="856">
        <v>39</v>
      </c>
      <c r="AN173" s="669"/>
      <c r="AO173" s="669"/>
      <c r="AP173" s="669"/>
      <c r="AQ173" s="669"/>
      <c r="AR173" s="669"/>
      <c r="AS173" s="669"/>
      <c r="AT173" s="669"/>
      <c r="AU173" s="669"/>
      <c r="AV173" s="669"/>
    </row>
    <row r="174" spans="1:48" s="444" customFormat="1" ht="15.75" customHeight="1" x14ac:dyDescent="0.25">
      <c r="A174" s="675" t="s">
        <v>500</v>
      </c>
      <c r="B174" s="651" t="s">
        <v>380</v>
      </c>
      <c r="C174" s="651" t="s">
        <v>525</v>
      </c>
      <c r="D174" s="651" t="s">
        <v>237</v>
      </c>
      <c r="E174" s="651" t="s">
        <v>531</v>
      </c>
      <c r="F174" s="651" t="s">
        <v>237</v>
      </c>
      <c r="G174" s="651" t="s">
        <v>535</v>
      </c>
      <c r="H174" s="684" t="s">
        <v>671</v>
      </c>
      <c r="I174" s="684" t="s">
        <v>672</v>
      </c>
      <c r="J174" s="684" t="s">
        <v>678</v>
      </c>
      <c r="K174" s="684" t="s">
        <v>679</v>
      </c>
      <c r="L174" s="651" t="s">
        <v>247</v>
      </c>
      <c r="M174" s="651" t="s">
        <v>246</v>
      </c>
      <c r="N174" s="676">
        <v>97.381325000000004</v>
      </c>
      <c r="O174" s="676">
        <v>25.396492500000001</v>
      </c>
      <c r="P174" s="677">
        <v>0</v>
      </c>
      <c r="Q174" s="840">
        <v>20</v>
      </c>
      <c r="R174" s="841">
        <v>105</v>
      </c>
      <c r="S174" s="679">
        <f>IF(CampList[[#This Row],[HH]]&gt;0,CampList[[#This Row],[Total]]/CampList[[#This Row],[HH]],"NA")</f>
        <v>5.25</v>
      </c>
      <c r="T174" s="653" t="s">
        <v>511</v>
      </c>
      <c r="U174" s="653" t="s">
        <v>1191</v>
      </c>
      <c r="V174" s="653" t="s">
        <v>554</v>
      </c>
      <c r="W174" s="653" t="s">
        <v>803</v>
      </c>
      <c r="X174" s="680">
        <v>40695</v>
      </c>
      <c r="Y174" s="681">
        <v>2</v>
      </c>
      <c r="Z174" s="680" t="s">
        <v>460</v>
      </c>
      <c r="AA174" s="693" t="s">
        <v>842</v>
      </c>
      <c r="AB174" s="682"/>
      <c r="AC174" s="683">
        <v>42809</v>
      </c>
      <c r="AD174" s="675" t="s">
        <v>1591</v>
      </c>
      <c r="AE174" s="685" t="s">
        <v>1093</v>
      </c>
      <c r="AF174" s="476">
        <f>IF(CampList[[#This Row],[Type of Accomodation]]="camp",MAX(0,CampList[[#This Row],[HH]]-SUMIF(Table_Shelter[Pcode],CampList[[#This Row],[CP_Pcode]],Table_Shelter[HH Covered])),0)</f>
        <v>17</v>
      </c>
      <c r="AG174" s="653"/>
      <c r="AH174" s="682">
        <f>MIN(CampList[[#This Row],[Shelter Gap]],CampList[[#This Row],[Land Status]])</f>
        <v>17</v>
      </c>
      <c r="AI174" s="653" t="str">
        <f ca="1">IFERROR(OFFSET(DistanceToCamp[Nearest Town],MATCH(CampList[[#This Row],[CP_Pcode]],DistanceToCamp[CP_Pcode],0)-1,0,1,1),"")</f>
        <v>Myitkyina Town</v>
      </c>
      <c r="AJ174" s="686">
        <f ca="1">IFERROR(OFFSET(DistanceToCamp[distance],MATCH(CampList[[#This Row],[CP_Pcode]],DistanceToCamp[CP_Pcode],0)-1,0,1,1),"")</f>
        <v>1.3510454549069482</v>
      </c>
      <c r="AK174" s="687">
        <f ca="1">IFERROR(INT(CampList[[#This Row],[Distance]]/5)+1,"")</f>
        <v>1</v>
      </c>
      <c r="AL174" s="669"/>
      <c r="AM174" s="856">
        <v>105</v>
      </c>
      <c r="AN174" s="669"/>
      <c r="AO174" s="669"/>
      <c r="AP174" s="669"/>
      <c r="AQ174" s="669"/>
      <c r="AR174" s="669"/>
      <c r="AS174" s="669"/>
      <c r="AT174" s="669"/>
      <c r="AU174" s="669"/>
      <c r="AV174" s="669"/>
    </row>
    <row r="175" spans="1:48" s="444" customFormat="1" ht="15.75" customHeight="1" x14ac:dyDescent="0.25">
      <c r="A175" s="675" t="s">
        <v>500</v>
      </c>
      <c r="B175" s="651" t="s">
        <v>380</v>
      </c>
      <c r="C175" s="651" t="s">
        <v>525</v>
      </c>
      <c r="D175" s="651" t="s">
        <v>237</v>
      </c>
      <c r="E175" s="651" t="s">
        <v>531</v>
      </c>
      <c r="F175" s="651" t="s">
        <v>237</v>
      </c>
      <c r="G175" s="651" t="s">
        <v>535</v>
      </c>
      <c r="H175" s="684" t="s">
        <v>671</v>
      </c>
      <c r="I175" s="684" t="s">
        <v>672</v>
      </c>
      <c r="J175" s="651" t="s">
        <v>673</v>
      </c>
      <c r="K175" s="651"/>
      <c r="L175" s="651" t="s">
        <v>253</v>
      </c>
      <c r="M175" s="651" t="s">
        <v>252</v>
      </c>
      <c r="N175" s="719">
        <v>97.373361000000003</v>
      </c>
      <c r="O175" s="719">
        <v>25.403476999999999</v>
      </c>
      <c r="P175" s="677">
        <v>0</v>
      </c>
      <c r="Q175" s="476">
        <v>205</v>
      </c>
      <c r="R175" s="476">
        <v>1110</v>
      </c>
      <c r="S175" s="679">
        <f>IF(CampList[[#This Row],[HH]]&gt;0,CampList[[#This Row],[Total]]/CampList[[#This Row],[HH]],"NA")</f>
        <v>5.4146341463414638</v>
      </c>
      <c r="T175" s="653" t="s">
        <v>511</v>
      </c>
      <c r="U175" s="653" t="s">
        <v>1191</v>
      </c>
      <c r="V175" s="653" t="s">
        <v>554</v>
      </c>
      <c r="W175" s="653" t="s">
        <v>803</v>
      </c>
      <c r="X175" s="680">
        <v>40725</v>
      </c>
      <c r="Y175" s="681">
        <v>2</v>
      </c>
      <c r="Z175" s="680" t="s">
        <v>460</v>
      </c>
      <c r="AA175" s="693" t="s">
        <v>842</v>
      </c>
      <c r="AB175" s="682"/>
      <c r="AC175" s="683">
        <v>42809</v>
      </c>
      <c r="AD175" s="675" t="s">
        <v>1597</v>
      </c>
      <c r="AE175" s="685" t="s">
        <v>1093</v>
      </c>
      <c r="AF175" s="476">
        <f>IF(CampList[[#This Row],[Type of Accomodation]]="camp",MAX(0,CampList[[#This Row],[HH]]-SUMIF(Table_Shelter[Pcode],CampList[[#This Row],[CP_Pcode]],Table_Shelter[HH Covered])),0)</f>
        <v>45</v>
      </c>
      <c r="AG175" s="653"/>
      <c r="AH175" s="682">
        <f>MIN(CampList[[#This Row],[Shelter Gap]],CampList[[#This Row],[Land Status]])</f>
        <v>45</v>
      </c>
      <c r="AI175" s="653" t="str">
        <f ca="1">IFERROR(OFFSET(DistanceToCamp[Nearest Town],MATCH(CampList[[#This Row],[CP_Pcode]],DistanceToCamp[CP_Pcode],0)-1,0,1,1),"")</f>
        <v>Myitkyina Town</v>
      </c>
      <c r="AJ175" s="686">
        <f ca="1">IFERROR(OFFSET(DistanceToCamp[distance],MATCH(CampList[[#This Row],[CP_Pcode]],DistanceToCamp[CP_Pcode],0)-1,0,1,1),"")</f>
        <v>2.4647367211404561</v>
      </c>
      <c r="AK175" s="687">
        <f ca="1">IFERROR(INT(CampList[[#This Row],[Distance]]/5)+1,"")</f>
        <v>1</v>
      </c>
      <c r="AL175" s="669"/>
      <c r="AM175" s="856">
        <v>1110</v>
      </c>
      <c r="AN175" s="669"/>
      <c r="AO175" s="669"/>
      <c r="AP175" s="669"/>
      <c r="AQ175" s="669"/>
      <c r="AR175" s="669"/>
      <c r="AS175" s="669"/>
      <c r="AT175" s="669"/>
      <c r="AU175" s="669"/>
      <c r="AV175" s="669"/>
    </row>
    <row r="176" spans="1:48" s="444" customFormat="1" ht="15.75" hidden="1" customHeight="1" x14ac:dyDescent="0.25">
      <c r="A176" s="675" t="s">
        <v>843</v>
      </c>
      <c r="B176" s="651" t="s">
        <v>380</v>
      </c>
      <c r="C176" s="651" t="s">
        <v>525</v>
      </c>
      <c r="D176" s="651" t="s">
        <v>180</v>
      </c>
      <c r="E176" s="651" t="s">
        <v>526</v>
      </c>
      <c r="F176" s="651" t="s">
        <v>527</v>
      </c>
      <c r="G176" s="651" t="s">
        <v>528</v>
      </c>
      <c r="H176" s="684" t="s">
        <v>603</v>
      </c>
      <c r="I176" s="684" t="s">
        <v>604</v>
      </c>
      <c r="J176" s="684" t="s">
        <v>607</v>
      </c>
      <c r="K176" s="684" t="s">
        <v>608</v>
      </c>
      <c r="L176" s="651" t="s">
        <v>514</v>
      </c>
      <c r="M176" s="651" t="s">
        <v>515</v>
      </c>
      <c r="N176" s="676">
        <v>96.315601999999998</v>
      </c>
      <c r="O176" s="676">
        <v>25.615006000000001</v>
      </c>
      <c r="P176" s="697"/>
      <c r="Q176" s="840">
        <v>0</v>
      </c>
      <c r="R176" s="841">
        <v>0</v>
      </c>
      <c r="S176" s="679" t="str">
        <f>IF(CampList[[#This Row],[HH]]&gt;0,CampList[[#This Row],[Total]]/CampList[[#This Row],[HH]],"NA")</f>
        <v>NA</v>
      </c>
      <c r="T176" s="653" t="s">
        <v>511</v>
      </c>
      <c r="U176" s="688" t="s">
        <v>1191</v>
      </c>
      <c r="V176" s="653" t="s">
        <v>554</v>
      </c>
      <c r="W176" s="688"/>
      <c r="X176" s="706"/>
      <c r="Y176" s="697"/>
      <c r="Z176" s="707"/>
      <c r="AA176" s="693"/>
      <c r="AB176" s="682"/>
      <c r="AC176" s="710"/>
      <c r="AD176" s="675" t="s">
        <v>601</v>
      </c>
      <c r="AE176" s="708" t="s">
        <v>1007</v>
      </c>
      <c r="AF176" s="476">
        <f>IF(CampList[[#This Row],[Type of Accomodation]]="camp",MAX(0,CampList[[#This Row],[HH]]-SUMIF(Table_Shelter[Pcode],CampList[[#This Row],[CP_Pcode]],Table_Shelter[HH Covered])),0)</f>
        <v>0</v>
      </c>
      <c r="AG176" s="653"/>
      <c r="AH176" s="682">
        <f>MIN(CampList[[#This Row],[Shelter Gap]],CampList[[#This Row],[Land Status]])</f>
        <v>0</v>
      </c>
      <c r="AI176" s="653" t="str">
        <f ca="1">IFERROR(OFFSET(DistanceToCamp[Nearest Town],MATCH(CampList[[#This Row],[CP_Pcode]],DistanceToCamp[CP_Pcode],0)-1,0,1,1),"")</f>
        <v/>
      </c>
      <c r="AJ176" s="686" t="str">
        <f ca="1">IFERROR(OFFSET(DistanceToCamp[distance],MATCH(CampList[[#This Row],[CP_Pcode]],DistanceToCamp[CP_Pcode],0)-1,0,1,1),"")</f>
        <v/>
      </c>
      <c r="AK176" s="687" t="str">
        <f ca="1">IFERROR(INT(CampList[[#This Row],[Distance]]/5)+1,"")</f>
        <v/>
      </c>
      <c r="AL176" s="669"/>
      <c r="AM176" s="856">
        <v>0</v>
      </c>
      <c r="AN176" s="669"/>
      <c r="AO176" s="669"/>
      <c r="AP176" s="669"/>
      <c r="AQ176" s="669"/>
      <c r="AR176" s="669"/>
      <c r="AS176" s="669"/>
      <c r="AT176" s="669"/>
      <c r="AU176" s="669"/>
      <c r="AV176" s="669"/>
    </row>
    <row r="177" spans="1:48" s="444" customFormat="1" ht="15.75" hidden="1" customHeight="1" x14ac:dyDescent="0.25">
      <c r="A177" s="675" t="s">
        <v>843</v>
      </c>
      <c r="B177" s="651" t="s">
        <v>380</v>
      </c>
      <c r="C177" s="651" t="s">
        <v>525</v>
      </c>
      <c r="D177" s="651" t="s">
        <v>5</v>
      </c>
      <c r="E177" s="651" t="s">
        <v>529</v>
      </c>
      <c r="F177" s="651" t="s">
        <v>151</v>
      </c>
      <c r="G177" s="651" t="s">
        <v>539</v>
      </c>
      <c r="H177" s="684" t="s">
        <v>741</v>
      </c>
      <c r="I177" s="684" t="s">
        <v>742</v>
      </c>
      <c r="J177" s="684"/>
      <c r="K177" s="684"/>
      <c r="L177" s="651" t="s">
        <v>516</v>
      </c>
      <c r="M177" s="651" t="s">
        <v>517</v>
      </c>
      <c r="N177" s="676">
        <v>97.601243999999994</v>
      </c>
      <c r="O177" s="676">
        <v>23.867713999999999</v>
      </c>
      <c r="P177" s="692">
        <v>755</v>
      </c>
      <c r="Q177" s="840">
        <v>0</v>
      </c>
      <c r="R177" s="841">
        <v>0</v>
      </c>
      <c r="S177" s="679" t="str">
        <f>IF(CampList[[#This Row],[HH]]&gt;0,CampList[[#This Row],[Total]]/CampList[[#This Row],[HH]],"NA")</f>
        <v>NA</v>
      </c>
      <c r="T177" s="653" t="s">
        <v>513</v>
      </c>
      <c r="U177" s="688" t="s">
        <v>1191</v>
      </c>
      <c r="V177" s="653" t="s">
        <v>554</v>
      </c>
      <c r="W177" s="688" t="s">
        <v>856</v>
      </c>
      <c r="X177" s="689">
        <v>41365</v>
      </c>
      <c r="Y177" s="690">
        <v>2</v>
      </c>
      <c r="Z177" s="689" t="s">
        <v>1089</v>
      </c>
      <c r="AA177" s="693" t="s">
        <v>842</v>
      </c>
      <c r="AB177" s="682"/>
      <c r="AC177" s="683">
        <v>41811</v>
      </c>
      <c r="AD177" s="675" t="s">
        <v>1100</v>
      </c>
      <c r="AE177" s="685" t="s">
        <v>1093</v>
      </c>
      <c r="AF177" s="476">
        <f>IF(CampList[[#This Row],[Type of Accomodation]]="camp",MAX(0,CampList[[#This Row],[HH]]-SUMIF(Table_Shelter[Pcode],CampList[[#This Row],[CP_Pcode]],Table_Shelter[HH Covered])),0)</f>
        <v>0</v>
      </c>
      <c r="AG177" s="653"/>
      <c r="AH177" s="682">
        <f>MIN(CampList[[#This Row],[Shelter Gap]],CampList[[#This Row],[Land Status]])</f>
        <v>0</v>
      </c>
      <c r="AI177" s="653" t="str">
        <f ca="1">IFERROR(OFFSET(DistanceToCamp[Nearest Town],MATCH(CampList[[#This Row],[CP_Pcode]],DistanceToCamp[CP_Pcode],0)-1,0,1,1),"")</f>
        <v/>
      </c>
      <c r="AJ177" s="686" t="str">
        <f ca="1">IFERROR(OFFSET(DistanceToCamp[distance],MATCH(CampList[[#This Row],[CP_Pcode]],DistanceToCamp[CP_Pcode],0)-1,0,1,1),"")</f>
        <v/>
      </c>
      <c r="AK177" s="687" t="str">
        <f ca="1">IFERROR(INT(CampList[[#This Row],[Distance]]/5)+1,"")</f>
        <v/>
      </c>
      <c r="AL177" s="669"/>
      <c r="AM177" s="856">
        <v>0</v>
      </c>
      <c r="AN177" s="669"/>
      <c r="AO177" s="669"/>
      <c r="AP177" s="669"/>
      <c r="AQ177" s="669"/>
      <c r="AR177" s="669"/>
      <c r="AS177" s="669"/>
      <c r="AT177" s="669"/>
      <c r="AU177" s="669"/>
      <c r="AV177" s="669"/>
    </row>
    <row r="178" spans="1:48" s="444" customFormat="1" ht="15.75" hidden="1" customHeight="1" x14ac:dyDescent="0.25">
      <c r="A178" s="675" t="s">
        <v>843</v>
      </c>
      <c r="B178" s="651" t="s">
        <v>380</v>
      </c>
      <c r="C178" s="651" t="s">
        <v>525</v>
      </c>
      <c r="D178" s="651" t="s">
        <v>5</v>
      </c>
      <c r="E178" s="651" t="s">
        <v>529</v>
      </c>
      <c r="F178" s="651" t="s">
        <v>151</v>
      </c>
      <c r="G178" s="651" t="s">
        <v>539</v>
      </c>
      <c r="H178" s="684" t="s">
        <v>626</v>
      </c>
      <c r="I178" s="684" t="s">
        <v>627</v>
      </c>
      <c r="J178" s="684"/>
      <c r="K178" s="684"/>
      <c r="L178" s="651" t="s">
        <v>518</v>
      </c>
      <c r="M178" s="651" t="s">
        <v>519</v>
      </c>
      <c r="N178" s="676">
        <v>96.808850000000007</v>
      </c>
      <c r="O178" s="676">
        <v>24.20645</v>
      </c>
      <c r="P178" s="677">
        <v>781.8</v>
      </c>
      <c r="Q178" s="840">
        <v>0</v>
      </c>
      <c r="R178" s="841">
        <v>0</v>
      </c>
      <c r="S178" s="679" t="str">
        <f>IF(CampList[[#This Row],[HH]]&gt;0,CampList[[#This Row],[Total]]/CampList[[#This Row],[HH]],"NA")</f>
        <v>NA</v>
      </c>
      <c r="T178" s="653" t="s">
        <v>513</v>
      </c>
      <c r="U178" s="688" t="s">
        <v>1191</v>
      </c>
      <c r="V178" s="653" t="s">
        <v>554</v>
      </c>
      <c r="W178" s="688" t="s">
        <v>856</v>
      </c>
      <c r="X178" s="689">
        <v>41091</v>
      </c>
      <c r="Y178" s="690"/>
      <c r="Z178" s="689"/>
      <c r="AA178" s="693" t="s">
        <v>842</v>
      </c>
      <c r="AB178" s="682"/>
      <c r="AC178" s="683">
        <v>41661</v>
      </c>
      <c r="AD178" s="675" t="s">
        <v>937</v>
      </c>
      <c r="AE178" s="685" t="s">
        <v>1007</v>
      </c>
      <c r="AF178" s="476">
        <f>IF(CampList[[#This Row],[Type of Accomodation]]="camp",MAX(0,CampList[[#This Row],[HH]]-SUMIF(Table_Shelter[Pcode],CampList[[#This Row],[CP_Pcode]],Table_Shelter[HH Covered])),0)</f>
        <v>0</v>
      </c>
      <c r="AG178" s="653"/>
      <c r="AH178" s="682">
        <f>MIN(CampList[[#This Row],[Shelter Gap]],CampList[[#This Row],[Land Status]])</f>
        <v>0</v>
      </c>
      <c r="AI178" s="653" t="str">
        <f ca="1">IFERROR(OFFSET(DistanceToCamp[Nearest Town],MATCH(CampList[[#This Row],[CP_Pcode]],DistanceToCamp[CP_Pcode],0)-1,0,1,1),"")</f>
        <v/>
      </c>
      <c r="AJ178" s="686" t="str">
        <f ca="1">IFERROR(OFFSET(DistanceToCamp[distance],MATCH(CampList[[#This Row],[CP_Pcode]],DistanceToCamp[CP_Pcode],0)-1,0,1,1),"")</f>
        <v/>
      </c>
      <c r="AK178" s="687" t="str">
        <f ca="1">IFERROR(INT(CampList[[#This Row],[Distance]]/5)+1,"")</f>
        <v/>
      </c>
      <c r="AL178" s="669"/>
      <c r="AM178" s="856">
        <v>0</v>
      </c>
      <c r="AN178" s="669"/>
      <c r="AO178" s="669"/>
      <c r="AP178" s="669"/>
      <c r="AQ178" s="669"/>
      <c r="AR178" s="669"/>
      <c r="AS178" s="669"/>
      <c r="AT178" s="669"/>
      <c r="AU178" s="669"/>
      <c r="AV178" s="669"/>
    </row>
    <row r="179" spans="1:48" s="444" customFormat="1" ht="15.75" hidden="1" customHeight="1" x14ac:dyDescent="0.25">
      <c r="A179" s="675" t="s">
        <v>843</v>
      </c>
      <c r="B179" s="651" t="s">
        <v>380</v>
      </c>
      <c r="C179" s="651" t="s">
        <v>525</v>
      </c>
      <c r="D179" s="651" t="s">
        <v>5</v>
      </c>
      <c r="E179" s="651" t="s">
        <v>529</v>
      </c>
      <c r="F179" s="651" t="s">
        <v>151</v>
      </c>
      <c r="G179" s="651" t="s">
        <v>539</v>
      </c>
      <c r="H179" s="684" t="s">
        <v>628</v>
      </c>
      <c r="I179" s="684" t="s">
        <v>629</v>
      </c>
      <c r="J179" s="684"/>
      <c r="K179" s="684"/>
      <c r="L179" s="651" t="s">
        <v>865</v>
      </c>
      <c r="M179" s="651" t="s">
        <v>520</v>
      </c>
      <c r="N179" s="676">
        <v>97.132339999999999</v>
      </c>
      <c r="O179" s="676">
        <v>23.75817</v>
      </c>
      <c r="P179" s="677">
        <v>781.8</v>
      </c>
      <c r="Q179" s="840">
        <v>0</v>
      </c>
      <c r="R179" s="841">
        <v>0</v>
      </c>
      <c r="S179" s="679" t="str">
        <f>IF(CampList[[#This Row],[HH]]&gt;0,CampList[[#This Row],[Total]]/CampList[[#This Row],[HH]],"NA")</f>
        <v>NA</v>
      </c>
      <c r="T179" s="653" t="s">
        <v>513</v>
      </c>
      <c r="U179" s="688" t="s">
        <v>1191</v>
      </c>
      <c r="V179" s="653" t="s">
        <v>554</v>
      </c>
      <c r="W179" s="688" t="s">
        <v>856</v>
      </c>
      <c r="X179" s="689">
        <v>41091</v>
      </c>
      <c r="Y179" s="690"/>
      <c r="Z179" s="689"/>
      <c r="AA179" s="693" t="s">
        <v>842</v>
      </c>
      <c r="AB179" s="682"/>
      <c r="AC179" s="710"/>
      <c r="AD179" s="675" t="s">
        <v>937</v>
      </c>
      <c r="AE179" s="685" t="s">
        <v>1007</v>
      </c>
      <c r="AF179" s="476">
        <f>IF(CampList[[#This Row],[Type of Accomodation]]="camp",MAX(0,CampList[[#This Row],[HH]]-SUMIF(Table_Shelter[Pcode],CampList[[#This Row],[CP_Pcode]],Table_Shelter[HH Covered])),0)</f>
        <v>0</v>
      </c>
      <c r="AG179" s="653"/>
      <c r="AH179" s="682">
        <f>MIN(CampList[[#This Row],[Shelter Gap]],CampList[[#This Row],[Land Status]])</f>
        <v>0</v>
      </c>
      <c r="AI179" s="653" t="str">
        <f ca="1">IFERROR(OFFSET(DistanceToCamp[Nearest Town],MATCH(CampList[[#This Row],[CP_Pcode]],DistanceToCamp[CP_Pcode],0)-1,0,1,1),"")</f>
        <v/>
      </c>
      <c r="AJ179" s="686" t="str">
        <f ca="1">IFERROR(OFFSET(DistanceToCamp[distance],MATCH(CampList[[#This Row],[CP_Pcode]],DistanceToCamp[CP_Pcode],0)-1,0,1,1),"")</f>
        <v/>
      </c>
      <c r="AK179" s="687" t="str">
        <f ca="1">IFERROR(INT(CampList[[#This Row],[Distance]]/5)+1,"")</f>
        <v/>
      </c>
      <c r="AL179" s="669"/>
      <c r="AM179" s="856">
        <v>0</v>
      </c>
      <c r="AN179" s="669"/>
      <c r="AO179" s="669"/>
      <c r="AP179" s="669"/>
      <c r="AQ179" s="669"/>
      <c r="AR179" s="669"/>
      <c r="AS179" s="669"/>
      <c r="AT179" s="669"/>
      <c r="AU179" s="669"/>
      <c r="AV179" s="669"/>
    </row>
    <row r="180" spans="1:48" s="444" customFormat="1" ht="15.75" customHeight="1" x14ac:dyDescent="0.25">
      <c r="A180" s="695" t="s">
        <v>500</v>
      </c>
      <c r="B180" s="652" t="s">
        <v>380</v>
      </c>
      <c r="C180" s="652" t="s">
        <v>525</v>
      </c>
      <c r="D180" s="652" t="s">
        <v>237</v>
      </c>
      <c r="E180" s="652" t="s">
        <v>531</v>
      </c>
      <c r="F180" s="652" t="s">
        <v>237</v>
      </c>
      <c r="G180" s="652" t="s">
        <v>535</v>
      </c>
      <c r="H180" s="652" t="s">
        <v>671</v>
      </c>
      <c r="I180" s="696" t="s">
        <v>672</v>
      </c>
      <c r="J180" s="652" t="s">
        <v>673</v>
      </c>
      <c r="K180" s="652"/>
      <c r="L180" s="652" t="s">
        <v>255</v>
      </c>
      <c r="M180" s="652" t="s">
        <v>254</v>
      </c>
      <c r="N180" s="678">
        <v>97.379594999999995</v>
      </c>
      <c r="O180" s="678">
        <v>25.401061110000001</v>
      </c>
      <c r="P180" s="698"/>
      <c r="Q180" s="476">
        <v>99</v>
      </c>
      <c r="R180" s="708">
        <v>454</v>
      </c>
      <c r="S180" s="679">
        <f>IF(CampList[[#This Row],[HH]]&gt;0,CampList[[#This Row],[Total]]/CampList[[#This Row],[HH]],"NA")</f>
        <v>4.5858585858585856</v>
      </c>
      <c r="T180" s="476" t="s">
        <v>511</v>
      </c>
      <c r="U180" s="653" t="s">
        <v>1191</v>
      </c>
      <c r="V180" s="476" t="s">
        <v>554</v>
      </c>
      <c r="W180" s="476" t="s">
        <v>803</v>
      </c>
      <c r="X180" s="699">
        <v>40725</v>
      </c>
      <c r="Y180" s="698">
        <v>3</v>
      </c>
      <c r="Z180" s="698" t="s">
        <v>1090</v>
      </c>
      <c r="AA180" s="678" t="s">
        <v>842</v>
      </c>
      <c r="AB180" s="678"/>
      <c r="AC180" s="683">
        <v>42780</v>
      </c>
      <c r="AD180" s="700" t="s">
        <v>1545</v>
      </c>
      <c r="AE180" s="685" t="s">
        <v>1093</v>
      </c>
      <c r="AF180" s="701">
        <f>IF(CampList[[#This Row],[Type of Accomodation]]="camp",MAX(0,CampList[[#This Row],[HH]]-SUMIF(Table_Shelter[Pcode],CampList[[#This Row],[CP_Pcode]],Table_Shelter[HH Covered])),0)</f>
        <v>19</v>
      </c>
      <c r="AG180" s="476"/>
      <c r="AH180" s="677">
        <f>MIN(CampList[[#This Row],[Shelter Gap]],CampList[[#This Row],[Land Status]])</f>
        <v>19</v>
      </c>
      <c r="AI180" s="701" t="str">
        <f ca="1">IFERROR(OFFSET(DistanceToCamp[Nearest Town],MATCH(CampList[[#This Row],[CP_Pcode]],DistanceToCamp[CP_Pcode],0)-1,0,1,1),"")</f>
        <v>Myitkyina Town</v>
      </c>
      <c r="AJ180" s="686">
        <f ca="1">IFERROR(OFFSET(DistanceToCamp[distance],MATCH(CampList[[#This Row],[CP_Pcode]],DistanceToCamp[CP_Pcode],0)-1,0,1,1),"")</f>
        <v>1.8563710010113432</v>
      </c>
      <c r="AK180" s="702">
        <f ca="1">IFERROR(INT(CampList[[#This Row],[Distance]]/5)+1,"")</f>
        <v>1</v>
      </c>
      <c r="AL180" s="669"/>
      <c r="AM180" s="856">
        <v>454</v>
      </c>
      <c r="AN180" s="669"/>
      <c r="AO180" s="669"/>
      <c r="AP180" s="669"/>
      <c r="AQ180" s="669"/>
      <c r="AR180" s="669"/>
      <c r="AS180" s="669"/>
      <c r="AT180" s="669"/>
      <c r="AU180" s="669"/>
      <c r="AV180" s="669"/>
    </row>
    <row r="181" spans="1:48" s="444" customFormat="1" ht="15.75" customHeight="1" x14ac:dyDescent="0.25">
      <c r="A181" s="675" t="s">
        <v>500</v>
      </c>
      <c r="B181" s="651" t="s">
        <v>380</v>
      </c>
      <c r="C181" s="651" t="s">
        <v>525</v>
      </c>
      <c r="D181" s="651" t="s">
        <v>237</v>
      </c>
      <c r="E181" s="651" t="s">
        <v>531</v>
      </c>
      <c r="F181" s="651" t="s">
        <v>237</v>
      </c>
      <c r="G181" s="651" t="s">
        <v>535</v>
      </c>
      <c r="H181" s="684" t="s">
        <v>671</v>
      </c>
      <c r="I181" s="684" t="s">
        <v>672</v>
      </c>
      <c r="J181" s="684" t="s">
        <v>685</v>
      </c>
      <c r="K181" s="684" t="s">
        <v>686</v>
      </c>
      <c r="L181" s="651" t="s">
        <v>257</v>
      </c>
      <c r="M181" s="651" t="s">
        <v>256</v>
      </c>
      <c r="N181" s="676">
        <v>97.405202777777802</v>
      </c>
      <c r="O181" s="676">
        <v>25.3660036111111</v>
      </c>
      <c r="P181" s="677">
        <v>0</v>
      </c>
      <c r="Q181" s="476">
        <v>48</v>
      </c>
      <c r="R181" s="476">
        <v>211</v>
      </c>
      <c r="S181" s="679">
        <f>IF(CampList[[#This Row],[HH]]&gt;0,CampList[[#This Row],[Total]]/CampList[[#This Row],[HH]],"NA")</f>
        <v>4.395833333333333</v>
      </c>
      <c r="T181" s="653" t="s">
        <v>511</v>
      </c>
      <c r="U181" s="653" t="s">
        <v>1191</v>
      </c>
      <c r="V181" s="653" t="s">
        <v>554</v>
      </c>
      <c r="W181" s="653" t="s">
        <v>803</v>
      </c>
      <c r="X181" s="680">
        <v>40909</v>
      </c>
      <c r="Y181" s="681">
        <v>1</v>
      </c>
      <c r="Z181" s="680" t="s">
        <v>460</v>
      </c>
      <c r="AA181" s="693" t="s">
        <v>842</v>
      </c>
      <c r="AB181" s="682"/>
      <c r="AC181" s="683">
        <v>42809</v>
      </c>
      <c r="AD181" s="675" t="s">
        <v>1600</v>
      </c>
      <c r="AE181" s="685" t="s">
        <v>1093</v>
      </c>
      <c r="AF181" s="476">
        <f>IF(CampList[[#This Row],[Type of Accomodation]]="camp",MAX(0,CampList[[#This Row],[HH]]-SUMIF(Table_Shelter[Pcode],CampList[[#This Row],[CP_Pcode]],Table_Shelter[HH Covered])),0)</f>
        <v>43</v>
      </c>
      <c r="AG181" s="653"/>
      <c r="AH181" s="682">
        <f>MIN(CampList[[#This Row],[Shelter Gap]],CampList[[#This Row],[Land Status]])</f>
        <v>43</v>
      </c>
      <c r="AI181" s="653" t="str">
        <f ca="1">IFERROR(OFFSET(DistanceToCamp[Nearest Town],MATCH(CampList[[#This Row],[CP_Pcode]],DistanceToCamp[CP_Pcode],0)-1,0,1,1),"")</f>
        <v>Myitkyina Town</v>
      </c>
      <c r="AJ181" s="686">
        <f ca="1">IFERROR(OFFSET(DistanceToCamp[distance],MATCH(CampList[[#This Row],[CP_Pcode]],DistanceToCamp[CP_Pcode],0)-1,0,1,1),"")</f>
        <v>2.8164250706222882</v>
      </c>
      <c r="AK181" s="687">
        <f ca="1">IFERROR(INT(CampList[[#This Row],[Distance]]/5)+1,"")</f>
        <v>1</v>
      </c>
      <c r="AL181" s="669"/>
      <c r="AM181" s="856">
        <v>211</v>
      </c>
      <c r="AN181" s="669"/>
      <c r="AO181" s="669"/>
      <c r="AP181" s="669"/>
      <c r="AQ181" s="669"/>
      <c r="AR181" s="669"/>
      <c r="AS181" s="669"/>
      <c r="AT181" s="669"/>
      <c r="AU181" s="669"/>
      <c r="AV181" s="669"/>
    </row>
    <row r="182" spans="1:48" s="444" customFormat="1" ht="15.75" hidden="1" customHeight="1" x14ac:dyDescent="0.25">
      <c r="A182" s="675" t="s">
        <v>843</v>
      </c>
      <c r="B182" s="651" t="s">
        <v>380</v>
      </c>
      <c r="C182" s="651" t="s">
        <v>525</v>
      </c>
      <c r="D182" s="651" t="s">
        <v>5</v>
      </c>
      <c r="E182" s="651" t="s">
        <v>529</v>
      </c>
      <c r="F182" s="651" t="s">
        <v>151</v>
      </c>
      <c r="G182" s="651" t="s">
        <v>539</v>
      </c>
      <c r="H182" s="684" t="s">
        <v>628</v>
      </c>
      <c r="I182" s="684" t="s">
        <v>629</v>
      </c>
      <c r="J182" s="651"/>
      <c r="K182" s="694"/>
      <c r="L182" s="651" t="s">
        <v>866</v>
      </c>
      <c r="M182" s="651" t="s">
        <v>867</v>
      </c>
      <c r="N182" s="676"/>
      <c r="O182" s="676"/>
      <c r="P182" s="698"/>
      <c r="Q182" s="840">
        <v>0</v>
      </c>
      <c r="R182" s="841">
        <v>0</v>
      </c>
      <c r="S182" s="679" t="str">
        <f>IF(CampList[[#This Row],[HH]]&gt;0,CampList[[#This Row],[Total]]/CampList[[#This Row],[HH]],"NA")</f>
        <v>NA</v>
      </c>
      <c r="T182" s="653" t="s">
        <v>513</v>
      </c>
      <c r="U182" s="688" t="s">
        <v>1191</v>
      </c>
      <c r="V182" s="653" t="s">
        <v>554</v>
      </c>
      <c r="W182" s="653"/>
      <c r="X182" s="699"/>
      <c r="Y182" s="698"/>
      <c r="Z182" s="682"/>
      <c r="AA182" s="693" t="s">
        <v>842</v>
      </c>
      <c r="AB182" s="682"/>
      <c r="AC182" s="710"/>
      <c r="AD182" s="675" t="s">
        <v>937</v>
      </c>
      <c r="AE182" s="708" t="s">
        <v>1007</v>
      </c>
      <c r="AF182" s="476">
        <f>IF(CampList[[#This Row],[Type of Accomodation]]="camp",MAX(0,CampList[[#This Row],[HH]]-SUMIF(Table_Shelter[Pcode],CampList[[#This Row],[CP_Pcode]],Table_Shelter[HH Covered])),0)</f>
        <v>0</v>
      </c>
      <c r="AG182" s="653"/>
      <c r="AH182" s="682">
        <f>MIN(CampList[[#This Row],[Shelter Gap]],CampList[[#This Row],[Land Status]])</f>
        <v>0</v>
      </c>
      <c r="AI182" s="653" t="str">
        <f ca="1">IFERROR(OFFSET(DistanceToCamp[Nearest Town],MATCH(CampList[[#This Row],[CP_Pcode]],DistanceToCamp[CP_Pcode],0)-1,0,1,1),"")</f>
        <v/>
      </c>
      <c r="AJ182" s="686" t="str">
        <f ca="1">IFERROR(OFFSET(DistanceToCamp[distance],MATCH(CampList[[#This Row],[CP_Pcode]],DistanceToCamp[CP_Pcode],0)-1,0,1,1),"")</f>
        <v/>
      </c>
      <c r="AK182" s="687" t="str">
        <f ca="1">IFERROR(INT(CampList[[#This Row],[Distance]]/5)+1,"")</f>
        <v/>
      </c>
      <c r="AL182" s="669"/>
      <c r="AM182" s="856">
        <v>0</v>
      </c>
      <c r="AN182" s="669"/>
      <c r="AO182" s="669"/>
      <c r="AP182" s="669"/>
      <c r="AQ182" s="669"/>
      <c r="AR182" s="669"/>
      <c r="AS182" s="669"/>
      <c r="AT182" s="669"/>
      <c r="AU182" s="669"/>
      <c r="AV182" s="669"/>
    </row>
    <row r="183" spans="1:48" s="444" customFormat="1" ht="15.75" customHeight="1" x14ac:dyDescent="0.25">
      <c r="A183" s="675" t="s">
        <v>500</v>
      </c>
      <c r="B183" s="651" t="s">
        <v>380</v>
      </c>
      <c r="C183" s="651" t="s">
        <v>525</v>
      </c>
      <c r="D183" s="651" t="s">
        <v>237</v>
      </c>
      <c r="E183" s="651" t="s">
        <v>531</v>
      </c>
      <c r="F183" s="651" t="s">
        <v>237</v>
      </c>
      <c r="G183" s="651" t="s">
        <v>535</v>
      </c>
      <c r="H183" s="684" t="s">
        <v>671</v>
      </c>
      <c r="I183" s="684" t="s">
        <v>672</v>
      </c>
      <c r="J183" s="684" t="s">
        <v>687</v>
      </c>
      <c r="K183" s="684" t="s">
        <v>688</v>
      </c>
      <c r="L183" s="651" t="s">
        <v>240</v>
      </c>
      <c r="M183" s="651" t="s">
        <v>239</v>
      </c>
      <c r="N183" s="676">
        <v>97.409035000000003</v>
      </c>
      <c r="O183" s="676">
        <v>25.362420757575801</v>
      </c>
      <c r="P183" s="677">
        <v>0</v>
      </c>
      <c r="Q183" s="476">
        <v>30</v>
      </c>
      <c r="R183" s="476">
        <v>178</v>
      </c>
      <c r="S183" s="679">
        <f>IF(CampList[[#This Row],[HH]]&gt;0,CampList[[#This Row],[Total]]/CampList[[#This Row],[HH]],"NA")</f>
        <v>5.9333333333333336</v>
      </c>
      <c r="T183" s="653" t="s">
        <v>511</v>
      </c>
      <c r="U183" s="653" t="s">
        <v>1191</v>
      </c>
      <c r="V183" s="653" t="s">
        <v>554</v>
      </c>
      <c r="W183" s="653" t="s">
        <v>803</v>
      </c>
      <c r="X183" s="680">
        <v>40603</v>
      </c>
      <c r="Y183" s="681">
        <v>2</v>
      </c>
      <c r="Z183" s="680" t="s">
        <v>460</v>
      </c>
      <c r="AA183" s="693" t="s">
        <v>842</v>
      </c>
      <c r="AB183" s="682"/>
      <c r="AC183" s="683">
        <v>42809</v>
      </c>
      <c r="AD183" s="675" t="s">
        <v>1602</v>
      </c>
      <c r="AE183" s="685" t="s">
        <v>1093</v>
      </c>
      <c r="AF183" s="476">
        <f>IF(CampList[[#This Row],[Type of Accomodation]]="camp",MAX(0,CampList[[#This Row],[HH]]-SUMIF(Table_Shelter[Pcode],CampList[[#This Row],[CP_Pcode]],Table_Shelter[HH Covered])),0)</f>
        <v>6</v>
      </c>
      <c r="AG183" s="653"/>
      <c r="AH183" s="682">
        <f>MIN(CampList[[#This Row],[Shelter Gap]],CampList[[#This Row],[Land Status]])</f>
        <v>6</v>
      </c>
      <c r="AI183" s="653" t="str">
        <f ca="1">IFERROR(OFFSET(DistanceToCamp[Nearest Town],MATCH(CampList[[#This Row],[CP_Pcode]],DistanceToCamp[CP_Pcode],0)-1,0,1,1),"")</f>
        <v>Myitkyina Town</v>
      </c>
      <c r="AJ183" s="686">
        <f ca="1">IFERROR(OFFSET(DistanceToCamp[distance],MATCH(CampList[[#This Row],[CP_Pcode]],DistanceToCamp[CP_Pcode],0)-1,0,1,1),"")</f>
        <v>3.3602711423118103</v>
      </c>
      <c r="AK183" s="687">
        <f ca="1">IFERROR(INT(CampList[[#This Row],[Distance]]/5)+1,"")</f>
        <v>1</v>
      </c>
      <c r="AL183" s="669"/>
      <c r="AM183" s="856">
        <v>178</v>
      </c>
      <c r="AN183" s="669"/>
      <c r="AO183" s="669"/>
      <c r="AP183" s="669"/>
      <c r="AQ183" s="669"/>
      <c r="AR183" s="669"/>
      <c r="AS183" s="669"/>
      <c r="AT183" s="669"/>
      <c r="AU183" s="669"/>
      <c r="AV183" s="669"/>
    </row>
    <row r="184" spans="1:48" s="444" customFormat="1" ht="15.75" hidden="1" customHeight="1" x14ac:dyDescent="0.25">
      <c r="A184" s="675" t="s">
        <v>843</v>
      </c>
      <c r="B184" s="651" t="s">
        <v>380</v>
      </c>
      <c r="C184" s="651" t="s">
        <v>525</v>
      </c>
      <c r="D184" s="651" t="s">
        <v>5</v>
      </c>
      <c r="E184" s="651" t="s">
        <v>529</v>
      </c>
      <c r="F184" s="651" t="s">
        <v>5</v>
      </c>
      <c r="G184" s="651" t="s">
        <v>530</v>
      </c>
      <c r="H184" s="684"/>
      <c r="I184" s="684"/>
      <c r="J184" s="684"/>
      <c r="K184" s="684"/>
      <c r="L184" s="651" t="s">
        <v>869</v>
      </c>
      <c r="M184" s="651" t="s">
        <v>855</v>
      </c>
      <c r="N184" s="676"/>
      <c r="O184" s="676"/>
      <c r="P184" s="692"/>
      <c r="Q184" s="840">
        <v>0</v>
      </c>
      <c r="R184" s="841">
        <v>0</v>
      </c>
      <c r="S184" s="679" t="str">
        <f>IF(CampList[[#This Row],[HH]]&gt;0,CampList[[#This Row],[Total]]/CampList[[#This Row],[HH]],"NA")</f>
        <v>NA</v>
      </c>
      <c r="T184" s="653" t="s">
        <v>511</v>
      </c>
      <c r="U184" s="688" t="s">
        <v>1191</v>
      </c>
      <c r="V184" s="653" t="s">
        <v>554</v>
      </c>
      <c r="W184" s="688" t="s">
        <v>803</v>
      </c>
      <c r="X184" s="689"/>
      <c r="Y184" s="690"/>
      <c r="Z184" s="689"/>
      <c r="AA184" s="693" t="s">
        <v>842</v>
      </c>
      <c r="AB184" s="682"/>
      <c r="AC184" s="683">
        <v>41701</v>
      </c>
      <c r="AD184" s="675" t="s">
        <v>1017</v>
      </c>
      <c r="AE184" s="685" t="s">
        <v>1007</v>
      </c>
      <c r="AF184" s="476">
        <f>IF(CampList[[#This Row],[Type of Accomodation]]="camp",MAX(0,CampList[[#This Row],[HH]]-SUMIF(Table_Shelter[Pcode],CampList[[#This Row],[CP_Pcode]],Table_Shelter[HH Covered])),0)</f>
        <v>0</v>
      </c>
      <c r="AG184" s="653"/>
      <c r="AH184" s="682">
        <f>MIN(CampList[[#This Row],[Shelter Gap]],CampList[[#This Row],[Land Status]])</f>
        <v>0</v>
      </c>
      <c r="AI184" s="653" t="str">
        <f ca="1">IFERROR(OFFSET(DistanceToCamp[Nearest Town],MATCH(CampList[[#This Row],[CP_Pcode]],DistanceToCamp[CP_Pcode],0)-1,0,1,1),"")</f>
        <v/>
      </c>
      <c r="AJ184" s="686" t="str">
        <f ca="1">IFERROR(OFFSET(DistanceToCamp[distance],MATCH(CampList[[#This Row],[CP_Pcode]],DistanceToCamp[CP_Pcode],0)-1,0,1,1),"")</f>
        <v/>
      </c>
      <c r="AK184" s="687" t="str">
        <f ca="1">IFERROR(INT(CampList[[#This Row],[Distance]]/5)+1,"")</f>
        <v/>
      </c>
      <c r="AL184" s="669"/>
      <c r="AM184" s="856">
        <v>0</v>
      </c>
      <c r="AN184" s="669"/>
      <c r="AO184" s="669"/>
      <c r="AP184" s="669"/>
      <c r="AQ184" s="669"/>
      <c r="AR184" s="669"/>
      <c r="AS184" s="669"/>
      <c r="AT184" s="669"/>
      <c r="AU184" s="669"/>
      <c r="AV184" s="669"/>
    </row>
    <row r="185" spans="1:48" s="444" customFormat="1" ht="15.75" hidden="1" customHeight="1" x14ac:dyDescent="0.25">
      <c r="A185" s="675" t="s">
        <v>843</v>
      </c>
      <c r="B185" s="651" t="s">
        <v>380</v>
      </c>
      <c r="C185" s="651" t="s">
        <v>525</v>
      </c>
      <c r="D185" s="651" t="s">
        <v>5</v>
      </c>
      <c r="E185" s="651" t="s">
        <v>529</v>
      </c>
      <c r="F185" s="651" t="s">
        <v>151</v>
      </c>
      <c r="G185" s="651" t="s">
        <v>539</v>
      </c>
      <c r="H185" s="684" t="s">
        <v>872</v>
      </c>
      <c r="I185" s="684" t="s">
        <v>873</v>
      </c>
      <c r="J185" s="684" t="s">
        <v>871</v>
      </c>
      <c r="K185" s="684">
        <v>167391</v>
      </c>
      <c r="L185" s="651" t="s">
        <v>876</v>
      </c>
      <c r="M185" s="651" t="s">
        <v>870</v>
      </c>
      <c r="N185" s="676">
        <v>97.710989999999995</v>
      </c>
      <c r="O185" s="719">
        <v>24.181640000000002</v>
      </c>
      <c r="P185" s="697"/>
      <c r="Q185" s="840">
        <v>0</v>
      </c>
      <c r="R185" s="841">
        <v>0</v>
      </c>
      <c r="S185" s="679" t="str">
        <f>IF(CampList[[#This Row],[HH]]&gt;0,CampList[[#This Row],[Total]]/CampList[[#This Row],[HH]],"NA")</f>
        <v>NA</v>
      </c>
      <c r="T185" s="653" t="s">
        <v>511</v>
      </c>
      <c r="U185" s="688" t="s">
        <v>1191</v>
      </c>
      <c r="V185" s="653" t="s">
        <v>554</v>
      </c>
      <c r="W185" s="688"/>
      <c r="X185" s="706"/>
      <c r="Y185" s="697"/>
      <c r="Z185" s="707"/>
      <c r="AA185" s="693" t="s">
        <v>842</v>
      </c>
      <c r="AB185" s="682"/>
      <c r="AC185" s="683">
        <v>41701</v>
      </c>
      <c r="AD185" s="675" t="s">
        <v>1012</v>
      </c>
      <c r="AE185" s="708" t="s">
        <v>1007</v>
      </c>
      <c r="AF185" s="476">
        <f>IF(CampList[[#This Row],[Type of Accomodation]]="camp",MAX(0,CampList[[#This Row],[HH]]-SUMIF(Table_Shelter[Pcode],CampList[[#This Row],[CP_Pcode]],Table_Shelter[HH Covered])),0)</f>
        <v>0</v>
      </c>
      <c r="AG185" s="653"/>
      <c r="AH185" s="682">
        <f>MIN(CampList[[#This Row],[Shelter Gap]],CampList[[#This Row],[Land Status]])</f>
        <v>0</v>
      </c>
      <c r="AI185" s="653" t="str">
        <f ca="1">IFERROR(OFFSET(DistanceToCamp[Nearest Town],MATCH(CampList[[#This Row],[CP_Pcode]],DistanceToCamp[CP_Pcode],0)-1,0,1,1),"")</f>
        <v/>
      </c>
      <c r="AJ185" s="686" t="str">
        <f ca="1">IFERROR(OFFSET(DistanceToCamp[distance],MATCH(CampList[[#This Row],[CP_Pcode]],DistanceToCamp[CP_Pcode],0)-1,0,1,1),"")</f>
        <v/>
      </c>
      <c r="AK185" s="687" t="str">
        <f ca="1">IFERROR(INT(CampList[[#This Row],[Distance]]/5)+1,"")</f>
        <v/>
      </c>
      <c r="AL185" s="669"/>
      <c r="AM185" s="856">
        <v>0</v>
      </c>
      <c r="AN185" s="669"/>
      <c r="AO185" s="669"/>
      <c r="AP185" s="669"/>
      <c r="AQ185" s="669"/>
      <c r="AR185" s="669"/>
      <c r="AS185" s="669"/>
      <c r="AT185" s="669"/>
      <c r="AU185" s="669"/>
      <c r="AV185" s="669"/>
    </row>
    <row r="186" spans="1:48" s="444" customFormat="1" ht="15.75" hidden="1" customHeight="1" x14ac:dyDescent="0.25">
      <c r="A186" s="675" t="s">
        <v>843</v>
      </c>
      <c r="B186" s="651" t="s">
        <v>380</v>
      </c>
      <c r="C186" s="651" t="s">
        <v>525</v>
      </c>
      <c r="D186" s="651" t="s">
        <v>5</v>
      </c>
      <c r="E186" s="651" t="s">
        <v>529</v>
      </c>
      <c r="F186" s="651" t="s">
        <v>151</v>
      </c>
      <c r="G186" s="651" t="s">
        <v>539</v>
      </c>
      <c r="H186" s="684" t="s">
        <v>872</v>
      </c>
      <c r="I186" s="684" t="s">
        <v>873</v>
      </c>
      <c r="J186" s="684" t="s">
        <v>871</v>
      </c>
      <c r="K186" s="684">
        <v>167391</v>
      </c>
      <c r="L186" s="651" t="s">
        <v>875</v>
      </c>
      <c r="M186" s="651" t="s">
        <v>874</v>
      </c>
      <c r="N186" s="676">
        <v>97.710989999999995</v>
      </c>
      <c r="O186" s="719">
        <v>24.181640000000002</v>
      </c>
      <c r="P186" s="697"/>
      <c r="Q186" s="840">
        <v>0</v>
      </c>
      <c r="R186" s="841">
        <v>0</v>
      </c>
      <c r="S186" s="679" t="str">
        <f>IF(CampList[[#This Row],[HH]]&gt;0,CampList[[#This Row],[Total]]/CampList[[#This Row],[HH]],"NA")</f>
        <v>NA</v>
      </c>
      <c r="T186" s="653" t="s">
        <v>511</v>
      </c>
      <c r="U186" s="688" t="s">
        <v>1191</v>
      </c>
      <c r="V186" s="653" t="s">
        <v>554</v>
      </c>
      <c r="W186" s="688"/>
      <c r="X186" s="706"/>
      <c r="Y186" s="697"/>
      <c r="Z186" s="707"/>
      <c r="AA186" s="693" t="s">
        <v>842</v>
      </c>
      <c r="AB186" s="682"/>
      <c r="AC186" s="683">
        <v>41701</v>
      </c>
      <c r="AD186" s="675" t="s">
        <v>1012</v>
      </c>
      <c r="AE186" s="708" t="s">
        <v>1007</v>
      </c>
      <c r="AF186" s="476">
        <f>IF(CampList[[#This Row],[Type of Accomodation]]="camp",MAX(0,CampList[[#This Row],[HH]]-SUMIF(Table_Shelter[Pcode],CampList[[#This Row],[CP_Pcode]],Table_Shelter[HH Covered])),0)</f>
        <v>0</v>
      </c>
      <c r="AG186" s="653"/>
      <c r="AH186" s="682">
        <f>MIN(CampList[[#This Row],[Shelter Gap]],CampList[[#This Row],[Land Status]])</f>
        <v>0</v>
      </c>
      <c r="AI186" s="653" t="str">
        <f ca="1">IFERROR(OFFSET(DistanceToCamp[Nearest Town],MATCH(CampList[[#This Row],[CP_Pcode]],DistanceToCamp[CP_Pcode],0)-1,0,1,1),"")</f>
        <v/>
      </c>
      <c r="AJ186" s="686" t="str">
        <f ca="1">IFERROR(OFFSET(DistanceToCamp[distance],MATCH(CampList[[#This Row],[CP_Pcode]],DistanceToCamp[CP_Pcode],0)-1,0,1,1),"")</f>
        <v/>
      </c>
      <c r="AK186" s="687" t="str">
        <f ca="1">IFERROR(INT(CampList[[#This Row],[Distance]]/5)+1,"")</f>
        <v/>
      </c>
      <c r="AL186" s="669"/>
      <c r="AM186" s="856">
        <v>0</v>
      </c>
      <c r="AN186" s="669"/>
      <c r="AO186" s="669"/>
      <c r="AP186" s="669"/>
      <c r="AQ186" s="669"/>
      <c r="AR186" s="669"/>
      <c r="AS186" s="669"/>
      <c r="AT186" s="669"/>
      <c r="AU186" s="669"/>
      <c r="AV186" s="669"/>
    </row>
    <row r="187" spans="1:48" s="444" customFormat="1" ht="15.75" hidden="1" customHeight="1" x14ac:dyDescent="0.25">
      <c r="A187" s="675" t="s">
        <v>843</v>
      </c>
      <c r="B187" s="651" t="s">
        <v>380</v>
      </c>
      <c r="C187" s="651" t="s">
        <v>525</v>
      </c>
      <c r="D187" s="651" t="s">
        <v>5</v>
      </c>
      <c r="E187" s="651" t="s">
        <v>529</v>
      </c>
      <c r="F187" s="651" t="s">
        <v>151</v>
      </c>
      <c r="G187" s="651" t="s">
        <v>539</v>
      </c>
      <c r="H187" s="684"/>
      <c r="I187" s="684"/>
      <c r="J187" s="684"/>
      <c r="K187" s="684"/>
      <c r="L187" s="651" t="s">
        <v>878</v>
      </c>
      <c r="M187" s="651" t="s">
        <v>879</v>
      </c>
      <c r="N187" s="676"/>
      <c r="O187" s="676"/>
      <c r="P187" s="697"/>
      <c r="Q187" s="840">
        <v>0</v>
      </c>
      <c r="R187" s="841">
        <v>0</v>
      </c>
      <c r="S187" s="679" t="str">
        <f>IF(CampList[[#This Row],[HH]]&gt;0,CampList[[#This Row],[Total]]/CampList[[#This Row],[HH]],"NA")</f>
        <v>NA</v>
      </c>
      <c r="T187" s="653" t="s">
        <v>511</v>
      </c>
      <c r="U187" s="688" t="s">
        <v>1191</v>
      </c>
      <c r="V187" s="653" t="s">
        <v>554</v>
      </c>
      <c r="W187" s="688"/>
      <c r="X187" s="706"/>
      <c r="Y187" s="697"/>
      <c r="Z187" s="707"/>
      <c r="AA187" s="693" t="s">
        <v>842</v>
      </c>
      <c r="AB187" s="682"/>
      <c r="AC187" s="683">
        <v>41701</v>
      </c>
      <c r="AD187" s="675" t="s">
        <v>1010</v>
      </c>
      <c r="AE187" s="708" t="s">
        <v>1007</v>
      </c>
      <c r="AF187" s="476">
        <f>IF(CampList[[#This Row],[Type of Accomodation]]="camp",MAX(0,CampList[[#This Row],[HH]]-SUMIF(Table_Shelter[Pcode],CampList[[#This Row],[CP_Pcode]],Table_Shelter[HH Covered])),0)</f>
        <v>0</v>
      </c>
      <c r="AG187" s="653"/>
      <c r="AH187" s="682">
        <f>MIN(CampList[[#This Row],[Shelter Gap]],CampList[[#This Row],[Land Status]])</f>
        <v>0</v>
      </c>
      <c r="AI187" s="653" t="str">
        <f ca="1">IFERROR(OFFSET(DistanceToCamp[Nearest Town],MATCH(CampList[[#This Row],[CP_Pcode]],DistanceToCamp[CP_Pcode],0)-1,0,1,1),"")</f>
        <v/>
      </c>
      <c r="AJ187" s="686" t="str">
        <f ca="1">IFERROR(OFFSET(DistanceToCamp[distance],MATCH(CampList[[#This Row],[CP_Pcode]],DistanceToCamp[CP_Pcode],0)-1,0,1,1),"")</f>
        <v/>
      </c>
      <c r="AK187" s="687" t="str">
        <f ca="1">IFERROR(INT(CampList[[#This Row],[Distance]]/5)+1,"")</f>
        <v/>
      </c>
      <c r="AL187" s="669"/>
      <c r="AM187" s="856">
        <v>0</v>
      </c>
      <c r="AN187" s="669"/>
      <c r="AO187" s="669"/>
      <c r="AP187" s="669"/>
      <c r="AQ187" s="669"/>
      <c r="AR187" s="669"/>
      <c r="AS187" s="669"/>
      <c r="AT187" s="669"/>
      <c r="AU187" s="669"/>
      <c r="AV187" s="669"/>
    </row>
    <row r="188" spans="1:48" s="444" customFormat="1" ht="15.75" hidden="1" customHeight="1" x14ac:dyDescent="0.25">
      <c r="A188" s="675" t="s">
        <v>843</v>
      </c>
      <c r="B188" s="651" t="s">
        <v>380</v>
      </c>
      <c r="C188" s="651" t="s">
        <v>525</v>
      </c>
      <c r="D188" s="651" t="s">
        <v>5</v>
      </c>
      <c r="E188" s="651" t="s">
        <v>529</v>
      </c>
      <c r="F188" s="651" t="s">
        <v>151</v>
      </c>
      <c r="G188" s="651" t="s">
        <v>539</v>
      </c>
      <c r="H188" s="684"/>
      <c r="I188" s="684"/>
      <c r="J188" s="684"/>
      <c r="K188" s="684"/>
      <c r="L188" s="651" t="s">
        <v>882</v>
      </c>
      <c r="M188" s="651" t="s">
        <v>880</v>
      </c>
      <c r="N188" s="676"/>
      <c r="O188" s="676"/>
      <c r="P188" s="697"/>
      <c r="Q188" s="840">
        <v>0</v>
      </c>
      <c r="R188" s="841">
        <v>0</v>
      </c>
      <c r="S188" s="679" t="str">
        <f>IF(CampList[[#This Row],[HH]]&gt;0,CampList[[#This Row],[Total]]/CampList[[#This Row],[HH]],"NA")</f>
        <v>NA</v>
      </c>
      <c r="T188" s="653" t="s">
        <v>511</v>
      </c>
      <c r="U188" s="688" t="s">
        <v>1191</v>
      </c>
      <c r="V188" s="653" t="s">
        <v>554</v>
      </c>
      <c r="W188" s="688"/>
      <c r="X188" s="706"/>
      <c r="Y188" s="697"/>
      <c r="Z188" s="707"/>
      <c r="AA188" s="693" t="s">
        <v>842</v>
      </c>
      <c r="AB188" s="682"/>
      <c r="AC188" s="683">
        <v>41701</v>
      </c>
      <c r="AD188" s="675" t="s">
        <v>1010</v>
      </c>
      <c r="AE188" s="708" t="s">
        <v>1007</v>
      </c>
      <c r="AF188" s="476">
        <f>IF(CampList[[#This Row],[Type of Accomodation]]="camp",MAX(0,CampList[[#This Row],[HH]]-SUMIF(Table_Shelter[Pcode],CampList[[#This Row],[CP_Pcode]],Table_Shelter[HH Covered])),0)</f>
        <v>0</v>
      </c>
      <c r="AG188" s="653"/>
      <c r="AH188" s="682">
        <f>MIN(CampList[[#This Row],[Shelter Gap]],CampList[[#This Row],[Land Status]])</f>
        <v>0</v>
      </c>
      <c r="AI188" s="653" t="str">
        <f ca="1">IFERROR(OFFSET(DistanceToCamp[Nearest Town],MATCH(CampList[[#This Row],[CP_Pcode]],DistanceToCamp[CP_Pcode],0)-1,0,1,1),"")</f>
        <v/>
      </c>
      <c r="AJ188" s="686" t="str">
        <f ca="1">IFERROR(OFFSET(DistanceToCamp[distance],MATCH(CampList[[#This Row],[CP_Pcode]],DistanceToCamp[CP_Pcode],0)-1,0,1,1),"")</f>
        <v/>
      </c>
      <c r="AK188" s="687" t="str">
        <f ca="1">IFERROR(INT(CampList[[#This Row],[Distance]]/5)+1,"")</f>
        <v/>
      </c>
      <c r="AL188" s="669"/>
      <c r="AM188" s="856">
        <v>0</v>
      </c>
      <c r="AN188" s="669"/>
      <c r="AO188" s="669"/>
      <c r="AP188" s="669"/>
      <c r="AQ188" s="669"/>
      <c r="AR188" s="669"/>
      <c r="AS188" s="669"/>
      <c r="AT188" s="669"/>
      <c r="AU188" s="669"/>
      <c r="AV188" s="669"/>
    </row>
    <row r="189" spans="1:48" s="444" customFormat="1" ht="15.75" customHeight="1" x14ac:dyDescent="0.25">
      <c r="A189" s="675" t="s">
        <v>500</v>
      </c>
      <c r="B189" s="651" t="s">
        <v>553</v>
      </c>
      <c r="C189" s="651" t="s">
        <v>536</v>
      </c>
      <c r="D189" s="651" t="s">
        <v>777</v>
      </c>
      <c r="E189" s="651" t="s">
        <v>778</v>
      </c>
      <c r="F189" s="651" t="s">
        <v>779</v>
      </c>
      <c r="G189" s="651" t="s">
        <v>780</v>
      </c>
      <c r="H189" s="651" t="s">
        <v>781</v>
      </c>
      <c r="I189" s="651" t="s">
        <v>782</v>
      </c>
      <c r="J189" s="651" t="s">
        <v>781</v>
      </c>
      <c r="K189" s="651">
        <v>206422</v>
      </c>
      <c r="L189" s="651" t="s">
        <v>594</v>
      </c>
      <c r="M189" s="651" t="s">
        <v>838</v>
      </c>
      <c r="N189" s="676">
        <v>98.352670000000003</v>
      </c>
      <c r="O189" s="676">
        <v>23.372409999999999</v>
      </c>
      <c r="P189" s="677">
        <v>617.6</v>
      </c>
      <c r="Q189" s="701">
        <v>67</v>
      </c>
      <c r="R189" s="708">
        <v>392</v>
      </c>
      <c r="S189" s="679">
        <f>IF(CampList[[#This Row],[HH]]&gt;0,CampList[[#This Row],[Total]]/CampList[[#This Row],[HH]],"NA")</f>
        <v>5.8507462686567164</v>
      </c>
      <c r="T189" s="653" t="s">
        <v>513</v>
      </c>
      <c r="U189" s="653" t="s">
        <v>1191</v>
      </c>
      <c r="V189" s="653" t="s">
        <v>12</v>
      </c>
      <c r="W189" s="653" t="s">
        <v>856</v>
      </c>
      <c r="X189" s="680">
        <v>41365</v>
      </c>
      <c r="Y189" s="681"/>
      <c r="Z189" s="680"/>
      <c r="AA189" s="682" t="s">
        <v>842</v>
      </c>
      <c r="AB189" s="682"/>
      <c r="AC189" s="683">
        <v>41701</v>
      </c>
      <c r="AD189" s="684" t="s">
        <v>1011</v>
      </c>
      <c r="AE189" s="685" t="s">
        <v>1093</v>
      </c>
      <c r="AF189" s="476">
        <f>IF(CampList[[#This Row],[Type of Accomodation]]="camp",MAX(0,CampList[[#This Row],[HH]]-SUMIF(Table_Shelter[Pcode],CampList[[#This Row],[CP_Pcode]],Table_Shelter[HH Covered])),0)</f>
        <v>0</v>
      </c>
      <c r="AG189" s="653"/>
      <c r="AH189" s="682">
        <f>MIN(CampList[[#This Row],[Shelter Gap]],CampList[[#This Row],[Land Status]])</f>
        <v>0</v>
      </c>
      <c r="AI189" s="653" t="str">
        <f ca="1">IFERROR(OFFSET(DistanceToCamp[Nearest Town],MATCH(CampList[[#This Row],[CP_Pcode]],DistanceToCamp[CP_Pcode],0)-1,0,1,1),"")</f>
        <v>Kunlong Town</v>
      </c>
      <c r="AJ189" s="686">
        <f ca="1">IFERROR(OFFSET(DistanceToCamp[distance],MATCH(CampList[[#This Row],[CP_Pcode]],DistanceToCamp[CP_Pcode],0)-1,0,1,1),"")</f>
        <v>30.037709702375544</v>
      </c>
      <c r="AK189" s="687">
        <f ca="1">IFERROR(INT(CampList[[#This Row],[Distance]]/5)+1,"")</f>
        <v>7</v>
      </c>
      <c r="AL189" s="669"/>
      <c r="AM189" s="856">
        <v>392</v>
      </c>
      <c r="AN189" s="669"/>
      <c r="AO189" s="669"/>
      <c r="AP189" s="669"/>
      <c r="AQ189" s="669"/>
      <c r="AR189" s="669"/>
      <c r="AS189" s="669"/>
      <c r="AT189" s="669"/>
      <c r="AU189" s="669"/>
      <c r="AV189" s="669"/>
    </row>
    <row r="190" spans="1:48" s="444" customFormat="1" ht="15.75" hidden="1" customHeight="1" x14ac:dyDescent="0.25">
      <c r="A190" s="675" t="s">
        <v>843</v>
      </c>
      <c r="B190" s="651" t="s">
        <v>380</v>
      </c>
      <c r="C190" s="651" t="s">
        <v>525</v>
      </c>
      <c r="D190" s="651" t="s">
        <v>5</v>
      </c>
      <c r="E190" s="651" t="s">
        <v>529</v>
      </c>
      <c r="F190" s="651" t="s">
        <v>151</v>
      </c>
      <c r="G190" s="651" t="s">
        <v>539</v>
      </c>
      <c r="H190" s="684"/>
      <c r="I190" s="684"/>
      <c r="J190" s="684"/>
      <c r="K190" s="684"/>
      <c r="L190" s="651" t="s">
        <v>884</v>
      </c>
      <c r="M190" s="651" t="s">
        <v>883</v>
      </c>
      <c r="N190" s="676"/>
      <c r="O190" s="719"/>
      <c r="P190" s="697"/>
      <c r="Q190" s="840">
        <v>0</v>
      </c>
      <c r="R190" s="841">
        <v>0</v>
      </c>
      <c r="S190" s="679" t="str">
        <f>IF(CampList[[#This Row],[HH]]&gt;0,CampList[[#This Row],[Total]]/CampList[[#This Row],[HH]],"NA")</f>
        <v>NA</v>
      </c>
      <c r="T190" s="653" t="s">
        <v>511</v>
      </c>
      <c r="U190" s="688" t="s">
        <v>1191</v>
      </c>
      <c r="V190" s="653" t="s">
        <v>856</v>
      </c>
      <c r="W190" s="688"/>
      <c r="X190" s="706"/>
      <c r="Y190" s="697"/>
      <c r="Z190" s="707"/>
      <c r="AA190" s="693" t="s">
        <v>842</v>
      </c>
      <c r="AB190" s="682"/>
      <c r="AC190" s="683">
        <v>41677</v>
      </c>
      <c r="AD190" s="675" t="s">
        <v>943</v>
      </c>
      <c r="AE190" s="708" t="s">
        <v>1007</v>
      </c>
      <c r="AF190" s="476">
        <f>IF(CampList[[#This Row],[Type of Accomodation]]="camp",MAX(0,CampList[[#This Row],[HH]]-SUMIF(Table_Shelter[Pcode],CampList[[#This Row],[CP_Pcode]],Table_Shelter[HH Covered])),0)</f>
        <v>0</v>
      </c>
      <c r="AG190" s="653"/>
      <c r="AH190" s="682">
        <f>MIN(CampList[[#This Row],[Shelter Gap]],CampList[[#This Row],[Land Status]])</f>
        <v>0</v>
      </c>
      <c r="AI190" s="653" t="str">
        <f ca="1">IFERROR(OFFSET(DistanceToCamp[Nearest Town],MATCH(CampList[[#This Row],[CP_Pcode]],DistanceToCamp[CP_Pcode],0)-1,0,1,1),"")</f>
        <v/>
      </c>
      <c r="AJ190" s="686" t="str">
        <f ca="1">IFERROR(OFFSET(DistanceToCamp[distance],MATCH(CampList[[#This Row],[CP_Pcode]],DistanceToCamp[CP_Pcode],0)-1,0,1,1),"")</f>
        <v/>
      </c>
      <c r="AK190" s="687" t="str">
        <f ca="1">IFERROR(INT(CampList[[#This Row],[Distance]]/5)+1,"")</f>
        <v/>
      </c>
      <c r="AL190" s="669"/>
      <c r="AM190" s="856">
        <v>0</v>
      </c>
      <c r="AN190" s="669"/>
      <c r="AO190" s="669"/>
      <c r="AP190" s="669"/>
      <c r="AQ190" s="669"/>
      <c r="AR190" s="669"/>
      <c r="AS190" s="669"/>
      <c r="AT190" s="669"/>
      <c r="AU190" s="669"/>
      <c r="AV190" s="669"/>
    </row>
    <row r="191" spans="1:48" s="444" customFormat="1" ht="15.75" customHeight="1" x14ac:dyDescent="0.25">
      <c r="A191" s="675" t="s">
        <v>500</v>
      </c>
      <c r="B191" s="651" t="s">
        <v>380</v>
      </c>
      <c r="C191" s="651" t="s">
        <v>525</v>
      </c>
      <c r="D191" s="651" t="s">
        <v>237</v>
      </c>
      <c r="E191" s="651" t="s">
        <v>531</v>
      </c>
      <c r="F191" s="651" t="s">
        <v>237</v>
      </c>
      <c r="G191" s="651" t="s">
        <v>535</v>
      </c>
      <c r="H191" s="684" t="s">
        <v>671</v>
      </c>
      <c r="I191" s="684" t="s">
        <v>672</v>
      </c>
      <c r="J191" s="684" t="s">
        <v>687</v>
      </c>
      <c r="K191" s="684" t="s">
        <v>688</v>
      </c>
      <c r="L191" s="651" t="s">
        <v>285</v>
      </c>
      <c r="M191" s="651" t="s">
        <v>284</v>
      </c>
      <c r="N191" s="676">
        <v>97.403402307692303</v>
      </c>
      <c r="O191" s="676">
        <v>25.3510167948718</v>
      </c>
      <c r="P191" s="677">
        <v>0</v>
      </c>
      <c r="Q191" s="476">
        <v>85</v>
      </c>
      <c r="R191" s="476">
        <v>437</v>
      </c>
      <c r="S191" s="679">
        <f>IF(CampList[[#This Row],[HH]]&gt;0,CampList[[#This Row],[Total]]/CampList[[#This Row],[HH]],"NA")</f>
        <v>5.1411764705882357</v>
      </c>
      <c r="T191" s="653" t="s">
        <v>511</v>
      </c>
      <c r="U191" s="653" t="s">
        <v>1191</v>
      </c>
      <c r="V191" s="653" t="s">
        <v>554</v>
      </c>
      <c r="W191" s="653" t="s">
        <v>803</v>
      </c>
      <c r="X191" s="680">
        <v>40695</v>
      </c>
      <c r="Y191" s="681">
        <v>2</v>
      </c>
      <c r="Z191" s="680" t="s">
        <v>460</v>
      </c>
      <c r="AA191" s="693" t="s">
        <v>842</v>
      </c>
      <c r="AB191" s="682"/>
      <c r="AC191" s="683">
        <v>42809</v>
      </c>
      <c r="AD191" s="675" t="s">
        <v>1603</v>
      </c>
      <c r="AE191" s="685" t="s">
        <v>1093</v>
      </c>
      <c r="AF191" s="476">
        <f>IF(CampList[[#This Row],[Type of Accomodation]]="camp",MAX(0,CampList[[#This Row],[HH]]-SUMIF(Table_Shelter[Pcode],CampList[[#This Row],[CP_Pcode]],Table_Shelter[HH Covered])),0)</f>
        <v>0</v>
      </c>
      <c r="AG191" s="653"/>
      <c r="AH191" s="682">
        <f>MIN(CampList[[#This Row],[Shelter Gap]],CampList[[#This Row],[Land Status]])</f>
        <v>0</v>
      </c>
      <c r="AI191" s="653" t="str">
        <f ca="1">IFERROR(OFFSET(DistanceToCamp[Nearest Town],MATCH(CampList[[#This Row],[CP_Pcode]],DistanceToCamp[CP_Pcode],0)-1,0,1,1),"")</f>
        <v>Myitkyina Town</v>
      </c>
      <c r="AJ191" s="686">
        <f ca="1">IFERROR(OFFSET(DistanceToCamp[distance],MATCH(CampList[[#This Row],[CP_Pcode]],DistanceToCamp[CP_Pcode],0)-1,0,1,1),"")</f>
        <v>4.262018365878137</v>
      </c>
      <c r="AK191" s="687">
        <f ca="1">IFERROR(INT(CampList[[#This Row],[Distance]]/5)+1,"")</f>
        <v>1</v>
      </c>
      <c r="AL191" s="669"/>
      <c r="AM191" s="856">
        <v>437</v>
      </c>
      <c r="AN191" s="669"/>
      <c r="AO191" s="669"/>
      <c r="AP191" s="669"/>
      <c r="AQ191" s="669"/>
      <c r="AR191" s="669"/>
      <c r="AS191" s="669"/>
      <c r="AT191" s="669"/>
      <c r="AU191" s="669"/>
      <c r="AV191" s="669"/>
    </row>
    <row r="192" spans="1:48" s="444" customFormat="1" ht="15.75" hidden="1" customHeight="1" x14ac:dyDescent="0.25">
      <c r="A192" s="675" t="s">
        <v>843</v>
      </c>
      <c r="B192" s="651" t="s">
        <v>380</v>
      </c>
      <c r="C192" s="651" t="s">
        <v>525</v>
      </c>
      <c r="D192" s="651" t="s">
        <v>5</v>
      </c>
      <c r="E192" s="651" t="s">
        <v>529</v>
      </c>
      <c r="F192" s="651" t="s">
        <v>151</v>
      </c>
      <c r="G192" s="651" t="s">
        <v>539</v>
      </c>
      <c r="H192" s="651"/>
      <c r="I192" s="651"/>
      <c r="J192" s="651"/>
      <c r="K192" s="651"/>
      <c r="L192" s="651" t="s">
        <v>887</v>
      </c>
      <c r="M192" s="651" t="s">
        <v>888</v>
      </c>
      <c r="N192" s="678"/>
      <c r="O192" s="678"/>
      <c r="P192" s="698"/>
      <c r="Q192" s="840">
        <v>0</v>
      </c>
      <c r="R192" s="841">
        <v>0</v>
      </c>
      <c r="S192" s="679" t="str">
        <f>IF(CampList[[#This Row],[HH]]&gt;0,CampList[[#This Row],[Total]]/CampList[[#This Row],[HH]],"NA")</f>
        <v>NA</v>
      </c>
      <c r="T192" s="653" t="s">
        <v>511</v>
      </c>
      <c r="U192" s="688" t="s">
        <v>1191</v>
      </c>
      <c r="V192" s="653" t="s">
        <v>554</v>
      </c>
      <c r="W192" s="653" t="s">
        <v>856</v>
      </c>
      <c r="X192" s="699"/>
      <c r="Y192" s="698"/>
      <c r="Z192" s="682"/>
      <c r="AA192" s="682" t="s">
        <v>842</v>
      </c>
      <c r="AB192" s="682"/>
      <c r="AC192" s="683">
        <v>41652</v>
      </c>
      <c r="AD192" s="675" t="s">
        <v>928</v>
      </c>
      <c r="AE192" s="708" t="s">
        <v>1007</v>
      </c>
      <c r="AF192" s="476">
        <f>IF(CampList[[#This Row],[Type of Accomodation]]="camp",MAX(0,CampList[[#This Row],[HH]]-SUMIF(Table_Shelter[Pcode],CampList[[#This Row],[CP_Pcode]],Table_Shelter[HH Covered])),0)</f>
        <v>0</v>
      </c>
      <c r="AG192" s="653"/>
      <c r="AH192" s="682">
        <f>MIN(CampList[[#This Row],[Shelter Gap]],CampList[[#This Row],[Land Status]])</f>
        <v>0</v>
      </c>
      <c r="AI192" s="653" t="str">
        <f ca="1">IFERROR(OFFSET(DistanceToCamp[Nearest Town],MATCH(CampList[[#This Row],[CP_Pcode]],DistanceToCamp[CP_Pcode],0)-1,0,1,1),"")</f>
        <v/>
      </c>
      <c r="AJ192" s="686" t="str">
        <f ca="1">IFERROR(OFFSET(DistanceToCamp[distance],MATCH(CampList[[#This Row],[CP_Pcode]],DistanceToCamp[CP_Pcode],0)-1,0,1,1),"")</f>
        <v/>
      </c>
      <c r="AK192" s="687" t="str">
        <f ca="1">IFERROR(INT(CampList[[#This Row],[Distance]]/5)+1,"")</f>
        <v/>
      </c>
      <c r="AL192" s="669"/>
      <c r="AM192" s="856">
        <v>0</v>
      </c>
      <c r="AN192" s="669"/>
      <c r="AO192" s="669"/>
      <c r="AP192" s="669"/>
      <c r="AQ192" s="669"/>
      <c r="AR192" s="669"/>
      <c r="AS192" s="669"/>
      <c r="AT192" s="669"/>
      <c r="AU192" s="669"/>
      <c r="AV192" s="669"/>
    </row>
    <row r="193" spans="1:48" s="444" customFormat="1" ht="15.75" hidden="1" customHeight="1" x14ac:dyDescent="0.25">
      <c r="A193" s="675" t="s">
        <v>843</v>
      </c>
      <c r="B193" s="651" t="s">
        <v>380</v>
      </c>
      <c r="C193" s="651" t="s">
        <v>525</v>
      </c>
      <c r="D193" s="651" t="s">
        <v>300</v>
      </c>
      <c r="E193" s="651" t="s">
        <v>546</v>
      </c>
      <c r="F193" s="651" t="s">
        <v>300</v>
      </c>
      <c r="G193" s="651" t="s">
        <v>552</v>
      </c>
      <c r="H193" s="651" t="s">
        <v>1029</v>
      </c>
      <c r="I193" s="651" t="s">
        <v>1030</v>
      </c>
      <c r="J193" s="651" t="s">
        <v>1031</v>
      </c>
      <c r="K193" s="651">
        <v>167567</v>
      </c>
      <c r="L193" s="651" t="s">
        <v>890</v>
      </c>
      <c r="M193" s="651" t="s">
        <v>891</v>
      </c>
      <c r="N193" s="676">
        <v>97.58184</v>
      </c>
      <c r="O193" s="676">
        <v>27.270199999999999</v>
      </c>
      <c r="P193" s="677">
        <v>372.9</v>
      </c>
      <c r="Q193" s="701">
        <v>0</v>
      </c>
      <c r="R193" s="708">
        <v>0</v>
      </c>
      <c r="S193" s="679" t="str">
        <f>IF(CampList[[#This Row],[HH]]&gt;0,CampList[[#This Row],[Total]]/CampList[[#This Row],[HH]],"NA")</f>
        <v>NA</v>
      </c>
      <c r="T193" s="653" t="s">
        <v>511</v>
      </c>
      <c r="U193" s="688" t="s">
        <v>1191</v>
      </c>
      <c r="V193" s="653" t="s">
        <v>554</v>
      </c>
      <c r="W193" s="688" t="s">
        <v>856</v>
      </c>
      <c r="X193" s="689">
        <v>41487</v>
      </c>
      <c r="Y193" s="690"/>
      <c r="Z193" s="689"/>
      <c r="AA193" s="682" t="s">
        <v>842</v>
      </c>
      <c r="AB193" s="682"/>
      <c r="AC193" s="683">
        <v>41725</v>
      </c>
      <c r="AD193" s="684" t="s">
        <v>1265</v>
      </c>
      <c r="AE193" s="685" t="s">
        <v>1079</v>
      </c>
      <c r="AF193" s="476">
        <f>IF(CampList[[#This Row],[Type of Accomodation]]="camp",MAX(0,CampList[[#This Row],[HH]]-SUMIF(Table_Shelter[Pcode],CampList[[#This Row],[CP_Pcode]],Table_Shelter[HH Covered])),0)</f>
        <v>0</v>
      </c>
      <c r="AG193" s="653"/>
      <c r="AH193" s="682">
        <f>MIN(CampList[[#This Row],[Shelter Gap]],CampList[[#This Row],[Land Status]])</f>
        <v>0</v>
      </c>
      <c r="AI193" s="653" t="str">
        <f ca="1">IFERROR(OFFSET(DistanceToCamp[Nearest Town],MATCH(CampList[[#This Row],[CP_Pcode]],DistanceToCamp[CP_Pcode],0)-1,0,1,1),"")</f>
        <v>Machanbaw Town</v>
      </c>
      <c r="AJ193" s="686">
        <f ca="1">IFERROR(OFFSET(DistanceToCamp[distance],MATCH(CampList[[#This Row],[CP_Pcode]],DistanceToCamp[CP_Pcode],0)-1,0,1,1),"")</f>
        <v>1.7005689699647599</v>
      </c>
      <c r="AK193" s="687">
        <f ca="1">IFERROR(INT(CampList[[#This Row],[Distance]]/5)+1,"")</f>
        <v>1</v>
      </c>
      <c r="AL193" s="669"/>
      <c r="AM193" s="856">
        <v>0</v>
      </c>
      <c r="AN193" s="669"/>
      <c r="AO193" s="669"/>
      <c r="AP193" s="669"/>
      <c r="AQ193" s="669"/>
      <c r="AR193" s="669"/>
      <c r="AS193" s="669"/>
      <c r="AT193" s="669"/>
      <c r="AU193" s="669"/>
      <c r="AV193" s="669"/>
    </row>
    <row r="194" spans="1:48" s="444" customFormat="1" ht="15.75" hidden="1" customHeight="1" x14ac:dyDescent="0.25">
      <c r="A194" s="675" t="s">
        <v>843</v>
      </c>
      <c r="B194" s="651" t="s">
        <v>380</v>
      </c>
      <c r="C194" s="651" t="s">
        <v>525</v>
      </c>
      <c r="D194" s="651" t="s">
        <v>300</v>
      </c>
      <c r="E194" s="651" t="s">
        <v>546</v>
      </c>
      <c r="F194" s="651" t="s">
        <v>892</v>
      </c>
      <c r="G194" s="651" t="s">
        <v>893</v>
      </c>
      <c r="H194" s="651"/>
      <c r="I194" s="651"/>
      <c r="J194" s="651"/>
      <c r="K194" s="651"/>
      <c r="L194" s="651" t="s">
        <v>894</v>
      </c>
      <c r="M194" s="651" t="s">
        <v>895</v>
      </c>
      <c r="N194" s="676">
        <v>97.586470000000006</v>
      </c>
      <c r="O194" s="676">
        <v>27.274059999999999</v>
      </c>
      <c r="P194" s="698">
        <v>403</v>
      </c>
      <c r="Q194" s="476">
        <v>0</v>
      </c>
      <c r="R194" s="708">
        <v>0</v>
      </c>
      <c r="S194" s="679" t="str">
        <f>IF(CampList[[#This Row],[HH]]&gt;0,CampList[[#This Row],[Total]]/CampList[[#This Row],[HH]],"NA")</f>
        <v>NA</v>
      </c>
      <c r="T194" s="653" t="s">
        <v>511</v>
      </c>
      <c r="U194" s="688" t="s">
        <v>1191</v>
      </c>
      <c r="V194" s="653" t="s">
        <v>554</v>
      </c>
      <c r="W194" s="653" t="s">
        <v>856</v>
      </c>
      <c r="X194" s="699">
        <v>41518</v>
      </c>
      <c r="Y194" s="698"/>
      <c r="Z194" s="720"/>
      <c r="AA194" s="682" t="s">
        <v>842</v>
      </c>
      <c r="AB194" s="682"/>
      <c r="AC194" s="683">
        <v>42180</v>
      </c>
      <c r="AD194" s="675" t="s">
        <v>1264</v>
      </c>
      <c r="AE194" s="708" t="s">
        <v>1079</v>
      </c>
      <c r="AF194" s="476">
        <f>IF(CampList[[#This Row],[Type of Accomodation]]="camp",MAX(0,CampList[[#This Row],[HH]]-SUMIF(Table_Shelter[Pcode],CampList[[#This Row],[CP_Pcode]],Table_Shelter[HH Covered])),0)</f>
        <v>0</v>
      </c>
      <c r="AG194" s="653"/>
      <c r="AH194" s="682">
        <f>MIN(CampList[[#This Row],[Shelter Gap]],CampList[[#This Row],[Land Status]])</f>
        <v>0</v>
      </c>
      <c r="AI194" s="653" t="str">
        <f ca="1">IFERROR(OFFSET(DistanceToCamp[Nearest Town],MATCH(CampList[[#This Row],[CP_Pcode]],DistanceToCamp[CP_Pcode],0)-1,0,1,1),"")</f>
        <v>Machanbaw Town</v>
      </c>
      <c r="AJ194" s="686">
        <f ca="1">IFERROR(OFFSET(DistanceToCamp[distance],MATCH(CampList[[#This Row],[CP_Pcode]],DistanceToCamp[CP_Pcode],0)-1,0,1,1),"")</f>
        <v>1.136583238544624</v>
      </c>
      <c r="AK194" s="687">
        <f ca="1">IFERROR(INT(CampList[[#This Row],[Distance]]/5)+1,"")</f>
        <v>1</v>
      </c>
      <c r="AL194" s="669"/>
      <c r="AM194" s="856">
        <v>0</v>
      </c>
      <c r="AN194" s="669"/>
      <c r="AO194" s="669"/>
      <c r="AP194" s="669"/>
      <c r="AQ194" s="669"/>
      <c r="AR194" s="669"/>
      <c r="AS194" s="669"/>
      <c r="AT194" s="669"/>
      <c r="AU194" s="669"/>
      <c r="AV194" s="669"/>
    </row>
    <row r="195" spans="1:48" s="444" customFormat="1" ht="15.75" hidden="1" customHeight="1" x14ac:dyDescent="0.25">
      <c r="A195" s="675" t="s">
        <v>843</v>
      </c>
      <c r="B195" s="651" t="s">
        <v>380</v>
      </c>
      <c r="C195" s="651" t="s">
        <v>525</v>
      </c>
      <c r="D195" s="651" t="s">
        <v>5</v>
      </c>
      <c r="E195" s="651" t="s">
        <v>529</v>
      </c>
      <c r="F195" s="651" t="s">
        <v>5</v>
      </c>
      <c r="G195" s="651" t="s">
        <v>530</v>
      </c>
      <c r="H195" s="651"/>
      <c r="I195" s="651"/>
      <c r="J195" s="651"/>
      <c r="K195" s="651"/>
      <c r="L195" s="651" t="s">
        <v>897</v>
      </c>
      <c r="M195" s="651" t="s">
        <v>896</v>
      </c>
      <c r="N195" s="676"/>
      <c r="O195" s="676"/>
      <c r="P195" s="698"/>
      <c r="Q195" s="840">
        <v>0</v>
      </c>
      <c r="R195" s="841">
        <v>0</v>
      </c>
      <c r="S195" s="679" t="str">
        <f>IF(CampList[[#This Row],[HH]]&gt;0,CampList[[#This Row],[Total]]/CampList[[#This Row],[HH]],"NA")</f>
        <v>NA</v>
      </c>
      <c r="T195" s="653" t="s">
        <v>511</v>
      </c>
      <c r="U195" s="688" t="s">
        <v>1191</v>
      </c>
      <c r="V195" s="653" t="s">
        <v>554</v>
      </c>
      <c r="W195" s="688" t="s">
        <v>803</v>
      </c>
      <c r="X195" s="699"/>
      <c r="Y195" s="698"/>
      <c r="Z195" s="682"/>
      <c r="AA195" s="693" t="s">
        <v>842</v>
      </c>
      <c r="AB195" s="682"/>
      <c r="AC195" s="683">
        <v>41702</v>
      </c>
      <c r="AD195" s="684" t="s">
        <v>1016</v>
      </c>
      <c r="AE195" s="708" t="s">
        <v>1007</v>
      </c>
      <c r="AF195" s="476">
        <f>IF(CampList[[#This Row],[Type of Accomodation]]="camp",MAX(0,CampList[[#This Row],[HH]]-SUMIF(Table_Shelter[Pcode],CampList[[#This Row],[CP_Pcode]],Table_Shelter[HH Covered])),0)</f>
        <v>0</v>
      </c>
      <c r="AG195" s="653"/>
      <c r="AH195" s="682">
        <f>MIN(CampList[[#This Row],[Shelter Gap]],CampList[[#This Row],[Land Status]])</f>
        <v>0</v>
      </c>
      <c r="AI195" s="653" t="str">
        <f ca="1">IFERROR(OFFSET(DistanceToCamp[Nearest Town],MATCH(CampList[[#This Row],[CP_Pcode]],DistanceToCamp[CP_Pcode],0)-1,0,1,1),"")</f>
        <v/>
      </c>
      <c r="AJ195" s="686" t="str">
        <f ca="1">IFERROR(OFFSET(DistanceToCamp[distance],MATCH(CampList[[#This Row],[CP_Pcode]],DistanceToCamp[CP_Pcode],0)-1,0,1,1),"")</f>
        <v/>
      </c>
      <c r="AK195" s="687" t="str">
        <f ca="1">IFERROR(INT(CampList[[#This Row],[Distance]]/5)+1,"")</f>
        <v/>
      </c>
      <c r="AL195" s="669"/>
      <c r="AM195" s="856">
        <v>0</v>
      </c>
      <c r="AN195" s="669"/>
      <c r="AO195" s="669"/>
      <c r="AP195" s="669"/>
      <c r="AQ195" s="669"/>
      <c r="AR195" s="669"/>
      <c r="AS195" s="669"/>
      <c r="AT195" s="669"/>
      <c r="AU195" s="669"/>
      <c r="AV195" s="669"/>
    </row>
    <row r="196" spans="1:48" s="444" customFormat="1" ht="15.75" customHeight="1" x14ac:dyDescent="0.25">
      <c r="A196" s="675" t="s">
        <v>500</v>
      </c>
      <c r="B196" s="651" t="s">
        <v>380</v>
      </c>
      <c r="C196" s="651" t="s">
        <v>525</v>
      </c>
      <c r="D196" s="651" t="s">
        <v>237</v>
      </c>
      <c r="E196" s="651" t="s">
        <v>531</v>
      </c>
      <c r="F196" s="651" t="s">
        <v>237</v>
      </c>
      <c r="G196" s="651" t="s">
        <v>535</v>
      </c>
      <c r="H196" s="684" t="s">
        <v>671</v>
      </c>
      <c r="I196" s="684" t="s">
        <v>672</v>
      </c>
      <c r="J196" s="694" t="s">
        <v>1374</v>
      </c>
      <c r="K196" s="694"/>
      <c r="L196" s="651" t="s">
        <v>259</v>
      </c>
      <c r="M196" s="651" t="s">
        <v>258</v>
      </c>
      <c r="N196" s="676">
        <v>97.4113064583333</v>
      </c>
      <c r="O196" s="676">
        <v>25.360463124999999</v>
      </c>
      <c r="P196" s="677">
        <v>0</v>
      </c>
      <c r="Q196" s="476">
        <v>61</v>
      </c>
      <c r="R196" s="476">
        <v>303</v>
      </c>
      <c r="S196" s="679">
        <f>IF(CampList[[#This Row],[HH]]&gt;0,CampList[[#This Row],[Total]]/CampList[[#This Row],[HH]],"NA")</f>
        <v>4.9672131147540988</v>
      </c>
      <c r="T196" s="653" t="s">
        <v>511</v>
      </c>
      <c r="U196" s="653" t="s">
        <v>1191</v>
      </c>
      <c r="V196" s="653" t="s">
        <v>554</v>
      </c>
      <c r="W196" s="653" t="s">
        <v>803</v>
      </c>
      <c r="X196" s="680">
        <v>40756</v>
      </c>
      <c r="Y196" s="681">
        <v>2</v>
      </c>
      <c r="Z196" s="680" t="s">
        <v>460</v>
      </c>
      <c r="AA196" s="693" t="s">
        <v>842</v>
      </c>
      <c r="AB196" s="682"/>
      <c r="AC196" s="683">
        <v>42809</v>
      </c>
      <c r="AD196" s="675" t="s">
        <v>1611</v>
      </c>
      <c r="AE196" s="685" t="s">
        <v>1093</v>
      </c>
      <c r="AF196" s="476">
        <f>IF(CampList[[#This Row],[Type of Accomodation]]="camp",MAX(0,CampList[[#This Row],[HH]]-SUMIF(Table_Shelter[Pcode],CampList[[#This Row],[CP_Pcode]],Table_Shelter[HH Covered])),0)</f>
        <v>41</v>
      </c>
      <c r="AG196" s="653"/>
      <c r="AH196" s="682">
        <f>MIN(CampList[[#This Row],[Shelter Gap]],CampList[[#This Row],[Land Status]])</f>
        <v>41</v>
      </c>
      <c r="AI196" s="653" t="str">
        <f ca="1">IFERROR(OFFSET(DistanceToCamp[Nearest Town],MATCH(CampList[[#This Row],[CP_Pcode]],DistanceToCamp[CP_Pcode],0)-1,0,1,1),"")</f>
        <v>Waingmaw Town</v>
      </c>
      <c r="AJ196" s="686">
        <f ca="1">IFERROR(OFFSET(DistanceToCamp[distance],MATCH(CampList[[#This Row],[CP_Pcode]],DistanceToCamp[CP_Pcode],0)-1,0,1,1),"")</f>
        <v>3.3362307375127798</v>
      </c>
      <c r="AK196" s="687">
        <f ca="1">IFERROR(INT(CampList[[#This Row],[Distance]]/5)+1,"")</f>
        <v>1</v>
      </c>
      <c r="AL196" s="669"/>
      <c r="AM196" s="856">
        <v>303</v>
      </c>
      <c r="AN196" s="669"/>
      <c r="AO196" s="669"/>
      <c r="AP196" s="669"/>
      <c r="AQ196" s="669"/>
      <c r="AR196" s="669"/>
      <c r="AS196" s="669"/>
      <c r="AT196" s="669"/>
      <c r="AU196" s="669"/>
      <c r="AV196" s="669"/>
    </row>
    <row r="197" spans="1:48" s="444" customFormat="1" ht="15.75" hidden="1" customHeight="1" x14ac:dyDescent="0.25">
      <c r="A197" s="675" t="s">
        <v>843</v>
      </c>
      <c r="B197" s="651" t="s">
        <v>380</v>
      </c>
      <c r="C197" s="651" t="s">
        <v>525</v>
      </c>
      <c r="D197" s="651" t="s">
        <v>5</v>
      </c>
      <c r="E197" s="651" t="s">
        <v>529</v>
      </c>
      <c r="F197" s="651" t="s">
        <v>5</v>
      </c>
      <c r="G197" s="651" t="s">
        <v>530</v>
      </c>
      <c r="H197" s="651" t="s">
        <v>645</v>
      </c>
      <c r="I197" s="651" t="s">
        <v>646</v>
      </c>
      <c r="J197" s="651"/>
      <c r="K197" s="651"/>
      <c r="L197" s="651" t="s">
        <v>1021</v>
      </c>
      <c r="M197" s="651" t="s">
        <v>1018</v>
      </c>
      <c r="N197" s="676">
        <v>97.239130000000003</v>
      </c>
      <c r="O197" s="678">
        <v>24.229189999999999</v>
      </c>
      <c r="P197" s="698">
        <v>126</v>
      </c>
      <c r="Q197" s="476">
        <v>0</v>
      </c>
      <c r="R197" s="708">
        <v>0</v>
      </c>
      <c r="S197" s="679" t="str">
        <f>IF(CampList[[#This Row],[HH]]&gt;0,CampList[[#This Row],[Total]]/CampList[[#This Row],[HH]],"NA")</f>
        <v>NA</v>
      </c>
      <c r="T197" s="653" t="s">
        <v>511</v>
      </c>
      <c r="U197" s="688" t="s">
        <v>1191</v>
      </c>
      <c r="V197" s="653" t="s">
        <v>554</v>
      </c>
      <c r="W197" s="653" t="s">
        <v>803</v>
      </c>
      <c r="X197" s="699"/>
      <c r="Y197" s="698"/>
      <c r="Z197" s="682" t="s">
        <v>505</v>
      </c>
      <c r="AA197" s="682" t="s">
        <v>842</v>
      </c>
      <c r="AB197" s="682"/>
      <c r="AC197" s="683">
        <v>41906</v>
      </c>
      <c r="AD197" s="684" t="s">
        <v>1116</v>
      </c>
      <c r="AE197" s="708" t="s">
        <v>1093</v>
      </c>
      <c r="AF197" s="476">
        <f>IF(CampList[[#This Row],[Type of Accomodation]]="camp",MAX(0,CampList[[#This Row],[HH]]-SUMIF(Table_Shelter[Pcode],CampList[[#This Row],[CP_Pcode]],Table_Shelter[HH Covered])),0)</f>
        <v>0</v>
      </c>
      <c r="AG197" s="653"/>
      <c r="AH197" s="682">
        <f>MIN(CampList[[#This Row],[Shelter Gap]],CampList[[#This Row],[Land Status]])</f>
        <v>0</v>
      </c>
      <c r="AI197" s="653" t="str">
        <f ca="1">IFERROR(OFFSET(DistanceToCamp[Nearest Town],MATCH(CampList[[#This Row],[CP_Pcode]],DistanceToCamp[CP_Pcode],0)-1,0,1,1),"")</f>
        <v/>
      </c>
      <c r="AJ197" s="686" t="str">
        <f ca="1">IFERROR(OFFSET(DistanceToCamp[distance],MATCH(CampList[[#This Row],[CP_Pcode]],DistanceToCamp[CP_Pcode],0)-1,0,1,1),"")</f>
        <v/>
      </c>
      <c r="AK197" s="687" t="str">
        <f ca="1">IFERROR(INT(CampList[[#This Row],[Distance]]/5)+1,"")</f>
        <v/>
      </c>
      <c r="AL197" s="669"/>
      <c r="AM197" s="856">
        <v>0</v>
      </c>
      <c r="AN197" s="669"/>
      <c r="AO197" s="669"/>
      <c r="AP197" s="669"/>
      <c r="AQ197" s="669"/>
      <c r="AR197" s="669"/>
      <c r="AS197" s="669"/>
      <c r="AT197" s="669"/>
      <c r="AU197" s="669"/>
      <c r="AV197" s="669"/>
    </row>
    <row r="198" spans="1:48" s="444" customFormat="1" ht="15.75" customHeight="1" x14ac:dyDescent="0.25">
      <c r="A198" s="675" t="s">
        <v>500</v>
      </c>
      <c r="B198" s="651" t="s">
        <v>380</v>
      </c>
      <c r="C198" s="651" t="s">
        <v>525</v>
      </c>
      <c r="D198" s="651" t="s">
        <v>237</v>
      </c>
      <c r="E198" s="651" t="s">
        <v>531</v>
      </c>
      <c r="F198" s="651" t="s">
        <v>237</v>
      </c>
      <c r="G198" s="651" t="s">
        <v>535</v>
      </c>
      <c r="H198" s="684" t="s">
        <v>671</v>
      </c>
      <c r="I198" s="684" t="s">
        <v>672</v>
      </c>
      <c r="J198" s="684" t="s">
        <v>689</v>
      </c>
      <c r="K198" s="684" t="s">
        <v>690</v>
      </c>
      <c r="L198" s="651" t="s">
        <v>261</v>
      </c>
      <c r="M198" s="651" t="s">
        <v>260</v>
      </c>
      <c r="N198" s="676">
        <v>97.418694000000002</v>
      </c>
      <c r="O198" s="676">
        <v>25.428910999999999</v>
      </c>
      <c r="P198" s="677">
        <v>0</v>
      </c>
      <c r="Q198" s="476">
        <v>101</v>
      </c>
      <c r="R198" s="476">
        <v>545</v>
      </c>
      <c r="S198" s="679">
        <f>IF(CampList[[#This Row],[HH]]&gt;0,CampList[[#This Row],[Total]]/CampList[[#This Row],[HH]],"NA")</f>
        <v>5.3960396039603964</v>
      </c>
      <c r="T198" s="653" t="s">
        <v>511</v>
      </c>
      <c r="U198" s="653" t="s">
        <v>1191</v>
      </c>
      <c r="V198" s="653" t="s">
        <v>554</v>
      </c>
      <c r="W198" s="653" t="s">
        <v>803</v>
      </c>
      <c r="X198" s="680">
        <v>40725</v>
      </c>
      <c r="Y198" s="681">
        <v>2</v>
      </c>
      <c r="Z198" s="680" t="s">
        <v>460</v>
      </c>
      <c r="AA198" s="693" t="s">
        <v>842</v>
      </c>
      <c r="AB198" s="682"/>
      <c r="AC198" s="683">
        <v>42809</v>
      </c>
      <c r="AD198" s="675" t="s">
        <v>1612</v>
      </c>
      <c r="AE198" s="685" t="s">
        <v>1093</v>
      </c>
      <c r="AF198" s="476">
        <f>IF(CampList[[#This Row],[Type of Accomodation]]="camp",MAX(0,CampList[[#This Row],[HH]]-SUMIF(Table_Shelter[Pcode],CampList[[#This Row],[CP_Pcode]],Table_Shelter[HH Covered])),0)</f>
        <v>21</v>
      </c>
      <c r="AG198" s="653"/>
      <c r="AH198" s="682">
        <f>MIN(CampList[[#This Row],[Shelter Gap]],CampList[[#This Row],[Land Status]])</f>
        <v>21</v>
      </c>
      <c r="AI198" s="653" t="str">
        <f ca="1">IFERROR(OFFSET(DistanceToCamp[Nearest Town],MATCH(CampList[[#This Row],[CP_Pcode]],DistanceToCamp[CP_Pcode],0)-1,0,1,1),"")</f>
        <v>Myitkyina Town</v>
      </c>
      <c r="AJ198" s="686">
        <f ca="1">IFERROR(OFFSET(DistanceToCamp[distance],MATCH(CampList[[#This Row],[CP_Pcode]],DistanceToCamp[CP_Pcode],0)-1,0,1,1),"")</f>
        <v>5.4145379230647226</v>
      </c>
      <c r="AK198" s="687">
        <f ca="1">IFERROR(INT(CampList[[#This Row],[Distance]]/5)+1,"")</f>
        <v>2</v>
      </c>
      <c r="AL198" s="669"/>
      <c r="AM198" s="856">
        <v>545</v>
      </c>
      <c r="AN198" s="669"/>
      <c r="AO198" s="669"/>
      <c r="AP198" s="669"/>
      <c r="AQ198" s="669"/>
      <c r="AR198" s="669"/>
      <c r="AS198" s="669"/>
      <c r="AT198" s="669"/>
      <c r="AU198" s="669"/>
      <c r="AV198" s="669"/>
    </row>
    <row r="199" spans="1:48" s="444" customFormat="1" ht="15.75" hidden="1" customHeight="1" x14ac:dyDescent="0.25">
      <c r="A199" s="675" t="s">
        <v>843</v>
      </c>
      <c r="B199" s="651" t="s">
        <v>380</v>
      </c>
      <c r="C199" s="651" t="s">
        <v>525</v>
      </c>
      <c r="D199" s="651" t="s">
        <v>5</v>
      </c>
      <c r="E199" s="651" t="s">
        <v>529</v>
      </c>
      <c r="F199" s="651" t="s">
        <v>151</v>
      </c>
      <c r="G199" s="651" t="s">
        <v>539</v>
      </c>
      <c r="H199" s="651" t="s">
        <v>739</v>
      </c>
      <c r="I199" s="651" t="s">
        <v>740</v>
      </c>
      <c r="J199" s="651" t="s">
        <v>739</v>
      </c>
      <c r="K199" s="696">
        <v>167343</v>
      </c>
      <c r="L199" s="651" t="s">
        <v>1034</v>
      </c>
      <c r="M199" s="651" t="s">
        <v>1035</v>
      </c>
      <c r="N199" s="676">
        <v>97.608249999999998</v>
      </c>
      <c r="O199" s="676">
        <v>24.000250000000001</v>
      </c>
      <c r="P199" s="698"/>
      <c r="Q199" s="476"/>
      <c r="R199" s="708"/>
      <c r="S199" s="679" t="str">
        <f>IF(CampList[[#This Row],[HH]]&gt;0,CampList[[#This Row],[Total]]/CampList[[#This Row],[HH]],"NA")</f>
        <v>NA</v>
      </c>
      <c r="T199" s="653" t="s">
        <v>513</v>
      </c>
      <c r="U199" s="653" t="s">
        <v>1191</v>
      </c>
      <c r="V199" s="653" t="s">
        <v>554</v>
      </c>
      <c r="W199" s="653" t="s">
        <v>856</v>
      </c>
      <c r="X199" s="699">
        <v>40817</v>
      </c>
      <c r="Y199" s="698"/>
      <c r="Z199" s="680" t="s">
        <v>1089</v>
      </c>
      <c r="AA199" s="682" t="s">
        <v>842</v>
      </c>
      <c r="AB199" s="682"/>
      <c r="AC199" s="683">
        <v>42629</v>
      </c>
      <c r="AD199" s="675" t="s">
        <v>1457</v>
      </c>
      <c r="AE199" s="708" t="s">
        <v>1078</v>
      </c>
      <c r="AF199" s="476">
        <f>IF(CampList[[#This Row],[Type of Accomodation]]="camp",MAX(0,CampList[[#This Row],[HH]]-SUMIF(Table_Shelter[Pcode],CampList[[#This Row],[CP_Pcode]],Table_Shelter[HH Covered])),0)</f>
        <v>0</v>
      </c>
      <c r="AG199" s="653"/>
      <c r="AH199" s="682">
        <f>MIN(CampList[[#This Row],[Shelter Gap]],CampList[[#This Row],[Land Status]])</f>
        <v>0</v>
      </c>
      <c r="AI199" s="653" t="str">
        <f ca="1">IFERROR(OFFSET(DistanceToCamp[Nearest Town],MATCH(CampList[[#This Row],[CP_Pcode]],DistanceToCamp[CP_Pcode],0)-1,0,1,1),"")</f>
        <v>Namhkan Town</v>
      </c>
      <c r="AJ199" s="686">
        <f ca="1">IFERROR(OFFSET(DistanceToCamp[distance],MATCH(CampList[[#This Row],[CP_Pcode]],DistanceToCamp[CP_Pcode],0)-1,0,1,1),"")</f>
        <v>19.631786732140053</v>
      </c>
      <c r="AK199" s="687">
        <f ca="1">IFERROR(INT(CampList[[#This Row],[Distance]]/5)+1,"")</f>
        <v>4</v>
      </c>
      <c r="AL199" s="669"/>
      <c r="AM199" s="856">
        <v>0</v>
      </c>
      <c r="AN199" s="669"/>
      <c r="AO199" s="669"/>
      <c r="AP199" s="669"/>
      <c r="AQ199" s="669"/>
      <c r="AR199" s="669"/>
      <c r="AS199" s="669"/>
      <c r="AT199" s="669"/>
      <c r="AU199" s="669"/>
      <c r="AV199" s="669"/>
    </row>
    <row r="200" spans="1:48" s="444" customFormat="1" ht="15.75" customHeight="1" x14ac:dyDescent="0.25">
      <c r="A200" s="675" t="s">
        <v>500</v>
      </c>
      <c r="B200" s="651" t="s">
        <v>553</v>
      </c>
      <c r="C200" s="651" t="s">
        <v>536</v>
      </c>
      <c r="D200" s="651" t="s">
        <v>230</v>
      </c>
      <c r="E200" s="651" t="s">
        <v>537</v>
      </c>
      <c r="F200" s="651" t="s">
        <v>289</v>
      </c>
      <c r="G200" s="651" t="s">
        <v>549</v>
      </c>
      <c r="H200" s="651" t="s">
        <v>1058</v>
      </c>
      <c r="I200" s="651" t="s">
        <v>1057</v>
      </c>
      <c r="J200" s="651" t="s">
        <v>1059</v>
      </c>
      <c r="K200" s="705">
        <v>208338</v>
      </c>
      <c r="L200" s="651" t="s">
        <v>1067</v>
      </c>
      <c r="M200" s="651" t="s">
        <v>1060</v>
      </c>
      <c r="N200" s="676">
        <v>97.709879999999998</v>
      </c>
      <c r="O200" s="676">
        <v>23.838190000000001</v>
      </c>
      <c r="P200" s="698">
        <v>829.8</v>
      </c>
      <c r="Q200" s="476">
        <v>121</v>
      </c>
      <c r="R200" s="476">
        <v>556</v>
      </c>
      <c r="S200" s="679">
        <f>IF(CampList[[#This Row],[HH]]&gt;0,CampList[[#This Row],[Total]]/CampList[[#This Row],[HH]],"NA")</f>
        <v>4.5950413223140494</v>
      </c>
      <c r="T200" s="653" t="s">
        <v>511</v>
      </c>
      <c r="U200" s="653" t="s">
        <v>1191</v>
      </c>
      <c r="V200" s="653" t="s">
        <v>554</v>
      </c>
      <c r="W200" s="653" t="s">
        <v>803</v>
      </c>
      <c r="X200" s="699">
        <v>41747</v>
      </c>
      <c r="Y200" s="698"/>
      <c r="Z200" s="682" t="s">
        <v>460</v>
      </c>
      <c r="AA200" s="682" t="s">
        <v>842</v>
      </c>
      <c r="AB200" s="682"/>
      <c r="AC200" s="683">
        <v>42809</v>
      </c>
      <c r="AD200" s="684" t="s">
        <v>1622</v>
      </c>
      <c r="AE200" s="708" t="s">
        <v>1093</v>
      </c>
      <c r="AF200" s="476">
        <f>IF(CampList[[#This Row],[Type of Accomodation]]="camp",MAX(0,CampList[[#This Row],[HH]]-SUMIF(Table_Shelter[Pcode],CampList[[#This Row],[CP_Pcode]],Table_Shelter[HH Covered])),0)</f>
        <v>49</v>
      </c>
      <c r="AG200" s="653"/>
      <c r="AH200" s="682">
        <f>MIN(CampList[[#This Row],[Shelter Gap]],CampList[[#This Row],[Land Status]])</f>
        <v>49</v>
      </c>
      <c r="AI200" s="653" t="str">
        <f ca="1">IFERROR(OFFSET(DistanceToCamp[Nearest Town],MATCH(CampList[[#This Row],[CP_Pcode]],DistanceToCamp[CP_Pcode],0)-1,0,1,1),"")</f>
        <v>Namhkan Town</v>
      </c>
      <c r="AJ200" s="686">
        <f ca="1">IFERROR(OFFSET(DistanceToCamp[distance],MATCH(CampList[[#This Row],[CP_Pcode]],DistanceToCamp[CP_Pcode],0)-1,0,1,1),"")</f>
        <v>2.8590638493982405</v>
      </c>
      <c r="AK200" s="687">
        <f ca="1">IFERROR(INT(CampList[[#This Row],[Distance]]/5)+1,"")</f>
        <v>1</v>
      </c>
      <c r="AL200" s="669"/>
      <c r="AM200" s="856">
        <v>556</v>
      </c>
      <c r="AN200" s="669"/>
      <c r="AO200" s="669"/>
      <c r="AP200" s="669"/>
      <c r="AQ200" s="669"/>
      <c r="AR200" s="669"/>
      <c r="AS200" s="669"/>
      <c r="AT200" s="669"/>
      <c r="AU200" s="669"/>
      <c r="AV200" s="669"/>
    </row>
    <row r="201" spans="1:48" s="444" customFormat="1" ht="15.75" customHeight="1" x14ac:dyDescent="0.25">
      <c r="A201" s="675" t="s">
        <v>500</v>
      </c>
      <c r="B201" s="651" t="s">
        <v>380</v>
      </c>
      <c r="C201" s="651" t="s">
        <v>525</v>
      </c>
      <c r="D201" s="651" t="s">
        <v>237</v>
      </c>
      <c r="E201" s="651" t="s">
        <v>531</v>
      </c>
      <c r="F201" s="651" t="s">
        <v>237</v>
      </c>
      <c r="G201" s="651" t="s">
        <v>535</v>
      </c>
      <c r="H201" s="684" t="s">
        <v>648</v>
      </c>
      <c r="I201" s="684" t="s">
        <v>649</v>
      </c>
      <c r="J201" s="684" t="s">
        <v>648</v>
      </c>
      <c r="K201" s="684">
        <v>165698</v>
      </c>
      <c r="L201" s="651" t="s">
        <v>263</v>
      </c>
      <c r="M201" s="651" t="s">
        <v>262</v>
      </c>
      <c r="N201" s="676">
        <v>97.2843958974359</v>
      </c>
      <c r="O201" s="676">
        <v>25.374343974359</v>
      </c>
      <c r="P201" s="677">
        <v>0</v>
      </c>
      <c r="Q201" s="842">
        <v>21</v>
      </c>
      <c r="R201" s="98">
        <v>98</v>
      </c>
      <c r="S201" s="679">
        <f>IF(CampList[[#This Row],[HH]]&gt;0,CampList[[#This Row],[Total]]/CampList[[#This Row],[HH]],"NA")</f>
        <v>4.666666666666667</v>
      </c>
      <c r="T201" s="653" t="s">
        <v>511</v>
      </c>
      <c r="U201" s="653" t="s">
        <v>1191</v>
      </c>
      <c r="V201" s="653" t="s">
        <v>554</v>
      </c>
      <c r="W201" s="653" t="s">
        <v>856</v>
      </c>
      <c r="X201" s="680">
        <v>40817</v>
      </c>
      <c r="Y201" s="681">
        <v>1</v>
      </c>
      <c r="Z201" s="680" t="s">
        <v>505</v>
      </c>
      <c r="AA201" s="693" t="s">
        <v>842</v>
      </c>
      <c r="AB201" s="682"/>
      <c r="AC201" s="683">
        <v>42780</v>
      </c>
      <c r="AD201" s="675" t="s">
        <v>1568</v>
      </c>
      <c r="AE201" s="685" t="s">
        <v>1093</v>
      </c>
      <c r="AF201" s="476">
        <f>IF(CampList[[#This Row],[Type of Accomodation]]="camp",MAX(0,CampList[[#This Row],[HH]]-SUMIF(Table_Shelter[Pcode],CampList[[#This Row],[CP_Pcode]],Table_Shelter[HH Covered])),0)</f>
        <v>0</v>
      </c>
      <c r="AG201" s="653"/>
      <c r="AH201" s="682">
        <f>MIN(CampList[[#This Row],[Shelter Gap]],CampList[[#This Row],[Land Status]])</f>
        <v>0</v>
      </c>
      <c r="AI201" s="653" t="str">
        <f ca="1">IFERROR(OFFSET(DistanceToCamp[Nearest Town],MATCH(CampList[[#This Row],[CP_Pcode]],DistanceToCamp[CP_Pcode],0)-1,0,1,1),"")</f>
        <v>Myitkyina Town</v>
      </c>
      <c r="AJ201" s="686">
        <f ca="1">IFERROR(OFFSET(DistanceToCamp[distance],MATCH(CampList[[#This Row],[CP_Pcode]],DistanceToCamp[CP_Pcode],0)-1,0,1,1),"")</f>
        <v>10.744749696609457</v>
      </c>
      <c r="AK201" s="687">
        <f ca="1">IFERROR(INT(CampList[[#This Row],[Distance]]/5)+1,"")</f>
        <v>3</v>
      </c>
      <c r="AL201" s="669"/>
      <c r="AM201" s="856">
        <v>98</v>
      </c>
      <c r="AN201" s="669"/>
      <c r="AO201" s="669"/>
      <c r="AP201" s="669"/>
      <c r="AQ201" s="669"/>
      <c r="AR201" s="669"/>
      <c r="AS201" s="669"/>
      <c r="AT201" s="669"/>
      <c r="AU201" s="669"/>
      <c r="AV201" s="669"/>
    </row>
    <row r="202" spans="1:48" s="444" customFormat="1" ht="15.75" customHeight="1" x14ac:dyDescent="0.25">
      <c r="A202" s="675" t="s">
        <v>500</v>
      </c>
      <c r="B202" s="651" t="s">
        <v>380</v>
      </c>
      <c r="C202" s="651" t="s">
        <v>525</v>
      </c>
      <c r="D202" s="651" t="s">
        <v>237</v>
      </c>
      <c r="E202" s="651" t="s">
        <v>531</v>
      </c>
      <c r="F202" s="651" t="s">
        <v>237</v>
      </c>
      <c r="G202" s="651" t="s">
        <v>535</v>
      </c>
      <c r="H202" s="684" t="s">
        <v>648</v>
      </c>
      <c r="I202" s="684" t="s">
        <v>649</v>
      </c>
      <c r="J202" s="684" t="s">
        <v>648</v>
      </c>
      <c r="K202" s="684">
        <v>165698</v>
      </c>
      <c r="L202" s="651" t="s">
        <v>265</v>
      </c>
      <c r="M202" s="651" t="s">
        <v>264</v>
      </c>
      <c r="N202" s="676">
        <v>97.290952037037002</v>
      </c>
      <c r="O202" s="676">
        <v>25.371049444444399</v>
      </c>
      <c r="P202" s="677">
        <v>476</v>
      </c>
      <c r="Q202" s="842">
        <v>14</v>
      </c>
      <c r="R202" s="98">
        <v>71</v>
      </c>
      <c r="S202" s="679">
        <f>IF(CampList[[#This Row],[HH]]&gt;0,CampList[[#This Row],[Total]]/CampList[[#This Row],[HH]],"NA")</f>
        <v>5.0714285714285712</v>
      </c>
      <c r="T202" s="653" t="s">
        <v>511</v>
      </c>
      <c r="U202" s="653" t="s">
        <v>1191</v>
      </c>
      <c r="V202" s="653" t="s">
        <v>554</v>
      </c>
      <c r="W202" s="653" t="s">
        <v>856</v>
      </c>
      <c r="X202" s="680">
        <v>40817</v>
      </c>
      <c r="Y202" s="681">
        <v>1</v>
      </c>
      <c r="Z202" s="680" t="s">
        <v>505</v>
      </c>
      <c r="AA202" s="693" t="s">
        <v>842</v>
      </c>
      <c r="AB202" s="682"/>
      <c r="AC202" s="683">
        <v>42780</v>
      </c>
      <c r="AD202" s="675" t="s">
        <v>1569</v>
      </c>
      <c r="AE202" s="685" t="s">
        <v>1093</v>
      </c>
      <c r="AF202" s="476">
        <f>IF(CampList[[#This Row],[Type of Accomodation]]="camp",MAX(0,CampList[[#This Row],[HH]]-SUMIF(Table_Shelter[Pcode],CampList[[#This Row],[CP_Pcode]],Table_Shelter[HH Covered])),0)</f>
        <v>0</v>
      </c>
      <c r="AG202" s="653"/>
      <c r="AH202" s="682">
        <f>MIN(CampList[[#This Row],[Shelter Gap]],CampList[[#This Row],[Land Status]])</f>
        <v>0</v>
      </c>
      <c r="AI202" s="653" t="str">
        <f ca="1">IFERROR(OFFSET(DistanceToCamp[Nearest Town],MATCH(CampList[[#This Row],[CP_Pcode]],DistanceToCamp[CP_Pcode],0)-1,0,1,1),"")</f>
        <v>Myitkyina Town</v>
      </c>
      <c r="AJ202" s="686">
        <f ca="1">IFERROR(OFFSET(DistanceToCamp[distance],MATCH(CampList[[#This Row],[CP_Pcode]],DistanceToCamp[CP_Pcode],0)-1,0,1,1),"")</f>
        <v>10.15228229456989</v>
      </c>
      <c r="AK202" s="687">
        <f ca="1">IFERROR(INT(CampList[[#This Row],[Distance]]/5)+1,"")</f>
        <v>3</v>
      </c>
      <c r="AL202" s="669"/>
      <c r="AM202" s="856">
        <v>71</v>
      </c>
      <c r="AN202" s="669"/>
      <c r="AO202" s="669"/>
      <c r="AP202" s="669"/>
      <c r="AQ202" s="669"/>
      <c r="AR202" s="669"/>
      <c r="AS202" s="669"/>
      <c r="AT202" s="669"/>
      <c r="AU202" s="669"/>
      <c r="AV202" s="669"/>
    </row>
    <row r="203" spans="1:48" s="444" customFormat="1" ht="15.75" customHeight="1" x14ac:dyDescent="0.25">
      <c r="A203" s="695" t="s">
        <v>500</v>
      </c>
      <c r="B203" s="652" t="s">
        <v>380</v>
      </c>
      <c r="C203" s="652" t="s">
        <v>525</v>
      </c>
      <c r="D203" s="652" t="s">
        <v>237</v>
      </c>
      <c r="E203" s="652" t="s">
        <v>531</v>
      </c>
      <c r="F203" s="652" t="s">
        <v>237</v>
      </c>
      <c r="G203" s="652" t="s">
        <v>535</v>
      </c>
      <c r="H203" s="652" t="s">
        <v>669</v>
      </c>
      <c r="I203" s="696" t="s">
        <v>670</v>
      </c>
      <c r="J203" s="652" t="s">
        <v>669</v>
      </c>
      <c r="K203" s="652">
        <v>165695</v>
      </c>
      <c r="L203" s="652" t="s">
        <v>271</v>
      </c>
      <c r="M203" s="652" t="s">
        <v>270</v>
      </c>
      <c r="N203" s="678">
        <v>97.359320179999997</v>
      </c>
      <c r="O203" s="678">
        <v>25.410569299999999</v>
      </c>
      <c r="P203" s="698"/>
      <c r="Q203" s="476">
        <v>68</v>
      </c>
      <c r="R203" s="708">
        <v>333</v>
      </c>
      <c r="S203" s="679">
        <f>IF(CampList[[#This Row],[HH]]&gt;0,CampList[[#This Row],[Total]]/CampList[[#This Row],[HH]],"NA")</f>
        <v>4.8970588235294121</v>
      </c>
      <c r="T203" s="476" t="s">
        <v>511</v>
      </c>
      <c r="U203" s="653" t="s">
        <v>1191</v>
      </c>
      <c r="V203" s="476" t="s">
        <v>554</v>
      </c>
      <c r="W203" s="476" t="s">
        <v>803</v>
      </c>
      <c r="X203" s="699">
        <v>40909</v>
      </c>
      <c r="Y203" s="698"/>
      <c r="Z203" s="698" t="s">
        <v>1090</v>
      </c>
      <c r="AA203" s="678" t="s">
        <v>842</v>
      </c>
      <c r="AB203" s="678"/>
      <c r="AC203" s="683">
        <v>42780</v>
      </c>
      <c r="AD203" s="700" t="s">
        <v>1549</v>
      </c>
      <c r="AE203" s="685" t="s">
        <v>1093</v>
      </c>
      <c r="AF203" s="701">
        <f>IF(CampList[[#This Row],[Type of Accomodation]]="camp",MAX(0,CampList[[#This Row],[HH]]-SUMIF(Table_Shelter[Pcode],CampList[[#This Row],[CP_Pcode]],Table_Shelter[HH Covered])),0)</f>
        <v>1</v>
      </c>
      <c r="AG203" s="476"/>
      <c r="AH203" s="677">
        <f>MIN(CampList[[#This Row],[Shelter Gap]],CampList[[#This Row],[Land Status]])</f>
        <v>1</v>
      </c>
      <c r="AI203" s="701" t="str">
        <f ca="1">IFERROR(OFFSET(DistanceToCamp[Nearest Town],MATCH(CampList[[#This Row],[CP_Pcode]],DistanceToCamp[CP_Pcode],0)-1,0,1,1),"")</f>
        <v>Myitkyina Town</v>
      </c>
      <c r="AJ203" s="686">
        <f ca="1">IFERROR(OFFSET(DistanceToCamp[distance],MATCH(CampList[[#This Row],[CP_Pcode]],DistanceToCamp[CP_Pcode],0)-1,0,1,1),"")</f>
        <v>4.037940696665812</v>
      </c>
      <c r="AK203" s="702">
        <f ca="1">IFERROR(INT(CampList[[#This Row],[Distance]]/5)+1,"")</f>
        <v>1</v>
      </c>
      <c r="AL203" s="669"/>
      <c r="AM203" s="856">
        <v>333</v>
      </c>
      <c r="AN203" s="669"/>
      <c r="AO203" s="669"/>
      <c r="AP203" s="669"/>
      <c r="AQ203" s="669"/>
      <c r="AR203" s="669"/>
      <c r="AS203" s="669"/>
      <c r="AT203" s="669"/>
      <c r="AU203" s="669"/>
      <c r="AV203" s="669"/>
    </row>
    <row r="204" spans="1:48" s="444" customFormat="1" ht="15.75" customHeight="1" x14ac:dyDescent="0.25">
      <c r="A204" s="675" t="s">
        <v>500</v>
      </c>
      <c r="B204" s="651" t="s">
        <v>380</v>
      </c>
      <c r="C204" s="651" t="s">
        <v>525</v>
      </c>
      <c r="D204" s="651" t="s">
        <v>237</v>
      </c>
      <c r="E204" s="651" t="s">
        <v>531</v>
      </c>
      <c r="F204" s="651" t="s">
        <v>237</v>
      </c>
      <c r="G204" s="651" t="s">
        <v>535</v>
      </c>
      <c r="H204" s="651" t="s">
        <v>671</v>
      </c>
      <c r="I204" s="651" t="s">
        <v>672</v>
      </c>
      <c r="J204" s="651" t="s">
        <v>680</v>
      </c>
      <c r="K204" s="651"/>
      <c r="L204" s="651" t="s">
        <v>269</v>
      </c>
      <c r="M204" s="651" t="s">
        <v>268</v>
      </c>
      <c r="N204" s="676">
        <v>97.394547000000003</v>
      </c>
      <c r="O204" s="676">
        <v>25.422194000000001</v>
      </c>
      <c r="P204" s="677">
        <v>0</v>
      </c>
      <c r="Q204" s="464">
        <v>67</v>
      </c>
      <c r="R204" s="464">
        <v>289</v>
      </c>
      <c r="S204" s="679">
        <f>IF(CampList[[#This Row],[HH]]&gt;0,CampList[[#This Row],[Total]]/CampList[[#This Row],[HH]],"NA")</f>
        <v>4.3134328358208958</v>
      </c>
      <c r="T204" s="653" t="s">
        <v>511</v>
      </c>
      <c r="U204" s="653" t="s">
        <v>1191</v>
      </c>
      <c r="V204" s="653" t="s">
        <v>554</v>
      </c>
      <c r="W204" s="653" t="s">
        <v>803</v>
      </c>
      <c r="X204" s="680">
        <v>40695</v>
      </c>
      <c r="Y204" s="681">
        <v>1</v>
      </c>
      <c r="Z204" s="680" t="s">
        <v>460</v>
      </c>
      <c r="AA204" s="682" t="s">
        <v>842</v>
      </c>
      <c r="AB204" s="682"/>
      <c r="AC204" s="683">
        <v>42809</v>
      </c>
      <c r="AD204" s="684" t="s">
        <v>1626</v>
      </c>
      <c r="AE204" s="685" t="s">
        <v>1093</v>
      </c>
      <c r="AF204" s="476">
        <f>IF(CampList[[#This Row],[Type of Accomodation]]="camp",MAX(0,CampList[[#This Row],[HH]]-SUMIF(Table_Shelter[Pcode],CampList[[#This Row],[CP_Pcode]],Table_Shelter[HH Covered])),0)</f>
        <v>15</v>
      </c>
      <c r="AG204" s="476"/>
      <c r="AH204" s="682" t="s">
        <v>1465</v>
      </c>
      <c r="AI204" s="653" t="str">
        <f ca="1">IFERROR(OFFSET(DistanceToCamp[Nearest Town],MATCH(CampList[[#This Row],[CP_Pcode]],DistanceToCamp[CP_Pcode],0)-1,0,1,1),"")</f>
        <v>Myitkyina Town</v>
      </c>
      <c r="AJ204" s="686">
        <f ca="1">IFERROR(OFFSET(DistanceToCamp[distance],MATCH(CampList[[#This Row],[CP_Pcode]],DistanceToCamp[CP_Pcode],0)-1,0,1,1),"")</f>
        <v>3.8820329084732199</v>
      </c>
      <c r="AK204" s="687">
        <f ca="1">IFERROR(INT(CampList[[#This Row],[Distance]]/5)+1,"")</f>
        <v>1</v>
      </c>
      <c r="AL204" s="669"/>
      <c r="AM204" s="856">
        <v>289</v>
      </c>
      <c r="AN204" s="669"/>
      <c r="AO204" s="669"/>
      <c r="AP204" s="669"/>
      <c r="AQ204" s="669"/>
      <c r="AR204" s="669"/>
      <c r="AS204" s="669"/>
      <c r="AT204" s="669"/>
      <c r="AU204" s="669"/>
      <c r="AV204" s="669"/>
    </row>
    <row r="205" spans="1:48" s="444" customFormat="1" ht="15.75" customHeight="1" x14ac:dyDescent="0.25">
      <c r="A205" s="695" t="s">
        <v>500</v>
      </c>
      <c r="B205" s="652" t="s">
        <v>380</v>
      </c>
      <c r="C205" s="652" t="s">
        <v>525</v>
      </c>
      <c r="D205" s="652" t="s">
        <v>237</v>
      </c>
      <c r="E205" s="652" t="s">
        <v>531</v>
      </c>
      <c r="F205" s="652" t="s">
        <v>237</v>
      </c>
      <c r="G205" s="652" t="s">
        <v>535</v>
      </c>
      <c r="H205" s="652" t="s">
        <v>709</v>
      </c>
      <c r="I205" s="696" t="s">
        <v>710</v>
      </c>
      <c r="J205" s="652" t="s">
        <v>711</v>
      </c>
      <c r="K205" s="652">
        <v>165685</v>
      </c>
      <c r="L205" s="652" t="s">
        <v>273</v>
      </c>
      <c r="M205" s="652" t="s">
        <v>272</v>
      </c>
      <c r="N205" s="678">
        <v>97.4345</v>
      </c>
      <c r="O205" s="678">
        <v>25.493819999999999</v>
      </c>
      <c r="P205" s="698"/>
      <c r="Q205" s="476">
        <v>46</v>
      </c>
      <c r="R205" s="708">
        <v>278</v>
      </c>
      <c r="S205" s="679">
        <f>IF(CampList[[#This Row],[HH]]&gt;0,CampList[[#This Row],[Total]]/CampList[[#This Row],[HH]],"NA")</f>
        <v>6.0434782608695654</v>
      </c>
      <c r="T205" s="476" t="s">
        <v>511</v>
      </c>
      <c r="U205" s="653" t="s">
        <v>1191</v>
      </c>
      <c r="V205" s="476" t="s">
        <v>554</v>
      </c>
      <c r="W205" s="476" t="s">
        <v>803</v>
      </c>
      <c r="X205" s="699">
        <v>41244</v>
      </c>
      <c r="Y205" s="698"/>
      <c r="Z205" s="698" t="s">
        <v>1090</v>
      </c>
      <c r="AA205" s="678" t="s">
        <v>842</v>
      </c>
      <c r="AB205" s="678"/>
      <c r="AC205" s="683">
        <v>42780</v>
      </c>
      <c r="AD205" s="700" t="s">
        <v>1551</v>
      </c>
      <c r="AE205" s="685" t="s">
        <v>1093</v>
      </c>
      <c r="AF205" s="701">
        <f>IF(CampList[[#This Row],[Type of Accomodation]]="camp",MAX(0,CampList[[#This Row],[HH]]-SUMIF(Table_Shelter[Pcode],CampList[[#This Row],[CP_Pcode]],Table_Shelter[HH Covered])),0)</f>
        <v>2</v>
      </c>
      <c r="AG205" s="476"/>
      <c r="AH205" s="677">
        <f>MIN(CampList[[#This Row],[Shelter Gap]],CampList[[#This Row],[Land Status]])</f>
        <v>2</v>
      </c>
      <c r="AI205" s="701" t="str">
        <f ca="1">IFERROR(OFFSET(DistanceToCamp[Nearest Town],MATCH(CampList[[#This Row],[CP_Pcode]],DistanceToCamp[CP_Pcode],0)-1,0,1,1),"")</f>
        <v>Myitkyina Town</v>
      </c>
      <c r="AJ205" s="686">
        <f ca="1">IFERROR(OFFSET(DistanceToCamp[distance],MATCH(CampList[[#This Row],[CP_Pcode]],DistanceToCamp[CP_Pcode],0)-1,0,1,1),"")</f>
        <v>12.627188913244609</v>
      </c>
      <c r="AK205" s="702">
        <f ca="1">IFERROR(INT(CampList[[#This Row],[Distance]]/5)+1,"")</f>
        <v>3</v>
      </c>
      <c r="AL205" s="669"/>
      <c r="AM205" s="856">
        <v>278</v>
      </c>
      <c r="AN205" s="669"/>
      <c r="AO205" s="669"/>
      <c r="AP205" s="669"/>
      <c r="AQ205" s="669"/>
      <c r="AR205" s="669"/>
      <c r="AS205" s="669"/>
      <c r="AT205" s="669"/>
      <c r="AU205" s="669"/>
      <c r="AV205" s="669"/>
    </row>
    <row r="206" spans="1:48" s="444" customFormat="1" ht="15.75" customHeight="1" x14ac:dyDescent="0.25">
      <c r="A206" s="675" t="s">
        <v>500</v>
      </c>
      <c r="B206" s="651" t="s">
        <v>380</v>
      </c>
      <c r="C206" s="651" t="s">
        <v>525</v>
      </c>
      <c r="D206" s="651" t="s">
        <v>237</v>
      </c>
      <c r="E206" s="651" t="s">
        <v>531</v>
      </c>
      <c r="F206" s="651" t="s">
        <v>237</v>
      </c>
      <c r="G206" s="651" t="s">
        <v>535</v>
      </c>
      <c r="H206" s="651" t="s">
        <v>671</v>
      </c>
      <c r="I206" s="651" t="s">
        <v>672</v>
      </c>
      <c r="J206" s="651" t="s">
        <v>681</v>
      </c>
      <c r="K206" s="651" t="s">
        <v>682</v>
      </c>
      <c r="L206" s="651" t="s">
        <v>277</v>
      </c>
      <c r="M206" s="651" t="s">
        <v>276</v>
      </c>
      <c r="N206" s="676">
        <v>97.399628000000007</v>
      </c>
      <c r="O206" s="676">
        <v>25.412313000000001</v>
      </c>
      <c r="P206" s="677">
        <v>0</v>
      </c>
      <c r="Q206" s="476">
        <v>90</v>
      </c>
      <c r="R206" s="476">
        <v>405</v>
      </c>
      <c r="S206" s="679">
        <f>IF(CampList[[#This Row],[HH]]&gt;0,CampList[[#This Row],[Total]]/CampList[[#This Row],[HH]],"NA")</f>
        <v>4.5</v>
      </c>
      <c r="T206" s="653" t="s">
        <v>511</v>
      </c>
      <c r="U206" s="653" t="s">
        <v>1191</v>
      </c>
      <c r="V206" s="653" t="s">
        <v>554</v>
      </c>
      <c r="W206" s="653" t="s">
        <v>803</v>
      </c>
      <c r="X206" s="680">
        <v>40756</v>
      </c>
      <c r="Y206" s="681">
        <v>2</v>
      </c>
      <c r="Z206" s="680" t="s">
        <v>460</v>
      </c>
      <c r="AA206" s="682" t="s">
        <v>842</v>
      </c>
      <c r="AB206" s="682"/>
      <c r="AC206" s="683">
        <v>42809</v>
      </c>
      <c r="AD206" s="684" t="s">
        <v>1634</v>
      </c>
      <c r="AE206" s="685" t="s">
        <v>1093</v>
      </c>
      <c r="AF206" s="476">
        <f>IF(CampList[[#This Row],[Type of Accomodation]]="camp",MAX(0,CampList[[#This Row],[HH]]-SUMIF(Table_Shelter[Pcode],CampList[[#This Row],[CP_Pcode]],Table_Shelter[HH Covered])),0)</f>
        <v>26</v>
      </c>
      <c r="AG206" s="653"/>
      <c r="AH206" s="682">
        <f>MIN(CampList[[#This Row],[Shelter Gap]],CampList[[#This Row],[Land Status]])</f>
        <v>26</v>
      </c>
      <c r="AI206" s="653" t="str">
        <f ca="1">IFERROR(OFFSET(DistanceToCamp[Nearest Town],MATCH(CampList[[#This Row],[CP_Pcode]],DistanceToCamp[CP_Pcode],0)-1,0,1,1),"")</f>
        <v>Myitkyina Town</v>
      </c>
      <c r="AJ206" s="686">
        <f ca="1">IFERROR(OFFSET(DistanceToCamp[distance],MATCH(CampList[[#This Row],[CP_Pcode]],DistanceToCamp[CP_Pcode],0)-1,0,1,1),"")</f>
        <v>2.9133254097712102</v>
      </c>
      <c r="AK206" s="687">
        <f ca="1">IFERROR(INT(CampList[[#This Row],[Distance]]/5)+1,"")</f>
        <v>1</v>
      </c>
      <c r="AL206" s="669"/>
      <c r="AM206" s="856">
        <v>405</v>
      </c>
      <c r="AN206" s="669"/>
      <c r="AO206" s="669"/>
      <c r="AP206" s="669"/>
      <c r="AQ206" s="669"/>
      <c r="AR206" s="669"/>
      <c r="AS206" s="669"/>
      <c r="AT206" s="669"/>
      <c r="AU206" s="669"/>
      <c r="AV206" s="669"/>
    </row>
    <row r="207" spans="1:48" s="444" customFormat="1" ht="15.75" customHeight="1" x14ac:dyDescent="0.25">
      <c r="A207" s="675" t="s">
        <v>500</v>
      </c>
      <c r="B207" s="651" t="s">
        <v>380</v>
      </c>
      <c r="C207" s="651" t="s">
        <v>525</v>
      </c>
      <c r="D207" s="651" t="s">
        <v>237</v>
      </c>
      <c r="E207" s="651" t="s">
        <v>531</v>
      </c>
      <c r="F207" s="651" t="s">
        <v>237</v>
      </c>
      <c r="G207" s="651" t="s">
        <v>535</v>
      </c>
      <c r="H207" s="651" t="s">
        <v>671</v>
      </c>
      <c r="I207" s="651" t="s">
        <v>672</v>
      </c>
      <c r="J207" s="651" t="s">
        <v>681</v>
      </c>
      <c r="K207" s="651" t="s">
        <v>682</v>
      </c>
      <c r="L207" s="651" t="s">
        <v>279</v>
      </c>
      <c r="M207" s="651" t="s">
        <v>278</v>
      </c>
      <c r="N207" s="676">
        <v>97.418004999999994</v>
      </c>
      <c r="O207" s="676">
        <v>25.423817</v>
      </c>
      <c r="P207" s="677">
        <v>0</v>
      </c>
      <c r="Q207" s="842">
        <v>22</v>
      </c>
      <c r="R207" s="98">
        <v>111</v>
      </c>
      <c r="S207" s="679">
        <f>IF(CampList[[#This Row],[HH]]&gt;0,CampList[[#This Row],[Total]]/CampList[[#This Row],[HH]],"NA")</f>
        <v>5.0454545454545459</v>
      </c>
      <c r="T207" s="653" t="s">
        <v>511</v>
      </c>
      <c r="U207" s="653" t="s">
        <v>1191</v>
      </c>
      <c r="V207" s="653" t="s">
        <v>554</v>
      </c>
      <c r="W207" s="653" t="s">
        <v>803</v>
      </c>
      <c r="X207" s="680">
        <v>40909</v>
      </c>
      <c r="Y207" s="681">
        <v>1</v>
      </c>
      <c r="Z207" s="680" t="s">
        <v>505</v>
      </c>
      <c r="AA207" s="682" t="s">
        <v>842</v>
      </c>
      <c r="AB207" s="682"/>
      <c r="AC207" s="683">
        <v>42780</v>
      </c>
      <c r="AD207" s="684" t="s">
        <v>1577</v>
      </c>
      <c r="AE207" s="685" t="s">
        <v>1093</v>
      </c>
      <c r="AF207" s="476">
        <f>IF(CampList[[#This Row],[Type of Accomodation]]="camp",MAX(0,CampList[[#This Row],[HH]]-SUMIF(Table_Shelter[Pcode],CampList[[#This Row],[CP_Pcode]],Table_Shelter[HH Covered])),0)</f>
        <v>22</v>
      </c>
      <c r="AG207" s="653"/>
      <c r="AH207" s="682">
        <f>MIN(CampList[[#This Row],[Shelter Gap]],CampList[[#This Row],[Land Status]])</f>
        <v>22</v>
      </c>
      <c r="AI207" s="653" t="str">
        <f ca="1">IFERROR(OFFSET(DistanceToCamp[Nearest Town],MATCH(CampList[[#This Row],[CP_Pcode]],DistanceToCamp[CP_Pcode],0)-1,0,1,1),"")</f>
        <v>Myitkyina Town</v>
      </c>
      <c r="AJ207" s="686">
        <f ca="1">IFERROR(OFFSET(DistanceToCamp[distance],MATCH(CampList[[#This Row],[CP_Pcode]],DistanceToCamp[CP_Pcode],0)-1,0,1,1),"")</f>
        <v>4.9021696969220816</v>
      </c>
      <c r="AK207" s="687">
        <f ca="1">IFERROR(INT(CampList[[#This Row],[Distance]]/5)+1,"")</f>
        <v>1</v>
      </c>
      <c r="AL207" s="669"/>
      <c r="AM207" s="856">
        <v>111</v>
      </c>
      <c r="AN207" s="669"/>
      <c r="AO207" s="669"/>
      <c r="AP207" s="669"/>
      <c r="AQ207" s="669"/>
      <c r="AR207" s="669"/>
      <c r="AS207" s="669"/>
      <c r="AT207" s="669"/>
      <c r="AU207" s="669"/>
      <c r="AV207" s="669"/>
    </row>
    <row r="208" spans="1:48" s="444" customFormat="1" ht="15.75" customHeight="1" x14ac:dyDescent="0.25">
      <c r="A208" s="675" t="s">
        <v>500</v>
      </c>
      <c r="B208" s="651" t="s">
        <v>380</v>
      </c>
      <c r="C208" s="651" t="s">
        <v>525</v>
      </c>
      <c r="D208" s="651" t="s">
        <v>237</v>
      </c>
      <c r="E208" s="651" t="s">
        <v>531</v>
      </c>
      <c r="F208" s="651" t="s">
        <v>237</v>
      </c>
      <c r="G208" s="651" t="s">
        <v>535</v>
      </c>
      <c r="H208" s="651" t="s">
        <v>671</v>
      </c>
      <c r="I208" s="651" t="s">
        <v>672</v>
      </c>
      <c r="J208" s="651" t="s">
        <v>691</v>
      </c>
      <c r="K208" s="651" t="s">
        <v>692</v>
      </c>
      <c r="L208" s="651" t="s">
        <v>281</v>
      </c>
      <c r="M208" s="651" t="s">
        <v>280</v>
      </c>
      <c r="N208" s="676">
        <v>97.419403000000003</v>
      </c>
      <c r="O208" s="676">
        <v>25.440928</v>
      </c>
      <c r="P208" s="677">
        <v>0</v>
      </c>
      <c r="Q208" s="476">
        <v>89</v>
      </c>
      <c r="R208" s="476">
        <v>489</v>
      </c>
      <c r="S208" s="679">
        <f>IF(CampList[[#This Row],[HH]]&gt;0,CampList[[#This Row],[Total]]/CampList[[#This Row],[HH]],"NA")</f>
        <v>5.4943820224719104</v>
      </c>
      <c r="T208" s="653" t="s">
        <v>511</v>
      </c>
      <c r="U208" s="653" t="s">
        <v>1191</v>
      </c>
      <c r="V208" s="653" t="s">
        <v>554</v>
      </c>
      <c r="W208" s="653" t="s">
        <v>803</v>
      </c>
      <c r="X208" s="680">
        <v>40725</v>
      </c>
      <c r="Y208" s="681">
        <v>2</v>
      </c>
      <c r="Z208" s="680" t="s">
        <v>460</v>
      </c>
      <c r="AA208" s="682" t="s">
        <v>842</v>
      </c>
      <c r="AB208" s="682"/>
      <c r="AC208" s="683">
        <v>42809</v>
      </c>
      <c r="AD208" s="684" t="s">
        <v>1637</v>
      </c>
      <c r="AE208" s="685" t="s">
        <v>1093</v>
      </c>
      <c r="AF208" s="476">
        <f>IF(CampList[[#This Row],[Type of Accomodation]]="camp",MAX(0,CampList[[#This Row],[HH]]-SUMIF(Table_Shelter[Pcode],CampList[[#This Row],[CP_Pcode]],Table_Shelter[HH Covered])),0)</f>
        <v>39</v>
      </c>
      <c r="AG208" s="653"/>
      <c r="AH208" s="682">
        <f>MIN(CampList[[#This Row],[Shelter Gap]],CampList[[#This Row],[Land Status]])</f>
        <v>39</v>
      </c>
      <c r="AI208" s="653" t="str">
        <f ca="1">IFERROR(OFFSET(DistanceToCamp[Nearest Town],MATCH(CampList[[#This Row],[CP_Pcode]],DistanceToCamp[CP_Pcode],0)-1,0,1,1),"")</f>
        <v>Myitkyina Town</v>
      </c>
      <c r="AJ208" s="686">
        <f ca="1">IFERROR(OFFSET(DistanceToCamp[distance],MATCH(CampList[[#This Row],[CP_Pcode]],DistanceToCamp[CP_Pcode],0)-1,0,1,1),"")</f>
        <v>6.6198004689728469</v>
      </c>
      <c r="AK208" s="687">
        <f ca="1">IFERROR(INT(CampList[[#This Row],[Distance]]/5)+1,"")</f>
        <v>2</v>
      </c>
      <c r="AL208" s="669"/>
      <c r="AM208" s="856">
        <v>489</v>
      </c>
      <c r="AN208" s="669"/>
      <c r="AO208" s="669"/>
      <c r="AP208" s="669"/>
      <c r="AQ208" s="669"/>
      <c r="AR208" s="669"/>
      <c r="AS208" s="669"/>
      <c r="AT208" s="669"/>
      <c r="AU208" s="669"/>
      <c r="AV208" s="669"/>
    </row>
    <row r="209" spans="1:48" s="444" customFormat="1" ht="15.75" customHeight="1" x14ac:dyDescent="0.25">
      <c r="A209" s="675" t="s">
        <v>500</v>
      </c>
      <c r="B209" s="651" t="s">
        <v>380</v>
      </c>
      <c r="C209" s="651" t="s">
        <v>525</v>
      </c>
      <c r="D209" s="651" t="s">
        <v>237</v>
      </c>
      <c r="E209" s="651" t="s">
        <v>531</v>
      </c>
      <c r="F209" s="651" t="s">
        <v>237</v>
      </c>
      <c r="G209" s="651" t="s">
        <v>535</v>
      </c>
      <c r="H209" s="651" t="s">
        <v>671</v>
      </c>
      <c r="I209" s="651" t="s">
        <v>672</v>
      </c>
      <c r="J209" s="651" t="s">
        <v>676</v>
      </c>
      <c r="K209" s="651" t="s">
        <v>677</v>
      </c>
      <c r="L209" s="651" t="s">
        <v>238</v>
      </c>
      <c r="M209" s="651" t="s">
        <v>236</v>
      </c>
      <c r="N209" s="676">
        <v>97.386718999999999</v>
      </c>
      <c r="O209" s="676">
        <v>25.415482000000001</v>
      </c>
      <c r="P209" s="677">
        <v>0</v>
      </c>
      <c r="Q209" s="464">
        <v>52</v>
      </c>
      <c r="R209" s="464">
        <v>263</v>
      </c>
      <c r="S209" s="679">
        <f>IF(CampList[[#This Row],[HH]]&gt;0,CampList[[#This Row],[Total]]/CampList[[#This Row],[HH]],"NA")</f>
        <v>5.0576923076923075</v>
      </c>
      <c r="T209" s="653" t="s">
        <v>511</v>
      </c>
      <c r="U209" s="653" t="s">
        <v>1191</v>
      </c>
      <c r="V209" s="653" t="s">
        <v>554</v>
      </c>
      <c r="W209" s="653" t="s">
        <v>803</v>
      </c>
      <c r="X209" s="680">
        <v>40695</v>
      </c>
      <c r="Y209" s="681">
        <v>1</v>
      </c>
      <c r="Z209" s="680" t="s">
        <v>460</v>
      </c>
      <c r="AA209" s="682" t="s">
        <v>842</v>
      </c>
      <c r="AB209" s="682"/>
      <c r="AC209" s="683">
        <v>42809</v>
      </c>
      <c r="AD209" s="684" t="s">
        <v>1638</v>
      </c>
      <c r="AE209" s="685" t="s">
        <v>1093</v>
      </c>
      <c r="AF209" s="476">
        <f>IF(CampList[[#This Row],[Type of Accomodation]]="camp",MAX(0,CampList[[#This Row],[HH]]-SUMIF(Table_Shelter[Pcode],CampList[[#This Row],[CP_Pcode]],Table_Shelter[HH Covered])),0)</f>
        <v>0</v>
      </c>
      <c r="AG209" s="653"/>
      <c r="AH209" s="682">
        <f>MIN(CampList[[#This Row],[Shelter Gap]],CampList[[#This Row],[Land Status]])</f>
        <v>0</v>
      </c>
      <c r="AI209" s="653" t="str">
        <f ca="1">IFERROR(OFFSET(DistanceToCamp[Nearest Town],MATCH(CampList[[#This Row],[CP_Pcode]],DistanceToCamp[CP_Pcode],0)-1,0,1,1),"")</f>
        <v>Myitkyina Town</v>
      </c>
      <c r="AJ209" s="686">
        <f ca="1">IFERROR(OFFSET(DistanceToCamp[distance],MATCH(CampList[[#This Row],[CP_Pcode]],DistanceToCamp[CP_Pcode],0)-1,0,1,1),"")</f>
        <v>3.1341427522963001</v>
      </c>
      <c r="AK209" s="687">
        <f ca="1">IFERROR(INT(CampList[[#This Row],[Distance]]/5)+1,"")</f>
        <v>1</v>
      </c>
      <c r="AL209" s="669"/>
      <c r="AM209" s="856">
        <v>263</v>
      </c>
      <c r="AN209" s="669"/>
      <c r="AO209" s="669"/>
      <c r="AP209" s="669"/>
      <c r="AQ209" s="669"/>
      <c r="AR209" s="669"/>
      <c r="AS209" s="669"/>
      <c r="AT209" s="669"/>
      <c r="AU209" s="669"/>
      <c r="AV209" s="669"/>
    </row>
    <row r="210" spans="1:48" s="444" customFormat="1" ht="15.75" customHeight="1" x14ac:dyDescent="0.25">
      <c r="A210" s="675" t="s">
        <v>500</v>
      </c>
      <c r="B210" s="651" t="s">
        <v>380</v>
      </c>
      <c r="C210" s="651" t="s">
        <v>525</v>
      </c>
      <c r="D210" s="651" t="s">
        <v>237</v>
      </c>
      <c r="E210" s="651" t="s">
        <v>531</v>
      </c>
      <c r="F210" s="651" t="s">
        <v>237</v>
      </c>
      <c r="G210" s="651" t="s">
        <v>535</v>
      </c>
      <c r="H210" s="651" t="s">
        <v>671</v>
      </c>
      <c r="I210" s="651" t="s">
        <v>672</v>
      </c>
      <c r="J210" s="651" t="s">
        <v>676</v>
      </c>
      <c r="K210" s="651" t="s">
        <v>677</v>
      </c>
      <c r="L210" s="651" t="s">
        <v>1244</v>
      </c>
      <c r="M210" s="651" t="s">
        <v>241</v>
      </c>
      <c r="N210" s="676">
        <v>97.379987</v>
      </c>
      <c r="O210" s="676">
        <v>25.423209</v>
      </c>
      <c r="P210" s="677">
        <v>0</v>
      </c>
      <c r="Q210" s="842">
        <v>54</v>
      </c>
      <c r="R210" s="98">
        <v>259</v>
      </c>
      <c r="S210" s="679">
        <f>IF(CampList[[#This Row],[HH]]&gt;0,CampList[[#This Row],[Total]]/CampList[[#This Row],[HH]],"NA")</f>
        <v>4.7962962962962967</v>
      </c>
      <c r="T210" s="653" t="s">
        <v>511</v>
      </c>
      <c r="U210" s="653" t="s">
        <v>1191</v>
      </c>
      <c r="V210" s="653" t="s">
        <v>554</v>
      </c>
      <c r="W210" s="653" t="s">
        <v>803</v>
      </c>
      <c r="X210" s="680">
        <v>41000</v>
      </c>
      <c r="Y210" s="681">
        <v>1</v>
      </c>
      <c r="Z210" s="680" t="s">
        <v>505</v>
      </c>
      <c r="AA210" s="682" t="s">
        <v>842</v>
      </c>
      <c r="AB210" s="682"/>
      <c r="AC210" s="683">
        <v>42780</v>
      </c>
      <c r="AD210" s="684" t="s">
        <v>1579</v>
      </c>
      <c r="AE210" s="685" t="s">
        <v>1093</v>
      </c>
      <c r="AF210" s="476">
        <f>IF(CampList[[#This Row],[Type of Accomodation]]="camp",MAX(0,CampList[[#This Row],[HH]]-SUMIF(Table_Shelter[Pcode],CampList[[#This Row],[CP_Pcode]],Table_Shelter[HH Covered])),0)</f>
        <v>0</v>
      </c>
      <c r="AG210" s="653"/>
      <c r="AH210" s="682">
        <f>MIN(CampList[[#This Row],[Shelter Gap]],CampList[[#This Row],[Land Status]])</f>
        <v>0</v>
      </c>
      <c r="AI210" s="653" t="str">
        <f ca="1">IFERROR(OFFSET(DistanceToCamp[Nearest Town],MATCH(CampList[[#This Row],[CP_Pcode]],DistanceToCamp[CP_Pcode],0)-1,0,1,1),"")</f>
        <v>Myitkyina Town</v>
      </c>
      <c r="AJ210" s="686">
        <f ca="1">IFERROR(OFFSET(DistanceToCamp[distance],MATCH(CampList[[#This Row],[CP_Pcode]],DistanceToCamp[CP_Pcode],0)-1,0,1,1),"")</f>
        <v>2.6190942927115026</v>
      </c>
      <c r="AK210" s="687">
        <f ca="1">IFERROR(INT(CampList[[#This Row],[Distance]]/5)+1,"")</f>
        <v>1</v>
      </c>
      <c r="AL210" s="669"/>
      <c r="AM210" s="856">
        <v>259</v>
      </c>
      <c r="AN210" s="669"/>
      <c r="AO210" s="669"/>
      <c r="AP210" s="669"/>
      <c r="AQ210" s="669"/>
      <c r="AR210" s="669"/>
      <c r="AS210" s="669"/>
      <c r="AT210" s="669"/>
      <c r="AU210" s="669"/>
      <c r="AV210" s="669"/>
    </row>
    <row r="211" spans="1:48" s="444" customFormat="1" ht="15.75" customHeight="1" x14ac:dyDescent="0.25">
      <c r="A211" s="675" t="s">
        <v>500</v>
      </c>
      <c r="B211" s="651" t="s">
        <v>380</v>
      </c>
      <c r="C211" s="651" t="s">
        <v>525</v>
      </c>
      <c r="D211" s="651" t="s">
        <v>237</v>
      </c>
      <c r="E211" s="651" t="s">
        <v>531</v>
      </c>
      <c r="F211" s="651" t="s">
        <v>237</v>
      </c>
      <c r="G211" s="651" t="s">
        <v>535</v>
      </c>
      <c r="H211" s="651" t="s">
        <v>671</v>
      </c>
      <c r="I211" s="651" t="s">
        <v>672</v>
      </c>
      <c r="J211" s="651" t="s">
        <v>676</v>
      </c>
      <c r="K211" s="651" t="s">
        <v>677</v>
      </c>
      <c r="L211" s="651" t="s">
        <v>249</v>
      </c>
      <c r="M211" s="651" t="s">
        <v>248</v>
      </c>
      <c r="N211" s="676">
        <v>97.389778000000007</v>
      </c>
      <c r="O211" s="676">
        <v>25.417733999999999</v>
      </c>
      <c r="P211" s="677">
        <v>0</v>
      </c>
      <c r="Q211" s="842">
        <v>4</v>
      </c>
      <c r="R211" s="98">
        <v>21</v>
      </c>
      <c r="S211" s="679">
        <f>IF(CampList[[#This Row],[HH]]&gt;0,CampList[[#This Row],[Total]]/CampList[[#This Row],[HH]],"NA")</f>
        <v>5.25</v>
      </c>
      <c r="T211" s="653" t="s">
        <v>511</v>
      </c>
      <c r="U211" s="653" t="s">
        <v>1191</v>
      </c>
      <c r="V211" s="653" t="s">
        <v>554</v>
      </c>
      <c r="W211" s="653" t="s">
        <v>803</v>
      </c>
      <c r="X211" s="680">
        <v>40756</v>
      </c>
      <c r="Y211" s="681">
        <v>1</v>
      </c>
      <c r="Z211" s="680" t="s">
        <v>505</v>
      </c>
      <c r="AA211" s="682" t="s">
        <v>842</v>
      </c>
      <c r="AB211" s="682"/>
      <c r="AC211" s="683">
        <v>42780</v>
      </c>
      <c r="AD211" s="684" t="s">
        <v>1579</v>
      </c>
      <c r="AE211" s="685" t="s">
        <v>1093</v>
      </c>
      <c r="AF211" s="476">
        <f>IF(CampList[[#This Row],[Type of Accomodation]]="camp",MAX(0,CampList[[#This Row],[HH]]-SUMIF(Table_Shelter[Pcode],CampList[[#This Row],[CP_Pcode]],Table_Shelter[HH Covered])),0)</f>
        <v>0</v>
      </c>
      <c r="AG211" s="653"/>
      <c r="AH211" s="682">
        <f>MIN(CampList[[#This Row],[Shelter Gap]],CampList[[#This Row],[Land Status]])</f>
        <v>0</v>
      </c>
      <c r="AI211" s="653" t="str">
        <f ca="1">IFERROR(OFFSET(DistanceToCamp[Nearest Town],MATCH(CampList[[#This Row],[CP_Pcode]],DistanceToCamp[CP_Pcode],0)-1,0,1,1),"")</f>
        <v>Myitkyina Town</v>
      </c>
      <c r="AJ211" s="686">
        <f ca="1">IFERROR(OFFSET(DistanceToCamp[distance],MATCH(CampList[[#This Row],[CP_Pcode]],DistanceToCamp[CP_Pcode],0)-1,0,1,1),"")</f>
        <v>3.3637010801853577</v>
      </c>
      <c r="AK211" s="687">
        <f ca="1">IFERROR(INT(CampList[[#This Row],[Distance]]/5)+1,"")</f>
        <v>1</v>
      </c>
      <c r="AL211" s="669"/>
      <c r="AM211" s="856">
        <v>21</v>
      </c>
      <c r="AN211" s="669"/>
      <c r="AO211" s="669"/>
      <c r="AP211" s="669"/>
      <c r="AQ211" s="669"/>
      <c r="AR211" s="669"/>
      <c r="AS211" s="669"/>
      <c r="AT211" s="669"/>
      <c r="AU211" s="669"/>
      <c r="AV211" s="669"/>
    </row>
    <row r="212" spans="1:48" s="444" customFormat="1" ht="15.75" customHeight="1" x14ac:dyDescent="0.25">
      <c r="A212" s="695" t="s">
        <v>500</v>
      </c>
      <c r="B212" s="652" t="s">
        <v>553</v>
      </c>
      <c r="C212" s="652" t="s">
        <v>536</v>
      </c>
      <c r="D212" s="652" t="s">
        <v>230</v>
      </c>
      <c r="E212" s="652" t="s">
        <v>537</v>
      </c>
      <c r="F212" s="652" t="s">
        <v>230</v>
      </c>
      <c r="G212" s="652" t="s">
        <v>538</v>
      </c>
      <c r="H212" s="652" t="s">
        <v>1049</v>
      </c>
      <c r="I212" s="696" t="s">
        <v>1050</v>
      </c>
      <c r="J212" s="652" t="s">
        <v>1051</v>
      </c>
      <c r="K212" s="652" t="s">
        <v>1052</v>
      </c>
      <c r="L212" s="652" t="s">
        <v>1063</v>
      </c>
      <c r="M212" s="652" t="s">
        <v>1064</v>
      </c>
      <c r="N212" s="678">
        <v>97.911647000000002</v>
      </c>
      <c r="O212" s="678">
        <v>24.006789000000001</v>
      </c>
      <c r="P212" s="698">
        <v>814</v>
      </c>
      <c r="Q212" s="476">
        <v>25</v>
      </c>
      <c r="R212" s="708">
        <v>113</v>
      </c>
      <c r="S212" s="679">
        <f>IF(CampList[[#This Row],[HH]]&gt;0,CampList[[#This Row],[Total]]/CampList[[#This Row],[HH]],"NA")</f>
        <v>4.5199999999999996</v>
      </c>
      <c r="T212" s="476" t="s">
        <v>511</v>
      </c>
      <c r="U212" s="653" t="s">
        <v>1191</v>
      </c>
      <c r="V212" s="476" t="s">
        <v>554</v>
      </c>
      <c r="W212" s="476" t="s">
        <v>803</v>
      </c>
      <c r="X212" s="699">
        <v>41734</v>
      </c>
      <c r="Y212" s="698"/>
      <c r="Z212" s="698" t="s">
        <v>1262</v>
      </c>
      <c r="AA212" s="678" t="s">
        <v>842</v>
      </c>
      <c r="AB212" s="678"/>
      <c r="AC212" s="683">
        <v>42780</v>
      </c>
      <c r="AD212" s="700" t="s">
        <v>1538</v>
      </c>
      <c r="AE212" s="685" t="s">
        <v>1093</v>
      </c>
      <c r="AF212" s="701">
        <f>IF(CampList[[#This Row],[Type of Accomodation]]="camp",MAX(0,CampList[[#This Row],[HH]]-SUMIF(Table_Shelter[Pcode],CampList[[#This Row],[CP_Pcode]],Table_Shelter[HH Covered])),0)</f>
        <v>0</v>
      </c>
      <c r="AG212" s="653"/>
      <c r="AH212" s="677">
        <f>MIN(CampList[[#This Row],[Shelter Gap]],CampList[[#This Row],[Land Status]])</f>
        <v>0</v>
      </c>
      <c r="AI212" s="701" t="str">
        <f ca="1">IFERROR(OFFSET(DistanceToCamp[Nearest Town],MATCH(CampList[[#This Row],[CP_Pcode]],DistanceToCamp[CP_Pcode],0)-1,0,1,1),"")</f>
        <v>Muse Town</v>
      </c>
      <c r="AJ212" s="686">
        <f ca="1">IFERROR(OFFSET(DistanceToCamp[distance],MATCH(CampList[[#This Row],[CP_Pcode]],DistanceToCamp[CP_Pcode],0)-1,0,1,1),"")</f>
        <v>2.1362355825722199</v>
      </c>
      <c r="AK212" s="702">
        <f ca="1">IFERROR(INT(CampList[[#This Row],[Distance]]/5)+1,"")</f>
        <v>1</v>
      </c>
      <c r="AL212" s="669"/>
      <c r="AM212" s="856">
        <v>113</v>
      </c>
      <c r="AN212" s="669"/>
      <c r="AO212" s="669"/>
      <c r="AP212" s="669"/>
      <c r="AQ212" s="669"/>
      <c r="AR212" s="669"/>
      <c r="AS212" s="669"/>
      <c r="AT212" s="669"/>
      <c r="AU212" s="669"/>
      <c r="AV212" s="669"/>
    </row>
    <row r="213" spans="1:48" s="444" customFormat="1" ht="15.75" customHeight="1" x14ac:dyDescent="0.25">
      <c r="A213" s="675" t="s">
        <v>500</v>
      </c>
      <c r="B213" s="651" t="s">
        <v>380</v>
      </c>
      <c r="C213" s="651" t="s">
        <v>525</v>
      </c>
      <c r="D213" s="651" t="s">
        <v>237</v>
      </c>
      <c r="E213" s="651" t="s">
        <v>531</v>
      </c>
      <c r="F213" s="651" t="s">
        <v>237</v>
      </c>
      <c r="G213" s="651" t="s">
        <v>535</v>
      </c>
      <c r="H213" s="651" t="s">
        <v>671</v>
      </c>
      <c r="I213" s="651" t="s">
        <v>672</v>
      </c>
      <c r="J213" s="651" t="s">
        <v>676</v>
      </c>
      <c r="K213" s="651" t="s">
        <v>677</v>
      </c>
      <c r="L213" s="651" t="s">
        <v>251</v>
      </c>
      <c r="M213" s="651" t="s">
        <v>250</v>
      </c>
      <c r="N213" s="676">
        <v>97.377662999999998</v>
      </c>
      <c r="O213" s="676">
        <v>25.404752999999999</v>
      </c>
      <c r="P213" s="677">
        <v>0</v>
      </c>
      <c r="Q213" s="476">
        <v>32</v>
      </c>
      <c r="R213" s="476">
        <v>169</v>
      </c>
      <c r="S213" s="679">
        <f>IF(CampList[[#This Row],[HH]]&gt;0,CampList[[#This Row],[Total]]/CampList[[#This Row],[HH]],"NA")</f>
        <v>5.28125</v>
      </c>
      <c r="T213" s="653" t="s">
        <v>511</v>
      </c>
      <c r="U213" s="653" t="s">
        <v>1191</v>
      </c>
      <c r="V213" s="653" t="s">
        <v>554</v>
      </c>
      <c r="W213" s="653" t="s">
        <v>803</v>
      </c>
      <c r="X213" s="680">
        <v>40725</v>
      </c>
      <c r="Y213" s="681">
        <v>1</v>
      </c>
      <c r="Z213" s="680" t="s">
        <v>460</v>
      </c>
      <c r="AA213" s="682" t="s">
        <v>842</v>
      </c>
      <c r="AB213" s="682"/>
      <c r="AC213" s="683">
        <v>42809</v>
      </c>
      <c r="AD213" s="684" t="s">
        <v>1639</v>
      </c>
      <c r="AE213" s="685" t="s">
        <v>1093</v>
      </c>
      <c r="AF213" s="476">
        <f>IF(CampList[[#This Row],[Type of Accomodation]]="camp",MAX(0,CampList[[#This Row],[HH]]-SUMIF(Table_Shelter[Pcode],CampList[[#This Row],[CP_Pcode]],Table_Shelter[HH Covered])),0)</f>
        <v>12</v>
      </c>
      <c r="AG213" s="653"/>
      <c r="AH213" s="682">
        <f>MIN(CampList[[#This Row],[Shelter Gap]],CampList[[#This Row],[Land Status]])</f>
        <v>12</v>
      </c>
      <c r="AI213" s="653" t="str">
        <f ca="1">IFERROR(OFFSET(DistanceToCamp[Nearest Town],MATCH(CampList[[#This Row],[CP_Pcode]],DistanceToCamp[CP_Pcode],0)-1,0,1,1),"")</f>
        <v>Myitkyina Town</v>
      </c>
      <c r="AJ213" s="686">
        <f ca="1">IFERROR(OFFSET(DistanceToCamp[distance],MATCH(CampList[[#This Row],[CP_Pcode]],DistanceToCamp[CP_Pcode],0)-1,0,1,1),"")</f>
        <v>2.3045478259125423</v>
      </c>
      <c r="AK213" s="687">
        <f ca="1">IFERROR(INT(CampList[[#This Row],[Distance]]/5)+1,"")</f>
        <v>1</v>
      </c>
      <c r="AL213" s="669"/>
      <c r="AM213" s="856">
        <v>169</v>
      </c>
      <c r="AN213" s="669"/>
      <c r="AO213" s="669"/>
      <c r="AP213" s="669"/>
      <c r="AQ213" s="669"/>
      <c r="AR213" s="669"/>
      <c r="AS213" s="669"/>
      <c r="AT213" s="669"/>
      <c r="AU213" s="669"/>
      <c r="AV213" s="669"/>
    </row>
    <row r="214" spans="1:48" s="481" customFormat="1" ht="15.75" hidden="1" customHeight="1" x14ac:dyDescent="0.25">
      <c r="A214" s="725" t="s">
        <v>843</v>
      </c>
      <c r="B214" s="651" t="s">
        <v>380</v>
      </c>
      <c r="C214" s="651" t="s">
        <v>525</v>
      </c>
      <c r="D214" s="651" t="s">
        <v>5</v>
      </c>
      <c r="E214" s="651" t="s">
        <v>529</v>
      </c>
      <c r="F214" s="651" t="s">
        <v>151</v>
      </c>
      <c r="G214" s="651" t="s">
        <v>539</v>
      </c>
      <c r="H214" s="651" t="s">
        <v>626</v>
      </c>
      <c r="I214" s="651" t="s">
        <v>627</v>
      </c>
      <c r="J214" s="651" t="s">
        <v>626</v>
      </c>
      <c r="K214" s="651">
        <v>167495</v>
      </c>
      <c r="L214" s="651" t="s">
        <v>296</v>
      </c>
      <c r="M214" s="651" t="s">
        <v>1408</v>
      </c>
      <c r="N214" s="676">
        <v>97.174999999999997</v>
      </c>
      <c r="O214" s="676">
        <v>23.867000000000001</v>
      </c>
      <c r="P214" s="698"/>
      <c r="Q214" s="840">
        <v>0</v>
      </c>
      <c r="R214" s="841">
        <v>0</v>
      </c>
      <c r="S214" s="679" t="str">
        <f>IF(CampList[[#This Row],[HH]]&gt;0,CampList[[#This Row],[Total]]/CampList[[#This Row],[HH]],"NA")</f>
        <v>NA</v>
      </c>
      <c r="T214" s="653" t="s">
        <v>513</v>
      </c>
      <c r="U214" s="688" t="s">
        <v>1191</v>
      </c>
      <c r="V214" s="653" t="s">
        <v>554</v>
      </c>
      <c r="W214" s="688"/>
      <c r="X214" s="706"/>
      <c r="Y214" s="697"/>
      <c r="Z214" s="707"/>
      <c r="AA214" s="693"/>
      <c r="AB214" s="682"/>
      <c r="AC214" s="683">
        <v>41701</v>
      </c>
      <c r="AD214" s="675" t="s">
        <v>1013</v>
      </c>
      <c r="AE214" s="708" t="s">
        <v>1007</v>
      </c>
      <c r="AF214" s="476">
        <f>IF(CampList[[#This Row],[Type of Accomodation]]="camp",MAX(0,CampList[[#This Row],[HH]]-SUMIF(Table_Shelter[Pcode],CampList[[#This Row],[CP_Pcode]],Table_Shelter[HH Covered])),0)</f>
        <v>0</v>
      </c>
      <c r="AG214" s="653"/>
      <c r="AH214" s="682">
        <f>MIN(CampList[[#This Row],[Shelter Gap]],CampList[[#This Row],[Land Status]])</f>
        <v>0</v>
      </c>
      <c r="AI214" s="653" t="str">
        <f ca="1">IFERROR(OFFSET(DistanceToCamp[Nearest Town],MATCH(CampList[[#This Row],[CP_Pcode]],DistanceToCamp[CP_Pcode],0)-1,0,1,1),"")</f>
        <v/>
      </c>
      <c r="AJ214" s="686" t="str">
        <f ca="1">IFERROR(OFFSET(DistanceToCamp[distance],MATCH(CampList[[#This Row],[CP_Pcode]],DistanceToCamp[CP_Pcode],0)-1,0,1,1),"")</f>
        <v/>
      </c>
      <c r="AK214" s="687" t="str">
        <f ca="1">IFERROR(INT(CampList[[#This Row],[Distance]]/5)+1,"")</f>
        <v/>
      </c>
      <c r="AL214" s="855"/>
      <c r="AM214" s="856">
        <v>0</v>
      </c>
      <c r="AN214" s="855"/>
      <c r="AO214" s="855"/>
      <c r="AP214" s="855"/>
      <c r="AQ214" s="855"/>
      <c r="AR214" s="855"/>
      <c r="AS214" s="855"/>
      <c r="AT214" s="855"/>
      <c r="AU214" s="855"/>
      <c r="AV214" s="855"/>
    </row>
    <row r="215" spans="1:48" s="481" customFormat="1" ht="15.75" customHeight="1" x14ac:dyDescent="0.25">
      <c r="A215" s="675" t="s">
        <v>500</v>
      </c>
      <c r="B215" s="651" t="s">
        <v>380</v>
      </c>
      <c r="C215" s="651" t="s">
        <v>525</v>
      </c>
      <c r="D215" s="651" t="s">
        <v>237</v>
      </c>
      <c r="E215" s="651" t="s">
        <v>531</v>
      </c>
      <c r="F215" s="651" t="s">
        <v>237</v>
      </c>
      <c r="G215" s="651" t="s">
        <v>535</v>
      </c>
      <c r="H215" s="651" t="s">
        <v>671</v>
      </c>
      <c r="I215" s="651" t="s">
        <v>672</v>
      </c>
      <c r="J215" s="651" t="s">
        <v>676</v>
      </c>
      <c r="K215" s="651" t="s">
        <v>677</v>
      </c>
      <c r="L215" s="651" t="s">
        <v>275</v>
      </c>
      <c r="M215" s="651" t="s">
        <v>274</v>
      </c>
      <c r="N215" s="676">
        <v>97.382192000000003</v>
      </c>
      <c r="O215" s="676">
        <v>25.404015000000001</v>
      </c>
      <c r="P215" s="677">
        <v>0</v>
      </c>
      <c r="Q215" s="476">
        <v>46</v>
      </c>
      <c r="R215" s="476">
        <v>228</v>
      </c>
      <c r="S215" s="679">
        <f>IF(CampList[[#This Row],[HH]]&gt;0,CampList[[#This Row],[Total]]/CampList[[#This Row],[HH]],"NA")</f>
        <v>4.9565217391304346</v>
      </c>
      <c r="T215" s="653" t="s">
        <v>511</v>
      </c>
      <c r="U215" s="653" t="s">
        <v>1191</v>
      </c>
      <c r="V215" s="653" t="s">
        <v>554</v>
      </c>
      <c r="W215" s="653" t="s">
        <v>803</v>
      </c>
      <c r="X215" s="680">
        <v>40817</v>
      </c>
      <c r="Y215" s="681">
        <v>1</v>
      </c>
      <c r="Z215" s="680" t="s">
        <v>460</v>
      </c>
      <c r="AA215" s="682" t="s">
        <v>842</v>
      </c>
      <c r="AB215" s="682"/>
      <c r="AC215" s="683">
        <v>42809</v>
      </c>
      <c r="AD215" s="684" t="s">
        <v>1640</v>
      </c>
      <c r="AE215" s="685" t="s">
        <v>1093</v>
      </c>
      <c r="AF215" s="476">
        <f>IF(CampList[[#This Row],[Type of Accomodation]]="camp",MAX(0,CampList[[#This Row],[HH]]-SUMIF(Table_Shelter[Pcode],CampList[[#This Row],[CP_Pcode]],Table_Shelter[HH Covered])),0)</f>
        <v>14</v>
      </c>
      <c r="AG215" s="653"/>
      <c r="AH215" s="682">
        <f>MIN(CampList[[#This Row],[Shelter Gap]],CampList[[#This Row],[Land Status]])</f>
        <v>14</v>
      </c>
      <c r="AI215" s="653" t="str">
        <f ca="1">IFERROR(OFFSET(DistanceToCamp[Nearest Town],MATCH(CampList[[#This Row],[CP_Pcode]],DistanceToCamp[CP_Pcode],0)-1,0,1,1),"")</f>
        <v>Myitkyina Town</v>
      </c>
      <c r="AJ215" s="686">
        <f ca="1">IFERROR(OFFSET(DistanceToCamp[distance],MATCH(CampList[[#This Row],[CP_Pcode]],DistanceToCamp[CP_Pcode],0)-1,0,1,1),"")</f>
        <v>2.0123527499589278</v>
      </c>
      <c r="AK215" s="687">
        <f ca="1">IFERROR(INT(CampList[[#This Row],[Distance]]/5)+1,"")</f>
        <v>1</v>
      </c>
      <c r="AL215" s="855"/>
      <c r="AM215" s="856">
        <v>228</v>
      </c>
      <c r="AN215" s="855"/>
      <c r="AO215" s="855"/>
      <c r="AP215" s="855"/>
      <c r="AQ215" s="855"/>
      <c r="AR215" s="855"/>
      <c r="AS215" s="855"/>
      <c r="AT215" s="855"/>
      <c r="AU215" s="855"/>
      <c r="AV215" s="855"/>
    </row>
    <row r="216" spans="1:48" s="481" customFormat="1" ht="15.75" customHeight="1" x14ac:dyDescent="0.25">
      <c r="A216" s="675" t="s">
        <v>500</v>
      </c>
      <c r="B216" s="651" t="s">
        <v>380</v>
      </c>
      <c r="C216" s="651" t="s">
        <v>525</v>
      </c>
      <c r="D216" s="651" t="s">
        <v>237</v>
      </c>
      <c r="E216" s="651" t="s">
        <v>531</v>
      </c>
      <c r="F216" s="651" t="s">
        <v>237</v>
      </c>
      <c r="G216" s="651" t="s">
        <v>535</v>
      </c>
      <c r="H216" s="651" t="s">
        <v>671</v>
      </c>
      <c r="I216" s="651" t="s">
        <v>672</v>
      </c>
      <c r="J216" s="651" t="s">
        <v>683</v>
      </c>
      <c r="K216" s="651" t="s">
        <v>684</v>
      </c>
      <c r="L216" s="651" t="s">
        <v>283</v>
      </c>
      <c r="M216" s="651" t="s">
        <v>282</v>
      </c>
      <c r="N216" s="676">
        <v>97.403878500000005</v>
      </c>
      <c r="O216" s="676">
        <v>25.377038166666701</v>
      </c>
      <c r="P216" s="677">
        <v>0</v>
      </c>
      <c r="Q216" s="842">
        <v>7</v>
      </c>
      <c r="R216" s="98">
        <v>37</v>
      </c>
      <c r="S216" s="679">
        <f>IF(CampList[[#This Row],[HH]]&gt;0,CampList[[#This Row],[Total]]/CampList[[#This Row],[HH]],"NA")</f>
        <v>5.2857142857142856</v>
      </c>
      <c r="T216" s="653" t="s">
        <v>511</v>
      </c>
      <c r="U216" s="653" t="s">
        <v>1191</v>
      </c>
      <c r="V216" s="653" t="s">
        <v>554</v>
      </c>
      <c r="W216" s="653" t="s">
        <v>803</v>
      </c>
      <c r="X216" s="680">
        <v>41000</v>
      </c>
      <c r="Y216" s="681">
        <v>1</v>
      </c>
      <c r="Z216" s="680" t="s">
        <v>505</v>
      </c>
      <c r="AA216" s="682" t="s">
        <v>842</v>
      </c>
      <c r="AB216" s="682"/>
      <c r="AC216" s="683">
        <v>42780</v>
      </c>
      <c r="AD216" s="684" t="s">
        <v>1580</v>
      </c>
      <c r="AE216" s="685" t="s">
        <v>1093</v>
      </c>
      <c r="AF216" s="476">
        <f>IF(CampList[[#This Row],[Type of Accomodation]]="camp",MAX(0,CampList[[#This Row],[HH]]-SUMIF(Table_Shelter[Pcode],CampList[[#This Row],[CP_Pcode]],Table_Shelter[HH Covered])),0)</f>
        <v>0</v>
      </c>
      <c r="AG216" s="653"/>
      <c r="AH216" s="682">
        <f>MIN(CampList[[#This Row],[Shelter Gap]],CampList[[#This Row],[Land Status]])</f>
        <v>0</v>
      </c>
      <c r="AI216" s="653" t="str">
        <f ca="1">IFERROR(OFFSET(DistanceToCamp[Nearest Town],MATCH(CampList[[#This Row],[CP_Pcode]],DistanceToCamp[CP_Pcode],0)-1,0,1,1),"")</f>
        <v>Myitkyina Town</v>
      </c>
      <c r="AJ216" s="686">
        <f ca="1">IFERROR(OFFSET(DistanceToCamp[distance],MATCH(CampList[[#This Row],[CP_Pcode]],DistanceToCamp[CP_Pcode],0)-1,0,1,1),"")</f>
        <v>1.7877148351104664</v>
      </c>
      <c r="AK216" s="687">
        <f ca="1">IFERROR(INT(CampList[[#This Row],[Distance]]/5)+1,"")</f>
        <v>1</v>
      </c>
      <c r="AL216" s="855"/>
      <c r="AM216" s="856">
        <v>37</v>
      </c>
      <c r="AN216" s="855"/>
      <c r="AO216" s="855"/>
      <c r="AP216" s="855"/>
      <c r="AQ216" s="855"/>
      <c r="AR216" s="855"/>
      <c r="AS216" s="855"/>
      <c r="AT216" s="855"/>
      <c r="AU216" s="855"/>
      <c r="AV216" s="855"/>
    </row>
    <row r="217" spans="1:48" s="481" customFormat="1" ht="15.75" customHeight="1" x14ac:dyDescent="0.25">
      <c r="A217" s="695" t="s">
        <v>500</v>
      </c>
      <c r="B217" s="652" t="s">
        <v>553</v>
      </c>
      <c r="C217" s="652" t="s">
        <v>536</v>
      </c>
      <c r="D217" s="652" t="s">
        <v>230</v>
      </c>
      <c r="E217" s="652" t="s">
        <v>537</v>
      </c>
      <c r="F217" s="652" t="s">
        <v>146</v>
      </c>
      <c r="G217" s="652" t="s">
        <v>544</v>
      </c>
      <c r="H217" s="652" t="s">
        <v>785</v>
      </c>
      <c r="I217" s="696" t="s">
        <v>786</v>
      </c>
      <c r="J217" s="652" t="s">
        <v>787</v>
      </c>
      <c r="K217" s="652">
        <v>219842</v>
      </c>
      <c r="L217" s="652" t="s">
        <v>1102</v>
      </c>
      <c r="M217" s="652" t="s">
        <v>1101</v>
      </c>
      <c r="N217" s="678">
        <v>98.248999999999995</v>
      </c>
      <c r="O217" s="678">
        <v>23.463000000000001</v>
      </c>
      <c r="P217" s="698"/>
      <c r="Q217" s="476">
        <v>22</v>
      </c>
      <c r="R217" s="708">
        <v>105</v>
      </c>
      <c r="S217" s="679">
        <f>IF(CampList[[#This Row],[HH]]&gt;0,CampList[[#This Row],[Total]]/CampList[[#This Row],[HH]],"NA")</f>
        <v>4.7727272727272725</v>
      </c>
      <c r="T217" s="476" t="s">
        <v>511</v>
      </c>
      <c r="U217" s="653" t="s">
        <v>1191</v>
      </c>
      <c r="V217" s="476" t="s">
        <v>554</v>
      </c>
      <c r="W217" s="476" t="s">
        <v>856</v>
      </c>
      <c r="X217" s="699">
        <v>40787</v>
      </c>
      <c r="Y217" s="698"/>
      <c r="Z217" s="698" t="s">
        <v>1262</v>
      </c>
      <c r="AA217" s="678" t="s">
        <v>842</v>
      </c>
      <c r="AB217" s="678"/>
      <c r="AC217" s="683">
        <v>42780</v>
      </c>
      <c r="AD217" s="700" t="s">
        <v>1539</v>
      </c>
      <c r="AE217" s="685"/>
      <c r="AF217" s="701">
        <f>IF(CampList[[#This Row],[Type of Accomodation]]="camp",MAX(0,CampList[[#This Row],[HH]]-SUMIF(Table_Shelter[Pcode],CampList[[#This Row],[CP_Pcode]],Table_Shelter[HH Covered])),0)</f>
        <v>22</v>
      </c>
      <c r="AG217" s="653"/>
      <c r="AH217" s="677">
        <f>MIN(CampList[[#This Row],[Shelter Gap]],CampList[[#This Row],[Land Status]])</f>
        <v>22</v>
      </c>
      <c r="AI217" s="653"/>
      <c r="AJ217" s="686" t="str">
        <f ca="1">IFERROR(OFFSET(DistanceToCamp[distance],MATCH(CampList[[#This Row],[CP_Pcode]],DistanceToCamp[CP_Pcode],0)-1,0,1,1),"")</f>
        <v/>
      </c>
      <c r="AK217" s="702" t="str">
        <f ca="1">IFERROR(INT(CampList[[#This Row],[Distance]]/5)+1,"")</f>
        <v/>
      </c>
      <c r="AL217" s="855"/>
      <c r="AM217" s="856">
        <v>105</v>
      </c>
      <c r="AN217" s="855"/>
      <c r="AO217" s="855"/>
      <c r="AP217" s="855"/>
      <c r="AQ217" s="855"/>
      <c r="AR217" s="855"/>
      <c r="AS217" s="855"/>
      <c r="AT217" s="855"/>
      <c r="AU217" s="855"/>
      <c r="AV217" s="855"/>
    </row>
    <row r="218" spans="1:48" s="481" customFormat="1" ht="15.75" customHeight="1" x14ac:dyDescent="0.25">
      <c r="A218" s="675" t="s">
        <v>500</v>
      </c>
      <c r="B218" s="651" t="s">
        <v>553</v>
      </c>
      <c r="C218" s="651" t="s">
        <v>536</v>
      </c>
      <c r="D218" s="651" t="s">
        <v>777</v>
      </c>
      <c r="E218" s="651" t="s">
        <v>778</v>
      </c>
      <c r="F218" s="651" t="s">
        <v>779</v>
      </c>
      <c r="G218" s="651" t="s">
        <v>780</v>
      </c>
      <c r="H218" s="651" t="s">
        <v>1275</v>
      </c>
      <c r="I218" s="651" t="s">
        <v>1276</v>
      </c>
      <c r="J218" s="651" t="s">
        <v>1275</v>
      </c>
      <c r="K218" s="651">
        <v>206352</v>
      </c>
      <c r="L218" s="651" t="s">
        <v>1275</v>
      </c>
      <c r="M218" s="651" t="s">
        <v>1258</v>
      </c>
      <c r="N218" s="721">
        <v>98.218626999999998</v>
      </c>
      <c r="O218" s="721">
        <v>23.354268999999999</v>
      </c>
      <c r="P218" s="698"/>
      <c r="Q218" s="701">
        <v>30</v>
      </c>
      <c r="R218" s="476">
        <v>212</v>
      </c>
      <c r="S218" s="679">
        <f>IF(CampList[[#This Row],[HH]]&gt;0,CampList[[#This Row],[Total]]/CampList[[#This Row],[HH]],"NA")</f>
        <v>7.0666666666666664</v>
      </c>
      <c r="T218" s="653" t="s">
        <v>511</v>
      </c>
      <c r="U218" s="653" t="s">
        <v>1191</v>
      </c>
      <c r="V218" s="653" t="s">
        <v>554</v>
      </c>
      <c r="W218" s="653" t="s">
        <v>856</v>
      </c>
      <c r="X218" s="699">
        <v>42036</v>
      </c>
      <c r="Y218" s="698"/>
      <c r="Z218" s="682" t="s">
        <v>460</v>
      </c>
      <c r="AA218" s="682" t="s">
        <v>842</v>
      </c>
      <c r="AB218" s="682"/>
      <c r="AC218" s="683">
        <v>42809</v>
      </c>
      <c r="AD218" s="684" t="s">
        <v>1621</v>
      </c>
      <c r="AE218" s="708"/>
      <c r="AF218" s="476">
        <f>IF(CampList[[#This Row],[Type of Accomodation]]="camp",MAX(0,CampList[[#This Row],[HH]]-SUMIF(Table_Shelter[Pcode],CampList[[#This Row],[CP_Pcode]],Table_Shelter[HH Covered])),0)</f>
        <v>0</v>
      </c>
      <c r="AG218" s="653"/>
      <c r="AH218" s="682">
        <f>MIN(CampList[[#This Row],[Shelter Gap]],CampList[[#This Row],[Land Status]])</f>
        <v>0</v>
      </c>
      <c r="AI218" s="653"/>
      <c r="AJ218" s="686" t="str">
        <f ca="1">IFERROR(OFFSET(DistanceToCamp[distance],MATCH(CampList[[#This Row],[CP_Pcode]],DistanceToCamp[CP_Pcode],0)-1,0,1,1),"")</f>
        <v/>
      </c>
      <c r="AK218" s="687" t="str">
        <f ca="1">IFERROR(INT(CampList[[#This Row],[Distance]]/5)+1,"")</f>
        <v/>
      </c>
      <c r="AL218" s="855"/>
      <c r="AM218" s="856">
        <v>212</v>
      </c>
      <c r="AN218" s="855"/>
      <c r="AO218" s="855"/>
      <c r="AP218" s="855"/>
      <c r="AQ218" s="855"/>
      <c r="AR218" s="855"/>
      <c r="AS218" s="855"/>
      <c r="AT218" s="855"/>
      <c r="AU218" s="855"/>
      <c r="AV218" s="855"/>
    </row>
    <row r="219" spans="1:48" s="481" customFormat="1" ht="15.75" customHeight="1" x14ac:dyDescent="0.25">
      <c r="A219" s="675" t="s">
        <v>500</v>
      </c>
      <c r="B219" s="651" t="s">
        <v>553</v>
      </c>
      <c r="C219" s="651" t="s">
        <v>536</v>
      </c>
      <c r="D219" s="651" t="s">
        <v>230</v>
      </c>
      <c r="E219" s="652" t="s">
        <v>537</v>
      </c>
      <c r="F219" s="652" t="s">
        <v>146</v>
      </c>
      <c r="G219" s="652" t="s">
        <v>544</v>
      </c>
      <c r="H219" s="727" t="s">
        <v>766</v>
      </c>
      <c r="I219" s="696" t="s">
        <v>767</v>
      </c>
      <c r="J219" s="651"/>
      <c r="K219" s="651"/>
      <c r="L219" s="727" t="s">
        <v>1315</v>
      </c>
      <c r="M219" s="651" t="s">
        <v>1316</v>
      </c>
      <c r="N219" s="721">
        <v>97.868876999999998</v>
      </c>
      <c r="O219" s="721">
        <v>23.447111</v>
      </c>
      <c r="P219" s="698"/>
      <c r="Q219" s="701">
        <v>105</v>
      </c>
      <c r="R219" s="708">
        <v>568</v>
      </c>
      <c r="S219" s="679">
        <f>IF(CampList[[#This Row],[HH]]&gt;0,CampList[[#This Row],[Total]]/CampList[[#This Row],[HH]],"NA")</f>
        <v>5.4095238095238098</v>
      </c>
      <c r="T219" s="653" t="s">
        <v>511</v>
      </c>
      <c r="U219" s="653" t="s">
        <v>1191</v>
      </c>
      <c r="V219" s="653" t="s">
        <v>554</v>
      </c>
      <c r="W219" s="653" t="s">
        <v>856</v>
      </c>
      <c r="X219" s="680">
        <v>42036</v>
      </c>
      <c r="Y219" s="681"/>
      <c r="Z219" s="680"/>
      <c r="AA219" s="682" t="s">
        <v>842</v>
      </c>
      <c r="AB219" s="682"/>
      <c r="AC219" s="683">
        <v>42317</v>
      </c>
      <c r="AD219" s="684" t="s">
        <v>1317</v>
      </c>
      <c r="AE219" s="685"/>
      <c r="AF219" s="701">
        <f>IF(CampList[[#This Row],[Type of Accomodation]]="camp",MAX(0,CampList[[#This Row],[HH]]-SUMIF(Table_Shelter[Pcode],CampList[[#This Row],[CP_Pcode]],Table_Shelter[HH Covered])),0)</f>
        <v>105</v>
      </c>
      <c r="AG219" s="653"/>
      <c r="AH219" s="677">
        <f>MIN(CampList[[#This Row],[Shelter Gap]],CampList[[#This Row],[Land Status]])</f>
        <v>105</v>
      </c>
      <c r="AI219" s="653"/>
      <c r="AJ219" s="686" t="str">
        <f ca="1">IFERROR(OFFSET(DistanceToCamp[distance],MATCH(CampList[[#This Row],[CP_Pcode]],DistanceToCamp[CP_Pcode],0)-1,0,1,1),"")</f>
        <v/>
      </c>
      <c r="AK219" s="702" t="str">
        <f ca="1">IFERROR(INT(CampList[[#This Row],[Distance]]/5)+1,"")</f>
        <v/>
      </c>
      <c r="AL219" s="855"/>
      <c r="AM219" s="856">
        <v>568</v>
      </c>
      <c r="AN219" s="855"/>
      <c r="AO219" s="855"/>
      <c r="AP219" s="855"/>
      <c r="AQ219" s="855"/>
      <c r="AR219" s="855"/>
      <c r="AS219" s="855"/>
      <c r="AT219" s="855"/>
      <c r="AU219" s="855"/>
      <c r="AV219" s="855"/>
    </row>
    <row r="220" spans="1:48" s="481" customFormat="1" ht="15.75" customHeight="1" x14ac:dyDescent="0.25">
      <c r="A220" s="675" t="s">
        <v>500</v>
      </c>
      <c r="B220" s="651" t="s">
        <v>553</v>
      </c>
      <c r="C220" s="651" t="s">
        <v>536</v>
      </c>
      <c r="D220" s="651" t="s">
        <v>230</v>
      </c>
      <c r="E220" s="651" t="s">
        <v>537</v>
      </c>
      <c r="F220" s="651" t="s">
        <v>146</v>
      </c>
      <c r="G220" s="651" t="s">
        <v>544</v>
      </c>
      <c r="H220" s="705" t="s">
        <v>722</v>
      </c>
      <c r="I220" s="651" t="s">
        <v>1254</v>
      </c>
      <c r="J220" s="705" t="s">
        <v>722</v>
      </c>
      <c r="K220" s="726">
        <v>208747</v>
      </c>
      <c r="L220" s="652" t="s">
        <v>1403</v>
      </c>
      <c r="M220" s="652" t="s">
        <v>1395</v>
      </c>
      <c r="N220" s="678">
        <v>97.796999999999997</v>
      </c>
      <c r="O220" s="678">
        <v>23.591999999999999</v>
      </c>
      <c r="P220" s="677"/>
      <c r="Q220" s="476">
        <v>146</v>
      </c>
      <c r="R220" s="708">
        <v>677</v>
      </c>
      <c r="S220" s="679">
        <f>IF(CampList[[#This Row],[HH]]&gt;0,CampList[[#This Row],[Total]]/CampList[[#This Row],[HH]],"NA")</f>
        <v>4.6369863013698627</v>
      </c>
      <c r="T220" s="476" t="s">
        <v>511</v>
      </c>
      <c r="U220" s="653" t="s">
        <v>1191</v>
      </c>
      <c r="V220" s="476" t="s">
        <v>554</v>
      </c>
      <c r="W220" s="476" t="s">
        <v>856</v>
      </c>
      <c r="X220" s="699">
        <v>42435</v>
      </c>
      <c r="Y220" s="698"/>
      <c r="Z220" s="698" t="s">
        <v>460</v>
      </c>
      <c r="AA220" s="678" t="s">
        <v>842</v>
      </c>
      <c r="AB220" s="678"/>
      <c r="AC220" s="683">
        <v>42809</v>
      </c>
      <c r="AD220" s="700" t="s">
        <v>1607</v>
      </c>
      <c r="AE220" s="685"/>
      <c r="AF220" s="701">
        <f>IF(CampList[[#This Row],[Type of Accomodation]]="camp",MAX(0,CampList[[#This Row],[HH]]-SUMIF(Table_Shelter[Pcode],CampList[[#This Row],[CP_Pcode]],Table_Shelter[HH Covered])),0)</f>
        <v>146</v>
      </c>
      <c r="AG220" s="476"/>
      <c r="AH220" s="677">
        <f>MIN(CampList[[#This Row],[Shelter Gap]],CampList[[#This Row],[Land Status]])</f>
        <v>146</v>
      </c>
      <c r="AI220" s="653"/>
      <c r="AJ220" s="686" t="str">
        <f ca="1">IFERROR(OFFSET(DistanceToCamp[distance],MATCH(CampList[[#This Row],[CP_Pcode]],DistanceToCamp[CP_Pcode],0)-1,0,1,1),"")</f>
        <v/>
      </c>
      <c r="AK220" s="702" t="str">
        <f ca="1">IFERROR(INT(CampList[[#This Row],[Distance]]/5)+1,"")</f>
        <v/>
      </c>
      <c r="AL220" s="855"/>
      <c r="AM220" s="856">
        <v>677</v>
      </c>
      <c r="AN220" s="855"/>
      <c r="AO220" s="855"/>
      <c r="AP220" s="855"/>
      <c r="AQ220" s="855"/>
      <c r="AR220" s="855"/>
      <c r="AS220" s="855"/>
      <c r="AT220" s="855"/>
      <c r="AU220" s="855"/>
      <c r="AV220" s="855"/>
    </row>
    <row r="221" spans="1:48" s="481" customFormat="1" ht="15.75" customHeight="1" x14ac:dyDescent="0.25">
      <c r="A221" s="695" t="s">
        <v>500</v>
      </c>
      <c r="B221" s="651" t="s">
        <v>553</v>
      </c>
      <c r="C221" s="651" t="s">
        <v>536</v>
      </c>
      <c r="D221" s="651" t="s">
        <v>541</v>
      </c>
      <c r="E221" s="651" t="s">
        <v>542</v>
      </c>
      <c r="F221" s="651" t="s">
        <v>298</v>
      </c>
      <c r="G221" s="651" t="s">
        <v>550</v>
      </c>
      <c r="H221" s="651" t="s">
        <v>1059</v>
      </c>
      <c r="I221" s="696" t="s">
        <v>1414</v>
      </c>
      <c r="J221" s="651" t="s">
        <v>1415</v>
      </c>
      <c r="K221" s="696">
        <v>210455</v>
      </c>
      <c r="L221" s="651" t="s">
        <v>1413</v>
      </c>
      <c r="M221" s="652" t="s">
        <v>1396</v>
      </c>
      <c r="N221" s="676">
        <v>97.358999999999995</v>
      </c>
      <c r="O221" s="676">
        <v>22.765999999999998</v>
      </c>
      <c r="P221" s="698"/>
      <c r="Q221" s="840">
        <v>19</v>
      </c>
      <c r="R221" s="841">
        <v>82</v>
      </c>
      <c r="S221" s="679">
        <f>IF(CampList[[#This Row],[HH]]&gt;0,CampList[[#This Row],[Total]]/CampList[[#This Row],[HH]],"NA")</f>
        <v>4.3157894736842106</v>
      </c>
      <c r="T221" s="476" t="s">
        <v>511</v>
      </c>
      <c r="U221" s="653" t="s">
        <v>1191</v>
      </c>
      <c r="V221" s="476" t="s">
        <v>554</v>
      </c>
      <c r="W221" s="653" t="s">
        <v>856</v>
      </c>
      <c r="X221" s="699">
        <v>42370</v>
      </c>
      <c r="Y221" s="698"/>
      <c r="Z221" s="682"/>
      <c r="AA221" s="678" t="s">
        <v>842</v>
      </c>
      <c r="AB221" s="682"/>
      <c r="AC221" s="683">
        <v>42576</v>
      </c>
      <c r="AD221" s="675" t="s">
        <v>1407</v>
      </c>
      <c r="AE221" s="685"/>
      <c r="AF221" s="701">
        <f>IF(CampList[[#This Row],[Type of Accomodation]]="camp",MAX(0,CampList[[#This Row],[HH]]-SUMIF(Table_Shelter[Pcode],CampList[[#This Row],[CP_Pcode]],Table_Shelter[HH Covered])),0)</f>
        <v>19</v>
      </c>
      <c r="AG221" s="653"/>
      <c r="AH221" s="677">
        <f>MIN(CampList[[#This Row],[Shelter Gap]],CampList[[#This Row],[Land Status]])</f>
        <v>19</v>
      </c>
      <c r="AI221" s="653" t="str">
        <f ca="1">IFERROR(OFFSET(DistanceToCamp[Nearest Town],MATCH(CampList[[#This Row],[CP_Pcode]],DistanceToCamp[CP_Pcode],0)-1,0,1,1),"")</f>
        <v/>
      </c>
      <c r="AJ221" s="686" t="str">
        <f ca="1">IFERROR(OFFSET(DistanceToCamp[distance],MATCH(CampList[[#This Row],[CP_Pcode]],DistanceToCamp[CP_Pcode],0)-1,0,1,1),"")</f>
        <v/>
      </c>
      <c r="AK221" s="702" t="str">
        <f ca="1">IFERROR(INT(CampList[[#This Row],[Distance]]/5)+1,"")</f>
        <v/>
      </c>
      <c r="AL221" s="855"/>
      <c r="AM221" s="856">
        <v>82</v>
      </c>
      <c r="AN221" s="855"/>
      <c r="AO221" s="855"/>
      <c r="AP221" s="855"/>
      <c r="AQ221" s="855"/>
      <c r="AR221" s="855"/>
      <c r="AS221" s="855"/>
      <c r="AT221" s="855"/>
      <c r="AU221" s="855"/>
      <c r="AV221" s="855"/>
    </row>
    <row r="222" spans="1:48" s="445" customFormat="1" ht="15.75" customHeight="1" x14ac:dyDescent="0.25">
      <c r="A222" s="695" t="s">
        <v>500</v>
      </c>
      <c r="B222" s="651" t="s">
        <v>553</v>
      </c>
      <c r="C222" s="651" t="s">
        <v>536</v>
      </c>
      <c r="D222" s="651" t="s">
        <v>541</v>
      </c>
      <c r="E222" s="651" t="s">
        <v>542</v>
      </c>
      <c r="F222" s="651" t="s">
        <v>166</v>
      </c>
      <c r="G222" s="651" t="s">
        <v>543</v>
      </c>
      <c r="H222" s="651"/>
      <c r="I222" s="696"/>
      <c r="J222" s="651"/>
      <c r="K222" s="651"/>
      <c r="L222" s="651" t="s">
        <v>1416</v>
      </c>
      <c r="M222" s="652" t="s">
        <v>1397</v>
      </c>
      <c r="N222" s="676"/>
      <c r="O222" s="676"/>
      <c r="P222" s="698"/>
      <c r="Q222" s="840">
        <v>36</v>
      </c>
      <c r="R222" s="841">
        <v>188</v>
      </c>
      <c r="S222" s="679">
        <f>IF(CampList[[#This Row],[HH]]&gt;0,CampList[[#This Row],[Total]]/CampList[[#This Row],[HH]],"NA")</f>
        <v>5.2222222222222223</v>
      </c>
      <c r="T222" s="476" t="s">
        <v>511</v>
      </c>
      <c r="U222" s="653" t="s">
        <v>1191</v>
      </c>
      <c r="V222" s="476" t="s">
        <v>554</v>
      </c>
      <c r="W222" s="653" t="s">
        <v>803</v>
      </c>
      <c r="X222" s="699">
        <v>42370</v>
      </c>
      <c r="Y222" s="698"/>
      <c r="Z222" s="682"/>
      <c r="AA222" s="678" t="s">
        <v>842</v>
      </c>
      <c r="AB222" s="682"/>
      <c r="AC222" s="683">
        <v>42576</v>
      </c>
      <c r="AD222" s="675" t="s">
        <v>1443</v>
      </c>
      <c r="AE222" s="685"/>
      <c r="AF222" s="701">
        <f>IF(CampList[[#This Row],[Type of Accomodation]]="camp",MAX(0,CampList[[#This Row],[HH]]-SUMIF(Table_Shelter[Pcode],CampList[[#This Row],[CP_Pcode]],Table_Shelter[HH Covered])),0)</f>
        <v>36</v>
      </c>
      <c r="AG222" s="653"/>
      <c r="AH222" s="677">
        <f>MIN(CampList[[#This Row],[Shelter Gap]],CampList[[#This Row],[Land Status]])</f>
        <v>36</v>
      </c>
      <c r="AI222" s="653" t="str">
        <f ca="1">IFERROR(OFFSET(DistanceToCamp[Nearest Town],MATCH(CampList[[#This Row],[CP_Pcode]],DistanceToCamp[CP_Pcode],0)-1,0,1,1),"")</f>
        <v/>
      </c>
      <c r="AJ222" s="686" t="str">
        <f ca="1">IFERROR(OFFSET(DistanceToCamp[distance],MATCH(CampList[[#This Row],[CP_Pcode]],DistanceToCamp[CP_Pcode],0)-1,0,1,1),"")</f>
        <v/>
      </c>
      <c r="AK222" s="702" t="str">
        <f ca="1">IFERROR(INT(CampList[[#This Row],[Distance]]/5)+1,"")</f>
        <v/>
      </c>
      <c r="AL222" s="426"/>
      <c r="AM222" s="856">
        <v>188</v>
      </c>
      <c r="AN222" s="426"/>
      <c r="AO222" s="426"/>
      <c r="AP222" s="426"/>
      <c r="AQ222" s="426"/>
      <c r="AR222" s="426"/>
      <c r="AS222" s="426"/>
      <c r="AT222" s="426"/>
      <c r="AU222" s="426"/>
      <c r="AV222" s="426"/>
    </row>
    <row r="223" spans="1:48" s="481" customFormat="1" ht="15.75" customHeight="1" x14ac:dyDescent="0.25">
      <c r="A223" s="695" t="s">
        <v>500</v>
      </c>
      <c r="B223" s="651" t="s">
        <v>553</v>
      </c>
      <c r="C223" s="651" t="s">
        <v>536</v>
      </c>
      <c r="D223" s="651" t="s">
        <v>230</v>
      </c>
      <c r="E223" s="651" t="s">
        <v>537</v>
      </c>
      <c r="F223" s="651" t="s">
        <v>289</v>
      </c>
      <c r="G223" s="651" t="s">
        <v>549</v>
      </c>
      <c r="H223" s="651" t="s">
        <v>1417</v>
      </c>
      <c r="I223" s="696" t="s">
        <v>1418</v>
      </c>
      <c r="J223" s="651" t="s">
        <v>1417</v>
      </c>
      <c r="K223" s="696">
        <v>208469</v>
      </c>
      <c r="L223" s="651" t="s">
        <v>1404</v>
      </c>
      <c r="M223" s="652" t="s">
        <v>1398</v>
      </c>
      <c r="N223" s="676">
        <v>97.504999999999995</v>
      </c>
      <c r="O223" s="676">
        <v>23.611999999999998</v>
      </c>
      <c r="P223" s="698"/>
      <c r="Q223" s="840">
        <v>200</v>
      </c>
      <c r="R223" s="841">
        <v>827</v>
      </c>
      <c r="S223" s="679">
        <f>IF(CampList[[#This Row],[HH]]&gt;0,CampList[[#This Row],[Total]]/CampList[[#This Row],[HH]],"NA")</f>
        <v>4.1349999999999998</v>
      </c>
      <c r="T223" s="476" t="s">
        <v>511</v>
      </c>
      <c r="U223" s="653" t="s">
        <v>1191</v>
      </c>
      <c r="V223" s="476" t="s">
        <v>554</v>
      </c>
      <c r="W223" s="653" t="s">
        <v>856</v>
      </c>
      <c r="X223" s="699">
        <v>42401</v>
      </c>
      <c r="Y223" s="698"/>
      <c r="Z223" s="682"/>
      <c r="AA223" s="678" t="s">
        <v>842</v>
      </c>
      <c r="AB223" s="682"/>
      <c r="AC223" s="683">
        <v>42576</v>
      </c>
      <c r="AD223" s="675" t="s">
        <v>1407</v>
      </c>
      <c r="AE223" s="685"/>
      <c r="AF223" s="701">
        <f>IF(CampList[[#This Row],[Type of Accomodation]]="camp",MAX(0,CampList[[#This Row],[HH]]-SUMIF(Table_Shelter[Pcode],CampList[[#This Row],[CP_Pcode]],Table_Shelter[HH Covered])),0)</f>
        <v>200</v>
      </c>
      <c r="AG223" s="653"/>
      <c r="AH223" s="677">
        <f>MIN(CampList[[#This Row],[Shelter Gap]],CampList[[#This Row],[Land Status]])</f>
        <v>200</v>
      </c>
      <c r="AI223" s="653" t="str">
        <f ca="1">IFERROR(OFFSET(DistanceToCamp[Nearest Town],MATCH(CampList[[#This Row],[CP_Pcode]],DistanceToCamp[CP_Pcode],0)-1,0,1,1),"")</f>
        <v/>
      </c>
      <c r="AJ223" s="686" t="str">
        <f ca="1">IFERROR(OFFSET(DistanceToCamp[distance],MATCH(CampList[[#This Row],[CP_Pcode]],DistanceToCamp[CP_Pcode],0)-1,0,1,1),"")</f>
        <v/>
      </c>
      <c r="AK223" s="702" t="str">
        <f ca="1">IFERROR(INT(CampList[[#This Row],[Distance]]/5)+1,"")</f>
        <v/>
      </c>
      <c r="AL223" s="855"/>
      <c r="AM223" s="856">
        <v>827</v>
      </c>
      <c r="AN223" s="855"/>
      <c r="AO223" s="855"/>
      <c r="AP223" s="855"/>
      <c r="AQ223" s="855"/>
      <c r="AR223" s="855"/>
      <c r="AS223" s="855"/>
      <c r="AT223" s="855"/>
      <c r="AU223" s="855"/>
      <c r="AV223" s="855"/>
    </row>
    <row r="224" spans="1:48" s="481" customFormat="1" ht="15.75" customHeight="1" x14ac:dyDescent="0.25">
      <c r="A224" s="695" t="s">
        <v>500</v>
      </c>
      <c r="B224" s="651" t="s">
        <v>553</v>
      </c>
      <c r="C224" s="651" t="s">
        <v>536</v>
      </c>
      <c r="D224" s="651" t="s">
        <v>230</v>
      </c>
      <c r="E224" s="651" t="s">
        <v>537</v>
      </c>
      <c r="F224" s="651" t="s">
        <v>289</v>
      </c>
      <c r="G224" s="651" t="s">
        <v>549</v>
      </c>
      <c r="H224" s="651" t="s">
        <v>1417</v>
      </c>
      <c r="I224" s="696" t="s">
        <v>1418</v>
      </c>
      <c r="J224" s="651" t="s">
        <v>1417</v>
      </c>
      <c r="K224" s="696">
        <v>208469</v>
      </c>
      <c r="L224" s="651" t="s">
        <v>1405</v>
      </c>
      <c r="M224" s="652" t="s">
        <v>1399</v>
      </c>
      <c r="N224" s="676">
        <v>97.506</v>
      </c>
      <c r="O224" s="676">
        <v>23.611999999999998</v>
      </c>
      <c r="P224" s="698"/>
      <c r="Q224" s="840">
        <v>61</v>
      </c>
      <c r="R224" s="841">
        <v>247</v>
      </c>
      <c r="S224" s="679">
        <f>IF(CampList[[#This Row],[HH]]&gt;0,CampList[[#This Row],[Total]]/CampList[[#This Row],[HH]],"NA")</f>
        <v>4.0491803278688527</v>
      </c>
      <c r="T224" s="476" t="s">
        <v>511</v>
      </c>
      <c r="U224" s="653" t="s">
        <v>1191</v>
      </c>
      <c r="V224" s="476" t="s">
        <v>554</v>
      </c>
      <c r="W224" s="653" t="s">
        <v>856</v>
      </c>
      <c r="X224" s="699">
        <v>42430</v>
      </c>
      <c r="Y224" s="698"/>
      <c r="Z224" s="682"/>
      <c r="AA224" s="678" t="s">
        <v>842</v>
      </c>
      <c r="AB224" s="682"/>
      <c r="AC224" s="683">
        <v>42576</v>
      </c>
      <c r="AD224" s="675" t="s">
        <v>1407</v>
      </c>
      <c r="AE224" s="685"/>
      <c r="AF224" s="701">
        <f>IF(CampList[[#This Row],[Type of Accomodation]]="camp",MAX(0,CampList[[#This Row],[HH]]-SUMIF(Table_Shelter[Pcode],CampList[[#This Row],[CP_Pcode]],Table_Shelter[HH Covered])),0)</f>
        <v>61</v>
      </c>
      <c r="AG224" s="653"/>
      <c r="AH224" s="677">
        <f>MIN(CampList[[#This Row],[Shelter Gap]],CampList[[#This Row],[Land Status]])</f>
        <v>61</v>
      </c>
      <c r="AI224" s="653" t="str">
        <f ca="1">IFERROR(OFFSET(DistanceToCamp[Nearest Town],MATCH(CampList[[#This Row],[CP_Pcode]],DistanceToCamp[CP_Pcode],0)-1,0,1,1),"")</f>
        <v/>
      </c>
      <c r="AJ224" s="686" t="str">
        <f ca="1">IFERROR(OFFSET(DistanceToCamp[distance],MATCH(CampList[[#This Row],[CP_Pcode]],DistanceToCamp[CP_Pcode],0)-1,0,1,1),"")</f>
        <v/>
      </c>
      <c r="AK224" s="702" t="str">
        <f ca="1">IFERROR(INT(CampList[[#This Row],[Distance]]/5)+1,"")</f>
        <v/>
      </c>
      <c r="AL224" s="855"/>
      <c r="AM224" s="856">
        <v>247</v>
      </c>
      <c r="AN224" s="855"/>
      <c r="AO224" s="855"/>
      <c r="AP224" s="855"/>
      <c r="AQ224" s="855"/>
      <c r="AR224" s="855"/>
      <c r="AS224" s="855"/>
      <c r="AT224" s="855"/>
      <c r="AU224" s="855"/>
      <c r="AV224" s="855"/>
    </row>
    <row r="225" spans="1:48" s="481" customFormat="1" ht="15.75" customHeight="1" x14ac:dyDescent="0.25">
      <c r="A225" s="695" t="s">
        <v>500</v>
      </c>
      <c r="B225" s="651" t="s">
        <v>553</v>
      </c>
      <c r="C225" s="651" t="s">
        <v>536</v>
      </c>
      <c r="D225" s="651" t="s">
        <v>230</v>
      </c>
      <c r="E225" s="651" t="s">
        <v>537</v>
      </c>
      <c r="F225" s="651" t="s">
        <v>146</v>
      </c>
      <c r="G225" s="651" t="s">
        <v>544</v>
      </c>
      <c r="H225" s="705" t="s">
        <v>723</v>
      </c>
      <c r="I225" s="651" t="s">
        <v>1255</v>
      </c>
      <c r="J225" s="705" t="s">
        <v>1390</v>
      </c>
      <c r="K225" s="723"/>
      <c r="L225" s="651" t="s">
        <v>1406</v>
      </c>
      <c r="M225" s="652" t="s">
        <v>1400</v>
      </c>
      <c r="N225" s="676">
        <v>97.810101000000003</v>
      </c>
      <c r="O225" s="676">
        <v>23.682887999999998</v>
      </c>
      <c r="P225" s="698"/>
      <c r="Q225" s="840">
        <v>37</v>
      </c>
      <c r="R225" s="841">
        <v>130</v>
      </c>
      <c r="S225" s="679">
        <f>IF(CampList[[#This Row],[HH]]&gt;0,CampList[[#This Row],[Total]]/CampList[[#This Row],[HH]],"NA")</f>
        <v>3.5135135135135136</v>
      </c>
      <c r="T225" s="476" t="s">
        <v>511</v>
      </c>
      <c r="U225" s="653" t="s">
        <v>1191</v>
      </c>
      <c r="V225" s="476" t="s">
        <v>554</v>
      </c>
      <c r="W225" s="653" t="s">
        <v>803</v>
      </c>
      <c r="X225" s="699">
        <v>42401</v>
      </c>
      <c r="Y225" s="698"/>
      <c r="Z225" s="682"/>
      <c r="AA225" s="678" t="s">
        <v>842</v>
      </c>
      <c r="AB225" s="682"/>
      <c r="AC225" s="683">
        <v>42831</v>
      </c>
      <c r="AD225" s="675" t="s">
        <v>1651</v>
      </c>
      <c r="AE225" s="685"/>
      <c r="AF225" s="701">
        <f>IF(CampList[[#This Row],[Type of Accomodation]]="camp",MAX(0,CampList[[#This Row],[HH]]-SUMIF(Table_Shelter[Pcode],CampList[[#This Row],[CP_Pcode]],Table_Shelter[HH Covered])),0)</f>
        <v>37</v>
      </c>
      <c r="AG225" s="653"/>
      <c r="AH225" s="677">
        <f>MIN(CampList[[#This Row],[Shelter Gap]],CampList[[#This Row],[Land Status]])</f>
        <v>37</v>
      </c>
      <c r="AI225" s="653" t="str">
        <f ca="1">IFERROR(OFFSET(DistanceToCamp[Nearest Town],MATCH(CampList[[#This Row],[CP_Pcode]],DistanceToCamp[CP_Pcode],0)-1,0,1,1),"")</f>
        <v/>
      </c>
      <c r="AJ225" s="686" t="str">
        <f ca="1">IFERROR(OFFSET(DistanceToCamp[distance],MATCH(CampList[[#This Row],[CP_Pcode]],DistanceToCamp[CP_Pcode],0)-1,0,1,1),"")</f>
        <v/>
      </c>
      <c r="AK225" s="702" t="str">
        <f ca="1">IFERROR(INT(CampList[[#This Row],[Distance]]/5)+1,"")</f>
        <v/>
      </c>
      <c r="AL225" s="855"/>
      <c r="AM225" s="856">
        <v>130</v>
      </c>
      <c r="AN225" s="855"/>
      <c r="AO225" s="855"/>
      <c r="AP225" s="855"/>
      <c r="AQ225" s="855"/>
      <c r="AR225" s="855"/>
      <c r="AS225" s="855"/>
      <c r="AT225" s="855"/>
      <c r="AU225" s="855"/>
      <c r="AV225" s="855"/>
    </row>
    <row r="226" spans="1:48" s="481" customFormat="1" ht="15.75" customHeight="1" x14ac:dyDescent="0.25">
      <c r="A226" s="695" t="s">
        <v>500</v>
      </c>
      <c r="B226" s="651" t="s">
        <v>553</v>
      </c>
      <c r="C226" s="651" t="s">
        <v>536</v>
      </c>
      <c r="D226" s="651" t="s">
        <v>777</v>
      </c>
      <c r="E226" s="651" t="s">
        <v>778</v>
      </c>
      <c r="F226" s="651" t="s">
        <v>779</v>
      </c>
      <c r="G226" s="651" t="s">
        <v>780</v>
      </c>
      <c r="H226" s="651" t="s">
        <v>1420</v>
      </c>
      <c r="I226" s="696" t="s">
        <v>1421</v>
      </c>
      <c r="J226" s="651" t="s">
        <v>1420</v>
      </c>
      <c r="K226" s="696">
        <v>206395</v>
      </c>
      <c r="L226" s="651" t="s">
        <v>1419</v>
      </c>
      <c r="M226" s="652" t="s">
        <v>1401</v>
      </c>
      <c r="N226" s="676">
        <v>98.221000000000004</v>
      </c>
      <c r="O226" s="676">
        <v>23.353999999999999</v>
      </c>
      <c r="P226" s="698"/>
      <c r="Q226" s="840">
        <v>20</v>
      </c>
      <c r="R226" s="841">
        <v>75</v>
      </c>
      <c r="S226" s="679">
        <f>IF(CampList[[#This Row],[HH]]&gt;0,CampList[[#This Row],[Total]]/CampList[[#This Row],[HH]],"NA")</f>
        <v>3.75</v>
      </c>
      <c r="T226" s="476" t="s">
        <v>511</v>
      </c>
      <c r="U226" s="653" t="s">
        <v>1191</v>
      </c>
      <c r="V226" s="476" t="s">
        <v>554</v>
      </c>
      <c r="W226" s="653" t="s">
        <v>803</v>
      </c>
      <c r="X226" s="699">
        <v>42430</v>
      </c>
      <c r="Y226" s="698"/>
      <c r="Z226" s="682"/>
      <c r="AA226" s="678" t="s">
        <v>842</v>
      </c>
      <c r="AB226" s="682"/>
      <c r="AC226" s="683">
        <v>42576</v>
      </c>
      <c r="AD226" s="675" t="s">
        <v>1407</v>
      </c>
      <c r="AE226" s="685"/>
      <c r="AF226" s="701">
        <f>IF(CampList[[#This Row],[Type of Accomodation]]="camp",MAX(0,CampList[[#This Row],[HH]]-SUMIF(Table_Shelter[Pcode],CampList[[#This Row],[CP_Pcode]],Table_Shelter[HH Covered])),0)</f>
        <v>20</v>
      </c>
      <c r="AG226" s="653"/>
      <c r="AH226" s="677">
        <f>MIN(CampList[[#This Row],[Shelter Gap]],CampList[[#This Row],[Land Status]])</f>
        <v>20</v>
      </c>
      <c r="AI226" s="653" t="str">
        <f ca="1">IFERROR(OFFSET(DistanceToCamp[Nearest Town],MATCH(CampList[[#This Row],[CP_Pcode]],DistanceToCamp[CP_Pcode],0)-1,0,1,1),"")</f>
        <v/>
      </c>
      <c r="AJ226" s="686" t="str">
        <f ca="1">IFERROR(OFFSET(DistanceToCamp[distance],MATCH(CampList[[#This Row],[CP_Pcode]],DistanceToCamp[CP_Pcode],0)-1,0,1,1),"")</f>
        <v/>
      </c>
      <c r="AK226" s="702" t="str">
        <f ca="1">IFERROR(INT(CampList[[#This Row],[Distance]]/5)+1,"")</f>
        <v/>
      </c>
      <c r="AL226" s="855"/>
      <c r="AM226" s="856">
        <v>75</v>
      </c>
      <c r="AN226" s="855"/>
      <c r="AO226" s="855"/>
      <c r="AP226" s="855"/>
      <c r="AQ226" s="855"/>
      <c r="AR226" s="855"/>
      <c r="AS226" s="855"/>
      <c r="AT226" s="855"/>
      <c r="AU226" s="855"/>
      <c r="AV226" s="855"/>
    </row>
    <row r="227" spans="1:48" s="481" customFormat="1" ht="15.75" customHeight="1" x14ac:dyDescent="0.25">
      <c r="A227" s="695" t="s">
        <v>500</v>
      </c>
      <c r="B227" s="651" t="s">
        <v>553</v>
      </c>
      <c r="C227" s="651" t="s">
        <v>536</v>
      </c>
      <c r="D227" s="651" t="s">
        <v>230</v>
      </c>
      <c r="E227" s="651" t="s">
        <v>537</v>
      </c>
      <c r="F227" s="651" t="s">
        <v>146</v>
      </c>
      <c r="G227" s="651" t="s">
        <v>544</v>
      </c>
      <c r="H227" s="651" t="s">
        <v>1423</v>
      </c>
      <c r="I227" s="696"/>
      <c r="J227" s="651" t="s">
        <v>1424</v>
      </c>
      <c r="K227" s="651"/>
      <c r="L227" s="651" t="s">
        <v>1422</v>
      </c>
      <c r="M227" s="652" t="s">
        <v>1402</v>
      </c>
      <c r="N227" s="676">
        <v>98.337999999999994</v>
      </c>
      <c r="O227" s="676">
        <v>23.850999999999999</v>
      </c>
      <c r="P227" s="698"/>
      <c r="Q227" s="840">
        <v>30</v>
      </c>
      <c r="R227" s="841">
        <v>170</v>
      </c>
      <c r="S227" s="679">
        <f>IF(CampList[[#This Row],[HH]]&gt;0,CampList[[#This Row],[Total]]/CampList[[#This Row],[HH]],"NA")</f>
        <v>5.666666666666667</v>
      </c>
      <c r="T227" s="476" t="s">
        <v>511</v>
      </c>
      <c r="U227" s="653" t="s">
        <v>1191</v>
      </c>
      <c r="V227" s="476" t="s">
        <v>554</v>
      </c>
      <c r="W227" s="653" t="s">
        <v>856</v>
      </c>
      <c r="X227" s="699">
        <v>42401</v>
      </c>
      <c r="Y227" s="698"/>
      <c r="Z227" s="682"/>
      <c r="AA227" s="678" t="s">
        <v>842</v>
      </c>
      <c r="AB227" s="682"/>
      <c r="AC227" s="683">
        <v>42576</v>
      </c>
      <c r="AD227" s="675" t="s">
        <v>1407</v>
      </c>
      <c r="AE227" s="685"/>
      <c r="AF227" s="701">
        <f>IF(CampList[[#This Row],[Type of Accomodation]]="camp",MAX(0,CampList[[#This Row],[HH]]-SUMIF(Table_Shelter[Pcode],CampList[[#This Row],[CP_Pcode]],Table_Shelter[HH Covered])),0)</f>
        <v>30</v>
      </c>
      <c r="AG227" s="653"/>
      <c r="AH227" s="677">
        <f>MIN(CampList[[#This Row],[Shelter Gap]],CampList[[#This Row],[Land Status]])</f>
        <v>30</v>
      </c>
      <c r="AI227" s="653" t="str">
        <f ca="1">IFERROR(OFFSET(DistanceToCamp[Nearest Town],MATCH(CampList[[#This Row],[CP_Pcode]],DistanceToCamp[CP_Pcode],0)-1,0,1,1),"")</f>
        <v/>
      </c>
      <c r="AJ227" s="686" t="str">
        <f ca="1">IFERROR(OFFSET(DistanceToCamp[distance],MATCH(CampList[[#This Row],[CP_Pcode]],DistanceToCamp[CP_Pcode],0)-1,0,1,1),"")</f>
        <v/>
      </c>
      <c r="AK227" s="702" t="str">
        <f ca="1">IFERROR(INT(CampList[[#This Row],[Distance]]/5)+1,"")</f>
        <v/>
      </c>
      <c r="AL227" s="855"/>
      <c r="AM227" s="856">
        <v>170</v>
      </c>
      <c r="AN227" s="855"/>
      <c r="AO227" s="855"/>
      <c r="AP227" s="855"/>
      <c r="AQ227" s="855"/>
      <c r="AR227" s="855"/>
      <c r="AS227" s="855"/>
      <c r="AT227" s="855"/>
      <c r="AU227" s="855"/>
      <c r="AV227" s="855"/>
    </row>
    <row r="228" spans="1:48" s="481" customFormat="1" ht="15.75" customHeight="1" x14ac:dyDescent="0.25">
      <c r="A228" s="812" t="s">
        <v>500</v>
      </c>
      <c r="B228" s="651" t="s">
        <v>553</v>
      </c>
      <c r="C228" s="651" t="s">
        <v>536</v>
      </c>
      <c r="D228" s="651" t="s">
        <v>541</v>
      </c>
      <c r="E228" s="651" t="s">
        <v>542</v>
      </c>
      <c r="F228" s="651" t="s">
        <v>298</v>
      </c>
      <c r="G228" s="651" t="s">
        <v>550</v>
      </c>
      <c r="H228" s="813" t="s">
        <v>817</v>
      </c>
      <c r="I228" s="814" t="s">
        <v>818</v>
      </c>
      <c r="J228" s="813" t="s">
        <v>819</v>
      </c>
      <c r="K228" s="813" t="s">
        <v>820</v>
      </c>
      <c r="L228" s="828" t="s">
        <v>1488</v>
      </c>
      <c r="M228" s="652" t="s">
        <v>1471</v>
      </c>
      <c r="N228" s="816">
        <v>97.400671000000003</v>
      </c>
      <c r="O228" s="816">
        <v>23.099304</v>
      </c>
      <c r="P228" s="817"/>
      <c r="Q228" s="845">
        <v>224</v>
      </c>
      <c r="R228" s="845">
        <v>767</v>
      </c>
      <c r="S228" s="818">
        <f>IF(CampList[[#This Row],[HH]]&gt;0,CampList[[#This Row],[Total]]/CampList[[#This Row],[HH]],"NA")</f>
        <v>3.4241071428571428</v>
      </c>
      <c r="T228" s="476" t="s">
        <v>511</v>
      </c>
      <c r="U228" s="819" t="s">
        <v>1191</v>
      </c>
      <c r="V228" s="472" t="s">
        <v>554</v>
      </c>
      <c r="W228" s="472" t="s">
        <v>803</v>
      </c>
      <c r="X228" s="820"/>
      <c r="Y228" s="817"/>
      <c r="Z228" s="817"/>
      <c r="AA228" s="816" t="s">
        <v>842</v>
      </c>
      <c r="AB228" s="816"/>
      <c r="AC228" s="821">
        <v>42752</v>
      </c>
      <c r="AD228" s="822" t="s">
        <v>1489</v>
      </c>
      <c r="AE228" s="823"/>
      <c r="AF228" s="824">
        <f>IF(CampList[[#This Row],[Type of Accomodation]]="camp",MAX(0,CampList[[#This Row],[HH]]-SUMIF(Table_Shelter[Pcode],CampList[[#This Row],[CP_Pcode]],Table_Shelter[HH Covered])),0)</f>
        <v>224</v>
      </c>
      <c r="AG228" s="472"/>
      <c r="AH228" s="825">
        <f>MIN(CampList[[#This Row],[Shelter Gap]],CampList[[#This Row],[Land Status]])</f>
        <v>224</v>
      </c>
      <c r="AI228" s="824" t="str">
        <f ca="1">IFERROR(OFFSET(DistanceToCamp[Nearest Town],MATCH(CampList[[#This Row],[CP_Pcode]],DistanceToCamp[CP_Pcode],0)-1,0,1,1),"")</f>
        <v/>
      </c>
      <c r="AJ228" s="826" t="str">
        <f ca="1">IFERROR(OFFSET(DistanceToCamp[distance],MATCH(CampList[[#This Row],[CP_Pcode]],DistanceToCamp[CP_Pcode],0)-1,0,1,1),"")</f>
        <v/>
      </c>
      <c r="AK228" s="827" t="str">
        <f ca="1">IFERROR(INT(CampList[[#This Row],[Distance]]/5)+1,"")</f>
        <v/>
      </c>
      <c r="AL228" s="855"/>
      <c r="AM228" s="856">
        <v>767</v>
      </c>
      <c r="AN228" s="855"/>
      <c r="AO228" s="855"/>
      <c r="AP228" s="855"/>
      <c r="AQ228" s="855"/>
      <c r="AR228" s="855"/>
      <c r="AS228" s="855"/>
      <c r="AT228" s="855"/>
      <c r="AU228" s="855"/>
      <c r="AV228" s="855"/>
    </row>
    <row r="229" spans="1:48" s="481" customFormat="1" ht="15.75" customHeight="1" x14ac:dyDescent="0.25">
      <c r="A229" s="812" t="s">
        <v>500</v>
      </c>
      <c r="B229" s="651" t="s">
        <v>553</v>
      </c>
      <c r="C229" s="651" t="s">
        <v>536</v>
      </c>
      <c r="D229" s="651" t="s">
        <v>541</v>
      </c>
      <c r="E229" s="651" t="s">
        <v>542</v>
      </c>
      <c r="F229" s="651" t="s">
        <v>298</v>
      </c>
      <c r="G229" s="651" t="s">
        <v>550</v>
      </c>
      <c r="H229" s="813" t="s">
        <v>817</v>
      </c>
      <c r="I229" s="814" t="s">
        <v>818</v>
      </c>
      <c r="J229" s="813" t="s">
        <v>819</v>
      </c>
      <c r="K229" s="813" t="s">
        <v>820</v>
      </c>
      <c r="L229" s="828" t="s">
        <v>1490</v>
      </c>
      <c r="M229" s="652" t="s">
        <v>1472</v>
      </c>
      <c r="N229" s="816"/>
      <c r="O229" s="816"/>
      <c r="P229" s="817"/>
      <c r="Q229" s="845">
        <v>13</v>
      </c>
      <c r="R229" s="845">
        <v>45</v>
      </c>
      <c r="S229" s="818">
        <f>IF(CampList[[#This Row],[HH]]&gt;0,CampList[[#This Row],[Total]]/CampList[[#This Row],[HH]],"NA")</f>
        <v>3.4615384615384617</v>
      </c>
      <c r="T229" s="476" t="s">
        <v>511</v>
      </c>
      <c r="U229" s="819" t="s">
        <v>1191</v>
      </c>
      <c r="V229" s="472" t="s">
        <v>554</v>
      </c>
      <c r="W229" s="472" t="s">
        <v>803</v>
      </c>
      <c r="X229" s="820"/>
      <c r="Y229" s="817"/>
      <c r="Z229" s="817"/>
      <c r="AA229" s="816" t="s">
        <v>842</v>
      </c>
      <c r="AB229" s="816"/>
      <c r="AC229" s="821">
        <v>42752</v>
      </c>
      <c r="AD229" s="822" t="s">
        <v>1489</v>
      </c>
      <c r="AE229" s="823"/>
      <c r="AF229" s="824">
        <f>IF(CampList[[#This Row],[Type of Accomodation]]="camp",MAX(0,CampList[[#This Row],[HH]]-SUMIF(Table_Shelter[Pcode],CampList[[#This Row],[CP_Pcode]],Table_Shelter[HH Covered])),0)</f>
        <v>13</v>
      </c>
      <c r="AG229" s="472"/>
      <c r="AH229" s="825">
        <f>MIN(CampList[[#This Row],[Shelter Gap]],CampList[[#This Row],[Land Status]])</f>
        <v>13</v>
      </c>
      <c r="AI229" s="824" t="str">
        <f ca="1">IFERROR(OFFSET(DistanceToCamp[Nearest Town],MATCH(CampList[[#This Row],[CP_Pcode]],DistanceToCamp[CP_Pcode],0)-1,0,1,1),"")</f>
        <v/>
      </c>
      <c r="AJ229" s="826" t="str">
        <f ca="1">IFERROR(OFFSET(DistanceToCamp[distance],MATCH(CampList[[#This Row],[CP_Pcode]],DistanceToCamp[CP_Pcode],0)-1,0,1,1),"")</f>
        <v/>
      </c>
      <c r="AK229" s="827" t="str">
        <f ca="1">IFERROR(INT(CampList[[#This Row],[Distance]]/5)+1,"")</f>
        <v/>
      </c>
      <c r="AL229" s="855"/>
      <c r="AM229" s="856">
        <v>45</v>
      </c>
      <c r="AN229" s="855"/>
      <c r="AO229" s="855"/>
      <c r="AP229" s="855"/>
      <c r="AQ229" s="855"/>
      <c r="AR229" s="855"/>
      <c r="AS229" s="855"/>
      <c r="AT229" s="855"/>
      <c r="AU229" s="855"/>
      <c r="AV229" s="855"/>
    </row>
    <row r="230" spans="1:48" s="481" customFormat="1" ht="15.75" customHeight="1" x14ac:dyDescent="0.25">
      <c r="A230" s="812" t="s">
        <v>500</v>
      </c>
      <c r="B230" s="651" t="s">
        <v>553</v>
      </c>
      <c r="C230" s="651" t="s">
        <v>536</v>
      </c>
      <c r="D230" s="651" t="s">
        <v>541</v>
      </c>
      <c r="E230" s="651" t="s">
        <v>542</v>
      </c>
      <c r="F230" s="651" t="s">
        <v>298</v>
      </c>
      <c r="G230" s="651" t="s">
        <v>550</v>
      </c>
      <c r="H230" s="813" t="s">
        <v>817</v>
      </c>
      <c r="I230" s="814" t="s">
        <v>818</v>
      </c>
      <c r="J230" s="813" t="s">
        <v>819</v>
      </c>
      <c r="K230" s="813" t="s">
        <v>820</v>
      </c>
      <c r="L230" s="828" t="s">
        <v>1491</v>
      </c>
      <c r="M230" s="652" t="s">
        <v>1473</v>
      </c>
      <c r="N230" s="816"/>
      <c r="O230" s="816"/>
      <c r="P230" s="817"/>
      <c r="Q230" s="845">
        <v>41</v>
      </c>
      <c r="R230" s="845">
        <v>191</v>
      </c>
      <c r="S230" s="818">
        <f>IF(CampList[[#This Row],[HH]]&gt;0,CampList[[#This Row],[Total]]/CampList[[#This Row],[HH]],"NA")</f>
        <v>4.6585365853658534</v>
      </c>
      <c r="T230" s="476" t="s">
        <v>511</v>
      </c>
      <c r="U230" s="819" t="s">
        <v>1191</v>
      </c>
      <c r="V230" s="472" t="s">
        <v>554</v>
      </c>
      <c r="W230" s="472" t="s">
        <v>803</v>
      </c>
      <c r="X230" s="820"/>
      <c r="Y230" s="817"/>
      <c r="Z230" s="817"/>
      <c r="AA230" s="816" t="s">
        <v>842</v>
      </c>
      <c r="AB230" s="816"/>
      <c r="AC230" s="821">
        <v>42752</v>
      </c>
      <c r="AD230" s="822" t="s">
        <v>1489</v>
      </c>
      <c r="AE230" s="823"/>
      <c r="AF230" s="824">
        <f>IF(CampList[[#This Row],[Type of Accomodation]]="camp",MAX(0,CampList[[#This Row],[HH]]-SUMIF(Table_Shelter[Pcode],CampList[[#This Row],[CP_Pcode]],Table_Shelter[HH Covered])),0)</f>
        <v>41</v>
      </c>
      <c r="AG230" s="472"/>
      <c r="AH230" s="825">
        <f>MIN(CampList[[#This Row],[Shelter Gap]],CampList[[#This Row],[Land Status]])</f>
        <v>41</v>
      </c>
      <c r="AI230" s="824" t="str">
        <f ca="1">IFERROR(OFFSET(DistanceToCamp[Nearest Town],MATCH(CampList[[#This Row],[CP_Pcode]],DistanceToCamp[CP_Pcode],0)-1,0,1,1),"")</f>
        <v/>
      </c>
      <c r="AJ230" s="826" t="str">
        <f ca="1">IFERROR(OFFSET(DistanceToCamp[distance],MATCH(CampList[[#This Row],[CP_Pcode]],DistanceToCamp[CP_Pcode],0)-1,0,1,1),"")</f>
        <v/>
      </c>
      <c r="AK230" s="827" t="str">
        <f ca="1">IFERROR(INT(CampList[[#This Row],[Distance]]/5)+1,"")</f>
        <v/>
      </c>
      <c r="AL230" s="855"/>
      <c r="AM230" s="856">
        <v>191</v>
      </c>
      <c r="AN230" s="855"/>
      <c r="AO230" s="855"/>
      <c r="AP230" s="855"/>
      <c r="AQ230" s="855"/>
      <c r="AR230" s="855"/>
      <c r="AS230" s="855"/>
      <c r="AT230" s="855"/>
      <c r="AU230" s="855"/>
      <c r="AV230" s="855"/>
    </row>
    <row r="231" spans="1:48" s="445" customFormat="1" ht="15.75" customHeight="1" x14ac:dyDescent="0.25">
      <c r="A231" s="812" t="s">
        <v>500</v>
      </c>
      <c r="B231" s="651" t="s">
        <v>553</v>
      </c>
      <c r="C231" s="651" t="s">
        <v>536</v>
      </c>
      <c r="D231" s="651" t="s">
        <v>541</v>
      </c>
      <c r="E231" s="651" t="s">
        <v>542</v>
      </c>
      <c r="F231" s="651" t="s">
        <v>298</v>
      </c>
      <c r="G231" s="651" t="s">
        <v>550</v>
      </c>
      <c r="H231" s="813" t="s">
        <v>817</v>
      </c>
      <c r="I231" s="814" t="s">
        <v>818</v>
      </c>
      <c r="J231" s="813" t="s">
        <v>819</v>
      </c>
      <c r="K231" s="813" t="s">
        <v>820</v>
      </c>
      <c r="L231" s="828" t="s">
        <v>1492</v>
      </c>
      <c r="M231" s="652" t="s">
        <v>1474</v>
      </c>
      <c r="N231" s="816"/>
      <c r="O231" s="816"/>
      <c r="P231" s="817"/>
      <c r="Q231" s="845">
        <v>19</v>
      </c>
      <c r="R231" s="845">
        <v>66</v>
      </c>
      <c r="S231" s="818">
        <f>IF(CampList[[#This Row],[HH]]&gt;0,CampList[[#This Row],[Total]]/CampList[[#This Row],[HH]],"NA")</f>
        <v>3.4736842105263159</v>
      </c>
      <c r="T231" s="476" t="s">
        <v>511</v>
      </c>
      <c r="U231" s="819" t="s">
        <v>1191</v>
      </c>
      <c r="V231" s="472" t="s">
        <v>554</v>
      </c>
      <c r="W231" s="472" t="s">
        <v>803</v>
      </c>
      <c r="X231" s="820"/>
      <c r="Y231" s="817"/>
      <c r="Z231" s="817"/>
      <c r="AA231" s="816" t="s">
        <v>842</v>
      </c>
      <c r="AB231" s="816"/>
      <c r="AC231" s="821">
        <v>42752</v>
      </c>
      <c r="AD231" s="822" t="s">
        <v>1489</v>
      </c>
      <c r="AE231" s="823"/>
      <c r="AF231" s="824">
        <f>IF(CampList[[#This Row],[Type of Accomodation]]="camp",MAX(0,CampList[[#This Row],[HH]]-SUMIF(Table_Shelter[Pcode],CampList[[#This Row],[CP_Pcode]],Table_Shelter[HH Covered])),0)</f>
        <v>19</v>
      </c>
      <c r="AG231" s="472"/>
      <c r="AH231" s="825">
        <f>MIN(CampList[[#This Row],[Shelter Gap]],CampList[[#This Row],[Land Status]])</f>
        <v>19</v>
      </c>
      <c r="AI231" s="824" t="str">
        <f ca="1">IFERROR(OFFSET(DistanceToCamp[Nearest Town],MATCH(CampList[[#This Row],[CP_Pcode]],DistanceToCamp[CP_Pcode],0)-1,0,1,1),"")</f>
        <v/>
      </c>
      <c r="AJ231" s="826" t="str">
        <f ca="1">IFERROR(OFFSET(DistanceToCamp[distance],MATCH(CampList[[#This Row],[CP_Pcode]],DistanceToCamp[CP_Pcode],0)-1,0,1,1),"")</f>
        <v/>
      </c>
      <c r="AK231" s="827" t="str">
        <f ca="1">IFERROR(INT(CampList[[#This Row],[Distance]]/5)+1,"")</f>
        <v/>
      </c>
      <c r="AL231" s="426"/>
      <c r="AM231" s="856">
        <v>66</v>
      </c>
      <c r="AN231" s="426"/>
      <c r="AO231" s="426"/>
      <c r="AP231" s="426"/>
      <c r="AQ231" s="426"/>
      <c r="AR231" s="426"/>
      <c r="AS231" s="426"/>
      <c r="AT231" s="426"/>
      <c r="AU231" s="426"/>
      <c r="AV231" s="426"/>
    </row>
    <row r="232" spans="1:48" s="481" customFormat="1" ht="15.75" customHeight="1" x14ac:dyDescent="0.25">
      <c r="A232" s="812" t="s">
        <v>500</v>
      </c>
      <c r="B232" s="651" t="s">
        <v>553</v>
      </c>
      <c r="C232" s="651" t="s">
        <v>536</v>
      </c>
      <c r="D232" s="651" t="s">
        <v>541</v>
      </c>
      <c r="E232" s="651" t="s">
        <v>542</v>
      </c>
      <c r="F232" s="651" t="s">
        <v>298</v>
      </c>
      <c r="G232" s="651" t="s">
        <v>550</v>
      </c>
      <c r="H232" s="813" t="s">
        <v>817</v>
      </c>
      <c r="I232" s="814" t="s">
        <v>818</v>
      </c>
      <c r="J232" s="813" t="s">
        <v>819</v>
      </c>
      <c r="K232" s="813" t="s">
        <v>820</v>
      </c>
      <c r="L232" s="828" t="s">
        <v>1493</v>
      </c>
      <c r="M232" s="652" t="s">
        <v>1475</v>
      </c>
      <c r="N232" s="816"/>
      <c r="O232" s="816"/>
      <c r="P232" s="817"/>
      <c r="Q232" s="845">
        <v>59</v>
      </c>
      <c r="R232" s="845">
        <v>268</v>
      </c>
      <c r="S232" s="818">
        <f>IF(CampList[[#This Row],[HH]]&gt;0,CampList[[#This Row],[Total]]/CampList[[#This Row],[HH]],"NA")</f>
        <v>4.5423728813559325</v>
      </c>
      <c r="T232" s="476" t="s">
        <v>511</v>
      </c>
      <c r="U232" s="819" t="s">
        <v>1191</v>
      </c>
      <c r="V232" s="472" t="s">
        <v>554</v>
      </c>
      <c r="W232" s="472" t="s">
        <v>803</v>
      </c>
      <c r="X232" s="820"/>
      <c r="Y232" s="817"/>
      <c r="Z232" s="817"/>
      <c r="AA232" s="816" t="s">
        <v>842</v>
      </c>
      <c r="AB232" s="816"/>
      <c r="AC232" s="821">
        <v>42752</v>
      </c>
      <c r="AD232" s="822" t="s">
        <v>1489</v>
      </c>
      <c r="AE232" s="823"/>
      <c r="AF232" s="824">
        <f>IF(CampList[[#This Row],[Type of Accomodation]]="camp",MAX(0,CampList[[#This Row],[HH]]-SUMIF(Table_Shelter[Pcode],CampList[[#This Row],[CP_Pcode]],Table_Shelter[HH Covered])),0)</f>
        <v>59</v>
      </c>
      <c r="AG232" s="472"/>
      <c r="AH232" s="825">
        <f>MIN(CampList[[#This Row],[Shelter Gap]],CampList[[#This Row],[Land Status]])</f>
        <v>59</v>
      </c>
      <c r="AI232" s="824" t="str">
        <f ca="1">IFERROR(OFFSET(DistanceToCamp[Nearest Town],MATCH(CampList[[#This Row],[CP_Pcode]],DistanceToCamp[CP_Pcode],0)-1,0,1,1),"")</f>
        <v/>
      </c>
      <c r="AJ232" s="826" t="str">
        <f ca="1">IFERROR(OFFSET(DistanceToCamp[distance],MATCH(CampList[[#This Row],[CP_Pcode]],DistanceToCamp[CP_Pcode],0)-1,0,1,1),"")</f>
        <v/>
      </c>
      <c r="AK232" s="827" t="str">
        <f ca="1">IFERROR(INT(CampList[[#This Row],[Distance]]/5)+1,"")</f>
        <v/>
      </c>
      <c r="AL232" s="855"/>
      <c r="AM232" s="856">
        <v>268</v>
      </c>
      <c r="AN232" s="855"/>
      <c r="AO232" s="855"/>
      <c r="AP232" s="855"/>
      <c r="AQ232" s="855"/>
      <c r="AR232" s="855"/>
      <c r="AS232" s="855"/>
      <c r="AT232" s="855"/>
      <c r="AU232" s="855"/>
      <c r="AV232" s="855"/>
    </row>
    <row r="233" spans="1:48" s="481" customFormat="1" ht="15.75" hidden="1" customHeight="1" x14ac:dyDescent="0.25">
      <c r="A233" s="812" t="s">
        <v>843</v>
      </c>
      <c r="B233" s="651" t="s">
        <v>553</v>
      </c>
      <c r="C233" s="651" t="s">
        <v>536</v>
      </c>
      <c r="D233" s="651" t="s">
        <v>230</v>
      </c>
      <c r="E233" s="651" t="s">
        <v>537</v>
      </c>
      <c r="F233" s="651" t="s">
        <v>230</v>
      </c>
      <c r="G233" s="651" t="s">
        <v>538</v>
      </c>
      <c r="H233" s="813" t="s">
        <v>1049</v>
      </c>
      <c r="I233" s="814" t="s">
        <v>1050</v>
      </c>
      <c r="J233" s="813" t="s">
        <v>1051</v>
      </c>
      <c r="K233" s="813" t="s">
        <v>1052</v>
      </c>
      <c r="L233" s="815" t="s">
        <v>1500</v>
      </c>
      <c r="M233" s="652" t="s">
        <v>1476</v>
      </c>
      <c r="N233" s="816"/>
      <c r="O233" s="816"/>
      <c r="P233" s="817"/>
      <c r="Q233" s="472"/>
      <c r="R233" s="838"/>
      <c r="S233" s="818" t="str">
        <f>IF(CampList[[#This Row],[HH]]&gt;0,CampList[[#This Row],[Total]]/CampList[[#This Row],[HH]],"NA")</f>
        <v>NA</v>
      </c>
      <c r="T233" s="476" t="s">
        <v>511</v>
      </c>
      <c r="U233" s="819" t="s">
        <v>1191</v>
      </c>
      <c r="V233" s="472" t="s">
        <v>554</v>
      </c>
      <c r="W233" s="472" t="s">
        <v>803</v>
      </c>
      <c r="X233" s="820"/>
      <c r="Y233" s="817"/>
      <c r="Z233" s="817"/>
      <c r="AA233" s="816" t="s">
        <v>842</v>
      </c>
      <c r="AB233" s="816"/>
      <c r="AC233" s="821">
        <v>42831</v>
      </c>
      <c r="AD233" s="822" t="s">
        <v>1650</v>
      </c>
      <c r="AE233" s="823"/>
      <c r="AF233" s="824">
        <f>IF(CampList[[#This Row],[Type of Accomodation]]="camp",MAX(0,CampList[[#This Row],[HH]]-SUMIF(Table_Shelter[Pcode],CampList[[#This Row],[CP_Pcode]],Table_Shelter[HH Covered])),0)</f>
        <v>0</v>
      </c>
      <c r="AG233" s="472"/>
      <c r="AH233" s="825">
        <f>MIN(CampList[[#This Row],[Shelter Gap]],CampList[[#This Row],[Land Status]])</f>
        <v>0</v>
      </c>
      <c r="AI233" s="824" t="str">
        <f ca="1">IFERROR(OFFSET(DistanceToCamp[Nearest Town],MATCH(CampList[[#This Row],[CP_Pcode]],DistanceToCamp[CP_Pcode],0)-1,0,1,1),"")</f>
        <v/>
      </c>
      <c r="AJ233" s="826" t="str">
        <f ca="1">IFERROR(OFFSET(DistanceToCamp[distance],MATCH(CampList[[#This Row],[CP_Pcode]],DistanceToCamp[CP_Pcode],0)-1,0,1,1),"")</f>
        <v/>
      </c>
      <c r="AK233" s="827" t="str">
        <f ca="1">IFERROR(INT(CampList[[#This Row],[Distance]]/5)+1,"")</f>
        <v/>
      </c>
      <c r="AL233" s="855"/>
      <c r="AM233" s="856">
        <v>142</v>
      </c>
      <c r="AN233" s="855"/>
      <c r="AO233" s="855"/>
      <c r="AP233" s="855"/>
      <c r="AQ233" s="855"/>
      <c r="AR233" s="855"/>
      <c r="AS233" s="855"/>
      <c r="AT233" s="855"/>
      <c r="AU233" s="855"/>
      <c r="AV233" s="855"/>
    </row>
    <row r="234" spans="1:48" s="481" customFormat="1" ht="15.75" hidden="1" customHeight="1" x14ac:dyDescent="0.25">
      <c r="A234" s="780" t="s">
        <v>843</v>
      </c>
      <c r="B234" s="781" t="s">
        <v>553</v>
      </c>
      <c r="C234" s="781" t="s">
        <v>536</v>
      </c>
      <c r="D234" s="781" t="s">
        <v>230</v>
      </c>
      <c r="E234" s="781" t="s">
        <v>537</v>
      </c>
      <c r="F234" s="781" t="s">
        <v>230</v>
      </c>
      <c r="G234" s="781" t="s">
        <v>538</v>
      </c>
      <c r="H234" s="782" t="s">
        <v>1049</v>
      </c>
      <c r="I234" s="783" t="s">
        <v>1050</v>
      </c>
      <c r="J234" s="782" t="s">
        <v>1504</v>
      </c>
      <c r="K234" s="782" t="s">
        <v>1505</v>
      </c>
      <c r="L234" s="798" t="s">
        <v>1510</v>
      </c>
      <c r="M234" s="784" t="s">
        <v>1477</v>
      </c>
      <c r="N234" s="785"/>
      <c r="O234" s="785"/>
      <c r="P234" s="786"/>
      <c r="Q234" s="788"/>
      <c r="R234" s="848">
        <v>0</v>
      </c>
      <c r="S234" s="787" t="str">
        <f>IF(CampList[[#This Row],[HH]]&gt;0,CampList[[#This Row],[Total]]/CampList[[#This Row],[HH]],"NA")</f>
        <v>NA</v>
      </c>
      <c r="T234" s="802" t="s">
        <v>511</v>
      </c>
      <c r="U234" s="789" t="s">
        <v>1191</v>
      </c>
      <c r="V234" s="788" t="s">
        <v>554</v>
      </c>
      <c r="W234" s="788" t="s">
        <v>803</v>
      </c>
      <c r="X234" s="790"/>
      <c r="Y234" s="786"/>
      <c r="Z234" s="786"/>
      <c r="AA234" s="785"/>
      <c r="AB234" s="785"/>
      <c r="AC234" s="791">
        <v>42752</v>
      </c>
      <c r="AD234" s="792" t="s">
        <v>1489</v>
      </c>
      <c r="AE234" s="793"/>
      <c r="AF234" s="794">
        <f>IF(CampList[[#This Row],[Type of Accomodation]]="camp",MAX(0,CampList[[#This Row],[HH]]-SUMIF(Table_Shelter[Pcode],CampList[[#This Row],[CP_Pcode]],Table_Shelter[HH Covered])),0)</f>
        <v>0</v>
      </c>
      <c r="AG234" s="788"/>
      <c r="AH234" s="795">
        <f>MIN(CampList[[#This Row],[Shelter Gap]],CampList[[#This Row],[Land Status]])</f>
        <v>0</v>
      </c>
      <c r="AI234" s="794" t="str">
        <f ca="1">IFERROR(OFFSET(DistanceToCamp[Nearest Town],MATCH(CampList[[#This Row],[CP_Pcode]],DistanceToCamp[CP_Pcode],0)-1,0,1,1),"")</f>
        <v/>
      </c>
      <c r="AJ234" s="796" t="str">
        <f ca="1">IFERROR(OFFSET(DistanceToCamp[distance],MATCH(CampList[[#This Row],[CP_Pcode]],DistanceToCamp[CP_Pcode],0)-1,0,1,1),"")</f>
        <v/>
      </c>
      <c r="AK234" s="797" t="str">
        <f ca="1">IFERROR(INT(CampList[[#This Row],[Distance]]/5)+1,"")</f>
        <v/>
      </c>
      <c r="AL234" s="855"/>
      <c r="AM234" s="856">
        <v>0</v>
      </c>
      <c r="AN234" s="855"/>
      <c r="AO234" s="855"/>
      <c r="AP234" s="855"/>
      <c r="AQ234" s="855"/>
      <c r="AR234" s="855"/>
      <c r="AS234" s="855"/>
      <c r="AT234" s="855"/>
      <c r="AU234" s="855"/>
      <c r="AV234" s="855"/>
    </row>
    <row r="235" spans="1:48" s="445" customFormat="1" ht="15.75" customHeight="1" x14ac:dyDescent="0.25">
      <c r="A235" s="675" t="s">
        <v>500</v>
      </c>
      <c r="B235" s="651" t="s">
        <v>380</v>
      </c>
      <c r="C235" s="651" t="s">
        <v>525</v>
      </c>
      <c r="D235" s="651" t="s">
        <v>5</v>
      </c>
      <c r="E235" s="651" t="s">
        <v>529</v>
      </c>
      <c r="F235" s="651" t="s">
        <v>185</v>
      </c>
      <c r="G235" s="651" t="s">
        <v>533</v>
      </c>
      <c r="H235" s="651" t="s">
        <v>705</v>
      </c>
      <c r="I235" s="651" t="s">
        <v>706</v>
      </c>
      <c r="J235" s="651" t="s">
        <v>707</v>
      </c>
      <c r="K235" s="651">
        <v>167242</v>
      </c>
      <c r="L235" s="651" t="s">
        <v>221</v>
      </c>
      <c r="M235" s="651" t="s">
        <v>220</v>
      </c>
      <c r="N235" s="676">
        <v>97.429860000000005</v>
      </c>
      <c r="O235" s="676">
        <v>24.630859999999998</v>
      </c>
      <c r="P235" s="677"/>
      <c r="Q235" s="701">
        <v>39</v>
      </c>
      <c r="R235" s="708">
        <v>176</v>
      </c>
      <c r="S235" s="679">
        <f>IF(CampList[[#This Row],[HH]]&gt;0,CampList[[#This Row],[Total]]/CampList[[#This Row],[HH]],"NA")</f>
        <v>4.5128205128205128</v>
      </c>
      <c r="T235" s="653" t="s">
        <v>511</v>
      </c>
      <c r="U235" s="653" t="s">
        <v>1191</v>
      </c>
      <c r="V235" s="653" t="s">
        <v>12</v>
      </c>
      <c r="W235" s="653" t="s">
        <v>856</v>
      </c>
      <c r="X235" s="680"/>
      <c r="Y235" s="681"/>
      <c r="Z235" s="680"/>
      <c r="AA235" s="682" t="s">
        <v>841</v>
      </c>
      <c r="AB235" s="682"/>
      <c r="AC235" s="683">
        <v>41646</v>
      </c>
      <c r="AD235" s="684" t="s">
        <v>889</v>
      </c>
      <c r="AE235" s="685" t="s">
        <v>1093</v>
      </c>
      <c r="AF235" s="476">
        <f>IF(CampList[[#This Row],[Type of Accomodation]]="camp",MAX(0,CampList[[#This Row],[HH]]-SUMIF(Table_Shelter[Pcode],CampList[[#This Row],[CP_Pcode]],Table_Shelter[HH Covered])),0)</f>
        <v>0</v>
      </c>
      <c r="AG235" s="476"/>
      <c r="AH235" s="682">
        <f>MIN(CampList[[#This Row],[Shelter Gap]],CampList[[#This Row],[Land Status]])</f>
        <v>0</v>
      </c>
      <c r="AI235" s="653" t="str">
        <f ca="1">IFERROR(OFFSET(DistanceToCamp[Nearest Town],MATCH(CampList[[#This Row],[CP_Pcode]],DistanceToCamp[CP_Pcode],0)-1,0,1,1),"")</f>
        <v>Dawthponeyan  Town</v>
      </c>
      <c r="AJ235" s="686">
        <f ca="1">IFERROR(OFFSET(DistanceToCamp[distance],MATCH(CampList[[#This Row],[CP_Pcode]],DistanceToCamp[CP_Pcode],0)-1,0,1,1),"")</f>
        <v>3.6887624513681017</v>
      </c>
      <c r="AK235" s="687">
        <f ca="1">IFERROR(INT(CampList[[#This Row],[Distance]]/5)+1,"")</f>
        <v>1</v>
      </c>
      <c r="AL235" s="426"/>
      <c r="AM235" s="856">
        <v>176</v>
      </c>
      <c r="AN235" s="426"/>
      <c r="AO235" s="426"/>
      <c r="AP235" s="426"/>
      <c r="AQ235" s="426"/>
      <c r="AR235" s="426"/>
      <c r="AS235" s="426"/>
      <c r="AT235" s="426"/>
      <c r="AU235" s="426"/>
      <c r="AV235" s="426"/>
    </row>
    <row r="236" spans="1:48" s="481" customFormat="1" ht="15.75" customHeight="1" x14ac:dyDescent="0.25">
      <c r="A236" s="675" t="s">
        <v>500</v>
      </c>
      <c r="B236" s="651" t="s">
        <v>380</v>
      </c>
      <c r="C236" s="651" t="s">
        <v>525</v>
      </c>
      <c r="D236" s="651" t="s">
        <v>300</v>
      </c>
      <c r="E236" s="651" t="s">
        <v>546</v>
      </c>
      <c r="F236" s="651" t="s">
        <v>300</v>
      </c>
      <c r="G236" s="651" t="s">
        <v>552</v>
      </c>
      <c r="H236" s="652" t="s">
        <v>800</v>
      </c>
      <c r="I236" s="696" t="s">
        <v>801</v>
      </c>
      <c r="J236" s="652" t="s">
        <v>1266</v>
      </c>
      <c r="K236" s="684" t="s">
        <v>1267</v>
      </c>
      <c r="L236" s="652" t="s">
        <v>1260</v>
      </c>
      <c r="M236" s="651" t="s">
        <v>1259</v>
      </c>
      <c r="N236" s="721">
        <v>97.416121000000004</v>
      </c>
      <c r="O236" s="721">
        <v>27.337499999999999</v>
      </c>
      <c r="P236" s="698"/>
      <c r="Q236" s="476">
        <v>59</v>
      </c>
      <c r="R236" s="476">
        <v>274</v>
      </c>
      <c r="S236" s="679">
        <f>IF(CampList[[#This Row],[HH]]&gt;0,CampList[[#This Row],[Total]]/CampList[[#This Row],[HH]],"NA")</f>
        <v>4.6440677966101696</v>
      </c>
      <c r="T236" s="653" t="s">
        <v>511</v>
      </c>
      <c r="U236" s="653" t="s">
        <v>1191</v>
      </c>
      <c r="V236" s="653" t="s">
        <v>554</v>
      </c>
      <c r="W236" s="476" t="s">
        <v>803</v>
      </c>
      <c r="X236" s="699">
        <v>42180</v>
      </c>
      <c r="Y236" s="698"/>
      <c r="Z236" s="698" t="s">
        <v>460</v>
      </c>
      <c r="AA236" s="682" t="s">
        <v>842</v>
      </c>
      <c r="AB236" s="678"/>
      <c r="AC236" s="683">
        <v>42809</v>
      </c>
      <c r="AD236" s="700" t="s">
        <v>1605</v>
      </c>
      <c r="AE236" s="685"/>
      <c r="AF236" s="701">
        <f>IF(CampList[[#This Row],[Type of Accomodation]]="camp",MAX(0,CampList[[#This Row],[HH]]-SUMIF(Table_Shelter[Pcode],CampList[[#This Row],[CP_Pcode]],Table_Shelter[HH Covered])),0)</f>
        <v>0</v>
      </c>
      <c r="AG236" s="476"/>
      <c r="AH236" s="677">
        <f>MIN(CampList[[#This Row],[Shelter Gap]],CampList[[#This Row],[Land Status]])</f>
        <v>0</v>
      </c>
      <c r="AI236" s="653" t="str">
        <f ca="1">IFERROR(OFFSET(DistanceToCamp[Nearest Town],MATCH(CampList[[#This Row],[CP_Pcode]],DistanceToCamp[CP_Pcode],0)-1,0,1,1),"")</f>
        <v>Puta-O Town</v>
      </c>
      <c r="AJ236" s="686">
        <f ca="1">IFERROR(OFFSET(DistanceToCamp[distance],MATCH(CampList[[#This Row],[CP_Pcode]],DistanceToCamp[CP_Pcode],0)-1,0,1,1),"")</f>
        <v>0</v>
      </c>
      <c r="AK236" s="687">
        <f ca="1">IFERROR(INT(CampList[[#This Row],[Distance]]/5)+1,"")</f>
        <v>1</v>
      </c>
      <c r="AL236" s="855"/>
      <c r="AM236" s="856">
        <v>274</v>
      </c>
      <c r="AN236" s="855"/>
      <c r="AO236" s="855"/>
      <c r="AP236" s="855"/>
      <c r="AQ236" s="855"/>
      <c r="AR236" s="855"/>
      <c r="AS236" s="855"/>
      <c r="AT236" s="855"/>
      <c r="AU236" s="855"/>
      <c r="AV236" s="855"/>
    </row>
    <row r="237" spans="1:48" s="481" customFormat="1" ht="15.75" hidden="1" customHeight="1" x14ac:dyDescent="0.25">
      <c r="A237" s="780" t="s">
        <v>843</v>
      </c>
      <c r="B237" s="781" t="s">
        <v>553</v>
      </c>
      <c r="C237" s="781" t="s">
        <v>536</v>
      </c>
      <c r="D237" s="781" t="s">
        <v>230</v>
      </c>
      <c r="E237" s="781" t="s">
        <v>537</v>
      </c>
      <c r="F237" s="781" t="s">
        <v>230</v>
      </c>
      <c r="G237" s="781" t="s">
        <v>538</v>
      </c>
      <c r="H237" s="782" t="s">
        <v>1049</v>
      </c>
      <c r="I237" s="783" t="s">
        <v>1050</v>
      </c>
      <c r="J237" s="782" t="s">
        <v>1506</v>
      </c>
      <c r="K237" s="782" t="s">
        <v>1507</v>
      </c>
      <c r="L237" s="798" t="s">
        <v>1511</v>
      </c>
      <c r="M237" s="784" t="s">
        <v>1478</v>
      </c>
      <c r="N237" s="785"/>
      <c r="O237" s="785"/>
      <c r="P237" s="786"/>
      <c r="Q237" s="788"/>
      <c r="R237" s="848">
        <v>0</v>
      </c>
      <c r="S237" s="787" t="str">
        <f>IF(CampList[[#This Row],[HH]]&gt;0,CampList[[#This Row],[Total]]/CampList[[#This Row],[HH]],"NA")</f>
        <v>NA</v>
      </c>
      <c r="T237" s="802" t="s">
        <v>511</v>
      </c>
      <c r="U237" s="789" t="s">
        <v>1191</v>
      </c>
      <c r="V237" s="788" t="s">
        <v>554</v>
      </c>
      <c r="W237" s="788" t="s">
        <v>803</v>
      </c>
      <c r="X237" s="790"/>
      <c r="Y237" s="786"/>
      <c r="Z237" s="786"/>
      <c r="AA237" s="785"/>
      <c r="AB237" s="785"/>
      <c r="AC237" s="791">
        <v>42752</v>
      </c>
      <c r="AD237" s="792" t="s">
        <v>1489</v>
      </c>
      <c r="AE237" s="793"/>
      <c r="AF237" s="794">
        <f>IF(CampList[[#This Row],[Type of Accomodation]]="camp",MAX(0,CampList[[#This Row],[HH]]-SUMIF(Table_Shelter[Pcode],CampList[[#This Row],[CP_Pcode]],Table_Shelter[HH Covered])),0)</f>
        <v>0</v>
      </c>
      <c r="AG237" s="788"/>
      <c r="AH237" s="795">
        <f>MIN(CampList[[#This Row],[Shelter Gap]],CampList[[#This Row],[Land Status]])</f>
        <v>0</v>
      </c>
      <c r="AI237" s="794" t="str">
        <f ca="1">IFERROR(OFFSET(DistanceToCamp[Nearest Town],MATCH(CampList[[#This Row],[CP_Pcode]],DistanceToCamp[CP_Pcode],0)-1,0,1,1),"")</f>
        <v/>
      </c>
      <c r="AJ237" s="796" t="str">
        <f ca="1">IFERROR(OFFSET(DistanceToCamp[distance],MATCH(CampList[[#This Row],[CP_Pcode]],DistanceToCamp[CP_Pcode],0)-1,0,1,1),"")</f>
        <v/>
      </c>
      <c r="AK237" s="797" t="str">
        <f ca="1">IFERROR(INT(CampList[[#This Row],[Distance]]/5)+1,"")</f>
        <v/>
      </c>
      <c r="AL237" s="855"/>
      <c r="AM237" s="856">
        <v>0</v>
      </c>
      <c r="AN237" s="855"/>
      <c r="AO237" s="855"/>
      <c r="AP237" s="855"/>
      <c r="AQ237" s="855"/>
      <c r="AR237" s="855"/>
      <c r="AS237" s="855"/>
      <c r="AT237" s="855"/>
      <c r="AU237" s="855"/>
      <c r="AV237" s="855"/>
    </row>
    <row r="238" spans="1:48" s="481" customFormat="1" ht="15.75" customHeight="1" x14ac:dyDescent="0.25">
      <c r="A238" s="675" t="s">
        <v>500</v>
      </c>
      <c r="B238" s="651" t="s">
        <v>380</v>
      </c>
      <c r="C238" s="651" t="s">
        <v>525</v>
      </c>
      <c r="D238" s="651" t="s">
        <v>180</v>
      </c>
      <c r="E238" s="651" t="s">
        <v>526</v>
      </c>
      <c r="F238" s="651" t="s">
        <v>173</v>
      </c>
      <c r="G238" s="651" t="s">
        <v>545</v>
      </c>
      <c r="H238" s="651" t="s">
        <v>1273</v>
      </c>
      <c r="I238" s="651" t="s">
        <v>1274</v>
      </c>
      <c r="J238" s="651" t="s">
        <v>1273</v>
      </c>
      <c r="K238" s="705">
        <v>166724</v>
      </c>
      <c r="L238" s="651" t="s">
        <v>1278</v>
      </c>
      <c r="M238" s="651" t="s">
        <v>1269</v>
      </c>
      <c r="N238" s="676">
        <v>96.793999999999997</v>
      </c>
      <c r="O238" s="676">
        <v>25.225000000000001</v>
      </c>
      <c r="P238" s="698"/>
      <c r="Q238" s="476">
        <v>24</v>
      </c>
      <c r="R238" s="708">
        <v>83</v>
      </c>
      <c r="S238" s="679">
        <f>IF(CampList[[#This Row],[HH]]&gt;0,CampList[[#This Row],[Total]]/CampList[[#This Row],[HH]],"NA")</f>
        <v>3.4583333333333335</v>
      </c>
      <c r="T238" s="653" t="s">
        <v>511</v>
      </c>
      <c r="U238" s="653" t="s">
        <v>1191</v>
      </c>
      <c r="V238" s="653" t="s">
        <v>12</v>
      </c>
      <c r="W238" s="653" t="s">
        <v>856</v>
      </c>
      <c r="X238" s="699">
        <v>42125</v>
      </c>
      <c r="Y238" s="698"/>
      <c r="Z238" s="682"/>
      <c r="AA238" s="682" t="s">
        <v>841</v>
      </c>
      <c r="AB238" s="682"/>
      <c r="AC238" s="683">
        <v>42180</v>
      </c>
      <c r="AD238" s="684" t="s">
        <v>1272</v>
      </c>
      <c r="AE238" s="708"/>
      <c r="AF238" s="476">
        <f>IF(CampList[[#This Row],[Type of Accomodation]]="camp",MAX(0,CampList[[#This Row],[HH]]-SUMIF(Table_Shelter[Pcode],CampList[[#This Row],[CP_Pcode]],Table_Shelter[HH Covered])),0)</f>
        <v>0</v>
      </c>
      <c r="AG238" s="653"/>
      <c r="AH238" s="682">
        <f>MIN(CampList[[#This Row],[Shelter Gap]],CampList[[#This Row],[Land Status]])</f>
        <v>0</v>
      </c>
      <c r="AI238" s="653" t="str">
        <f ca="1">IFERROR(OFFSET(DistanceToCamp[Nearest Town],MATCH(CampList[[#This Row],[CP_Pcode]],DistanceToCamp[CP_Pcode],0)-1,0,1,1),"")</f>
        <v>Mogaung Town</v>
      </c>
      <c r="AJ238" s="686">
        <f ca="1">IFERROR(OFFSET(DistanceToCamp[distance],MATCH(CampList[[#This Row],[CP_Pcode]],DistanceToCamp[CP_Pcode],0)-1,0,1,1),"")</f>
        <v>5</v>
      </c>
      <c r="AK238" s="687">
        <f ca="1">IFERROR(INT(CampList[[#This Row],[Distance]]/5)+1,"")</f>
        <v>2</v>
      </c>
      <c r="AL238" s="855"/>
      <c r="AM238" s="856">
        <v>83</v>
      </c>
      <c r="AN238" s="855"/>
      <c r="AO238" s="855"/>
      <c r="AP238" s="855"/>
      <c r="AQ238" s="855"/>
      <c r="AR238" s="855"/>
      <c r="AS238" s="855"/>
      <c r="AT238" s="855"/>
      <c r="AU238" s="855"/>
      <c r="AV238" s="855"/>
    </row>
    <row r="239" spans="1:48" s="481" customFormat="1" ht="15.75" customHeight="1" x14ac:dyDescent="0.25">
      <c r="A239" s="675" t="s">
        <v>500</v>
      </c>
      <c r="B239" s="651" t="s">
        <v>380</v>
      </c>
      <c r="C239" s="651" t="s">
        <v>525</v>
      </c>
      <c r="D239" s="651" t="s">
        <v>5</v>
      </c>
      <c r="E239" s="651" t="s">
        <v>529</v>
      </c>
      <c r="F239" s="651" t="s">
        <v>185</v>
      </c>
      <c r="G239" s="651" t="s">
        <v>533</v>
      </c>
      <c r="H239" s="651" t="s">
        <v>796</v>
      </c>
      <c r="I239" s="651" t="s">
        <v>797</v>
      </c>
      <c r="J239" s="651" t="s">
        <v>796</v>
      </c>
      <c r="K239" s="651">
        <v>167086</v>
      </c>
      <c r="L239" s="651" t="s">
        <v>227</v>
      </c>
      <c r="M239" s="651" t="s">
        <v>226</v>
      </c>
      <c r="N239" s="676">
        <v>97.416826999999998</v>
      </c>
      <c r="O239" s="676">
        <v>24.492493</v>
      </c>
      <c r="P239" s="677"/>
      <c r="Q239" s="701">
        <v>10</v>
      </c>
      <c r="R239" s="708">
        <v>38</v>
      </c>
      <c r="S239" s="679">
        <f>IF(CampList[[#This Row],[HH]]&gt;0,CampList[[#This Row],[Total]]/CampList[[#This Row],[HH]],"NA")</f>
        <v>3.8</v>
      </c>
      <c r="T239" s="653" t="s">
        <v>511</v>
      </c>
      <c r="U239" s="653" t="s">
        <v>1191</v>
      </c>
      <c r="V239" s="653" t="s">
        <v>12</v>
      </c>
      <c r="W239" s="653" t="s">
        <v>856</v>
      </c>
      <c r="X239" s="680"/>
      <c r="Y239" s="681"/>
      <c r="Z239" s="680"/>
      <c r="AA239" s="682" t="s">
        <v>841</v>
      </c>
      <c r="AB239" s="682"/>
      <c r="AC239" s="683">
        <v>41803</v>
      </c>
      <c r="AD239" s="684" t="s">
        <v>1068</v>
      </c>
      <c r="AE239" s="685" t="s">
        <v>1093</v>
      </c>
      <c r="AF239" s="476">
        <f>IF(CampList[[#This Row],[Type of Accomodation]]="camp",MAX(0,CampList[[#This Row],[HH]]-SUMIF(Table_Shelter[Pcode],CampList[[#This Row],[CP_Pcode]],Table_Shelter[HH Covered])),0)</f>
        <v>0</v>
      </c>
      <c r="AG239" s="653"/>
      <c r="AH239" s="682">
        <f>MIN(CampList[[#This Row],[Shelter Gap]],CampList[[#This Row],[Land Status]])</f>
        <v>0</v>
      </c>
      <c r="AI239" s="653" t="str">
        <f ca="1">IFERROR(OFFSET(DistanceToCamp[Nearest Town],MATCH(CampList[[#This Row],[CP_Pcode]],DistanceToCamp[CP_Pcode],0)-1,0,1,1),"")</f>
        <v>Dawthponeyan  Town</v>
      </c>
      <c r="AJ239" s="686">
        <f ca="1">IFERROR(OFFSET(DistanceToCamp[distance],MATCH(CampList[[#This Row],[CP_Pcode]],DistanceToCamp[CP_Pcode],0)-1,0,1,1),"")</f>
        <v>14.236592976936194</v>
      </c>
      <c r="AK239" s="687">
        <f ca="1">IFERROR(INT(CampList[[#This Row],[Distance]]/5)+1,"")</f>
        <v>3</v>
      </c>
      <c r="AL239" s="855"/>
      <c r="AM239" s="856">
        <v>38</v>
      </c>
      <c r="AN239" s="855"/>
      <c r="AO239" s="855"/>
      <c r="AP239" s="855"/>
      <c r="AQ239" s="855"/>
      <c r="AR239" s="855"/>
      <c r="AS239" s="855"/>
      <c r="AT239" s="855"/>
      <c r="AU239" s="855"/>
      <c r="AV239" s="855"/>
    </row>
    <row r="240" spans="1:48" s="481" customFormat="1" ht="15.75" hidden="1" customHeight="1" x14ac:dyDescent="0.25">
      <c r="A240" s="812" t="s">
        <v>843</v>
      </c>
      <c r="B240" s="651" t="s">
        <v>553</v>
      </c>
      <c r="C240" s="651" t="s">
        <v>536</v>
      </c>
      <c r="D240" s="651" t="s">
        <v>230</v>
      </c>
      <c r="E240" s="651" t="s">
        <v>537</v>
      </c>
      <c r="F240" s="651" t="s">
        <v>230</v>
      </c>
      <c r="G240" s="651" t="s">
        <v>538</v>
      </c>
      <c r="H240" s="813"/>
      <c r="I240" s="814"/>
      <c r="J240" s="813"/>
      <c r="K240" s="813"/>
      <c r="L240" s="815" t="s">
        <v>1501</v>
      </c>
      <c r="M240" s="652" t="s">
        <v>1479</v>
      </c>
      <c r="N240" s="816"/>
      <c r="O240" s="816"/>
      <c r="P240" s="817"/>
      <c r="Q240" s="472"/>
      <c r="R240" s="838"/>
      <c r="S240" s="818" t="str">
        <f>IF(CampList[[#This Row],[HH]]&gt;0,CampList[[#This Row],[Total]]/CampList[[#This Row],[HH]],"NA")</f>
        <v>NA</v>
      </c>
      <c r="T240" s="476" t="s">
        <v>511</v>
      </c>
      <c r="U240" s="819" t="s">
        <v>1191</v>
      </c>
      <c r="V240" s="472" t="s">
        <v>554</v>
      </c>
      <c r="W240" s="472"/>
      <c r="X240" s="820"/>
      <c r="Y240" s="817"/>
      <c r="Z240" s="817"/>
      <c r="AA240" s="816" t="s">
        <v>842</v>
      </c>
      <c r="AB240" s="816"/>
      <c r="AC240" s="821">
        <v>42831</v>
      </c>
      <c r="AD240" s="822" t="s">
        <v>1650</v>
      </c>
      <c r="AE240" s="823"/>
      <c r="AF240" s="824">
        <f>IF(CampList[[#This Row],[Type of Accomodation]]="camp",MAX(0,CampList[[#This Row],[HH]]-SUMIF(Table_Shelter[Pcode],CampList[[#This Row],[CP_Pcode]],Table_Shelter[HH Covered])),0)</f>
        <v>0</v>
      </c>
      <c r="AG240" s="472"/>
      <c r="AH240" s="825">
        <f>MIN(CampList[[#This Row],[Shelter Gap]],CampList[[#This Row],[Land Status]])</f>
        <v>0</v>
      </c>
      <c r="AI240" s="824" t="str">
        <f ca="1">IFERROR(OFFSET(DistanceToCamp[Nearest Town],MATCH(CampList[[#This Row],[CP_Pcode]],DistanceToCamp[CP_Pcode],0)-1,0,1,1),"")</f>
        <v/>
      </c>
      <c r="AJ240" s="826" t="str">
        <f ca="1">IFERROR(OFFSET(DistanceToCamp[distance],MATCH(CampList[[#This Row],[CP_Pcode]],DistanceToCamp[CP_Pcode],0)-1,0,1,1),"")</f>
        <v/>
      </c>
      <c r="AK240" s="827" t="str">
        <f ca="1">IFERROR(INT(CampList[[#This Row],[Distance]]/5)+1,"")</f>
        <v/>
      </c>
      <c r="AL240" s="855"/>
      <c r="AM240" s="856">
        <v>134</v>
      </c>
      <c r="AN240" s="855"/>
      <c r="AO240" s="855"/>
      <c r="AP240" s="855"/>
      <c r="AQ240" s="855"/>
      <c r="AR240" s="855"/>
      <c r="AS240" s="855"/>
      <c r="AT240" s="855"/>
      <c r="AU240" s="855"/>
      <c r="AV240" s="855"/>
    </row>
    <row r="241" spans="1:48" s="481" customFormat="1" ht="15.75" hidden="1" customHeight="1" x14ac:dyDescent="0.25">
      <c r="A241" s="812" t="s">
        <v>843</v>
      </c>
      <c r="B241" s="651" t="s">
        <v>553</v>
      </c>
      <c r="C241" s="651" t="s">
        <v>536</v>
      </c>
      <c r="D241" s="651" t="s">
        <v>230</v>
      </c>
      <c r="E241" s="651" t="s">
        <v>537</v>
      </c>
      <c r="F241" s="651" t="s">
        <v>230</v>
      </c>
      <c r="G241" s="651" t="s">
        <v>538</v>
      </c>
      <c r="H241" s="813" t="s">
        <v>1049</v>
      </c>
      <c r="I241" s="814" t="s">
        <v>1050</v>
      </c>
      <c r="J241" s="813" t="s">
        <v>1508</v>
      </c>
      <c r="K241" s="813" t="s">
        <v>1509</v>
      </c>
      <c r="L241" s="815" t="s">
        <v>1512</v>
      </c>
      <c r="M241" s="652" t="s">
        <v>1480</v>
      </c>
      <c r="N241" s="816"/>
      <c r="O241" s="816"/>
      <c r="P241" s="817"/>
      <c r="Q241" s="472"/>
      <c r="R241" s="838"/>
      <c r="S241" s="818" t="str">
        <f>IF(CampList[[#This Row],[HH]]&gt;0,CampList[[#This Row],[Total]]/CampList[[#This Row],[HH]],"NA")</f>
        <v>NA</v>
      </c>
      <c r="T241" s="476" t="s">
        <v>511</v>
      </c>
      <c r="U241" s="819" t="s">
        <v>1191</v>
      </c>
      <c r="V241" s="472" t="s">
        <v>554</v>
      </c>
      <c r="W241" s="472" t="s">
        <v>803</v>
      </c>
      <c r="X241" s="820"/>
      <c r="Y241" s="817"/>
      <c r="Z241" s="817"/>
      <c r="AA241" s="816" t="s">
        <v>842</v>
      </c>
      <c r="AB241" s="816"/>
      <c r="AC241" s="821">
        <v>42831</v>
      </c>
      <c r="AD241" s="822" t="s">
        <v>1650</v>
      </c>
      <c r="AE241" s="823"/>
      <c r="AF241" s="824">
        <f>IF(CampList[[#This Row],[Type of Accomodation]]="camp",MAX(0,CampList[[#This Row],[HH]]-SUMIF(Table_Shelter[Pcode],CampList[[#This Row],[CP_Pcode]],Table_Shelter[HH Covered])),0)</f>
        <v>0</v>
      </c>
      <c r="AG241" s="472"/>
      <c r="AH241" s="825">
        <f>MIN(CampList[[#This Row],[Shelter Gap]],CampList[[#This Row],[Land Status]])</f>
        <v>0</v>
      </c>
      <c r="AI241" s="824" t="str">
        <f ca="1">IFERROR(OFFSET(DistanceToCamp[Nearest Town],MATCH(CampList[[#This Row],[CP_Pcode]],DistanceToCamp[CP_Pcode],0)-1,0,1,1),"")</f>
        <v/>
      </c>
      <c r="AJ241" s="826" t="str">
        <f ca="1">IFERROR(OFFSET(DistanceToCamp[distance],MATCH(CampList[[#This Row],[CP_Pcode]],DistanceToCamp[CP_Pcode],0)-1,0,1,1),"")</f>
        <v/>
      </c>
      <c r="AK241" s="827" t="str">
        <f ca="1">IFERROR(INT(CampList[[#This Row],[Distance]]/5)+1,"")</f>
        <v/>
      </c>
      <c r="AL241" s="855"/>
      <c r="AM241" s="856">
        <v>46</v>
      </c>
      <c r="AN241" s="855"/>
      <c r="AO241" s="855"/>
      <c r="AP241" s="855"/>
      <c r="AQ241" s="855"/>
      <c r="AR241" s="855"/>
      <c r="AS241" s="855"/>
      <c r="AT241" s="855"/>
      <c r="AU241" s="855"/>
      <c r="AV241" s="855"/>
    </row>
    <row r="242" spans="1:48" s="481" customFormat="1" ht="15.75" customHeight="1" x14ac:dyDescent="0.25">
      <c r="A242" s="704" t="s">
        <v>500</v>
      </c>
      <c r="B242" s="651" t="s">
        <v>380</v>
      </c>
      <c r="C242" s="651" t="s">
        <v>525</v>
      </c>
      <c r="D242" s="651" t="s">
        <v>300</v>
      </c>
      <c r="E242" s="651" t="s">
        <v>546</v>
      </c>
      <c r="F242" s="651" t="s">
        <v>300</v>
      </c>
      <c r="G242" s="651" t="s">
        <v>552</v>
      </c>
      <c r="H242" s="651" t="s">
        <v>800</v>
      </c>
      <c r="I242" s="651" t="s">
        <v>801</v>
      </c>
      <c r="J242" s="651" t="s">
        <v>1032</v>
      </c>
      <c r="K242" s="651" t="s">
        <v>1033</v>
      </c>
      <c r="L242" s="651" t="s">
        <v>301</v>
      </c>
      <c r="M242" s="651" t="s">
        <v>299</v>
      </c>
      <c r="N242" s="676">
        <v>97.415289999999999</v>
      </c>
      <c r="O242" s="676">
        <v>27.311699999999998</v>
      </c>
      <c r="P242" s="677">
        <v>476.7</v>
      </c>
      <c r="Q242" s="701">
        <v>14</v>
      </c>
      <c r="R242" s="708">
        <v>64</v>
      </c>
      <c r="S242" s="679">
        <f>IF(CampList[[#This Row],[HH]]&gt;0,CampList[[#This Row],[Total]]/CampList[[#This Row],[HH]],"NA")</f>
        <v>4.5714285714285712</v>
      </c>
      <c r="T242" s="653" t="s">
        <v>511</v>
      </c>
      <c r="U242" s="653" t="s">
        <v>1191</v>
      </c>
      <c r="V242" s="653" t="s">
        <v>12</v>
      </c>
      <c r="W242" s="653" t="s">
        <v>856</v>
      </c>
      <c r="X242" s="680"/>
      <c r="Y242" s="681"/>
      <c r="Z242" s="680"/>
      <c r="AA242" s="682" t="s">
        <v>842</v>
      </c>
      <c r="AB242" s="682"/>
      <c r="AC242" s="683">
        <v>41736</v>
      </c>
      <c r="AD242" s="684" t="s">
        <v>1039</v>
      </c>
      <c r="AE242" s="685" t="s">
        <v>1079</v>
      </c>
      <c r="AF242" s="476">
        <f>IF(CampList[[#This Row],[Type of Accomodation]]="camp",MAX(0,CampList[[#This Row],[HH]]-SUMIF(Table_Shelter[Pcode],CampList[[#This Row],[CP_Pcode]],Table_Shelter[HH Covered])),0)</f>
        <v>0</v>
      </c>
      <c r="AG242" s="653"/>
      <c r="AH242" s="682">
        <f>MIN(CampList[[#This Row],[Shelter Gap]],CampList[[#This Row],[Land Status]])</f>
        <v>0</v>
      </c>
      <c r="AI242" s="653" t="str">
        <f ca="1">IFERROR(OFFSET(DistanceToCamp[Nearest Town],MATCH(CampList[[#This Row],[CP_Pcode]],DistanceToCamp[CP_Pcode],0)-1,0,1,1),"")</f>
        <v>Puta-O Town</v>
      </c>
      <c r="AJ242" s="686">
        <f ca="1">IFERROR(OFFSET(DistanceToCamp[distance],MATCH(CampList[[#This Row],[CP_Pcode]],DistanceToCamp[CP_Pcode],0)-1,0,1,1),"")</f>
        <v>1.3759254000531889</v>
      </c>
      <c r="AK242" s="687">
        <f ca="1">IFERROR(INT(CampList[[#This Row],[Distance]]/5)+1,"")</f>
        <v>1</v>
      </c>
      <c r="AL242" s="855"/>
      <c r="AM242" s="856">
        <v>64</v>
      </c>
      <c r="AN242" s="855"/>
      <c r="AO242" s="855"/>
      <c r="AP242" s="855"/>
      <c r="AQ242" s="855"/>
      <c r="AR242" s="855"/>
      <c r="AS242" s="855"/>
      <c r="AT242" s="855"/>
      <c r="AU242" s="855"/>
      <c r="AV242" s="855"/>
    </row>
    <row r="243" spans="1:48" s="481" customFormat="1" ht="15.75" customHeight="1" x14ac:dyDescent="0.25">
      <c r="A243" s="704" t="s">
        <v>500</v>
      </c>
      <c r="B243" s="651" t="s">
        <v>380</v>
      </c>
      <c r="C243" s="651" t="s">
        <v>525</v>
      </c>
      <c r="D243" s="651" t="s">
        <v>5</v>
      </c>
      <c r="E243" s="651" t="s">
        <v>529</v>
      </c>
      <c r="F243" s="651" t="s">
        <v>302</v>
      </c>
      <c r="G243" s="651" t="s">
        <v>540</v>
      </c>
      <c r="H243" s="651" t="s">
        <v>621</v>
      </c>
      <c r="I243" s="651" t="s">
        <v>622</v>
      </c>
      <c r="J243" s="651" t="s">
        <v>621</v>
      </c>
      <c r="K243" s="651" t="s">
        <v>623</v>
      </c>
      <c r="L243" s="651" t="s">
        <v>306</v>
      </c>
      <c r="M243" s="651" t="s">
        <v>305</v>
      </c>
      <c r="N243" s="676">
        <v>96.807353000000006</v>
      </c>
      <c r="O243" s="676">
        <v>24.200361000000001</v>
      </c>
      <c r="P243" s="677">
        <v>0</v>
      </c>
      <c r="Q243" s="476">
        <v>86</v>
      </c>
      <c r="R243" s="476">
        <v>313</v>
      </c>
      <c r="S243" s="679">
        <f>IF(CampList[[#This Row],[HH]]&gt;0,CampList[[#This Row],[Total]]/CampList[[#This Row],[HH]],"NA")</f>
        <v>3.63953488372093</v>
      </c>
      <c r="T243" s="653" t="s">
        <v>511</v>
      </c>
      <c r="U243" s="653" t="s">
        <v>1191</v>
      </c>
      <c r="V243" s="653" t="s">
        <v>554</v>
      </c>
      <c r="W243" s="653" t="s">
        <v>803</v>
      </c>
      <c r="X243" s="680">
        <v>40725</v>
      </c>
      <c r="Y243" s="681">
        <v>1</v>
      </c>
      <c r="Z243" s="680" t="s">
        <v>460</v>
      </c>
      <c r="AA243" s="682" t="s">
        <v>842</v>
      </c>
      <c r="AB243" s="682"/>
      <c r="AC243" s="683">
        <v>42809</v>
      </c>
      <c r="AD243" s="684" t="s">
        <v>1636</v>
      </c>
      <c r="AE243" s="685" t="s">
        <v>1093</v>
      </c>
      <c r="AF243" s="476">
        <f>IF(CampList[[#This Row],[Type of Accomodation]]="camp",MAX(0,CampList[[#This Row],[HH]]-SUMIF(Table_Shelter[Pcode],CampList[[#This Row],[CP_Pcode]],Table_Shelter[HH Covered])),0)</f>
        <v>44</v>
      </c>
      <c r="AG243" s="653"/>
      <c r="AH243" s="682">
        <f>MIN(CampList[[#This Row],[Shelter Gap]],CampList[[#This Row],[Land Status]])</f>
        <v>44</v>
      </c>
      <c r="AI243" s="653" t="str">
        <f ca="1">IFERROR(OFFSET(DistanceToCamp[Nearest Town],MATCH(CampList[[#This Row],[CP_Pcode]],DistanceToCamp[CP_Pcode],0)-1,0,1,1),"")</f>
        <v>Shwegu Town</v>
      </c>
      <c r="AJ243" s="686">
        <f ca="1">IFERROR(OFFSET(DistanceToCamp[distance],MATCH(CampList[[#This Row],[CP_Pcode]],DistanceToCamp[CP_Pcode],0)-1,0,1,1),"")</f>
        <v>0.74396039478864395</v>
      </c>
      <c r="AK243" s="687">
        <f ca="1">IFERROR(INT(CampList[[#This Row],[Distance]]/5)+1,"")</f>
        <v>1</v>
      </c>
      <c r="AL243" s="855"/>
      <c r="AM243" s="856">
        <v>313</v>
      </c>
      <c r="AN243" s="855"/>
      <c r="AO243" s="855"/>
      <c r="AP243" s="855"/>
      <c r="AQ243" s="855"/>
      <c r="AR243" s="855"/>
      <c r="AS243" s="855"/>
      <c r="AT243" s="855"/>
      <c r="AU243" s="855"/>
      <c r="AV243" s="855"/>
    </row>
    <row r="244" spans="1:48" s="481" customFormat="1" ht="15.75" customHeight="1" x14ac:dyDescent="0.25">
      <c r="A244" s="709" t="s">
        <v>500</v>
      </c>
      <c r="B244" s="652" t="s">
        <v>380</v>
      </c>
      <c r="C244" s="652" t="s">
        <v>525</v>
      </c>
      <c r="D244" s="652" t="s">
        <v>5</v>
      </c>
      <c r="E244" s="652" t="s">
        <v>529</v>
      </c>
      <c r="F244" s="652" t="s">
        <v>302</v>
      </c>
      <c r="G244" s="652" t="s">
        <v>540</v>
      </c>
      <c r="H244" s="652" t="s">
        <v>621</v>
      </c>
      <c r="I244" s="696" t="s">
        <v>622</v>
      </c>
      <c r="J244" s="652" t="s">
        <v>621</v>
      </c>
      <c r="K244" s="652" t="s">
        <v>623</v>
      </c>
      <c r="L244" s="652" t="s">
        <v>308</v>
      </c>
      <c r="M244" s="652" t="s">
        <v>307</v>
      </c>
      <c r="N244" s="678">
        <v>96.807353000000006</v>
      </c>
      <c r="O244" s="678">
        <v>24.200367</v>
      </c>
      <c r="P244" s="698"/>
      <c r="Q244" s="844">
        <v>32</v>
      </c>
      <c r="R244" s="844">
        <v>136</v>
      </c>
      <c r="S244" s="679">
        <f>IF(CampList[[#This Row],[HH]]&gt;0,CampList[[#This Row],[Total]]/CampList[[#This Row],[HH]],"NA")</f>
        <v>4.25</v>
      </c>
      <c r="T244" s="476" t="s">
        <v>511</v>
      </c>
      <c r="U244" s="653" t="s">
        <v>1191</v>
      </c>
      <c r="V244" s="476" t="s">
        <v>554</v>
      </c>
      <c r="W244" s="476" t="s">
        <v>803</v>
      </c>
      <c r="X244" s="699">
        <v>40725</v>
      </c>
      <c r="Y244" s="698">
        <v>2</v>
      </c>
      <c r="Z244" s="698" t="s">
        <v>1089</v>
      </c>
      <c r="AA244" s="678" t="s">
        <v>842</v>
      </c>
      <c r="AB244" s="678"/>
      <c r="AC244" s="683">
        <v>42780</v>
      </c>
      <c r="AD244" s="700" t="s">
        <v>1525</v>
      </c>
      <c r="AE244" s="685" t="s">
        <v>1093</v>
      </c>
      <c r="AF244" s="701">
        <f>IF(CampList[[#This Row],[Type of Accomodation]]="camp",MAX(0,CampList[[#This Row],[HH]]-SUMIF(Table_Shelter[Pcode],CampList[[#This Row],[CP_Pcode]],Table_Shelter[HH Covered])),0)</f>
        <v>0</v>
      </c>
      <c r="AG244" s="476"/>
      <c r="AH244" s="677">
        <f>MIN(CampList[[#This Row],[Shelter Gap]],CampList[[#This Row],[Land Status]])</f>
        <v>0</v>
      </c>
      <c r="AI244" s="701" t="str">
        <f ca="1">IFERROR(OFFSET(DistanceToCamp[Nearest Town],MATCH(CampList[[#This Row],[CP_Pcode]],DistanceToCamp[CP_Pcode],0)-1,0,1,1),"")</f>
        <v>Shwegu Town</v>
      </c>
      <c r="AJ244" s="686">
        <f ca="1">IFERROR(OFFSET(DistanceToCamp[distance],MATCH(CampList[[#This Row],[CP_Pcode]],DistanceToCamp[CP_Pcode],0)-1,0,1,1),"")</f>
        <v>0.74330366237812662</v>
      </c>
      <c r="AK244" s="702">
        <f ca="1">IFERROR(INT(CampList[[#This Row],[Distance]]/5)+1,"")</f>
        <v>1</v>
      </c>
      <c r="AL244" s="855"/>
      <c r="AM244" s="856">
        <v>136</v>
      </c>
      <c r="AN244" s="855"/>
      <c r="AO244" s="855"/>
      <c r="AP244" s="855"/>
      <c r="AQ244" s="855"/>
      <c r="AR244" s="855"/>
      <c r="AS244" s="855"/>
      <c r="AT244" s="855"/>
      <c r="AU244" s="855"/>
      <c r="AV244" s="855"/>
    </row>
    <row r="245" spans="1:48" s="481" customFormat="1" ht="15.75" hidden="1" customHeight="1" x14ac:dyDescent="0.25">
      <c r="A245" s="812" t="s">
        <v>843</v>
      </c>
      <c r="B245" s="651" t="s">
        <v>553</v>
      </c>
      <c r="C245" s="651" t="s">
        <v>536</v>
      </c>
      <c r="D245" s="651" t="s">
        <v>230</v>
      </c>
      <c r="E245" s="651" t="s">
        <v>537</v>
      </c>
      <c r="F245" s="651" t="s">
        <v>230</v>
      </c>
      <c r="G245" s="651" t="s">
        <v>538</v>
      </c>
      <c r="H245" s="813" t="s">
        <v>1513</v>
      </c>
      <c r="I245" s="814" t="s">
        <v>1514</v>
      </c>
      <c r="J245" s="813" t="s">
        <v>1515</v>
      </c>
      <c r="K245" s="813">
        <v>208003</v>
      </c>
      <c r="L245" s="815" t="s">
        <v>1516</v>
      </c>
      <c r="M245" s="652" t="s">
        <v>1481</v>
      </c>
      <c r="N245" s="816"/>
      <c r="O245" s="816"/>
      <c r="P245" s="817"/>
      <c r="Q245" s="472"/>
      <c r="R245" s="838"/>
      <c r="S245" s="818" t="str">
        <f>IF(CampList[[#This Row],[HH]]&gt;0,CampList[[#This Row],[Total]]/CampList[[#This Row],[HH]],"NA")</f>
        <v>NA</v>
      </c>
      <c r="T245" s="476" t="s">
        <v>511</v>
      </c>
      <c r="U245" s="819" t="s">
        <v>1191</v>
      </c>
      <c r="V245" s="472" t="s">
        <v>554</v>
      </c>
      <c r="W245" s="472" t="s">
        <v>856</v>
      </c>
      <c r="X245" s="820"/>
      <c r="Y245" s="817"/>
      <c r="Z245" s="817"/>
      <c r="AA245" s="816" t="s">
        <v>842</v>
      </c>
      <c r="AB245" s="816"/>
      <c r="AC245" s="821">
        <v>42831</v>
      </c>
      <c r="AD245" s="822" t="s">
        <v>1650</v>
      </c>
      <c r="AE245" s="823"/>
      <c r="AF245" s="824">
        <f>IF(CampList[[#This Row],[Type of Accomodation]]="camp",MAX(0,CampList[[#This Row],[HH]]-SUMIF(Table_Shelter[Pcode],CampList[[#This Row],[CP_Pcode]],Table_Shelter[HH Covered])),0)</f>
        <v>0</v>
      </c>
      <c r="AG245" s="472"/>
      <c r="AH245" s="825">
        <f>MIN(CampList[[#This Row],[Shelter Gap]],CampList[[#This Row],[Land Status]])</f>
        <v>0</v>
      </c>
      <c r="AI245" s="824" t="str">
        <f ca="1">IFERROR(OFFSET(DistanceToCamp[Nearest Town],MATCH(CampList[[#This Row],[CP_Pcode]],DistanceToCamp[CP_Pcode],0)-1,0,1,1),"")</f>
        <v/>
      </c>
      <c r="AJ245" s="826" t="str">
        <f ca="1">IFERROR(OFFSET(DistanceToCamp[distance],MATCH(CampList[[#This Row],[CP_Pcode]],DistanceToCamp[CP_Pcode],0)-1,0,1,1),"")</f>
        <v/>
      </c>
      <c r="AK245" s="827" t="str">
        <f ca="1">IFERROR(INT(CampList[[#This Row],[Distance]]/5)+1,"")</f>
        <v/>
      </c>
      <c r="AL245" s="855"/>
      <c r="AM245" s="856">
        <v>8</v>
      </c>
      <c r="AN245" s="855"/>
      <c r="AO245" s="855"/>
      <c r="AP245" s="855"/>
      <c r="AQ245" s="855"/>
      <c r="AR245" s="855"/>
      <c r="AS245" s="855"/>
      <c r="AT245" s="855"/>
      <c r="AU245" s="855"/>
      <c r="AV245" s="855"/>
    </row>
    <row r="246" spans="1:48" s="481" customFormat="1" ht="15.75" hidden="1" customHeight="1" x14ac:dyDescent="0.25">
      <c r="A246" s="812" t="s">
        <v>843</v>
      </c>
      <c r="B246" s="651" t="s">
        <v>553</v>
      </c>
      <c r="C246" s="651" t="s">
        <v>536</v>
      </c>
      <c r="D246" s="651" t="s">
        <v>230</v>
      </c>
      <c r="E246" s="651" t="s">
        <v>537</v>
      </c>
      <c r="F246" s="651" t="s">
        <v>230</v>
      </c>
      <c r="G246" s="651" t="s">
        <v>538</v>
      </c>
      <c r="H246" s="813" t="s">
        <v>1049</v>
      </c>
      <c r="I246" s="814" t="s">
        <v>1050</v>
      </c>
      <c r="J246" s="813" t="s">
        <v>1051</v>
      </c>
      <c r="K246" s="813" t="s">
        <v>1052</v>
      </c>
      <c r="L246" s="815" t="s">
        <v>1494</v>
      </c>
      <c r="M246" s="652" t="s">
        <v>1482</v>
      </c>
      <c r="N246" s="816"/>
      <c r="O246" s="816"/>
      <c r="P246" s="817"/>
      <c r="Q246" s="472"/>
      <c r="R246" s="838"/>
      <c r="S246" s="818" t="str">
        <f>IF(CampList[[#This Row],[HH]]&gt;0,CampList[[#This Row],[Total]]/CampList[[#This Row],[HH]],"NA")</f>
        <v>NA</v>
      </c>
      <c r="T246" s="476" t="s">
        <v>511</v>
      </c>
      <c r="U246" s="819" t="s">
        <v>1191</v>
      </c>
      <c r="V246" s="472" t="s">
        <v>554</v>
      </c>
      <c r="W246" s="472" t="s">
        <v>803</v>
      </c>
      <c r="X246" s="820"/>
      <c r="Y246" s="817"/>
      <c r="Z246" s="817"/>
      <c r="AA246" s="816" t="s">
        <v>842</v>
      </c>
      <c r="AB246" s="816"/>
      <c r="AC246" s="821">
        <v>42831</v>
      </c>
      <c r="AD246" s="822" t="s">
        <v>1650</v>
      </c>
      <c r="AE246" s="823"/>
      <c r="AF246" s="824">
        <f>IF(CampList[[#This Row],[Type of Accomodation]]="camp",MAX(0,CampList[[#This Row],[HH]]-SUMIF(Table_Shelter[Pcode],CampList[[#This Row],[CP_Pcode]],Table_Shelter[HH Covered])),0)</f>
        <v>0</v>
      </c>
      <c r="AG246" s="472"/>
      <c r="AH246" s="825">
        <f>MIN(CampList[[#This Row],[Shelter Gap]],CampList[[#This Row],[Land Status]])</f>
        <v>0</v>
      </c>
      <c r="AI246" s="824" t="str">
        <f ca="1">IFERROR(OFFSET(DistanceToCamp[Nearest Town],MATCH(CampList[[#This Row],[CP_Pcode]],DistanceToCamp[CP_Pcode],0)-1,0,1,1),"")</f>
        <v/>
      </c>
      <c r="AJ246" s="826" t="str">
        <f ca="1">IFERROR(OFFSET(DistanceToCamp[distance],MATCH(CampList[[#This Row],[CP_Pcode]],DistanceToCamp[CP_Pcode],0)-1,0,1,1),"")</f>
        <v/>
      </c>
      <c r="AK246" s="827" t="str">
        <f ca="1">IFERROR(INT(CampList[[#This Row],[Distance]]/5)+1,"")</f>
        <v/>
      </c>
      <c r="AL246" s="855"/>
      <c r="AM246" s="856">
        <v>44</v>
      </c>
      <c r="AN246" s="855"/>
      <c r="AO246" s="855"/>
      <c r="AP246" s="855"/>
      <c r="AQ246" s="855"/>
      <c r="AR246" s="855"/>
      <c r="AS246" s="855"/>
      <c r="AT246" s="855"/>
      <c r="AU246" s="855"/>
      <c r="AV246" s="855"/>
    </row>
    <row r="247" spans="1:48" s="481" customFormat="1" ht="15.75" customHeight="1" x14ac:dyDescent="0.25">
      <c r="A247" s="695" t="s">
        <v>500</v>
      </c>
      <c r="B247" s="652" t="s">
        <v>380</v>
      </c>
      <c r="C247" s="651" t="s">
        <v>525</v>
      </c>
      <c r="D247" s="651" t="s">
        <v>300</v>
      </c>
      <c r="E247" s="651" t="s">
        <v>546</v>
      </c>
      <c r="F247" s="651" t="s">
        <v>808</v>
      </c>
      <c r="G247" s="651" t="s">
        <v>809</v>
      </c>
      <c r="H247" s="652"/>
      <c r="I247" s="696"/>
      <c r="J247" s="652"/>
      <c r="K247" s="652"/>
      <c r="L247" s="651" t="s">
        <v>1298</v>
      </c>
      <c r="M247" s="652" t="s">
        <v>1299</v>
      </c>
      <c r="N247" s="721">
        <v>97.745480999999998</v>
      </c>
      <c r="O247" s="721">
        <v>26.569633</v>
      </c>
      <c r="P247" s="698"/>
      <c r="Q247" s="476">
        <v>146</v>
      </c>
      <c r="R247" s="708">
        <v>575</v>
      </c>
      <c r="S247" s="679">
        <f>IF(CampList[[#This Row],[HH]]&gt;0,CampList[[#This Row],[Total]]/CampList[[#This Row],[HH]],"NA")</f>
        <v>3.9383561643835616</v>
      </c>
      <c r="T247" s="476" t="s">
        <v>511</v>
      </c>
      <c r="U247" s="653" t="s">
        <v>1191</v>
      </c>
      <c r="V247" s="476" t="s">
        <v>554</v>
      </c>
      <c r="W247" s="476" t="s">
        <v>856</v>
      </c>
      <c r="X247" s="699">
        <v>42036</v>
      </c>
      <c r="Y247" s="698"/>
      <c r="Z247" s="698" t="s">
        <v>460</v>
      </c>
      <c r="AA247" s="678" t="s">
        <v>842</v>
      </c>
      <c r="AB247" s="678"/>
      <c r="AC247" s="683">
        <v>42809</v>
      </c>
      <c r="AD247" s="722" t="s">
        <v>1625</v>
      </c>
      <c r="AE247" s="685"/>
      <c r="AF247" s="701">
        <f>IF(CampList[[#This Row],[Type of Accomodation]]="camp",MAX(0,CampList[[#This Row],[HH]]-SUMIF(Table_Shelter[Pcode],CampList[[#This Row],[CP_Pcode]],Table_Shelter[HH Covered])),0)</f>
        <v>146</v>
      </c>
      <c r="AG247" s="476"/>
      <c r="AH247" s="677">
        <f>MIN(CampList[[#This Row],[Shelter Gap]],CampList[[#This Row],[Land Status]])</f>
        <v>146</v>
      </c>
      <c r="AI247" s="653" t="str">
        <f ca="1">IFERROR(OFFSET(DistanceToCamp[Nearest Town],MATCH(CampList[[#This Row],[CP_Pcode]],DistanceToCamp[CP_Pcode],0)-1,0,1,1),"")</f>
        <v>Sumprabum Town</v>
      </c>
      <c r="AJ247" s="686">
        <f ca="1">IFERROR(OFFSET(DistanceToCamp[distance],MATCH(CampList[[#This Row],[CP_Pcode]],DistanceToCamp[CP_Pcode],0)-1,0,1,1),"")</f>
        <v>0</v>
      </c>
      <c r="AK247" s="687">
        <f ca="1">IFERROR(INT(CampList[[#This Row],[Distance]]/5)+1,"")</f>
        <v>1</v>
      </c>
      <c r="AL247" s="855"/>
      <c r="AM247" s="856">
        <v>575</v>
      </c>
      <c r="AN247" s="855"/>
      <c r="AO247" s="855"/>
      <c r="AP247" s="855"/>
      <c r="AQ247" s="855"/>
      <c r="AR247" s="855"/>
      <c r="AS247" s="855"/>
      <c r="AT247" s="855"/>
      <c r="AU247" s="855"/>
      <c r="AV247" s="855"/>
    </row>
    <row r="248" spans="1:48" s="444" customFormat="1" ht="15.75" customHeight="1" x14ac:dyDescent="0.25">
      <c r="A248" s="695" t="s">
        <v>500</v>
      </c>
      <c r="B248" s="652" t="s">
        <v>380</v>
      </c>
      <c r="C248" s="651" t="s">
        <v>525</v>
      </c>
      <c r="D248" s="651" t="s">
        <v>300</v>
      </c>
      <c r="E248" s="651" t="s">
        <v>546</v>
      </c>
      <c r="F248" s="651" t="s">
        <v>808</v>
      </c>
      <c r="G248" s="651" t="s">
        <v>809</v>
      </c>
      <c r="H248" s="652"/>
      <c r="I248" s="696"/>
      <c r="J248" s="652"/>
      <c r="K248" s="652"/>
      <c r="L248" s="652" t="s">
        <v>1300</v>
      </c>
      <c r="M248" s="652" t="s">
        <v>1301</v>
      </c>
      <c r="N248" s="721">
        <v>97.75609</v>
      </c>
      <c r="O248" s="721">
        <v>26.548506</v>
      </c>
      <c r="P248" s="698"/>
      <c r="Q248" s="476">
        <v>67</v>
      </c>
      <c r="R248" s="708">
        <v>244</v>
      </c>
      <c r="S248" s="679">
        <f>IF(CampList[[#This Row],[HH]]&gt;0,CampList[[#This Row],[Total]]/CampList[[#This Row],[HH]],"NA")</f>
        <v>3.6417910447761193</v>
      </c>
      <c r="T248" s="476" t="s">
        <v>511</v>
      </c>
      <c r="U248" s="653" t="s">
        <v>1191</v>
      </c>
      <c r="V248" s="476" t="s">
        <v>554</v>
      </c>
      <c r="W248" s="476" t="s">
        <v>856</v>
      </c>
      <c r="X248" s="699">
        <v>42036</v>
      </c>
      <c r="Y248" s="698"/>
      <c r="Z248" s="698" t="s">
        <v>460</v>
      </c>
      <c r="AA248" s="678" t="s">
        <v>842</v>
      </c>
      <c r="AB248" s="678"/>
      <c r="AC248" s="683">
        <v>42809</v>
      </c>
      <c r="AD248" s="722" t="s">
        <v>1625</v>
      </c>
      <c r="AE248" s="685"/>
      <c r="AF248" s="701">
        <f>IF(CampList[[#This Row],[Type of Accomodation]]="camp",MAX(0,CampList[[#This Row],[HH]]-SUMIF(Table_Shelter[Pcode],CampList[[#This Row],[CP_Pcode]],Table_Shelter[HH Covered])),0)</f>
        <v>67</v>
      </c>
      <c r="AG248" s="476"/>
      <c r="AH248" s="677">
        <f>MIN(CampList[[#This Row],[Shelter Gap]],CampList[[#This Row],[Land Status]])</f>
        <v>67</v>
      </c>
      <c r="AI248" s="653" t="str">
        <f ca="1">IFERROR(OFFSET(DistanceToCamp[Nearest Town],MATCH(CampList[[#This Row],[CP_Pcode]],DistanceToCamp[CP_Pcode],0)-1,0,1,1),"")</f>
        <v>Sumprabum Town</v>
      </c>
      <c r="AJ248" s="686">
        <f ca="1">IFERROR(OFFSET(DistanceToCamp[distance],MATCH(CampList[[#This Row],[CP_Pcode]],DistanceToCamp[CP_Pcode],0)-1,0,1,1),"")</f>
        <v>0</v>
      </c>
      <c r="AK248" s="687">
        <f ca="1">IFERROR(INT(CampList[[#This Row],[Distance]]/5)+1,"")</f>
        <v>1</v>
      </c>
      <c r="AL248" s="669"/>
      <c r="AM248" s="856">
        <v>244</v>
      </c>
      <c r="AN248" s="669"/>
      <c r="AO248" s="669"/>
      <c r="AP248" s="669"/>
      <c r="AQ248" s="669"/>
      <c r="AR248" s="669"/>
      <c r="AS248" s="669"/>
      <c r="AT248" s="669"/>
      <c r="AU248" s="669"/>
      <c r="AV248" s="669"/>
    </row>
    <row r="249" spans="1:48" s="444" customFormat="1" ht="15.75" customHeight="1" x14ac:dyDescent="0.25">
      <c r="A249" s="704" t="s">
        <v>500</v>
      </c>
      <c r="B249" s="651" t="s">
        <v>380</v>
      </c>
      <c r="C249" s="651" t="s">
        <v>525</v>
      </c>
      <c r="D249" s="651" t="s">
        <v>300</v>
      </c>
      <c r="E249" s="651" t="s">
        <v>546</v>
      </c>
      <c r="F249" s="651" t="s">
        <v>808</v>
      </c>
      <c r="G249" s="651" t="s">
        <v>809</v>
      </c>
      <c r="H249" s="651" t="s">
        <v>810</v>
      </c>
      <c r="I249" s="651" t="s">
        <v>811</v>
      </c>
      <c r="J249" s="651"/>
      <c r="K249" s="651"/>
      <c r="L249" s="651" t="s">
        <v>808</v>
      </c>
      <c r="M249" s="651" t="s">
        <v>812</v>
      </c>
      <c r="N249" s="676">
        <v>97.568836000000005</v>
      </c>
      <c r="O249" s="676">
        <v>26.541930000000001</v>
      </c>
      <c r="P249" s="677">
        <v>1025</v>
      </c>
      <c r="Q249" s="701">
        <v>5</v>
      </c>
      <c r="R249" s="708">
        <v>32</v>
      </c>
      <c r="S249" s="679">
        <f>IF(CampList[[#This Row],[HH]]&gt;0,CampList[[#This Row],[Total]]/CampList[[#This Row],[HH]],"NA")</f>
        <v>6.4</v>
      </c>
      <c r="T249" s="653" t="s">
        <v>511</v>
      </c>
      <c r="U249" s="653" t="s">
        <v>1191</v>
      </c>
      <c r="V249" s="653" t="s">
        <v>554</v>
      </c>
      <c r="W249" s="653" t="s">
        <v>856</v>
      </c>
      <c r="X249" s="680"/>
      <c r="Y249" s="681"/>
      <c r="Z249" s="680"/>
      <c r="AA249" s="682" t="s">
        <v>841</v>
      </c>
      <c r="AB249" s="682"/>
      <c r="AC249" s="683"/>
      <c r="AD249" s="684" t="s">
        <v>601</v>
      </c>
      <c r="AE249" s="685" t="s">
        <v>1093</v>
      </c>
      <c r="AF249" s="476">
        <f>IF(CampList[[#This Row],[Type of Accomodation]]="camp",MAX(0,CampList[[#This Row],[HH]]-SUMIF(Table_Shelter[Pcode],CampList[[#This Row],[CP_Pcode]],Table_Shelter[HH Covered])),0)</f>
        <v>5</v>
      </c>
      <c r="AG249" s="653"/>
      <c r="AH249" s="682">
        <f>MIN(CampList[[#This Row],[Shelter Gap]],CampList[[#This Row],[Land Status]])</f>
        <v>5</v>
      </c>
      <c r="AI249" s="653" t="str">
        <f ca="1">IFERROR(OFFSET(DistanceToCamp[Nearest Town],MATCH(CampList[[#This Row],[CP_Pcode]],DistanceToCamp[CP_Pcode],0)-1,0,1,1),"")</f>
        <v>Sumprabum Town</v>
      </c>
      <c r="AJ249" s="686">
        <f ca="1">IFERROR(OFFSET(DistanceToCamp[distance],MATCH(CampList[[#This Row],[CP_Pcode]],DistanceToCamp[CP_Pcode],0)-1,0,1,1),"")</f>
        <v>0.23004407510846425</v>
      </c>
      <c r="AK249" s="687">
        <f ca="1">IFERROR(INT(CampList[[#This Row],[Distance]]/5)+1,"")</f>
        <v>1</v>
      </c>
      <c r="AL249" s="669"/>
      <c r="AM249" s="856">
        <v>32</v>
      </c>
      <c r="AN249" s="669"/>
      <c r="AO249" s="669"/>
      <c r="AP249" s="669"/>
      <c r="AQ249" s="669"/>
      <c r="AR249" s="669"/>
      <c r="AS249" s="669"/>
      <c r="AT249" s="669"/>
      <c r="AU249" s="669"/>
      <c r="AV249" s="669"/>
    </row>
    <row r="250" spans="1:48" s="444" customFormat="1" ht="15.75" customHeight="1" x14ac:dyDescent="0.25">
      <c r="A250" s="709" t="s">
        <v>500</v>
      </c>
      <c r="B250" s="652" t="s">
        <v>380</v>
      </c>
      <c r="C250" s="652" t="s">
        <v>525</v>
      </c>
      <c r="D250" s="652" t="s">
        <v>237</v>
      </c>
      <c r="E250" s="652" t="s">
        <v>531</v>
      </c>
      <c r="F250" s="652" t="s">
        <v>310</v>
      </c>
      <c r="G250" s="652" t="s">
        <v>532</v>
      </c>
      <c r="H250" s="652" t="s">
        <v>718</v>
      </c>
      <c r="I250" s="696" t="s">
        <v>769</v>
      </c>
      <c r="J250" s="652" t="s">
        <v>770</v>
      </c>
      <c r="K250" s="652">
        <v>165895</v>
      </c>
      <c r="L250" s="652" t="s">
        <v>334</v>
      </c>
      <c r="M250" s="652" t="s">
        <v>333</v>
      </c>
      <c r="N250" s="678">
        <v>97.915833000000006</v>
      </c>
      <c r="O250" s="678">
        <v>25.220278</v>
      </c>
      <c r="P250" s="698">
        <v>2404</v>
      </c>
      <c r="Q250" s="843">
        <v>161</v>
      </c>
      <c r="R250" s="843">
        <v>637</v>
      </c>
      <c r="S250" s="679">
        <f>IF(CampList[[#This Row],[HH]]&gt;0,CampList[[#This Row],[Total]]/CampList[[#This Row],[HH]],"NA")</f>
        <v>3.9565217391304346</v>
      </c>
      <c r="T250" s="476" t="s">
        <v>513</v>
      </c>
      <c r="U250" s="653" t="s">
        <v>1191</v>
      </c>
      <c r="V250" s="476" t="s">
        <v>554</v>
      </c>
      <c r="W250" s="476" t="s">
        <v>857</v>
      </c>
      <c r="X250" s="699">
        <v>40848</v>
      </c>
      <c r="Y250" s="698">
        <v>3</v>
      </c>
      <c r="Z250" s="698" t="s">
        <v>1090</v>
      </c>
      <c r="AA250" s="678" t="s">
        <v>842</v>
      </c>
      <c r="AB250" s="678"/>
      <c r="AC250" s="683">
        <v>42780</v>
      </c>
      <c r="AD250" s="700" t="s">
        <v>1542</v>
      </c>
      <c r="AE250" s="685" t="s">
        <v>1077</v>
      </c>
      <c r="AF250" s="701">
        <f>IF(CampList[[#This Row],[Type of Accomodation]]="camp",MAX(0,CampList[[#This Row],[HH]]-SUMIF(Table_Shelter[Pcode],CampList[[#This Row],[CP_Pcode]],Table_Shelter[HH Covered])),0)</f>
        <v>0</v>
      </c>
      <c r="AG250" s="476"/>
      <c r="AH250" s="677">
        <f>MIN(CampList[[#This Row],[Shelter Gap]],CampList[[#This Row],[Land Status]])</f>
        <v>0</v>
      </c>
      <c r="AI250" s="701" t="str">
        <f ca="1">IFERROR(OFFSET(DistanceToCamp[Nearest Town],MATCH(CampList[[#This Row],[CP_Pcode]],DistanceToCamp[CP_Pcode],0)-1,0,1,1),"")</f>
        <v>Sadung Town</v>
      </c>
      <c r="AJ250" s="686">
        <f ca="1">IFERROR(OFFSET(DistanceToCamp[distance],MATCH(CampList[[#This Row],[CP_Pcode]],DistanceToCamp[CP_Pcode],0)-1,0,1,1),"")</f>
        <v>18.198335991626355</v>
      </c>
      <c r="AK250" s="702">
        <f ca="1">IFERROR(INT(CampList[[#This Row],[Distance]]/5)+1,"")</f>
        <v>4</v>
      </c>
      <c r="AL250" s="669"/>
      <c r="AM250" s="856">
        <v>637</v>
      </c>
      <c r="AN250" s="669"/>
      <c r="AO250" s="669"/>
      <c r="AP250" s="669"/>
      <c r="AQ250" s="669"/>
      <c r="AR250" s="669"/>
      <c r="AS250" s="669"/>
      <c r="AT250" s="669"/>
      <c r="AU250" s="669"/>
      <c r="AV250" s="669"/>
    </row>
    <row r="251" spans="1:48" s="444" customFormat="1" ht="15.75" customHeight="1" x14ac:dyDescent="0.25">
      <c r="A251" s="704" t="s">
        <v>500</v>
      </c>
      <c r="B251" s="651" t="s">
        <v>380</v>
      </c>
      <c r="C251" s="651" t="s">
        <v>525</v>
      </c>
      <c r="D251" s="651" t="s">
        <v>237</v>
      </c>
      <c r="E251" s="651" t="s">
        <v>531</v>
      </c>
      <c r="F251" s="651" t="s">
        <v>310</v>
      </c>
      <c r="G251" s="651" t="s">
        <v>532</v>
      </c>
      <c r="H251" s="651" t="s">
        <v>624</v>
      </c>
      <c r="I251" s="651" t="s">
        <v>625</v>
      </c>
      <c r="J251" s="651" t="s">
        <v>624</v>
      </c>
      <c r="K251" s="651">
        <v>165735</v>
      </c>
      <c r="L251" s="651" t="s">
        <v>313</v>
      </c>
      <c r="M251" s="651" t="s">
        <v>312</v>
      </c>
      <c r="N251" s="676">
        <v>97.404195925926004</v>
      </c>
      <c r="O251" s="676">
        <v>25.321710740740698</v>
      </c>
      <c r="P251" s="677">
        <v>0</v>
      </c>
      <c r="Q251" s="842">
        <v>99</v>
      </c>
      <c r="R251" s="98">
        <v>472</v>
      </c>
      <c r="S251" s="679">
        <f>IF(CampList[[#This Row],[HH]]&gt;0,CampList[[#This Row],[Total]]/CampList[[#This Row],[HH]],"NA")</f>
        <v>4.7676767676767673</v>
      </c>
      <c r="T251" s="653" t="s">
        <v>511</v>
      </c>
      <c r="U251" s="653" t="s">
        <v>1191</v>
      </c>
      <c r="V251" s="653" t="s">
        <v>554</v>
      </c>
      <c r="W251" s="653" t="s">
        <v>856</v>
      </c>
      <c r="X251" s="680">
        <v>40695</v>
      </c>
      <c r="Y251" s="681">
        <v>2</v>
      </c>
      <c r="Z251" s="680" t="s">
        <v>505</v>
      </c>
      <c r="AA251" s="693" t="s">
        <v>842</v>
      </c>
      <c r="AB251" s="682"/>
      <c r="AC251" s="683">
        <v>42780</v>
      </c>
      <c r="AD251" s="675" t="s">
        <v>1561</v>
      </c>
      <c r="AE251" s="685" t="s">
        <v>1093</v>
      </c>
      <c r="AF251" s="476">
        <f>IF(CampList[[#This Row],[Type of Accomodation]]="camp",MAX(0,CampList[[#This Row],[HH]]-SUMIF(Table_Shelter[Pcode],CampList[[#This Row],[CP_Pcode]],Table_Shelter[HH Covered])),0)</f>
        <v>0</v>
      </c>
      <c r="AG251" s="653"/>
      <c r="AH251" s="682">
        <f>MIN(CampList[[#This Row],[Shelter Gap]],CampList[[#This Row],[Land Status]])</f>
        <v>0</v>
      </c>
      <c r="AI251" s="653" t="str">
        <f ca="1">IFERROR(OFFSET(DistanceToCamp[Nearest Town],MATCH(CampList[[#This Row],[CP_Pcode]],DistanceToCamp[CP_Pcode],0)-1,0,1,1),"")</f>
        <v>Waingmaw Town</v>
      </c>
      <c r="AJ251" s="686">
        <f ca="1">IFERROR(OFFSET(DistanceToCamp[distance],MATCH(CampList[[#This Row],[CP_Pcode]],DistanceToCamp[CP_Pcode],0)-1,0,1,1),"")</f>
        <v>5.0655036329811631</v>
      </c>
      <c r="AK251" s="687">
        <f ca="1">IFERROR(INT(CampList[[#This Row],[Distance]]/5)+1,"")</f>
        <v>2</v>
      </c>
      <c r="AL251" s="669"/>
      <c r="AM251" s="856">
        <v>472</v>
      </c>
      <c r="AN251" s="669"/>
      <c r="AO251" s="669"/>
      <c r="AP251" s="669"/>
      <c r="AQ251" s="669"/>
      <c r="AR251" s="669"/>
      <c r="AS251" s="669"/>
      <c r="AT251" s="669"/>
      <c r="AU251" s="669"/>
      <c r="AV251" s="669"/>
    </row>
    <row r="252" spans="1:48" s="444" customFormat="1" ht="15.75" customHeight="1" x14ac:dyDescent="0.25">
      <c r="A252" s="704" t="s">
        <v>500</v>
      </c>
      <c r="B252" s="651" t="s">
        <v>380</v>
      </c>
      <c r="C252" s="651" t="s">
        <v>525</v>
      </c>
      <c r="D252" s="651" t="s">
        <v>237</v>
      </c>
      <c r="E252" s="651" t="s">
        <v>531</v>
      </c>
      <c r="F252" s="651" t="s">
        <v>310</v>
      </c>
      <c r="G252" s="651" t="s">
        <v>532</v>
      </c>
      <c r="H252" s="651" t="s">
        <v>770</v>
      </c>
      <c r="I252" s="651" t="s">
        <v>769</v>
      </c>
      <c r="J252" s="694" t="s">
        <v>1368</v>
      </c>
      <c r="K252" s="694"/>
      <c r="L252" s="651" t="s">
        <v>336</v>
      </c>
      <c r="M252" s="651" t="s">
        <v>335</v>
      </c>
      <c r="N252" s="676">
        <v>97.807182999999995</v>
      </c>
      <c r="O252" s="676">
        <v>25.200333000000001</v>
      </c>
      <c r="P252" s="677">
        <v>1023</v>
      </c>
      <c r="Q252" s="464">
        <v>40</v>
      </c>
      <c r="R252" s="464">
        <v>225</v>
      </c>
      <c r="S252" s="679">
        <f>IF(CampList[[#This Row],[HH]]&gt;0,CampList[[#This Row],[Total]]/CampList[[#This Row],[HH]],"NA")</f>
        <v>5.625</v>
      </c>
      <c r="T252" s="653" t="s">
        <v>513</v>
      </c>
      <c r="U252" s="653" t="s">
        <v>1191</v>
      </c>
      <c r="V252" s="653" t="s">
        <v>554</v>
      </c>
      <c r="W252" s="653" t="s">
        <v>856</v>
      </c>
      <c r="X252" s="680">
        <v>40878</v>
      </c>
      <c r="Y252" s="681">
        <v>3</v>
      </c>
      <c r="Z252" s="680" t="s">
        <v>460</v>
      </c>
      <c r="AA252" s="693" t="s">
        <v>842</v>
      </c>
      <c r="AB252" s="682"/>
      <c r="AC252" s="683">
        <v>42809</v>
      </c>
      <c r="AD252" s="675" t="s">
        <v>1592</v>
      </c>
      <c r="AE252" s="685" t="s">
        <v>1077</v>
      </c>
      <c r="AF252" s="476">
        <f>IF(CampList[[#This Row],[Type of Accomodation]]="camp",MAX(0,CampList[[#This Row],[HH]]-SUMIF(Table_Shelter[Pcode],CampList[[#This Row],[CP_Pcode]],Table_Shelter[HH Covered])),0)</f>
        <v>0</v>
      </c>
      <c r="AG252" s="653"/>
      <c r="AH252" s="682">
        <f>MIN(CampList[[#This Row],[Shelter Gap]],CampList[[#This Row],[Land Status]])</f>
        <v>0</v>
      </c>
      <c r="AI252" s="653" t="str">
        <f ca="1">IFERROR(OFFSET(DistanceToCamp[Nearest Town],MATCH(CampList[[#This Row],[CP_Pcode]],DistanceToCamp[CP_Pcode],0)-1,0,1,1),"")</f>
        <v>Sadung Town</v>
      </c>
      <c r="AJ252" s="686">
        <f ca="1">IFERROR(OFFSET(DistanceToCamp[distance],MATCH(CampList[[#This Row],[CP_Pcode]],DistanceToCamp[CP_Pcode],0)-1,0,1,1),"")</f>
        <v>21.287604662770121</v>
      </c>
      <c r="AK252" s="687">
        <f ca="1">IFERROR(INT(CampList[[#This Row],[Distance]]/5)+1,"")</f>
        <v>5</v>
      </c>
      <c r="AL252" s="669"/>
      <c r="AM252" s="856">
        <v>225</v>
      </c>
      <c r="AN252" s="669"/>
      <c r="AO252" s="669"/>
      <c r="AP252" s="669"/>
      <c r="AQ252" s="669"/>
      <c r="AR252" s="669"/>
      <c r="AS252" s="669"/>
      <c r="AT252" s="669"/>
      <c r="AU252" s="669"/>
      <c r="AV252" s="669"/>
    </row>
    <row r="253" spans="1:48" s="444" customFormat="1" ht="15.75" customHeight="1" x14ac:dyDescent="0.25">
      <c r="A253" s="704" t="s">
        <v>500</v>
      </c>
      <c r="B253" s="651" t="s">
        <v>380</v>
      </c>
      <c r="C253" s="651" t="s">
        <v>525</v>
      </c>
      <c r="D253" s="651" t="s">
        <v>237</v>
      </c>
      <c r="E253" s="651" t="s">
        <v>531</v>
      </c>
      <c r="F253" s="651" t="s">
        <v>310</v>
      </c>
      <c r="G253" s="651" t="s">
        <v>532</v>
      </c>
      <c r="H253" s="651" t="s">
        <v>727</v>
      </c>
      <c r="I253" s="651" t="s">
        <v>728</v>
      </c>
      <c r="J253" s="651"/>
      <c r="K253" s="694"/>
      <c r="L253" s="651" t="s">
        <v>813</v>
      </c>
      <c r="M253" s="651" t="s">
        <v>814</v>
      </c>
      <c r="N253" s="676">
        <v>97.541793999999996</v>
      </c>
      <c r="O253" s="676">
        <v>24.752471</v>
      </c>
      <c r="P253" s="698"/>
      <c r="Q253" s="476"/>
      <c r="R253" s="708">
        <v>1047</v>
      </c>
      <c r="S253" s="679" t="str">
        <f>IF(CampList[[#This Row],[HH]]&gt;0,CampList[[#This Row],[Total]]/CampList[[#This Row],[HH]],"NA")</f>
        <v>NA</v>
      </c>
      <c r="T253" s="653" t="s">
        <v>513</v>
      </c>
      <c r="U253" s="653" t="s">
        <v>1191</v>
      </c>
      <c r="V253" s="653" t="s">
        <v>986</v>
      </c>
      <c r="W253" s="653" t="s">
        <v>803</v>
      </c>
      <c r="X253" s="699"/>
      <c r="Y253" s="698"/>
      <c r="Z253" s="682"/>
      <c r="AA253" s="693" t="s">
        <v>572</v>
      </c>
      <c r="AB253" s="682"/>
      <c r="AC253" s="683">
        <v>41899</v>
      </c>
      <c r="AD253" s="684" t="s">
        <v>1115</v>
      </c>
      <c r="AE253" s="708" t="s">
        <v>1078</v>
      </c>
      <c r="AF253" s="476">
        <f>IF(CampList[[#This Row],[Type of Accomodation]]="camp",MAX(0,CampList[[#This Row],[HH]]-SUMIF(Table_Shelter[Pcode],CampList[[#This Row],[CP_Pcode]],Table_Shelter[HH Covered])),0)</f>
        <v>0</v>
      </c>
      <c r="AG253" s="653"/>
      <c r="AH253" s="682">
        <f>MIN(CampList[[#This Row],[Shelter Gap]],CampList[[#This Row],[Land Status]])</f>
        <v>0</v>
      </c>
      <c r="AI253" s="653" t="str">
        <f ca="1">IFERROR(OFFSET(DistanceToCamp[Nearest Town],MATCH(CampList[[#This Row],[CP_Pcode]],DistanceToCamp[CP_Pcode],0)-1,0,1,1),"")</f>
        <v>Laiza town</v>
      </c>
      <c r="AJ253" s="686">
        <f ca="1">IFERROR(OFFSET(DistanceToCamp[distance],MATCH(CampList[[#This Row],[CP_Pcode]],DistanceToCamp[CP_Pcode],0)-1,0,1,1),"")</f>
        <v>2.3307568207764655</v>
      </c>
      <c r="AK253" s="687">
        <f ca="1">IFERROR(INT(CampList[[#This Row],[Distance]]/5)+1,"")</f>
        <v>1</v>
      </c>
      <c r="AL253" s="669"/>
      <c r="AM253" s="856">
        <v>1047</v>
      </c>
      <c r="AN253" s="669"/>
      <c r="AO253" s="669"/>
      <c r="AP253" s="669"/>
      <c r="AQ253" s="669"/>
      <c r="AR253" s="669"/>
      <c r="AS253" s="669"/>
      <c r="AT253" s="669"/>
      <c r="AU253" s="669"/>
      <c r="AV253" s="669"/>
    </row>
    <row r="254" spans="1:48" s="444" customFormat="1" ht="15.75" customHeight="1" x14ac:dyDescent="0.25">
      <c r="A254" s="695" t="s">
        <v>500</v>
      </c>
      <c r="B254" s="652" t="s">
        <v>380</v>
      </c>
      <c r="C254" s="652" t="s">
        <v>525</v>
      </c>
      <c r="D254" s="652" t="s">
        <v>5</v>
      </c>
      <c r="E254" s="652" t="s">
        <v>529</v>
      </c>
      <c r="F254" s="652" t="s">
        <v>310</v>
      </c>
      <c r="G254" s="652" t="s">
        <v>532</v>
      </c>
      <c r="H254" s="652" t="s">
        <v>764</v>
      </c>
      <c r="I254" s="696" t="s">
        <v>765</v>
      </c>
      <c r="J254" s="652" t="s">
        <v>802</v>
      </c>
      <c r="K254" s="652">
        <v>165816</v>
      </c>
      <c r="L254" s="652" t="s">
        <v>196</v>
      </c>
      <c r="M254" s="652" t="s">
        <v>195</v>
      </c>
      <c r="N254" s="678">
        <v>97.568331999999998</v>
      </c>
      <c r="O254" s="678">
        <v>24.688338999999999</v>
      </c>
      <c r="P254" s="698">
        <v>314</v>
      </c>
      <c r="Q254" s="476">
        <v>1649</v>
      </c>
      <c r="R254" s="708">
        <v>8965</v>
      </c>
      <c r="S254" s="679">
        <f>IF(CampList[[#This Row],[HH]]&gt;0,CampList[[#This Row],[Total]]/CampList[[#This Row],[HH]],"NA")</f>
        <v>5.4366282595512434</v>
      </c>
      <c r="T254" s="476" t="s">
        <v>513</v>
      </c>
      <c r="U254" s="653" t="s">
        <v>1191</v>
      </c>
      <c r="V254" s="476" t="s">
        <v>554</v>
      </c>
      <c r="W254" s="476" t="s">
        <v>856</v>
      </c>
      <c r="X254" s="699">
        <v>41061</v>
      </c>
      <c r="Y254" s="698">
        <v>7</v>
      </c>
      <c r="Z254" s="698" t="s">
        <v>1090</v>
      </c>
      <c r="AA254" s="678" t="s">
        <v>842</v>
      </c>
      <c r="AB254" s="678"/>
      <c r="AC254" s="683">
        <v>42780</v>
      </c>
      <c r="AD254" s="700" t="s">
        <v>1546</v>
      </c>
      <c r="AE254" s="685" t="s">
        <v>1078</v>
      </c>
      <c r="AF254" s="701">
        <f>IF(CampList[[#This Row],[Type of Accomodation]]="camp",MAX(0,CampList[[#This Row],[HH]]-SUMIF(Table_Shelter[Pcode],CampList[[#This Row],[CP_Pcode]],Table_Shelter[HH Covered])),0)</f>
        <v>454</v>
      </c>
      <c r="AG254" s="476"/>
      <c r="AH254" s="677">
        <f>MIN(CampList[[#This Row],[Shelter Gap]],CampList[[#This Row],[Land Status]])</f>
        <v>454</v>
      </c>
      <c r="AI254" s="701" t="str">
        <f ca="1">IFERROR(OFFSET(DistanceToCamp[Nearest Town],MATCH(CampList[[#This Row],[CP_Pcode]],DistanceToCamp[CP_Pcode],0)-1,0,1,1),"")</f>
        <v>Laiza town</v>
      </c>
      <c r="AJ254" s="686">
        <f ca="1">IFERROR(OFFSET(DistanceToCamp[distance],MATCH(CampList[[#This Row],[CP_Pcode]],DistanceToCamp[CP_Pcode],0)-1,0,1,1),"")</f>
        <v>7.985347533011188</v>
      </c>
      <c r="AK254" s="702">
        <f ca="1">IFERROR(INT(CampList[[#This Row],[Distance]]/5)+1,"")</f>
        <v>2</v>
      </c>
      <c r="AL254" s="669"/>
      <c r="AM254" s="856">
        <v>8965</v>
      </c>
      <c r="AN254" s="669"/>
      <c r="AO254" s="669"/>
      <c r="AP254" s="669"/>
      <c r="AQ254" s="669"/>
      <c r="AR254" s="669"/>
      <c r="AS254" s="669"/>
      <c r="AT254" s="669"/>
      <c r="AU254" s="669"/>
      <c r="AV254" s="669"/>
    </row>
    <row r="255" spans="1:48" s="444" customFormat="1" ht="15.75" hidden="1" customHeight="1" x14ac:dyDescent="0.25">
      <c r="A255" s="704" t="s">
        <v>500</v>
      </c>
      <c r="B255" s="651" t="s">
        <v>380</v>
      </c>
      <c r="C255" s="651" t="s">
        <v>525</v>
      </c>
      <c r="D255" s="651" t="s">
        <v>237</v>
      </c>
      <c r="E255" s="651" t="s">
        <v>531</v>
      </c>
      <c r="F255" s="651" t="s">
        <v>310</v>
      </c>
      <c r="G255" s="651" t="s">
        <v>532</v>
      </c>
      <c r="H255" s="651" t="s">
        <v>764</v>
      </c>
      <c r="I255" s="651" t="s">
        <v>765</v>
      </c>
      <c r="J255" s="651" t="s">
        <v>802</v>
      </c>
      <c r="K255" s="651">
        <v>165816</v>
      </c>
      <c r="L255" s="651" t="s">
        <v>340</v>
      </c>
      <c r="M255" s="651" t="s">
        <v>339</v>
      </c>
      <c r="N255" s="676">
        <v>97.718008999999995</v>
      </c>
      <c r="O255" s="676">
        <v>25.108011999999999</v>
      </c>
      <c r="P255" s="698"/>
      <c r="Q255" s="840">
        <v>355</v>
      </c>
      <c r="R255" s="841">
        <v>4450</v>
      </c>
      <c r="S255" s="679">
        <f>IF(CampList[[#This Row],[HH]]&gt;0,CampList[[#This Row],[Total]]/CampList[[#This Row],[HH]],"NA")</f>
        <v>12.535211267605634</v>
      </c>
      <c r="T255" s="653" t="s">
        <v>513</v>
      </c>
      <c r="U255" s="653" t="s">
        <v>1236</v>
      </c>
      <c r="V255" s="715" t="s">
        <v>1235</v>
      </c>
      <c r="W255" s="653" t="s">
        <v>803</v>
      </c>
      <c r="X255" s="699"/>
      <c r="Y255" s="698"/>
      <c r="Z255" s="682"/>
      <c r="AA255" s="693" t="s">
        <v>572</v>
      </c>
      <c r="AB255" s="682"/>
      <c r="AC255" s="683">
        <v>41803</v>
      </c>
      <c r="AD255" s="675" t="s">
        <v>1234</v>
      </c>
      <c r="AE255" s="708" t="s">
        <v>1093</v>
      </c>
      <c r="AF255" s="476">
        <f>IF(CampList[[#This Row],[Type of Accomodation]]="camp",MAX(0,CampList[[#This Row],[HH]]-SUMIF(Table_Shelter[Pcode],CampList[[#This Row],[CP_Pcode]],Table_Shelter[HH Covered])),0)</f>
        <v>0</v>
      </c>
      <c r="AG255" s="653"/>
      <c r="AH255" s="682">
        <f>MIN(CampList[[#This Row],[Shelter Gap]],CampList[[#This Row],[Land Status]])</f>
        <v>0</v>
      </c>
      <c r="AI255" s="653" t="str">
        <f ca="1">IFERROR(OFFSET(DistanceToCamp[Nearest Town],MATCH(CampList[[#This Row],[CP_Pcode]],DistanceToCamp[CP_Pcode],0)-1,0,1,1),"")</f>
        <v>Sadung Town</v>
      </c>
      <c r="AJ255" s="686">
        <f ca="1">IFERROR(OFFSET(DistanceToCamp[distance],MATCH(CampList[[#This Row],[CP_Pcode]],DistanceToCamp[CP_Pcode],0)-1,0,1,1),"")</f>
        <v>34.344689881690819</v>
      </c>
      <c r="AK255" s="687">
        <f ca="1">IFERROR(INT(CampList[[#This Row],[Distance]]/5)+1,"")</f>
        <v>7</v>
      </c>
      <c r="AL255" s="669"/>
      <c r="AM255" s="856">
        <v>4450</v>
      </c>
      <c r="AN255" s="669"/>
      <c r="AO255" s="669"/>
      <c r="AP255" s="669"/>
      <c r="AQ255" s="669"/>
      <c r="AR255" s="669"/>
      <c r="AS255" s="669"/>
      <c r="AT255" s="669"/>
      <c r="AU255" s="669"/>
      <c r="AV255" s="669"/>
    </row>
    <row r="256" spans="1:48" s="444" customFormat="1" ht="15.75" customHeight="1" x14ac:dyDescent="0.25">
      <c r="A256" s="704" t="s">
        <v>500</v>
      </c>
      <c r="B256" s="651" t="s">
        <v>380</v>
      </c>
      <c r="C256" s="651" t="s">
        <v>525</v>
      </c>
      <c r="D256" s="651" t="s">
        <v>237</v>
      </c>
      <c r="E256" s="651" t="s">
        <v>531</v>
      </c>
      <c r="F256" s="651" t="s">
        <v>310</v>
      </c>
      <c r="G256" s="651" t="s">
        <v>532</v>
      </c>
      <c r="H256" s="651" t="s">
        <v>719</v>
      </c>
      <c r="I256" s="651" t="s">
        <v>720</v>
      </c>
      <c r="J256" s="651" t="s">
        <v>721</v>
      </c>
      <c r="K256" s="651">
        <v>165730</v>
      </c>
      <c r="L256" s="651" t="s">
        <v>320</v>
      </c>
      <c r="M256" s="651" t="s">
        <v>319</v>
      </c>
      <c r="N256" s="676">
        <v>97.451965000000001</v>
      </c>
      <c r="O256" s="676">
        <v>25.356632000000001</v>
      </c>
      <c r="P256" s="677">
        <v>0</v>
      </c>
      <c r="Q256" s="476">
        <v>27</v>
      </c>
      <c r="R256" s="476">
        <v>145</v>
      </c>
      <c r="S256" s="679">
        <f>IF(CampList[[#This Row],[HH]]&gt;0,CampList[[#This Row],[Total]]/CampList[[#This Row],[HH]],"NA")</f>
        <v>5.3703703703703702</v>
      </c>
      <c r="T256" s="653" t="s">
        <v>511</v>
      </c>
      <c r="U256" s="653" t="s">
        <v>1191</v>
      </c>
      <c r="V256" s="653" t="s">
        <v>554</v>
      </c>
      <c r="W256" s="653" t="s">
        <v>803</v>
      </c>
      <c r="X256" s="680">
        <v>41030</v>
      </c>
      <c r="Y256" s="681">
        <v>1</v>
      </c>
      <c r="Z256" s="680" t="s">
        <v>460</v>
      </c>
      <c r="AA256" s="693" t="s">
        <v>842</v>
      </c>
      <c r="AB256" s="682"/>
      <c r="AC256" s="683">
        <v>42809</v>
      </c>
      <c r="AD256" s="675" t="s">
        <v>1606</v>
      </c>
      <c r="AE256" s="685" t="s">
        <v>1093</v>
      </c>
      <c r="AF256" s="476">
        <f>IF(CampList[[#This Row],[Type of Accomodation]]="camp",MAX(0,CampList[[#This Row],[HH]]-SUMIF(Table_Shelter[Pcode],CampList[[#This Row],[CP_Pcode]],Table_Shelter[HH Covered])),0)</f>
        <v>2</v>
      </c>
      <c r="AG256" s="653"/>
      <c r="AH256" s="682">
        <f>MIN(CampList[[#This Row],[Shelter Gap]],CampList[[#This Row],[Land Status]])</f>
        <v>2</v>
      </c>
      <c r="AI256" s="653" t="str">
        <f ca="1">IFERROR(OFFSET(DistanceToCamp[Nearest Town],MATCH(CampList[[#This Row],[CP_Pcode]],DistanceToCamp[CP_Pcode],0)-1,0,1,1),"")</f>
        <v>Waingmaw Town</v>
      </c>
      <c r="AJ256" s="686">
        <f ca="1">IFERROR(OFFSET(DistanceToCamp[distance],MATCH(CampList[[#This Row],[CP_Pcode]],DistanceToCamp[CP_Pcode],0)-1,0,1,1),"")</f>
        <v>1.1134935940025397</v>
      </c>
      <c r="AK256" s="687">
        <f ca="1">IFERROR(INT(CampList[[#This Row],[Distance]]/5)+1,"")</f>
        <v>1</v>
      </c>
      <c r="AL256" s="669"/>
      <c r="AM256" s="856">
        <v>145</v>
      </c>
      <c r="AN256" s="669"/>
      <c r="AO256" s="669"/>
      <c r="AP256" s="669"/>
      <c r="AQ256" s="669"/>
      <c r="AR256" s="669"/>
      <c r="AS256" s="669"/>
      <c r="AT256" s="669"/>
      <c r="AU256" s="669"/>
      <c r="AV256" s="669"/>
    </row>
    <row r="257" spans="1:51" s="668" customFormat="1" ht="15.75" customHeight="1" x14ac:dyDescent="0.25">
      <c r="A257" s="709" t="s">
        <v>500</v>
      </c>
      <c r="B257" s="652" t="s">
        <v>380</v>
      </c>
      <c r="C257" s="652" t="s">
        <v>525</v>
      </c>
      <c r="D257" s="652" t="s">
        <v>237</v>
      </c>
      <c r="E257" s="652" t="s">
        <v>531</v>
      </c>
      <c r="F257" s="652" t="s">
        <v>310</v>
      </c>
      <c r="G257" s="652" t="s">
        <v>532</v>
      </c>
      <c r="H257" s="652" t="s">
        <v>755</v>
      </c>
      <c r="I257" s="696" t="s">
        <v>756</v>
      </c>
      <c r="J257" s="652" t="s">
        <v>757</v>
      </c>
      <c r="K257" s="652">
        <v>165790</v>
      </c>
      <c r="L257" s="652" t="s">
        <v>322</v>
      </c>
      <c r="M257" s="652" t="s">
        <v>321</v>
      </c>
      <c r="N257" s="678">
        <v>97.715230000000005</v>
      </c>
      <c r="O257" s="678">
        <v>24.980250000000002</v>
      </c>
      <c r="P257" s="698">
        <v>984</v>
      </c>
      <c r="Q257" s="476">
        <v>585</v>
      </c>
      <c r="R257" s="708">
        <v>2585</v>
      </c>
      <c r="S257" s="679">
        <f>IF(CampList[[#This Row],[HH]]&gt;0,CampList[[#This Row],[Total]]/CampList[[#This Row],[HH]],"NA")</f>
        <v>4.4188034188034191</v>
      </c>
      <c r="T257" s="476" t="s">
        <v>513</v>
      </c>
      <c r="U257" s="653" t="s">
        <v>1191</v>
      </c>
      <c r="V257" s="476" t="s">
        <v>554</v>
      </c>
      <c r="W257" s="476" t="s">
        <v>856</v>
      </c>
      <c r="X257" s="699">
        <v>40695</v>
      </c>
      <c r="Y257" s="698">
        <v>5</v>
      </c>
      <c r="Z257" s="698" t="s">
        <v>1090</v>
      </c>
      <c r="AA257" s="678" t="s">
        <v>842</v>
      </c>
      <c r="AB257" s="678"/>
      <c r="AC257" s="683">
        <v>42780</v>
      </c>
      <c r="AD257" s="700" t="s">
        <v>1547</v>
      </c>
      <c r="AE257" s="685" t="s">
        <v>1078</v>
      </c>
      <c r="AF257" s="701">
        <f>IF(CampList[[#This Row],[Type of Accomodation]]="camp",MAX(0,CampList[[#This Row],[HH]]-SUMIF(Table_Shelter[Pcode],CampList[[#This Row],[CP_Pcode]],Table_Shelter[HH Covered])),0)</f>
        <v>0</v>
      </c>
      <c r="AG257" s="476"/>
      <c r="AH257" s="677">
        <f>MIN(CampList[[#This Row],[Shelter Gap]],CampList[[#This Row],[Land Status]])</f>
        <v>0</v>
      </c>
      <c r="AI257" s="701" t="str">
        <f ca="1">IFERROR(OFFSET(DistanceToCamp[Nearest Town],MATCH(CampList[[#This Row],[CP_Pcode]],DistanceToCamp[CP_Pcode],0)-1,0,1,1),"")</f>
        <v>Laiza town</v>
      </c>
      <c r="AJ257" s="686">
        <f ca="1">IFERROR(OFFSET(DistanceToCamp[distance],MATCH(CampList[[#This Row],[CP_Pcode]],DistanceToCamp[CP_Pcode],0)-1,0,1,1),"")</f>
        <v>28.888856599204185</v>
      </c>
      <c r="AK257" s="702">
        <f ca="1">IFERROR(INT(CampList[[#This Row],[Distance]]/5)+1,"")</f>
        <v>6</v>
      </c>
      <c r="AL257" s="669"/>
      <c r="AM257" s="856">
        <v>2585</v>
      </c>
      <c r="AN257" s="669"/>
      <c r="AO257" s="669"/>
      <c r="AP257" s="669"/>
      <c r="AQ257" s="669"/>
      <c r="AR257" s="669"/>
      <c r="AS257" s="669"/>
      <c r="AT257" s="669"/>
      <c r="AU257" s="669"/>
      <c r="AV257" s="669"/>
      <c r="AX257" s="669"/>
      <c r="AY257" s="669"/>
    </row>
    <row r="258" spans="1:51" s="668" customFormat="1" ht="15.75" customHeight="1" x14ac:dyDescent="0.25">
      <c r="A258" s="704" t="s">
        <v>500</v>
      </c>
      <c r="B258" s="651" t="s">
        <v>380</v>
      </c>
      <c r="C258" s="651" t="s">
        <v>525</v>
      </c>
      <c r="D258" s="651" t="s">
        <v>237</v>
      </c>
      <c r="E258" s="651" t="s">
        <v>531</v>
      </c>
      <c r="F258" s="651" t="s">
        <v>310</v>
      </c>
      <c r="G258" s="651" t="s">
        <v>532</v>
      </c>
      <c r="H258" s="651" t="s">
        <v>693</v>
      </c>
      <c r="I258" s="651" t="s">
        <v>694</v>
      </c>
      <c r="J258" s="651" t="s">
        <v>693</v>
      </c>
      <c r="K258" s="651">
        <v>165740</v>
      </c>
      <c r="L258" s="651" t="s">
        <v>328</v>
      </c>
      <c r="M258" s="651" t="s">
        <v>327</v>
      </c>
      <c r="N258" s="676">
        <v>97.433419259259296</v>
      </c>
      <c r="O258" s="676">
        <v>25.424529444444399</v>
      </c>
      <c r="P258" s="677">
        <v>0</v>
      </c>
      <c r="Q258" s="842">
        <v>149</v>
      </c>
      <c r="R258" s="98">
        <v>841</v>
      </c>
      <c r="S258" s="679">
        <f>IF(CampList[[#This Row],[HH]]&gt;0,CampList[[#This Row],[Total]]/CampList[[#This Row],[HH]],"NA")</f>
        <v>5.6442953020134228</v>
      </c>
      <c r="T258" s="653" t="s">
        <v>511</v>
      </c>
      <c r="U258" s="653" t="s">
        <v>1191</v>
      </c>
      <c r="V258" s="653" t="s">
        <v>554</v>
      </c>
      <c r="W258" s="653" t="s">
        <v>856</v>
      </c>
      <c r="X258" s="680">
        <v>41456</v>
      </c>
      <c r="Y258" s="681">
        <v>1</v>
      </c>
      <c r="Z258" s="680" t="s">
        <v>505</v>
      </c>
      <c r="AA258" s="693" t="s">
        <v>842</v>
      </c>
      <c r="AB258" s="682"/>
      <c r="AC258" s="683">
        <v>42780</v>
      </c>
      <c r="AD258" s="675" t="s">
        <v>1567</v>
      </c>
      <c r="AE258" s="685" t="s">
        <v>1093</v>
      </c>
      <c r="AF258" s="476">
        <f>IF(CampList[[#This Row],[Type of Accomodation]]="camp",MAX(0,CampList[[#This Row],[HH]]-SUMIF(Table_Shelter[Pcode],CampList[[#This Row],[CP_Pcode]],Table_Shelter[HH Covered])),0)</f>
        <v>42</v>
      </c>
      <c r="AG258" s="476"/>
      <c r="AH258" s="682">
        <f>MIN(CampList[[#This Row],[Shelter Gap]],CampList[[#This Row],[Land Status]])</f>
        <v>42</v>
      </c>
      <c r="AI258" s="653" t="str">
        <f ca="1">IFERROR(OFFSET(DistanceToCamp[Nearest Town],MATCH(CampList[[#This Row],[CP_Pcode]],DistanceToCamp[CP_Pcode],0)-1,0,1,1),"")</f>
        <v>Myitkyina Town</v>
      </c>
      <c r="AJ258" s="686">
        <f ca="1">IFERROR(OFFSET(DistanceToCamp[distance],MATCH(CampList[[#This Row],[CP_Pcode]],DistanceToCamp[CP_Pcode],0)-1,0,1,1),"")</f>
        <v>5.9727739497559158</v>
      </c>
      <c r="AK258" s="687">
        <f ca="1">IFERROR(INT(CampList[[#This Row],[Distance]]/5)+1,"")</f>
        <v>2</v>
      </c>
      <c r="AL258" s="669"/>
      <c r="AM258" s="856">
        <v>841</v>
      </c>
      <c r="AN258" s="669"/>
      <c r="AO258" s="669"/>
      <c r="AP258" s="669"/>
      <c r="AQ258" s="669"/>
      <c r="AR258" s="669"/>
      <c r="AS258" s="669"/>
      <c r="AT258" s="669"/>
      <c r="AU258" s="669"/>
      <c r="AV258" s="669"/>
      <c r="AX258" s="669"/>
      <c r="AY258" s="669"/>
    </row>
    <row r="259" spans="1:51" s="668" customFormat="1" ht="15.75" customHeight="1" x14ac:dyDescent="0.25">
      <c r="A259" s="709" t="s">
        <v>500</v>
      </c>
      <c r="B259" s="652" t="s">
        <v>380</v>
      </c>
      <c r="C259" s="652" t="s">
        <v>525</v>
      </c>
      <c r="D259" s="652" t="s">
        <v>237</v>
      </c>
      <c r="E259" s="652" t="s">
        <v>531</v>
      </c>
      <c r="F259" s="652" t="s">
        <v>310</v>
      </c>
      <c r="G259" s="652" t="s">
        <v>532</v>
      </c>
      <c r="H259" s="652" t="s">
        <v>693</v>
      </c>
      <c r="I259" s="696" t="s">
        <v>694</v>
      </c>
      <c r="J259" s="652" t="s">
        <v>693</v>
      </c>
      <c r="K259" s="652">
        <v>165740</v>
      </c>
      <c r="L259" s="652" t="s">
        <v>330</v>
      </c>
      <c r="M259" s="652" t="s">
        <v>329</v>
      </c>
      <c r="N259" s="678">
        <v>97.437782499999997</v>
      </c>
      <c r="O259" s="678">
        <v>25.415667500000001</v>
      </c>
      <c r="P259" s="698"/>
      <c r="Q259" s="476">
        <v>223</v>
      </c>
      <c r="R259" s="708">
        <v>1230</v>
      </c>
      <c r="S259" s="679">
        <f>IF(CampList[[#This Row],[HH]]&gt;0,CampList[[#This Row],[Total]]/CampList[[#This Row],[HH]],"NA")</f>
        <v>5.5156950672645744</v>
      </c>
      <c r="T259" s="476" t="s">
        <v>511</v>
      </c>
      <c r="U259" s="653" t="s">
        <v>1191</v>
      </c>
      <c r="V259" s="476" t="s">
        <v>554</v>
      </c>
      <c r="W259" s="476" t="s">
        <v>803</v>
      </c>
      <c r="X259" s="699">
        <v>41426</v>
      </c>
      <c r="Y259" s="698">
        <v>4</v>
      </c>
      <c r="Z259" s="698" t="s">
        <v>1090</v>
      </c>
      <c r="AA259" s="678" t="s">
        <v>842</v>
      </c>
      <c r="AB259" s="678"/>
      <c r="AC259" s="683">
        <v>42780</v>
      </c>
      <c r="AD259" s="700" t="s">
        <v>1548</v>
      </c>
      <c r="AE259" s="685" t="s">
        <v>1093</v>
      </c>
      <c r="AF259" s="701">
        <f>IF(CampList[[#This Row],[Type of Accomodation]]="camp",MAX(0,CampList[[#This Row],[HH]]-SUMIF(Table_Shelter[Pcode],CampList[[#This Row],[CP_Pcode]],Table_Shelter[HH Covered])),0)</f>
        <v>13</v>
      </c>
      <c r="AG259" s="476"/>
      <c r="AH259" s="677">
        <f>MIN(CampList[[#This Row],[Shelter Gap]],CampList[[#This Row],[Land Status]])</f>
        <v>13</v>
      </c>
      <c r="AI259" s="701" t="str">
        <f ca="1">IFERROR(OFFSET(DistanceToCamp[Nearest Town],MATCH(CampList[[#This Row],[CP_Pcode]],DistanceToCamp[CP_Pcode],0)-1,0,1,1),"")</f>
        <v>Myitkyina Town</v>
      </c>
      <c r="AJ259" s="686">
        <f ca="1">IFERROR(OFFSET(DistanceToCamp[distance],MATCH(CampList[[#This Row],[CP_Pcode]],DistanceToCamp[CP_Pcode],0)-1,0,1,1),"")</f>
        <v>5.7019834469756479</v>
      </c>
      <c r="AK259" s="702">
        <f ca="1">IFERROR(INT(CampList[[#This Row],[Distance]]/5)+1,"")</f>
        <v>2</v>
      </c>
      <c r="AL259" s="669"/>
      <c r="AM259" s="856">
        <v>1230</v>
      </c>
      <c r="AN259" s="669"/>
      <c r="AO259" s="669"/>
      <c r="AP259" s="669"/>
      <c r="AQ259" s="669"/>
      <c r="AR259" s="669"/>
      <c r="AS259" s="669"/>
      <c r="AT259" s="669"/>
      <c r="AU259" s="669"/>
      <c r="AV259" s="669"/>
      <c r="AX259" s="669"/>
      <c r="AY259" s="669"/>
    </row>
    <row r="260" spans="1:51" s="668" customFormat="1" ht="15.75" customHeight="1" x14ac:dyDescent="0.25">
      <c r="A260" s="704" t="s">
        <v>500</v>
      </c>
      <c r="B260" s="651" t="s">
        <v>380</v>
      </c>
      <c r="C260" s="651" t="s">
        <v>525</v>
      </c>
      <c r="D260" s="651" t="s">
        <v>237</v>
      </c>
      <c r="E260" s="651" t="s">
        <v>531</v>
      </c>
      <c r="F260" s="651" t="s">
        <v>310</v>
      </c>
      <c r="G260" s="651" t="s">
        <v>532</v>
      </c>
      <c r="H260" s="651" t="s">
        <v>693</v>
      </c>
      <c r="I260" s="651" t="s">
        <v>694</v>
      </c>
      <c r="J260" s="651" t="s">
        <v>693</v>
      </c>
      <c r="K260" s="651">
        <v>165740</v>
      </c>
      <c r="L260" s="651" t="s">
        <v>324</v>
      </c>
      <c r="M260" s="651" t="s">
        <v>323</v>
      </c>
      <c r="N260" s="676">
        <v>97.434855869565197</v>
      </c>
      <c r="O260" s="676">
        <v>25.4118005797101</v>
      </c>
      <c r="P260" s="677">
        <v>0</v>
      </c>
      <c r="Q260" s="476">
        <v>471</v>
      </c>
      <c r="R260" s="476">
        <v>2389</v>
      </c>
      <c r="S260" s="679">
        <f>IF(CampList[[#This Row],[HH]]&gt;0,CampList[[#This Row],[Total]]/CampList[[#This Row],[HH]],"NA")</f>
        <v>5.0721868365180471</v>
      </c>
      <c r="T260" s="653" t="s">
        <v>511</v>
      </c>
      <c r="U260" s="653" t="s">
        <v>1191</v>
      </c>
      <c r="V260" s="653" t="s">
        <v>554</v>
      </c>
      <c r="W260" s="653" t="s">
        <v>856</v>
      </c>
      <c r="X260" s="680">
        <v>41061</v>
      </c>
      <c r="Y260" s="681">
        <v>3</v>
      </c>
      <c r="Z260" s="680" t="s">
        <v>460</v>
      </c>
      <c r="AA260" s="693" t="s">
        <v>842</v>
      </c>
      <c r="AB260" s="682"/>
      <c r="AC260" s="683">
        <v>42809</v>
      </c>
      <c r="AD260" s="675" t="s">
        <v>1608</v>
      </c>
      <c r="AE260" s="685" t="s">
        <v>1093</v>
      </c>
      <c r="AF260" s="476">
        <f>IF(CampList[[#This Row],[Type of Accomodation]]="camp",MAX(0,CampList[[#This Row],[HH]]-SUMIF(Table_Shelter[Pcode],CampList[[#This Row],[CP_Pcode]],Table_Shelter[HH Covered])),0)</f>
        <v>11</v>
      </c>
      <c r="AG260" s="653"/>
      <c r="AH260" s="682">
        <f>MIN(CampList[[#This Row],[Shelter Gap]],CampList[[#This Row],[Land Status]])</f>
        <v>11</v>
      </c>
      <c r="AI260" s="653" t="str">
        <f ca="1">IFERROR(OFFSET(DistanceToCamp[Nearest Town],MATCH(CampList[[#This Row],[CP_Pcode]],DistanceToCamp[CP_Pcode],0)-1,0,1,1),"")</f>
        <v>Myitkyina Town</v>
      </c>
      <c r="AJ260" s="686">
        <f ca="1">IFERROR(OFFSET(DistanceToCamp[distance],MATCH(CampList[[#This Row],[CP_Pcode]],DistanceToCamp[CP_Pcode],0)-1,0,1,1),"")</f>
        <v>5.2238983299151851</v>
      </c>
      <c r="AK260" s="687">
        <f ca="1">IFERROR(INT(CampList[[#This Row],[Distance]]/5)+1,"")</f>
        <v>2</v>
      </c>
      <c r="AL260" s="669"/>
      <c r="AM260" s="856">
        <v>2389</v>
      </c>
      <c r="AN260" s="669"/>
      <c r="AO260" s="669"/>
      <c r="AP260" s="669"/>
      <c r="AQ260" s="669"/>
      <c r="AR260" s="669"/>
      <c r="AS260" s="669"/>
      <c r="AT260" s="669"/>
      <c r="AU260" s="669"/>
      <c r="AV260" s="669"/>
      <c r="AX260" s="669"/>
      <c r="AY260" s="669"/>
    </row>
    <row r="261" spans="1:51" s="668" customFormat="1" ht="15.75" hidden="1" customHeight="1" x14ac:dyDescent="0.25">
      <c r="A261" s="780" t="s">
        <v>843</v>
      </c>
      <c r="B261" s="781" t="s">
        <v>553</v>
      </c>
      <c r="C261" s="781" t="s">
        <v>536</v>
      </c>
      <c r="D261" s="781" t="s">
        <v>230</v>
      </c>
      <c r="E261" s="781" t="s">
        <v>537</v>
      </c>
      <c r="F261" s="781" t="s">
        <v>230</v>
      </c>
      <c r="G261" s="781" t="s">
        <v>538</v>
      </c>
      <c r="H261" s="782" t="s">
        <v>1049</v>
      </c>
      <c r="I261" s="783" t="s">
        <v>1050</v>
      </c>
      <c r="J261" s="782"/>
      <c r="K261" s="782"/>
      <c r="L261" s="798" t="s">
        <v>1495</v>
      </c>
      <c r="M261" s="784" t="s">
        <v>1483</v>
      </c>
      <c r="N261" s="785"/>
      <c r="O261" s="785"/>
      <c r="P261" s="786"/>
      <c r="Q261" s="788"/>
      <c r="R261" s="848">
        <v>0</v>
      </c>
      <c r="S261" s="787" t="str">
        <f>IF(CampList[[#This Row],[HH]]&gt;0,CampList[[#This Row],[Total]]/CampList[[#This Row],[HH]],"NA")</f>
        <v>NA</v>
      </c>
      <c r="T261" s="802" t="s">
        <v>511</v>
      </c>
      <c r="U261" s="789" t="s">
        <v>1191</v>
      </c>
      <c r="V261" s="788" t="s">
        <v>554</v>
      </c>
      <c r="W261" s="788"/>
      <c r="X261" s="790"/>
      <c r="Y261" s="786"/>
      <c r="Z261" s="786"/>
      <c r="AA261" s="785"/>
      <c r="AB261" s="785"/>
      <c r="AC261" s="791">
        <v>42752</v>
      </c>
      <c r="AD261" s="792" t="s">
        <v>1489</v>
      </c>
      <c r="AE261" s="793"/>
      <c r="AF261" s="794">
        <f>IF(CampList[[#This Row],[Type of Accomodation]]="camp",MAX(0,CampList[[#This Row],[HH]]-SUMIF(Table_Shelter[Pcode],CampList[[#This Row],[CP_Pcode]],Table_Shelter[HH Covered])),0)</f>
        <v>0</v>
      </c>
      <c r="AG261" s="788"/>
      <c r="AH261" s="795">
        <f>MIN(CampList[[#This Row],[Shelter Gap]],CampList[[#This Row],[Land Status]])</f>
        <v>0</v>
      </c>
      <c r="AI261" s="794" t="str">
        <f ca="1">IFERROR(OFFSET(DistanceToCamp[Nearest Town],MATCH(CampList[[#This Row],[CP_Pcode]],DistanceToCamp[CP_Pcode],0)-1,0,1,1),"")</f>
        <v/>
      </c>
      <c r="AJ261" s="796" t="str">
        <f ca="1">IFERROR(OFFSET(DistanceToCamp[distance],MATCH(CampList[[#This Row],[CP_Pcode]],DistanceToCamp[CP_Pcode],0)-1,0,1,1),"")</f>
        <v/>
      </c>
      <c r="AK261" s="797" t="str">
        <f ca="1">IFERROR(INT(CampList[[#This Row],[Distance]]/5)+1,"")</f>
        <v/>
      </c>
      <c r="AL261" s="669"/>
      <c r="AM261" s="856">
        <v>0</v>
      </c>
      <c r="AN261" s="669"/>
      <c r="AO261" s="669"/>
      <c r="AP261" s="669"/>
      <c r="AQ261" s="669"/>
      <c r="AR261" s="669"/>
      <c r="AS261" s="669"/>
      <c r="AT261" s="669"/>
      <c r="AU261" s="669"/>
      <c r="AV261" s="669"/>
      <c r="AX261" s="669"/>
      <c r="AY261" s="669"/>
    </row>
    <row r="262" spans="1:51" s="668" customFormat="1" ht="15.75" customHeight="1" x14ac:dyDescent="0.25">
      <c r="A262" s="704" t="s">
        <v>500</v>
      </c>
      <c r="B262" s="651" t="s">
        <v>380</v>
      </c>
      <c r="C262" s="651" t="s">
        <v>525</v>
      </c>
      <c r="D262" s="651" t="s">
        <v>237</v>
      </c>
      <c r="E262" s="651" t="s">
        <v>531</v>
      </c>
      <c r="F262" s="651" t="s">
        <v>310</v>
      </c>
      <c r="G262" s="651" t="s">
        <v>532</v>
      </c>
      <c r="H262" s="651" t="s">
        <v>693</v>
      </c>
      <c r="I262" s="651" t="s">
        <v>694</v>
      </c>
      <c r="J262" s="651" t="s">
        <v>693</v>
      </c>
      <c r="K262" s="651">
        <v>165740</v>
      </c>
      <c r="L262" s="651" t="s">
        <v>326</v>
      </c>
      <c r="M262" s="651" t="s">
        <v>325</v>
      </c>
      <c r="N262" s="676">
        <v>97.426536944444507</v>
      </c>
      <c r="O262" s="676">
        <v>25.409612685185198</v>
      </c>
      <c r="P262" s="677">
        <v>0</v>
      </c>
      <c r="Q262" s="476">
        <v>45</v>
      </c>
      <c r="R262" s="476">
        <v>152</v>
      </c>
      <c r="S262" s="679">
        <f>IF(CampList[[#This Row],[HH]]&gt;0,CampList[[#This Row],[Total]]/CampList[[#This Row],[HH]],"NA")</f>
        <v>3.3777777777777778</v>
      </c>
      <c r="T262" s="653" t="s">
        <v>511</v>
      </c>
      <c r="U262" s="653" t="s">
        <v>1191</v>
      </c>
      <c r="V262" s="653" t="s">
        <v>554</v>
      </c>
      <c r="W262" s="653" t="s">
        <v>803</v>
      </c>
      <c r="X262" s="680">
        <v>40878</v>
      </c>
      <c r="Y262" s="681">
        <v>1</v>
      </c>
      <c r="Z262" s="680" t="s">
        <v>460</v>
      </c>
      <c r="AA262" s="693" t="s">
        <v>842</v>
      </c>
      <c r="AB262" s="682"/>
      <c r="AC262" s="683">
        <v>42809</v>
      </c>
      <c r="AD262" s="675" t="s">
        <v>1609</v>
      </c>
      <c r="AE262" s="685" t="s">
        <v>1093</v>
      </c>
      <c r="AF262" s="476">
        <f>IF(CampList[[#This Row],[Type of Accomodation]]="camp",MAX(0,CampList[[#This Row],[HH]]-SUMIF(Table_Shelter[Pcode],CampList[[#This Row],[CP_Pcode]],Table_Shelter[HH Covered])),0)</f>
        <v>5</v>
      </c>
      <c r="AG262" s="653"/>
      <c r="AH262" s="682">
        <f>MIN(CampList[[#This Row],[Shelter Gap]],CampList[[#This Row],[Land Status]])</f>
        <v>5</v>
      </c>
      <c r="AI262" s="653" t="str">
        <f ca="1">IFERROR(OFFSET(DistanceToCamp[Nearest Town],MATCH(CampList[[#This Row],[CP_Pcode]],DistanceToCamp[CP_Pcode],0)-1,0,1,1),"")</f>
        <v>Myitkyina Town</v>
      </c>
      <c r="AJ262" s="686">
        <f ca="1">IFERROR(OFFSET(DistanceToCamp[distance],MATCH(CampList[[#This Row],[CP_Pcode]],DistanceToCamp[CP_Pcode],0)-1,0,1,1),"")</f>
        <v>4.3887485673235673</v>
      </c>
      <c r="AK262" s="687">
        <f ca="1">IFERROR(INT(CampList[[#This Row],[Distance]]/5)+1,"")</f>
        <v>1</v>
      </c>
      <c r="AL262" s="669"/>
      <c r="AM262" s="856">
        <v>152</v>
      </c>
      <c r="AN262" s="669"/>
      <c r="AO262" s="669"/>
      <c r="AP262" s="669"/>
      <c r="AQ262" s="669"/>
      <c r="AR262" s="669"/>
      <c r="AS262" s="669"/>
      <c r="AT262" s="669"/>
      <c r="AU262" s="669"/>
      <c r="AV262" s="669"/>
      <c r="AX262" s="669"/>
      <c r="AY262" s="669"/>
    </row>
    <row r="263" spans="1:51" s="668" customFormat="1" ht="15.75" customHeight="1" x14ac:dyDescent="0.25">
      <c r="A263" s="704" t="s">
        <v>500</v>
      </c>
      <c r="B263" s="651" t="s">
        <v>380</v>
      </c>
      <c r="C263" s="651" t="s">
        <v>525</v>
      </c>
      <c r="D263" s="651" t="s">
        <v>237</v>
      </c>
      <c r="E263" s="651" t="s">
        <v>531</v>
      </c>
      <c r="F263" s="651" t="s">
        <v>310</v>
      </c>
      <c r="G263" s="651" t="s">
        <v>532</v>
      </c>
      <c r="H263" s="651" t="s">
        <v>1132</v>
      </c>
      <c r="I263" s="651" t="s">
        <v>1251</v>
      </c>
      <c r="J263" s="651" t="s">
        <v>666</v>
      </c>
      <c r="K263" s="651">
        <v>165745</v>
      </c>
      <c r="L263" s="651" t="s">
        <v>344</v>
      </c>
      <c r="M263" s="651" t="s">
        <v>343</v>
      </c>
      <c r="N263" s="676">
        <v>97.345039</v>
      </c>
      <c r="O263" s="676">
        <v>25.351965</v>
      </c>
      <c r="P263" s="677"/>
      <c r="Q263" s="842">
        <v>18</v>
      </c>
      <c r="R263" s="98">
        <v>82</v>
      </c>
      <c r="S263" s="679">
        <f>IF(CampList[[#This Row],[HH]]&gt;0,CampList[[#This Row],[Total]]/CampList[[#This Row],[HH]],"NA")</f>
        <v>4.5555555555555554</v>
      </c>
      <c r="T263" s="653" t="s">
        <v>511</v>
      </c>
      <c r="U263" s="653" t="s">
        <v>1191</v>
      </c>
      <c r="V263" s="653" t="s">
        <v>554</v>
      </c>
      <c r="W263" s="653" t="s">
        <v>856</v>
      </c>
      <c r="X263" s="680">
        <v>41030</v>
      </c>
      <c r="Y263" s="681">
        <v>1</v>
      </c>
      <c r="Z263" s="680" t="s">
        <v>505</v>
      </c>
      <c r="AA263" s="682" t="s">
        <v>842</v>
      </c>
      <c r="AB263" s="682"/>
      <c r="AC263" s="683">
        <v>42780</v>
      </c>
      <c r="AD263" s="684" t="s">
        <v>1573</v>
      </c>
      <c r="AE263" s="685" t="s">
        <v>1093</v>
      </c>
      <c r="AF263" s="476">
        <f>IF(CampList[[#This Row],[Type of Accomodation]]="camp",MAX(0,CampList[[#This Row],[HH]]-SUMIF(Table_Shelter[Pcode],CampList[[#This Row],[CP_Pcode]],Table_Shelter[HH Covered])),0)</f>
        <v>0</v>
      </c>
      <c r="AG263" s="653"/>
      <c r="AH263" s="682">
        <f>MIN(CampList[[#This Row],[Shelter Gap]],CampList[[#This Row],[Land Status]])</f>
        <v>0</v>
      </c>
      <c r="AI263" s="653" t="str">
        <f ca="1">IFERROR(OFFSET(DistanceToCamp[Nearest Town],MATCH(CampList[[#This Row],[CP_Pcode]],DistanceToCamp[CP_Pcode],0)-1,0,1,1),"")</f>
        <v>Myitkyina Town</v>
      </c>
      <c r="AJ263" s="686">
        <f ca="1">IFERROR(OFFSET(DistanceToCamp[distance],MATCH(CampList[[#This Row],[CP_Pcode]],DistanceToCamp[CP_Pcode],0)-1,0,1,1),"")</f>
        <v>6.0275881703713861</v>
      </c>
      <c r="AK263" s="687">
        <f ca="1">IFERROR(INT(CampList[[#This Row],[Distance]]/5)+1,"")</f>
        <v>2</v>
      </c>
      <c r="AL263" s="669"/>
      <c r="AM263" s="856">
        <v>82</v>
      </c>
      <c r="AN263" s="669"/>
      <c r="AO263" s="669"/>
      <c r="AP263" s="669"/>
      <c r="AQ263" s="669"/>
      <c r="AR263" s="669"/>
      <c r="AS263" s="669"/>
      <c r="AT263" s="669"/>
      <c r="AU263" s="669"/>
      <c r="AV263" s="669"/>
      <c r="AX263" s="669"/>
      <c r="AY263" s="669"/>
    </row>
    <row r="264" spans="1:51" s="668" customFormat="1" ht="15.75" customHeight="1" x14ac:dyDescent="0.25">
      <c r="A264" s="704" t="s">
        <v>500</v>
      </c>
      <c r="B264" s="651" t="s">
        <v>380</v>
      </c>
      <c r="C264" s="651" t="s">
        <v>525</v>
      </c>
      <c r="D264" s="651" t="s">
        <v>237</v>
      </c>
      <c r="E264" s="651" t="s">
        <v>531</v>
      </c>
      <c r="F264" s="651" t="s">
        <v>310</v>
      </c>
      <c r="G264" s="651" t="s">
        <v>532</v>
      </c>
      <c r="H264" s="651" t="s">
        <v>755</v>
      </c>
      <c r="I264" s="651" t="s">
        <v>756</v>
      </c>
      <c r="J264" s="691" t="s">
        <v>1393</v>
      </c>
      <c r="K264" s="691">
        <v>165792</v>
      </c>
      <c r="L264" s="651" t="s">
        <v>1243</v>
      </c>
      <c r="M264" s="651" t="s">
        <v>345</v>
      </c>
      <c r="N264" s="676">
        <v>97.751389000000003</v>
      </c>
      <c r="O264" s="676">
        <v>24.831944</v>
      </c>
      <c r="P264" s="677">
        <v>2330</v>
      </c>
      <c r="Q264" s="476">
        <v>174</v>
      </c>
      <c r="R264" s="476">
        <v>956</v>
      </c>
      <c r="S264" s="679">
        <f>IF(CampList[[#This Row],[HH]]&gt;0,CampList[[#This Row],[Total]]/CampList[[#This Row],[HH]],"NA")</f>
        <v>5.4942528735632186</v>
      </c>
      <c r="T264" s="653" t="s">
        <v>513</v>
      </c>
      <c r="U264" s="653" t="s">
        <v>1191</v>
      </c>
      <c r="V264" s="653" t="s">
        <v>554</v>
      </c>
      <c r="W264" s="653" t="s">
        <v>856</v>
      </c>
      <c r="X264" s="680">
        <v>40725</v>
      </c>
      <c r="Y264" s="681">
        <v>3</v>
      </c>
      <c r="Z264" s="680" t="s">
        <v>460</v>
      </c>
      <c r="AA264" s="682" t="s">
        <v>842</v>
      </c>
      <c r="AB264" s="682"/>
      <c r="AC264" s="683">
        <v>42809</v>
      </c>
      <c r="AD264" s="684" t="s">
        <v>1627</v>
      </c>
      <c r="AE264" s="685" t="s">
        <v>1077</v>
      </c>
      <c r="AF264" s="476">
        <f>IF(CampList[[#This Row],[Type of Accomodation]]="camp",MAX(0,CampList[[#This Row],[HH]]-SUMIF(Table_Shelter[Pcode],CampList[[#This Row],[CP_Pcode]],Table_Shelter[HH Covered])),0)</f>
        <v>139</v>
      </c>
      <c r="AG264" s="476"/>
      <c r="AH264" s="682">
        <f>MIN(CampList[[#This Row],[Shelter Gap]],CampList[[#This Row],[Land Status]])</f>
        <v>139</v>
      </c>
      <c r="AI264" s="653" t="str">
        <f ca="1">IFERROR(OFFSET(DistanceToCamp[Nearest Town],MATCH(CampList[[#This Row],[CP_Pcode]],DistanceToCamp[CP_Pcode],0)-1,0,1,1),"")</f>
        <v>Laiza town</v>
      </c>
      <c r="AJ264" s="686">
        <f ca="1">IFERROR(OFFSET(DistanceToCamp[distance],MATCH(CampList[[#This Row],[CP_Pcode]],DistanceToCamp[CP_Pcode],0)-1,0,1,1),"")</f>
        <v>20.599512012485512</v>
      </c>
      <c r="AK264" s="687">
        <f ca="1">IFERROR(INT(CampList[[#This Row],[Distance]]/5)+1,"")</f>
        <v>5</v>
      </c>
      <c r="AL264" s="669"/>
      <c r="AM264" s="856">
        <v>956</v>
      </c>
      <c r="AN264" s="669"/>
      <c r="AO264" s="669"/>
      <c r="AP264" s="669"/>
      <c r="AQ264" s="669"/>
      <c r="AR264" s="669"/>
      <c r="AS264" s="669"/>
      <c r="AT264" s="669"/>
      <c r="AU264" s="669"/>
      <c r="AV264" s="669"/>
      <c r="AX264" s="669"/>
      <c r="AY264" s="669"/>
    </row>
    <row r="265" spans="1:51" s="668" customFormat="1" ht="15.75" customHeight="1" x14ac:dyDescent="0.25">
      <c r="A265" s="709" t="s">
        <v>500</v>
      </c>
      <c r="B265" s="652" t="s">
        <v>380</v>
      </c>
      <c r="C265" s="652" t="s">
        <v>525</v>
      </c>
      <c r="D265" s="652" t="s">
        <v>237</v>
      </c>
      <c r="E265" s="652" t="s">
        <v>531</v>
      </c>
      <c r="F265" s="652" t="s">
        <v>310</v>
      </c>
      <c r="G265" s="652" t="s">
        <v>532</v>
      </c>
      <c r="H265" s="691" t="s">
        <v>770</v>
      </c>
      <c r="I265" s="691" t="s">
        <v>769</v>
      </c>
      <c r="J265" s="691" t="s">
        <v>770</v>
      </c>
      <c r="K265" s="691">
        <v>165895</v>
      </c>
      <c r="L265" s="652" t="s">
        <v>355</v>
      </c>
      <c r="M265" s="652" t="s">
        <v>354</v>
      </c>
      <c r="N265" s="678">
        <v>97.990555999999998</v>
      </c>
      <c r="O265" s="678">
        <v>25.265277999999999</v>
      </c>
      <c r="P265" s="698">
        <v>2764</v>
      </c>
      <c r="Q265" s="476">
        <v>98</v>
      </c>
      <c r="R265" s="476">
        <v>563</v>
      </c>
      <c r="S265" s="679">
        <f>IF(CampList[[#This Row],[HH]]&gt;0,CampList[[#This Row],[Total]]/CampList[[#This Row],[HH]],"NA")</f>
        <v>5.7448979591836737</v>
      </c>
      <c r="T265" s="476" t="s">
        <v>513</v>
      </c>
      <c r="U265" s="653" t="s">
        <v>1191</v>
      </c>
      <c r="V265" s="476" t="s">
        <v>554</v>
      </c>
      <c r="W265" s="476" t="s">
        <v>857</v>
      </c>
      <c r="X265" s="699">
        <v>40848</v>
      </c>
      <c r="Y265" s="698">
        <v>2</v>
      </c>
      <c r="Z265" s="698" t="s">
        <v>1090</v>
      </c>
      <c r="AA265" s="678" t="s">
        <v>842</v>
      </c>
      <c r="AB265" s="678"/>
      <c r="AC265" s="683">
        <v>42780</v>
      </c>
      <c r="AD265" s="700" t="s">
        <v>1553</v>
      </c>
      <c r="AE265" s="685" t="s">
        <v>1077</v>
      </c>
      <c r="AF265" s="701">
        <f>IF(CampList[[#This Row],[Type of Accomodation]]="camp",MAX(0,CampList[[#This Row],[HH]]-SUMIF(Table_Shelter[Pcode],CampList[[#This Row],[CP_Pcode]],Table_Shelter[HH Covered])),0)</f>
        <v>33</v>
      </c>
      <c r="AG265" s="476"/>
      <c r="AH265" s="677">
        <f>MIN(CampList[[#This Row],[Shelter Gap]],CampList[[#This Row],[Land Status]])</f>
        <v>33</v>
      </c>
      <c r="AI265" s="701" t="str">
        <f ca="1">IFERROR(OFFSET(DistanceToCamp[Nearest Town],MATCH(CampList[[#This Row],[CP_Pcode]],DistanceToCamp[CP_Pcode],0)-1,0,1,1),"")</f>
        <v>Sadung Town</v>
      </c>
      <c r="AJ265" s="686">
        <f ca="1">IFERROR(OFFSET(DistanceToCamp[distance],MATCH(CampList[[#This Row],[CP_Pcode]],DistanceToCamp[CP_Pcode],0)-1,0,1,1),"")</f>
        <v>17.035515422123492</v>
      </c>
      <c r="AK265" s="702">
        <f ca="1">IFERROR(INT(CampList[[#This Row],[Distance]]/5)+1,"")</f>
        <v>4</v>
      </c>
      <c r="AL265" s="669"/>
      <c r="AM265" s="856">
        <v>563</v>
      </c>
      <c r="AN265" s="669"/>
      <c r="AO265" s="669"/>
      <c r="AP265" s="669"/>
      <c r="AQ265" s="669"/>
      <c r="AR265" s="669"/>
      <c r="AS265" s="669"/>
      <c r="AT265" s="669"/>
      <c r="AU265" s="669"/>
      <c r="AV265" s="669"/>
      <c r="AX265" s="669"/>
      <c r="AY265" s="669"/>
    </row>
    <row r="266" spans="1:51" s="668" customFormat="1" ht="15.75" customHeight="1" x14ac:dyDescent="0.25">
      <c r="A266" s="704" t="s">
        <v>500</v>
      </c>
      <c r="B266" s="651" t="s">
        <v>380</v>
      </c>
      <c r="C266" s="651" t="s">
        <v>525</v>
      </c>
      <c r="D266" s="651" t="s">
        <v>237</v>
      </c>
      <c r="E266" s="651" t="s">
        <v>531</v>
      </c>
      <c r="F266" s="651" t="s">
        <v>310</v>
      </c>
      <c r="G266" s="651" t="s">
        <v>532</v>
      </c>
      <c r="H266" s="651" t="s">
        <v>695</v>
      </c>
      <c r="I266" s="651" t="s">
        <v>696</v>
      </c>
      <c r="J266" s="651" t="s">
        <v>716</v>
      </c>
      <c r="K266" s="651" t="s">
        <v>717</v>
      </c>
      <c r="L266" s="651" t="s">
        <v>318</v>
      </c>
      <c r="M266" s="651" t="s">
        <v>317</v>
      </c>
      <c r="N266" s="676">
        <v>97.441166388888902</v>
      </c>
      <c r="O266" s="676">
        <v>25.3540362037037</v>
      </c>
      <c r="P266" s="677">
        <v>0</v>
      </c>
      <c r="Q266" s="842">
        <v>91</v>
      </c>
      <c r="R266" s="98">
        <v>329</v>
      </c>
      <c r="S266" s="679">
        <f>IF(CampList[[#This Row],[HH]]&gt;0,CampList[[#This Row],[Total]]/CampList[[#This Row],[HH]],"NA")</f>
        <v>3.6153846153846154</v>
      </c>
      <c r="T266" s="653" t="s">
        <v>511</v>
      </c>
      <c r="U266" s="653" t="s">
        <v>1191</v>
      </c>
      <c r="V266" s="653" t="s">
        <v>554</v>
      </c>
      <c r="W266" s="653" t="s">
        <v>803</v>
      </c>
      <c r="X266" s="680">
        <v>40725</v>
      </c>
      <c r="Y266" s="681">
        <v>2</v>
      </c>
      <c r="Z266" s="680" t="s">
        <v>505</v>
      </c>
      <c r="AA266" s="682" t="s">
        <v>842</v>
      </c>
      <c r="AB266" s="682"/>
      <c r="AC266" s="683">
        <v>42780</v>
      </c>
      <c r="AD266" s="684" t="s">
        <v>1574</v>
      </c>
      <c r="AE266" s="685" t="s">
        <v>1093</v>
      </c>
      <c r="AF266" s="476">
        <f>IF(CampList[[#This Row],[Type of Accomodation]]="camp",MAX(0,CampList[[#This Row],[HH]]-SUMIF(Table_Shelter[Pcode],CampList[[#This Row],[CP_Pcode]],Table_Shelter[HH Covered])),0)</f>
        <v>0</v>
      </c>
      <c r="AG266" s="476"/>
      <c r="AH266" s="682">
        <f>MIN(CampList[[#This Row],[Shelter Gap]],CampList[[#This Row],[Land Status]])</f>
        <v>0</v>
      </c>
      <c r="AI266" s="653" t="str">
        <f ca="1">IFERROR(OFFSET(DistanceToCamp[Nearest Town],MATCH(CampList[[#This Row],[CP_Pcode]],DistanceToCamp[CP_Pcode],0)-1,0,1,1),"")</f>
        <v>Waingmaw Town</v>
      </c>
      <c r="AJ266" s="686">
        <f ca="1">IFERROR(OFFSET(DistanceToCamp[distance],MATCH(CampList[[#This Row],[CP_Pcode]],DistanceToCamp[CP_Pcode],0)-1,0,1,1),"")</f>
        <v>0.37684287609457234</v>
      </c>
      <c r="AK266" s="687">
        <f ca="1">IFERROR(INT(CampList[[#This Row],[Distance]]/5)+1,"")</f>
        <v>1</v>
      </c>
      <c r="AL266" s="669"/>
      <c r="AM266" s="856">
        <v>329</v>
      </c>
      <c r="AN266" s="669"/>
      <c r="AO266" s="669"/>
      <c r="AP266" s="669"/>
      <c r="AQ266" s="669"/>
      <c r="AR266" s="669"/>
      <c r="AS266" s="669"/>
      <c r="AT266" s="669"/>
      <c r="AU266" s="669"/>
      <c r="AV266" s="669"/>
      <c r="AX266" s="669"/>
      <c r="AY266" s="669"/>
    </row>
    <row r="267" spans="1:51" s="668" customFormat="1" ht="15.75" customHeight="1" x14ac:dyDescent="0.25">
      <c r="A267" s="704" t="s">
        <v>500</v>
      </c>
      <c r="B267" s="651" t="s">
        <v>380</v>
      </c>
      <c r="C267" s="651" t="s">
        <v>525</v>
      </c>
      <c r="D267" s="651" t="s">
        <v>237</v>
      </c>
      <c r="E267" s="651" t="s">
        <v>531</v>
      </c>
      <c r="F267" s="651" t="s">
        <v>310</v>
      </c>
      <c r="G267" s="651" t="s">
        <v>532</v>
      </c>
      <c r="H267" s="651" t="s">
        <v>695</v>
      </c>
      <c r="I267" s="651" t="s">
        <v>696</v>
      </c>
      <c r="J267" s="651" t="s">
        <v>716</v>
      </c>
      <c r="K267" s="651" t="s">
        <v>717</v>
      </c>
      <c r="L267" s="651" t="s">
        <v>342</v>
      </c>
      <c r="M267" s="651" t="s">
        <v>341</v>
      </c>
      <c r="N267" s="676">
        <v>97.438432380952406</v>
      </c>
      <c r="O267" s="676">
        <v>25.351724999999998</v>
      </c>
      <c r="P267" s="677">
        <v>0</v>
      </c>
      <c r="Q267" s="476">
        <v>64</v>
      </c>
      <c r="R267" s="476">
        <v>324</v>
      </c>
      <c r="S267" s="679">
        <f>IF(CampList[[#This Row],[HH]]&gt;0,CampList[[#This Row],[Total]]/CampList[[#This Row],[HH]],"NA")</f>
        <v>5.0625</v>
      </c>
      <c r="T267" s="653" t="s">
        <v>511</v>
      </c>
      <c r="U267" s="653" t="s">
        <v>1191</v>
      </c>
      <c r="V267" s="653" t="s">
        <v>554</v>
      </c>
      <c r="W267" s="653" t="s">
        <v>803</v>
      </c>
      <c r="X267" s="680">
        <v>40695</v>
      </c>
      <c r="Y267" s="681">
        <v>2</v>
      </c>
      <c r="Z267" s="680" t="s">
        <v>460</v>
      </c>
      <c r="AA267" s="682" t="s">
        <v>842</v>
      </c>
      <c r="AB267" s="682"/>
      <c r="AC267" s="683">
        <v>42809</v>
      </c>
      <c r="AD267" s="684" t="s">
        <v>1629</v>
      </c>
      <c r="AE267" s="685" t="s">
        <v>1093</v>
      </c>
      <c r="AF267" s="476">
        <f>IF(CampList[[#This Row],[Type of Accomodation]]="camp",MAX(0,CampList[[#This Row],[HH]]-SUMIF(Table_Shelter[Pcode],CampList[[#This Row],[CP_Pcode]],Table_Shelter[HH Covered])),0)</f>
        <v>26</v>
      </c>
      <c r="AG267" s="476"/>
      <c r="AH267" s="682">
        <f>MIN(CampList[[#This Row],[Shelter Gap]],CampList[[#This Row],[Land Status]])</f>
        <v>26</v>
      </c>
      <c r="AI267" s="653" t="str">
        <f ca="1">IFERROR(OFFSET(DistanceToCamp[Nearest Town],MATCH(CampList[[#This Row],[CP_Pcode]],DistanceToCamp[CP_Pcode],0)-1,0,1,1),"")</f>
        <v>Waingmaw Town</v>
      </c>
      <c r="AJ267" s="686">
        <f ca="1">IFERROR(OFFSET(DistanceToCamp[distance],MATCH(CampList[[#This Row],[CP_Pcode]],DistanceToCamp[CP_Pcode],0)-1,0,1,1),"")</f>
        <v>0.4474205416025816</v>
      </c>
      <c r="AK267" s="687">
        <f ca="1">IFERROR(INT(CampList[[#This Row],[Distance]]/5)+1,"")</f>
        <v>1</v>
      </c>
      <c r="AL267" s="669"/>
      <c r="AM267" s="856">
        <v>324</v>
      </c>
      <c r="AN267" s="669"/>
      <c r="AO267" s="669"/>
      <c r="AP267" s="669"/>
      <c r="AQ267" s="669"/>
      <c r="AR267" s="669"/>
      <c r="AS267" s="669"/>
      <c r="AT267" s="669"/>
      <c r="AU267" s="669"/>
      <c r="AV267" s="669"/>
      <c r="AX267" s="669"/>
      <c r="AY267" s="669"/>
    </row>
    <row r="268" spans="1:51" ht="15.75" hidden="1" customHeight="1" x14ac:dyDescent="0.25">
      <c r="A268" s="812" t="s">
        <v>843</v>
      </c>
      <c r="B268" s="651" t="s">
        <v>553</v>
      </c>
      <c r="C268" s="651" t="s">
        <v>536</v>
      </c>
      <c r="D268" s="651" t="s">
        <v>230</v>
      </c>
      <c r="E268" s="651" t="s">
        <v>537</v>
      </c>
      <c r="F268" s="651" t="s">
        <v>230</v>
      </c>
      <c r="G268" s="651" t="s">
        <v>538</v>
      </c>
      <c r="H268" s="813" t="s">
        <v>1049</v>
      </c>
      <c r="I268" s="814" t="s">
        <v>1050</v>
      </c>
      <c r="J268" s="813" t="s">
        <v>1051</v>
      </c>
      <c r="K268" s="813" t="s">
        <v>1052</v>
      </c>
      <c r="L268" s="815" t="s">
        <v>1496</v>
      </c>
      <c r="M268" s="652" t="s">
        <v>1484</v>
      </c>
      <c r="N268" s="816"/>
      <c r="O268" s="816"/>
      <c r="P268" s="817"/>
      <c r="Q268" s="472"/>
      <c r="R268" s="838"/>
      <c r="S268" s="818" t="str">
        <f>IF(CampList[[#This Row],[HH]]&gt;0,CampList[[#This Row],[Total]]/CampList[[#This Row],[HH]],"NA")</f>
        <v>NA</v>
      </c>
      <c r="T268" s="476" t="s">
        <v>511</v>
      </c>
      <c r="U268" s="819" t="s">
        <v>1191</v>
      </c>
      <c r="V268" s="472" t="s">
        <v>554</v>
      </c>
      <c r="W268" s="472" t="s">
        <v>803</v>
      </c>
      <c r="X268" s="820"/>
      <c r="Y268" s="817"/>
      <c r="Z268" s="817"/>
      <c r="AA268" s="816" t="s">
        <v>842</v>
      </c>
      <c r="AB268" s="816"/>
      <c r="AC268" s="821">
        <v>42831</v>
      </c>
      <c r="AD268" s="822" t="s">
        <v>1650</v>
      </c>
      <c r="AE268" s="823"/>
      <c r="AF268" s="824">
        <f>IF(CampList[[#This Row],[Type of Accomodation]]="camp",MAX(0,CampList[[#This Row],[HH]]-SUMIF(Table_Shelter[Pcode],CampList[[#This Row],[CP_Pcode]],Table_Shelter[HH Covered])),0)</f>
        <v>0</v>
      </c>
      <c r="AG268" s="472"/>
      <c r="AH268" s="825">
        <f>MIN(CampList[[#This Row],[Shelter Gap]],CampList[[#This Row],[Land Status]])</f>
        <v>0</v>
      </c>
      <c r="AI268" s="824" t="str">
        <f ca="1">IFERROR(OFFSET(DistanceToCamp[Nearest Town],MATCH(CampList[[#This Row],[CP_Pcode]],DistanceToCamp[CP_Pcode],0)-1,0,1,1),"")</f>
        <v/>
      </c>
      <c r="AJ268" s="826" t="str">
        <f ca="1">IFERROR(OFFSET(DistanceToCamp[distance],MATCH(CampList[[#This Row],[CP_Pcode]],DistanceToCamp[CP_Pcode],0)-1,0,1,1),"")</f>
        <v/>
      </c>
      <c r="AK268" s="827" t="str">
        <f ca="1">IFERROR(INT(CampList[[#This Row],[Distance]]/5)+1,"")</f>
        <v/>
      </c>
      <c r="AM268" s="856">
        <v>150</v>
      </c>
    </row>
    <row r="269" spans="1:51" ht="15.75" hidden="1" customHeight="1" x14ac:dyDescent="0.25">
      <c r="A269" s="812" t="s">
        <v>843</v>
      </c>
      <c r="B269" s="651" t="s">
        <v>553</v>
      </c>
      <c r="C269" s="651" t="s">
        <v>536</v>
      </c>
      <c r="D269" s="651" t="s">
        <v>230</v>
      </c>
      <c r="E269" s="651" t="s">
        <v>537</v>
      </c>
      <c r="F269" s="651" t="s">
        <v>230</v>
      </c>
      <c r="G269" s="651" t="s">
        <v>538</v>
      </c>
      <c r="H269" s="813" t="s">
        <v>1049</v>
      </c>
      <c r="I269" s="814" t="s">
        <v>1050</v>
      </c>
      <c r="J269" s="813" t="s">
        <v>1051</v>
      </c>
      <c r="K269" s="813" t="s">
        <v>1052</v>
      </c>
      <c r="L269" s="815" t="s">
        <v>1497</v>
      </c>
      <c r="M269" s="652" t="s">
        <v>1485</v>
      </c>
      <c r="N269" s="816"/>
      <c r="O269" s="816"/>
      <c r="P269" s="817"/>
      <c r="Q269" s="472"/>
      <c r="R269" s="838"/>
      <c r="S269" s="818" t="str">
        <f>IF(CampList[[#This Row],[HH]]&gt;0,CampList[[#This Row],[Total]]/CampList[[#This Row],[HH]],"NA")</f>
        <v>NA</v>
      </c>
      <c r="T269" s="476" t="s">
        <v>511</v>
      </c>
      <c r="U269" s="819" t="s">
        <v>1191</v>
      </c>
      <c r="V269" s="472" t="s">
        <v>554</v>
      </c>
      <c r="W269" s="472" t="s">
        <v>803</v>
      </c>
      <c r="X269" s="820"/>
      <c r="Y269" s="817"/>
      <c r="Z269" s="817"/>
      <c r="AA269" s="816" t="s">
        <v>842</v>
      </c>
      <c r="AB269" s="816"/>
      <c r="AC269" s="821">
        <v>42831</v>
      </c>
      <c r="AD269" s="822" t="s">
        <v>1650</v>
      </c>
      <c r="AE269" s="823"/>
      <c r="AF269" s="824">
        <f>IF(CampList[[#This Row],[Type of Accomodation]]="camp",MAX(0,CampList[[#This Row],[HH]]-SUMIF(Table_Shelter[Pcode],CampList[[#This Row],[CP_Pcode]],Table_Shelter[HH Covered])),0)</f>
        <v>0</v>
      </c>
      <c r="AG269" s="472"/>
      <c r="AH269" s="825">
        <f>MIN(CampList[[#This Row],[Shelter Gap]],CampList[[#This Row],[Land Status]])</f>
        <v>0</v>
      </c>
      <c r="AI269" s="824" t="str">
        <f ca="1">IFERROR(OFFSET(DistanceToCamp[Nearest Town],MATCH(CampList[[#This Row],[CP_Pcode]],DistanceToCamp[CP_Pcode],0)-1,0,1,1),"")</f>
        <v/>
      </c>
      <c r="AJ269" s="826" t="str">
        <f ca="1">IFERROR(OFFSET(DistanceToCamp[distance],MATCH(CampList[[#This Row],[CP_Pcode]],DistanceToCamp[CP_Pcode],0)-1,0,1,1),"")</f>
        <v/>
      </c>
      <c r="AK269" s="827" t="str">
        <f ca="1">IFERROR(INT(CampList[[#This Row],[Distance]]/5)+1,"")</f>
        <v/>
      </c>
      <c r="AM269" s="856">
        <v>11</v>
      </c>
    </row>
    <row r="270" spans="1:51" ht="15.75" customHeight="1" x14ac:dyDescent="0.25">
      <c r="A270" s="704" t="s">
        <v>500</v>
      </c>
      <c r="B270" s="651" t="s">
        <v>380</v>
      </c>
      <c r="C270" s="651" t="s">
        <v>525</v>
      </c>
      <c r="D270" s="651" t="s">
        <v>237</v>
      </c>
      <c r="E270" s="651" t="s">
        <v>531</v>
      </c>
      <c r="F270" s="651" t="s">
        <v>310</v>
      </c>
      <c r="G270" s="651" t="s">
        <v>532</v>
      </c>
      <c r="H270" s="651" t="s">
        <v>695</v>
      </c>
      <c r="I270" s="651" t="s">
        <v>696</v>
      </c>
      <c r="J270" s="651" t="s">
        <v>714</v>
      </c>
      <c r="K270" s="651" t="s">
        <v>715</v>
      </c>
      <c r="L270" s="651" t="s">
        <v>338</v>
      </c>
      <c r="M270" s="651" t="s">
        <v>337</v>
      </c>
      <c r="N270" s="676">
        <v>97.437472666666693</v>
      </c>
      <c r="O270" s="676">
        <v>25.345918166666699</v>
      </c>
      <c r="P270" s="677"/>
      <c r="Q270" s="842">
        <v>31</v>
      </c>
      <c r="R270" s="98">
        <v>172</v>
      </c>
      <c r="S270" s="679">
        <f>IF(CampList[[#This Row],[HH]]&gt;0,CampList[[#This Row],[Total]]/CampList[[#This Row],[HH]],"NA")</f>
        <v>5.5483870967741939</v>
      </c>
      <c r="T270" s="653" t="s">
        <v>511</v>
      </c>
      <c r="U270" s="653" t="s">
        <v>1191</v>
      </c>
      <c r="V270" s="653" t="s">
        <v>554</v>
      </c>
      <c r="W270" s="653" t="s">
        <v>803</v>
      </c>
      <c r="X270" s="680">
        <v>40695</v>
      </c>
      <c r="Y270" s="681">
        <v>1</v>
      </c>
      <c r="Z270" s="680" t="s">
        <v>505</v>
      </c>
      <c r="AA270" s="682" t="s">
        <v>842</v>
      </c>
      <c r="AB270" s="682"/>
      <c r="AC270" s="683">
        <v>42780</v>
      </c>
      <c r="AD270" s="684" t="s">
        <v>1569</v>
      </c>
      <c r="AE270" s="685" t="s">
        <v>1093</v>
      </c>
      <c r="AF270" s="476">
        <f>IF(CampList[[#This Row],[Type of Accomodation]]="camp",MAX(0,CampList[[#This Row],[HH]]-SUMIF(Table_Shelter[Pcode],CampList[[#This Row],[CP_Pcode]],Table_Shelter[HH Covered])),0)</f>
        <v>0</v>
      </c>
      <c r="AG270" s="476"/>
      <c r="AH270" s="682">
        <f>MIN(CampList[[#This Row],[Shelter Gap]],CampList[[#This Row],[Land Status]])</f>
        <v>0</v>
      </c>
      <c r="AI270" s="653" t="str">
        <f ca="1">IFERROR(OFFSET(DistanceToCamp[Nearest Town],MATCH(CampList[[#This Row],[CP_Pcode]],DistanceToCamp[CP_Pcode],0)-1,0,1,1),"")</f>
        <v>Waingmaw Town</v>
      </c>
      <c r="AJ270" s="686">
        <f ca="1">IFERROR(OFFSET(DistanceToCamp[distance],MATCH(CampList[[#This Row],[CP_Pcode]],DistanceToCamp[CP_Pcode],0)-1,0,1,1),"")</f>
        <v>0.77827912736780092</v>
      </c>
      <c r="AK270" s="687">
        <f ca="1">IFERROR(INT(CampList[[#This Row],[Distance]]/5)+1,"")</f>
        <v>1</v>
      </c>
      <c r="AM270" s="856">
        <v>172</v>
      </c>
    </row>
    <row r="271" spans="1:51" ht="15.75" customHeight="1" x14ac:dyDescent="0.25">
      <c r="A271" s="704" t="s">
        <v>500</v>
      </c>
      <c r="B271" s="651" t="s">
        <v>380</v>
      </c>
      <c r="C271" s="651" t="s">
        <v>525</v>
      </c>
      <c r="D271" s="651" t="s">
        <v>237</v>
      </c>
      <c r="E271" s="651" t="s">
        <v>531</v>
      </c>
      <c r="F271" s="651" t="s">
        <v>310</v>
      </c>
      <c r="G271" s="651" t="s">
        <v>532</v>
      </c>
      <c r="H271" s="651" t="s">
        <v>695</v>
      </c>
      <c r="I271" s="651" t="s">
        <v>696</v>
      </c>
      <c r="J271" s="651" t="s">
        <v>697</v>
      </c>
      <c r="K271" s="651" t="s">
        <v>698</v>
      </c>
      <c r="L271" s="651" t="s">
        <v>351</v>
      </c>
      <c r="M271" s="651" t="s">
        <v>350</v>
      </c>
      <c r="N271" s="676">
        <v>97.432495000000003</v>
      </c>
      <c r="O271" s="676">
        <v>25.350809000000002</v>
      </c>
      <c r="P271" s="677">
        <v>0</v>
      </c>
      <c r="Q271" s="842">
        <v>87</v>
      </c>
      <c r="R271" s="98">
        <v>479</v>
      </c>
      <c r="S271" s="679">
        <f>IF(CampList[[#This Row],[HH]]&gt;0,CampList[[#This Row],[Total]]/CampList[[#This Row],[HH]],"NA")</f>
        <v>5.5057471264367814</v>
      </c>
      <c r="T271" s="653" t="s">
        <v>511</v>
      </c>
      <c r="U271" s="653" t="s">
        <v>1191</v>
      </c>
      <c r="V271" s="653" t="s">
        <v>554</v>
      </c>
      <c r="W271" s="653" t="s">
        <v>803</v>
      </c>
      <c r="X271" s="680">
        <v>40940</v>
      </c>
      <c r="Y271" s="681">
        <v>1</v>
      </c>
      <c r="Z271" s="680" t="s">
        <v>505</v>
      </c>
      <c r="AA271" s="682" t="s">
        <v>842</v>
      </c>
      <c r="AB271" s="682"/>
      <c r="AC271" s="683">
        <v>42780</v>
      </c>
      <c r="AD271" s="684" t="s">
        <v>1575</v>
      </c>
      <c r="AE271" s="685" t="s">
        <v>1093</v>
      </c>
      <c r="AF271" s="476">
        <f>IF(CampList[[#This Row],[Type of Accomodation]]="camp",MAX(0,CampList[[#This Row],[HH]]-SUMIF(Table_Shelter[Pcode],CampList[[#This Row],[CP_Pcode]],Table_Shelter[HH Covered])),0)</f>
        <v>0</v>
      </c>
      <c r="AG271" s="476"/>
      <c r="AH271" s="682">
        <f>MIN(CampList[[#This Row],[Shelter Gap]],CampList[[#This Row],[Land Status]])</f>
        <v>0</v>
      </c>
      <c r="AI271" s="653" t="str">
        <f ca="1">IFERROR(OFFSET(DistanceToCamp[Nearest Town],MATCH(CampList[[#This Row],[CP_Pcode]],DistanceToCamp[CP_Pcode],0)-1,0,1,1),"")</f>
        <v>Waingmaw Town</v>
      </c>
      <c r="AJ271" s="686">
        <f ca="1">IFERROR(OFFSET(DistanceToCamp[distance],MATCH(CampList[[#This Row],[CP_Pcode]],DistanceToCamp[CP_Pcode],0)-1,0,1,1),"")</f>
        <v>1.0367202051285227</v>
      </c>
      <c r="AK271" s="687">
        <f ca="1">IFERROR(INT(CampList[[#This Row],[Distance]]/5)+1,"")</f>
        <v>1</v>
      </c>
      <c r="AM271" s="856">
        <v>479</v>
      </c>
    </row>
    <row r="272" spans="1:51" ht="15.75" customHeight="1" x14ac:dyDescent="0.25">
      <c r="A272" s="704" t="s">
        <v>500</v>
      </c>
      <c r="B272" s="651" t="s">
        <v>380</v>
      </c>
      <c r="C272" s="651" t="s">
        <v>525</v>
      </c>
      <c r="D272" s="651" t="s">
        <v>237</v>
      </c>
      <c r="E272" s="651" t="s">
        <v>531</v>
      </c>
      <c r="F272" s="651" t="s">
        <v>310</v>
      </c>
      <c r="G272" s="651" t="s">
        <v>532</v>
      </c>
      <c r="H272" s="651" t="s">
        <v>771</v>
      </c>
      <c r="I272" s="651" t="s">
        <v>772</v>
      </c>
      <c r="J272" s="651" t="s">
        <v>773</v>
      </c>
      <c r="K272" s="651">
        <v>165845</v>
      </c>
      <c r="L272" s="651" t="s">
        <v>347</v>
      </c>
      <c r="M272" s="651" t="s">
        <v>346</v>
      </c>
      <c r="N272" s="676">
        <v>98.025662999999994</v>
      </c>
      <c r="O272" s="676">
        <v>25.418084</v>
      </c>
      <c r="P272" s="677"/>
      <c r="Q272" s="476">
        <v>182</v>
      </c>
      <c r="R272" s="476">
        <v>974</v>
      </c>
      <c r="S272" s="679">
        <f>IF(CampList[[#This Row],[HH]]&gt;0,CampList[[#This Row],[Total]]/CampList[[#This Row],[HH]],"NA")</f>
        <v>5.3516483516483513</v>
      </c>
      <c r="T272" s="653" t="s">
        <v>511</v>
      </c>
      <c r="U272" s="653" t="s">
        <v>1191</v>
      </c>
      <c r="V272" s="653" t="s">
        <v>554</v>
      </c>
      <c r="W272" s="653" t="s">
        <v>856</v>
      </c>
      <c r="X272" s="680">
        <v>40848</v>
      </c>
      <c r="Y272" s="681">
        <v>2</v>
      </c>
      <c r="Z272" s="680" t="s">
        <v>460</v>
      </c>
      <c r="AA272" s="682" t="s">
        <v>842</v>
      </c>
      <c r="AB272" s="682"/>
      <c r="AC272" s="683">
        <v>42809</v>
      </c>
      <c r="AD272" s="684" t="s">
        <v>1635</v>
      </c>
      <c r="AE272" s="685" t="s">
        <v>1077</v>
      </c>
      <c r="AF272" s="476">
        <f>IF(CampList[[#This Row],[Type of Accomodation]]="camp",MAX(0,CampList[[#This Row],[HH]]-SUMIF(Table_Shelter[Pcode],CampList[[#This Row],[CP_Pcode]],Table_Shelter[HH Covered])),0)</f>
        <v>0</v>
      </c>
      <c r="AG272" s="653"/>
      <c r="AH272" s="682">
        <f>MIN(CampList[[#This Row],[Shelter Gap]],CampList[[#This Row],[Land Status]])</f>
        <v>0</v>
      </c>
      <c r="AI272" s="653" t="str">
        <f ca="1">IFERROR(OFFSET(DistanceToCamp[Nearest Town],MATCH(CampList[[#This Row],[CP_Pcode]],DistanceToCamp[CP_Pcode],0)-1,0,1,1),"")</f>
        <v>Kan Paik Ti Town</v>
      </c>
      <c r="AJ272" s="686">
        <f ca="1">IFERROR(OFFSET(DistanceToCamp[distance],MATCH(CampList[[#This Row],[CP_Pcode]],DistanceToCamp[CP_Pcode],0)-1,0,1,1),"")</f>
        <v>9.3609732231189877</v>
      </c>
      <c r="AK272" s="687">
        <f ca="1">IFERROR(INT(CampList[[#This Row],[Distance]]/5)+1,"")</f>
        <v>2</v>
      </c>
      <c r="AM272" s="856">
        <v>974</v>
      </c>
    </row>
    <row r="273" spans="1:51" s="668" customFormat="1" ht="15.75" customHeight="1" x14ac:dyDescent="0.25">
      <c r="A273" s="704" t="s">
        <v>500</v>
      </c>
      <c r="B273" s="651" t="s">
        <v>380</v>
      </c>
      <c r="C273" s="651" t="s">
        <v>525</v>
      </c>
      <c r="D273" s="651" t="s">
        <v>237</v>
      </c>
      <c r="E273" s="651" t="s">
        <v>531</v>
      </c>
      <c r="F273" s="651" t="s">
        <v>310</v>
      </c>
      <c r="G273" s="651" t="s">
        <v>532</v>
      </c>
      <c r="H273" s="651" t="s">
        <v>695</v>
      </c>
      <c r="I273" s="651" t="s">
        <v>696</v>
      </c>
      <c r="J273" s="651" t="s">
        <v>697</v>
      </c>
      <c r="K273" s="651" t="s">
        <v>698</v>
      </c>
      <c r="L273" s="651" t="s">
        <v>349</v>
      </c>
      <c r="M273" s="651" t="s">
        <v>348</v>
      </c>
      <c r="N273" s="676">
        <v>97.428251153846105</v>
      </c>
      <c r="O273" s="676">
        <v>25.333683333333301</v>
      </c>
      <c r="P273" s="677"/>
      <c r="Q273" s="842">
        <v>44</v>
      </c>
      <c r="R273" s="98">
        <v>182</v>
      </c>
      <c r="S273" s="679">
        <f>IF(CampList[[#This Row],[HH]]&gt;0,CampList[[#This Row],[Total]]/CampList[[#This Row],[HH]],"NA")</f>
        <v>4.1363636363636367</v>
      </c>
      <c r="T273" s="653" t="s">
        <v>511</v>
      </c>
      <c r="U273" s="653" t="s">
        <v>1191</v>
      </c>
      <c r="V273" s="653" t="s">
        <v>554</v>
      </c>
      <c r="W273" s="653" t="s">
        <v>803</v>
      </c>
      <c r="X273" s="680">
        <v>40848</v>
      </c>
      <c r="Y273" s="681">
        <v>1</v>
      </c>
      <c r="Z273" s="680" t="s">
        <v>505</v>
      </c>
      <c r="AA273" s="682" t="s">
        <v>842</v>
      </c>
      <c r="AB273" s="682"/>
      <c r="AC273" s="683">
        <v>42780</v>
      </c>
      <c r="AD273" s="684" t="s">
        <v>1575</v>
      </c>
      <c r="AE273" s="685" t="s">
        <v>1093</v>
      </c>
      <c r="AF273" s="476">
        <f>IF(CampList[[#This Row],[Type of Accomodation]]="camp",MAX(0,CampList[[#This Row],[HH]]-SUMIF(Table_Shelter[Pcode],CampList[[#This Row],[CP_Pcode]],Table_Shelter[HH Covered])),0)</f>
        <v>0</v>
      </c>
      <c r="AG273" s="653"/>
      <c r="AH273" s="682">
        <f>MIN(CampList[[#This Row],[Shelter Gap]],CampList[[#This Row],[Land Status]])</f>
        <v>0</v>
      </c>
      <c r="AI273" s="653" t="str">
        <f ca="1">IFERROR(OFFSET(DistanceToCamp[Nearest Town],MATCH(CampList[[#This Row],[CP_Pcode]],DistanceToCamp[CP_Pcode],0)-1,0,1,1),"")</f>
        <v>Waingmaw Town</v>
      </c>
      <c r="AJ273" s="686">
        <f ca="1">IFERROR(OFFSET(DistanceToCamp[distance],MATCH(CampList[[#This Row],[CP_Pcode]],DistanceToCamp[CP_Pcode],0)-1,0,1,1),"")</f>
        <v>2.4174307716662291</v>
      </c>
      <c r="AK273" s="687">
        <f ca="1">IFERROR(INT(CampList[[#This Row],[Distance]]/5)+1,"")</f>
        <v>1</v>
      </c>
      <c r="AL273" s="669"/>
      <c r="AM273" s="856">
        <v>182</v>
      </c>
      <c r="AN273" s="669"/>
      <c r="AO273" s="669"/>
      <c r="AP273" s="669"/>
      <c r="AQ273" s="669"/>
      <c r="AR273" s="669"/>
      <c r="AS273" s="669"/>
      <c r="AT273" s="669"/>
      <c r="AU273" s="669"/>
      <c r="AV273" s="669"/>
      <c r="AX273" s="669"/>
      <c r="AY273" s="669"/>
    </row>
    <row r="274" spans="1:51" ht="15.75" hidden="1" customHeight="1" x14ac:dyDescent="0.25">
      <c r="A274" s="812" t="s">
        <v>843</v>
      </c>
      <c r="B274" s="651" t="s">
        <v>553</v>
      </c>
      <c r="C274" s="651" t="s">
        <v>536</v>
      </c>
      <c r="D274" s="651" t="s">
        <v>230</v>
      </c>
      <c r="E274" s="651" t="s">
        <v>537</v>
      </c>
      <c r="F274" s="651" t="s">
        <v>230</v>
      </c>
      <c r="G274" s="651" t="s">
        <v>538</v>
      </c>
      <c r="H274" s="813"/>
      <c r="I274" s="814"/>
      <c r="J274" s="813"/>
      <c r="K274" s="813"/>
      <c r="L274" s="815" t="s">
        <v>1498</v>
      </c>
      <c r="M274" s="652" t="s">
        <v>1486</v>
      </c>
      <c r="N274" s="816"/>
      <c r="O274" s="816"/>
      <c r="P274" s="817"/>
      <c r="Q274" s="472"/>
      <c r="R274" s="847"/>
      <c r="S274" s="818" t="str">
        <f>IF(CampList[[#This Row],[HH]]&gt;0,CampList[[#This Row],[Total]]/CampList[[#This Row],[HH]],"NA")</f>
        <v>NA</v>
      </c>
      <c r="T274" s="476" t="s">
        <v>511</v>
      </c>
      <c r="U274" s="819" t="s">
        <v>1191</v>
      </c>
      <c r="V274" s="472" t="s">
        <v>554</v>
      </c>
      <c r="W274" s="472"/>
      <c r="X274" s="820"/>
      <c r="Y274" s="817"/>
      <c r="Z274" s="817"/>
      <c r="AA274" s="816" t="s">
        <v>842</v>
      </c>
      <c r="AB274" s="816"/>
      <c r="AC274" s="821">
        <v>42831</v>
      </c>
      <c r="AD274" s="822" t="s">
        <v>1650</v>
      </c>
      <c r="AE274" s="823"/>
      <c r="AF274" s="824">
        <f>IF(CampList[[#This Row],[Type of Accomodation]]="camp",MAX(0,CampList[[#This Row],[HH]]-SUMIF(Table_Shelter[Pcode],CampList[[#This Row],[CP_Pcode]],Table_Shelter[HH Covered])),0)</f>
        <v>0</v>
      </c>
      <c r="AG274" s="472"/>
      <c r="AH274" s="825">
        <f>MIN(CampList[[#This Row],[Shelter Gap]],CampList[[#This Row],[Land Status]])</f>
        <v>0</v>
      </c>
      <c r="AI274" s="824" t="str">
        <f ca="1">IFERROR(OFFSET(DistanceToCamp[Nearest Town],MATCH(CampList[[#This Row],[CP_Pcode]],DistanceToCamp[CP_Pcode],0)-1,0,1,1),"")</f>
        <v/>
      </c>
      <c r="AJ274" s="826" t="str">
        <f ca="1">IFERROR(OFFSET(DistanceToCamp[distance],MATCH(CampList[[#This Row],[CP_Pcode]],DistanceToCamp[CP_Pcode],0)-1,0,1,1),"")</f>
        <v/>
      </c>
      <c r="AK274" s="827" t="str">
        <f ca="1">IFERROR(INT(CampList[[#This Row],[Distance]]/5)+1,"")</f>
        <v/>
      </c>
      <c r="AM274" s="856">
        <v>304</v>
      </c>
    </row>
    <row r="275" spans="1:51" s="668" customFormat="1" ht="15.75" customHeight="1" x14ac:dyDescent="0.25">
      <c r="A275" s="812" t="s">
        <v>500</v>
      </c>
      <c r="B275" s="651" t="s">
        <v>553</v>
      </c>
      <c r="C275" s="651" t="s">
        <v>536</v>
      </c>
      <c r="D275" s="651" t="s">
        <v>541</v>
      </c>
      <c r="E275" s="651" t="s">
        <v>542</v>
      </c>
      <c r="F275" s="651" t="s">
        <v>1502</v>
      </c>
      <c r="G275" s="651" t="s">
        <v>1503</v>
      </c>
      <c r="H275" s="813" t="s">
        <v>1518</v>
      </c>
      <c r="I275" s="814" t="s">
        <v>1519</v>
      </c>
      <c r="J275" s="813" t="s">
        <v>1517</v>
      </c>
      <c r="K275" s="813">
        <v>209986</v>
      </c>
      <c r="L275" s="815" t="s">
        <v>1499</v>
      </c>
      <c r="M275" s="652" t="s">
        <v>1487</v>
      </c>
      <c r="N275" s="816">
        <v>97.314762999999999</v>
      </c>
      <c r="O275" s="816">
        <v>22.677008000000001</v>
      </c>
      <c r="P275" s="817"/>
      <c r="Q275" s="472">
        <v>37</v>
      </c>
      <c r="R275" s="847">
        <v>120</v>
      </c>
      <c r="S275" s="818">
        <f>IF(CampList[[#This Row],[HH]]&gt;0,CampList[[#This Row],[Total]]/CampList[[#This Row],[HH]],"NA")</f>
        <v>3.2432432432432434</v>
      </c>
      <c r="T275" s="476" t="s">
        <v>511</v>
      </c>
      <c r="U275" s="819" t="s">
        <v>1191</v>
      </c>
      <c r="V275" s="472" t="s">
        <v>554</v>
      </c>
      <c r="W275" s="472" t="s">
        <v>856</v>
      </c>
      <c r="X275" s="820"/>
      <c r="Y275" s="817"/>
      <c r="Z275" s="817"/>
      <c r="AA275" s="816" t="s">
        <v>842</v>
      </c>
      <c r="AB275" s="816"/>
      <c r="AC275" s="821">
        <v>42752</v>
      </c>
      <c r="AD275" s="822" t="s">
        <v>1489</v>
      </c>
      <c r="AE275" s="823"/>
      <c r="AF275" s="824">
        <f>IF(CampList[[#This Row],[Type of Accomodation]]="camp",MAX(0,CampList[[#This Row],[HH]]-SUMIF(Table_Shelter[Pcode],CampList[[#This Row],[CP_Pcode]],Table_Shelter[HH Covered])),0)</f>
        <v>37</v>
      </c>
      <c r="AG275" s="472"/>
      <c r="AH275" s="825">
        <f>MIN(CampList[[#This Row],[Shelter Gap]],CampList[[#This Row],[Land Status]])</f>
        <v>37</v>
      </c>
      <c r="AI275" s="824" t="str">
        <f ca="1">IFERROR(OFFSET(DistanceToCamp[Nearest Town],MATCH(CampList[[#This Row],[CP_Pcode]],DistanceToCamp[CP_Pcode],0)-1,0,1,1),"")</f>
        <v/>
      </c>
      <c r="AJ275" s="826" t="str">
        <f ca="1">IFERROR(OFFSET(DistanceToCamp[distance],MATCH(CampList[[#This Row],[CP_Pcode]],DistanceToCamp[CP_Pcode],0)-1,0,1,1),"")</f>
        <v/>
      </c>
      <c r="AK275" s="827" t="str">
        <f ca="1">IFERROR(INT(CampList[[#This Row],[Distance]]/5)+1,"")</f>
        <v/>
      </c>
      <c r="AL275" s="669"/>
      <c r="AM275" s="856">
        <v>120</v>
      </c>
      <c r="AN275" s="669"/>
      <c r="AO275" s="669"/>
      <c r="AP275" s="669"/>
      <c r="AQ275" s="669"/>
      <c r="AR275" s="669"/>
      <c r="AS275" s="669"/>
      <c r="AT275" s="669"/>
      <c r="AU275" s="669"/>
      <c r="AV275" s="669"/>
      <c r="AX275" s="669"/>
      <c r="AY275" s="669"/>
    </row>
    <row r="276" spans="1:51" ht="15.75" customHeight="1" x14ac:dyDescent="0.25">
      <c r="A276" s="704" t="s">
        <v>500</v>
      </c>
      <c r="B276" s="651" t="s">
        <v>380</v>
      </c>
      <c r="C276" s="651" t="s">
        <v>525</v>
      </c>
      <c r="D276" s="651" t="s">
        <v>237</v>
      </c>
      <c r="E276" s="651" t="s">
        <v>531</v>
      </c>
      <c r="F276" s="651" t="s">
        <v>310</v>
      </c>
      <c r="G276" s="651" t="s">
        <v>532</v>
      </c>
      <c r="H276" s="651" t="s">
        <v>695</v>
      </c>
      <c r="I276" s="651" t="s">
        <v>696</v>
      </c>
      <c r="J276" s="651" t="s">
        <v>714</v>
      </c>
      <c r="K276" s="651" t="s">
        <v>715</v>
      </c>
      <c r="L276" s="651" t="s">
        <v>316</v>
      </c>
      <c r="M276" s="651" t="s">
        <v>315</v>
      </c>
      <c r="N276" s="676">
        <v>97.444283730158702</v>
      </c>
      <c r="O276" s="676">
        <v>25.351250396825399</v>
      </c>
      <c r="P276" s="677">
        <v>476</v>
      </c>
      <c r="Q276" s="842">
        <v>70</v>
      </c>
      <c r="R276" s="98">
        <v>288</v>
      </c>
      <c r="S276" s="679">
        <f>IF(CampList[[#This Row],[HH]]&gt;0,CampList[[#This Row],[Total]]/CampList[[#This Row],[HH]],"NA")</f>
        <v>4.1142857142857139</v>
      </c>
      <c r="T276" s="653" t="s">
        <v>511</v>
      </c>
      <c r="U276" s="653" t="s">
        <v>1191</v>
      </c>
      <c r="V276" s="653" t="s">
        <v>554</v>
      </c>
      <c r="W276" s="653" t="s">
        <v>803</v>
      </c>
      <c r="X276" s="680">
        <v>40848</v>
      </c>
      <c r="Y276" s="681">
        <v>1</v>
      </c>
      <c r="Z276" s="680" t="s">
        <v>505</v>
      </c>
      <c r="AA276" s="682" t="s">
        <v>842</v>
      </c>
      <c r="AB276" s="682"/>
      <c r="AC276" s="683">
        <v>42780</v>
      </c>
      <c r="AD276" s="684" t="s">
        <v>1575</v>
      </c>
      <c r="AE276" s="685" t="s">
        <v>1093</v>
      </c>
      <c r="AF276" s="476">
        <f>IF(CampList[[#This Row],[Type of Accomodation]]="camp",MAX(0,CampList[[#This Row],[HH]]-SUMIF(Table_Shelter[Pcode],CampList[[#This Row],[CP_Pcode]],Table_Shelter[HH Covered])),0)</f>
        <v>15</v>
      </c>
      <c r="AG276" s="653"/>
      <c r="AH276" s="682">
        <f>MIN(CampList[[#This Row],[Shelter Gap]],CampList[[#This Row],[Land Status]])</f>
        <v>15</v>
      </c>
      <c r="AI276" s="653" t="str">
        <f ca="1">IFERROR(OFFSET(DistanceToCamp[Nearest Town],MATCH(CampList[[#This Row],[CP_Pcode]],DistanceToCamp[CP_Pcode],0)-1,0,1,1),"")</f>
        <v>Waingmaw Town</v>
      </c>
      <c r="AJ276" s="686">
        <f ca="1">IFERROR(OFFSET(DistanceToCamp[distance],MATCH(CampList[[#This Row],[CP_Pcode]],DistanceToCamp[CP_Pcode],0)-1,0,1,1),"")</f>
        <v>0.15089472113650237</v>
      </c>
      <c r="AK276" s="687">
        <f ca="1">IFERROR(INT(CampList[[#This Row],[Distance]]/5)+1,"")</f>
        <v>1</v>
      </c>
      <c r="AM276" s="856">
        <v>288</v>
      </c>
    </row>
    <row r="277" spans="1:51" s="668" customFormat="1" ht="15.75" customHeight="1" x14ac:dyDescent="0.25">
      <c r="A277" s="709" t="s">
        <v>500</v>
      </c>
      <c r="B277" s="652" t="s">
        <v>380</v>
      </c>
      <c r="C277" s="652" t="s">
        <v>525</v>
      </c>
      <c r="D277" s="652" t="s">
        <v>237</v>
      </c>
      <c r="E277" s="652" t="s">
        <v>531</v>
      </c>
      <c r="F277" s="652" t="s">
        <v>310</v>
      </c>
      <c r="G277" s="652" t="s">
        <v>532</v>
      </c>
      <c r="H277" s="652" t="s">
        <v>727</v>
      </c>
      <c r="I277" s="696" t="s">
        <v>728</v>
      </c>
      <c r="J277" s="652" t="s">
        <v>727</v>
      </c>
      <c r="K277" s="652">
        <v>165772</v>
      </c>
      <c r="L277" s="652" t="s">
        <v>353</v>
      </c>
      <c r="M277" s="652" t="s">
        <v>352</v>
      </c>
      <c r="N277" s="678">
        <v>97.546893999999995</v>
      </c>
      <c r="O277" s="678">
        <v>24.755253</v>
      </c>
      <c r="P277" s="698">
        <v>316</v>
      </c>
      <c r="Q277" s="476">
        <v>1371</v>
      </c>
      <c r="R277" s="708">
        <v>6701</v>
      </c>
      <c r="S277" s="679">
        <f>IF(CampList[[#This Row],[HH]]&gt;0,CampList[[#This Row],[Total]]/CampList[[#This Row],[HH]],"NA")</f>
        <v>4.8876732312180886</v>
      </c>
      <c r="T277" s="476" t="s">
        <v>513</v>
      </c>
      <c r="U277" s="653" t="s">
        <v>1191</v>
      </c>
      <c r="V277" s="476" t="s">
        <v>554</v>
      </c>
      <c r="W277" s="476" t="s">
        <v>803</v>
      </c>
      <c r="X277" s="699">
        <v>40695</v>
      </c>
      <c r="Y277" s="698">
        <v>5</v>
      </c>
      <c r="Z277" s="698" t="s">
        <v>1090</v>
      </c>
      <c r="AA277" s="678" t="s">
        <v>842</v>
      </c>
      <c r="AB277" s="678"/>
      <c r="AC277" s="683">
        <v>42780</v>
      </c>
      <c r="AD277" s="700" t="s">
        <v>1556</v>
      </c>
      <c r="AE277" s="685" t="s">
        <v>1093</v>
      </c>
      <c r="AF277" s="701">
        <f>IF(CampList[[#This Row],[Type of Accomodation]]="camp",MAX(0,CampList[[#This Row],[HH]]-SUMIF(Table_Shelter[Pcode],CampList[[#This Row],[CP_Pcode]],Table_Shelter[HH Covered])),0)</f>
        <v>1211</v>
      </c>
      <c r="AG277" s="476"/>
      <c r="AH277" s="677">
        <f>MIN(CampList[[#This Row],[Shelter Gap]],CampList[[#This Row],[Land Status]])</f>
        <v>1211</v>
      </c>
      <c r="AI277" s="701" t="str">
        <f ca="1">IFERROR(OFFSET(DistanceToCamp[Nearest Town],MATCH(CampList[[#This Row],[CP_Pcode]],DistanceToCamp[CP_Pcode],0)-1,0,1,1),"")</f>
        <v>Laiza town</v>
      </c>
      <c r="AJ277" s="686">
        <f ca="1">IFERROR(OFFSET(DistanceToCamp[distance],MATCH(CampList[[#This Row],[CP_Pcode]],DistanceToCamp[CP_Pcode],0)-1,0,1,1),"")</f>
        <v>1.7420415164460403</v>
      </c>
      <c r="AK277" s="702">
        <f ca="1">IFERROR(INT(CampList[[#This Row],[Distance]]/5)+1,"")</f>
        <v>1</v>
      </c>
      <c r="AL277" s="669"/>
      <c r="AM277" s="856">
        <v>6701</v>
      </c>
      <c r="AN277" s="669"/>
      <c r="AO277" s="669"/>
      <c r="AP277" s="669"/>
      <c r="AQ277" s="669"/>
      <c r="AR277" s="669"/>
      <c r="AS277" s="669"/>
      <c r="AT277" s="669"/>
      <c r="AU277" s="669"/>
      <c r="AV277" s="669"/>
      <c r="AX277" s="669"/>
      <c r="AY277" s="669"/>
    </row>
    <row r="278" spans="1:51" s="668" customFormat="1" ht="15.75" customHeight="1" x14ac:dyDescent="0.25">
      <c r="A278" s="704" t="s">
        <v>500</v>
      </c>
      <c r="B278" s="651" t="s">
        <v>380</v>
      </c>
      <c r="C278" s="651" t="s">
        <v>525</v>
      </c>
      <c r="D278" s="651" t="s">
        <v>237</v>
      </c>
      <c r="E278" s="651" t="s">
        <v>531</v>
      </c>
      <c r="F278" s="651" t="s">
        <v>310</v>
      </c>
      <c r="G278" s="651" t="s">
        <v>532</v>
      </c>
      <c r="H278" s="651" t="s">
        <v>764</v>
      </c>
      <c r="I278" s="651" t="s">
        <v>765</v>
      </c>
      <c r="J278" s="691" t="s">
        <v>1392</v>
      </c>
      <c r="K278" s="691">
        <v>220360</v>
      </c>
      <c r="L278" s="651" t="s">
        <v>1245</v>
      </c>
      <c r="M278" s="651" t="s">
        <v>356</v>
      </c>
      <c r="N278" s="676">
        <v>97.756789999999995</v>
      </c>
      <c r="O278" s="676">
        <v>25.106670000000001</v>
      </c>
      <c r="P278" s="677">
        <v>756</v>
      </c>
      <c r="Q278" s="476">
        <v>404</v>
      </c>
      <c r="R278" s="476">
        <v>1894</v>
      </c>
      <c r="S278" s="679">
        <f>IF(CampList[[#This Row],[HH]]&gt;0,CampList[[#This Row],[Total]]/CampList[[#This Row],[HH]],"NA")</f>
        <v>4.6881188118811883</v>
      </c>
      <c r="T278" s="653" t="s">
        <v>513</v>
      </c>
      <c r="U278" s="653" t="s">
        <v>1191</v>
      </c>
      <c r="V278" s="653" t="s">
        <v>554</v>
      </c>
      <c r="W278" s="653" t="s">
        <v>856</v>
      </c>
      <c r="X278" s="680">
        <v>40848</v>
      </c>
      <c r="Y278" s="681">
        <v>3</v>
      </c>
      <c r="Z278" s="680" t="s">
        <v>460</v>
      </c>
      <c r="AA278" s="682" t="s">
        <v>842</v>
      </c>
      <c r="AB278" s="682"/>
      <c r="AC278" s="683">
        <v>42809</v>
      </c>
      <c r="AD278" s="684" t="s">
        <v>1643</v>
      </c>
      <c r="AE278" s="685" t="s">
        <v>1078</v>
      </c>
      <c r="AF278" s="476">
        <f>IF(CampList[[#This Row],[Type of Accomodation]]="camp",MAX(0,CampList[[#This Row],[HH]]-SUMIF(Table_Shelter[Pcode],CampList[[#This Row],[CP_Pcode]],Table_Shelter[HH Covered])),0)</f>
        <v>0</v>
      </c>
      <c r="AG278" s="653"/>
      <c r="AH278" s="682">
        <f>MIN(CampList[[#This Row],[Shelter Gap]],CampList[[#This Row],[Land Status]])</f>
        <v>0</v>
      </c>
      <c r="AI278" s="653" t="str">
        <f ca="1">IFERROR(OFFSET(DistanceToCamp[Nearest Town],MATCH(CampList[[#This Row],[CP_Pcode]],DistanceToCamp[CP_Pcode],0)-1,0,1,1),"")</f>
        <v>Sadung Town</v>
      </c>
      <c r="AJ278" s="686">
        <f ca="1">IFERROR(OFFSET(DistanceToCamp[distance],MATCH(CampList[[#This Row],[CP_Pcode]],DistanceToCamp[CP_Pcode],0)-1,0,1,1),"")</f>
        <v>32.827754639406997</v>
      </c>
      <c r="AK278" s="687">
        <f ca="1">IFERROR(INT(CampList[[#This Row],[Distance]]/5)+1,"")</f>
        <v>7</v>
      </c>
      <c r="AL278" s="669"/>
      <c r="AM278" s="856">
        <v>1894</v>
      </c>
      <c r="AN278" s="669"/>
      <c r="AO278" s="669"/>
      <c r="AP278" s="669"/>
      <c r="AQ278" s="669"/>
      <c r="AR278" s="669"/>
      <c r="AS278" s="669"/>
      <c r="AT278" s="669"/>
      <c r="AU278" s="669"/>
      <c r="AV278" s="669"/>
      <c r="AX278" s="669"/>
      <c r="AY278" s="669"/>
    </row>
    <row r="279" spans="1:51" ht="15.6" customHeight="1" x14ac:dyDescent="0.25">
      <c r="A279" s="695" t="s">
        <v>500</v>
      </c>
      <c r="B279" s="651" t="s">
        <v>553</v>
      </c>
      <c r="C279" s="651" t="s">
        <v>536</v>
      </c>
      <c r="D279" s="651" t="s">
        <v>230</v>
      </c>
      <c r="E279" s="651" t="s">
        <v>537</v>
      </c>
      <c r="F279" s="651" t="s">
        <v>146</v>
      </c>
      <c r="G279" s="651" t="s">
        <v>544</v>
      </c>
      <c r="H279" s="652" t="s">
        <v>729</v>
      </c>
      <c r="I279" s="696" t="s">
        <v>730</v>
      </c>
      <c r="J279" s="652" t="s">
        <v>1656</v>
      </c>
      <c r="K279" s="652" t="s">
        <v>1655</v>
      </c>
      <c r="L279" s="854" t="s">
        <v>1658</v>
      </c>
      <c r="M279" s="652" t="s">
        <v>1657</v>
      </c>
      <c r="N279" s="678">
        <v>97.947360000000003</v>
      </c>
      <c r="O279" s="678">
        <v>23.460349999999998</v>
      </c>
      <c r="P279" s="697"/>
      <c r="Q279" s="476">
        <v>40</v>
      </c>
      <c r="R279" s="708">
        <v>195</v>
      </c>
      <c r="S279" s="679">
        <f>IF(CampList[[#This Row],[HH]]&gt;0,CampList[[#This Row],[Total]]/CampList[[#This Row],[HH]],"NA")</f>
        <v>4.875</v>
      </c>
      <c r="T279" s="653" t="s">
        <v>511</v>
      </c>
      <c r="U279" s="653" t="s">
        <v>1191</v>
      </c>
      <c r="V279" s="653" t="s">
        <v>554</v>
      </c>
      <c r="W279" s="653" t="s">
        <v>803</v>
      </c>
      <c r="X279" s="699">
        <v>42724</v>
      </c>
      <c r="Y279" s="697"/>
      <c r="Z279" s="697"/>
      <c r="AA279" s="678" t="s">
        <v>842</v>
      </c>
      <c r="AB279" s="678"/>
      <c r="AC279" s="683">
        <v>42831</v>
      </c>
      <c r="AD279" s="700" t="s">
        <v>1659</v>
      </c>
      <c r="AE279" s="685"/>
      <c r="AF279" s="701">
        <f>IF(CampList[[#This Row],[Type of Accomodation]]="camp",MAX(0,CampList[[#This Row],[HH]]-SUMIF(Table_Shelter[Pcode],CampList[[#This Row],[CP_Pcode]],Table_Shelter[HH Covered])),0)</f>
        <v>40</v>
      </c>
      <c r="AG279" s="476"/>
      <c r="AH279" s="677">
        <f>MIN(CampList[[#This Row],[Shelter Gap]],CampList[[#This Row],[Land Status]])</f>
        <v>40</v>
      </c>
      <c r="AI279" s="701" t="str">
        <f ca="1">IFERROR(OFFSET(DistanceToCamp[Nearest Town],MATCH(CampList[[#This Row],[CP_Pcode]],DistanceToCamp[CP_Pcode],0)-1,0,1,1),"")</f>
        <v/>
      </c>
      <c r="AJ279" s="686" t="str">
        <f ca="1">IFERROR(OFFSET(DistanceToCamp[distance],MATCH(CampList[[#This Row],[CP_Pcode]],DistanceToCamp[CP_Pcode],0)-1,0,1,1),"")</f>
        <v/>
      </c>
      <c r="AK279" s="702" t="str">
        <f ca="1">IFERROR(INT(CampList[[#This Row],[Distance]]/5)+1,"")</f>
        <v/>
      </c>
      <c r="AM279" s="856">
        <v>195</v>
      </c>
    </row>
  </sheetData>
  <sortState ref="A73:AK238">
    <sortCondition ref="G1:G1048576"/>
    <sortCondition ref="L1:L1048576"/>
  </sortState>
  <mergeCells count="1">
    <mergeCell ref="A3:C3"/>
  </mergeCells>
  <conditionalFormatting sqref="A117:A155 A5:A110">
    <cfRule type="cellIs" dxfId="2245" priority="85" operator="equal">
      <formula>"closed"</formula>
    </cfRule>
  </conditionalFormatting>
  <conditionalFormatting sqref="A111">
    <cfRule type="cellIs" dxfId="2244" priority="81" operator="equal">
      <formula>"closed"</formula>
    </cfRule>
  </conditionalFormatting>
  <conditionalFormatting sqref="A112">
    <cfRule type="cellIs" dxfId="2243" priority="80" operator="equal">
      <formula>"closed"</formula>
    </cfRule>
  </conditionalFormatting>
  <conditionalFormatting sqref="A113:A115">
    <cfRule type="cellIs" dxfId="2242" priority="79" operator="equal">
      <formula>"closed"</formula>
    </cfRule>
  </conditionalFormatting>
  <conditionalFormatting sqref="A116">
    <cfRule type="cellIs" dxfId="2241" priority="78" operator="equal">
      <formula>"closed"</formula>
    </cfRule>
  </conditionalFormatting>
  <conditionalFormatting sqref="AB1:AB3 AA4:AA155 AB214:AB1048576">
    <cfRule type="cellIs" dxfId="2240" priority="74" operator="equal">
      <formula>"RRD"</formula>
    </cfRule>
    <cfRule type="cellIs" dxfId="2239" priority="75" operator="equal">
      <formula>"IP"</formula>
    </cfRule>
    <cfRule type="cellIs" dxfId="2238" priority="76" operator="equal">
      <formula>"IRRC"</formula>
    </cfRule>
  </conditionalFormatting>
  <conditionalFormatting sqref="A156:A205">
    <cfRule type="cellIs" dxfId="2237" priority="54" operator="equal">
      <formula>"closed"</formula>
    </cfRule>
  </conditionalFormatting>
  <conditionalFormatting sqref="AA156:AA205">
    <cfRule type="cellIs" dxfId="2236" priority="51" operator="equal">
      <formula>"RRD"</formula>
    </cfRule>
    <cfRule type="cellIs" dxfId="2235" priority="52" operator="equal">
      <formula>"IP"</formula>
    </cfRule>
    <cfRule type="cellIs" dxfId="2234" priority="53" operator="equal">
      <formula>"IRRC"</formula>
    </cfRule>
  </conditionalFormatting>
  <conditionalFormatting sqref="A206">
    <cfRule type="cellIs" dxfId="2233" priority="50" operator="equal">
      <formula>"closed"</formula>
    </cfRule>
  </conditionalFormatting>
  <conditionalFormatting sqref="AA206">
    <cfRule type="cellIs" dxfId="2232" priority="47" operator="equal">
      <formula>"RRD"</formula>
    </cfRule>
    <cfRule type="cellIs" dxfId="2231" priority="48" operator="equal">
      <formula>"IP"</formula>
    </cfRule>
    <cfRule type="cellIs" dxfId="2230" priority="49" operator="equal">
      <formula>"IRRC"</formula>
    </cfRule>
  </conditionalFormatting>
  <conditionalFormatting sqref="AG5:AG213">
    <cfRule type="notContainsBlanks" dxfId="2229" priority="86">
      <formula>LEN(TRIM(AG5))&gt;0</formula>
    </cfRule>
  </conditionalFormatting>
  <conditionalFormatting sqref="AA208 AA210 AA212">
    <cfRule type="cellIs" dxfId="2228" priority="10" operator="equal">
      <formula>"RRD"</formula>
    </cfRule>
    <cfRule type="cellIs" dxfId="2227" priority="11" operator="equal">
      <formula>"IP"</formula>
    </cfRule>
    <cfRule type="cellIs" dxfId="2226" priority="12" operator="equal">
      <formula>"IRRC"</formula>
    </cfRule>
  </conditionalFormatting>
  <conditionalFormatting sqref="A207 A209 A211 A213">
    <cfRule type="cellIs" dxfId="2225" priority="17" operator="equal">
      <formula>"closed"</formula>
    </cfRule>
  </conditionalFormatting>
  <conditionalFormatting sqref="AA207 AA209 AA211 AA213">
    <cfRule type="cellIs" dxfId="2224" priority="14" operator="equal">
      <formula>"RRD"</formula>
    </cfRule>
    <cfRule type="cellIs" dxfId="2223" priority="15" operator="equal">
      <formula>"IP"</formula>
    </cfRule>
    <cfRule type="cellIs" dxfId="2222" priority="16" operator="equal">
      <formula>"IRRC"</formula>
    </cfRule>
  </conditionalFormatting>
  <conditionalFormatting sqref="A208 A210 A212">
    <cfRule type="cellIs" dxfId="2221" priority="13" operator="equal">
      <formula>"closed"</formula>
    </cfRule>
  </conditionalFormatting>
  <conditionalFormatting sqref="A237">
    <cfRule type="cellIs" dxfId="2220" priority="9" operator="equal">
      <formula>"closed"</formula>
    </cfRule>
  </conditionalFormatting>
  <conditionalFormatting sqref="A257:A261">
    <cfRule type="cellIs" dxfId="2219" priority="8" operator="equal">
      <formula>"closed"</formula>
    </cfRule>
  </conditionalFormatting>
  <conditionalFormatting sqref="Q5:R5">
    <cfRule type="containsBlanks" dxfId="2218" priority="4" stopIfTrue="1">
      <formula>LEN(TRIM(Q5))=0</formula>
    </cfRule>
  </conditionalFormatting>
  <conditionalFormatting sqref="Q6:R6">
    <cfRule type="containsBlanks" dxfId="2217" priority="3" stopIfTrue="1">
      <formula>LEN(TRIM(Q6))=0</formula>
    </cfRule>
  </conditionalFormatting>
  <conditionalFormatting sqref="Q7:R7">
    <cfRule type="containsBlanks" dxfId="2216" priority="2" stopIfTrue="1">
      <formula>LEN(TRIM(Q7))=0</formula>
    </cfRule>
  </conditionalFormatting>
  <conditionalFormatting sqref="Q13:R13">
    <cfRule type="containsBlanks" dxfId="2215" priority="1" stopIfTrue="1">
      <formula>LEN(TRIM(Q13))=0</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7" operator="containsText" id="{1070DF20-8AC9-49A6-9DCA-85B18B49670D}">
            <xm:f>NOT(ISERROR(SEARCH($A$268,A1)))</xm:f>
            <xm:f>$A$268</xm:f>
            <x14:dxf>
              <fill>
                <patternFill>
                  <bgColor rgb="FFFF0000"/>
                </patternFill>
              </fill>
            </x14:dxf>
          </x14:cfRule>
          <xm:sqref>A1:A1048576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92"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10"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01" customFormat="1" ht="30" x14ac:dyDescent="0.25">
      <c r="A1" s="315" t="s">
        <v>558</v>
      </c>
      <c r="B1" s="316" t="s">
        <v>1080</v>
      </c>
      <c r="C1" s="316" t="s">
        <v>554</v>
      </c>
      <c r="D1" s="316" t="s">
        <v>0</v>
      </c>
      <c r="E1" s="316" t="s">
        <v>2</v>
      </c>
      <c r="F1" s="316" t="s">
        <v>1081</v>
      </c>
      <c r="G1" s="316" t="s">
        <v>999</v>
      </c>
      <c r="H1" s="316" t="s">
        <v>1000</v>
      </c>
      <c r="I1" s="316" t="s">
        <v>1001</v>
      </c>
      <c r="J1" s="316" t="s">
        <v>1082</v>
      </c>
      <c r="K1" s="316" t="s">
        <v>1084</v>
      </c>
      <c r="L1" s="316" t="s">
        <v>1083</v>
      </c>
      <c r="M1" s="317" t="s">
        <v>1091</v>
      </c>
      <c r="N1" s="318" t="s">
        <v>1088</v>
      </c>
      <c r="Q1" s="101">
        <f>SUM(N:N)</f>
        <v>0</v>
      </c>
      <c r="R1" s="101">
        <f>COUNTA(A:A)-1</f>
        <v>167</v>
      </c>
    </row>
    <row r="2" spans="1:20" x14ac:dyDescent="0.25">
      <c r="A2" s="259" t="s">
        <v>30</v>
      </c>
      <c r="B2" s="18" t="str">
        <f ca="1">OFFSET(CampList[Priority],MATCH(Table10[[#This Row],[Pcode]],CampList[CP_Pcode],0)-1,0,1,1)</f>
        <v>P1</v>
      </c>
      <c r="C2" s="18" t="str">
        <f ca="1">OFFSET(CampList[Camp],MATCH(Table10[[#This Row],[Pcode]],CampList[CP_Pcode],0)-1,0,1,1)</f>
        <v>Chipwi KBC camp</v>
      </c>
      <c r="D2" s="18" t="str">
        <f ca="1">OFFSET(CampList[Township],MATCH(Table10[[#This Row],[Pcode]],CampList[CP_Pcode],0)-1,0,1,1)</f>
        <v>Chipwi</v>
      </c>
      <c r="E2" s="18">
        <f ca="1">OFFSET(CampList[HH],MATCH(Table10[[#This Row],[Pcode]],CampList[CP_Pcode],0)-1,0,1,1)</f>
        <v>110</v>
      </c>
      <c r="F2" s="18">
        <f ca="1">OFFSET(CampList[Total],MATCH(Table10[[#This Row],[Pcode]],CampList[CP_Pcode],0)-1,0,1,1)</f>
        <v>516</v>
      </c>
      <c r="G2" s="277">
        <f>SUMIF('NFI Tracking'!AQ$11:AQ$1048576,Table10[[#This Row],[Pcode]],'NFI Tracking'!AI$11:AI$1048576)</f>
        <v>0</v>
      </c>
      <c r="H2" s="277">
        <f>SUMIF('NFI Tracking'!AQ$11:AQ$1048576,Table10[[#This Row],[Pcode]],'NFI Tracking'!AJ$11:AJ$1048576)</f>
        <v>0</v>
      </c>
      <c r="I2" s="277">
        <f>SUMIF('NFI Tracking'!AQ$11:AQ$1048576,Table10[[#This Row],[Pcode]],'NFI Tracking'!AK$11:AK$1048576)</f>
        <v>0</v>
      </c>
      <c r="J2" s="277">
        <f ca="1">MAX(Table10[[#This Row],[HH]]*VLOOKUP("Winter Clothes Adult",NFI,6)-Table10[[#This Row],[Winter Clothes Adult ]],0)</f>
        <v>220</v>
      </c>
      <c r="K2" s="277">
        <f ca="1">MAX(Table10[[#This Row],[HH]]*VLOOKUP("Winter Clothes Children ",NFI,6)-Table10[[#This Row],[Winter Clothes Children ]],0)</f>
        <v>110</v>
      </c>
      <c r="L2" s="277">
        <f ca="1">MAX(Table10[[#This Row],[HH]]*VLOOKUP("Winter Items Other ",NFI,6)-Table10[[#This Row],[Winter Items Other ]],0)</f>
        <v>110</v>
      </c>
      <c r="M2" s="310" t="str">
        <f>IF(OR(Table10[[#This Row],[Winter Clothes Adult ]]&lt;&gt;0,Table10[[#This Row],[Winter Clothes Children ]]&lt;&gt;0,Table10[[#This Row],[Winter Items Other ]]&lt;&gt;0),"No","")</f>
        <v/>
      </c>
      <c r="N2" s="311">
        <f>COUNTIF(A:A,Table10[[#This Row],[Pcode]])-1</f>
        <v>0</v>
      </c>
    </row>
    <row r="3" spans="1:20" x14ac:dyDescent="0.25">
      <c r="A3" s="259" t="s">
        <v>31</v>
      </c>
      <c r="B3" s="18" t="str">
        <f ca="1">OFFSET(CampList[Priority],MATCH(Table10[[#This Row],[Pcode]],CampList[CP_Pcode],0)-1,0,1,1)</f>
        <v>P1</v>
      </c>
      <c r="C3" s="18" t="str">
        <f ca="1">OFFSET(CampList[Camp],MATCH(Table10[[#This Row],[Pcode]],CampList[CP_Pcode],0)-1,0,1,1)</f>
        <v>Gant Gwin</v>
      </c>
      <c r="D3" s="18" t="str">
        <f ca="1">OFFSET(CampList[Township],MATCH(Table10[[#This Row],[Pcode]],CampList[CP_Pcode],0)-1,0,1,1)</f>
        <v>Chipwi</v>
      </c>
      <c r="E3" s="18">
        <f ca="1">OFFSET(CampList[HH],MATCH(Table10[[#This Row],[Pcode]],CampList[CP_Pcode],0)-1,0,1,1)</f>
        <v>0</v>
      </c>
      <c r="F3" s="18">
        <f ca="1">OFFSET(CampList[Total],MATCH(Table10[[#This Row],[Pcode]],CampList[CP_Pcode],0)-1,0,1,1)</f>
        <v>0</v>
      </c>
      <c r="G3" s="277">
        <f>SUMIF('NFI Tracking'!AQ$11:AQ$1048576,Table10[[#This Row],[Pcode]],'NFI Tracking'!AI$11:AI$1048576)</f>
        <v>0</v>
      </c>
      <c r="H3" s="277">
        <f>SUMIF('NFI Tracking'!AQ$11:AQ$1048576,Table10[[#This Row],[Pcode]],'NFI Tracking'!AJ$11:AJ$1048576)</f>
        <v>0</v>
      </c>
      <c r="I3" s="277">
        <f>SUMIF('NFI Tracking'!AQ$11:AQ$1048576,Table10[[#This Row],[Pcode]],'NFI Tracking'!AK$11:AK$1048576)</f>
        <v>0</v>
      </c>
      <c r="J3" s="277">
        <f ca="1">MAX(Table10[[#This Row],[HH]]*VLOOKUP("Winter Clothes Adult",NFI,6)-Table10[[#This Row],[Winter Clothes Adult ]],0)</f>
        <v>0</v>
      </c>
      <c r="K3" s="277">
        <f ca="1">MAX(Table10[[#This Row],[HH]]*VLOOKUP("Winter Clothes Children ",NFI,6)-Table10[[#This Row],[Winter Clothes Children ]],0)</f>
        <v>0</v>
      </c>
      <c r="L3" s="277">
        <f ca="1">MAX(Table10[[#This Row],[HH]]*VLOOKUP("Winter Items Other ",NFI,6)-Table10[[#This Row],[Winter Items Other ]],0)</f>
        <v>0</v>
      </c>
      <c r="M3" s="310" t="str">
        <f>IF(OR(Table10[[#This Row],[Winter Clothes Adult ]]&lt;&gt;0,Table10[[#This Row],[Winter Clothes Children ]]&lt;&gt;0,Table10[[#This Row],[Winter Items Other ]]&lt;&gt;0),"No","")</f>
        <v/>
      </c>
      <c r="N3" s="311">
        <f>COUNTIF(A:A,Table10[[#This Row],[Pcode]])-1</f>
        <v>0</v>
      </c>
    </row>
    <row r="4" spans="1:20" x14ac:dyDescent="0.25">
      <c r="A4" s="259" t="s">
        <v>29</v>
      </c>
      <c r="B4" s="18" t="str">
        <f ca="1">OFFSET(CampList[Priority],MATCH(Table10[[#This Row],[Pcode]],CampList[CP_Pcode],0)-1,0,1,1)</f>
        <v>P1</v>
      </c>
      <c r="C4" s="18" t="str">
        <f ca="1">OFFSET(CampList[Camp],MATCH(Table10[[#This Row],[Pcode]],CampList[CP_Pcode],0)-1,0,1,1)</f>
        <v>Hpare Hkyer - BP6</v>
      </c>
      <c r="D4" s="18" t="str">
        <f ca="1">OFFSET(CampList[Township],MATCH(Table10[[#This Row],[Pcode]],CampList[CP_Pcode],0)-1,0,1,1)</f>
        <v>Chipwi</v>
      </c>
      <c r="E4" s="18">
        <f ca="1">OFFSET(CampList[HH],MATCH(Table10[[#This Row],[Pcode]],CampList[CP_Pcode],0)-1,0,1,1)</f>
        <v>155</v>
      </c>
      <c r="F4" s="18">
        <f ca="1">OFFSET(CampList[Total],MATCH(Table10[[#This Row],[Pcode]],CampList[CP_Pcode],0)-1,0,1,1)</f>
        <v>768</v>
      </c>
      <c r="G4" s="277">
        <f>SUMIF('NFI Tracking'!AQ$11:AQ$1048576,Table10[[#This Row],[Pcode]],'NFI Tracking'!AI$11:AI$1048576)</f>
        <v>380</v>
      </c>
      <c r="H4" s="277">
        <f>SUMIF('NFI Tracking'!AQ$11:AQ$1048576,Table10[[#This Row],[Pcode]],'NFI Tracking'!AJ$11:AJ$1048576)</f>
        <v>1145</v>
      </c>
      <c r="I4" s="277">
        <f>SUMIF('NFI Tracking'!AQ$11:AQ$1048576,Table10[[#This Row],[Pcode]],'NFI Tracking'!AK$11:AK$1048576)</f>
        <v>0</v>
      </c>
      <c r="J4" s="277">
        <f ca="1">MAX(Table10[[#This Row],[HH]]*VLOOKUP("Winter Clothes Adult",NFI,6)-Table10[[#This Row],[Winter Clothes Adult ]],0)</f>
        <v>0</v>
      </c>
      <c r="K4" s="277">
        <f ca="1">MAX(Table10[[#This Row],[HH]]*VLOOKUP("Winter Clothes Children ",NFI,6)-Table10[[#This Row],[Winter Clothes Children ]],0)</f>
        <v>0</v>
      </c>
      <c r="L4" s="277">
        <f ca="1">MAX(Table10[[#This Row],[HH]]*VLOOKUP("Winter Items Other ",NFI,6)-Table10[[#This Row],[Winter Items Other ]],0)</f>
        <v>155</v>
      </c>
      <c r="M4" s="310" t="str">
        <f>IF(OR(Table10[[#This Row],[Winter Clothes Adult ]]&lt;&gt;0,Table10[[#This Row],[Winter Clothes Children ]]&lt;&gt;0,Table10[[#This Row],[Winter Items Other ]]&lt;&gt;0),"No","")</f>
        <v>No</v>
      </c>
      <c r="N4" s="311">
        <f>COUNTIF(A:A,Table10[[#This Row],[Pcode]])-1</f>
        <v>0</v>
      </c>
    </row>
    <row r="5" spans="1:20" x14ac:dyDescent="0.25">
      <c r="A5" s="259" t="s">
        <v>33</v>
      </c>
      <c r="B5" s="18" t="str">
        <f ca="1">OFFSET(CampList[Priority],MATCH(Table10[[#This Row],[Pcode]],CampList[CP_Pcode],0)-1,0,1,1)</f>
        <v>P1</v>
      </c>
      <c r="C5" s="18" t="str">
        <f ca="1">OFFSET(CampList[Camp],MATCH(Table10[[#This Row],[Pcode]],CampList[CP_Pcode],0)-1,0,1,1)</f>
        <v xml:space="preserve">Lan Jaw </v>
      </c>
      <c r="D5" s="18" t="str">
        <f ca="1">OFFSET(CampList[Township],MATCH(Table10[[#This Row],[Pcode]],CampList[CP_Pcode],0)-1,0,1,1)</f>
        <v>Chipwi</v>
      </c>
      <c r="E5" s="18">
        <f ca="1">OFFSET(CampList[HH],MATCH(Table10[[#This Row],[Pcode]],CampList[CP_Pcode],0)-1,0,1,1)</f>
        <v>0</v>
      </c>
      <c r="F5" s="18">
        <f ca="1">OFFSET(CampList[Total],MATCH(Table10[[#This Row],[Pcode]],CampList[CP_Pcode],0)-1,0,1,1)</f>
        <v>0</v>
      </c>
      <c r="G5" s="277">
        <f>SUMIF('NFI Tracking'!AQ$11:AQ$1048576,Table10[[#This Row],[Pcode]],'NFI Tracking'!AI$11:AI$1048576)</f>
        <v>0</v>
      </c>
      <c r="H5" s="277">
        <f>SUMIF('NFI Tracking'!AQ$11:AQ$1048576,Table10[[#This Row],[Pcode]],'NFI Tracking'!AJ$11:AJ$1048576)</f>
        <v>0</v>
      </c>
      <c r="I5" s="277">
        <f>SUMIF('NFI Tracking'!AQ$11:AQ$1048576,Table10[[#This Row],[Pcode]],'NFI Tracking'!AK$11:AK$1048576)</f>
        <v>0</v>
      </c>
      <c r="J5" s="277">
        <f ca="1">MAX(Table10[[#This Row],[HH]]*VLOOKUP("Winter Clothes Adult",NFI,6)-Table10[[#This Row],[Winter Clothes Adult ]],0)</f>
        <v>0</v>
      </c>
      <c r="K5" s="277">
        <f ca="1">MAX(Table10[[#This Row],[HH]]*VLOOKUP("Winter Clothes Children ",NFI,6)-Table10[[#This Row],[Winter Clothes Children ]],0)</f>
        <v>0</v>
      </c>
      <c r="L5" s="277">
        <f ca="1">MAX(Table10[[#This Row],[HH]]*VLOOKUP("Winter Items Other ",NFI,6)-Table10[[#This Row],[Winter Items Other ]],0)</f>
        <v>0</v>
      </c>
      <c r="M5" s="310" t="str">
        <f>IF(OR(Table10[[#This Row],[Winter Clothes Adult ]]&lt;&gt;0,Table10[[#This Row],[Winter Clothes Children ]]&lt;&gt;0,Table10[[#This Row],[Winter Items Other ]]&lt;&gt;0),"No","")</f>
        <v/>
      </c>
      <c r="N5" s="311">
        <f>COUNTIF(A:A,Table10[[#This Row],[Pcode]])-1</f>
        <v>0</v>
      </c>
    </row>
    <row r="6" spans="1:20" x14ac:dyDescent="0.25">
      <c r="A6" s="259" t="s">
        <v>378</v>
      </c>
      <c r="B6" s="18" t="str">
        <f ca="1">OFFSET(CampList[Priority],MATCH(Table10[[#This Row],[Pcode]],CampList[CP_Pcode],0)-1,0,1,1)</f>
        <v>P1</v>
      </c>
      <c r="C6" s="18" t="str">
        <f ca="1">OFFSET(CampList[Camp],MATCH(Table10[[#This Row],[Pcode]],CampList[CP_Pcode],0)-1,0,1,1)</f>
        <v>Lhaovao Baptist Church (LBC)</v>
      </c>
      <c r="D6" s="18" t="str">
        <f ca="1">OFFSET(CampList[Township],MATCH(Table10[[#This Row],[Pcode]],CampList[CP_Pcode],0)-1,0,1,1)</f>
        <v>Chipwi</v>
      </c>
      <c r="E6" s="18">
        <f ca="1">OFFSET(CampList[HH],MATCH(Table10[[#This Row],[Pcode]],CampList[CP_Pcode],0)-1,0,1,1)</f>
        <v>143</v>
      </c>
      <c r="F6" s="18">
        <f ca="1">OFFSET(CampList[Total],MATCH(Table10[[#This Row],[Pcode]],CampList[CP_Pcode],0)-1,0,1,1)</f>
        <v>637</v>
      </c>
      <c r="G6" s="277">
        <f>SUMIF('NFI Tracking'!AQ$11:AQ$1048576,Table10[[#This Row],[Pcode]],'NFI Tracking'!AI$11:AI$1048576)</f>
        <v>0</v>
      </c>
      <c r="H6" s="277">
        <f>SUMIF('NFI Tracking'!AQ$11:AQ$1048576,Table10[[#This Row],[Pcode]],'NFI Tracking'!AJ$11:AJ$1048576)</f>
        <v>0</v>
      </c>
      <c r="I6" s="277">
        <f>SUMIF('NFI Tracking'!AQ$11:AQ$1048576,Table10[[#This Row],[Pcode]],'NFI Tracking'!AK$11:AK$1048576)</f>
        <v>0</v>
      </c>
      <c r="J6" s="277">
        <f ca="1">MAX(Table10[[#This Row],[HH]]*VLOOKUP("Winter Clothes Adult",NFI,6)-Table10[[#This Row],[Winter Clothes Adult ]],0)</f>
        <v>286</v>
      </c>
      <c r="K6" s="277">
        <f ca="1">MAX(Table10[[#This Row],[HH]]*VLOOKUP("Winter Clothes Children ",NFI,6)-Table10[[#This Row],[Winter Clothes Children ]],0)</f>
        <v>143</v>
      </c>
      <c r="L6" s="277">
        <f ca="1">MAX(Table10[[#This Row],[HH]]*VLOOKUP("Winter Items Other ",NFI,6)-Table10[[#This Row],[Winter Items Other ]],0)</f>
        <v>143</v>
      </c>
      <c r="M6" s="310" t="str">
        <f>IF(OR(Table10[[#This Row],[Winter Clothes Adult ]]&lt;&gt;0,Table10[[#This Row],[Winter Clothes Children ]]&lt;&gt;0,Table10[[#This Row],[Winter Items Other ]]&lt;&gt;0),"No","")</f>
        <v/>
      </c>
      <c r="N6" s="311">
        <f>COUNTIF(A:A,Table10[[#This Row],[Pcode]])-1</f>
        <v>0</v>
      </c>
    </row>
    <row r="7" spans="1:20" x14ac:dyDescent="0.25">
      <c r="A7" s="259" t="s">
        <v>1020</v>
      </c>
      <c r="B7" s="18" t="str">
        <f ca="1">OFFSET(CampList[Priority],MATCH(Table10[[#This Row],[Pcode]],CampList[CP_Pcode],0)-1,0,1,1)</f>
        <v>P1</v>
      </c>
      <c r="C7" s="18" t="str">
        <f ca="1">OFFSET(CampList[Camp],MATCH(Table10[[#This Row],[Pcode]],CampList[CP_Pcode],0)-1,0,1,1)</f>
        <v>Saw Zam</v>
      </c>
      <c r="D7" s="18" t="str">
        <f ca="1">OFFSET(CampList[Township],MATCH(Table10[[#This Row],[Pcode]],CampList[CP_Pcode],0)-1,0,1,1)</f>
        <v>Chipwi</v>
      </c>
      <c r="E7" s="18">
        <f ca="1">OFFSET(CampList[HH],MATCH(Table10[[#This Row],[Pcode]],CampList[CP_Pcode],0)-1,0,1,1)</f>
        <v>31</v>
      </c>
      <c r="F7" s="18">
        <f ca="1">OFFSET(CampList[Total],MATCH(Table10[[#This Row],[Pcode]],CampList[CP_Pcode],0)-1,0,1,1)</f>
        <v>180</v>
      </c>
      <c r="G7" s="277">
        <f>SUMIF('NFI Tracking'!AQ$11:AQ$1048576,Table10[[#This Row],[Pcode]],'NFI Tracking'!AI$11:AI$1048576)</f>
        <v>0</v>
      </c>
      <c r="H7" s="277">
        <f>SUMIF('NFI Tracking'!AQ$11:AQ$1048576,Table10[[#This Row],[Pcode]],'NFI Tracking'!AJ$11:AJ$1048576)</f>
        <v>0</v>
      </c>
      <c r="I7" s="277">
        <f>SUMIF('NFI Tracking'!AQ$11:AQ$1048576,Table10[[#This Row],[Pcode]],'NFI Tracking'!AK$11:AK$1048576)</f>
        <v>0</v>
      </c>
      <c r="J7" s="277">
        <f ca="1">MAX(Table10[[#This Row],[HH]]*VLOOKUP("Winter Clothes Adult",NFI,6)-Table10[[#This Row],[Winter Clothes Adult ]],0)</f>
        <v>62</v>
      </c>
      <c r="K7" s="277">
        <f ca="1">MAX(Table10[[#This Row],[HH]]*VLOOKUP("Winter Clothes Children ",NFI,6)-Table10[[#This Row],[Winter Clothes Children ]],0)</f>
        <v>31</v>
      </c>
      <c r="L7" s="277">
        <f ca="1">MAX(Table10[[#This Row],[HH]]*VLOOKUP("Winter Items Other ",NFI,6)-Table10[[#This Row],[Winter Items Other ]],0)</f>
        <v>31</v>
      </c>
      <c r="M7" s="310" t="str">
        <f>IF(OR(Table10[[#This Row],[Winter Clothes Adult ]]&lt;&gt;0,Table10[[#This Row],[Winter Clothes Children ]]&lt;&gt;0,Table10[[#This Row],[Winter Items Other ]]&lt;&gt;0),"No","")</f>
        <v/>
      </c>
      <c r="N7" s="311">
        <f>COUNTIF(A:A,Table10[[#This Row],[Pcode]])-1</f>
        <v>0</v>
      </c>
    </row>
    <row r="8" spans="1:20" x14ac:dyDescent="0.25">
      <c r="A8" s="259" t="s">
        <v>863</v>
      </c>
      <c r="B8" s="18" t="str">
        <f ca="1">OFFSET(CampList[Priority],MATCH(Table10[[#This Row],[Pcode]],CampList[CP_Pcode],0)-1,0,1,1)</f>
        <v>P1</v>
      </c>
      <c r="C8" s="18" t="str">
        <f ca="1">OFFSET(CampList[Camp],MATCH(Table10[[#This Row],[Pcode]],CampList[CP_Pcode],0)-1,0,1,1)</f>
        <v>Pan Wa</v>
      </c>
      <c r="D8" s="18" t="str">
        <f ca="1">OFFSET(CampList[Township],MATCH(Table10[[#This Row],[Pcode]],CampList[CP_Pcode],0)-1,0,1,1)</f>
        <v>Chipwi</v>
      </c>
      <c r="E8" s="18">
        <f ca="1">OFFSET(CampList[HH],MATCH(Table10[[#This Row],[Pcode]],CampList[CP_Pcode],0)-1,0,1,1)</f>
        <v>61</v>
      </c>
      <c r="F8" s="18">
        <f ca="1">OFFSET(CampList[Total],MATCH(Table10[[#This Row],[Pcode]],CampList[CP_Pcode],0)-1,0,1,1)</f>
        <v>273</v>
      </c>
      <c r="G8" s="277">
        <f>SUMIF('NFI Tracking'!AQ$11:AQ$1048576,Table10[[#This Row],[Pcode]],'NFI Tracking'!AI$11:AI$1048576)</f>
        <v>0</v>
      </c>
      <c r="H8" s="277">
        <f>SUMIF('NFI Tracking'!AQ$11:AQ$1048576,Table10[[#This Row],[Pcode]],'NFI Tracking'!AJ$11:AJ$1048576)</f>
        <v>0</v>
      </c>
      <c r="I8" s="277">
        <f>SUMIF('NFI Tracking'!AQ$11:AQ$1048576,Table10[[#This Row],[Pcode]],'NFI Tracking'!AK$11:AK$1048576)</f>
        <v>0</v>
      </c>
      <c r="J8" s="277">
        <f ca="1">MAX(Table10[[#This Row],[HH]]*VLOOKUP("Winter Clothes Adult",NFI,6)-Table10[[#This Row],[Winter Clothes Adult ]],0)</f>
        <v>122</v>
      </c>
      <c r="K8" s="277">
        <f ca="1">MAX(Table10[[#This Row],[HH]]*VLOOKUP("Winter Clothes Children ",NFI,6)-Table10[[#This Row],[Winter Clothes Children ]],0)</f>
        <v>61</v>
      </c>
      <c r="L8" s="277">
        <f ca="1">MAX(Table10[[#This Row],[HH]]*VLOOKUP("Winter Items Other ",NFI,6)-Table10[[#This Row],[Winter Items Other ]],0)</f>
        <v>61</v>
      </c>
      <c r="M8" s="310" t="str">
        <f>IF(OR(Table10[[#This Row],[Winter Clothes Adult ]]&lt;&gt;0,Table10[[#This Row],[Winter Clothes Children ]]&lt;&gt;0,Table10[[#This Row],[Winter Items Other ]]&lt;&gt;0),"No","")</f>
        <v/>
      </c>
      <c r="N8" s="311">
        <f>COUNTIF(A:A,Table10[[#This Row],[Pcode]])-1</f>
        <v>0</v>
      </c>
    </row>
    <row r="9" spans="1:20" x14ac:dyDescent="0.25">
      <c r="A9" s="259" t="s">
        <v>335</v>
      </c>
      <c r="B9" s="18" t="str">
        <f ca="1">OFFSET(CampList[Priority],MATCH(Table10[[#This Row],[Pcode]],CampList[CP_Pcode],0)-1,0,1,1)</f>
        <v>P1</v>
      </c>
      <c r="C9" s="18" t="str">
        <f ca="1">OFFSET(CampList[Camp],MATCH(Table10[[#This Row],[Pcode]],CampList[CP_Pcode],0)-1,0,1,1)</f>
        <v>Hkau Shau (BP 12)</v>
      </c>
      <c r="D9" s="18" t="str">
        <f ca="1">OFFSET(CampList[Township],MATCH(Table10[[#This Row],[Pcode]],CampList[CP_Pcode],0)-1,0,1,1)</f>
        <v>Waingmaw</v>
      </c>
      <c r="E9" s="18">
        <f ca="1">OFFSET(CampList[HH],MATCH(Table10[[#This Row],[Pcode]],CampList[CP_Pcode],0)-1,0,1,1)</f>
        <v>40</v>
      </c>
      <c r="F9" s="18">
        <f ca="1">OFFSET(CampList[Total],MATCH(Table10[[#This Row],[Pcode]],CampList[CP_Pcode],0)-1,0,1,1)</f>
        <v>225</v>
      </c>
      <c r="G9" s="277">
        <f>SUMIF('NFI Tracking'!AQ$11:AQ$1048576,Table10[[#This Row],[Pcode]],'NFI Tracking'!AI$11:AI$1048576)</f>
        <v>0</v>
      </c>
      <c r="H9" s="277">
        <f>SUMIF('NFI Tracking'!AQ$11:AQ$1048576,Table10[[#This Row],[Pcode]],'NFI Tracking'!AJ$11:AJ$1048576)</f>
        <v>0</v>
      </c>
      <c r="I9" s="277">
        <f>SUMIF('NFI Tracking'!AQ$11:AQ$1048576,Table10[[#This Row],[Pcode]],'NFI Tracking'!AK$11:AK$1048576)</f>
        <v>0</v>
      </c>
      <c r="J9" s="277">
        <f ca="1">MAX(Table10[[#This Row],[HH]]*VLOOKUP("Winter Clothes Adult",NFI,6)-Table10[[#This Row],[Winter Clothes Adult ]],0)</f>
        <v>80</v>
      </c>
      <c r="K9" s="277">
        <f ca="1">MAX(Table10[[#This Row],[HH]]*VLOOKUP("Winter Clothes Children ",NFI,6)-Table10[[#This Row],[Winter Clothes Children ]],0)</f>
        <v>40</v>
      </c>
      <c r="L9" s="277">
        <f ca="1">MAX(Table10[[#This Row],[HH]]*VLOOKUP("Winter Items Other ",NFI,6)-Table10[[#This Row],[Winter Items Other ]],0)</f>
        <v>40</v>
      </c>
      <c r="M9" s="310" t="str">
        <f>IF(OR(Table10[[#This Row],[Winter Clothes Adult ]]&lt;&gt;0,Table10[[#This Row],[Winter Clothes Children ]]&lt;&gt;0,Table10[[#This Row],[Winter Items Other ]]&lt;&gt;0),"No","")</f>
        <v/>
      </c>
      <c r="N9" s="311">
        <f>COUNTIF(A:A,Table10[[#This Row],[Pcode]])-1</f>
        <v>0</v>
      </c>
    </row>
    <row r="10" spans="1:20" x14ac:dyDescent="0.25">
      <c r="A10" s="259" t="s">
        <v>345</v>
      </c>
      <c r="B10" s="18" t="str">
        <f ca="1">OFFSET(CampList[Priority],MATCH(Table10[[#This Row],[Pcode]],CampList[CP_Pcode],0)-1,0,1,1)</f>
        <v>P1</v>
      </c>
      <c r="C10" s="18" t="str">
        <f ca="1">OFFSET(CampList[Camp],MATCH(Table10[[#This Row],[Pcode]],CampList[CP_Pcode],0)-1,0,1,1)</f>
        <v>Pajau - Jan Mai</v>
      </c>
      <c r="D10" s="18" t="str">
        <f ca="1">OFFSET(CampList[Township],MATCH(Table10[[#This Row],[Pcode]],CampList[CP_Pcode],0)-1,0,1,1)</f>
        <v>Waingmaw</v>
      </c>
      <c r="E10" s="18">
        <f ca="1">OFFSET(CampList[HH],MATCH(Table10[[#This Row],[Pcode]],CampList[CP_Pcode],0)-1,0,1,1)</f>
        <v>174</v>
      </c>
      <c r="F10" s="18">
        <f ca="1">OFFSET(CampList[Total],MATCH(Table10[[#This Row],[Pcode]],CampList[CP_Pcode],0)-1,0,1,1)</f>
        <v>956</v>
      </c>
      <c r="G10" s="277">
        <f>SUMIF('NFI Tracking'!AQ$11:AQ$1048576,Table10[[#This Row],[Pcode]],'NFI Tracking'!AI$11:AI$1048576)</f>
        <v>330</v>
      </c>
      <c r="H10" s="277">
        <f>SUMIF('NFI Tracking'!AQ$11:AQ$1048576,Table10[[#This Row],[Pcode]],'NFI Tracking'!AJ$11:AJ$1048576)</f>
        <v>330</v>
      </c>
      <c r="I10" s="277">
        <f>SUMIF('NFI Tracking'!AQ$11:AQ$1048576,Table10[[#This Row],[Pcode]],'NFI Tracking'!AK$11:AK$1048576)</f>
        <v>0</v>
      </c>
      <c r="J10" s="277">
        <f ca="1">MAX(Table10[[#This Row],[HH]]*VLOOKUP("Winter Clothes Adult",NFI,6)-Table10[[#This Row],[Winter Clothes Adult ]],0)</f>
        <v>18</v>
      </c>
      <c r="K10" s="277">
        <f ca="1">MAX(Table10[[#This Row],[HH]]*VLOOKUP("Winter Clothes Children ",NFI,6)-Table10[[#This Row],[Winter Clothes Children ]],0)</f>
        <v>0</v>
      </c>
      <c r="L10" s="277">
        <f ca="1">MAX(Table10[[#This Row],[HH]]*VLOOKUP("Winter Items Other ",NFI,6)-Table10[[#This Row],[Winter Items Other ]],0)</f>
        <v>174</v>
      </c>
      <c r="M10" s="310" t="str">
        <f>IF(OR(Table10[[#This Row],[Winter Clothes Adult ]]&lt;&gt;0,Table10[[#This Row],[Winter Clothes Children ]]&lt;&gt;0,Table10[[#This Row],[Winter Items Other ]]&lt;&gt;0),"No","")</f>
        <v>No</v>
      </c>
      <c r="N10" s="311">
        <f>COUNTIF(A:A,Table10[[#This Row],[Pcode]])-1</f>
        <v>0</v>
      </c>
    </row>
    <row r="11" spans="1:20" x14ac:dyDescent="0.25">
      <c r="A11" s="259" t="s">
        <v>354</v>
      </c>
      <c r="B11" s="18" t="str">
        <f ca="1">OFFSET(CampList[Priority],MATCH(Table10[[#This Row],[Pcode]],CampList[CP_Pcode],0)-1,0,1,1)</f>
        <v>P1</v>
      </c>
      <c r="C11" s="18" t="str">
        <f ca="1">OFFSET(CampList[Camp],MATCH(Table10[[#This Row],[Pcode]],CampList[CP_Pcode],0)-1,0,1,1)</f>
        <v>Post 6 Camp</v>
      </c>
      <c r="D11" s="18" t="str">
        <f ca="1">OFFSET(CampList[Township],MATCH(Table10[[#This Row],[Pcode]],CampList[CP_Pcode],0)-1,0,1,1)</f>
        <v>Waingmaw</v>
      </c>
      <c r="E11" s="18">
        <f ca="1">OFFSET(CampList[HH],MATCH(Table10[[#This Row],[Pcode]],CampList[CP_Pcode],0)-1,0,1,1)</f>
        <v>98</v>
      </c>
      <c r="F11" s="18">
        <f ca="1">OFFSET(CampList[Total],MATCH(Table10[[#This Row],[Pcode]],CampList[CP_Pcode],0)-1,0,1,1)</f>
        <v>563</v>
      </c>
      <c r="G11" s="277">
        <f>SUMIF('NFI Tracking'!AQ$11:AQ$1048576,Table10[[#This Row],[Pcode]],'NFI Tracking'!AI$11:AI$1048576)</f>
        <v>0</v>
      </c>
      <c r="H11" s="277">
        <f>SUMIF('NFI Tracking'!AQ$11:AQ$1048576,Table10[[#This Row],[Pcode]],'NFI Tracking'!AJ$11:AJ$1048576)</f>
        <v>0</v>
      </c>
      <c r="I11" s="277">
        <f>SUMIF('NFI Tracking'!AQ$11:AQ$1048576,Table10[[#This Row],[Pcode]],'NFI Tracking'!AK$11:AK$1048576)</f>
        <v>0</v>
      </c>
      <c r="J11" s="277">
        <f ca="1">MAX(Table10[[#This Row],[HH]]*VLOOKUP("Winter Clothes Adult",NFI,6)-Table10[[#This Row],[Winter Clothes Adult ]],0)</f>
        <v>196</v>
      </c>
      <c r="K11" s="277">
        <f ca="1">MAX(Table10[[#This Row],[HH]]*VLOOKUP("Winter Clothes Children ",NFI,6)-Table10[[#This Row],[Winter Clothes Children ]],0)</f>
        <v>98</v>
      </c>
      <c r="L11" s="277">
        <f ca="1">MAX(Table10[[#This Row],[HH]]*VLOOKUP("Winter Items Other ",NFI,6)-Table10[[#This Row],[Winter Items Other ]],0)</f>
        <v>98</v>
      </c>
      <c r="M11" s="310" t="str">
        <f>IF(OR(Table10[[#This Row],[Winter Clothes Adult ]]&lt;&gt;0,Table10[[#This Row],[Winter Clothes Children ]]&lt;&gt;0,Table10[[#This Row],[Winter Items Other ]]&lt;&gt;0),"No","")</f>
        <v/>
      </c>
      <c r="N11" s="311">
        <f>COUNTIF(A:A,Table10[[#This Row],[Pcode]])-1</f>
        <v>0</v>
      </c>
    </row>
    <row r="12" spans="1:20" x14ac:dyDescent="0.25">
      <c r="A12" s="259" t="s">
        <v>333</v>
      </c>
      <c r="B12" s="18" t="str">
        <f ca="1">OFFSET(CampList[Priority],MATCH(Table10[[#This Row],[Pcode]],CampList[CP_Pcode],0)-1,0,1,1)</f>
        <v>P1</v>
      </c>
      <c r="C12" s="18" t="str">
        <f ca="1">OFFSET(CampList[Camp],MATCH(Table10[[#This Row],[Pcode]],CampList[CP_Pcode],0)-1,0,1,1)</f>
        <v>Border Post 8</v>
      </c>
      <c r="D12" s="18" t="str">
        <f ca="1">OFFSET(CampList[Township],MATCH(Table10[[#This Row],[Pcode]],CampList[CP_Pcode],0)-1,0,1,1)</f>
        <v>Waingmaw</v>
      </c>
      <c r="E12" s="18">
        <f ca="1">OFFSET(CampList[HH],MATCH(Table10[[#This Row],[Pcode]],CampList[CP_Pcode],0)-1,0,1,1)</f>
        <v>161</v>
      </c>
      <c r="F12" s="18">
        <f ca="1">OFFSET(CampList[Total],MATCH(Table10[[#This Row],[Pcode]],CampList[CP_Pcode],0)-1,0,1,1)</f>
        <v>637</v>
      </c>
      <c r="G12" s="277">
        <f>SUMIF('NFI Tracking'!AQ$11:AQ$1048576,Table10[[#This Row],[Pcode]],'NFI Tracking'!AI$11:AI$1048576)</f>
        <v>0</v>
      </c>
      <c r="H12" s="277">
        <f>SUMIF('NFI Tracking'!AQ$11:AQ$1048576,Table10[[#This Row],[Pcode]],'NFI Tracking'!AJ$11:AJ$1048576)</f>
        <v>0</v>
      </c>
      <c r="I12" s="277">
        <f>SUMIF('NFI Tracking'!AQ$11:AQ$1048576,Table10[[#This Row],[Pcode]],'NFI Tracking'!AK$11:AK$1048576)</f>
        <v>0</v>
      </c>
      <c r="J12" s="277">
        <f ca="1">MAX(Table10[[#This Row],[HH]]*VLOOKUP("Winter Clothes Adult",NFI,6)-Table10[[#This Row],[Winter Clothes Adult ]],0)</f>
        <v>322</v>
      </c>
      <c r="K12" s="277">
        <f ca="1">MAX(Table10[[#This Row],[HH]]*VLOOKUP("Winter Clothes Children ",NFI,6)-Table10[[#This Row],[Winter Clothes Children ]],0)</f>
        <v>161</v>
      </c>
      <c r="L12" s="277">
        <f ca="1">MAX(Table10[[#This Row],[HH]]*VLOOKUP("Winter Items Other ",NFI,6)-Table10[[#This Row],[Winter Items Other ]],0)</f>
        <v>161</v>
      </c>
      <c r="M12" s="310" t="str">
        <f>IF(OR(Table10[[#This Row],[Winter Clothes Adult ]]&lt;&gt;0,Table10[[#This Row],[Winter Clothes Children ]]&lt;&gt;0,Table10[[#This Row],[Winter Items Other ]]&lt;&gt;0),"No","")</f>
        <v/>
      </c>
      <c r="N12" s="311">
        <f>COUNTIF(A:A,Table10[[#This Row],[Pcode]])-1</f>
        <v>0</v>
      </c>
    </row>
    <row r="13" spans="1:20" x14ac:dyDescent="0.25">
      <c r="A13" s="259" t="s">
        <v>346</v>
      </c>
      <c r="B13" s="18" t="str">
        <f ca="1">OFFSET(CampList[Priority],MATCH(Table10[[#This Row],[Pcode]],CampList[CP_Pcode],0)-1,0,1,1)</f>
        <v>P1</v>
      </c>
      <c r="C13" s="18" t="str">
        <f ca="1">OFFSET(CampList[Camp],MATCH(Table10[[#This Row],[Pcode]],CampList[CP_Pcode],0)-1,0,1,1)</f>
        <v>Shing Jai</v>
      </c>
      <c r="D13" s="18" t="str">
        <f ca="1">OFFSET(CampList[Township],MATCH(Table10[[#This Row],[Pcode]],CampList[CP_Pcode],0)-1,0,1,1)</f>
        <v>Waingmaw</v>
      </c>
      <c r="E13" s="18">
        <f ca="1">OFFSET(CampList[HH],MATCH(Table10[[#This Row],[Pcode]],CampList[CP_Pcode],0)-1,0,1,1)</f>
        <v>182</v>
      </c>
      <c r="F13" s="18">
        <f ca="1">OFFSET(CampList[Total],MATCH(Table10[[#This Row],[Pcode]],CampList[CP_Pcode],0)-1,0,1,1)</f>
        <v>974</v>
      </c>
      <c r="G13" s="277">
        <f>SUMIF('NFI Tracking'!AQ$11:AQ$1048576,Table10[[#This Row],[Pcode]],'NFI Tracking'!AI$11:AI$1048576)</f>
        <v>0</v>
      </c>
      <c r="H13" s="277">
        <f>SUMIF('NFI Tracking'!AQ$11:AQ$1048576,Table10[[#This Row],[Pcode]],'NFI Tracking'!AJ$11:AJ$1048576)</f>
        <v>0</v>
      </c>
      <c r="I13" s="277">
        <f>SUMIF('NFI Tracking'!AQ$11:AQ$1048576,Table10[[#This Row],[Pcode]],'NFI Tracking'!AK$11:AK$1048576)</f>
        <v>0</v>
      </c>
      <c r="J13" s="277">
        <f ca="1">MAX(Table10[[#This Row],[HH]]*VLOOKUP("Winter Clothes Adult",NFI,6)-Table10[[#This Row],[Winter Clothes Adult ]],0)</f>
        <v>364</v>
      </c>
      <c r="K13" s="277">
        <f ca="1">MAX(Table10[[#This Row],[HH]]*VLOOKUP("Winter Clothes Children ",NFI,6)-Table10[[#This Row],[Winter Clothes Children ]],0)</f>
        <v>182</v>
      </c>
      <c r="L13" s="277">
        <f ca="1">MAX(Table10[[#This Row],[HH]]*VLOOKUP("Winter Items Other ",NFI,6)-Table10[[#This Row],[Winter Items Other ]],0)</f>
        <v>182</v>
      </c>
      <c r="M13" s="310" t="str">
        <f>IF(OR(Table10[[#This Row],[Winter Clothes Adult ]]&lt;&gt;0,Table10[[#This Row],[Winter Clothes Children ]]&lt;&gt;0,Table10[[#This Row],[Winter Items Other ]]&lt;&gt;0),"No","")</f>
        <v/>
      </c>
      <c r="N13" s="311">
        <f>COUNTIF(A:A,Table10[[#This Row],[Pcode]])-1</f>
        <v>0</v>
      </c>
    </row>
    <row r="14" spans="1:20" x14ac:dyDescent="0.25">
      <c r="A14" s="259" t="s">
        <v>214</v>
      </c>
      <c r="B14" s="18" t="str">
        <f ca="1">OFFSET(CampList[Priority],MATCH(Table10[[#This Row],[Pcode]],CampList[CP_Pcode],0)-1,0,1,1)</f>
        <v>P1</v>
      </c>
      <c r="C14" s="18" t="str">
        <f ca="1">OFFSET(CampList[Camp],MATCH(Table10[[#This Row],[Pcode]],CampList[CP_Pcode],0)-1,0,1,1)</f>
        <v xml:space="preserve">Nhkawng Pa </v>
      </c>
      <c r="D14" s="18" t="str">
        <f ca="1">OFFSET(CampList[Township],MATCH(Table10[[#This Row],[Pcode]],CampList[CP_Pcode],0)-1,0,1,1)</f>
        <v>Momauk</v>
      </c>
      <c r="E14" s="18">
        <f ca="1">OFFSET(CampList[HH],MATCH(Table10[[#This Row],[Pcode]],CampList[CP_Pcode],0)-1,0,1,1)</f>
        <v>355</v>
      </c>
      <c r="F14" s="18">
        <f ca="1">OFFSET(CampList[Total],MATCH(Table10[[#This Row],[Pcode]],CampList[CP_Pcode],0)-1,0,1,1)</f>
        <v>1684</v>
      </c>
      <c r="G14" s="277">
        <f>SUMIF('NFI Tracking'!AQ$11:AQ$1048576,Table10[[#This Row],[Pcode]],'NFI Tracking'!AI$11:AI$1048576)</f>
        <v>0</v>
      </c>
      <c r="H14" s="277">
        <f>SUMIF('NFI Tracking'!AQ$11:AQ$1048576,Table10[[#This Row],[Pcode]],'NFI Tracking'!AJ$11:AJ$1048576)</f>
        <v>0</v>
      </c>
      <c r="I14" s="277">
        <f>SUMIF('NFI Tracking'!AQ$11:AQ$1048576,Table10[[#This Row],[Pcode]],'NFI Tracking'!AK$11:AK$1048576)</f>
        <v>0</v>
      </c>
      <c r="J14" s="277">
        <f ca="1">MAX(Table10[[#This Row],[HH]]*VLOOKUP("Winter Clothes Adult",NFI,6)-Table10[[#This Row],[Winter Clothes Adult ]],0)</f>
        <v>710</v>
      </c>
      <c r="K14" s="277">
        <f ca="1">MAX(Table10[[#This Row],[HH]]*VLOOKUP("Winter Clothes Children ",NFI,6)-Table10[[#This Row],[Winter Clothes Children ]],0)</f>
        <v>355</v>
      </c>
      <c r="L14" s="277">
        <f ca="1">MAX(Table10[[#This Row],[HH]]*VLOOKUP("Winter Items Other ",NFI,6)-Table10[[#This Row],[Winter Items Other ]],0)</f>
        <v>355</v>
      </c>
      <c r="M14" s="310" t="str">
        <f>IF(OR(Table10[[#This Row],[Winter Clothes Adult ]]&lt;&gt;0,Table10[[#This Row],[Winter Clothes Children ]]&lt;&gt;0,Table10[[#This Row],[Winter Items Other ]]&lt;&gt;0),"No","")</f>
        <v/>
      </c>
      <c r="N14" s="311">
        <f>COUNTIF(A:A,Table10[[#This Row],[Pcode]])-1</f>
        <v>0</v>
      </c>
    </row>
    <row r="15" spans="1:20" x14ac:dyDescent="0.25">
      <c r="A15" s="259" t="s">
        <v>147</v>
      </c>
      <c r="B15" s="18" t="str">
        <f ca="1">OFFSET(CampList[Priority],MATCH(Table10[[#This Row],[Pcode]],CampList[CP_Pcode],0)-1,0,1,1)</f>
        <v>P1</v>
      </c>
      <c r="C15" s="18" t="str">
        <f ca="1">OFFSET(CampList[Camp],MATCH(Table10[[#This Row],[Pcode]],CampList[CP_Pcode],0)-1,0,1,1)</f>
        <v xml:space="preserve">Mungji Pa Dabang (Baptist Church)         </v>
      </c>
      <c r="D15" s="18" t="str">
        <f ca="1">OFFSET(CampList[Township],MATCH(Table10[[#This Row],[Pcode]],CampList[CP_Pcode],0)-1,0,1,1)</f>
        <v>Kutkai</v>
      </c>
      <c r="E15" s="18">
        <f ca="1">OFFSET(CampList[HH],MATCH(Table10[[#This Row],[Pcode]],CampList[CP_Pcode],0)-1,0,1,1)</f>
        <v>46</v>
      </c>
      <c r="F15" s="18">
        <f ca="1">OFFSET(CampList[Total],MATCH(Table10[[#This Row],[Pcode]],CampList[CP_Pcode],0)-1,0,1,1)</f>
        <v>255</v>
      </c>
      <c r="G15" s="277">
        <f>SUMIF('NFI Tracking'!AQ$11:AQ$1048576,Table10[[#This Row],[Pcode]],'NFI Tracking'!AI$11:AI$1048576)</f>
        <v>0</v>
      </c>
      <c r="H15" s="277">
        <f>SUMIF('NFI Tracking'!AQ$11:AQ$1048576,Table10[[#This Row],[Pcode]],'NFI Tracking'!AJ$11:AJ$1048576)</f>
        <v>0</v>
      </c>
      <c r="I15" s="277">
        <f>SUMIF('NFI Tracking'!AQ$11:AQ$1048576,Table10[[#This Row],[Pcode]],'NFI Tracking'!AK$11:AK$1048576)</f>
        <v>0</v>
      </c>
      <c r="J15" s="277">
        <f ca="1">MAX(Table10[[#This Row],[HH]]*VLOOKUP("Winter Clothes Adult",NFI,6)-Table10[[#This Row],[Winter Clothes Adult ]],0)</f>
        <v>92</v>
      </c>
      <c r="K15" s="277">
        <f ca="1">MAX(Table10[[#This Row],[HH]]*VLOOKUP("Winter Clothes Children ",NFI,6)-Table10[[#This Row],[Winter Clothes Children ]],0)</f>
        <v>46</v>
      </c>
      <c r="L15" s="277">
        <f ca="1">MAX(Table10[[#This Row],[HH]]*VLOOKUP("Winter Items Other ",NFI,6)-Table10[[#This Row],[Winter Items Other ]],0)</f>
        <v>46</v>
      </c>
      <c r="M15" s="310" t="str">
        <f>IF(OR(Table10[[#This Row],[Winter Clothes Adult ]]&lt;&gt;0,Table10[[#This Row],[Winter Clothes Children ]]&lt;&gt;0,Table10[[#This Row],[Winter Items Other ]]&lt;&gt;0),"No","")</f>
        <v/>
      </c>
      <c r="N15" s="311">
        <f>COUNTIF(A:A,Table10[[#This Row],[Pcode]])-1</f>
        <v>0</v>
      </c>
    </row>
    <row r="16" spans="1:20" x14ac:dyDescent="0.25">
      <c r="A16" s="259" t="s">
        <v>234</v>
      </c>
      <c r="B16" s="18" t="str">
        <f ca="1">OFFSET(CampList[Priority],MATCH(Table10[[#This Row],[Pcode]],CampList[CP_Pcode],0)-1,0,1,1)</f>
        <v>P1</v>
      </c>
      <c r="C16" s="18" t="str">
        <f ca="1">OFFSET(CampList[Camp],MATCH(Table10[[#This Row],[Pcode]],CampList[CP_Pcode],0)-1,0,1,1)</f>
        <v xml:space="preserve">Mung Baw </v>
      </c>
      <c r="D16" s="18" t="str">
        <f ca="1">OFFSET(CampList[Township],MATCH(Table10[[#This Row],[Pcode]],CampList[CP_Pcode],0)-1,0,1,1)</f>
        <v>Muse</v>
      </c>
      <c r="E16" s="18">
        <f ca="1">OFFSET(CampList[HH],MATCH(Table10[[#This Row],[Pcode]],CampList[CP_Pcode],0)-1,0,1,1)</f>
        <v>0</v>
      </c>
      <c r="F16" s="18">
        <f ca="1">OFFSET(CampList[Total],MATCH(Table10[[#This Row],[Pcode]],CampList[CP_Pcode],0)-1,0,1,1)</f>
        <v>0</v>
      </c>
      <c r="G16" s="277">
        <f>SUMIF('NFI Tracking'!AQ$11:AQ$1048576,Table10[[#This Row],[Pcode]],'NFI Tracking'!AI$11:AI$1048576)</f>
        <v>0</v>
      </c>
      <c r="H16" s="277">
        <f>SUMIF('NFI Tracking'!AQ$11:AQ$1048576,Table10[[#This Row],[Pcode]],'NFI Tracking'!AJ$11:AJ$1048576)</f>
        <v>0</v>
      </c>
      <c r="I16" s="277">
        <f>SUMIF('NFI Tracking'!AQ$11:AQ$1048576,Table10[[#This Row],[Pcode]],'NFI Tracking'!AK$11:AK$1048576)</f>
        <v>0</v>
      </c>
      <c r="J16" s="277">
        <f ca="1">MAX(Table10[[#This Row],[HH]]*VLOOKUP("Winter Clothes Adult",NFI,6)-Table10[[#This Row],[Winter Clothes Adult ]],0)</f>
        <v>0</v>
      </c>
      <c r="K16" s="277">
        <f ca="1">MAX(Table10[[#This Row],[HH]]*VLOOKUP("Winter Clothes Children ",NFI,6)-Table10[[#This Row],[Winter Clothes Children ]],0)</f>
        <v>0</v>
      </c>
      <c r="L16" s="277">
        <f ca="1">MAX(Table10[[#This Row],[HH]]*VLOOKUP("Winter Items Other ",NFI,6)-Table10[[#This Row],[Winter Items Other ]],0)</f>
        <v>0</v>
      </c>
      <c r="M16" s="310" t="str">
        <f>IF(OR(Table10[[#This Row],[Winter Clothes Adult ]]&lt;&gt;0,Table10[[#This Row],[Winter Clothes Children ]]&lt;&gt;0,Table10[[#This Row],[Winter Items Other ]]&lt;&gt;0),"No","")</f>
        <v/>
      </c>
      <c r="N16" s="311">
        <f>COUNTIF(A:A,Table10[[#This Row],[Pcode]])-1</f>
        <v>0</v>
      </c>
      <c r="Q16" s="276" t="s">
        <v>414</v>
      </c>
      <c r="R16" s="18" t="s">
        <v>1085</v>
      </c>
      <c r="S16" s="18" t="s">
        <v>1086</v>
      </c>
      <c r="T16" s="18" t="s">
        <v>1087</v>
      </c>
    </row>
    <row r="17" spans="1:20" x14ac:dyDescent="0.25">
      <c r="A17" s="259" t="s">
        <v>232</v>
      </c>
      <c r="B17" s="18" t="str">
        <f ca="1">OFFSET(CampList[Priority],MATCH(Table10[[#This Row],[Pcode]],CampList[CP_Pcode],0)-1,0,1,1)</f>
        <v>P1</v>
      </c>
      <c r="C17" s="18" t="str">
        <f ca="1">OFFSET(CampList[Camp],MATCH(Table10[[#This Row],[Pcode]],CampList[CP_Pcode],0)-1,0,1,1)</f>
        <v xml:space="preserve">Munekoe Pa (Giwang) - Hka San (Mung  Go  Pa ) </v>
      </c>
      <c r="D17" s="18" t="str">
        <f ca="1">OFFSET(CampList[Township],MATCH(Table10[[#This Row],[Pcode]],CampList[CP_Pcode],0)-1,0,1,1)</f>
        <v>Muse</v>
      </c>
      <c r="E17" s="18">
        <f ca="1">OFFSET(CampList[HH],MATCH(Table10[[#This Row],[Pcode]],CampList[CP_Pcode],0)-1,0,1,1)</f>
        <v>0</v>
      </c>
      <c r="F17" s="18">
        <f ca="1">OFFSET(CampList[Total],MATCH(Table10[[#This Row],[Pcode]],CampList[CP_Pcode],0)-1,0,1,1)</f>
        <v>0</v>
      </c>
      <c r="G17" s="277">
        <f>SUMIF('NFI Tracking'!AQ$11:AQ$1048576,Table10[[#This Row],[Pcode]],'NFI Tracking'!AI$11:AI$1048576)</f>
        <v>0</v>
      </c>
      <c r="H17" s="277">
        <f>SUMIF('NFI Tracking'!AQ$11:AQ$1048576,Table10[[#This Row],[Pcode]],'NFI Tracking'!AJ$11:AJ$1048576)</f>
        <v>0</v>
      </c>
      <c r="I17" s="277">
        <f>SUMIF('NFI Tracking'!AQ$11:AQ$1048576,Table10[[#This Row],[Pcode]],'NFI Tracking'!AK$11:AK$1048576)</f>
        <v>0</v>
      </c>
      <c r="J17" s="277">
        <f ca="1">MAX(Table10[[#This Row],[HH]]*VLOOKUP("Winter Clothes Adult",NFI,6)-Table10[[#This Row],[Winter Clothes Adult ]],0)</f>
        <v>0</v>
      </c>
      <c r="K17" s="277">
        <f ca="1">MAX(Table10[[#This Row],[HH]]*VLOOKUP("Winter Clothes Children ",NFI,6)-Table10[[#This Row],[Winter Clothes Children ]],0)</f>
        <v>0</v>
      </c>
      <c r="L17" s="277">
        <f ca="1">MAX(Table10[[#This Row],[HH]]*VLOOKUP("Winter Items Other ",NFI,6)-Table10[[#This Row],[Winter Items Other ]],0)</f>
        <v>0</v>
      </c>
      <c r="M17" s="310" t="str">
        <f>IF(OR(Table10[[#This Row],[Winter Clothes Adult ]]&lt;&gt;0,Table10[[#This Row],[Winter Clothes Children ]]&lt;&gt;0,Table10[[#This Row],[Winter Items Other ]]&lt;&gt;0),"No","")</f>
        <v/>
      </c>
      <c r="N17" s="311">
        <f>COUNTIF(A:A,Table10[[#This Row],[Pcode]])-1</f>
        <v>0</v>
      </c>
      <c r="Q17" s="275" t="s">
        <v>1077</v>
      </c>
      <c r="R17" s="410">
        <v>2718</v>
      </c>
      <c r="S17" s="410">
        <v>1350</v>
      </c>
      <c r="T17" s="410">
        <v>1679</v>
      </c>
    </row>
    <row r="18" spans="1:20" x14ac:dyDescent="0.25">
      <c r="A18" s="259" t="s">
        <v>187</v>
      </c>
      <c r="B18" s="18" t="str">
        <f ca="1">OFFSET(CampList[Priority],MATCH(Table10[[#This Row],[Pcode]],CampList[CP_Pcode],0)-1,0,1,1)</f>
        <v>P2</v>
      </c>
      <c r="C18" s="18" t="str">
        <f ca="1">OFFSET(CampList[Camp],MATCH(Table10[[#This Row],[Pcode]],CampList[CP_Pcode],0)-1,0,1,1)</f>
        <v xml:space="preserve">Bum Tsit Pa </v>
      </c>
      <c r="D18" s="18" t="str">
        <f ca="1">OFFSET(CampList[Township],MATCH(Table10[[#This Row],[Pcode]],CampList[CP_Pcode],0)-1,0,1,1)</f>
        <v>Mansi</v>
      </c>
      <c r="E18" s="18">
        <f ca="1">OFFSET(CampList[HH],MATCH(Table10[[#This Row],[Pcode]],CampList[CP_Pcode],0)-1,0,1,1)</f>
        <v>418</v>
      </c>
      <c r="F18" s="18">
        <f ca="1">OFFSET(CampList[Total],MATCH(Table10[[#This Row],[Pcode]],CampList[CP_Pcode],0)-1,0,1,1)</f>
        <v>2109</v>
      </c>
      <c r="G18" s="277">
        <f>SUMIF('NFI Tracking'!AQ$11:AQ$1048576,Table10[[#This Row],[Pcode]],'NFI Tracking'!AI$11:AI$1048576)</f>
        <v>0</v>
      </c>
      <c r="H18" s="277">
        <f>SUMIF('NFI Tracking'!AQ$11:AQ$1048576,Table10[[#This Row],[Pcode]],'NFI Tracking'!AJ$11:AJ$1048576)</f>
        <v>0</v>
      </c>
      <c r="I18" s="277">
        <f>SUMIF('NFI Tracking'!AQ$11:AQ$1048576,Table10[[#This Row],[Pcode]],'NFI Tracking'!AK$11:AK$1048576)</f>
        <v>0</v>
      </c>
      <c r="J18" s="277">
        <f ca="1">MAX(Table10[[#This Row],[HH]]*VLOOKUP("Winter Clothes Adult",NFI,6)-Table10[[#This Row],[Winter Clothes Adult ]],0)</f>
        <v>836</v>
      </c>
      <c r="K18" s="277">
        <f ca="1">MAX(Table10[[#This Row],[HH]]*VLOOKUP("Winter Clothes Children ",NFI,6)-Table10[[#This Row],[Winter Clothes Children ]],0)</f>
        <v>418</v>
      </c>
      <c r="L18" s="277">
        <f ca="1">MAX(Table10[[#This Row],[HH]]*VLOOKUP("Winter Items Other ",NFI,6)-Table10[[#This Row],[Winter Items Other ]],0)</f>
        <v>418</v>
      </c>
      <c r="M18" s="310" t="str">
        <f>IF(OR(Table10[[#This Row],[Winter Clothes Adult ]]&lt;&gt;0,Table10[[#This Row],[Winter Clothes Children ]]&lt;&gt;0,Table10[[#This Row],[Winter Items Other ]]&lt;&gt;0),"No","")</f>
        <v/>
      </c>
      <c r="N18" s="311">
        <f>COUNTIF(A:A,Table10[[#This Row],[Pcode]])-1</f>
        <v>0</v>
      </c>
      <c r="Q18" s="275" t="s">
        <v>1078</v>
      </c>
      <c r="R18" s="410">
        <v>9976</v>
      </c>
      <c r="S18" s="410">
        <v>4988</v>
      </c>
      <c r="T18" s="410">
        <v>4988</v>
      </c>
    </row>
    <row r="19" spans="1:20" x14ac:dyDescent="0.25">
      <c r="A19" s="259" t="s">
        <v>1035</v>
      </c>
      <c r="B19" s="18" t="str">
        <f ca="1">OFFSET(CampList[Priority],MATCH(Table10[[#This Row],[Pcode]],CampList[CP_Pcode],0)-1,0,1,1)</f>
        <v>P2</v>
      </c>
      <c r="C19" s="18" t="str">
        <f ca="1">OFFSET(CampList[Camp],MATCH(Table10[[#This Row],[Pcode]],CampList[CP_Pcode],0)-1,0,1,1)</f>
        <v>Bum Tsit Pa Camp II</v>
      </c>
      <c r="D19" s="18" t="str">
        <f ca="1">OFFSET(CampList[Township],MATCH(Table10[[#This Row],[Pcode]],CampList[CP_Pcode],0)-1,0,1,1)</f>
        <v>Mansi</v>
      </c>
      <c r="E19" s="18">
        <f ca="1">OFFSET(CampList[HH],MATCH(Table10[[#This Row],[Pcode]],CampList[CP_Pcode],0)-1,0,1,1)</f>
        <v>0</v>
      </c>
      <c r="F19" s="18">
        <f ca="1">OFFSET(CampList[Total],MATCH(Table10[[#This Row],[Pcode]],CampList[CP_Pcode],0)-1,0,1,1)</f>
        <v>0</v>
      </c>
      <c r="G19" s="277">
        <f>SUMIF('NFI Tracking'!AQ$11:AQ$1048576,Table10[[#This Row],[Pcode]],'NFI Tracking'!AI$11:AI$1048576)</f>
        <v>0</v>
      </c>
      <c r="H19" s="277">
        <f>SUMIF('NFI Tracking'!AQ$11:AQ$1048576,Table10[[#This Row],[Pcode]],'NFI Tracking'!AJ$11:AJ$1048576)</f>
        <v>0</v>
      </c>
      <c r="I19" s="277">
        <f>SUMIF('NFI Tracking'!AQ$11:AQ$1048576,Table10[[#This Row],[Pcode]],'NFI Tracking'!AK$11:AK$1048576)</f>
        <v>0</v>
      </c>
      <c r="J19" s="277">
        <f ca="1">MAX(Table10[[#This Row],[HH]]*VLOOKUP("Winter Clothes Adult",NFI,6)-Table10[[#This Row],[Winter Clothes Adult ]],0)</f>
        <v>0</v>
      </c>
      <c r="K19" s="277">
        <f ca="1">MAX(Table10[[#This Row],[HH]]*VLOOKUP("Winter Clothes Children ",NFI,6)-Table10[[#This Row],[Winter Clothes Children ]],0)</f>
        <v>0</v>
      </c>
      <c r="L19" s="277">
        <f ca="1">MAX(Table10[[#This Row],[HH]]*VLOOKUP("Winter Items Other ",NFI,6)-Table10[[#This Row],[Winter Items Other ]],0)</f>
        <v>0</v>
      </c>
      <c r="M19" s="310" t="str">
        <f>IF(OR(Table10[[#This Row],[Winter Clothes Adult ]]&lt;&gt;0,Table10[[#This Row],[Winter Clothes Children ]]&lt;&gt;0,Table10[[#This Row],[Winter Items Other ]]&lt;&gt;0),"No","")</f>
        <v/>
      </c>
      <c r="N19" s="311">
        <f>COUNTIF(A:A,Table10[[#This Row],[Pcode]])-1</f>
        <v>0</v>
      </c>
      <c r="Q19" s="275" t="s">
        <v>1079</v>
      </c>
      <c r="R19" s="410">
        <v>2656</v>
      </c>
      <c r="S19" s="410">
        <v>1328</v>
      </c>
      <c r="T19" s="410">
        <v>1328</v>
      </c>
    </row>
    <row r="20" spans="1:20" x14ac:dyDescent="0.25">
      <c r="A20" s="259" t="s">
        <v>197</v>
      </c>
      <c r="B20" s="18" t="str">
        <f ca="1">OFFSET(CampList[Priority],MATCH(Table10[[#This Row],[Pcode]],CampList[CP_Pcode],0)-1,0,1,1)</f>
        <v>P2</v>
      </c>
      <c r="C20" s="18" t="str">
        <f ca="1">OFFSET(CampList[Camp],MATCH(Table10[[#This Row],[Pcode]],CampList[CP_Pcode],0)-1,0,1,1)</f>
        <v xml:space="preserve">Lana Zup Ja </v>
      </c>
      <c r="D20" s="18" t="str">
        <f ca="1">OFFSET(CampList[Township],MATCH(Table10[[#This Row],[Pcode]],CampList[CP_Pcode],0)-1,0,1,1)</f>
        <v>Mansi</v>
      </c>
      <c r="E20" s="18">
        <f ca="1">OFFSET(CampList[HH],MATCH(Table10[[#This Row],[Pcode]],CampList[CP_Pcode],0)-1,0,1,1)</f>
        <v>547</v>
      </c>
      <c r="F20" s="18">
        <f ca="1">OFFSET(CampList[Total],MATCH(Table10[[#This Row],[Pcode]],CampList[CP_Pcode],0)-1,0,1,1)</f>
        <v>2576</v>
      </c>
      <c r="G20" s="277">
        <f>SUMIF('NFI Tracking'!AQ$11:AQ$1048576,Table10[[#This Row],[Pcode]],'NFI Tracking'!AI$11:AI$1048576)</f>
        <v>0</v>
      </c>
      <c r="H20" s="277">
        <f>SUMIF('NFI Tracking'!AQ$11:AQ$1048576,Table10[[#This Row],[Pcode]],'NFI Tracking'!AJ$11:AJ$1048576)</f>
        <v>0</v>
      </c>
      <c r="I20" s="277">
        <f>SUMIF('NFI Tracking'!AQ$11:AQ$1048576,Table10[[#This Row],[Pcode]],'NFI Tracking'!AK$11:AK$1048576)</f>
        <v>0</v>
      </c>
      <c r="J20" s="277">
        <f ca="1">MAX(Table10[[#This Row],[HH]]*VLOOKUP("Winter Clothes Adult",NFI,6)-Table10[[#This Row],[Winter Clothes Adult ]],0)</f>
        <v>1094</v>
      </c>
      <c r="K20" s="277">
        <f ca="1">MAX(Table10[[#This Row],[HH]]*VLOOKUP("Winter Clothes Children ",NFI,6)-Table10[[#This Row],[Winter Clothes Children ]],0)</f>
        <v>547</v>
      </c>
      <c r="L20" s="277">
        <f ca="1">MAX(Table10[[#This Row],[HH]]*VLOOKUP("Winter Items Other ",NFI,6)-Table10[[#This Row],[Winter Items Other ]],0)</f>
        <v>547</v>
      </c>
      <c r="M20" s="310" t="str">
        <f>IF(OR(Table10[[#This Row],[Winter Clothes Adult ]]&lt;&gt;0,Table10[[#This Row],[Winter Clothes Children ]]&lt;&gt;0,Table10[[#This Row],[Winter Items Other ]]&lt;&gt;0),"No","")</f>
        <v/>
      </c>
      <c r="N20" s="311">
        <f>COUNTIF(A:A,Table10[[#This Row],[Pcode]])-1</f>
        <v>0</v>
      </c>
      <c r="Q20" s="275" t="s">
        <v>1093</v>
      </c>
      <c r="R20" s="410">
        <v>20320</v>
      </c>
      <c r="S20" s="410">
        <v>10160</v>
      </c>
      <c r="T20" s="410">
        <v>10160</v>
      </c>
    </row>
    <row r="21" spans="1:20" x14ac:dyDescent="0.25">
      <c r="A21" s="259" t="s">
        <v>157</v>
      </c>
      <c r="B21" s="18" t="str">
        <f ca="1">OFFSET(CampList[Priority],MATCH(Table10[[#This Row],[Pcode]],CampList[CP_Pcode],0)-1,0,1,1)</f>
        <v>P2</v>
      </c>
      <c r="C21" s="18" t="str">
        <f ca="1">OFFSET(CampList[Camp],MATCH(Table10[[#This Row],[Pcode]],CampList[CP_Pcode],0)-1,0,1,1)</f>
        <v>Lung Kawk  ( Hka Hkye Zup)</v>
      </c>
      <c r="D21" s="18" t="str">
        <f ca="1">OFFSET(CampList[Township],MATCH(Table10[[#This Row],[Pcode]],CampList[CP_Pcode],0)-1,0,1,1)</f>
        <v>Mansi</v>
      </c>
      <c r="E21" s="18">
        <f ca="1">OFFSET(CampList[HH],MATCH(Table10[[#This Row],[Pcode]],CampList[CP_Pcode],0)-1,0,1,1)</f>
        <v>0</v>
      </c>
      <c r="F21" s="18">
        <f ca="1">OFFSET(CampList[Total],MATCH(Table10[[#This Row],[Pcode]],CampList[CP_Pcode],0)-1,0,1,1)</f>
        <v>0</v>
      </c>
      <c r="G21" s="277">
        <f>SUMIF('NFI Tracking'!AQ$11:AQ$1048576,Table10[[#This Row],[Pcode]],'NFI Tracking'!AI$11:AI$1048576)</f>
        <v>0</v>
      </c>
      <c r="H21" s="277">
        <f>SUMIF('NFI Tracking'!AQ$11:AQ$1048576,Table10[[#This Row],[Pcode]],'NFI Tracking'!AJ$11:AJ$1048576)</f>
        <v>0</v>
      </c>
      <c r="I21" s="277">
        <f>SUMIF('NFI Tracking'!AQ$11:AQ$1048576,Table10[[#This Row],[Pcode]],'NFI Tracking'!AK$11:AK$1048576)</f>
        <v>0</v>
      </c>
      <c r="J21" s="277">
        <f ca="1">MAX(Table10[[#This Row],[HH]]*VLOOKUP("Winter Clothes Adult",NFI,6)-Table10[[#This Row],[Winter Clothes Adult ]],0)</f>
        <v>0</v>
      </c>
      <c r="K21" s="277">
        <f ca="1">MAX(Table10[[#This Row],[HH]]*VLOOKUP("Winter Clothes Children ",NFI,6)-Table10[[#This Row],[Winter Clothes Children ]],0)</f>
        <v>0</v>
      </c>
      <c r="L21" s="277">
        <f ca="1">MAX(Table10[[#This Row],[HH]]*VLOOKUP("Winter Items Other ",NFI,6)-Table10[[#This Row],[Winter Items Other ]],0)</f>
        <v>0</v>
      </c>
      <c r="M21" s="310" t="str">
        <f>IF(OR(Table10[[#This Row],[Winter Clothes Adult ]]&lt;&gt;0,Table10[[#This Row],[Winter Clothes Children ]]&lt;&gt;0,Table10[[#This Row],[Winter Items Other ]]&lt;&gt;0),"No","")</f>
        <v/>
      </c>
      <c r="N21" s="311">
        <f>COUNTIF(A:A,Table10[[#This Row],[Pcode]])-1</f>
        <v>0</v>
      </c>
      <c r="Q21" s="275" t="s">
        <v>415</v>
      </c>
      <c r="R21" s="410">
        <v>35670</v>
      </c>
      <c r="S21" s="410">
        <v>17826</v>
      </c>
      <c r="T21" s="410">
        <v>18155</v>
      </c>
    </row>
    <row r="22" spans="1:20" x14ac:dyDescent="0.25">
      <c r="A22" s="259" t="s">
        <v>193</v>
      </c>
      <c r="B22" s="18" t="str">
        <f ca="1">OFFSET(CampList[Priority],MATCH(Table10[[#This Row],[Pcode]],CampList[CP_Pcode],0)-1,0,1,1)</f>
        <v>P2</v>
      </c>
      <c r="C22" s="18" t="str">
        <f ca="1">OFFSET(CampList[Camp],MATCH(Table10[[#This Row],[Pcode]],CampList[CP_Pcode],0)-1,0,1,1)</f>
        <v xml:space="preserve">Hpun Lum Yang </v>
      </c>
      <c r="D22" s="18" t="str">
        <f ca="1">OFFSET(CampList[Township],MATCH(Table10[[#This Row],[Pcode]],CampList[CP_Pcode],0)-1,0,1,1)</f>
        <v>Momauk</v>
      </c>
      <c r="E22" s="18">
        <f ca="1">OFFSET(CampList[HH],MATCH(Table10[[#This Row],[Pcode]],CampList[CP_Pcode],0)-1,0,1,1)</f>
        <v>641</v>
      </c>
      <c r="F22" s="18">
        <f ca="1">OFFSET(CampList[Total],MATCH(Table10[[#This Row],[Pcode]],CampList[CP_Pcode],0)-1,0,1,1)</f>
        <v>2862</v>
      </c>
      <c r="G22" s="277">
        <f>SUMIF('NFI Tracking'!AQ$11:AQ$1048576,Table10[[#This Row],[Pcode]],'NFI Tracking'!AI$11:AI$1048576)</f>
        <v>0</v>
      </c>
      <c r="H22" s="277">
        <f>SUMIF('NFI Tracking'!AQ$11:AQ$1048576,Table10[[#This Row],[Pcode]],'NFI Tracking'!AJ$11:AJ$1048576)</f>
        <v>0</v>
      </c>
      <c r="I22" s="277">
        <f>SUMIF('NFI Tracking'!AQ$11:AQ$1048576,Table10[[#This Row],[Pcode]],'NFI Tracking'!AK$11:AK$1048576)</f>
        <v>0</v>
      </c>
      <c r="J22" s="277">
        <f ca="1">MAX(Table10[[#This Row],[HH]]*VLOOKUP("Winter Clothes Adult",NFI,6)-Table10[[#This Row],[Winter Clothes Adult ]],0)</f>
        <v>1282</v>
      </c>
      <c r="K22" s="277">
        <f ca="1">MAX(Table10[[#This Row],[HH]]*VLOOKUP("Winter Clothes Children ",NFI,6)-Table10[[#This Row],[Winter Clothes Children ]],0)</f>
        <v>641</v>
      </c>
      <c r="L22" s="277">
        <f ca="1">MAX(Table10[[#This Row],[HH]]*VLOOKUP("Winter Items Other ",NFI,6)-Table10[[#This Row],[Winter Items Other ]],0)</f>
        <v>641</v>
      </c>
      <c r="M22" s="310" t="str">
        <f>IF(OR(Table10[[#This Row],[Winter Clothes Adult ]]&lt;&gt;0,Table10[[#This Row],[Winter Clothes Children ]]&lt;&gt;0,Table10[[#This Row],[Winter Items Other ]]&lt;&gt;0),"No","")</f>
        <v/>
      </c>
      <c r="N22" s="311">
        <f>COUNTIF(A:A,Table10[[#This Row],[Pcode]])-1</f>
        <v>0</v>
      </c>
    </row>
    <row r="23" spans="1:20" x14ac:dyDescent="0.25">
      <c r="A23" s="259" t="s">
        <v>195</v>
      </c>
      <c r="B23" s="18" t="str">
        <f ca="1">OFFSET(CampList[Priority],MATCH(Table10[[#This Row],[Pcode]],CampList[CP_Pcode],0)-1,0,1,1)</f>
        <v>P2</v>
      </c>
      <c r="C23" s="18" t="str">
        <f ca="1">OFFSET(CampList[Camp],MATCH(Table10[[#This Row],[Pcode]],CampList[CP_Pcode],0)-1,0,1,1)</f>
        <v xml:space="preserve">Je Yang Hka </v>
      </c>
      <c r="D23" s="18" t="str">
        <f ca="1">OFFSET(CampList[Township],MATCH(Table10[[#This Row],[Pcode]],CampList[CP_Pcode],0)-1,0,1,1)</f>
        <v>Waingmaw</v>
      </c>
      <c r="E23" s="18">
        <f ca="1">OFFSET(CampList[HH],MATCH(Table10[[#This Row],[Pcode]],CampList[CP_Pcode],0)-1,0,1,1)</f>
        <v>1649</v>
      </c>
      <c r="F23" s="18">
        <f ca="1">OFFSET(CampList[Total],MATCH(Table10[[#This Row],[Pcode]],CampList[CP_Pcode],0)-1,0,1,1)</f>
        <v>8965</v>
      </c>
      <c r="G23" s="277">
        <f>SUMIF('NFI Tracking'!AQ$11:AQ$1048576,Table10[[#This Row],[Pcode]],'NFI Tracking'!AI$11:AI$1048576)</f>
        <v>0</v>
      </c>
      <c r="H23" s="277">
        <f>SUMIF('NFI Tracking'!AQ$11:AQ$1048576,Table10[[#This Row],[Pcode]],'NFI Tracking'!AJ$11:AJ$1048576)</f>
        <v>0</v>
      </c>
      <c r="I23" s="277">
        <f>SUMIF('NFI Tracking'!AQ$11:AQ$1048576,Table10[[#This Row],[Pcode]],'NFI Tracking'!AK$11:AK$1048576)</f>
        <v>0</v>
      </c>
      <c r="J23" s="277">
        <f ca="1">MAX(Table10[[#This Row],[HH]]*VLOOKUP("Winter Clothes Adult",NFI,6)-Table10[[#This Row],[Winter Clothes Adult ]],0)</f>
        <v>3298</v>
      </c>
      <c r="K23" s="277">
        <f ca="1">MAX(Table10[[#This Row],[HH]]*VLOOKUP("Winter Clothes Children ",NFI,6)-Table10[[#This Row],[Winter Clothes Children ]],0)</f>
        <v>1649</v>
      </c>
      <c r="L23" s="277">
        <f ca="1">MAX(Table10[[#This Row],[HH]]*VLOOKUP("Winter Items Other ",NFI,6)-Table10[[#This Row],[Winter Items Other ]],0)</f>
        <v>1649</v>
      </c>
      <c r="M23" s="310" t="str">
        <f>IF(OR(Table10[[#This Row],[Winter Clothes Adult ]]&lt;&gt;0,Table10[[#This Row],[Winter Clothes Children ]]&lt;&gt;0,Table10[[#This Row],[Winter Items Other ]]&lt;&gt;0),"No","")</f>
        <v/>
      </c>
      <c r="N23" s="311">
        <f>COUNTIF(A:A,Table10[[#This Row],[Pcode]])-1</f>
        <v>0</v>
      </c>
    </row>
    <row r="24" spans="1:20" x14ac:dyDescent="0.25">
      <c r="A24" s="259" t="s">
        <v>218</v>
      </c>
      <c r="B24" s="18" t="str">
        <f ca="1">OFFSET(CampList[Priority],MATCH(Table10[[#This Row],[Pcode]],CampList[CP_Pcode],0)-1,0,1,1)</f>
        <v>P2</v>
      </c>
      <c r="C24" s="18" t="str">
        <f ca="1">OFFSET(CampList[Camp],MATCH(Table10[[#This Row],[Pcode]],CampList[CP_Pcode],0)-1,0,1,1)</f>
        <v xml:space="preserve">Pa Kahtawng </v>
      </c>
      <c r="D24" s="18" t="str">
        <f ca="1">OFFSET(CampList[Township],MATCH(Table10[[#This Row],[Pcode]],CampList[CP_Pcode],0)-1,0,1,1)</f>
        <v>Momauk</v>
      </c>
      <c r="E24" s="18">
        <f ca="1">OFFSET(CampList[HH],MATCH(Table10[[#This Row],[Pcode]],CampList[CP_Pcode],0)-1,0,1,1)</f>
        <v>599</v>
      </c>
      <c r="F24" s="18">
        <f ca="1">OFFSET(CampList[Total],MATCH(Table10[[#This Row],[Pcode]],CampList[CP_Pcode],0)-1,0,1,1)</f>
        <v>3633</v>
      </c>
      <c r="G24" s="277">
        <f>SUMIF('NFI Tracking'!AQ$11:AQ$1048576,Table10[[#This Row],[Pcode]],'NFI Tracking'!AI$11:AI$1048576)</f>
        <v>0</v>
      </c>
      <c r="H24" s="277">
        <f>SUMIF('NFI Tracking'!AQ$11:AQ$1048576,Table10[[#This Row],[Pcode]],'NFI Tracking'!AJ$11:AJ$1048576)</f>
        <v>0</v>
      </c>
      <c r="I24" s="277">
        <f>SUMIF('NFI Tracking'!AQ$11:AQ$1048576,Table10[[#This Row],[Pcode]],'NFI Tracking'!AK$11:AK$1048576)</f>
        <v>0</v>
      </c>
      <c r="J24" s="277">
        <f ca="1">MAX(Table10[[#This Row],[HH]]*VLOOKUP("Winter Clothes Adult",NFI,6)-Table10[[#This Row],[Winter Clothes Adult ]],0)</f>
        <v>1198</v>
      </c>
      <c r="K24" s="277">
        <f ca="1">MAX(Table10[[#This Row],[HH]]*VLOOKUP("Winter Clothes Children ",NFI,6)-Table10[[#This Row],[Winter Clothes Children ]],0)</f>
        <v>599</v>
      </c>
      <c r="L24" s="277">
        <f ca="1">MAX(Table10[[#This Row],[HH]]*VLOOKUP("Winter Items Other ",NFI,6)-Table10[[#This Row],[Winter Items Other ]],0)</f>
        <v>599</v>
      </c>
      <c r="M24" s="310" t="str">
        <f>IF(OR(Table10[[#This Row],[Winter Clothes Adult ]]&lt;&gt;0,Table10[[#This Row],[Winter Clothes Children ]]&lt;&gt;0,Table10[[#This Row],[Winter Items Other ]]&lt;&gt;0),"No","")</f>
        <v/>
      </c>
      <c r="N24" s="311">
        <f>COUNTIF(A:A,Table10[[#This Row],[Pcode]])-1</f>
        <v>0</v>
      </c>
    </row>
    <row r="25" spans="1:20" x14ac:dyDescent="0.25">
      <c r="A25" s="259" t="s">
        <v>191</v>
      </c>
      <c r="B25" s="18" t="str">
        <f ca="1">OFFSET(CampList[Priority],MATCH(Table10[[#This Row],[Pcode]],CampList[CP_Pcode],0)-1,0,1,1)</f>
        <v>P2</v>
      </c>
      <c r="C25" s="18" t="str">
        <f ca="1">OFFSET(CampList[Camp],MATCH(Table10[[#This Row],[Pcode]],CampList[CP_Pcode],0)-1,0,1,1)</f>
        <v xml:space="preserve">Dum Bung </v>
      </c>
      <c r="D25" s="18" t="str">
        <f ca="1">OFFSET(CampList[Township],MATCH(Table10[[#This Row],[Pcode]],CampList[CP_Pcode],0)-1,0,1,1)</f>
        <v>Momauk</v>
      </c>
      <c r="E25" s="18">
        <f ca="1">OFFSET(CampList[HH],MATCH(Table10[[#This Row],[Pcode]],CampList[CP_Pcode],0)-1,0,1,1)</f>
        <v>109</v>
      </c>
      <c r="F25" s="18">
        <f ca="1">OFFSET(CampList[Total],MATCH(Table10[[#This Row],[Pcode]],CampList[CP_Pcode],0)-1,0,1,1)</f>
        <v>408</v>
      </c>
      <c r="G25" s="277">
        <f>SUMIF('NFI Tracking'!AQ$11:AQ$1048576,Table10[[#This Row],[Pcode]],'NFI Tracking'!AI$11:AI$1048576)</f>
        <v>0</v>
      </c>
      <c r="H25" s="277">
        <f>SUMIF('NFI Tracking'!AQ$11:AQ$1048576,Table10[[#This Row],[Pcode]],'NFI Tracking'!AJ$11:AJ$1048576)</f>
        <v>0</v>
      </c>
      <c r="I25" s="277">
        <f>SUMIF('NFI Tracking'!AQ$11:AQ$1048576,Table10[[#This Row],[Pcode]],'NFI Tracking'!AK$11:AK$1048576)</f>
        <v>0</v>
      </c>
      <c r="J25" s="277">
        <f ca="1">MAX(Table10[[#This Row],[HH]]*VLOOKUP("Winter Clothes Adult",NFI,6)-Table10[[#This Row],[Winter Clothes Adult ]],0)</f>
        <v>218</v>
      </c>
      <c r="K25" s="277">
        <f ca="1">MAX(Table10[[#This Row],[HH]]*VLOOKUP("Winter Clothes Children ",NFI,6)-Table10[[#This Row],[Winter Clothes Children ]],0)</f>
        <v>109</v>
      </c>
      <c r="L25" s="277">
        <f ca="1">MAX(Table10[[#This Row],[HH]]*VLOOKUP("Winter Items Other ",NFI,6)-Table10[[#This Row],[Winter Items Other ]],0)</f>
        <v>109</v>
      </c>
      <c r="M25" s="310" t="str">
        <f>IF(OR(Table10[[#This Row],[Winter Clothes Adult ]]&lt;&gt;0,Table10[[#This Row],[Winter Clothes Children ]]&lt;&gt;0,Table10[[#This Row],[Winter Items Other ]]&lt;&gt;0),"No","")</f>
        <v/>
      </c>
      <c r="N25" s="311">
        <f>COUNTIF(A:A,Table10[[#This Row],[Pcode]])-1</f>
        <v>0</v>
      </c>
    </row>
    <row r="26" spans="1:20" x14ac:dyDescent="0.25">
      <c r="A26" s="259" t="s">
        <v>814</v>
      </c>
      <c r="B26" s="18" t="str">
        <f ca="1">OFFSET(CampList[Priority],MATCH(Table10[[#This Row],[Pcode]],CampList[CP_Pcode],0)-1,0,1,1)</f>
        <v>P2</v>
      </c>
      <c r="C26" s="18" t="str">
        <f ca="1">OFFSET(CampList[Camp],MATCH(Table10[[#This Row],[Pcode]],CampList[CP_Pcode],0)-1,0,1,1)</f>
        <v>IDP Boarding School, A Len Bum</v>
      </c>
      <c r="D26" s="18" t="str">
        <f ca="1">OFFSET(CampList[Township],MATCH(Table10[[#This Row],[Pcode]],CampList[CP_Pcode],0)-1,0,1,1)</f>
        <v>Waingmaw</v>
      </c>
      <c r="E26" s="18">
        <f ca="1">OFFSET(CampList[HH],MATCH(Table10[[#This Row],[Pcode]],CampList[CP_Pcode],0)-1,0,1,1)</f>
        <v>0</v>
      </c>
      <c r="F26" s="18">
        <f ca="1">OFFSET(CampList[Total],MATCH(Table10[[#This Row],[Pcode]],CampList[CP_Pcode],0)-1,0,1,1)</f>
        <v>1047</v>
      </c>
      <c r="G26" s="277">
        <f>SUMIF('NFI Tracking'!AQ$11:AQ$1048576,Table10[[#This Row],[Pcode]],'NFI Tracking'!AI$11:AI$1048576)</f>
        <v>0</v>
      </c>
      <c r="H26" s="277">
        <f>SUMIF('NFI Tracking'!AQ$11:AQ$1048576,Table10[[#This Row],[Pcode]],'NFI Tracking'!AJ$11:AJ$1048576)</f>
        <v>0</v>
      </c>
      <c r="I26" s="277">
        <f>SUMIF('NFI Tracking'!AQ$11:AQ$1048576,Table10[[#This Row],[Pcode]],'NFI Tracking'!AK$11:AK$1048576)</f>
        <v>0</v>
      </c>
      <c r="J26" s="277">
        <f ca="1">MAX(Table10[[#This Row],[HH]]*VLOOKUP("Winter Clothes Adult",NFI,6)-Table10[[#This Row],[Winter Clothes Adult ]],0)</f>
        <v>0</v>
      </c>
      <c r="K26" s="277">
        <f ca="1">MAX(Table10[[#This Row],[HH]]*VLOOKUP("Winter Clothes Children ",NFI,6)-Table10[[#This Row],[Winter Clothes Children ]],0)</f>
        <v>0</v>
      </c>
      <c r="L26" s="277">
        <f ca="1">MAX(Table10[[#This Row],[HH]]*VLOOKUP("Winter Items Other ",NFI,6)-Table10[[#This Row],[Winter Items Other ]],0)</f>
        <v>0</v>
      </c>
      <c r="M26" s="310" t="str">
        <f>IF(OR(Table10[[#This Row],[Winter Clothes Adult ]]&lt;&gt;0,Table10[[#This Row],[Winter Clothes Children ]]&lt;&gt;0,Table10[[#This Row],[Winter Items Other ]]&lt;&gt;0),"No","")</f>
        <v/>
      </c>
      <c r="N26" s="311">
        <f>COUNTIF(A:A,Table10[[#This Row],[Pcode]])-1</f>
        <v>0</v>
      </c>
    </row>
    <row r="27" spans="1:20" x14ac:dyDescent="0.25">
      <c r="A27" s="259" t="s">
        <v>314</v>
      </c>
      <c r="B27" s="18" t="str">
        <f ca="1">OFFSET(CampList[Priority],MATCH(Table10[[#This Row],[Pcode]],CampList[CP_Pcode],0)-1,0,1,1)</f>
        <v>P2</v>
      </c>
      <c r="C27" s="18" t="str">
        <f ca="1">OFFSET(CampList[Camp],MATCH(Table10[[#This Row],[Pcode]],CampList[CP_Pcode],0)-1,0,1,1)</f>
        <v>Laiza Market 3 - Laiza Gat</v>
      </c>
      <c r="D27" s="18" t="str">
        <f ca="1">OFFSET(CampList[Township],MATCH(Table10[[#This Row],[Pcode]],CampList[CP_Pcode],0)-1,0,1,1)</f>
        <v>Waingmaw</v>
      </c>
      <c r="E27" s="18">
        <f ca="1">OFFSET(CampList[HH],MATCH(Table10[[#This Row],[Pcode]],CampList[CP_Pcode],0)-1,0,1,1)</f>
        <v>0</v>
      </c>
      <c r="F27" s="18">
        <f ca="1">OFFSET(CampList[Total],MATCH(Table10[[#This Row],[Pcode]],CampList[CP_Pcode],0)-1,0,1,1)</f>
        <v>0</v>
      </c>
      <c r="G27" s="277">
        <f>SUMIF('NFI Tracking'!AQ$11:AQ$1048576,Table10[[#This Row],[Pcode]],'NFI Tracking'!AI$11:AI$1048576)</f>
        <v>0</v>
      </c>
      <c r="H27" s="277">
        <f>SUMIF('NFI Tracking'!AQ$11:AQ$1048576,Table10[[#This Row],[Pcode]],'NFI Tracking'!AJ$11:AJ$1048576)</f>
        <v>0</v>
      </c>
      <c r="I27" s="277">
        <f>SUMIF('NFI Tracking'!AQ$11:AQ$1048576,Table10[[#This Row],[Pcode]],'NFI Tracking'!AK$11:AK$1048576)</f>
        <v>0</v>
      </c>
      <c r="J27" s="277">
        <f ca="1">MAX(Table10[[#This Row],[HH]]*VLOOKUP("Winter Clothes Adult",NFI,6)-Table10[[#This Row],[Winter Clothes Adult ]],0)</f>
        <v>0</v>
      </c>
      <c r="K27" s="277">
        <f ca="1">MAX(Table10[[#This Row],[HH]]*VLOOKUP("Winter Clothes Children ",NFI,6)-Table10[[#This Row],[Winter Clothes Children ]],0)</f>
        <v>0</v>
      </c>
      <c r="L27" s="277">
        <f ca="1">MAX(Table10[[#This Row],[HH]]*VLOOKUP("Winter Items Other ",NFI,6)-Table10[[#This Row],[Winter Items Other ]],0)</f>
        <v>0</v>
      </c>
      <c r="M27" s="310" t="str">
        <f>IF(OR(Table10[[#This Row],[Winter Clothes Adult ]]&lt;&gt;0,Table10[[#This Row],[Winter Clothes Children ]]&lt;&gt;0,Table10[[#This Row],[Winter Items Other ]]&lt;&gt;0),"No","")</f>
        <v/>
      </c>
      <c r="N27" s="311">
        <f>COUNTIF(A:A,Table10[[#This Row],[Pcode]])-1</f>
        <v>0</v>
      </c>
    </row>
    <row r="28" spans="1:20" x14ac:dyDescent="0.25">
      <c r="A28" s="259" t="s">
        <v>356</v>
      </c>
      <c r="B28" s="18" t="str">
        <f ca="1">OFFSET(CampList[Priority],MATCH(Table10[[#This Row],[Pcode]],CampList[CP_Pcode],0)-1,0,1,1)</f>
        <v>P2</v>
      </c>
      <c r="C28" s="18" t="str">
        <f ca="1">OFFSET(CampList[Camp],MATCH(Table10[[#This Row],[Pcode]],CampList[CP_Pcode],0)-1,0,1,1)</f>
        <v>Zai Awng - Mung Ga Zup</v>
      </c>
      <c r="D28" s="18" t="str">
        <f ca="1">OFFSET(CampList[Township],MATCH(Table10[[#This Row],[Pcode]],CampList[CP_Pcode],0)-1,0,1,1)</f>
        <v>Waingmaw</v>
      </c>
      <c r="E28" s="18">
        <f ca="1">OFFSET(CampList[HH],MATCH(Table10[[#This Row],[Pcode]],CampList[CP_Pcode],0)-1,0,1,1)</f>
        <v>404</v>
      </c>
      <c r="F28" s="18">
        <f ca="1">OFFSET(CampList[Total],MATCH(Table10[[#This Row],[Pcode]],CampList[CP_Pcode],0)-1,0,1,1)</f>
        <v>1894</v>
      </c>
      <c r="G28" s="277">
        <f>SUMIF('NFI Tracking'!AQ$11:AQ$1048576,Table10[[#This Row],[Pcode]],'NFI Tracking'!AI$11:AI$1048576)</f>
        <v>0</v>
      </c>
      <c r="H28" s="277">
        <f>SUMIF('NFI Tracking'!AQ$11:AQ$1048576,Table10[[#This Row],[Pcode]],'NFI Tracking'!AJ$11:AJ$1048576)</f>
        <v>0</v>
      </c>
      <c r="I28" s="277">
        <f>SUMIF('NFI Tracking'!AQ$11:AQ$1048576,Table10[[#This Row],[Pcode]],'NFI Tracking'!AK$11:AK$1048576)</f>
        <v>0</v>
      </c>
      <c r="J28" s="277">
        <f ca="1">MAX(Table10[[#This Row],[HH]]*VLOOKUP("Winter Clothes Adult",NFI,6)-Table10[[#This Row],[Winter Clothes Adult ]],0)</f>
        <v>808</v>
      </c>
      <c r="K28" s="277">
        <f ca="1">MAX(Table10[[#This Row],[HH]]*VLOOKUP("Winter Clothes Children ",NFI,6)-Table10[[#This Row],[Winter Clothes Children ]],0)</f>
        <v>404</v>
      </c>
      <c r="L28" s="277">
        <f ca="1">MAX(Table10[[#This Row],[HH]]*VLOOKUP("Winter Items Other ",NFI,6)-Table10[[#This Row],[Winter Items Other ]],0)</f>
        <v>404</v>
      </c>
      <c r="M28" s="310" t="str">
        <f>IF(OR(Table10[[#This Row],[Winter Clothes Adult ]]&lt;&gt;0,Table10[[#This Row],[Winter Clothes Children ]]&lt;&gt;0,Table10[[#This Row],[Winter Items Other ]]&lt;&gt;0),"No","")</f>
        <v/>
      </c>
      <c r="N28" s="311">
        <f>COUNTIF(A:A,Table10[[#This Row],[Pcode]])-1</f>
        <v>0</v>
      </c>
    </row>
    <row r="29" spans="1:20" x14ac:dyDescent="0.25">
      <c r="A29" s="259" t="s">
        <v>321</v>
      </c>
      <c r="B29" s="18" t="str">
        <f ca="1">OFFSET(CampList[Priority],MATCH(Table10[[#This Row],[Pcode]],CampList[CP_Pcode],0)-1,0,1,1)</f>
        <v>P2</v>
      </c>
      <c r="C29" s="18" t="str">
        <f ca="1">OFFSET(CampList[Camp],MATCH(Table10[[#This Row],[Pcode]],CampList[CP_Pcode],0)-1,0,1,1)</f>
        <v xml:space="preserve">Maga Yang </v>
      </c>
      <c r="D29" s="18" t="str">
        <f ca="1">OFFSET(CampList[Township],MATCH(Table10[[#This Row],[Pcode]],CampList[CP_Pcode],0)-1,0,1,1)</f>
        <v>Waingmaw</v>
      </c>
      <c r="E29" s="18">
        <f ca="1">OFFSET(CampList[HH],MATCH(Table10[[#This Row],[Pcode]],CampList[CP_Pcode],0)-1,0,1,1)</f>
        <v>585</v>
      </c>
      <c r="F29" s="18">
        <f ca="1">OFFSET(CampList[Total],MATCH(Table10[[#This Row],[Pcode]],CampList[CP_Pcode],0)-1,0,1,1)</f>
        <v>2585</v>
      </c>
      <c r="G29" s="277">
        <f>SUMIF('NFI Tracking'!AQ$11:AQ$1048576,Table10[[#This Row],[Pcode]],'NFI Tracking'!AI$11:AI$1048576)</f>
        <v>0</v>
      </c>
      <c r="H29" s="277">
        <f>SUMIF('NFI Tracking'!AQ$11:AQ$1048576,Table10[[#This Row],[Pcode]],'NFI Tracking'!AJ$11:AJ$1048576)</f>
        <v>0</v>
      </c>
      <c r="I29" s="277">
        <f>SUMIF('NFI Tracking'!AQ$11:AQ$1048576,Table10[[#This Row],[Pcode]],'NFI Tracking'!AK$11:AK$1048576)</f>
        <v>0</v>
      </c>
      <c r="J29" s="277">
        <f ca="1">MAX(Table10[[#This Row],[HH]]*VLOOKUP("Winter Clothes Adult",NFI,6)-Table10[[#This Row],[Winter Clothes Adult ]],0)</f>
        <v>1170</v>
      </c>
      <c r="K29" s="277">
        <f ca="1">MAX(Table10[[#This Row],[HH]]*VLOOKUP("Winter Clothes Children ",NFI,6)-Table10[[#This Row],[Winter Clothes Children ]],0)</f>
        <v>585</v>
      </c>
      <c r="L29" s="277">
        <f ca="1">MAX(Table10[[#This Row],[HH]]*VLOOKUP("Winter Items Other ",NFI,6)-Table10[[#This Row],[Winter Items Other ]],0)</f>
        <v>585</v>
      </c>
      <c r="M29" s="310" t="str">
        <f>IF(OR(Table10[[#This Row],[Winter Clothes Adult ]]&lt;&gt;0,Table10[[#This Row],[Winter Clothes Children ]]&lt;&gt;0,Table10[[#This Row],[Winter Items Other ]]&lt;&gt;0),"No","")</f>
        <v/>
      </c>
      <c r="N29" s="311">
        <f>COUNTIF(A:A,Table10[[#This Row],[Pcode]])-1</f>
        <v>0</v>
      </c>
    </row>
    <row r="30" spans="1:20" x14ac:dyDescent="0.25">
      <c r="A30" s="259" t="s">
        <v>165</v>
      </c>
      <c r="B30" s="18" t="str">
        <f ca="1">OFFSET(CampList[Priority],MATCH(Table10[[#This Row],[Pcode]],CampList[CP_Pcode],0)-1,0,1,1)</f>
        <v>P2</v>
      </c>
      <c r="C30" s="18" t="str">
        <f ca="1">OFFSET(CampList[Camp],MATCH(Table10[[#This Row],[Pcode]],CampList[CP_Pcode],0)-1,0,1,1)</f>
        <v>Mandung - Jinghpaw</v>
      </c>
      <c r="D30" s="18" t="str">
        <f ca="1">OFFSET(CampList[Township],MATCH(Table10[[#This Row],[Pcode]],CampList[CP_Pcode],0)-1,0,1,1)</f>
        <v>Manton</v>
      </c>
      <c r="E30" s="18">
        <f ca="1">OFFSET(CampList[HH],MATCH(Table10[[#This Row],[Pcode]],CampList[CP_Pcode],0)-1,0,1,1)</f>
        <v>36</v>
      </c>
      <c r="F30" s="18">
        <f ca="1">OFFSET(CampList[Total],MATCH(Table10[[#This Row],[Pcode]],CampList[CP_Pcode],0)-1,0,1,1)</f>
        <v>179</v>
      </c>
      <c r="G30" s="277">
        <f>SUMIF('NFI Tracking'!AQ$11:AQ$1048576,Table10[[#This Row],[Pcode]],'NFI Tracking'!AI$11:AI$1048576)</f>
        <v>0</v>
      </c>
      <c r="H30" s="277">
        <f>SUMIF('NFI Tracking'!AQ$11:AQ$1048576,Table10[[#This Row],[Pcode]],'NFI Tracking'!AJ$11:AJ$1048576)</f>
        <v>0</v>
      </c>
      <c r="I30" s="277">
        <f>SUMIF('NFI Tracking'!AQ$11:AQ$1048576,Table10[[#This Row],[Pcode]],'NFI Tracking'!AK$11:AK$1048576)</f>
        <v>0</v>
      </c>
      <c r="J30" s="277">
        <f ca="1">MAX(Table10[[#This Row],[HH]]*VLOOKUP("Winter Clothes Adult",NFI,6)-Table10[[#This Row],[Winter Clothes Adult ]],0)</f>
        <v>72</v>
      </c>
      <c r="K30" s="277">
        <f ca="1">MAX(Table10[[#This Row],[HH]]*VLOOKUP("Winter Clothes Children ",NFI,6)-Table10[[#This Row],[Winter Clothes Children ]],0)</f>
        <v>36</v>
      </c>
      <c r="L30" s="277">
        <f ca="1">MAX(Table10[[#This Row],[HH]]*VLOOKUP("Winter Items Other ",NFI,6)-Table10[[#This Row],[Winter Items Other ]],0)</f>
        <v>36</v>
      </c>
      <c r="M30" s="310" t="str">
        <f>IF(OR(Table10[[#This Row],[Winter Clothes Adult ]]&lt;&gt;0,Table10[[#This Row],[Winter Clothes Children ]]&lt;&gt;0,Table10[[#This Row],[Winter Items Other ]]&lt;&gt;0),"No","")</f>
        <v/>
      </c>
      <c r="N30" s="311">
        <f>COUNTIF(A:A,Table10[[#This Row],[Pcode]])-1</f>
        <v>0</v>
      </c>
    </row>
    <row r="31" spans="1:20" x14ac:dyDescent="0.25">
      <c r="A31" s="259" t="s">
        <v>837</v>
      </c>
      <c r="B31" s="18" t="str">
        <f ca="1">OFFSET(CampList[Priority],MATCH(Table10[[#This Row],[Pcode]],CampList[CP_Pcode],0)-1,0,1,1)</f>
        <v>P2</v>
      </c>
      <c r="C31" s="18" t="str">
        <f ca="1">OFFSET(CampList[Camp],MATCH(Table10[[#This Row],[Pcode]],CampList[CP_Pcode],0)-1,0,1,1)</f>
        <v>Nam Hkawng</v>
      </c>
      <c r="D31" s="18" t="str">
        <f ca="1">OFFSET(CampList[Township],MATCH(Table10[[#This Row],[Pcode]],CampList[CP_Pcode],0)-1,0,1,1)</f>
        <v>Muse</v>
      </c>
      <c r="E31" s="18">
        <f ca="1">OFFSET(CampList[HH],MATCH(Table10[[#This Row],[Pcode]],CampList[CP_Pcode],0)-1,0,1,1)</f>
        <v>0</v>
      </c>
      <c r="F31" s="18">
        <f ca="1">OFFSET(CampList[Total],MATCH(Table10[[#This Row],[Pcode]],CampList[CP_Pcode],0)-1,0,1,1)</f>
        <v>0</v>
      </c>
      <c r="G31" s="277">
        <f>SUMIF('NFI Tracking'!AQ$11:AQ$1048576,Table10[[#This Row],[Pcode]],'NFI Tracking'!AI$11:AI$1048576)</f>
        <v>0</v>
      </c>
      <c r="H31" s="277">
        <f>SUMIF('NFI Tracking'!AQ$11:AQ$1048576,Table10[[#This Row],[Pcode]],'NFI Tracking'!AJ$11:AJ$1048576)</f>
        <v>0</v>
      </c>
      <c r="I31" s="277">
        <f>SUMIF('NFI Tracking'!AQ$11:AQ$1048576,Table10[[#This Row],[Pcode]],'NFI Tracking'!AK$11:AK$1048576)</f>
        <v>0</v>
      </c>
      <c r="J31" s="277">
        <f ca="1">MAX(Table10[[#This Row],[HH]]*VLOOKUP("Winter Clothes Adult",NFI,6)-Table10[[#This Row],[Winter Clothes Adult ]],0)</f>
        <v>0</v>
      </c>
      <c r="K31" s="277">
        <f ca="1">MAX(Table10[[#This Row],[HH]]*VLOOKUP("Winter Clothes Children ",NFI,6)-Table10[[#This Row],[Winter Clothes Children ]],0)</f>
        <v>0</v>
      </c>
      <c r="L31" s="277">
        <f ca="1">MAX(Table10[[#This Row],[HH]]*VLOOKUP("Winter Items Other ",NFI,6)-Table10[[#This Row],[Winter Items Other ]],0)</f>
        <v>0</v>
      </c>
      <c r="M31" s="310" t="str">
        <f>IF(OR(Table10[[#This Row],[Winter Clothes Adult ]]&lt;&gt;0,Table10[[#This Row],[Winter Clothes Children ]]&lt;&gt;0,Table10[[#This Row],[Winter Items Other ]]&lt;&gt;0),"No","")</f>
        <v/>
      </c>
      <c r="N31" s="311">
        <f>COUNTIF(A:A,Table10[[#This Row],[Pcode]])-1</f>
        <v>0</v>
      </c>
    </row>
    <row r="32" spans="1:20" x14ac:dyDescent="0.25">
      <c r="A32" s="259" t="s">
        <v>184</v>
      </c>
      <c r="B32" s="18" t="str">
        <f ca="1">OFFSET(CampList[Priority],MATCH(Table10[[#This Row],[Pcode]],CampList[CP_Pcode],0)-1,0,1,1)</f>
        <v>P3</v>
      </c>
      <c r="C32" s="18" t="str">
        <f ca="1">OFFSET(CampList[Camp],MATCH(Table10[[#This Row],[Pcode]],CampList[CP_Pcode],0)-1,0,1,1)</f>
        <v>Loi Je Baptist Church</v>
      </c>
      <c r="D32" s="18" t="str">
        <f ca="1">OFFSET(CampList[Township],MATCH(Table10[[#This Row],[Pcode]],CampList[CP_Pcode],0)-1,0,1,1)</f>
        <v>Momauk</v>
      </c>
      <c r="E32" s="18">
        <f ca="1">OFFSET(CampList[HH],MATCH(Table10[[#This Row],[Pcode]],CampList[CP_Pcode],0)-1,0,1,1)</f>
        <v>40</v>
      </c>
      <c r="F32" s="18">
        <f ca="1">OFFSET(CampList[Total],MATCH(Table10[[#This Row],[Pcode]],CampList[CP_Pcode],0)-1,0,1,1)</f>
        <v>240</v>
      </c>
      <c r="G32" s="277">
        <f>SUMIF('NFI Tracking'!AQ$11:AQ$1048576,Table10[[#This Row],[Pcode]],'NFI Tracking'!AI$11:AI$1048576)</f>
        <v>0</v>
      </c>
      <c r="H32" s="277">
        <f>SUMIF('NFI Tracking'!AQ$11:AQ$1048576,Table10[[#This Row],[Pcode]],'NFI Tracking'!AJ$11:AJ$1048576)</f>
        <v>0</v>
      </c>
      <c r="I32" s="277">
        <f>SUMIF('NFI Tracking'!AQ$11:AQ$1048576,Table10[[#This Row],[Pcode]],'NFI Tracking'!AK$11:AK$1048576)</f>
        <v>0</v>
      </c>
      <c r="J32" s="277">
        <f ca="1">MAX(Table10[[#This Row],[HH]]*VLOOKUP("Winter Clothes Adult",NFI,6)-Table10[[#This Row],[Winter Clothes Adult ]],0)</f>
        <v>80</v>
      </c>
      <c r="K32" s="277">
        <f ca="1">MAX(Table10[[#This Row],[HH]]*VLOOKUP("Winter Clothes Children ",NFI,6)-Table10[[#This Row],[Winter Clothes Children ]],0)</f>
        <v>40</v>
      </c>
      <c r="L32" s="277">
        <f ca="1">MAX(Table10[[#This Row],[HH]]*VLOOKUP("Winter Items Other ",NFI,6)-Table10[[#This Row],[Winter Items Other ]],0)</f>
        <v>40</v>
      </c>
      <c r="M32" s="310" t="str">
        <f>IF(OR(Table10[[#This Row],[Winter Clothes Adult ]]&lt;&gt;0,Table10[[#This Row],[Winter Clothes Children ]]&lt;&gt;0,Table10[[#This Row],[Winter Items Other ]]&lt;&gt;0),"No","")</f>
        <v/>
      </c>
      <c r="N32" s="311">
        <f>COUNTIF(A:A,Table10[[#This Row],[Pcode]])-1</f>
        <v>0</v>
      </c>
    </row>
    <row r="33" spans="1:14" x14ac:dyDescent="0.25">
      <c r="A33" s="259" t="s">
        <v>222</v>
      </c>
      <c r="B33" s="18" t="str">
        <f ca="1">OFFSET(CampList[Priority],MATCH(Table10[[#This Row],[Pcode]],CampList[CP_Pcode],0)-1,0,1,1)</f>
        <v>P3</v>
      </c>
      <c r="C33" s="18" t="str">
        <f ca="1">OFFSET(CampList[Camp],MATCH(Table10[[#This Row],[Pcode]],CampList[CP_Pcode],0)-1,0,1,1)</f>
        <v>Loi Je Catholic Church</v>
      </c>
      <c r="D33" s="18" t="str">
        <f ca="1">OFFSET(CampList[Township],MATCH(Table10[[#This Row],[Pcode]],CampList[CP_Pcode],0)-1,0,1,1)</f>
        <v>Momauk</v>
      </c>
      <c r="E33" s="18">
        <f ca="1">OFFSET(CampList[HH],MATCH(Table10[[#This Row],[Pcode]],CampList[CP_Pcode],0)-1,0,1,1)</f>
        <v>148</v>
      </c>
      <c r="F33" s="18">
        <f ca="1">OFFSET(CampList[Total],MATCH(Table10[[#This Row],[Pcode]],CampList[CP_Pcode],0)-1,0,1,1)</f>
        <v>751</v>
      </c>
      <c r="G33" s="277">
        <f>SUMIF('NFI Tracking'!AQ$11:AQ$1048576,Table10[[#This Row],[Pcode]],'NFI Tracking'!AI$11:AI$1048576)</f>
        <v>0</v>
      </c>
      <c r="H33" s="277">
        <f>SUMIF('NFI Tracking'!AQ$11:AQ$1048576,Table10[[#This Row],[Pcode]],'NFI Tracking'!AJ$11:AJ$1048576)</f>
        <v>0</v>
      </c>
      <c r="I33" s="277">
        <f>SUMIF('NFI Tracking'!AQ$11:AQ$1048576,Table10[[#This Row],[Pcode]],'NFI Tracking'!AK$11:AK$1048576)</f>
        <v>0</v>
      </c>
      <c r="J33" s="277">
        <f ca="1">MAX(Table10[[#This Row],[HH]]*VLOOKUP("Winter Clothes Adult",NFI,6)-Table10[[#This Row],[Winter Clothes Adult ]],0)</f>
        <v>296</v>
      </c>
      <c r="K33" s="277">
        <f ca="1">MAX(Table10[[#This Row],[HH]]*VLOOKUP("Winter Clothes Children ",NFI,6)-Table10[[#This Row],[Winter Clothes Children ]],0)</f>
        <v>148</v>
      </c>
      <c r="L33" s="277">
        <f ca="1">MAX(Table10[[#This Row],[HH]]*VLOOKUP("Winter Items Other ",NFI,6)-Table10[[#This Row],[Winter Items Other ]],0)</f>
        <v>148</v>
      </c>
      <c r="M33" s="310" t="str">
        <f>IF(OR(Table10[[#This Row],[Winter Clothes Adult ]]&lt;&gt;0,Table10[[#This Row],[Winter Clothes Children ]]&lt;&gt;0,Table10[[#This Row],[Winter Items Other ]]&lt;&gt;0),"No","")</f>
        <v/>
      </c>
      <c r="N33" s="311">
        <f>COUNTIF(A:A,Table10[[#This Row],[Pcode]])-1</f>
        <v>0</v>
      </c>
    </row>
    <row r="34" spans="1:14" x14ac:dyDescent="0.25">
      <c r="A34" s="259" t="s">
        <v>189</v>
      </c>
      <c r="B34" s="18" t="str">
        <f ca="1">OFFSET(CampList[Priority],MATCH(Table10[[#This Row],[Pcode]],CampList[CP_Pcode],0)-1,0,1,1)</f>
        <v>P3</v>
      </c>
      <c r="C34" s="18" t="str">
        <f ca="1">OFFSET(CampList[Camp],MATCH(Table10[[#This Row],[Pcode]],CampList[CP_Pcode],0)-1,0,1,1)</f>
        <v>Loi Je Lisu Camp</v>
      </c>
      <c r="D34" s="18" t="str">
        <f ca="1">OFFSET(CampList[Township],MATCH(Table10[[#This Row],[Pcode]],CampList[CP_Pcode],0)-1,0,1,1)</f>
        <v>Momauk</v>
      </c>
      <c r="E34" s="18">
        <f ca="1">OFFSET(CampList[HH],MATCH(Table10[[#This Row],[Pcode]],CampList[CP_Pcode],0)-1,0,1,1)</f>
        <v>194</v>
      </c>
      <c r="F34" s="18">
        <f ca="1">OFFSET(CampList[Total],MATCH(Table10[[#This Row],[Pcode]],CampList[CP_Pcode],0)-1,0,1,1)</f>
        <v>1071</v>
      </c>
      <c r="G34" s="277">
        <f>SUMIF('NFI Tracking'!AQ$11:AQ$1048576,Table10[[#This Row],[Pcode]],'NFI Tracking'!AI$11:AI$1048576)</f>
        <v>0</v>
      </c>
      <c r="H34" s="277">
        <f>SUMIF('NFI Tracking'!AQ$11:AQ$1048576,Table10[[#This Row],[Pcode]],'NFI Tracking'!AJ$11:AJ$1048576)</f>
        <v>0</v>
      </c>
      <c r="I34" s="277">
        <f>SUMIF('NFI Tracking'!AQ$11:AQ$1048576,Table10[[#This Row],[Pcode]],'NFI Tracking'!AK$11:AK$1048576)</f>
        <v>0</v>
      </c>
      <c r="J34" s="277">
        <f ca="1">MAX(Table10[[#This Row],[HH]]*VLOOKUP("Winter Clothes Adult",NFI,6)-Table10[[#This Row],[Winter Clothes Adult ]],0)</f>
        <v>388</v>
      </c>
      <c r="K34" s="277">
        <f ca="1">MAX(Table10[[#This Row],[HH]]*VLOOKUP("Winter Clothes Children ",NFI,6)-Table10[[#This Row],[Winter Clothes Children ]],0)</f>
        <v>194</v>
      </c>
      <c r="L34" s="277">
        <f ca="1">MAX(Table10[[#This Row],[HH]]*VLOOKUP("Winter Items Other ",NFI,6)-Table10[[#This Row],[Winter Items Other ]],0)</f>
        <v>194</v>
      </c>
      <c r="M34" s="310" t="str">
        <f>IF(OR(Table10[[#This Row],[Winter Clothes Adult ]]&lt;&gt;0,Table10[[#This Row],[Winter Clothes Children ]]&lt;&gt;0,Table10[[#This Row],[Winter Items Other ]]&lt;&gt;0),"No","")</f>
        <v/>
      </c>
      <c r="N34" s="311">
        <f>COUNTIF(A:A,Table10[[#This Row],[Pcode]])-1</f>
        <v>0</v>
      </c>
    </row>
    <row r="35" spans="1:14" x14ac:dyDescent="0.25">
      <c r="A35" s="259" t="s">
        <v>224</v>
      </c>
      <c r="B35" s="18" t="str">
        <f ca="1">OFFSET(CampList[Priority],MATCH(Table10[[#This Row],[Pcode]],CampList[CP_Pcode],0)-1,0,1,1)</f>
        <v>P3</v>
      </c>
      <c r="C35" s="18" t="str">
        <f ca="1">OFFSET(CampList[Camp],MATCH(Table10[[#This Row],[Pcode]],CampList[CP_Pcode],0)-1,0,1,1)</f>
        <v xml:space="preserve">Seng Ja </v>
      </c>
      <c r="D35" s="18" t="str">
        <f ca="1">OFFSET(CampList[Township],MATCH(Table10[[#This Row],[Pcode]],CampList[CP_Pcode],0)-1,0,1,1)</f>
        <v>Momauk</v>
      </c>
      <c r="E35" s="18">
        <f ca="1">OFFSET(CampList[HH],MATCH(Table10[[#This Row],[Pcode]],CampList[CP_Pcode],0)-1,0,1,1)</f>
        <v>41</v>
      </c>
      <c r="F35" s="18">
        <f ca="1">OFFSET(CampList[Total],MATCH(Table10[[#This Row],[Pcode]],CampList[CP_Pcode],0)-1,0,1,1)</f>
        <v>253</v>
      </c>
      <c r="G35" s="277">
        <f>SUMIF('NFI Tracking'!AQ$11:AQ$1048576,Table10[[#This Row],[Pcode]],'NFI Tracking'!AI$11:AI$1048576)</f>
        <v>0</v>
      </c>
      <c r="H35" s="277">
        <f>SUMIF('NFI Tracking'!AQ$11:AQ$1048576,Table10[[#This Row],[Pcode]],'NFI Tracking'!AJ$11:AJ$1048576)</f>
        <v>0</v>
      </c>
      <c r="I35" s="277">
        <f>SUMIF('NFI Tracking'!AQ$11:AQ$1048576,Table10[[#This Row],[Pcode]],'NFI Tracking'!AK$11:AK$1048576)</f>
        <v>0</v>
      </c>
      <c r="J35" s="277">
        <f ca="1">MAX(Table10[[#This Row],[HH]]*VLOOKUP("Winter Clothes Adult",NFI,6)-Table10[[#This Row],[Winter Clothes Adult ]],0)</f>
        <v>82</v>
      </c>
      <c r="K35" s="277">
        <f ca="1">MAX(Table10[[#This Row],[HH]]*VLOOKUP("Winter Clothes Children ",NFI,6)-Table10[[#This Row],[Winter Clothes Children ]],0)</f>
        <v>41</v>
      </c>
      <c r="L35" s="277">
        <f ca="1">MAX(Table10[[#This Row],[HH]]*VLOOKUP("Winter Items Other ",NFI,6)-Table10[[#This Row],[Winter Items Other ]],0)</f>
        <v>41</v>
      </c>
      <c r="M35" s="310" t="str">
        <f>IF(OR(Table10[[#This Row],[Winter Clothes Adult ]]&lt;&gt;0,Table10[[#This Row],[Winter Clothes Children ]]&lt;&gt;0,Table10[[#This Row],[Winter Items Other ]]&lt;&gt;0),"No","")</f>
        <v/>
      </c>
      <c r="N35" s="311">
        <f>COUNTIF(A:A,Table10[[#This Row],[Pcode]])-1</f>
        <v>0</v>
      </c>
    </row>
    <row r="36" spans="1:14" x14ac:dyDescent="0.25">
      <c r="A36" s="259" t="s">
        <v>228</v>
      </c>
      <c r="B36" s="18" t="str">
        <f ca="1">OFFSET(CampList[Priority],MATCH(Table10[[#This Row],[Pcode]],CampList[CP_Pcode],0)-1,0,1,1)</f>
        <v>P3</v>
      </c>
      <c r="C36" s="18" t="str">
        <f ca="1">OFFSET(CampList[Camp],MATCH(Table10[[#This Row],[Pcode]],CampList[CP_Pcode],0)-1,0,1,1)</f>
        <v xml:space="preserve">Nyaung Na Pin </v>
      </c>
      <c r="D36" s="18" t="str">
        <f ca="1">OFFSET(CampList[Township],MATCH(Table10[[#This Row],[Pcode]],CampList[CP_Pcode],0)-1,0,1,1)</f>
        <v>Momauk</v>
      </c>
      <c r="E36" s="18">
        <f ca="1">OFFSET(CampList[HH],MATCH(Table10[[#This Row],[Pcode]],CampList[CP_Pcode],0)-1,0,1,1)</f>
        <v>49</v>
      </c>
      <c r="F36" s="18">
        <f ca="1">OFFSET(CampList[Total],MATCH(Table10[[#This Row],[Pcode]],CampList[CP_Pcode],0)-1,0,1,1)</f>
        <v>300</v>
      </c>
      <c r="G36" s="277">
        <f>SUMIF('NFI Tracking'!AQ$11:AQ$1048576,Table10[[#This Row],[Pcode]],'NFI Tracking'!AI$11:AI$1048576)</f>
        <v>0</v>
      </c>
      <c r="H36" s="277">
        <f>SUMIF('NFI Tracking'!AQ$11:AQ$1048576,Table10[[#This Row],[Pcode]],'NFI Tracking'!AJ$11:AJ$1048576)</f>
        <v>0</v>
      </c>
      <c r="I36" s="277">
        <f>SUMIF('NFI Tracking'!AQ$11:AQ$1048576,Table10[[#This Row],[Pcode]],'NFI Tracking'!AK$11:AK$1048576)</f>
        <v>0</v>
      </c>
      <c r="J36" s="277">
        <f ca="1">MAX(Table10[[#This Row],[HH]]*VLOOKUP("Winter Clothes Adult",NFI,6)-Table10[[#This Row],[Winter Clothes Adult ]],0)</f>
        <v>98</v>
      </c>
      <c r="K36" s="277">
        <f ca="1">MAX(Table10[[#This Row],[HH]]*VLOOKUP("Winter Clothes Children ",NFI,6)-Table10[[#This Row],[Winter Clothes Children ]],0)</f>
        <v>49</v>
      </c>
      <c r="L36" s="277">
        <f ca="1">MAX(Table10[[#This Row],[HH]]*VLOOKUP("Winter Items Other ",NFI,6)-Table10[[#This Row],[Winter Items Other ]],0)</f>
        <v>49</v>
      </c>
      <c r="M36" s="310" t="str">
        <f>IF(OR(Table10[[#This Row],[Winter Clothes Adult ]]&lt;&gt;0,Table10[[#This Row],[Winter Clothes Children ]]&lt;&gt;0,Table10[[#This Row],[Winter Items Other ]]&lt;&gt;0),"No","")</f>
        <v/>
      </c>
      <c r="N36" s="311">
        <f>COUNTIF(A:A,Table10[[#This Row],[Pcode]])-1</f>
        <v>0</v>
      </c>
    </row>
    <row r="37" spans="1:14" x14ac:dyDescent="0.25">
      <c r="A37" s="259" t="s">
        <v>895</v>
      </c>
      <c r="B37" s="18" t="str">
        <f ca="1">OFFSET(CampList[Priority],MATCH(Table10[[#This Row],[Pcode]],CampList[CP_Pcode],0)-1,0,1,1)</f>
        <v>P3</v>
      </c>
      <c r="C37" s="18" t="str">
        <f ca="1">OFFSET(CampList[Camp],MATCH(Table10[[#This Row],[Pcode]],CampList[CP_Pcode],0)-1,0,1,1)</f>
        <v>Machanbaw - KBC</v>
      </c>
      <c r="D37" s="18" t="str">
        <f ca="1">OFFSET(CampList[Township],MATCH(Table10[[#This Row],[Pcode]],CampList[CP_Pcode],0)-1,0,1,1)</f>
        <v>Machanbaw</v>
      </c>
      <c r="E37" s="18">
        <f ca="1">OFFSET(CampList[HH],MATCH(Table10[[#This Row],[Pcode]],CampList[CP_Pcode],0)-1,0,1,1)</f>
        <v>0</v>
      </c>
      <c r="F37" s="18">
        <f ca="1">OFFSET(CampList[Total],MATCH(Table10[[#This Row],[Pcode]],CampList[CP_Pcode],0)-1,0,1,1)</f>
        <v>0</v>
      </c>
      <c r="G37" s="277">
        <f>SUMIF('NFI Tracking'!AQ$11:AQ$1048576,Table10[[#This Row],[Pcode]],'NFI Tracking'!AI$11:AI$1048576)</f>
        <v>0</v>
      </c>
      <c r="H37" s="277">
        <f>SUMIF('NFI Tracking'!AQ$11:AQ$1048576,Table10[[#This Row],[Pcode]],'NFI Tracking'!AJ$11:AJ$1048576)</f>
        <v>0</v>
      </c>
      <c r="I37" s="277">
        <f>SUMIF('NFI Tracking'!AQ$11:AQ$1048576,Table10[[#This Row],[Pcode]],'NFI Tracking'!AK$11:AK$1048576)</f>
        <v>0</v>
      </c>
      <c r="J37" s="277">
        <f ca="1">MAX(Table10[[#This Row],[HH]]*VLOOKUP("Winter Clothes Adult",NFI,6)-Table10[[#This Row],[Winter Clothes Adult ]],0)</f>
        <v>0</v>
      </c>
      <c r="K37" s="277">
        <f ca="1">MAX(Table10[[#This Row],[HH]]*VLOOKUP("Winter Clothes Children ",NFI,6)-Table10[[#This Row],[Winter Clothes Children ]],0)</f>
        <v>0</v>
      </c>
      <c r="L37" s="277">
        <f ca="1">MAX(Table10[[#This Row],[HH]]*VLOOKUP("Winter Items Other ",NFI,6)-Table10[[#This Row],[Winter Items Other ]],0)</f>
        <v>0</v>
      </c>
      <c r="M37" s="310" t="str">
        <f>IF(OR(Table10[[#This Row],[Winter Clothes Adult ]]&lt;&gt;0,Table10[[#This Row],[Winter Clothes Children ]]&lt;&gt;0,Table10[[#This Row],[Winter Items Other ]]&lt;&gt;0),"No","")</f>
        <v/>
      </c>
      <c r="N37" s="311">
        <f>COUNTIF(A:A,Table10[[#This Row],[Pcode]])-1</f>
        <v>0</v>
      </c>
    </row>
    <row r="38" spans="1:14" x14ac:dyDescent="0.25">
      <c r="A38" s="259" t="s">
        <v>1043</v>
      </c>
      <c r="B38" s="18" t="str">
        <f ca="1">OFFSET(CampList[Priority],MATCH(Table10[[#This Row],[Pcode]],CampList[CP_Pcode],0)-1,0,1,1)</f>
        <v>P3</v>
      </c>
      <c r="C38" s="18" t="str">
        <f ca="1">OFFSET(CampList[Camp],MATCH(Table10[[#This Row],[Pcode]],CampList[CP_Pcode],0)-1,0,1,1)</f>
        <v>Inn Lel Yan - Host Families</v>
      </c>
      <c r="D38" s="18" t="str">
        <f ca="1">OFFSET(CampList[Township],MATCH(Table10[[#This Row],[Pcode]],CampList[CP_Pcode],0)-1,0,1,1)</f>
        <v>Puta-O</v>
      </c>
      <c r="E38" s="18">
        <f ca="1">OFFSET(CampList[HH],MATCH(Table10[[#This Row],[Pcode]],CampList[CP_Pcode],0)-1,0,1,1)</f>
        <v>10</v>
      </c>
      <c r="F38" s="18">
        <f ca="1">OFFSET(CampList[Total],MATCH(Table10[[#This Row],[Pcode]],CampList[CP_Pcode],0)-1,0,1,1)</f>
        <v>56</v>
      </c>
      <c r="G38" s="277">
        <f>SUMIF('NFI Tracking'!AQ$11:AQ$1048576,Table10[[#This Row],[Pcode]],'NFI Tracking'!AI$11:AI$1048576)</f>
        <v>0</v>
      </c>
      <c r="H38" s="277">
        <f>SUMIF('NFI Tracking'!AQ$11:AQ$1048576,Table10[[#This Row],[Pcode]],'NFI Tracking'!AJ$11:AJ$1048576)</f>
        <v>0</v>
      </c>
      <c r="I38" s="277">
        <f>SUMIF('NFI Tracking'!AQ$11:AQ$1048576,Table10[[#This Row],[Pcode]],'NFI Tracking'!AK$11:AK$1048576)</f>
        <v>0</v>
      </c>
      <c r="J38" s="277">
        <f ca="1">MAX(Table10[[#This Row],[HH]]*VLOOKUP("Winter Clothes Adult",NFI,6)-Table10[[#This Row],[Winter Clothes Adult ]],0)</f>
        <v>20</v>
      </c>
      <c r="K38" s="277">
        <f ca="1">MAX(Table10[[#This Row],[HH]]*VLOOKUP("Winter Clothes Children ",NFI,6)-Table10[[#This Row],[Winter Clothes Children ]],0)</f>
        <v>10</v>
      </c>
      <c r="L38" s="277">
        <f ca="1">MAX(Table10[[#This Row],[HH]]*VLOOKUP("Winter Items Other ",NFI,6)-Table10[[#This Row],[Winter Items Other ]],0)</f>
        <v>10</v>
      </c>
      <c r="M38" s="310" t="str">
        <f>IF(OR(Table10[[#This Row],[Winter Clothes Adult ]]&lt;&gt;0,Table10[[#This Row],[Winter Clothes Children ]]&lt;&gt;0,Table10[[#This Row],[Winter Items Other ]]&lt;&gt;0),"No","")</f>
        <v/>
      </c>
      <c r="N38" s="311">
        <f>COUNTIF(A:A,Table10[[#This Row],[Pcode]])-1</f>
        <v>0</v>
      </c>
    </row>
    <row r="39" spans="1:14" x14ac:dyDescent="0.25">
      <c r="A39" s="259" t="s">
        <v>891</v>
      </c>
      <c r="B39" s="18" t="str">
        <f ca="1">OFFSET(CampList[Priority],MATCH(Table10[[#This Row],[Pcode]],CampList[CP_Pcode],0)-1,0,1,1)</f>
        <v>P3</v>
      </c>
      <c r="C39" s="18" t="str">
        <f ca="1">OFFSET(CampList[Camp],MATCH(Table10[[#This Row],[Pcode]],CampList[CP_Pcode],0)-1,0,1,1)</f>
        <v>Naung Khaing</v>
      </c>
      <c r="D39" s="18" t="str">
        <f ca="1">OFFSET(CampList[Township],MATCH(Table10[[#This Row],[Pcode]],CampList[CP_Pcode],0)-1,0,1,1)</f>
        <v>Puta-O</v>
      </c>
      <c r="E39" s="18">
        <f ca="1">OFFSET(CampList[HH],MATCH(Table10[[#This Row],[Pcode]],CampList[CP_Pcode],0)-1,0,1,1)</f>
        <v>0</v>
      </c>
      <c r="F39" s="18">
        <f ca="1">OFFSET(CampList[Total],MATCH(Table10[[#This Row],[Pcode]],CampList[CP_Pcode],0)-1,0,1,1)</f>
        <v>0</v>
      </c>
      <c r="G39" s="277">
        <f>SUMIF('NFI Tracking'!AQ$11:AQ$1048576,Table10[[#This Row],[Pcode]],'NFI Tracking'!AI$11:AI$1048576)</f>
        <v>0</v>
      </c>
      <c r="H39" s="277">
        <f>SUMIF('NFI Tracking'!AQ$11:AQ$1048576,Table10[[#This Row],[Pcode]],'NFI Tracking'!AJ$11:AJ$1048576)</f>
        <v>0</v>
      </c>
      <c r="I39" s="277">
        <f>SUMIF('NFI Tracking'!AQ$11:AQ$1048576,Table10[[#This Row],[Pcode]],'NFI Tracking'!AK$11:AK$1048576)</f>
        <v>0</v>
      </c>
      <c r="J39" s="277">
        <f ca="1">MAX(Table10[[#This Row],[HH]]*VLOOKUP("Winter Clothes Adult",NFI,6)-Table10[[#This Row],[Winter Clothes Adult ]],0)</f>
        <v>0</v>
      </c>
      <c r="K39" s="277">
        <f ca="1">MAX(Table10[[#This Row],[HH]]*VLOOKUP("Winter Clothes Children ",NFI,6)-Table10[[#This Row],[Winter Clothes Children ]],0)</f>
        <v>0</v>
      </c>
      <c r="L39" s="277">
        <f ca="1">MAX(Table10[[#This Row],[HH]]*VLOOKUP("Winter Items Other ",NFI,6)-Table10[[#This Row],[Winter Items Other ]],0)</f>
        <v>0</v>
      </c>
      <c r="M39" s="310" t="str">
        <f>IF(OR(Table10[[#This Row],[Winter Clothes Adult ]]&lt;&gt;0,Table10[[#This Row],[Winter Clothes Children ]]&lt;&gt;0,Table10[[#This Row],[Winter Items Other ]]&lt;&gt;0),"No","")</f>
        <v/>
      </c>
      <c r="N39" s="311">
        <f>COUNTIF(A:A,Table10[[#This Row],[Pcode]])-1</f>
        <v>0</v>
      </c>
    </row>
    <row r="40" spans="1:14" x14ac:dyDescent="0.25">
      <c r="A40" s="259" t="s">
        <v>299</v>
      </c>
      <c r="B40" s="18" t="str">
        <f ca="1">OFFSET(CampList[Priority],MATCH(Table10[[#This Row],[Pcode]],CampList[CP_Pcode],0)-1,0,1,1)</f>
        <v>P3</v>
      </c>
      <c r="C40" s="18" t="str">
        <f ca="1">OFFSET(CampList[Camp],MATCH(Table10[[#This Row],[Pcode]],CampList[CP_Pcode],0)-1,0,1,1)</f>
        <v>Tote Tan Ward</v>
      </c>
      <c r="D40" s="18" t="str">
        <f ca="1">OFFSET(CampList[Township],MATCH(Table10[[#This Row],[Pcode]],CampList[CP_Pcode],0)-1,0,1,1)</f>
        <v>Puta-O</v>
      </c>
      <c r="E40" s="18">
        <f ca="1">OFFSET(CampList[HH],MATCH(Table10[[#This Row],[Pcode]],CampList[CP_Pcode],0)-1,0,1,1)</f>
        <v>14</v>
      </c>
      <c r="F40" s="18">
        <f ca="1">OFFSET(CampList[Total],MATCH(Table10[[#This Row],[Pcode]],CampList[CP_Pcode],0)-1,0,1,1)</f>
        <v>64</v>
      </c>
      <c r="G40" s="277">
        <f>SUMIF('NFI Tracking'!AQ$11:AQ$1048576,Table10[[#This Row],[Pcode]],'NFI Tracking'!AI$11:AI$1048576)</f>
        <v>0</v>
      </c>
      <c r="H40" s="277">
        <f>SUMIF('NFI Tracking'!AQ$11:AQ$1048576,Table10[[#This Row],[Pcode]],'NFI Tracking'!AJ$11:AJ$1048576)</f>
        <v>0</v>
      </c>
      <c r="I40" s="277">
        <f>SUMIF('NFI Tracking'!AQ$11:AQ$1048576,Table10[[#This Row],[Pcode]],'NFI Tracking'!AK$11:AK$1048576)</f>
        <v>0</v>
      </c>
      <c r="J40" s="277">
        <f ca="1">MAX(Table10[[#This Row],[HH]]*VLOOKUP("Winter Clothes Adult",NFI,6)-Table10[[#This Row],[Winter Clothes Adult ]],0)</f>
        <v>28</v>
      </c>
      <c r="K40" s="277">
        <f ca="1">MAX(Table10[[#This Row],[HH]]*VLOOKUP("Winter Clothes Children ",NFI,6)-Table10[[#This Row],[Winter Clothes Children ]],0)</f>
        <v>14</v>
      </c>
      <c r="L40" s="277">
        <f ca="1">MAX(Table10[[#This Row],[HH]]*VLOOKUP("Winter Items Other ",NFI,6)-Table10[[#This Row],[Winter Items Other ]],0)</f>
        <v>14</v>
      </c>
      <c r="M40" s="310" t="str">
        <f>IF(OR(Table10[[#This Row],[Winter Clothes Adult ]]&lt;&gt;0,Table10[[#This Row],[Winter Clothes Children ]]&lt;&gt;0,Table10[[#This Row],[Winter Items Other ]]&lt;&gt;0),"No","")</f>
        <v/>
      </c>
      <c r="N40" s="311">
        <f>COUNTIF(A:A,Table10[[#This Row],[Pcode]])-1</f>
        <v>0</v>
      </c>
    </row>
    <row r="41" spans="1:14" x14ac:dyDescent="0.25">
      <c r="A41" s="259" t="s">
        <v>382</v>
      </c>
      <c r="B41" s="18" t="str">
        <f ca="1">OFFSET(CampList[Priority],MATCH(Table10[[#This Row],[Pcode]],CampList[CP_Pcode],0)-1,0,1,1)</f>
        <v>P3</v>
      </c>
      <c r="C41" s="18" t="str">
        <f ca="1">OFFSET(CampList[Camp],MATCH(Table10[[#This Row],[Pcode]],CampList[CP_Pcode],0)-1,0,1,1)</f>
        <v>Kone Khem Camp</v>
      </c>
      <c r="D41" s="18" t="str">
        <f ca="1">OFFSET(CampList[Township],MATCH(Table10[[#This Row],[Pcode]],CampList[CP_Pcode],0)-1,0,1,1)</f>
        <v>Kutkai</v>
      </c>
      <c r="E41" s="18">
        <f ca="1">OFFSET(CampList[HH],MATCH(Table10[[#This Row],[Pcode]],CampList[CP_Pcode],0)-1,0,1,1)</f>
        <v>88</v>
      </c>
      <c r="F41" s="18">
        <f ca="1">OFFSET(CampList[Total],MATCH(Table10[[#This Row],[Pcode]],CampList[CP_Pcode],0)-1,0,1,1)</f>
        <v>505</v>
      </c>
      <c r="G41" s="277">
        <f>SUMIF('NFI Tracking'!AQ$11:AQ$1048576,Table10[[#This Row],[Pcode]],'NFI Tracking'!AI$11:AI$1048576)</f>
        <v>0</v>
      </c>
      <c r="H41" s="277">
        <f>SUMIF('NFI Tracking'!AQ$11:AQ$1048576,Table10[[#This Row],[Pcode]],'NFI Tracking'!AJ$11:AJ$1048576)</f>
        <v>0</v>
      </c>
      <c r="I41" s="277">
        <f>SUMIF('NFI Tracking'!AQ$11:AQ$1048576,Table10[[#This Row],[Pcode]],'NFI Tracking'!AK$11:AK$1048576)</f>
        <v>0</v>
      </c>
      <c r="J41" s="277">
        <f ca="1">MAX(Table10[[#This Row],[HH]]*VLOOKUP("Winter Clothes Adult",NFI,6)-Table10[[#This Row],[Winter Clothes Adult ]],0)</f>
        <v>176</v>
      </c>
      <c r="K41" s="277">
        <f ca="1">MAX(Table10[[#This Row],[HH]]*VLOOKUP("Winter Clothes Children ",NFI,6)-Table10[[#This Row],[Winter Clothes Children ]],0)</f>
        <v>88</v>
      </c>
      <c r="L41" s="277">
        <f ca="1">MAX(Table10[[#This Row],[HH]]*VLOOKUP("Winter Items Other ",NFI,6)-Table10[[#This Row],[Winter Items Other ]],0)</f>
        <v>88</v>
      </c>
      <c r="M41" s="310" t="str">
        <f>IF(OR(Table10[[#This Row],[Winter Clothes Adult ]]&lt;&gt;0,Table10[[#This Row],[Winter Clothes Children ]]&lt;&gt;0,Table10[[#This Row],[Winter Items Other ]]&lt;&gt;0),"No","")</f>
        <v/>
      </c>
      <c r="N41" s="311">
        <f>COUNTIF(A:A,Table10[[#This Row],[Pcode]])-1</f>
        <v>0</v>
      </c>
    </row>
    <row r="42" spans="1:14" x14ac:dyDescent="0.25">
      <c r="A42" s="259" t="s">
        <v>383</v>
      </c>
      <c r="B42" s="18" t="str">
        <f ca="1">OFFSET(CampList[Priority],MATCH(Table10[[#This Row],[Pcode]],CampList[CP_Pcode],0)-1,0,1,1)</f>
        <v>P3</v>
      </c>
      <c r="C42" s="18" t="str">
        <f ca="1">OFFSET(CampList[Camp],MATCH(Table10[[#This Row],[Pcode]],CampList[CP_Pcode],0)-1,0,1,1)</f>
        <v>Kutkai downtown (KBC Church)</v>
      </c>
      <c r="D42" s="18" t="str">
        <f ca="1">OFFSET(CampList[Township],MATCH(Table10[[#This Row],[Pcode]],CampList[CP_Pcode],0)-1,0,1,1)</f>
        <v>Kutkai</v>
      </c>
      <c r="E42" s="18">
        <f ca="1">OFFSET(CampList[HH],MATCH(Table10[[#This Row],[Pcode]],CampList[CP_Pcode],0)-1,0,1,1)</f>
        <v>60</v>
      </c>
      <c r="F42" s="18">
        <f ca="1">OFFSET(CampList[Total],MATCH(Table10[[#This Row],[Pcode]],CampList[CP_Pcode],0)-1,0,1,1)</f>
        <v>288</v>
      </c>
      <c r="G42" s="277">
        <f>SUMIF('NFI Tracking'!AQ$11:AQ$1048576,Table10[[#This Row],[Pcode]],'NFI Tracking'!AI$11:AI$1048576)</f>
        <v>0</v>
      </c>
      <c r="H42" s="277">
        <f>SUMIF('NFI Tracking'!AQ$11:AQ$1048576,Table10[[#This Row],[Pcode]],'NFI Tracking'!AJ$11:AJ$1048576)</f>
        <v>0</v>
      </c>
      <c r="I42" s="277">
        <f>SUMIF('NFI Tracking'!AQ$11:AQ$1048576,Table10[[#This Row],[Pcode]],'NFI Tracking'!AK$11:AK$1048576)</f>
        <v>0</v>
      </c>
      <c r="J42" s="277">
        <f ca="1">MAX(Table10[[#This Row],[HH]]*VLOOKUP("Winter Clothes Adult",NFI,6)-Table10[[#This Row],[Winter Clothes Adult ]],0)</f>
        <v>120</v>
      </c>
      <c r="K42" s="277">
        <f ca="1">MAX(Table10[[#This Row],[HH]]*VLOOKUP("Winter Clothes Children ",NFI,6)-Table10[[#This Row],[Winter Clothes Children ]],0)</f>
        <v>60</v>
      </c>
      <c r="L42" s="277">
        <f ca="1">MAX(Table10[[#This Row],[HH]]*VLOOKUP("Winter Items Other ",NFI,6)-Table10[[#This Row],[Winter Items Other ]],0)</f>
        <v>60</v>
      </c>
      <c r="M42" s="310" t="str">
        <f>IF(OR(Table10[[#This Row],[Winter Clothes Adult ]]&lt;&gt;0,Table10[[#This Row],[Winter Clothes Children ]]&lt;&gt;0,Table10[[#This Row],[Winter Items Other ]]&lt;&gt;0),"No","")</f>
        <v/>
      </c>
      <c r="N42" s="311">
        <f>COUNTIF(A:A,Table10[[#This Row],[Pcode]])-1</f>
        <v>0</v>
      </c>
    </row>
    <row r="43" spans="1:14" x14ac:dyDescent="0.25">
      <c r="A43" s="259" t="s">
        <v>384</v>
      </c>
      <c r="B43" s="18" t="str">
        <f ca="1">OFFSET(CampList[Priority],MATCH(Table10[[#This Row],[Pcode]],CampList[CP_Pcode],0)-1,0,1,1)</f>
        <v>P3</v>
      </c>
      <c r="C43" s="18" t="str">
        <f ca="1">OFFSET(CampList[Camp],MATCH(Table10[[#This Row],[Pcode]],CampList[CP_Pcode],0)-1,0,1,1)</f>
        <v>Kutkai downtown (RC Church)</v>
      </c>
      <c r="D43" s="18" t="str">
        <f ca="1">OFFSET(CampList[Township],MATCH(Table10[[#This Row],[Pcode]],CampList[CP_Pcode],0)-1,0,1,1)</f>
        <v>Kutkai</v>
      </c>
      <c r="E43" s="18">
        <f ca="1">OFFSET(CampList[HH],MATCH(Table10[[#This Row],[Pcode]],CampList[CP_Pcode],0)-1,0,1,1)</f>
        <v>30</v>
      </c>
      <c r="F43" s="18">
        <f ca="1">OFFSET(CampList[Total],MATCH(Table10[[#This Row],[Pcode]],CampList[CP_Pcode],0)-1,0,1,1)</f>
        <v>138</v>
      </c>
      <c r="G43" s="277">
        <f>SUMIF('NFI Tracking'!AQ$11:AQ$1048576,Table10[[#This Row],[Pcode]],'NFI Tracking'!AI$11:AI$1048576)</f>
        <v>0</v>
      </c>
      <c r="H43" s="277">
        <f>SUMIF('NFI Tracking'!AQ$11:AQ$1048576,Table10[[#This Row],[Pcode]],'NFI Tracking'!AJ$11:AJ$1048576)</f>
        <v>0</v>
      </c>
      <c r="I43" s="277">
        <f>SUMIF('NFI Tracking'!AQ$11:AQ$1048576,Table10[[#This Row],[Pcode]],'NFI Tracking'!AK$11:AK$1048576)</f>
        <v>0</v>
      </c>
      <c r="J43" s="277">
        <f ca="1">MAX(Table10[[#This Row],[HH]]*VLOOKUP("Winter Clothes Adult",NFI,6)-Table10[[#This Row],[Winter Clothes Adult ]],0)</f>
        <v>60</v>
      </c>
      <c r="K43" s="277">
        <f ca="1">MAX(Table10[[#This Row],[HH]]*VLOOKUP("Winter Clothes Children ",NFI,6)-Table10[[#This Row],[Winter Clothes Children ]],0)</f>
        <v>30</v>
      </c>
      <c r="L43" s="277">
        <f ca="1">MAX(Table10[[#This Row],[HH]]*VLOOKUP("Winter Items Other ",NFI,6)-Table10[[#This Row],[Winter Items Other ]],0)</f>
        <v>30</v>
      </c>
      <c r="M43" s="310" t="str">
        <f>IF(OR(Table10[[#This Row],[Winter Clothes Adult ]]&lt;&gt;0,Table10[[#This Row],[Winter Clothes Children ]]&lt;&gt;0,Table10[[#This Row],[Winter Items Other ]]&lt;&gt;0),"No","")</f>
        <v/>
      </c>
      <c r="N43" s="311">
        <f>COUNTIF(A:A,Table10[[#This Row],[Pcode]])-1</f>
        <v>0</v>
      </c>
    </row>
    <row r="44" spans="1:14" x14ac:dyDescent="0.25">
      <c r="A44" s="259" t="s">
        <v>385</v>
      </c>
      <c r="B44" s="18" t="str">
        <f ca="1">OFFSET(CampList[Priority],MATCH(Table10[[#This Row],[Pcode]],CampList[CP_Pcode],0)-1,0,1,1)</f>
        <v>P3</v>
      </c>
      <c r="C44" s="18" t="str">
        <f ca="1">OFFSET(CampList[Camp],MATCH(Table10[[#This Row],[Pcode]],CampList[CP_Pcode],0)-1,0,1,1)</f>
        <v>Mine Yu Lay village</v>
      </c>
      <c r="D44" s="18" t="str">
        <f ca="1">OFFSET(CampList[Township],MATCH(Table10[[#This Row],[Pcode]],CampList[CP_Pcode],0)-1,0,1,1)</f>
        <v>Kutkai</v>
      </c>
      <c r="E44" s="18">
        <f ca="1">OFFSET(CampList[HH],MATCH(Table10[[#This Row],[Pcode]],CampList[CP_Pcode],0)-1,0,1,1)</f>
        <v>69</v>
      </c>
      <c r="F44" s="18">
        <f ca="1">OFFSET(CampList[Total],MATCH(Table10[[#This Row],[Pcode]],CampList[CP_Pcode],0)-1,0,1,1)</f>
        <v>306</v>
      </c>
      <c r="G44" s="277">
        <f>SUMIF('NFI Tracking'!AQ$11:AQ$1048576,Table10[[#This Row],[Pcode]],'NFI Tracking'!AI$11:AI$1048576)</f>
        <v>0</v>
      </c>
      <c r="H44" s="277">
        <f>SUMIF('NFI Tracking'!AQ$11:AQ$1048576,Table10[[#This Row],[Pcode]],'NFI Tracking'!AJ$11:AJ$1048576)</f>
        <v>0</v>
      </c>
      <c r="I44" s="277">
        <f>SUMIF('NFI Tracking'!AQ$11:AQ$1048576,Table10[[#This Row],[Pcode]],'NFI Tracking'!AK$11:AK$1048576)</f>
        <v>0</v>
      </c>
      <c r="J44" s="277">
        <f ca="1">MAX(Table10[[#This Row],[HH]]*VLOOKUP("Winter Clothes Adult",NFI,6)-Table10[[#This Row],[Winter Clothes Adult ]],0)</f>
        <v>138</v>
      </c>
      <c r="K44" s="277">
        <f ca="1">MAX(Table10[[#This Row],[HH]]*VLOOKUP("Winter Clothes Children ",NFI,6)-Table10[[#This Row],[Winter Clothes Children ]],0)</f>
        <v>69</v>
      </c>
      <c r="L44" s="277">
        <f ca="1">MAX(Table10[[#This Row],[HH]]*VLOOKUP("Winter Items Other ",NFI,6)-Table10[[#This Row],[Winter Items Other ]],0)</f>
        <v>69</v>
      </c>
      <c r="M44" s="310" t="str">
        <f>IF(OR(Table10[[#This Row],[Winter Clothes Adult ]]&lt;&gt;0,Table10[[#This Row],[Winter Clothes Children ]]&lt;&gt;0,Table10[[#This Row],[Winter Items Other ]]&lt;&gt;0),"No","")</f>
        <v/>
      </c>
      <c r="N44" s="311">
        <f>COUNTIF(A:A,Table10[[#This Row],[Pcode]])-1</f>
        <v>0</v>
      </c>
    </row>
    <row r="45" spans="1:14" x14ac:dyDescent="0.25">
      <c r="A45" s="259" t="s">
        <v>148</v>
      </c>
      <c r="B45" s="18" t="str">
        <f ca="1">OFFSET(CampList[Priority],MATCH(Table10[[#This Row],[Pcode]],CampList[CP_Pcode],0)-1,0,1,1)</f>
        <v>P3</v>
      </c>
      <c r="C45" s="18" t="str">
        <f ca="1">OFFSET(CampList[Camp],MATCH(Table10[[#This Row],[Pcode]],CampList[CP_Pcode],0)-1,0,1,1)</f>
        <v xml:space="preserve">Nam Hpak Ka Mare </v>
      </c>
      <c r="D45" s="18" t="str">
        <f ca="1">OFFSET(CampList[Township],MATCH(Table10[[#This Row],[Pcode]],CampList[CP_Pcode],0)-1,0,1,1)</f>
        <v>Kutkai</v>
      </c>
      <c r="E45" s="18">
        <f ca="1">OFFSET(CampList[HH],MATCH(Table10[[#This Row],[Pcode]],CampList[CP_Pcode],0)-1,0,1,1)</f>
        <v>64</v>
      </c>
      <c r="F45" s="18">
        <f ca="1">OFFSET(CampList[Total],MATCH(Table10[[#This Row],[Pcode]],CampList[CP_Pcode],0)-1,0,1,1)</f>
        <v>284</v>
      </c>
      <c r="G45" s="277">
        <f>SUMIF('NFI Tracking'!AQ$11:AQ$1048576,Table10[[#This Row],[Pcode]],'NFI Tracking'!AI$11:AI$1048576)</f>
        <v>0</v>
      </c>
      <c r="H45" s="277">
        <f>SUMIF('NFI Tracking'!AQ$11:AQ$1048576,Table10[[#This Row],[Pcode]],'NFI Tracking'!AJ$11:AJ$1048576)</f>
        <v>0</v>
      </c>
      <c r="I45" s="277">
        <f>SUMIF('NFI Tracking'!AQ$11:AQ$1048576,Table10[[#This Row],[Pcode]],'NFI Tracking'!AK$11:AK$1048576)</f>
        <v>0</v>
      </c>
      <c r="J45" s="277">
        <f ca="1">MAX(Table10[[#This Row],[HH]]*VLOOKUP("Winter Clothes Adult",NFI,6)-Table10[[#This Row],[Winter Clothes Adult ]],0)</f>
        <v>128</v>
      </c>
      <c r="K45" s="277">
        <f ca="1">MAX(Table10[[#This Row],[HH]]*VLOOKUP("Winter Clothes Children ",NFI,6)-Table10[[#This Row],[Winter Clothes Children ]],0)</f>
        <v>64</v>
      </c>
      <c r="L45" s="277">
        <f ca="1">MAX(Table10[[#This Row],[HH]]*VLOOKUP("Winter Items Other ",NFI,6)-Table10[[#This Row],[Winter Items Other ]],0)</f>
        <v>64</v>
      </c>
      <c r="M45" s="310" t="str">
        <f>IF(OR(Table10[[#This Row],[Winter Clothes Adult ]]&lt;&gt;0,Table10[[#This Row],[Winter Clothes Children ]]&lt;&gt;0,Table10[[#This Row],[Winter Items Other ]]&lt;&gt;0),"No","")</f>
        <v/>
      </c>
      <c r="N45" s="311">
        <f>COUNTIF(A:A,Table10[[#This Row],[Pcode]])-1</f>
        <v>0</v>
      </c>
    </row>
    <row r="46" spans="1:14" x14ac:dyDescent="0.25">
      <c r="A46" s="259" t="s">
        <v>387</v>
      </c>
      <c r="B46" s="18" t="str">
        <f ca="1">OFFSET(CampList[Priority],MATCH(Table10[[#This Row],[Pcode]],CampList[CP_Pcode],0)-1,0,1,1)</f>
        <v>P3</v>
      </c>
      <c r="C46" s="18" t="str">
        <f ca="1">OFFSET(CampList[Camp],MATCH(Table10[[#This Row],[Pcode]],CampList[CP_Pcode],0)-1,0,1,1)</f>
        <v>Zup Aung Camp</v>
      </c>
      <c r="D46" s="18" t="str">
        <f ca="1">OFFSET(CampList[Township],MATCH(Table10[[#This Row],[Pcode]],CampList[CP_Pcode],0)-1,0,1,1)</f>
        <v>Kutkai</v>
      </c>
      <c r="E46" s="18">
        <f ca="1">OFFSET(CampList[HH],MATCH(Table10[[#This Row],[Pcode]],CampList[CP_Pcode],0)-1,0,1,1)</f>
        <v>189</v>
      </c>
      <c r="F46" s="18">
        <f ca="1">OFFSET(CampList[Total],MATCH(Table10[[#This Row],[Pcode]],CampList[CP_Pcode],0)-1,0,1,1)</f>
        <v>917</v>
      </c>
      <c r="G46" s="277">
        <f>SUMIF('NFI Tracking'!AQ$11:AQ$1048576,Table10[[#This Row],[Pcode]],'NFI Tracking'!AI$11:AI$1048576)</f>
        <v>0</v>
      </c>
      <c r="H46" s="277">
        <f>SUMIF('NFI Tracking'!AQ$11:AQ$1048576,Table10[[#This Row],[Pcode]],'NFI Tracking'!AJ$11:AJ$1048576)</f>
        <v>0</v>
      </c>
      <c r="I46" s="277">
        <f>SUMIF('NFI Tracking'!AQ$11:AQ$1048576,Table10[[#This Row],[Pcode]],'NFI Tracking'!AK$11:AK$1048576)</f>
        <v>0</v>
      </c>
      <c r="J46" s="277">
        <f ca="1">MAX(Table10[[#This Row],[HH]]*VLOOKUP("Winter Clothes Adult",NFI,6)-Table10[[#This Row],[Winter Clothes Adult ]],0)</f>
        <v>378</v>
      </c>
      <c r="K46" s="277">
        <f ca="1">MAX(Table10[[#This Row],[HH]]*VLOOKUP("Winter Clothes Children ",NFI,6)-Table10[[#This Row],[Winter Clothes Children ]],0)</f>
        <v>189</v>
      </c>
      <c r="L46" s="277">
        <f ca="1">MAX(Table10[[#This Row],[HH]]*VLOOKUP("Winter Items Other ",NFI,6)-Table10[[#This Row],[Winter Items Other ]],0)</f>
        <v>189</v>
      </c>
      <c r="M46" s="310" t="str">
        <f>IF(OR(Table10[[#This Row],[Winter Clothes Adult ]]&lt;&gt;0,Table10[[#This Row],[Winter Clothes Children ]]&lt;&gt;0,Table10[[#This Row],[Winter Items Other ]]&lt;&gt;0),"No","")</f>
        <v/>
      </c>
      <c r="N46" s="311">
        <f>COUNTIF(A:A,Table10[[#This Row],[Pcode]])-1</f>
        <v>0</v>
      </c>
    </row>
    <row r="47" spans="1:14" x14ac:dyDescent="0.25">
      <c r="A47" s="259" t="s">
        <v>823</v>
      </c>
      <c r="B47" s="18" t="str">
        <f ca="1">OFFSET(CampList[Priority],MATCH(Table10[[#This Row],[Pcode]],CampList[CP_Pcode],0)-1,0,1,1)</f>
        <v>P3</v>
      </c>
      <c r="C47" s="18" t="str">
        <f ca="1">OFFSET(CampList[Camp],MATCH(Table10[[#This Row],[Pcode]],CampList[CP_Pcode],0)-1,0,1,1)</f>
        <v>Mandung - RC</v>
      </c>
      <c r="D47" s="18" t="str">
        <f ca="1">OFFSET(CampList[Township],MATCH(Table10[[#This Row],[Pcode]],CampList[CP_Pcode],0)-1,0,1,1)</f>
        <v>Manton</v>
      </c>
      <c r="E47" s="18">
        <f ca="1">OFFSET(CampList[HH],MATCH(Table10[[#This Row],[Pcode]],CampList[CP_Pcode],0)-1,0,1,1)</f>
        <v>29</v>
      </c>
      <c r="F47" s="18">
        <f ca="1">OFFSET(CampList[Total],MATCH(Table10[[#This Row],[Pcode]],CampList[CP_Pcode],0)-1,0,1,1)</f>
        <v>178</v>
      </c>
      <c r="G47" s="277">
        <f>SUMIF('NFI Tracking'!AQ$11:AQ$1048576,Table10[[#This Row],[Pcode]],'NFI Tracking'!AI$11:AI$1048576)</f>
        <v>0</v>
      </c>
      <c r="H47" s="277">
        <f>SUMIF('NFI Tracking'!AQ$11:AQ$1048576,Table10[[#This Row],[Pcode]],'NFI Tracking'!AJ$11:AJ$1048576)</f>
        <v>0</v>
      </c>
      <c r="I47" s="277">
        <f>SUMIF('NFI Tracking'!AQ$11:AQ$1048576,Table10[[#This Row],[Pcode]],'NFI Tracking'!AK$11:AK$1048576)</f>
        <v>0</v>
      </c>
      <c r="J47" s="277">
        <f ca="1">MAX(Table10[[#This Row],[HH]]*VLOOKUP("Winter Clothes Adult",NFI,6)-Table10[[#This Row],[Winter Clothes Adult ]],0)</f>
        <v>58</v>
      </c>
      <c r="K47" s="277">
        <f ca="1">MAX(Table10[[#This Row],[HH]]*VLOOKUP("Winter Clothes Children ",NFI,6)-Table10[[#This Row],[Winter Clothes Children ]],0)</f>
        <v>29</v>
      </c>
      <c r="L47" s="277">
        <f ca="1">MAX(Table10[[#This Row],[HH]]*VLOOKUP("Winter Items Other ",NFI,6)-Table10[[#This Row],[Winter Items Other ]],0)</f>
        <v>29</v>
      </c>
      <c r="M47" s="310" t="str">
        <f>IF(OR(Table10[[#This Row],[Winter Clothes Adult ]]&lt;&gt;0,Table10[[#This Row],[Winter Clothes Children ]]&lt;&gt;0,Table10[[#This Row],[Winter Items Other ]]&lt;&gt;0),"No","")</f>
        <v/>
      </c>
      <c r="N47" s="311">
        <f>COUNTIF(A:A,Table10[[#This Row],[Pcode]])-1</f>
        <v>0</v>
      </c>
    </row>
    <row r="48" spans="1:14" x14ac:dyDescent="0.25">
      <c r="A48" s="259" t="s">
        <v>168</v>
      </c>
      <c r="B48" s="18" t="str">
        <f ca="1">OFFSET(CampList[Priority],MATCH(Table10[[#This Row],[Pcode]],CampList[CP_Pcode],0)-1,0,1,1)</f>
        <v>P3</v>
      </c>
      <c r="C48" s="18" t="str">
        <f ca="1">OFFSET(CampList[Camp],MATCH(Table10[[#This Row],[Pcode]],CampList[CP_Pcode],0)-1,0,1,1)</f>
        <v>Howa</v>
      </c>
      <c r="D48" s="18" t="str">
        <f ca="1">OFFSET(CampList[Township],MATCH(Table10[[#This Row],[Pcode]],CampList[CP_Pcode],0)-1,0,1,1)</f>
        <v>Muse</v>
      </c>
      <c r="E48" s="18">
        <f ca="1">OFFSET(CampList[HH],MATCH(Table10[[#This Row],[Pcode]],CampList[CP_Pcode],0)-1,0,1,1)</f>
        <v>0</v>
      </c>
      <c r="F48" s="18">
        <f ca="1">OFFSET(CampList[Total],MATCH(Table10[[#This Row],[Pcode]],CampList[CP_Pcode],0)-1,0,1,1)</f>
        <v>0</v>
      </c>
      <c r="G48" s="277">
        <f>SUMIF('NFI Tracking'!AQ$11:AQ$1048576,Table10[[#This Row],[Pcode]],'NFI Tracking'!AI$11:AI$1048576)</f>
        <v>0</v>
      </c>
      <c r="H48" s="277">
        <f>SUMIF('NFI Tracking'!AQ$11:AQ$1048576,Table10[[#This Row],[Pcode]],'NFI Tracking'!AJ$11:AJ$1048576)</f>
        <v>0</v>
      </c>
      <c r="I48" s="277">
        <f>SUMIF('NFI Tracking'!AQ$11:AQ$1048576,Table10[[#This Row],[Pcode]],'NFI Tracking'!AK$11:AK$1048576)</f>
        <v>0</v>
      </c>
      <c r="J48" s="277">
        <f ca="1">MAX(Table10[[#This Row],[HH]]*VLOOKUP("Winter Clothes Adult",NFI,6)-Table10[[#This Row],[Winter Clothes Adult ]],0)</f>
        <v>0</v>
      </c>
      <c r="K48" s="277">
        <f ca="1">MAX(Table10[[#This Row],[HH]]*VLOOKUP("Winter Clothes Children ",NFI,6)-Table10[[#This Row],[Winter Clothes Children ]],0)</f>
        <v>0</v>
      </c>
      <c r="L48" s="277">
        <f ca="1">MAX(Table10[[#This Row],[HH]]*VLOOKUP("Winter Items Other ",NFI,6)-Table10[[#This Row],[Winter Items Other ]],0)</f>
        <v>0</v>
      </c>
      <c r="M48" s="310" t="str">
        <f>IF(OR(Table10[[#This Row],[Winter Clothes Adult ]]&lt;&gt;0,Table10[[#This Row],[Winter Clothes Children ]]&lt;&gt;0,Table10[[#This Row],[Winter Items Other ]]&lt;&gt;0),"No","")</f>
        <v/>
      </c>
      <c r="N48" s="311">
        <f>COUNTIF(A:A,Table10[[#This Row],[Pcode]])-1</f>
        <v>0</v>
      </c>
    </row>
    <row r="49" spans="1:14" x14ac:dyDescent="0.25">
      <c r="A49" s="259" t="s">
        <v>170</v>
      </c>
      <c r="B49" s="18" t="str">
        <f ca="1">OFFSET(CampList[Priority],MATCH(Table10[[#This Row],[Pcode]],CampList[CP_Pcode],0)-1,0,1,1)</f>
        <v>P3</v>
      </c>
      <c r="C49" s="18" t="str">
        <f ca="1">OFFSET(CampList[Camp],MATCH(Table10[[#This Row],[Pcode]],CampList[CP_Pcode],0)-1,0,1,1)</f>
        <v>Nam Hkyet</v>
      </c>
      <c r="D49" s="18" t="str">
        <f ca="1">OFFSET(CampList[Township],MATCH(Table10[[#This Row],[Pcode]],CampList[CP_Pcode],0)-1,0,1,1)</f>
        <v>Muse</v>
      </c>
      <c r="E49" s="18">
        <f ca="1">OFFSET(CampList[HH],MATCH(Table10[[#This Row],[Pcode]],CampList[CP_Pcode],0)-1,0,1,1)</f>
        <v>0</v>
      </c>
      <c r="F49" s="18">
        <f ca="1">OFFSET(CampList[Total],MATCH(Table10[[#This Row],[Pcode]],CampList[CP_Pcode],0)-1,0,1,1)</f>
        <v>0</v>
      </c>
      <c r="G49" s="277">
        <f>SUMIF('NFI Tracking'!AQ$11:AQ$1048576,Table10[[#This Row],[Pcode]],'NFI Tracking'!AI$11:AI$1048576)</f>
        <v>0</v>
      </c>
      <c r="H49" s="277">
        <f>SUMIF('NFI Tracking'!AQ$11:AQ$1048576,Table10[[#This Row],[Pcode]],'NFI Tracking'!AJ$11:AJ$1048576)</f>
        <v>0</v>
      </c>
      <c r="I49" s="277">
        <f>SUMIF('NFI Tracking'!AQ$11:AQ$1048576,Table10[[#This Row],[Pcode]],'NFI Tracking'!AK$11:AK$1048576)</f>
        <v>0</v>
      </c>
      <c r="J49" s="277">
        <f ca="1">MAX(Table10[[#This Row],[HH]]*VLOOKUP("Winter Clothes Adult",NFI,6)-Table10[[#This Row],[Winter Clothes Adult ]],0)</f>
        <v>0</v>
      </c>
      <c r="K49" s="277">
        <f ca="1">MAX(Table10[[#This Row],[HH]]*VLOOKUP("Winter Clothes Children ",NFI,6)-Table10[[#This Row],[Winter Clothes Children ]],0)</f>
        <v>0</v>
      </c>
      <c r="L49" s="277">
        <f ca="1">MAX(Table10[[#This Row],[HH]]*VLOOKUP("Winter Items Other ",NFI,6)-Table10[[#This Row],[Winter Items Other ]],0)</f>
        <v>0</v>
      </c>
      <c r="M49" s="310" t="str">
        <f>IF(OR(Table10[[#This Row],[Winter Clothes Adult ]]&lt;&gt;0,Table10[[#This Row],[Winter Clothes Children ]]&lt;&gt;0,Table10[[#This Row],[Winter Items Other ]]&lt;&gt;0),"No","")</f>
        <v/>
      </c>
      <c r="N49" s="311">
        <f>COUNTIF(A:A,Table10[[#This Row],[Pcode]])-1</f>
        <v>0</v>
      </c>
    </row>
    <row r="50" spans="1:14" x14ac:dyDescent="0.25">
      <c r="A50" s="259" t="s">
        <v>291</v>
      </c>
      <c r="B50" s="18" t="str">
        <f ca="1">OFFSET(CampList[Priority],MATCH(Table10[[#This Row],[Pcode]],CampList[CP_Pcode],0)-1,0,1,1)</f>
        <v>P3</v>
      </c>
      <c r="C50" s="18" t="str">
        <f ca="1">OFFSET(CampList[Camp],MATCH(Table10[[#This Row],[Pcode]],CampList[CP_Pcode],0)-1,0,1,1)</f>
        <v>Nam Hkam - Nay Win Ni (Palawng)</v>
      </c>
      <c r="D50" s="18" t="str">
        <f ca="1">OFFSET(CampList[Township],MATCH(Table10[[#This Row],[Pcode]],CampList[CP_Pcode],0)-1,0,1,1)</f>
        <v>Namhkan</v>
      </c>
      <c r="E50" s="18">
        <f ca="1">OFFSET(CampList[HH],MATCH(Table10[[#This Row],[Pcode]],CampList[CP_Pcode],0)-1,0,1,1)</f>
        <v>75</v>
      </c>
      <c r="F50" s="18">
        <f ca="1">OFFSET(CampList[Total],MATCH(Table10[[#This Row],[Pcode]],CampList[CP_Pcode],0)-1,0,1,1)</f>
        <v>383</v>
      </c>
      <c r="G50" s="277">
        <f>SUMIF('NFI Tracking'!AQ$11:AQ$1048576,Table10[[#This Row],[Pcode]],'NFI Tracking'!AI$11:AI$1048576)</f>
        <v>0</v>
      </c>
      <c r="H50" s="277">
        <f>SUMIF('NFI Tracking'!AQ$11:AQ$1048576,Table10[[#This Row],[Pcode]],'NFI Tracking'!AJ$11:AJ$1048576)</f>
        <v>0</v>
      </c>
      <c r="I50" s="277">
        <f>SUMIF('NFI Tracking'!AQ$11:AQ$1048576,Table10[[#This Row],[Pcode]],'NFI Tracking'!AK$11:AK$1048576)</f>
        <v>0</v>
      </c>
      <c r="J50" s="277">
        <f ca="1">MAX(Table10[[#This Row],[HH]]*VLOOKUP("Winter Clothes Adult",NFI,6)-Table10[[#This Row],[Winter Clothes Adult ]],0)</f>
        <v>150</v>
      </c>
      <c r="K50" s="277">
        <f ca="1">MAX(Table10[[#This Row],[HH]]*VLOOKUP("Winter Clothes Children ",NFI,6)-Table10[[#This Row],[Winter Clothes Children ]],0)</f>
        <v>75</v>
      </c>
      <c r="L50" s="277">
        <f ca="1">MAX(Table10[[#This Row],[HH]]*VLOOKUP("Winter Items Other ",NFI,6)-Table10[[#This Row],[Winter Items Other ]],0)</f>
        <v>75</v>
      </c>
      <c r="M50" s="310" t="str">
        <f>IF(OR(Table10[[#This Row],[Winter Clothes Adult ]]&lt;&gt;0,Table10[[#This Row],[Winter Clothes Children ]]&lt;&gt;0,Table10[[#This Row],[Winter Items Other ]]&lt;&gt;0),"No","")</f>
        <v/>
      </c>
      <c r="N50" s="311">
        <f>COUNTIF(A:A,Table10[[#This Row],[Pcode]])-1</f>
        <v>0</v>
      </c>
    </row>
    <row r="51" spans="1:14" x14ac:dyDescent="0.25">
      <c r="A51" s="259" t="s">
        <v>288</v>
      </c>
      <c r="B51" s="18" t="str">
        <f ca="1">OFFSET(CampList[Priority],MATCH(Table10[[#This Row],[Pcode]],CampList[CP_Pcode],0)-1,0,1,1)</f>
        <v>P3</v>
      </c>
      <c r="C51" s="18" t="str">
        <f ca="1">OFFSET(CampList[Camp],MATCH(Table10[[#This Row],[Pcode]],CampList[CP_Pcode],0)-1,0,1,1)</f>
        <v>Nam Hkam (KBC Jaw Wang)</v>
      </c>
      <c r="D51" s="18" t="str">
        <f ca="1">OFFSET(CampList[Township],MATCH(Table10[[#This Row],[Pcode]],CampList[CP_Pcode],0)-1,0,1,1)</f>
        <v>Namhkan</v>
      </c>
      <c r="E51" s="18">
        <f ca="1">OFFSET(CampList[HH],MATCH(Table10[[#This Row],[Pcode]],CampList[CP_Pcode],0)-1,0,1,1)</f>
        <v>69</v>
      </c>
      <c r="F51" s="18">
        <f ca="1">OFFSET(CampList[Total],MATCH(Table10[[#This Row],[Pcode]],CampList[CP_Pcode],0)-1,0,1,1)</f>
        <v>344</v>
      </c>
      <c r="G51" s="277">
        <f>SUMIF('NFI Tracking'!AQ$11:AQ$1048576,Table10[[#This Row],[Pcode]],'NFI Tracking'!AI$11:AI$1048576)</f>
        <v>0</v>
      </c>
      <c r="H51" s="277">
        <f>SUMIF('NFI Tracking'!AQ$11:AQ$1048576,Table10[[#This Row],[Pcode]],'NFI Tracking'!AJ$11:AJ$1048576)</f>
        <v>0</v>
      </c>
      <c r="I51" s="277">
        <f>SUMIF('NFI Tracking'!AQ$11:AQ$1048576,Table10[[#This Row],[Pcode]],'NFI Tracking'!AK$11:AK$1048576)</f>
        <v>0</v>
      </c>
      <c r="J51" s="277">
        <f ca="1">MAX(Table10[[#This Row],[HH]]*VLOOKUP("Winter Clothes Adult",NFI,6)-Table10[[#This Row],[Winter Clothes Adult ]],0)</f>
        <v>138</v>
      </c>
      <c r="K51" s="277">
        <f ca="1">MAX(Table10[[#This Row],[HH]]*VLOOKUP("Winter Clothes Children ",NFI,6)-Table10[[#This Row],[Winter Clothes Children ]],0)</f>
        <v>69</v>
      </c>
      <c r="L51" s="277">
        <f ca="1">MAX(Table10[[#This Row],[HH]]*VLOOKUP("Winter Items Other ",NFI,6)-Table10[[#This Row],[Winter Items Other ]],0)</f>
        <v>69</v>
      </c>
      <c r="M51" s="310" t="str">
        <f>IF(OR(Table10[[#This Row],[Winter Clothes Adult ]]&lt;&gt;0,Table10[[#This Row],[Winter Clothes Children ]]&lt;&gt;0,Table10[[#This Row],[Winter Items Other ]]&lt;&gt;0),"No","")</f>
        <v/>
      </c>
      <c r="N51" s="311">
        <f>COUNTIF(A:A,Table10[[#This Row],[Pcode]])-1</f>
        <v>0</v>
      </c>
    </row>
    <row r="52" spans="1:14" x14ac:dyDescent="0.25">
      <c r="A52" s="259" t="s">
        <v>295</v>
      </c>
      <c r="B52" s="18" t="str">
        <f ca="1">OFFSET(CampList[Priority],MATCH(Table10[[#This Row],[Pcode]],CampList[CP_Pcode],0)-1,0,1,1)</f>
        <v>P3</v>
      </c>
      <c r="C52" s="18" t="str">
        <f ca="1">OFFSET(CampList[Camp],MATCH(Table10[[#This Row],[Pcode]],CampList[CP_Pcode],0)-1,0,1,1)</f>
        <v>Nam Hkam Catholic Church ( St. Thomas I)</v>
      </c>
      <c r="D52" s="18" t="str">
        <f ca="1">OFFSET(CampList[Township],MATCH(Table10[[#This Row],[Pcode]],CampList[CP_Pcode],0)-1,0,1,1)</f>
        <v>Namhkan</v>
      </c>
      <c r="E52" s="18">
        <f ca="1">OFFSET(CampList[HH],MATCH(Table10[[#This Row],[Pcode]],CampList[CP_Pcode],0)-1,0,1,1)</f>
        <v>33</v>
      </c>
      <c r="F52" s="18">
        <f ca="1">OFFSET(CampList[Total],MATCH(Table10[[#This Row],[Pcode]],CampList[CP_Pcode],0)-1,0,1,1)</f>
        <v>211</v>
      </c>
      <c r="G52" s="277">
        <f>SUMIF('NFI Tracking'!AQ$11:AQ$1048576,Table10[[#This Row],[Pcode]],'NFI Tracking'!AI$11:AI$1048576)</f>
        <v>0</v>
      </c>
      <c r="H52" s="277">
        <f>SUMIF('NFI Tracking'!AQ$11:AQ$1048576,Table10[[#This Row],[Pcode]],'NFI Tracking'!AJ$11:AJ$1048576)</f>
        <v>0</v>
      </c>
      <c r="I52" s="277">
        <f>SUMIF('NFI Tracking'!AQ$11:AQ$1048576,Table10[[#This Row],[Pcode]],'NFI Tracking'!AK$11:AK$1048576)</f>
        <v>0</v>
      </c>
      <c r="J52" s="277">
        <f ca="1">MAX(Table10[[#This Row],[HH]]*VLOOKUP("Winter Clothes Adult",NFI,6)-Table10[[#This Row],[Winter Clothes Adult ]],0)</f>
        <v>66</v>
      </c>
      <c r="K52" s="277">
        <f ca="1">MAX(Table10[[#This Row],[HH]]*VLOOKUP("Winter Clothes Children ",NFI,6)-Table10[[#This Row],[Winter Clothes Children ]],0)</f>
        <v>33</v>
      </c>
      <c r="L52" s="277">
        <f ca="1">MAX(Table10[[#This Row],[HH]]*VLOOKUP("Winter Items Other ",NFI,6)-Table10[[#This Row],[Winter Items Other ]],0)</f>
        <v>33</v>
      </c>
      <c r="M52" s="310" t="str">
        <f>IF(OR(Table10[[#This Row],[Winter Clothes Adult ]]&lt;&gt;0,Table10[[#This Row],[Winter Clothes Children ]]&lt;&gt;0,Table10[[#This Row],[Winter Items Other ]]&lt;&gt;0),"No","")</f>
        <v/>
      </c>
      <c r="N52" s="311">
        <f>COUNTIF(A:A,Table10[[#This Row],[Pcode]])-1</f>
        <v>0</v>
      </c>
    </row>
    <row r="53" spans="1:14" x14ac:dyDescent="0.25">
      <c r="A53" s="259" t="s">
        <v>297</v>
      </c>
      <c r="B53" s="18" t="str">
        <f ca="1">OFFSET(CampList[Priority],MATCH(Table10[[#This Row],[Pcode]],CampList[CP_Pcode],0)-1,0,1,1)</f>
        <v>P3</v>
      </c>
      <c r="C53" s="18" t="str">
        <f ca="1">OFFSET(CampList[Camp],MATCH(Table10[[#This Row],[Pcode]],CampList[CP_Pcode],0)-1,0,1,1)</f>
        <v>Nam Tu Baptist</v>
      </c>
      <c r="D53" s="18" t="str">
        <f ca="1">OFFSET(CampList[Township],MATCH(Table10[[#This Row],[Pcode]],CampList[CP_Pcode],0)-1,0,1,1)</f>
        <v>Namtu</v>
      </c>
      <c r="E53" s="18">
        <f ca="1">OFFSET(CampList[HH],MATCH(Table10[[#This Row],[Pcode]],CampList[CP_Pcode],0)-1,0,1,1)</f>
        <v>8</v>
      </c>
      <c r="F53" s="18">
        <f ca="1">OFFSET(CampList[Total],MATCH(Table10[[#This Row],[Pcode]],CampList[CP_Pcode],0)-1,0,1,1)</f>
        <v>39</v>
      </c>
      <c r="G53" s="277">
        <f>SUMIF('NFI Tracking'!AQ$11:AQ$1048576,Table10[[#This Row],[Pcode]],'NFI Tracking'!AI$11:AI$1048576)</f>
        <v>0</v>
      </c>
      <c r="H53" s="277">
        <f>SUMIF('NFI Tracking'!AQ$11:AQ$1048576,Table10[[#This Row],[Pcode]],'NFI Tracking'!AJ$11:AJ$1048576)</f>
        <v>0</v>
      </c>
      <c r="I53" s="277">
        <f>SUMIF('NFI Tracking'!AQ$11:AQ$1048576,Table10[[#This Row],[Pcode]],'NFI Tracking'!AK$11:AK$1048576)</f>
        <v>0</v>
      </c>
      <c r="J53" s="277">
        <f ca="1">MAX(Table10[[#This Row],[HH]]*VLOOKUP("Winter Clothes Adult",NFI,6)-Table10[[#This Row],[Winter Clothes Adult ]],0)</f>
        <v>16</v>
      </c>
      <c r="K53" s="277">
        <f ca="1">MAX(Table10[[#This Row],[HH]]*VLOOKUP("Winter Clothes Children ",NFI,6)-Table10[[#This Row],[Winter Clothes Children ]],0)</f>
        <v>8</v>
      </c>
      <c r="L53" s="277">
        <f ca="1">MAX(Table10[[#This Row],[HH]]*VLOOKUP("Winter Items Other ",NFI,6)-Table10[[#This Row],[Winter Items Other ]],0)</f>
        <v>8</v>
      </c>
      <c r="M53" s="310" t="str">
        <f>IF(OR(Table10[[#This Row],[Winter Clothes Adult ]]&lt;&gt;0,Table10[[#This Row],[Winter Clothes Children ]]&lt;&gt;0,Table10[[#This Row],[Winter Items Other ]]&lt;&gt;0),"No","")</f>
        <v/>
      </c>
      <c r="N53" s="311">
        <f>COUNTIF(A:A,Table10[[#This Row],[Pcode]])-1</f>
        <v>0</v>
      </c>
    </row>
    <row r="54" spans="1:14" x14ac:dyDescent="0.25">
      <c r="A54" s="259" t="s">
        <v>824</v>
      </c>
      <c r="B54" s="18" t="str">
        <f ca="1">OFFSET(CampList[Priority],MATCH(Table10[[#This Row],[Pcode]],CampList[CP_Pcode],0)-1,0,1,1)</f>
        <v>P3</v>
      </c>
      <c r="C54" s="18" t="str">
        <f ca="1">OFFSET(CampList[Camp],MATCH(Table10[[#This Row],[Pcode]],CampList[CP_Pcode],0)-1,0,1,1)</f>
        <v>Nam Tu RC</v>
      </c>
      <c r="D54" s="18" t="str">
        <f ca="1">OFFSET(CampList[Township],MATCH(Table10[[#This Row],[Pcode]],CampList[CP_Pcode],0)-1,0,1,1)</f>
        <v>Namtu</v>
      </c>
      <c r="E54" s="18">
        <f ca="1">OFFSET(CampList[HH],MATCH(Table10[[#This Row],[Pcode]],CampList[CP_Pcode],0)-1,0,1,1)</f>
        <v>118</v>
      </c>
      <c r="F54" s="18">
        <f ca="1">OFFSET(CampList[Total],MATCH(Table10[[#This Row],[Pcode]],CampList[CP_Pcode],0)-1,0,1,1)</f>
        <v>520</v>
      </c>
      <c r="G54" s="277">
        <f>SUMIF('NFI Tracking'!AQ$11:AQ$1048576,Table10[[#This Row],[Pcode]],'NFI Tracking'!AI$11:AI$1048576)</f>
        <v>0</v>
      </c>
      <c r="H54" s="277">
        <f>SUMIF('NFI Tracking'!AQ$11:AQ$1048576,Table10[[#This Row],[Pcode]],'NFI Tracking'!AJ$11:AJ$1048576)</f>
        <v>0</v>
      </c>
      <c r="I54" s="277">
        <f>SUMIF('NFI Tracking'!AQ$11:AQ$1048576,Table10[[#This Row],[Pcode]],'NFI Tracking'!AK$11:AK$1048576)</f>
        <v>0</v>
      </c>
      <c r="J54" s="277">
        <f ca="1">MAX(Table10[[#This Row],[HH]]*VLOOKUP("Winter Clothes Adult",NFI,6)-Table10[[#This Row],[Winter Clothes Adult ]],0)</f>
        <v>236</v>
      </c>
      <c r="K54" s="277">
        <f ca="1">MAX(Table10[[#This Row],[HH]]*VLOOKUP("Winter Clothes Children ",NFI,6)-Table10[[#This Row],[Winter Clothes Children ]],0)</f>
        <v>118</v>
      </c>
      <c r="L54" s="277">
        <f ca="1">MAX(Table10[[#This Row],[HH]]*VLOOKUP("Winter Items Other ",NFI,6)-Table10[[#This Row],[Winter Items Other ]],0)</f>
        <v>118</v>
      </c>
      <c r="M54" s="310" t="str">
        <f>IF(OR(Table10[[#This Row],[Winter Clothes Adult ]]&lt;&gt;0,Table10[[#This Row],[Winter Clothes Children ]]&lt;&gt;0,Table10[[#This Row],[Winter Items Other ]]&lt;&gt;0),"No","")</f>
        <v/>
      </c>
      <c r="N54" s="311">
        <f>COUNTIF(A:A,Table10[[#This Row],[Pcode]])-1</f>
        <v>0</v>
      </c>
    </row>
    <row r="55" spans="1:14" x14ac:dyDescent="0.25">
      <c r="A55" s="259" t="s">
        <v>61</v>
      </c>
      <c r="B55" s="18" t="str">
        <f ca="1">OFFSET(CampList[Priority],MATCH(Table10[[#This Row],[Pcode]],CampList[CP_Pcode],0)-1,0,1,1)</f>
        <v>P4</v>
      </c>
      <c r="C55" s="18" t="str">
        <f ca="1">OFFSET(CampList[Camp],MATCH(Table10[[#This Row],[Pcode]],CampList[CP_Pcode],0)-1,0,1,1)</f>
        <v>5 Ward Baptist Church(lon Khin)</v>
      </c>
      <c r="D55" s="18" t="str">
        <f ca="1">OFFSET(CampList[Township],MATCH(Table10[[#This Row],[Pcode]],CampList[CP_Pcode],0)-1,0,1,1)</f>
        <v>Hpakant</v>
      </c>
      <c r="E55" s="277">
        <f ca="1">OFFSET(CampList[HH],MATCH(Table10[[#This Row],[Pcode]],CampList[CP_Pcode],0)-1,0,1,1)</f>
        <v>67</v>
      </c>
      <c r="F55" s="277">
        <f ca="1">OFFSET(CampList[Total],MATCH(Table10[[#This Row],[Pcode]],CampList[CP_Pcode],0)-1,0,1,1)</f>
        <v>351</v>
      </c>
      <c r="G55" s="277">
        <f>SUMIF('NFI Tracking'!AQ$11:AQ$1048576,Table10[[#This Row],[Pcode]],'NFI Tracking'!AI$11:AI$1048576)</f>
        <v>0</v>
      </c>
      <c r="H55" s="277">
        <f>SUMIF('NFI Tracking'!AQ$11:AQ$1048576,Table10[[#This Row],[Pcode]],'NFI Tracking'!AJ$11:AJ$1048576)</f>
        <v>0</v>
      </c>
      <c r="I55" s="277">
        <f>SUMIF('NFI Tracking'!AQ$11:AQ$1048576,Table10[[#This Row],[Pcode]],'NFI Tracking'!AK$11:AK$1048576)</f>
        <v>0</v>
      </c>
      <c r="J55" s="277">
        <f ca="1">MAX(Table10[[#This Row],[HH]]*VLOOKUP("Winter Clothes Adult",NFI,6)-Table10[[#This Row],[Winter Clothes Adult ]],0)</f>
        <v>134</v>
      </c>
      <c r="K55" s="277">
        <f ca="1">MAX(Table10[[#This Row],[HH]]*VLOOKUP("Winter Clothes Children ",NFI,6)-Table10[[#This Row],[Winter Clothes Children ]],0)</f>
        <v>67</v>
      </c>
      <c r="L55" s="277">
        <f ca="1">MAX(Table10[[#This Row],[HH]]*VLOOKUP("Winter Items Other ",NFI,6)-Table10[[#This Row],[Winter Items Other ]],0)</f>
        <v>67</v>
      </c>
      <c r="M55" s="310" t="str">
        <f>IF(OR(Table10[[#This Row],[Winter Clothes Adult ]]&lt;&gt;0,Table10[[#This Row],[Winter Clothes Children ]]&lt;&gt;0,Table10[[#This Row],[Winter Items Other ]]&lt;&gt;0),"No","")</f>
        <v/>
      </c>
      <c r="N55" s="311">
        <f>COUNTIF(A:A,Table10[[#This Row],[Pcode]])-1</f>
        <v>0</v>
      </c>
    </row>
    <row r="56" spans="1:14" x14ac:dyDescent="0.25">
      <c r="A56" s="259" t="s">
        <v>119</v>
      </c>
      <c r="B56" s="18" t="str">
        <f ca="1">OFFSET(CampList[Priority],MATCH(Table10[[#This Row],[Pcode]],CampList[CP_Pcode],0)-1,0,1,1)</f>
        <v>P4</v>
      </c>
      <c r="C56" s="18" t="str">
        <f ca="1">OFFSET(CampList[Camp],MATCH(Table10[[#This Row],[Pcode]],CampList[CP_Pcode],0)-1,0,1,1)</f>
        <v>5 Ward RC Church(lon Khin)</v>
      </c>
      <c r="D56" s="18" t="str">
        <f ca="1">OFFSET(CampList[Township],MATCH(Table10[[#This Row],[Pcode]],CampList[CP_Pcode],0)-1,0,1,1)</f>
        <v>Hpakant</v>
      </c>
      <c r="E56" s="277">
        <f ca="1">OFFSET(CampList[HH],MATCH(Table10[[#This Row],[Pcode]],CampList[CP_Pcode],0)-1,0,1,1)</f>
        <v>72</v>
      </c>
      <c r="F56" s="277">
        <f ca="1">OFFSET(CampList[Total],MATCH(Table10[[#This Row],[Pcode]],CampList[CP_Pcode],0)-1,0,1,1)</f>
        <v>363</v>
      </c>
      <c r="G56" s="277">
        <f>SUMIF('NFI Tracking'!AQ$11:AQ$1048576,Table10[[#This Row],[Pcode]],'NFI Tracking'!AI$11:AI$1048576)</f>
        <v>0</v>
      </c>
      <c r="H56" s="277">
        <f>SUMIF('NFI Tracking'!AQ$11:AQ$1048576,Table10[[#This Row],[Pcode]],'NFI Tracking'!AJ$11:AJ$1048576)</f>
        <v>0</v>
      </c>
      <c r="I56" s="277">
        <f>SUMIF('NFI Tracking'!AQ$11:AQ$1048576,Table10[[#This Row],[Pcode]],'NFI Tracking'!AK$11:AK$1048576)</f>
        <v>0</v>
      </c>
      <c r="J56" s="277">
        <f ca="1">MAX(Table10[[#This Row],[HH]]*VLOOKUP("Winter Clothes Adult",NFI,6)-Table10[[#This Row],[Winter Clothes Adult ]],0)</f>
        <v>144</v>
      </c>
      <c r="K56" s="277">
        <f ca="1">MAX(Table10[[#This Row],[HH]]*VLOOKUP("Winter Clothes Children ",NFI,6)-Table10[[#This Row],[Winter Clothes Children ]],0)</f>
        <v>72</v>
      </c>
      <c r="L56" s="277">
        <f ca="1">MAX(Table10[[#This Row],[HH]]*VLOOKUP("Winter Items Other ",NFI,6)-Table10[[#This Row],[Winter Items Other ]],0)</f>
        <v>72</v>
      </c>
      <c r="M56" s="310" t="str">
        <f>IF(OR(Table10[[#This Row],[Winter Clothes Adult ]]&lt;&gt;0,Table10[[#This Row],[Winter Clothes Children ]]&lt;&gt;0,Table10[[#This Row],[Winter Items Other ]]&lt;&gt;0),"No","")</f>
        <v/>
      </c>
      <c r="N56" s="311">
        <f>COUNTIF(A:A,Table10[[#This Row],[Pcode]])-1</f>
        <v>0</v>
      </c>
    </row>
    <row r="57" spans="1:14" x14ac:dyDescent="0.25">
      <c r="A57" s="259" t="s">
        <v>4</v>
      </c>
      <c r="B57" s="18" t="str">
        <f ca="1">OFFSET(CampList[Priority],MATCH(Table10[[#This Row],[Pcode]],CampList[CP_Pcode],0)-1,0,1,1)</f>
        <v>P4</v>
      </c>
      <c r="C57" s="18" t="str">
        <f ca="1">OFFSET(CampList[Camp],MATCH(Table10[[#This Row],[Pcode]],CampList[CP_Pcode],0)-1,0,1,1)</f>
        <v>AD-2000 Tharthana Compound</v>
      </c>
      <c r="D57" s="18" t="str">
        <f ca="1">OFFSET(CampList[Township],MATCH(Table10[[#This Row],[Pcode]],CampList[CP_Pcode],0)-1,0,1,1)</f>
        <v>Bhamo</v>
      </c>
      <c r="E57" s="277">
        <f ca="1">OFFSET(CampList[HH],MATCH(Table10[[#This Row],[Pcode]],CampList[CP_Pcode],0)-1,0,1,1)</f>
        <v>257</v>
      </c>
      <c r="F57" s="277">
        <f ca="1">OFFSET(CampList[Total],MATCH(Table10[[#This Row],[Pcode]],CampList[CP_Pcode],0)-1,0,1,1)</f>
        <v>1266</v>
      </c>
      <c r="G57" s="277">
        <f>SUMIF('NFI Tracking'!AQ$11:AQ$1048576,Table10[[#This Row],[Pcode]],'NFI Tracking'!AI$11:AI$1048576)</f>
        <v>0</v>
      </c>
      <c r="H57" s="277">
        <f>SUMIF('NFI Tracking'!AQ$11:AQ$1048576,Table10[[#This Row],[Pcode]],'NFI Tracking'!AJ$11:AJ$1048576)</f>
        <v>0</v>
      </c>
      <c r="I57" s="277">
        <f>SUMIF('NFI Tracking'!AQ$11:AQ$1048576,Table10[[#This Row],[Pcode]],'NFI Tracking'!AK$11:AK$1048576)</f>
        <v>0</v>
      </c>
      <c r="J57" s="277">
        <f ca="1">MAX(Table10[[#This Row],[HH]]*VLOOKUP("Winter Clothes Adult",NFI,6)-Table10[[#This Row],[Winter Clothes Adult ]],0)</f>
        <v>514</v>
      </c>
      <c r="K57" s="277">
        <f ca="1">MAX(Table10[[#This Row],[HH]]*VLOOKUP("Winter Clothes Children ",NFI,6)-Table10[[#This Row],[Winter Clothes Children ]],0)</f>
        <v>257</v>
      </c>
      <c r="L57" s="277">
        <f ca="1">MAX(Table10[[#This Row],[HH]]*VLOOKUP("Winter Items Other ",NFI,6)-Table10[[#This Row],[Winter Items Other ]],0)</f>
        <v>257</v>
      </c>
      <c r="M57" s="310" t="str">
        <f>IF(OR(Table10[[#This Row],[Winter Clothes Adult ]]&lt;&gt;0,Table10[[#This Row],[Winter Clothes Children ]]&lt;&gt;0,Table10[[#This Row],[Winter Items Other ]]&lt;&gt;0),"No","")</f>
        <v/>
      </c>
      <c r="N57" s="311">
        <f>COUNTIF(A:A,Table10[[#This Row],[Pcode]])-1</f>
        <v>0</v>
      </c>
    </row>
    <row r="58" spans="1:14" x14ac:dyDescent="0.25">
      <c r="A58" s="259" t="s">
        <v>40</v>
      </c>
      <c r="B58" s="18" t="str">
        <f ca="1">OFFSET(CampList[Priority],MATCH(Table10[[#This Row],[Pcode]],CampList[CP_Pcode],0)-1,0,1,1)</f>
        <v>P4</v>
      </c>
      <c r="C58" s="18" t="str">
        <f ca="1">OFFSET(CampList[Camp],MATCH(Table10[[#This Row],[Pcode]],CampList[CP_Pcode],0)-1,0,1,1)</f>
        <v>AG Church, Hmaw Si Sa</v>
      </c>
      <c r="D58" s="18" t="str">
        <f ca="1">OFFSET(CampList[Township],MATCH(Table10[[#This Row],[Pcode]],CampList[CP_Pcode],0)-1,0,1,1)</f>
        <v>Hpakant</v>
      </c>
      <c r="E58" s="277">
        <f ca="1">OFFSET(CampList[HH],MATCH(Table10[[#This Row],[Pcode]],CampList[CP_Pcode],0)-1,0,1,1)</f>
        <v>67</v>
      </c>
      <c r="F58" s="277">
        <f ca="1">OFFSET(CampList[Total],MATCH(Table10[[#This Row],[Pcode]],CampList[CP_Pcode],0)-1,0,1,1)</f>
        <v>353</v>
      </c>
      <c r="G58" s="277">
        <f>SUMIF('NFI Tracking'!AQ$11:AQ$1048576,Table10[[#This Row],[Pcode]],'NFI Tracking'!AI$11:AI$1048576)</f>
        <v>0</v>
      </c>
      <c r="H58" s="277">
        <f>SUMIF('NFI Tracking'!AQ$11:AQ$1048576,Table10[[#This Row],[Pcode]],'NFI Tracking'!AJ$11:AJ$1048576)</f>
        <v>0</v>
      </c>
      <c r="I58" s="277">
        <f>SUMIF('NFI Tracking'!AQ$11:AQ$1048576,Table10[[#This Row],[Pcode]],'NFI Tracking'!AK$11:AK$1048576)</f>
        <v>0</v>
      </c>
      <c r="J58" s="277">
        <f ca="1">MAX(Table10[[#This Row],[HH]]*VLOOKUP("Winter Clothes Adult",NFI,6)-Table10[[#This Row],[Winter Clothes Adult ]],0)</f>
        <v>134</v>
      </c>
      <c r="K58" s="277">
        <f ca="1">MAX(Table10[[#This Row],[HH]]*VLOOKUP("Winter Clothes Children ",NFI,6)-Table10[[#This Row],[Winter Clothes Children ]],0)</f>
        <v>67</v>
      </c>
      <c r="L58" s="277">
        <f ca="1">MAX(Table10[[#This Row],[HH]]*VLOOKUP("Winter Items Other ",NFI,6)-Table10[[#This Row],[Winter Items Other ]],0)</f>
        <v>67</v>
      </c>
      <c r="M58" s="310" t="str">
        <f>IF(OR(Table10[[#This Row],[Winter Clothes Adult ]]&lt;&gt;0,Table10[[#This Row],[Winter Clothes Children ]]&lt;&gt;0,Table10[[#This Row],[Winter Items Other ]]&lt;&gt;0),"No","")</f>
        <v/>
      </c>
      <c r="N58" s="311">
        <f>COUNTIF(A:A,Table10[[#This Row],[Pcode]])-1</f>
        <v>0</v>
      </c>
    </row>
    <row r="59" spans="1:14" x14ac:dyDescent="0.25">
      <c r="A59" s="259" t="s">
        <v>42</v>
      </c>
      <c r="B59" s="18" t="str">
        <f ca="1">OFFSET(CampList[Priority],MATCH(Table10[[#This Row],[Pcode]],CampList[CP_Pcode],0)-1,0,1,1)</f>
        <v>P4</v>
      </c>
      <c r="C59" s="18" t="str">
        <f ca="1">OFFSET(CampList[Camp],MATCH(Table10[[#This Row],[Pcode]],CampList[CP_Pcode],0)-1,0,1,1)</f>
        <v>AG Church, Maw Wan</v>
      </c>
      <c r="D59" s="18" t="str">
        <f ca="1">OFFSET(CampList[Township],MATCH(Table10[[#This Row],[Pcode]],CampList[CP_Pcode],0)-1,0,1,1)</f>
        <v>Hpakant</v>
      </c>
      <c r="E59" s="277">
        <f ca="1">OFFSET(CampList[HH],MATCH(Table10[[#This Row],[Pcode]],CampList[CP_Pcode],0)-1,0,1,1)</f>
        <v>14</v>
      </c>
      <c r="F59" s="277">
        <f ca="1">OFFSET(CampList[Total],MATCH(Table10[[#This Row],[Pcode]],CampList[CP_Pcode],0)-1,0,1,1)</f>
        <v>83</v>
      </c>
      <c r="G59" s="277">
        <f>SUMIF('NFI Tracking'!AQ$11:AQ$1048576,Table10[[#This Row],[Pcode]],'NFI Tracking'!AI$11:AI$1048576)</f>
        <v>0</v>
      </c>
      <c r="H59" s="277">
        <f>SUMIF('NFI Tracking'!AQ$11:AQ$1048576,Table10[[#This Row],[Pcode]],'NFI Tracking'!AJ$11:AJ$1048576)</f>
        <v>0</v>
      </c>
      <c r="I59" s="277">
        <f>SUMIF('NFI Tracking'!AQ$11:AQ$1048576,Table10[[#This Row],[Pcode]],'NFI Tracking'!AK$11:AK$1048576)</f>
        <v>0</v>
      </c>
      <c r="J59" s="277">
        <f ca="1">MAX(Table10[[#This Row],[HH]]*VLOOKUP("Winter Clothes Adult",NFI,6)-Table10[[#This Row],[Winter Clothes Adult ]],0)</f>
        <v>28</v>
      </c>
      <c r="K59" s="277">
        <f ca="1">MAX(Table10[[#This Row],[HH]]*VLOOKUP("Winter Clothes Children ",NFI,6)-Table10[[#This Row],[Winter Clothes Children ]],0)</f>
        <v>14</v>
      </c>
      <c r="L59" s="277">
        <f ca="1">MAX(Table10[[#This Row],[HH]]*VLOOKUP("Winter Items Other ",NFI,6)-Table10[[#This Row],[Winter Items Other ]],0)</f>
        <v>14</v>
      </c>
      <c r="M59" s="310" t="str">
        <f>IF(OR(Table10[[#This Row],[Winter Clothes Adult ]]&lt;&gt;0,Table10[[#This Row],[Winter Clothes Children ]]&lt;&gt;0,Table10[[#This Row],[Winter Items Other ]]&lt;&gt;0),"No","")</f>
        <v/>
      </c>
      <c r="N59" s="311">
        <f>COUNTIF(A:A,Table10[[#This Row],[Pcode]])-1</f>
        <v>0</v>
      </c>
    </row>
    <row r="60" spans="1:14" x14ac:dyDescent="0.25">
      <c r="A60" s="259" t="s">
        <v>377</v>
      </c>
      <c r="B60" s="18" t="str">
        <f ca="1">OFFSET(CampList[Priority],MATCH(Table10[[#This Row],[Pcode]],CampList[CP_Pcode],0)-1,0,1,1)</f>
        <v>P4</v>
      </c>
      <c r="C60" s="18" t="str">
        <f ca="1">OFFSET(CampList[Camp],MATCH(Table10[[#This Row],[Pcode]],CampList[CP_Pcode],0)-1,0,1,1)</f>
        <v>Aung Thar Church</v>
      </c>
      <c r="D60" s="18" t="str">
        <f ca="1">OFFSET(CampList[Township],MATCH(Table10[[#This Row],[Pcode]],CampList[CP_Pcode],0)-1,0,1,1)</f>
        <v>Bhamo</v>
      </c>
      <c r="E60" s="277">
        <f ca="1">OFFSET(CampList[HH],MATCH(Table10[[#This Row],[Pcode]],CampList[CP_Pcode],0)-1,0,1,1)</f>
        <v>12</v>
      </c>
      <c r="F60" s="277">
        <f ca="1">OFFSET(CampList[Total],MATCH(Table10[[#This Row],[Pcode]],CampList[CP_Pcode],0)-1,0,1,1)</f>
        <v>56</v>
      </c>
      <c r="G60" s="277">
        <f>SUMIF('NFI Tracking'!AQ$11:AQ$1048576,Table10[[#This Row],[Pcode]],'NFI Tracking'!AI$11:AI$1048576)</f>
        <v>0</v>
      </c>
      <c r="H60" s="277">
        <f>SUMIF('NFI Tracking'!AQ$11:AQ$1048576,Table10[[#This Row],[Pcode]],'NFI Tracking'!AJ$11:AJ$1048576)</f>
        <v>0</v>
      </c>
      <c r="I60" s="277">
        <f>SUMIF('NFI Tracking'!AQ$11:AQ$1048576,Table10[[#This Row],[Pcode]],'NFI Tracking'!AK$11:AK$1048576)</f>
        <v>0</v>
      </c>
      <c r="J60" s="277">
        <f ca="1">MAX(Table10[[#This Row],[HH]]*VLOOKUP("Winter Clothes Adult",NFI,6)-Table10[[#This Row],[Winter Clothes Adult ]],0)</f>
        <v>24</v>
      </c>
      <c r="K60" s="277">
        <f ca="1">MAX(Table10[[#This Row],[HH]]*VLOOKUP("Winter Clothes Children ",NFI,6)-Table10[[#This Row],[Winter Clothes Children ]],0)</f>
        <v>12</v>
      </c>
      <c r="L60" s="277">
        <f ca="1">MAX(Table10[[#This Row],[HH]]*VLOOKUP("Winter Items Other ",NFI,6)-Table10[[#This Row],[Winter Items Other ]],0)</f>
        <v>12</v>
      </c>
      <c r="M60" s="310" t="str">
        <f>IF(OR(Table10[[#This Row],[Winter Clothes Adult ]]&lt;&gt;0,Table10[[#This Row],[Winter Clothes Children ]]&lt;&gt;0,Table10[[#This Row],[Winter Items Other ]]&lt;&gt;0),"No","")</f>
        <v/>
      </c>
      <c r="N60" s="311">
        <f>COUNTIF(A:A,Table10[[#This Row],[Pcode]])-1</f>
        <v>0</v>
      </c>
    </row>
    <row r="61" spans="1:14" x14ac:dyDescent="0.25">
      <c r="A61" s="259" t="s">
        <v>881</v>
      </c>
      <c r="B61" s="18" t="str">
        <f ca="1">OFFSET(CampList[Priority],MATCH(Table10[[#This Row],[Pcode]],CampList[CP_Pcode],0)-1,0,1,1)</f>
        <v>P4</v>
      </c>
      <c r="C61" s="18" t="str">
        <f ca="1">OFFSET(CampList[Camp],MATCH(Table10[[#This Row],[Pcode]],CampList[CP_Pcode],0)-1,0,1,1)</f>
        <v>Ban Hkung Yang</v>
      </c>
      <c r="D61" s="18" t="str">
        <f ca="1">OFFSET(CampList[Township],MATCH(Table10[[#This Row],[Pcode]],CampList[CP_Pcode],0)-1,0,1,1)</f>
        <v>Mansi</v>
      </c>
      <c r="E61" s="277">
        <f ca="1">OFFSET(CampList[HH],MATCH(Table10[[#This Row],[Pcode]],CampList[CP_Pcode],0)-1,0,1,1)</f>
        <v>0</v>
      </c>
      <c r="F61" s="277">
        <f ca="1">OFFSET(CampList[Total],MATCH(Table10[[#This Row],[Pcode]],CampList[CP_Pcode],0)-1,0,1,1)</f>
        <v>0</v>
      </c>
      <c r="G61" s="277">
        <f>SUMIF('NFI Tracking'!AQ$11:AQ$1048576,Table10[[#This Row],[Pcode]],'NFI Tracking'!AI$11:AI$1048576)</f>
        <v>0</v>
      </c>
      <c r="H61" s="277">
        <f>SUMIF('NFI Tracking'!AQ$11:AQ$1048576,Table10[[#This Row],[Pcode]],'NFI Tracking'!AJ$11:AJ$1048576)</f>
        <v>0</v>
      </c>
      <c r="I61" s="277">
        <f>SUMIF('NFI Tracking'!AQ$11:AQ$1048576,Table10[[#This Row],[Pcode]],'NFI Tracking'!AK$11:AK$1048576)</f>
        <v>0</v>
      </c>
      <c r="J61" s="277">
        <f ca="1">MAX(Table10[[#This Row],[HH]]*VLOOKUP("Winter Clothes Adult",NFI,6)-Table10[[#This Row],[Winter Clothes Adult ]],0)</f>
        <v>0</v>
      </c>
      <c r="K61" s="277">
        <f ca="1">MAX(Table10[[#This Row],[HH]]*VLOOKUP("Winter Clothes Children ",NFI,6)-Table10[[#This Row],[Winter Clothes Children ]],0)</f>
        <v>0</v>
      </c>
      <c r="L61" s="277">
        <f ca="1">MAX(Table10[[#This Row],[HH]]*VLOOKUP("Winter Items Other ",NFI,6)-Table10[[#This Row],[Winter Items Other ]],0)</f>
        <v>0</v>
      </c>
      <c r="M61" s="310" t="str">
        <f>IF(OR(Table10[[#This Row],[Winter Clothes Adult ]]&lt;&gt;0,Table10[[#This Row],[Winter Clothes Children ]]&lt;&gt;0,Table10[[#This Row],[Winter Items Other ]]&lt;&gt;0),"No","")</f>
        <v/>
      </c>
      <c r="N61" s="311">
        <f>COUNTIF(A:A,Table10[[#This Row],[Pcode]])-1</f>
        <v>0</v>
      </c>
    </row>
    <row r="62" spans="1:14" x14ac:dyDescent="0.25">
      <c r="A62" s="259" t="s">
        <v>51</v>
      </c>
      <c r="B62" s="18" t="str">
        <f ca="1">OFFSET(CampList[Priority],MATCH(Table10[[#This Row],[Pcode]],CampList[CP_Pcode],0)-1,0,1,1)</f>
        <v>P4</v>
      </c>
      <c r="C62" s="18" t="str">
        <f ca="1">OFFSET(CampList[Camp],MATCH(Table10[[#This Row],[Pcode]],CampList[CP_Pcode],0)-1,0,1,1)</f>
        <v>Baptist Church, Hmaw Si Sar(Lon Khin)</v>
      </c>
      <c r="D62" s="18" t="str">
        <f ca="1">OFFSET(CampList[Township],MATCH(Table10[[#This Row],[Pcode]],CampList[CP_Pcode],0)-1,0,1,1)</f>
        <v>Hpakant</v>
      </c>
      <c r="E62" s="277">
        <f ca="1">OFFSET(CampList[HH],MATCH(Table10[[#This Row],[Pcode]],CampList[CP_Pcode],0)-1,0,1,1)</f>
        <v>38</v>
      </c>
      <c r="F62" s="277">
        <f ca="1">OFFSET(CampList[Total],MATCH(Table10[[#This Row],[Pcode]],CampList[CP_Pcode],0)-1,0,1,1)</f>
        <v>233</v>
      </c>
      <c r="G62" s="277">
        <f>SUMIF('NFI Tracking'!AQ$11:AQ$1048576,Table10[[#This Row],[Pcode]],'NFI Tracking'!AI$11:AI$1048576)</f>
        <v>0</v>
      </c>
      <c r="H62" s="277">
        <f>SUMIF('NFI Tracking'!AQ$11:AQ$1048576,Table10[[#This Row],[Pcode]],'NFI Tracking'!AJ$11:AJ$1048576)</f>
        <v>0</v>
      </c>
      <c r="I62" s="277">
        <f>SUMIF('NFI Tracking'!AQ$11:AQ$1048576,Table10[[#This Row],[Pcode]],'NFI Tracking'!AK$11:AK$1048576)</f>
        <v>0</v>
      </c>
      <c r="J62" s="277">
        <f ca="1">MAX(Table10[[#This Row],[HH]]*VLOOKUP("Winter Clothes Adult",NFI,6)-Table10[[#This Row],[Winter Clothes Adult ]],0)</f>
        <v>76</v>
      </c>
      <c r="K62" s="277">
        <f ca="1">MAX(Table10[[#This Row],[HH]]*VLOOKUP("Winter Clothes Children ",NFI,6)-Table10[[#This Row],[Winter Clothes Children ]],0)</f>
        <v>38</v>
      </c>
      <c r="L62" s="277">
        <f ca="1">MAX(Table10[[#This Row],[HH]]*VLOOKUP("Winter Items Other ",NFI,6)-Table10[[#This Row],[Winter Items Other ]],0)</f>
        <v>38</v>
      </c>
      <c r="M62" s="310" t="str">
        <f>IF(OR(Table10[[#This Row],[Winter Clothes Adult ]]&lt;&gt;0,Table10[[#This Row],[Winter Clothes Children ]]&lt;&gt;0,Table10[[#This Row],[Winter Items Other ]]&lt;&gt;0),"No","")</f>
        <v/>
      </c>
      <c r="N62" s="311">
        <f>COUNTIF(A:A,Table10[[#This Row],[Pcode]])-1</f>
        <v>0</v>
      </c>
    </row>
    <row r="63" spans="1:14" x14ac:dyDescent="0.25">
      <c r="A63" s="259" t="s">
        <v>57</v>
      </c>
      <c r="B63" s="18" t="str">
        <f ca="1">OFFSET(CampList[Priority],MATCH(Table10[[#This Row],[Pcode]],CampList[CP_Pcode],0)-1,0,1,1)</f>
        <v>P4</v>
      </c>
      <c r="C63" s="18" t="str">
        <f ca="1">OFFSET(CampList[Camp],MATCH(Table10[[#This Row],[Pcode]],CampList[CP_Pcode],0)-1,0,1,1)</f>
        <v>Baptist Church, Naung Hmee VT</v>
      </c>
      <c r="D63" s="18" t="str">
        <f ca="1">OFFSET(CampList[Township],MATCH(Table10[[#This Row],[Pcode]],CampList[CP_Pcode],0)-1,0,1,1)</f>
        <v>Hpakant</v>
      </c>
      <c r="E63" s="277">
        <f ca="1">OFFSET(CampList[HH],MATCH(Table10[[#This Row],[Pcode]],CampList[CP_Pcode],0)-1,0,1,1)</f>
        <v>0</v>
      </c>
      <c r="F63" s="277">
        <f ca="1">OFFSET(CampList[Total],MATCH(Table10[[#This Row],[Pcode]],CampList[CP_Pcode],0)-1,0,1,1)</f>
        <v>0</v>
      </c>
      <c r="G63" s="277">
        <f>SUMIF('NFI Tracking'!AQ$11:AQ$1048576,Table10[[#This Row],[Pcode]],'NFI Tracking'!AI$11:AI$1048576)</f>
        <v>0</v>
      </c>
      <c r="H63" s="277">
        <f>SUMIF('NFI Tracking'!AQ$11:AQ$1048576,Table10[[#This Row],[Pcode]],'NFI Tracking'!AJ$11:AJ$1048576)</f>
        <v>0</v>
      </c>
      <c r="I63" s="277">
        <f>SUMIF('NFI Tracking'!AQ$11:AQ$1048576,Table10[[#This Row],[Pcode]],'NFI Tracking'!AK$11:AK$1048576)</f>
        <v>0</v>
      </c>
      <c r="J63" s="277">
        <f ca="1">MAX(Table10[[#This Row],[HH]]*VLOOKUP("Winter Clothes Adult",NFI,6)-Table10[[#This Row],[Winter Clothes Adult ]],0)</f>
        <v>0</v>
      </c>
      <c r="K63" s="277">
        <f ca="1">MAX(Table10[[#This Row],[HH]]*VLOOKUP("Winter Clothes Children ",NFI,6)-Table10[[#This Row],[Winter Clothes Children ]],0)</f>
        <v>0</v>
      </c>
      <c r="L63" s="277">
        <f ca="1">MAX(Table10[[#This Row],[HH]]*VLOOKUP("Winter Items Other ",NFI,6)-Table10[[#This Row],[Winter Items Other ]],0)</f>
        <v>0</v>
      </c>
      <c r="M63" s="310" t="str">
        <f>IF(OR(Table10[[#This Row],[Winter Clothes Adult ]]&lt;&gt;0,Table10[[#This Row],[Winter Clothes Children ]]&lt;&gt;0,Table10[[#This Row],[Winter Items Other ]]&lt;&gt;0),"No","")</f>
        <v/>
      </c>
      <c r="N63" s="311">
        <f>COUNTIF(A:A,Table10[[#This Row],[Pcode]])-1</f>
        <v>0</v>
      </c>
    </row>
    <row r="64" spans="1:14" x14ac:dyDescent="0.25">
      <c r="A64" s="259" t="s">
        <v>71</v>
      </c>
      <c r="B64" s="18" t="str">
        <f ca="1">OFFSET(CampList[Priority],MATCH(Table10[[#This Row],[Pcode]],CampList[CP_Pcode],0)-1,0,1,1)</f>
        <v>P4</v>
      </c>
      <c r="C64" s="18" t="str">
        <f ca="1">OFFSET(CampList[Camp],MATCH(Table10[[#This Row],[Pcode]],CampList[CP_Pcode],0)-1,0,1,1)</f>
        <v>Chin Church, Seik Mu</v>
      </c>
      <c r="D64" s="18" t="str">
        <f ca="1">OFFSET(CampList[Township],MATCH(Table10[[#This Row],[Pcode]],CampList[CP_Pcode],0)-1,0,1,1)</f>
        <v>Hpakant</v>
      </c>
      <c r="E64" s="277">
        <f ca="1">OFFSET(CampList[HH],MATCH(Table10[[#This Row],[Pcode]],CampList[CP_Pcode],0)-1,0,1,1)</f>
        <v>6</v>
      </c>
      <c r="F64" s="277">
        <f ca="1">OFFSET(CampList[Total],MATCH(Table10[[#This Row],[Pcode]],CampList[CP_Pcode],0)-1,0,1,1)</f>
        <v>30</v>
      </c>
      <c r="G64" s="277">
        <f>SUMIF('NFI Tracking'!AQ$11:AQ$1048576,Table10[[#This Row],[Pcode]],'NFI Tracking'!AI$11:AI$1048576)</f>
        <v>0</v>
      </c>
      <c r="H64" s="277">
        <f>SUMIF('NFI Tracking'!AQ$11:AQ$1048576,Table10[[#This Row],[Pcode]],'NFI Tracking'!AJ$11:AJ$1048576)</f>
        <v>0</v>
      </c>
      <c r="I64" s="277">
        <f>SUMIF('NFI Tracking'!AQ$11:AQ$1048576,Table10[[#This Row],[Pcode]],'NFI Tracking'!AK$11:AK$1048576)</f>
        <v>0</v>
      </c>
      <c r="J64" s="277">
        <f ca="1">MAX(Table10[[#This Row],[HH]]*VLOOKUP("Winter Clothes Adult",NFI,6)-Table10[[#This Row],[Winter Clothes Adult ]],0)</f>
        <v>12</v>
      </c>
      <c r="K64" s="277">
        <f ca="1">MAX(Table10[[#This Row],[HH]]*VLOOKUP("Winter Clothes Children ",NFI,6)-Table10[[#This Row],[Winter Clothes Children ]],0)</f>
        <v>6</v>
      </c>
      <c r="L64" s="277">
        <f ca="1">MAX(Table10[[#This Row],[HH]]*VLOOKUP("Winter Items Other ",NFI,6)-Table10[[#This Row],[Winter Items Other ]],0)</f>
        <v>6</v>
      </c>
      <c r="M64" s="310" t="str">
        <f>IF(OR(Table10[[#This Row],[Winter Clothes Adult ]]&lt;&gt;0,Table10[[#This Row],[Winter Clothes Children ]]&lt;&gt;0,Table10[[#This Row],[Winter Items Other ]]&lt;&gt;0),"No","")</f>
        <v/>
      </c>
      <c r="N64" s="311">
        <f>COUNTIF(A:A,Table10[[#This Row],[Pcode]])-1</f>
        <v>0</v>
      </c>
    </row>
    <row r="65" spans="1:14" x14ac:dyDescent="0.25">
      <c r="A65" s="259" t="s">
        <v>75</v>
      </c>
      <c r="B65" s="18" t="str">
        <f ca="1">OFFSET(CampList[Priority],MATCH(Table10[[#This Row],[Pcode]],CampList[CP_Pcode],0)-1,0,1,1)</f>
        <v>P4</v>
      </c>
      <c r="C65" s="18" t="str">
        <f ca="1">OFFSET(CampList[Camp],MATCH(Table10[[#This Row],[Pcode]],CampList[CP_Pcode],0)-1,0,1,1)</f>
        <v>Dhama Rakhita, Nyein Chan Tar Yar Ward(Lon Khin)</v>
      </c>
      <c r="D65" s="18" t="str">
        <f ca="1">OFFSET(CampList[Township],MATCH(Table10[[#This Row],[Pcode]],CampList[CP_Pcode],0)-1,0,1,1)</f>
        <v>Hpakant</v>
      </c>
      <c r="E65" s="277">
        <f ca="1">OFFSET(CampList[HH],MATCH(Table10[[#This Row],[Pcode]],CampList[CP_Pcode],0)-1,0,1,1)</f>
        <v>66</v>
      </c>
      <c r="F65" s="277">
        <f ca="1">OFFSET(CampList[Total],MATCH(Table10[[#This Row],[Pcode]],CampList[CP_Pcode],0)-1,0,1,1)</f>
        <v>362</v>
      </c>
      <c r="G65" s="277">
        <f>SUMIF('NFI Tracking'!AQ$11:AQ$1048576,Table10[[#This Row],[Pcode]],'NFI Tracking'!AI$11:AI$1048576)</f>
        <v>0</v>
      </c>
      <c r="H65" s="277">
        <f>SUMIF('NFI Tracking'!AQ$11:AQ$1048576,Table10[[#This Row],[Pcode]],'NFI Tracking'!AJ$11:AJ$1048576)</f>
        <v>0</v>
      </c>
      <c r="I65" s="277">
        <f>SUMIF('NFI Tracking'!AQ$11:AQ$1048576,Table10[[#This Row],[Pcode]],'NFI Tracking'!AK$11:AK$1048576)</f>
        <v>0</v>
      </c>
      <c r="J65" s="277">
        <f ca="1">MAX(Table10[[#This Row],[HH]]*VLOOKUP("Winter Clothes Adult",NFI,6)-Table10[[#This Row],[Winter Clothes Adult ]],0)</f>
        <v>132</v>
      </c>
      <c r="K65" s="277">
        <f ca="1">MAX(Table10[[#This Row],[HH]]*VLOOKUP("Winter Clothes Children ",NFI,6)-Table10[[#This Row],[Winter Clothes Children ]],0)</f>
        <v>66</v>
      </c>
      <c r="L65" s="277">
        <f ca="1">MAX(Table10[[#This Row],[HH]]*VLOOKUP("Winter Items Other ",NFI,6)-Table10[[#This Row],[Winter Items Other ]],0)</f>
        <v>66</v>
      </c>
      <c r="M65" s="310" t="str">
        <f>IF(OR(Table10[[#This Row],[Winter Clothes Adult ]]&lt;&gt;0,Table10[[#This Row],[Winter Clothes Children ]]&lt;&gt;0,Table10[[#This Row],[Winter Items Other ]]&lt;&gt;0),"No","")</f>
        <v/>
      </c>
      <c r="N65" s="311">
        <f>COUNTIF(A:A,Table10[[#This Row],[Pcode]])-1</f>
        <v>0</v>
      </c>
    </row>
    <row r="66" spans="1:14" x14ac:dyDescent="0.25">
      <c r="A66" s="259" t="s">
        <v>242</v>
      </c>
      <c r="B66" s="18" t="str">
        <f ca="1">OFFSET(CampList[Priority],MATCH(Table10[[#This Row],[Pcode]],CampList[CP_Pcode],0)-1,0,1,1)</f>
        <v>P4</v>
      </c>
      <c r="C66" s="18" t="str">
        <f ca="1">OFFSET(CampList[Camp],MATCH(Table10[[#This Row],[Pcode]],CampList[CP_Pcode],0)-1,0,1,1)</f>
        <v>Du Kahtawng Qtr. 14</v>
      </c>
      <c r="D66" s="18" t="str">
        <f ca="1">OFFSET(CampList[Township],MATCH(Table10[[#This Row],[Pcode]],CampList[CP_Pcode],0)-1,0,1,1)</f>
        <v>Myitkyina</v>
      </c>
      <c r="E66" s="277">
        <f ca="1">OFFSET(CampList[HH],MATCH(Table10[[#This Row],[Pcode]],CampList[CP_Pcode],0)-1,0,1,1)</f>
        <v>6</v>
      </c>
      <c r="F66" s="277">
        <f ca="1">OFFSET(CampList[Total],MATCH(Table10[[#This Row],[Pcode]],CampList[CP_Pcode],0)-1,0,1,1)</f>
        <v>28</v>
      </c>
      <c r="G66" s="277">
        <f>SUMIF('NFI Tracking'!AQ$11:AQ$1048576,Table10[[#This Row],[Pcode]],'NFI Tracking'!AI$11:AI$1048576)</f>
        <v>0</v>
      </c>
      <c r="H66" s="277">
        <f>SUMIF('NFI Tracking'!AQ$11:AQ$1048576,Table10[[#This Row],[Pcode]],'NFI Tracking'!AJ$11:AJ$1048576)</f>
        <v>0</v>
      </c>
      <c r="I66" s="277">
        <f>SUMIF('NFI Tracking'!AQ$11:AQ$1048576,Table10[[#This Row],[Pcode]],'NFI Tracking'!AK$11:AK$1048576)</f>
        <v>0</v>
      </c>
      <c r="J66" s="277">
        <f ca="1">MAX(Table10[[#This Row],[HH]]*VLOOKUP("Winter Clothes Adult",NFI,6)-Table10[[#This Row],[Winter Clothes Adult ]],0)</f>
        <v>12</v>
      </c>
      <c r="K66" s="277">
        <f ca="1">MAX(Table10[[#This Row],[HH]]*VLOOKUP("Winter Clothes Children ",NFI,6)-Table10[[#This Row],[Winter Clothes Children ]],0)</f>
        <v>6</v>
      </c>
      <c r="L66" s="277">
        <f ca="1">MAX(Table10[[#This Row],[HH]]*VLOOKUP("Winter Items Other ",NFI,6)-Table10[[#This Row],[Winter Items Other ]],0)</f>
        <v>6</v>
      </c>
      <c r="M66" s="310" t="str">
        <f>IF(OR(Table10[[#This Row],[Winter Clothes Adult ]]&lt;&gt;0,Table10[[#This Row],[Winter Clothes Children ]]&lt;&gt;0,Table10[[#This Row],[Winter Items Other ]]&lt;&gt;0),"No","")</f>
        <v/>
      </c>
      <c r="N66" s="311">
        <f>COUNTIF(A:A,Table10[[#This Row],[Pcode]])-1</f>
        <v>0</v>
      </c>
    </row>
    <row r="67" spans="1:14" x14ac:dyDescent="0.25">
      <c r="A67" s="259" t="s">
        <v>244</v>
      </c>
      <c r="B67" s="18" t="str">
        <f ca="1">OFFSET(CampList[Priority],MATCH(Table10[[#This Row],[Pcode]],CampList[CP_Pcode],0)-1,0,1,1)</f>
        <v>P4</v>
      </c>
      <c r="C67" s="18" t="str">
        <f ca="1">OFFSET(CampList[Camp],MATCH(Table10[[#This Row],[Pcode]],CampList[CP_Pcode],0)-1,0,1,1)</f>
        <v>Du Kahtawng Qtr. 4</v>
      </c>
      <c r="D67" s="18" t="str">
        <f ca="1">OFFSET(CampList[Township],MATCH(Table10[[#This Row],[Pcode]],CampList[CP_Pcode],0)-1,0,1,1)</f>
        <v>Myitkyina</v>
      </c>
      <c r="E67" s="277">
        <f ca="1">OFFSET(CampList[HH],MATCH(Table10[[#This Row],[Pcode]],CampList[CP_Pcode],0)-1,0,1,1)</f>
        <v>6</v>
      </c>
      <c r="F67" s="277">
        <f ca="1">OFFSET(CampList[Total],MATCH(Table10[[#This Row],[Pcode]],CampList[CP_Pcode],0)-1,0,1,1)</f>
        <v>39</v>
      </c>
      <c r="G67" s="277">
        <f>SUMIF('NFI Tracking'!AQ$11:AQ$1048576,Table10[[#This Row],[Pcode]],'NFI Tracking'!AI$11:AI$1048576)</f>
        <v>0</v>
      </c>
      <c r="H67" s="277">
        <f>SUMIF('NFI Tracking'!AQ$11:AQ$1048576,Table10[[#This Row],[Pcode]],'NFI Tracking'!AJ$11:AJ$1048576)</f>
        <v>0</v>
      </c>
      <c r="I67" s="277">
        <f>SUMIF('NFI Tracking'!AQ$11:AQ$1048576,Table10[[#This Row],[Pcode]],'NFI Tracking'!AK$11:AK$1048576)</f>
        <v>0</v>
      </c>
      <c r="J67" s="277">
        <f ca="1">MAX(Table10[[#This Row],[HH]]*VLOOKUP("Winter Clothes Adult",NFI,6)-Table10[[#This Row],[Winter Clothes Adult ]],0)</f>
        <v>12</v>
      </c>
      <c r="K67" s="277">
        <f ca="1">MAX(Table10[[#This Row],[HH]]*VLOOKUP("Winter Clothes Children ",NFI,6)-Table10[[#This Row],[Winter Clothes Children ]],0)</f>
        <v>6</v>
      </c>
      <c r="L67" s="277">
        <f ca="1">MAX(Table10[[#This Row],[HH]]*VLOOKUP("Winter Items Other ",NFI,6)-Table10[[#This Row],[Winter Items Other ]],0)</f>
        <v>6</v>
      </c>
      <c r="M67" s="310" t="str">
        <f>IF(OR(Table10[[#This Row],[Winter Clothes Adult ]]&lt;&gt;0,Table10[[#This Row],[Winter Clothes Children ]]&lt;&gt;0,Table10[[#This Row],[Winter Items Other ]]&lt;&gt;0),"No","")</f>
        <v/>
      </c>
      <c r="N67" s="311">
        <f>COUNTIF(A:A,Table10[[#This Row],[Pcode]])-1</f>
        <v>0</v>
      </c>
    </row>
    <row r="68" spans="1:14" x14ac:dyDescent="0.25">
      <c r="A68" s="259" t="s">
        <v>246</v>
      </c>
      <c r="B68" s="18" t="str">
        <f ca="1">OFFSET(CampList[Priority],MATCH(Table10[[#This Row],[Pcode]],CampList[CP_Pcode],0)-1,0,1,1)</f>
        <v>P4</v>
      </c>
      <c r="C68" s="18" t="str">
        <f ca="1">OFFSET(CampList[Camp],MATCH(Table10[[#This Row],[Pcode]],CampList[CP_Pcode],0)-1,0,1,1)</f>
        <v>Du Kahtawng Qtr. 5</v>
      </c>
      <c r="D68" s="18" t="str">
        <f ca="1">OFFSET(CampList[Township],MATCH(Table10[[#This Row],[Pcode]],CampList[CP_Pcode],0)-1,0,1,1)</f>
        <v>Myitkyina</v>
      </c>
      <c r="E68" s="277">
        <f ca="1">OFFSET(CampList[HH],MATCH(Table10[[#This Row],[Pcode]],CampList[CP_Pcode],0)-1,0,1,1)</f>
        <v>20</v>
      </c>
      <c r="F68" s="277">
        <f ca="1">OFFSET(CampList[Total],MATCH(Table10[[#This Row],[Pcode]],CampList[CP_Pcode],0)-1,0,1,1)</f>
        <v>105</v>
      </c>
      <c r="G68" s="277">
        <f>SUMIF('NFI Tracking'!AQ$11:AQ$1048576,Table10[[#This Row],[Pcode]],'NFI Tracking'!AI$11:AI$1048576)</f>
        <v>0</v>
      </c>
      <c r="H68" s="277">
        <f>SUMIF('NFI Tracking'!AQ$11:AQ$1048576,Table10[[#This Row],[Pcode]],'NFI Tracking'!AJ$11:AJ$1048576)</f>
        <v>0</v>
      </c>
      <c r="I68" s="277">
        <f>SUMIF('NFI Tracking'!AQ$11:AQ$1048576,Table10[[#This Row],[Pcode]],'NFI Tracking'!AK$11:AK$1048576)</f>
        <v>0</v>
      </c>
      <c r="J68" s="277">
        <f ca="1">MAX(Table10[[#This Row],[HH]]*VLOOKUP("Winter Clothes Adult",NFI,6)-Table10[[#This Row],[Winter Clothes Adult ]],0)</f>
        <v>40</v>
      </c>
      <c r="K68" s="277">
        <f ca="1">MAX(Table10[[#This Row],[HH]]*VLOOKUP("Winter Clothes Children ",NFI,6)-Table10[[#This Row],[Winter Clothes Children ]],0)</f>
        <v>20</v>
      </c>
      <c r="L68" s="277">
        <f ca="1">MAX(Table10[[#This Row],[HH]]*VLOOKUP("Winter Items Other ",NFI,6)-Table10[[#This Row],[Winter Items Other ]],0)</f>
        <v>20</v>
      </c>
      <c r="M68" s="310" t="str">
        <f>IF(OR(Table10[[#This Row],[Winter Clothes Adult ]]&lt;&gt;0,Table10[[#This Row],[Winter Clothes Children ]]&lt;&gt;0,Table10[[#This Row],[Winter Items Other ]]&lt;&gt;0),"No","")</f>
        <v/>
      </c>
      <c r="N68" s="311">
        <f>COUNTIF(A:A,Table10[[#This Row],[Pcode]])-1</f>
        <v>0</v>
      </c>
    </row>
    <row r="69" spans="1:14" x14ac:dyDescent="0.25">
      <c r="A69" s="259" t="s">
        <v>312</v>
      </c>
      <c r="B69" s="18" t="str">
        <f ca="1">OFFSET(CampList[Priority],MATCH(Table10[[#This Row],[Pcode]],CampList[CP_Pcode],0)-1,0,1,1)</f>
        <v>P4</v>
      </c>
      <c r="C69" s="18" t="str">
        <f ca="1">OFFSET(CampList[Camp],MATCH(Table10[[#This Row],[Pcode]],CampList[CP_Pcode],0)-1,0,1,1)</f>
        <v xml:space="preserve">Hkat Cho </v>
      </c>
      <c r="D69" s="18" t="str">
        <f ca="1">OFFSET(CampList[Township],MATCH(Table10[[#This Row],[Pcode]],CampList[CP_Pcode],0)-1,0,1,1)</f>
        <v>Waingmaw</v>
      </c>
      <c r="E69" s="277">
        <f ca="1">OFFSET(CampList[HH],MATCH(Table10[[#This Row],[Pcode]],CampList[CP_Pcode],0)-1,0,1,1)</f>
        <v>99</v>
      </c>
      <c r="F69" s="277">
        <f ca="1">OFFSET(CampList[Total],MATCH(Table10[[#This Row],[Pcode]],CampList[CP_Pcode],0)-1,0,1,1)</f>
        <v>472</v>
      </c>
      <c r="G69" s="277">
        <f>SUMIF('NFI Tracking'!AQ$11:AQ$1048576,Table10[[#This Row],[Pcode]],'NFI Tracking'!AI$11:AI$1048576)</f>
        <v>0</v>
      </c>
      <c r="H69" s="277">
        <f>SUMIF('NFI Tracking'!AQ$11:AQ$1048576,Table10[[#This Row],[Pcode]],'NFI Tracking'!AJ$11:AJ$1048576)</f>
        <v>0</v>
      </c>
      <c r="I69" s="277">
        <f>SUMIF('NFI Tracking'!AQ$11:AQ$1048576,Table10[[#This Row],[Pcode]],'NFI Tracking'!AK$11:AK$1048576)</f>
        <v>0</v>
      </c>
      <c r="J69" s="277">
        <f ca="1">MAX(Table10[[#This Row],[HH]]*VLOOKUP("Winter Clothes Adult",NFI,6)-Table10[[#This Row],[Winter Clothes Adult ]],0)</f>
        <v>198</v>
      </c>
      <c r="K69" s="277">
        <f ca="1">MAX(Table10[[#This Row],[HH]]*VLOOKUP("Winter Clothes Children ",NFI,6)-Table10[[#This Row],[Winter Clothes Children ]],0)</f>
        <v>99</v>
      </c>
      <c r="L69" s="277">
        <f ca="1">MAX(Table10[[#This Row],[HH]]*VLOOKUP("Winter Items Other ",NFI,6)-Table10[[#This Row],[Winter Items Other ]],0)</f>
        <v>99</v>
      </c>
      <c r="M69" s="310" t="str">
        <f>IF(OR(Table10[[#This Row],[Winter Clothes Adult ]]&lt;&gt;0,Table10[[#This Row],[Winter Clothes Children ]]&lt;&gt;0,Table10[[#This Row],[Winter Items Other ]]&lt;&gt;0),"No","")</f>
        <v/>
      </c>
      <c r="N69" s="311">
        <f>COUNTIF(A:A,Table10[[#This Row],[Pcode]])-1</f>
        <v>0</v>
      </c>
    </row>
    <row r="70" spans="1:14" x14ac:dyDescent="0.25">
      <c r="A70" s="259" t="s">
        <v>87</v>
      </c>
      <c r="B70" s="18" t="str">
        <f ca="1">OFFSET(CampList[Priority],MATCH(Table10[[#This Row],[Pcode]],CampList[CP_Pcode],0)-1,0,1,1)</f>
        <v>P4</v>
      </c>
      <c r="C70" s="18" t="str">
        <f ca="1">OFFSET(CampList[Camp],MATCH(Table10[[#This Row],[Pcode]],CampList[CP_Pcode],0)-1,0,1,1)</f>
        <v>Hlaing Naung Baptist</v>
      </c>
      <c r="D70" s="18" t="str">
        <f ca="1">OFFSET(CampList[Township],MATCH(Table10[[#This Row],[Pcode]],CampList[CP_Pcode],0)-1,0,1,1)</f>
        <v>Hpakant</v>
      </c>
      <c r="E70" s="277">
        <f ca="1">OFFSET(CampList[HH],MATCH(Table10[[#This Row],[Pcode]],CampList[CP_Pcode],0)-1,0,1,1)</f>
        <v>13</v>
      </c>
      <c r="F70" s="277">
        <f ca="1">OFFSET(CampList[Total],MATCH(Table10[[#This Row],[Pcode]],CampList[CP_Pcode],0)-1,0,1,1)</f>
        <v>46</v>
      </c>
      <c r="G70" s="277">
        <f>SUMIF('NFI Tracking'!AQ$11:AQ$1048576,Table10[[#This Row],[Pcode]],'NFI Tracking'!AI$11:AI$1048576)</f>
        <v>0</v>
      </c>
      <c r="H70" s="277">
        <f>SUMIF('NFI Tracking'!AQ$11:AQ$1048576,Table10[[#This Row],[Pcode]],'NFI Tracking'!AJ$11:AJ$1048576)</f>
        <v>0</v>
      </c>
      <c r="I70" s="277">
        <f>SUMIF('NFI Tracking'!AQ$11:AQ$1048576,Table10[[#This Row],[Pcode]],'NFI Tracking'!AK$11:AK$1048576)</f>
        <v>0</v>
      </c>
      <c r="J70" s="277">
        <f ca="1">MAX(Table10[[#This Row],[HH]]*VLOOKUP("Winter Clothes Adult",NFI,6)-Table10[[#This Row],[Winter Clothes Adult ]],0)</f>
        <v>26</v>
      </c>
      <c r="K70" s="277">
        <f ca="1">MAX(Table10[[#This Row],[HH]]*VLOOKUP("Winter Clothes Children ",NFI,6)-Table10[[#This Row],[Winter Clothes Children ]],0)</f>
        <v>13</v>
      </c>
      <c r="L70" s="277">
        <f ca="1">MAX(Table10[[#This Row],[HH]]*VLOOKUP("Winter Items Other ",NFI,6)-Table10[[#This Row],[Winter Items Other ]],0)</f>
        <v>13</v>
      </c>
      <c r="M70" s="310" t="str">
        <f>IF(OR(Table10[[#This Row],[Winter Clothes Adult ]]&lt;&gt;0,Table10[[#This Row],[Winter Clothes Children ]]&lt;&gt;0,Table10[[#This Row],[Winter Items Other ]]&lt;&gt;0),"No","")</f>
        <v/>
      </c>
      <c r="N70" s="311">
        <f>COUNTIF(A:A,Table10[[#This Row],[Pcode]])-1</f>
        <v>0</v>
      </c>
    </row>
    <row r="71" spans="1:14" x14ac:dyDescent="0.25">
      <c r="A71" s="259" t="s">
        <v>45</v>
      </c>
      <c r="B71" s="18" t="str">
        <f ca="1">OFFSET(CampList[Priority],MATCH(Table10[[#This Row],[Pcode]],CampList[CP_Pcode],0)-1,0,1,1)</f>
        <v>P4</v>
      </c>
      <c r="C71" s="18" t="str">
        <f ca="1">OFFSET(CampList[Camp],MATCH(Table10[[#This Row],[Pcode]],CampList[CP_Pcode],0)-1,0,1,1)</f>
        <v>Hmaw Wan, Anglican</v>
      </c>
      <c r="D71" s="18" t="str">
        <f ca="1">OFFSET(CampList[Township],MATCH(Table10[[#This Row],[Pcode]],CampList[CP_Pcode],0)-1,0,1,1)</f>
        <v>Hpakant</v>
      </c>
      <c r="E71" s="277">
        <f ca="1">OFFSET(CampList[HH],MATCH(Table10[[#This Row],[Pcode]],CampList[CP_Pcode],0)-1,0,1,1)</f>
        <v>5</v>
      </c>
      <c r="F71" s="277">
        <f ca="1">OFFSET(CampList[Total],MATCH(Table10[[#This Row],[Pcode]],CampList[CP_Pcode],0)-1,0,1,1)</f>
        <v>34</v>
      </c>
      <c r="G71" s="277">
        <f>SUMIF('NFI Tracking'!AQ$11:AQ$1048576,Table10[[#This Row],[Pcode]],'NFI Tracking'!AI$11:AI$1048576)</f>
        <v>0</v>
      </c>
      <c r="H71" s="277">
        <f>SUMIF('NFI Tracking'!AQ$11:AQ$1048576,Table10[[#This Row],[Pcode]],'NFI Tracking'!AJ$11:AJ$1048576)</f>
        <v>0</v>
      </c>
      <c r="I71" s="277">
        <f>SUMIF('NFI Tracking'!AQ$11:AQ$1048576,Table10[[#This Row],[Pcode]],'NFI Tracking'!AK$11:AK$1048576)</f>
        <v>0</v>
      </c>
      <c r="J71" s="277">
        <f ca="1">MAX(Table10[[#This Row],[HH]]*VLOOKUP("Winter Clothes Adult",NFI,6)-Table10[[#This Row],[Winter Clothes Adult ]],0)</f>
        <v>10</v>
      </c>
      <c r="K71" s="277">
        <f ca="1">MAX(Table10[[#This Row],[HH]]*VLOOKUP("Winter Clothes Children ",NFI,6)-Table10[[#This Row],[Winter Clothes Children ]],0)</f>
        <v>5</v>
      </c>
      <c r="L71" s="277">
        <f ca="1">MAX(Table10[[#This Row],[HH]]*VLOOKUP("Winter Items Other ",NFI,6)-Table10[[#This Row],[Winter Items Other ]],0)</f>
        <v>5</v>
      </c>
      <c r="M71" s="310" t="str">
        <f>IF(OR(Table10[[#This Row],[Winter Clothes Adult ]]&lt;&gt;0,Table10[[#This Row],[Winter Clothes Children ]]&lt;&gt;0,Table10[[#This Row],[Winter Items Other ]]&lt;&gt;0),"No","")</f>
        <v/>
      </c>
      <c r="N71" s="311">
        <f>COUNTIF(A:A,Table10[[#This Row],[Pcode]])-1</f>
        <v>0</v>
      </c>
    </row>
    <row r="72" spans="1:14" x14ac:dyDescent="0.25">
      <c r="A72" s="259" t="s">
        <v>11</v>
      </c>
      <c r="B72" s="18" t="str">
        <f ca="1">OFFSET(CampList[Priority],MATCH(Table10[[#This Row],[Pcode]],CampList[CP_Pcode],0)-1,0,1,1)</f>
        <v>P4</v>
      </c>
      <c r="C72" s="18" t="str">
        <f ca="1">OFFSET(CampList[Camp],MATCH(Table10[[#This Row],[Pcode]],CampList[CP_Pcode],0)-1,0,1,1)</f>
        <v>Host Families</v>
      </c>
      <c r="D72" s="18" t="str">
        <f ca="1">OFFSET(CampList[Township],MATCH(Table10[[#This Row],[Pcode]],CampList[CP_Pcode],0)-1,0,1,1)</f>
        <v>Bhamo</v>
      </c>
      <c r="E72" s="277">
        <f ca="1">OFFSET(CampList[HH],MATCH(Table10[[#This Row],[Pcode]],CampList[CP_Pcode],0)-1,0,1,1)</f>
        <v>197</v>
      </c>
      <c r="F72" s="277">
        <f ca="1">OFFSET(CampList[Total],MATCH(Table10[[#This Row],[Pcode]],CampList[CP_Pcode],0)-1,0,1,1)</f>
        <v>957</v>
      </c>
      <c r="G72" s="277">
        <f>SUMIF('NFI Tracking'!AQ$11:AQ$1048576,Table10[[#This Row],[Pcode]],'NFI Tracking'!AI$11:AI$1048576)</f>
        <v>0</v>
      </c>
      <c r="H72" s="277">
        <f>SUMIF('NFI Tracking'!AQ$11:AQ$1048576,Table10[[#This Row],[Pcode]],'NFI Tracking'!AJ$11:AJ$1048576)</f>
        <v>0</v>
      </c>
      <c r="I72" s="277">
        <f>SUMIF('NFI Tracking'!AQ$11:AQ$1048576,Table10[[#This Row],[Pcode]],'NFI Tracking'!AK$11:AK$1048576)</f>
        <v>0</v>
      </c>
      <c r="J72" s="277">
        <f ca="1">MAX(Table10[[#This Row],[HH]]*VLOOKUP("Winter Clothes Adult",NFI,6)-Table10[[#This Row],[Winter Clothes Adult ]],0)</f>
        <v>394</v>
      </c>
      <c r="K72" s="277">
        <f ca="1">MAX(Table10[[#This Row],[HH]]*VLOOKUP("Winter Clothes Children ",NFI,6)-Table10[[#This Row],[Winter Clothes Children ]],0)</f>
        <v>197</v>
      </c>
      <c r="L72" s="277">
        <f ca="1">MAX(Table10[[#This Row],[HH]]*VLOOKUP("Winter Items Other ",NFI,6)-Table10[[#This Row],[Winter Items Other ]],0)</f>
        <v>197</v>
      </c>
      <c r="M72" s="310" t="str">
        <f>IF(OR(Table10[[#This Row],[Winter Clothes Adult ]]&lt;&gt;0,Table10[[#This Row],[Winter Clothes Children ]]&lt;&gt;0,Table10[[#This Row],[Winter Items Other ]]&lt;&gt;0),"No","")</f>
        <v/>
      </c>
      <c r="N72" s="311">
        <f>COUNTIF(A:A,Table10[[#This Row],[Pcode]])-1</f>
        <v>0</v>
      </c>
    </row>
    <row r="73" spans="1:14" x14ac:dyDescent="0.25">
      <c r="A73" s="259" t="s">
        <v>390</v>
      </c>
      <c r="B73" s="18" t="str">
        <f ca="1">OFFSET(CampList[Priority],MATCH(Table10[[#This Row],[Pcode]],CampList[CP_Pcode],0)-1,0,1,1)</f>
        <v>P4</v>
      </c>
      <c r="C73" s="18" t="str">
        <f ca="1">OFFSET(CampList[Camp],MATCH(Table10[[#This Row],[Pcode]],CampList[CP_Pcode],0)-1,0,1,1)</f>
        <v>Host Families</v>
      </c>
      <c r="D73" s="18" t="str">
        <f ca="1">OFFSET(CampList[Township],MATCH(Table10[[#This Row],[Pcode]],CampList[CP_Pcode],0)-1,0,1,1)</f>
        <v>Mansi</v>
      </c>
      <c r="E73" s="277">
        <f ca="1">OFFSET(CampList[HH],MATCH(Table10[[#This Row],[Pcode]],CampList[CP_Pcode],0)-1,0,1,1)</f>
        <v>73</v>
      </c>
      <c r="F73" s="277">
        <f ca="1">OFFSET(CampList[Total],MATCH(Table10[[#This Row],[Pcode]],CampList[CP_Pcode],0)-1,0,1,1)</f>
        <v>274</v>
      </c>
      <c r="G73" s="277">
        <f>SUMIF('NFI Tracking'!AQ$11:AQ$1048576,Table10[[#This Row],[Pcode]],'NFI Tracking'!AI$11:AI$1048576)</f>
        <v>0</v>
      </c>
      <c r="H73" s="277">
        <f>SUMIF('NFI Tracking'!AQ$11:AQ$1048576,Table10[[#This Row],[Pcode]],'NFI Tracking'!AJ$11:AJ$1048576)</f>
        <v>0</v>
      </c>
      <c r="I73" s="277">
        <f>SUMIF('NFI Tracking'!AQ$11:AQ$1048576,Table10[[#This Row],[Pcode]],'NFI Tracking'!AK$11:AK$1048576)</f>
        <v>0</v>
      </c>
      <c r="J73" s="277">
        <f ca="1">MAX(Table10[[#This Row],[HH]]*VLOOKUP("Winter Clothes Adult",NFI,6)-Table10[[#This Row],[Winter Clothes Adult ]],0)</f>
        <v>146</v>
      </c>
      <c r="K73" s="277">
        <f ca="1">MAX(Table10[[#This Row],[HH]]*VLOOKUP("Winter Clothes Children ",NFI,6)-Table10[[#This Row],[Winter Clothes Children ]],0)</f>
        <v>73</v>
      </c>
      <c r="L73" s="277">
        <f ca="1">MAX(Table10[[#This Row],[HH]]*VLOOKUP("Winter Items Other ",NFI,6)-Table10[[#This Row],[Winter Items Other ]],0)</f>
        <v>73</v>
      </c>
      <c r="M73" s="310" t="str">
        <f>IF(OR(Table10[[#This Row],[Winter Clothes Adult ]]&lt;&gt;0,Table10[[#This Row],[Winter Clothes Children ]]&lt;&gt;0,Table10[[#This Row],[Winter Items Other ]]&lt;&gt;0),"No","")</f>
        <v/>
      </c>
      <c r="N73" s="311">
        <f>COUNTIF(A:A,Table10[[#This Row],[Pcode]])-1</f>
        <v>0</v>
      </c>
    </row>
    <row r="74" spans="1:14" x14ac:dyDescent="0.25">
      <c r="A74" s="259" t="s">
        <v>391</v>
      </c>
      <c r="B74" s="18" t="str">
        <f ca="1">OFFSET(CampList[Priority],MATCH(Table10[[#This Row],[Pcode]],CampList[CP_Pcode],0)-1,0,1,1)</f>
        <v>P4</v>
      </c>
      <c r="C74" s="18" t="str">
        <f ca="1">OFFSET(CampList[Camp],MATCH(Table10[[#This Row],[Pcode]],CampList[CP_Pcode],0)-1,0,1,1)</f>
        <v>Host Families</v>
      </c>
      <c r="D74" s="18" t="str">
        <f ca="1">OFFSET(CampList[Township],MATCH(Table10[[#This Row],[Pcode]],CampList[CP_Pcode],0)-1,0,1,1)</f>
        <v>Momauk</v>
      </c>
      <c r="E74" s="277">
        <f ca="1">OFFSET(CampList[HH],MATCH(Table10[[#This Row],[Pcode]],CampList[CP_Pcode],0)-1,0,1,1)</f>
        <v>226</v>
      </c>
      <c r="F74" s="277">
        <f ca="1">OFFSET(CampList[Total],MATCH(Table10[[#This Row],[Pcode]],CampList[CP_Pcode],0)-1,0,1,1)</f>
        <v>1048</v>
      </c>
      <c r="G74" s="277">
        <f>SUMIF('NFI Tracking'!AQ$11:AQ$1048576,Table10[[#This Row],[Pcode]],'NFI Tracking'!AI$11:AI$1048576)</f>
        <v>0</v>
      </c>
      <c r="H74" s="277">
        <f>SUMIF('NFI Tracking'!AQ$11:AQ$1048576,Table10[[#This Row],[Pcode]],'NFI Tracking'!AJ$11:AJ$1048576)</f>
        <v>0</v>
      </c>
      <c r="I74" s="277">
        <f>SUMIF('NFI Tracking'!AQ$11:AQ$1048576,Table10[[#This Row],[Pcode]],'NFI Tracking'!AK$11:AK$1048576)</f>
        <v>0</v>
      </c>
      <c r="J74" s="277">
        <f ca="1">MAX(Table10[[#This Row],[HH]]*VLOOKUP("Winter Clothes Adult",NFI,6)-Table10[[#This Row],[Winter Clothes Adult ]],0)</f>
        <v>452</v>
      </c>
      <c r="K74" s="277">
        <f ca="1">MAX(Table10[[#This Row],[HH]]*VLOOKUP("Winter Clothes Children ",NFI,6)-Table10[[#This Row],[Winter Clothes Children ]],0)</f>
        <v>226</v>
      </c>
      <c r="L74" s="277">
        <f ca="1">MAX(Table10[[#This Row],[HH]]*VLOOKUP("Winter Items Other ",NFI,6)-Table10[[#This Row],[Winter Items Other ]],0)</f>
        <v>226</v>
      </c>
      <c r="M74" s="310" t="str">
        <f>IF(OR(Table10[[#This Row],[Winter Clothes Adult ]]&lt;&gt;0,Table10[[#This Row],[Winter Clothes Children ]]&lt;&gt;0,Table10[[#This Row],[Winter Items Other ]]&lt;&gt;0),"No","")</f>
        <v/>
      </c>
      <c r="N74" s="311">
        <f>COUNTIF(A:A,Table10[[#This Row],[Pcode]])-1</f>
        <v>0</v>
      </c>
    </row>
    <row r="75" spans="1:14" x14ac:dyDescent="0.25">
      <c r="A75" s="259" t="s">
        <v>393</v>
      </c>
      <c r="B75" s="18" t="str">
        <f ca="1">OFFSET(CampList[Priority],MATCH(Table10[[#This Row],[Pcode]],CampList[CP_Pcode],0)-1,0,1,1)</f>
        <v>P4</v>
      </c>
      <c r="C75" s="18" t="str">
        <f ca="1">OFFSET(CampList[Camp],MATCH(Table10[[#This Row],[Pcode]],CampList[CP_Pcode],0)-1,0,1,1)</f>
        <v>Host Families</v>
      </c>
      <c r="D75" s="18" t="str">
        <f ca="1">OFFSET(CampList[Township],MATCH(Table10[[#This Row],[Pcode]],CampList[CP_Pcode],0)-1,0,1,1)</f>
        <v>Shwegu</v>
      </c>
      <c r="E75" s="277">
        <f ca="1">OFFSET(CampList[HH],MATCH(Table10[[#This Row],[Pcode]],CampList[CP_Pcode],0)-1,0,1,1)</f>
        <v>9</v>
      </c>
      <c r="F75" s="277">
        <f ca="1">OFFSET(CampList[Total],MATCH(Table10[[#This Row],[Pcode]],CampList[CP_Pcode],0)-1,0,1,1)</f>
        <v>30</v>
      </c>
      <c r="G75" s="277">
        <f>SUMIF('NFI Tracking'!AQ$11:AQ$1048576,Table10[[#This Row],[Pcode]],'NFI Tracking'!AI$11:AI$1048576)</f>
        <v>0</v>
      </c>
      <c r="H75" s="277">
        <f>SUMIF('NFI Tracking'!AQ$11:AQ$1048576,Table10[[#This Row],[Pcode]],'NFI Tracking'!AJ$11:AJ$1048576)</f>
        <v>0</v>
      </c>
      <c r="I75" s="277">
        <f>SUMIF('NFI Tracking'!AQ$11:AQ$1048576,Table10[[#This Row],[Pcode]],'NFI Tracking'!AK$11:AK$1048576)</f>
        <v>0</v>
      </c>
      <c r="J75" s="277">
        <f ca="1">MAX(Table10[[#This Row],[HH]]*VLOOKUP("Winter Clothes Adult",NFI,6)-Table10[[#This Row],[Winter Clothes Adult ]],0)</f>
        <v>18</v>
      </c>
      <c r="K75" s="277">
        <f ca="1">MAX(Table10[[#This Row],[HH]]*VLOOKUP("Winter Clothes Children ",NFI,6)-Table10[[#This Row],[Winter Clothes Children ]],0)</f>
        <v>9</v>
      </c>
      <c r="L75" s="277">
        <f ca="1">MAX(Table10[[#This Row],[HH]]*VLOOKUP("Winter Items Other ",NFI,6)-Table10[[#This Row],[Winter Items Other ]],0)</f>
        <v>9</v>
      </c>
      <c r="M75" s="310" t="str">
        <f>IF(OR(Table10[[#This Row],[Winter Clothes Adult ]]&lt;&gt;0,Table10[[#This Row],[Winter Clothes Children ]]&lt;&gt;0,Table10[[#This Row],[Winter Items Other ]]&lt;&gt;0),"No","")</f>
        <v/>
      </c>
      <c r="N75" s="311">
        <f>COUNTIF(A:A,Table10[[#This Row],[Pcode]])-1</f>
        <v>0</v>
      </c>
    </row>
    <row r="76" spans="1:14" x14ac:dyDescent="0.25">
      <c r="A76" s="259" t="s">
        <v>388</v>
      </c>
      <c r="B76" s="18" t="str">
        <f ca="1">OFFSET(CampList[Priority],MATCH(Table10[[#This Row],[Pcode]],CampList[CP_Pcode],0)-1,0,1,1)</f>
        <v>P4</v>
      </c>
      <c r="C76" s="18" t="str">
        <f ca="1">OFFSET(CampList[Camp],MATCH(Table10[[#This Row],[Pcode]],CampList[CP_Pcode],0)-1,0,1,1)</f>
        <v>Hpai Kawng Mare</v>
      </c>
      <c r="D76" s="18" t="str">
        <f ca="1">OFFSET(CampList[Township],MATCH(Table10[[#This Row],[Pcode]],CampList[CP_Pcode],0)-1,0,1,1)</f>
        <v>Muse</v>
      </c>
      <c r="E76" s="277">
        <f ca="1">OFFSET(CampList[HH],MATCH(Table10[[#This Row],[Pcode]],CampList[CP_Pcode],0)-1,0,1,1)</f>
        <v>32</v>
      </c>
      <c r="F76" s="277">
        <f ca="1">OFFSET(CampList[Total],MATCH(Table10[[#This Row],[Pcode]],CampList[CP_Pcode],0)-1,0,1,1)</f>
        <v>187</v>
      </c>
      <c r="G76" s="277">
        <f>SUMIF('NFI Tracking'!AQ$11:AQ$1048576,Table10[[#This Row],[Pcode]],'NFI Tracking'!AI$11:AI$1048576)</f>
        <v>0</v>
      </c>
      <c r="H76" s="277">
        <f>SUMIF('NFI Tracking'!AQ$11:AQ$1048576,Table10[[#This Row],[Pcode]],'NFI Tracking'!AJ$11:AJ$1048576)</f>
        <v>0</v>
      </c>
      <c r="I76" s="277">
        <f>SUMIF('NFI Tracking'!AQ$11:AQ$1048576,Table10[[#This Row],[Pcode]],'NFI Tracking'!AK$11:AK$1048576)</f>
        <v>0</v>
      </c>
      <c r="J76" s="277">
        <f ca="1">MAX(Table10[[#This Row],[HH]]*VLOOKUP("Winter Clothes Adult",NFI,6)-Table10[[#This Row],[Winter Clothes Adult ]],0)</f>
        <v>64</v>
      </c>
      <c r="K76" s="277">
        <f ca="1">MAX(Table10[[#This Row],[HH]]*VLOOKUP("Winter Clothes Children ",NFI,6)-Table10[[#This Row],[Winter Clothes Children ]],0)</f>
        <v>32</v>
      </c>
      <c r="L76" s="277">
        <f ca="1">MAX(Table10[[#This Row],[HH]]*VLOOKUP("Winter Items Other ",NFI,6)-Table10[[#This Row],[Winter Items Other ]],0)</f>
        <v>32</v>
      </c>
      <c r="M76" s="310" t="str">
        <f>IF(OR(Table10[[#This Row],[Winter Clothes Adult ]]&lt;&gt;0,Table10[[#This Row],[Winter Clothes Children ]]&lt;&gt;0,Table10[[#This Row],[Winter Items Other ]]&lt;&gt;0),"No","")</f>
        <v/>
      </c>
      <c r="N76" s="311">
        <f>COUNTIF(A:A,Table10[[#This Row],[Pcode]])-1</f>
        <v>0</v>
      </c>
    </row>
    <row r="77" spans="1:14" x14ac:dyDescent="0.25">
      <c r="A77" s="259" t="s">
        <v>1066</v>
      </c>
      <c r="B77" s="18" t="str">
        <f ca="1">OFFSET(CampList[Priority],MATCH(Table10[[#This Row],[Pcode]],CampList[CP_Pcode],0)-1,0,1,1)</f>
        <v>P4</v>
      </c>
      <c r="C77" s="18" t="str">
        <f ca="1">OFFSET(CampList[Camp],MATCH(Table10[[#This Row],[Pcode]],CampList[CP_Pcode],0)-1,0,1,1)</f>
        <v>Hpakant Baptist Church, Nam Ma Hpit</v>
      </c>
      <c r="D77" s="18" t="str">
        <f ca="1">OFFSET(CampList[Township],MATCH(Table10[[#This Row],[Pcode]],CampList[CP_Pcode],0)-1,0,1,1)</f>
        <v>Hpakant</v>
      </c>
      <c r="E77" s="277">
        <f ca="1">OFFSET(CampList[HH],MATCH(Table10[[#This Row],[Pcode]],CampList[CP_Pcode],0)-1,0,1,1)</f>
        <v>103</v>
      </c>
      <c r="F77" s="277">
        <f ca="1">OFFSET(CampList[Total],MATCH(Table10[[#This Row],[Pcode]],CampList[CP_Pcode],0)-1,0,1,1)</f>
        <v>490</v>
      </c>
      <c r="G77" s="277">
        <f>SUMIF('NFI Tracking'!AQ$11:AQ$1048576,Table10[[#This Row],[Pcode]],'NFI Tracking'!AI$11:AI$1048576)</f>
        <v>0</v>
      </c>
      <c r="H77" s="277">
        <f>SUMIF('NFI Tracking'!AQ$11:AQ$1048576,Table10[[#This Row],[Pcode]],'NFI Tracking'!AJ$11:AJ$1048576)</f>
        <v>0</v>
      </c>
      <c r="I77" s="277">
        <f>SUMIF('NFI Tracking'!AQ$11:AQ$1048576,Table10[[#This Row],[Pcode]],'NFI Tracking'!AK$11:AK$1048576)</f>
        <v>0</v>
      </c>
      <c r="J77" s="277">
        <f ca="1">MAX(Table10[[#This Row],[HH]]*VLOOKUP("Winter Clothes Adult",NFI,6)-Table10[[#This Row],[Winter Clothes Adult ]],0)</f>
        <v>206</v>
      </c>
      <c r="K77" s="277">
        <f ca="1">MAX(Table10[[#This Row],[HH]]*VLOOKUP("Winter Clothes Children ",NFI,6)-Table10[[#This Row],[Winter Clothes Children ]],0)</f>
        <v>103</v>
      </c>
      <c r="L77" s="277">
        <f ca="1">MAX(Table10[[#This Row],[HH]]*VLOOKUP("Winter Items Other ",NFI,6)-Table10[[#This Row],[Winter Items Other ]],0)</f>
        <v>103</v>
      </c>
      <c r="M77" s="310" t="str">
        <f>IF(OR(Table10[[#This Row],[Winter Clothes Adult ]]&lt;&gt;0,Table10[[#This Row],[Winter Clothes Children ]]&lt;&gt;0,Table10[[#This Row],[Winter Items Other ]]&lt;&gt;0),"No","")</f>
        <v/>
      </c>
      <c r="N77" s="311">
        <f>COUNTIF(A:A,Table10[[#This Row],[Pcode]])-1</f>
        <v>0</v>
      </c>
    </row>
    <row r="78" spans="1:14" x14ac:dyDescent="0.25">
      <c r="A78" s="259" t="s">
        <v>13</v>
      </c>
      <c r="B78" s="18" t="str">
        <f ca="1">OFFSET(CampList[Priority],MATCH(Table10[[#This Row],[Pcode]],CampList[CP_Pcode],0)-1,0,1,1)</f>
        <v>P4</v>
      </c>
      <c r="C78" s="18" t="str">
        <f ca="1">OFFSET(CampList[Camp],MATCH(Table10[[#This Row],[Pcode]],CampList[CP_Pcode],0)-1,0,1,1)</f>
        <v>Htoi San Church</v>
      </c>
      <c r="D78" s="18" t="str">
        <f ca="1">OFFSET(CampList[Township],MATCH(Table10[[#This Row],[Pcode]],CampList[CP_Pcode],0)-1,0,1,1)</f>
        <v>Bhamo</v>
      </c>
      <c r="E78" s="277">
        <f ca="1">OFFSET(CampList[HH],MATCH(Table10[[#This Row],[Pcode]],CampList[CP_Pcode],0)-1,0,1,1)</f>
        <v>38</v>
      </c>
      <c r="F78" s="277">
        <f ca="1">OFFSET(CampList[Total],MATCH(Table10[[#This Row],[Pcode]],CampList[CP_Pcode],0)-1,0,1,1)</f>
        <v>221</v>
      </c>
      <c r="G78" s="277">
        <f>SUMIF('NFI Tracking'!AQ$11:AQ$1048576,Table10[[#This Row],[Pcode]],'NFI Tracking'!AI$11:AI$1048576)</f>
        <v>0</v>
      </c>
      <c r="H78" s="277">
        <f>SUMIF('NFI Tracking'!AQ$11:AQ$1048576,Table10[[#This Row],[Pcode]],'NFI Tracking'!AJ$11:AJ$1048576)</f>
        <v>0</v>
      </c>
      <c r="I78" s="277">
        <f>SUMIF('NFI Tracking'!AQ$11:AQ$1048576,Table10[[#This Row],[Pcode]],'NFI Tracking'!AK$11:AK$1048576)</f>
        <v>0</v>
      </c>
      <c r="J78" s="277">
        <f ca="1">MAX(Table10[[#This Row],[HH]]*VLOOKUP("Winter Clothes Adult",NFI,6)-Table10[[#This Row],[Winter Clothes Adult ]],0)</f>
        <v>76</v>
      </c>
      <c r="K78" s="277">
        <f ca="1">MAX(Table10[[#This Row],[HH]]*VLOOKUP("Winter Clothes Children ",NFI,6)-Table10[[#This Row],[Winter Clothes Children ]],0)</f>
        <v>38</v>
      </c>
      <c r="L78" s="277">
        <f ca="1">MAX(Table10[[#This Row],[HH]]*VLOOKUP("Winter Items Other ",NFI,6)-Table10[[#This Row],[Winter Items Other ]],0)</f>
        <v>38</v>
      </c>
      <c r="M78" s="310" t="str">
        <f>IF(OR(Table10[[#This Row],[Winter Clothes Adult ]]&lt;&gt;0,Table10[[#This Row],[Winter Clothes Children ]]&lt;&gt;0,Table10[[#This Row],[Winter Items Other ]]&lt;&gt;0),"No","")</f>
        <v/>
      </c>
      <c r="N78" s="311">
        <f>COUNTIF(A:A,Table10[[#This Row],[Pcode]])-1</f>
        <v>0</v>
      </c>
    </row>
    <row r="79" spans="1:14" x14ac:dyDescent="0.25">
      <c r="A79" s="259" t="s">
        <v>252</v>
      </c>
      <c r="B79" s="18" t="str">
        <f ca="1">OFFSET(CampList[Priority],MATCH(Table10[[#This Row],[Pcode]],CampList[CP_Pcode],0)-1,0,1,1)</f>
        <v>P4</v>
      </c>
      <c r="C79" s="18" t="str">
        <f ca="1">OFFSET(CampList[Camp],MATCH(Table10[[#This Row],[Pcode]],CampList[CP_Pcode],0)-1,0,1,1)</f>
        <v>Jan Mai Kawng Baptist Church</v>
      </c>
      <c r="D79" s="18" t="str">
        <f ca="1">OFFSET(CampList[Township],MATCH(Table10[[#This Row],[Pcode]],CampList[CP_Pcode],0)-1,0,1,1)</f>
        <v>Myitkyina</v>
      </c>
      <c r="E79" s="277">
        <f ca="1">OFFSET(CampList[HH],MATCH(Table10[[#This Row],[Pcode]],CampList[CP_Pcode],0)-1,0,1,1)</f>
        <v>205</v>
      </c>
      <c r="F79" s="277">
        <f ca="1">OFFSET(CampList[Total],MATCH(Table10[[#This Row],[Pcode]],CampList[CP_Pcode],0)-1,0,1,1)</f>
        <v>1110</v>
      </c>
      <c r="G79" s="277">
        <f>SUMIF('NFI Tracking'!AQ$11:AQ$1048576,Table10[[#This Row],[Pcode]],'NFI Tracking'!AI$11:AI$1048576)</f>
        <v>0</v>
      </c>
      <c r="H79" s="277">
        <f>SUMIF('NFI Tracking'!AQ$11:AQ$1048576,Table10[[#This Row],[Pcode]],'NFI Tracking'!AJ$11:AJ$1048576)</f>
        <v>0</v>
      </c>
      <c r="I79" s="277">
        <f>SUMIF('NFI Tracking'!AQ$11:AQ$1048576,Table10[[#This Row],[Pcode]],'NFI Tracking'!AK$11:AK$1048576)</f>
        <v>0</v>
      </c>
      <c r="J79" s="277">
        <f ca="1">MAX(Table10[[#This Row],[HH]]*VLOOKUP("Winter Clothes Adult",NFI,6)-Table10[[#This Row],[Winter Clothes Adult ]],0)</f>
        <v>410</v>
      </c>
      <c r="K79" s="277">
        <f ca="1">MAX(Table10[[#This Row],[HH]]*VLOOKUP("Winter Clothes Children ",NFI,6)-Table10[[#This Row],[Winter Clothes Children ]],0)</f>
        <v>205</v>
      </c>
      <c r="L79" s="277">
        <f ca="1">MAX(Table10[[#This Row],[HH]]*VLOOKUP("Winter Items Other ",NFI,6)-Table10[[#This Row],[Winter Items Other ]],0)</f>
        <v>205</v>
      </c>
      <c r="M79" s="310" t="str">
        <f>IF(OR(Table10[[#This Row],[Winter Clothes Adult ]]&lt;&gt;0,Table10[[#This Row],[Winter Clothes Children ]]&lt;&gt;0,Table10[[#This Row],[Winter Items Other ]]&lt;&gt;0),"No","")</f>
        <v/>
      </c>
      <c r="N79" s="311">
        <f>COUNTIF(A:A,Table10[[#This Row],[Pcode]])-1</f>
        <v>0</v>
      </c>
    </row>
    <row r="80" spans="1:14" x14ac:dyDescent="0.25">
      <c r="A80" s="259" t="s">
        <v>254</v>
      </c>
      <c r="B80" s="18" t="str">
        <f ca="1">OFFSET(CampList[Priority],MATCH(Table10[[#This Row],[Pcode]],CampList[CP_Pcode],0)-1,0,1,1)</f>
        <v>P4</v>
      </c>
      <c r="C80" s="18" t="str">
        <f ca="1">OFFSET(CampList[Camp],MATCH(Table10[[#This Row],[Pcode]],CampList[CP_Pcode],0)-1,0,1,1)</f>
        <v>Jan Mai Kawng Catholic Church</v>
      </c>
      <c r="D80" s="18" t="str">
        <f ca="1">OFFSET(CampList[Township],MATCH(Table10[[#This Row],[Pcode]],CampList[CP_Pcode],0)-1,0,1,1)</f>
        <v>Myitkyina</v>
      </c>
      <c r="E80" s="277">
        <f ca="1">OFFSET(CampList[HH],MATCH(Table10[[#This Row],[Pcode]],CampList[CP_Pcode],0)-1,0,1,1)</f>
        <v>99</v>
      </c>
      <c r="F80" s="277">
        <f ca="1">OFFSET(CampList[Total],MATCH(Table10[[#This Row],[Pcode]],CampList[CP_Pcode],0)-1,0,1,1)</f>
        <v>454</v>
      </c>
      <c r="G80" s="277">
        <f>SUMIF('NFI Tracking'!AQ$11:AQ$1048576,Table10[[#This Row],[Pcode]],'NFI Tracking'!AI$11:AI$1048576)</f>
        <v>0</v>
      </c>
      <c r="H80" s="277">
        <f>SUMIF('NFI Tracking'!AQ$11:AQ$1048576,Table10[[#This Row],[Pcode]],'NFI Tracking'!AJ$11:AJ$1048576)</f>
        <v>0</v>
      </c>
      <c r="I80" s="277">
        <f>SUMIF('NFI Tracking'!AQ$11:AQ$1048576,Table10[[#This Row],[Pcode]],'NFI Tracking'!AK$11:AK$1048576)</f>
        <v>0</v>
      </c>
      <c r="J80" s="277">
        <f ca="1">MAX(Table10[[#This Row],[HH]]*VLOOKUP("Winter Clothes Adult",NFI,6)-Table10[[#This Row],[Winter Clothes Adult ]],0)</f>
        <v>198</v>
      </c>
      <c r="K80" s="277">
        <f ca="1">MAX(Table10[[#This Row],[HH]]*VLOOKUP("Winter Clothes Children ",NFI,6)-Table10[[#This Row],[Winter Clothes Children ]],0)</f>
        <v>99</v>
      </c>
      <c r="L80" s="277">
        <f ca="1">MAX(Table10[[#This Row],[HH]]*VLOOKUP("Winter Items Other ",NFI,6)-Table10[[#This Row],[Winter Items Other ]],0)</f>
        <v>99</v>
      </c>
      <c r="M80" s="310" t="str">
        <f>IF(OR(Table10[[#This Row],[Winter Clothes Adult ]]&lt;&gt;0,Table10[[#This Row],[Winter Clothes Children ]]&lt;&gt;0,Table10[[#This Row],[Winter Items Other ]]&lt;&gt;0),"No","")</f>
        <v/>
      </c>
      <c r="N80" s="311">
        <f>COUNTIF(A:A,Table10[[#This Row],[Pcode]])-1</f>
        <v>0</v>
      </c>
    </row>
    <row r="81" spans="1:14" x14ac:dyDescent="0.25">
      <c r="A81" s="259" t="s">
        <v>522</v>
      </c>
      <c r="B81" s="18" t="str">
        <f ca="1">OFFSET(CampList[Priority],MATCH(Table10[[#This Row],[Pcode]],CampList[CP_Pcode],0)-1,0,1,1)</f>
        <v>P4</v>
      </c>
      <c r="C81" s="18" t="str">
        <f ca="1">OFFSET(CampList[Camp],MATCH(Table10[[#This Row],[Pcode]],CampList[CP_Pcode],0)-1,0,1,1)</f>
        <v>Khun Sint Village</v>
      </c>
      <c r="D81" s="18" t="str">
        <f ca="1">OFFSET(CampList[Township],MATCH(Table10[[#This Row],[Pcode]],CampList[CP_Pcode],0)-1,0,1,1)</f>
        <v>Momauk</v>
      </c>
      <c r="E81" s="277">
        <f ca="1">OFFSET(CampList[HH],MATCH(Table10[[#This Row],[Pcode]],CampList[CP_Pcode],0)-1,0,1,1)</f>
        <v>4</v>
      </c>
      <c r="F81" s="277">
        <f ca="1">OFFSET(CampList[Total],MATCH(Table10[[#This Row],[Pcode]],CampList[CP_Pcode],0)-1,0,1,1)</f>
        <v>26</v>
      </c>
      <c r="G81" s="277">
        <f>SUMIF('NFI Tracking'!AQ$11:AQ$1048576,Table10[[#This Row],[Pcode]],'NFI Tracking'!AI$11:AI$1048576)</f>
        <v>0</v>
      </c>
      <c r="H81" s="277">
        <f>SUMIF('NFI Tracking'!AQ$11:AQ$1048576,Table10[[#This Row],[Pcode]],'NFI Tracking'!AJ$11:AJ$1048576)</f>
        <v>0</v>
      </c>
      <c r="I81" s="277">
        <f>SUMIF('NFI Tracking'!AQ$11:AQ$1048576,Table10[[#This Row],[Pcode]],'NFI Tracking'!AK$11:AK$1048576)</f>
        <v>0</v>
      </c>
      <c r="J81" s="277">
        <f ca="1">MAX(Table10[[#This Row],[HH]]*VLOOKUP("Winter Clothes Adult",NFI,6)-Table10[[#This Row],[Winter Clothes Adult ]],0)</f>
        <v>8</v>
      </c>
      <c r="K81" s="277">
        <f ca="1">MAX(Table10[[#This Row],[HH]]*VLOOKUP("Winter Clothes Children ",NFI,6)-Table10[[#This Row],[Winter Clothes Children ]],0)</f>
        <v>4</v>
      </c>
      <c r="L81" s="277">
        <f ca="1">MAX(Table10[[#This Row],[HH]]*VLOOKUP("Winter Items Other ",NFI,6)-Table10[[#This Row],[Winter Items Other ]],0)</f>
        <v>4</v>
      </c>
      <c r="M81" s="310" t="str">
        <f>IF(OR(Table10[[#This Row],[Winter Clothes Adult ]]&lt;&gt;0,Table10[[#This Row],[Winter Clothes Children ]]&lt;&gt;0,Table10[[#This Row],[Winter Items Other ]]&lt;&gt;0),"No","")</f>
        <v/>
      </c>
      <c r="N81" s="311">
        <f>COUNTIF(A:A,Table10[[#This Row],[Pcode]])-1</f>
        <v>0</v>
      </c>
    </row>
    <row r="82" spans="1:14" x14ac:dyDescent="0.25">
      <c r="A82" s="259" t="s">
        <v>256</v>
      </c>
      <c r="B82" s="18" t="str">
        <f ca="1">OFFSET(CampList[Priority],MATCH(Table10[[#This Row],[Pcode]],CampList[CP_Pcode],0)-1,0,1,1)</f>
        <v>P4</v>
      </c>
      <c r="C82" s="18" t="str">
        <f ca="1">OFFSET(CampList[Camp],MATCH(Table10[[#This Row],[Pcode]],CampList[CP_Pcode],0)-1,0,1,1)</f>
        <v>Kyun Pin Thar Baptist Church</v>
      </c>
      <c r="D82" s="18" t="str">
        <f ca="1">OFFSET(CampList[Township],MATCH(Table10[[#This Row],[Pcode]],CampList[CP_Pcode],0)-1,0,1,1)</f>
        <v>Myitkyina</v>
      </c>
      <c r="E82" s="277">
        <f ca="1">OFFSET(CampList[HH],MATCH(Table10[[#This Row],[Pcode]],CampList[CP_Pcode],0)-1,0,1,1)</f>
        <v>48</v>
      </c>
      <c r="F82" s="277">
        <f ca="1">OFFSET(CampList[Total],MATCH(Table10[[#This Row],[Pcode]],CampList[CP_Pcode],0)-1,0,1,1)</f>
        <v>211</v>
      </c>
      <c r="G82" s="277">
        <f>SUMIF('NFI Tracking'!AQ$11:AQ$1048576,Table10[[#This Row],[Pcode]],'NFI Tracking'!AI$11:AI$1048576)</f>
        <v>0</v>
      </c>
      <c r="H82" s="277">
        <f>SUMIF('NFI Tracking'!AQ$11:AQ$1048576,Table10[[#This Row],[Pcode]],'NFI Tracking'!AJ$11:AJ$1048576)</f>
        <v>0</v>
      </c>
      <c r="I82" s="277">
        <f>SUMIF('NFI Tracking'!AQ$11:AQ$1048576,Table10[[#This Row],[Pcode]],'NFI Tracking'!AK$11:AK$1048576)</f>
        <v>0</v>
      </c>
      <c r="J82" s="277">
        <f ca="1">MAX(Table10[[#This Row],[HH]]*VLOOKUP("Winter Clothes Adult",NFI,6)-Table10[[#This Row],[Winter Clothes Adult ]],0)</f>
        <v>96</v>
      </c>
      <c r="K82" s="277">
        <f ca="1">MAX(Table10[[#This Row],[HH]]*VLOOKUP("Winter Clothes Children ",NFI,6)-Table10[[#This Row],[Winter Clothes Children ]],0)</f>
        <v>48</v>
      </c>
      <c r="L82" s="277">
        <f ca="1">MAX(Table10[[#This Row],[HH]]*VLOOKUP("Winter Items Other ",NFI,6)-Table10[[#This Row],[Winter Items Other ]],0)</f>
        <v>48</v>
      </c>
      <c r="M82" s="310" t="str">
        <f>IF(OR(Table10[[#This Row],[Winter Clothes Adult ]]&lt;&gt;0,Table10[[#This Row],[Winter Clothes Children ]]&lt;&gt;0,Table10[[#This Row],[Winter Items Other ]]&lt;&gt;0),"No","")</f>
        <v/>
      </c>
      <c r="N82" s="311">
        <f>COUNTIF(A:A,Table10[[#This Row],[Pcode]])-1</f>
        <v>0</v>
      </c>
    </row>
    <row r="83" spans="1:14" x14ac:dyDescent="0.25">
      <c r="A83" s="259" t="s">
        <v>172</v>
      </c>
      <c r="B83" s="18" t="str">
        <f ca="1">OFFSET(CampList[Priority],MATCH(Table10[[#This Row],[Pcode]],CampList[CP_Pcode],0)-1,0,1,1)</f>
        <v>P4</v>
      </c>
      <c r="C83" s="18" t="str">
        <f ca="1">OFFSET(CampList[Camp],MATCH(Table10[[#This Row],[Pcode]],CampList[CP_Pcode],0)-1,0,1,1)</f>
        <v xml:space="preserve">Kyun Taw Baptist Church </v>
      </c>
      <c r="D83" s="18" t="str">
        <f ca="1">OFFSET(CampList[Township],MATCH(Table10[[#This Row],[Pcode]],CampList[CP_Pcode],0)-1,0,1,1)</f>
        <v>Mogaung</v>
      </c>
      <c r="E83" s="277">
        <f ca="1">OFFSET(CampList[HH],MATCH(Table10[[#This Row],[Pcode]],CampList[CP_Pcode],0)-1,0,1,1)</f>
        <v>13</v>
      </c>
      <c r="F83" s="277">
        <f ca="1">OFFSET(CampList[Total],MATCH(Table10[[#This Row],[Pcode]],CampList[CP_Pcode],0)-1,0,1,1)</f>
        <v>66</v>
      </c>
      <c r="G83" s="277">
        <f>SUMIF('NFI Tracking'!AQ$11:AQ$1048576,Table10[[#This Row],[Pcode]],'NFI Tracking'!AI$11:AI$1048576)</f>
        <v>0</v>
      </c>
      <c r="H83" s="277">
        <f>SUMIF('NFI Tracking'!AQ$11:AQ$1048576,Table10[[#This Row],[Pcode]],'NFI Tracking'!AJ$11:AJ$1048576)</f>
        <v>0</v>
      </c>
      <c r="I83" s="277">
        <f>SUMIF('NFI Tracking'!AQ$11:AQ$1048576,Table10[[#This Row],[Pcode]],'NFI Tracking'!AK$11:AK$1048576)</f>
        <v>0</v>
      </c>
      <c r="J83" s="277">
        <f ca="1">MAX(Table10[[#This Row],[HH]]*VLOOKUP("Winter Clothes Adult",NFI,6)-Table10[[#This Row],[Winter Clothes Adult ]],0)</f>
        <v>26</v>
      </c>
      <c r="K83" s="277">
        <f ca="1">MAX(Table10[[#This Row],[HH]]*VLOOKUP("Winter Clothes Children ",NFI,6)-Table10[[#This Row],[Winter Clothes Children ]],0)</f>
        <v>13</v>
      </c>
      <c r="L83" s="277">
        <f ca="1">MAX(Table10[[#This Row],[HH]]*VLOOKUP("Winter Items Other ",NFI,6)-Table10[[#This Row],[Winter Items Other ]],0)</f>
        <v>13</v>
      </c>
      <c r="M83" s="310" t="str">
        <f>IF(OR(Table10[[#This Row],[Winter Clothes Adult ]]&lt;&gt;0,Table10[[#This Row],[Winter Clothes Children ]]&lt;&gt;0,Table10[[#This Row],[Winter Items Other ]]&lt;&gt;0),"No","")</f>
        <v/>
      </c>
      <c r="N83" s="311">
        <f>COUNTIF(A:A,Table10[[#This Row],[Pcode]])-1</f>
        <v>0</v>
      </c>
    </row>
    <row r="84" spans="1:14" x14ac:dyDescent="0.25">
      <c r="A84" s="259" t="s">
        <v>143</v>
      </c>
      <c r="B84" s="18" t="str">
        <f ca="1">OFFSET(CampList[Priority],MATCH(Table10[[#This Row],[Pcode]],CampList[CP_Pcode],0)-1,0,1,1)</f>
        <v>P4</v>
      </c>
      <c r="C84" s="18" t="str">
        <f ca="1">OFFSET(CampList[Camp],MATCH(Table10[[#This Row],[Pcode]],CampList[CP_Pcode],0)-1,0,1,1)</f>
        <v>La Ja</v>
      </c>
      <c r="D84" s="18" t="str">
        <f ca="1">OFFSET(CampList[Township],MATCH(Table10[[#This Row],[Pcode]],CampList[CP_Pcode],0)-1,0,1,1)</f>
        <v>Khaunglanhpu</v>
      </c>
      <c r="E84" s="277">
        <f ca="1">OFFSET(CampList[HH],MATCH(Table10[[#This Row],[Pcode]],CampList[CP_Pcode],0)-1,0,1,1)</f>
        <v>0</v>
      </c>
      <c r="F84" s="277">
        <f ca="1">OFFSET(CampList[Total],MATCH(Table10[[#This Row],[Pcode]],CampList[CP_Pcode],0)-1,0,1,1)</f>
        <v>0</v>
      </c>
      <c r="G84" s="277">
        <f>SUMIF('NFI Tracking'!AQ$11:AQ$1048576,Table10[[#This Row],[Pcode]],'NFI Tracking'!AI$11:AI$1048576)</f>
        <v>0</v>
      </c>
      <c r="H84" s="277">
        <f>SUMIF('NFI Tracking'!AQ$11:AQ$1048576,Table10[[#This Row],[Pcode]],'NFI Tracking'!AJ$11:AJ$1048576)</f>
        <v>0</v>
      </c>
      <c r="I84" s="277">
        <f>SUMIF('NFI Tracking'!AQ$11:AQ$1048576,Table10[[#This Row],[Pcode]],'NFI Tracking'!AK$11:AK$1048576)</f>
        <v>0</v>
      </c>
      <c r="J84" s="277">
        <f ca="1">MAX(Table10[[#This Row],[HH]]*VLOOKUP("Winter Clothes Adult",NFI,6)-Table10[[#This Row],[Winter Clothes Adult ]],0)</f>
        <v>0</v>
      </c>
      <c r="K84" s="277">
        <f ca="1">MAX(Table10[[#This Row],[HH]]*VLOOKUP("Winter Clothes Children ",NFI,6)-Table10[[#This Row],[Winter Clothes Children ]],0)</f>
        <v>0</v>
      </c>
      <c r="L84" s="277">
        <f ca="1">MAX(Table10[[#This Row],[HH]]*VLOOKUP("Winter Items Other ",NFI,6)-Table10[[#This Row],[Winter Items Other ]],0)</f>
        <v>0</v>
      </c>
      <c r="M84" s="310" t="str">
        <f>IF(OR(Table10[[#This Row],[Winter Clothes Adult ]]&lt;&gt;0,Table10[[#This Row],[Winter Clothes Children ]]&lt;&gt;0,Table10[[#This Row],[Winter Items Other ]]&lt;&gt;0),"No","")</f>
        <v/>
      </c>
      <c r="N84" s="311">
        <f>COUNTIF(A:A,Table10[[#This Row],[Pcode]])-1</f>
        <v>0</v>
      </c>
    </row>
    <row r="85" spans="1:14" x14ac:dyDescent="0.25">
      <c r="A85" s="259" t="s">
        <v>517</v>
      </c>
      <c r="B85" s="18" t="str">
        <f ca="1">OFFSET(CampList[Priority],MATCH(Table10[[#This Row],[Pcode]],CampList[CP_Pcode],0)-1,0,1,1)</f>
        <v>P4</v>
      </c>
      <c r="C85" s="18" t="str">
        <f ca="1">OFFSET(CampList[Camp],MATCH(Table10[[#This Row],[Pcode]],CampList[CP_Pcode],0)-1,0,1,1)</f>
        <v xml:space="preserve">Lagatyan </v>
      </c>
      <c r="D85" s="18" t="str">
        <f ca="1">OFFSET(CampList[Township],MATCH(Table10[[#This Row],[Pcode]],CampList[CP_Pcode],0)-1,0,1,1)</f>
        <v>Mansi</v>
      </c>
      <c r="E85" s="277">
        <f ca="1">OFFSET(CampList[HH],MATCH(Table10[[#This Row],[Pcode]],CampList[CP_Pcode],0)-1,0,1,1)</f>
        <v>0</v>
      </c>
      <c r="F85" s="277">
        <f ca="1">OFFSET(CampList[Total],MATCH(Table10[[#This Row],[Pcode]],CampList[CP_Pcode],0)-1,0,1,1)</f>
        <v>0</v>
      </c>
      <c r="G85" s="277">
        <f>SUMIF('NFI Tracking'!AQ$11:AQ$1048576,Table10[[#This Row],[Pcode]],'NFI Tracking'!AI$11:AI$1048576)</f>
        <v>0</v>
      </c>
      <c r="H85" s="277">
        <f>SUMIF('NFI Tracking'!AQ$11:AQ$1048576,Table10[[#This Row],[Pcode]],'NFI Tracking'!AJ$11:AJ$1048576)</f>
        <v>0</v>
      </c>
      <c r="I85" s="277">
        <f>SUMIF('NFI Tracking'!AQ$11:AQ$1048576,Table10[[#This Row],[Pcode]],'NFI Tracking'!AK$11:AK$1048576)</f>
        <v>0</v>
      </c>
      <c r="J85" s="277">
        <f ca="1">MAX(Table10[[#This Row],[HH]]*VLOOKUP("Winter Clothes Adult",NFI,6)-Table10[[#This Row],[Winter Clothes Adult ]],0)</f>
        <v>0</v>
      </c>
      <c r="K85" s="277">
        <f ca="1">MAX(Table10[[#This Row],[HH]]*VLOOKUP("Winter Clothes Children ",NFI,6)-Table10[[#This Row],[Winter Clothes Children ]],0)</f>
        <v>0</v>
      </c>
      <c r="L85" s="277">
        <f ca="1">MAX(Table10[[#This Row],[HH]]*VLOOKUP("Winter Items Other ",NFI,6)-Table10[[#This Row],[Winter Items Other ]],0)</f>
        <v>0</v>
      </c>
      <c r="M85" s="310" t="str">
        <f>IF(OR(Table10[[#This Row],[Winter Clothes Adult ]]&lt;&gt;0,Table10[[#This Row],[Winter Clothes Children ]]&lt;&gt;0,Table10[[#This Row],[Winter Items Other ]]&lt;&gt;0),"No","")</f>
        <v/>
      </c>
      <c r="N85" s="311">
        <f>COUNTIF(A:A,Table10[[#This Row],[Pcode]])-1</f>
        <v>0</v>
      </c>
    </row>
    <row r="86" spans="1:14" x14ac:dyDescent="0.25">
      <c r="A86" s="259" t="s">
        <v>339</v>
      </c>
      <c r="B86" s="18" t="str">
        <f ca="1">OFFSET(CampList[Priority],MATCH(Table10[[#This Row],[Pcode]],CampList[CP_Pcode],0)-1,0,1,1)</f>
        <v>P4</v>
      </c>
      <c r="C86" s="18" t="str">
        <f ca="1">OFFSET(CampList[Camp],MATCH(Table10[[#This Row],[Pcode]],CampList[CP_Pcode],0)-1,0,1,1)</f>
        <v>Laiza Muklum Hpyen  Yen Mungshawa ni</v>
      </c>
      <c r="D86" s="18" t="str">
        <f ca="1">OFFSET(CampList[Township],MATCH(Table10[[#This Row],[Pcode]],CampList[CP_Pcode],0)-1,0,1,1)</f>
        <v>Waingmaw</v>
      </c>
      <c r="E86" s="277">
        <f ca="1">OFFSET(CampList[HH],MATCH(Table10[[#This Row],[Pcode]],CampList[CP_Pcode],0)-1,0,1,1)</f>
        <v>355</v>
      </c>
      <c r="F86" s="277">
        <f ca="1">OFFSET(CampList[Total],MATCH(Table10[[#This Row],[Pcode]],CampList[CP_Pcode],0)-1,0,1,1)</f>
        <v>4450</v>
      </c>
      <c r="G86" s="277">
        <f>SUMIF('NFI Tracking'!AQ$11:AQ$1048576,Table10[[#This Row],[Pcode]],'NFI Tracking'!AI$11:AI$1048576)</f>
        <v>0</v>
      </c>
      <c r="H86" s="277">
        <f>SUMIF('NFI Tracking'!AQ$11:AQ$1048576,Table10[[#This Row],[Pcode]],'NFI Tracking'!AJ$11:AJ$1048576)</f>
        <v>0</v>
      </c>
      <c r="I86" s="277">
        <f>SUMIF('NFI Tracking'!AQ$11:AQ$1048576,Table10[[#This Row],[Pcode]],'NFI Tracking'!AK$11:AK$1048576)</f>
        <v>0</v>
      </c>
      <c r="J86" s="277">
        <f ca="1">MAX(Table10[[#This Row],[HH]]*VLOOKUP("Winter Clothes Adult",NFI,6)-Table10[[#This Row],[Winter Clothes Adult ]],0)</f>
        <v>710</v>
      </c>
      <c r="K86" s="277">
        <f ca="1">MAX(Table10[[#This Row],[HH]]*VLOOKUP("Winter Clothes Children ",NFI,6)-Table10[[#This Row],[Winter Clothes Children ]],0)</f>
        <v>355</v>
      </c>
      <c r="L86" s="277">
        <f ca="1">MAX(Table10[[#This Row],[HH]]*VLOOKUP("Winter Items Other ",NFI,6)-Table10[[#This Row],[Winter Items Other ]],0)</f>
        <v>355</v>
      </c>
      <c r="M86" s="310" t="str">
        <f>IF(OR(Table10[[#This Row],[Winter Clothes Adult ]]&lt;&gt;0,Table10[[#This Row],[Winter Clothes Children ]]&lt;&gt;0,Table10[[#This Row],[Winter Items Other ]]&lt;&gt;0),"No","")</f>
        <v/>
      </c>
      <c r="N86" s="311">
        <f>COUNTIF(A:A,Table10[[#This Row],[Pcode]])-1</f>
        <v>0</v>
      </c>
    </row>
    <row r="87" spans="1:14" x14ac:dyDescent="0.25">
      <c r="A87" s="259" t="s">
        <v>303</v>
      </c>
      <c r="B87" s="18" t="str">
        <f ca="1">OFFSET(CampList[Priority],MATCH(Table10[[#This Row],[Pcode]],CampList[CP_Pcode],0)-1,0,1,1)</f>
        <v>P4</v>
      </c>
      <c r="C87" s="18" t="str">
        <f ca="1">OFFSET(CampList[Camp],MATCH(Table10[[#This Row],[Pcode]],CampList[CP_Pcode],0)-1,0,1,1)</f>
        <v>Lawk Awng Mare D. (Sinbo Area)</v>
      </c>
      <c r="D87" s="18" t="str">
        <f ca="1">OFFSET(CampList[Township],MATCH(Table10[[#This Row],[Pcode]],CampList[CP_Pcode],0)-1,0,1,1)</f>
        <v>Shwegu</v>
      </c>
      <c r="E87" s="277">
        <f ca="1">OFFSET(CampList[HH],MATCH(Table10[[#This Row],[Pcode]],CampList[CP_Pcode],0)-1,0,1,1)</f>
        <v>375</v>
      </c>
      <c r="F87" s="277">
        <f ca="1">OFFSET(CampList[Total],MATCH(Table10[[#This Row],[Pcode]],CampList[CP_Pcode],0)-1,0,1,1)</f>
        <v>1691</v>
      </c>
      <c r="G87" s="277">
        <f>SUMIF('NFI Tracking'!AQ$11:AQ$1048576,Table10[[#This Row],[Pcode]],'NFI Tracking'!AI$11:AI$1048576)</f>
        <v>0</v>
      </c>
      <c r="H87" s="277">
        <f>SUMIF('NFI Tracking'!AQ$11:AQ$1048576,Table10[[#This Row],[Pcode]],'NFI Tracking'!AJ$11:AJ$1048576)</f>
        <v>0</v>
      </c>
      <c r="I87" s="277">
        <f>SUMIF('NFI Tracking'!AQ$11:AQ$1048576,Table10[[#This Row],[Pcode]],'NFI Tracking'!AK$11:AK$1048576)</f>
        <v>0</v>
      </c>
      <c r="J87" s="277">
        <f ca="1">MAX(Table10[[#This Row],[HH]]*VLOOKUP("Winter Clothes Adult",NFI,6)-Table10[[#This Row],[Winter Clothes Adult ]],0)</f>
        <v>750</v>
      </c>
      <c r="K87" s="277">
        <f ca="1">MAX(Table10[[#This Row],[HH]]*VLOOKUP("Winter Clothes Children ",NFI,6)-Table10[[#This Row],[Winter Clothes Children ]],0)</f>
        <v>375</v>
      </c>
      <c r="L87" s="277">
        <f ca="1">MAX(Table10[[#This Row],[HH]]*VLOOKUP("Winter Items Other ",NFI,6)-Table10[[#This Row],[Winter Items Other ]],0)</f>
        <v>375</v>
      </c>
      <c r="M87" s="310" t="str">
        <f>IF(OR(Table10[[#This Row],[Winter Clothes Adult ]]&lt;&gt;0,Table10[[#This Row],[Winter Clothes Children ]]&lt;&gt;0,Table10[[#This Row],[Winter Items Other ]]&lt;&gt;0),"No","")</f>
        <v/>
      </c>
      <c r="N87" s="311">
        <f>COUNTIF(A:A,Table10[[#This Row],[Pcode]])-1</f>
        <v>0</v>
      </c>
    </row>
    <row r="88" spans="1:14" x14ac:dyDescent="0.25">
      <c r="A88" s="259" t="s">
        <v>239</v>
      </c>
      <c r="B88" s="18" t="str">
        <f ca="1">OFFSET(CampList[Priority],MATCH(Table10[[#This Row],[Pcode]],CampList[CP_Pcode],0)-1,0,1,1)</f>
        <v>P4</v>
      </c>
      <c r="C88" s="18" t="str">
        <f ca="1">OFFSET(CampList[Camp],MATCH(Table10[[#This Row],[Pcode]],CampList[CP_Pcode],0)-1,0,1,1)</f>
        <v>Le Kone Bethlehem Church</v>
      </c>
      <c r="D88" s="18" t="str">
        <f ca="1">OFFSET(CampList[Township],MATCH(Table10[[#This Row],[Pcode]],CampList[CP_Pcode],0)-1,0,1,1)</f>
        <v>Myitkyina</v>
      </c>
      <c r="E88" s="277">
        <f ca="1">OFFSET(CampList[HH],MATCH(Table10[[#This Row],[Pcode]],CampList[CP_Pcode],0)-1,0,1,1)</f>
        <v>30</v>
      </c>
      <c r="F88" s="277">
        <f ca="1">OFFSET(CampList[Total],MATCH(Table10[[#This Row],[Pcode]],CampList[CP_Pcode],0)-1,0,1,1)</f>
        <v>178</v>
      </c>
      <c r="G88" s="277">
        <f>SUMIF('NFI Tracking'!AQ$11:AQ$1048576,Table10[[#This Row],[Pcode]],'NFI Tracking'!AI$11:AI$1048576)</f>
        <v>0</v>
      </c>
      <c r="H88" s="277">
        <f>SUMIF('NFI Tracking'!AQ$11:AQ$1048576,Table10[[#This Row],[Pcode]],'NFI Tracking'!AJ$11:AJ$1048576)</f>
        <v>0</v>
      </c>
      <c r="I88" s="277">
        <f>SUMIF('NFI Tracking'!AQ$11:AQ$1048576,Table10[[#This Row],[Pcode]],'NFI Tracking'!AK$11:AK$1048576)</f>
        <v>0</v>
      </c>
      <c r="J88" s="277">
        <f ca="1">MAX(Table10[[#This Row],[HH]]*VLOOKUP("Winter Clothes Adult",NFI,6)-Table10[[#This Row],[Winter Clothes Adult ]],0)</f>
        <v>60</v>
      </c>
      <c r="K88" s="277">
        <f ca="1">MAX(Table10[[#This Row],[HH]]*VLOOKUP("Winter Clothes Children ",NFI,6)-Table10[[#This Row],[Winter Clothes Children ]],0)</f>
        <v>30</v>
      </c>
      <c r="L88" s="277">
        <f ca="1">MAX(Table10[[#This Row],[HH]]*VLOOKUP("Winter Items Other ",NFI,6)-Table10[[#This Row],[Winter Items Other ]],0)</f>
        <v>30</v>
      </c>
      <c r="M88" s="310" t="str">
        <f>IF(OR(Table10[[#This Row],[Winter Clothes Adult ]]&lt;&gt;0,Table10[[#This Row],[Winter Clothes Children ]]&lt;&gt;0,Table10[[#This Row],[Winter Items Other ]]&lt;&gt;0),"No","")</f>
        <v/>
      </c>
      <c r="N88" s="311">
        <f>COUNTIF(A:A,Table10[[#This Row],[Pcode]])-1</f>
        <v>0</v>
      </c>
    </row>
    <row r="89" spans="1:14" x14ac:dyDescent="0.25">
      <c r="A89" s="259" t="s">
        <v>284</v>
      </c>
      <c r="B89" s="18" t="str">
        <f ca="1">OFFSET(CampList[Priority],MATCH(Table10[[#This Row],[Pcode]],CampList[CP_Pcode],0)-1,0,1,1)</f>
        <v>P4</v>
      </c>
      <c r="C89" s="18" t="str">
        <f ca="1">OFFSET(CampList[Camp],MATCH(Table10[[#This Row],[Pcode]],CampList[CP_Pcode],0)-1,0,1,1)</f>
        <v xml:space="preserve">Le Kone Ziun Baptist Church </v>
      </c>
      <c r="D89" s="18" t="str">
        <f ca="1">OFFSET(CampList[Township],MATCH(Table10[[#This Row],[Pcode]],CampList[CP_Pcode],0)-1,0,1,1)</f>
        <v>Myitkyina</v>
      </c>
      <c r="E89" s="277">
        <f ca="1">OFFSET(CampList[HH],MATCH(Table10[[#This Row],[Pcode]],CampList[CP_Pcode],0)-1,0,1,1)</f>
        <v>85</v>
      </c>
      <c r="F89" s="277">
        <f ca="1">OFFSET(CampList[Total],MATCH(Table10[[#This Row],[Pcode]],CampList[CP_Pcode],0)-1,0,1,1)</f>
        <v>437</v>
      </c>
      <c r="G89" s="277">
        <f>SUMIF('NFI Tracking'!AQ$11:AQ$1048576,Table10[[#This Row],[Pcode]],'NFI Tracking'!AI$11:AI$1048576)</f>
        <v>0</v>
      </c>
      <c r="H89" s="277">
        <f>SUMIF('NFI Tracking'!AQ$11:AQ$1048576,Table10[[#This Row],[Pcode]],'NFI Tracking'!AJ$11:AJ$1048576)</f>
        <v>0</v>
      </c>
      <c r="I89" s="277">
        <f>SUMIF('NFI Tracking'!AQ$11:AQ$1048576,Table10[[#This Row],[Pcode]],'NFI Tracking'!AK$11:AK$1048576)</f>
        <v>0</v>
      </c>
      <c r="J89" s="277">
        <f ca="1">MAX(Table10[[#This Row],[HH]]*VLOOKUP("Winter Clothes Adult",NFI,6)-Table10[[#This Row],[Winter Clothes Adult ]],0)</f>
        <v>170</v>
      </c>
      <c r="K89" s="277">
        <f ca="1">MAX(Table10[[#This Row],[HH]]*VLOOKUP("Winter Clothes Children ",NFI,6)-Table10[[#This Row],[Winter Clothes Children ]],0)</f>
        <v>85</v>
      </c>
      <c r="L89" s="277">
        <f ca="1">MAX(Table10[[#This Row],[HH]]*VLOOKUP("Winter Items Other ",NFI,6)-Table10[[#This Row],[Winter Items Other ]],0)</f>
        <v>85</v>
      </c>
      <c r="M89" s="310" t="str">
        <f>IF(OR(Table10[[#This Row],[Winter Clothes Adult ]]&lt;&gt;0,Table10[[#This Row],[Winter Clothes Children ]]&lt;&gt;0,Table10[[#This Row],[Winter Items Other ]]&lt;&gt;0),"No","")</f>
        <v/>
      </c>
      <c r="N89" s="311">
        <f>COUNTIF(A:A,Table10[[#This Row],[Pcode]])-1</f>
        <v>0</v>
      </c>
    </row>
    <row r="90" spans="1:14" x14ac:dyDescent="0.25">
      <c r="A90" s="259" t="s">
        <v>89</v>
      </c>
      <c r="B90" s="18" t="str">
        <f ca="1">OFFSET(CampList[Priority],MATCH(Table10[[#This Row],[Pcode]],CampList[CP_Pcode],0)-1,0,1,1)</f>
        <v>P4</v>
      </c>
      <c r="C90" s="18" t="str">
        <f ca="1">OFFSET(CampList[Camp],MATCH(Table10[[#This Row],[Pcode]],CampList[CP_Pcode],0)-1,0,1,1)</f>
        <v>Lisu Baptist Church, Maw Shan Vil,. Seik Mu</v>
      </c>
      <c r="D90" s="18" t="str">
        <f ca="1">OFFSET(CampList[Township],MATCH(Table10[[#This Row],[Pcode]],CampList[CP_Pcode],0)-1,0,1,1)</f>
        <v>Hpakant</v>
      </c>
      <c r="E90" s="277">
        <f ca="1">OFFSET(CampList[HH],MATCH(Table10[[#This Row],[Pcode]],CampList[CP_Pcode],0)-1,0,1,1)</f>
        <v>25</v>
      </c>
      <c r="F90" s="277">
        <f ca="1">OFFSET(CampList[Total],MATCH(Table10[[#This Row],[Pcode]],CampList[CP_Pcode],0)-1,0,1,1)</f>
        <v>118</v>
      </c>
      <c r="G90" s="277">
        <f>SUMIF('NFI Tracking'!AQ$11:AQ$1048576,Table10[[#This Row],[Pcode]],'NFI Tracking'!AI$11:AI$1048576)</f>
        <v>0</v>
      </c>
      <c r="H90" s="277">
        <f>SUMIF('NFI Tracking'!AQ$11:AQ$1048576,Table10[[#This Row],[Pcode]],'NFI Tracking'!AJ$11:AJ$1048576)</f>
        <v>0</v>
      </c>
      <c r="I90" s="277">
        <f>SUMIF('NFI Tracking'!AQ$11:AQ$1048576,Table10[[#This Row],[Pcode]],'NFI Tracking'!AK$11:AK$1048576)</f>
        <v>0</v>
      </c>
      <c r="J90" s="277">
        <f ca="1">MAX(Table10[[#This Row],[HH]]*VLOOKUP("Winter Clothes Adult",NFI,6)-Table10[[#This Row],[Winter Clothes Adult ]],0)</f>
        <v>50</v>
      </c>
      <c r="K90" s="277">
        <f ca="1">MAX(Table10[[#This Row],[HH]]*VLOOKUP("Winter Clothes Children ",NFI,6)-Table10[[#This Row],[Winter Clothes Children ]],0)</f>
        <v>25</v>
      </c>
      <c r="L90" s="277">
        <f ca="1">MAX(Table10[[#This Row],[HH]]*VLOOKUP("Winter Items Other ",NFI,6)-Table10[[#This Row],[Winter Items Other ]],0)</f>
        <v>25</v>
      </c>
      <c r="M90" s="310" t="str">
        <f>IF(OR(Table10[[#This Row],[Winter Clothes Adult ]]&lt;&gt;0,Table10[[#This Row],[Winter Clothes Children ]]&lt;&gt;0,Table10[[#This Row],[Winter Items Other ]]&lt;&gt;0),"No","")</f>
        <v/>
      </c>
      <c r="N90" s="311">
        <f>COUNTIF(A:A,Table10[[#This Row],[Pcode]])-1</f>
        <v>0</v>
      </c>
    </row>
    <row r="91" spans="1:14" x14ac:dyDescent="0.25">
      <c r="A91" s="259" t="s">
        <v>91</v>
      </c>
      <c r="B91" s="18" t="str">
        <f ca="1">OFFSET(CampList[Priority],MATCH(Table10[[#This Row],[Pcode]],CampList[CP_Pcode],0)-1,0,1,1)</f>
        <v>P4</v>
      </c>
      <c r="C91" s="18" t="str">
        <f ca="1">OFFSET(CampList[Camp],MATCH(Table10[[#This Row],[Pcode]],CampList[CP_Pcode],0)-1,0,1,1)</f>
        <v>Lisu Baptist Church, Maw Wan Ward</v>
      </c>
      <c r="D91" s="18" t="str">
        <f ca="1">OFFSET(CampList[Township],MATCH(Table10[[#This Row],[Pcode]],CampList[CP_Pcode],0)-1,0,1,1)</f>
        <v>Hpakant</v>
      </c>
      <c r="E91" s="277">
        <f ca="1">OFFSET(CampList[HH],MATCH(Table10[[#This Row],[Pcode]],CampList[CP_Pcode],0)-1,0,1,1)</f>
        <v>15</v>
      </c>
      <c r="F91" s="277">
        <f ca="1">OFFSET(CampList[Total],MATCH(Table10[[#This Row],[Pcode]],CampList[CP_Pcode],0)-1,0,1,1)</f>
        <v>73</v>
      </c>
      <c r="G91" s="277">
        <f>SUMIF('NFI Tracking'!AQ$11:AQ$1048576,Table10[[#This Row],[Pcode]],'NFI Tracking'!AI$11:AI$1048576)</f>
        <v>0</v>
      </c>
      <c r="H91" s="277">
        <f>SUMIF('NFI Tracking'!AQ$11:AQ$1048576,Table10[[#This Row],[Pcode]],'NFI Tracking'!AJ$11:AJ$1048576)</f>
        <v>0</v>
      </c>
      <c r="I91" s="277">
        <f>SUMIF('NFI Tracking'!AQ$11:AQ$1048576,Table10[[#This Row],[Pcode]],'NFI Tracking'!AK$11:AK$1048576)</f>
        <v>0</v>
      </c>
      <c r="J91" s="277">
        <f ca="1">MAX(Table10[[#This Row],[HH]]*VLOOKUP("Winter Clothes Adult",NFI,6)-Table10[[#This Row],[Winter Clothes Adult ]],0)</f>
        <v>30</v>
      </c>
      <c r="K91" s="277">
        <f ca="1">MAX(Table10[[#This Row],[HH]]*VLOOKUP("Winter Clothes Children ",NFI,6)-Table10[[#This Row],[Winter Clothes Children ]],0)</f>
        <v>15</v>
      </c>
      <c r="L91" s="277">
        <f ca="1">MAX(Table10[[#This Row],[HH]]*VLOOKUP("Winter Items Other ",NFI,6)-Table10[[#This Row],[Winter Items Other ]],0)</f>
        <v>15</v>
      </c>
      <c r="M91" s="310" t="str">
        <f>IF(OR(Table10[[#This Row],[Winter Clothes Adult ]]&lt;&gt;0,Table10[[#This Row],[Winter Clothes Children ]]&lt;&gt;0,Table10[[#This Row],[Winter Items Other ]]&lt;&gt;0),"No","")</f>
        <v/>
      </c>
      <c r="N91" s="311">
        <f>COUNTIF(A:A,Table10[[#This Row],[Pcode]])-1</f>
        <v>0</v>
      </c>
    </row>
    <row r="92" spans="1:14" x14ac:dyDescent="0.25">
      <c r="A92" s="259" t="s">
        <v>17</v>
      </c>
      <c r="B92" s="18" t="str">
        <f ca="1">OFFSET(CampList[Priority],MATCH(Table10[[#This Row],[Pcode]],CampList[CP_Pcode],0)-1,0,1,1)</f>
        <v>P4</v>
      </c>
      <c r="C92" s="18" t="str">
        <f ca="1">OFFSET(CampList[Camp],MATCH(Table10[[#This Row],[Pcode]],CampList[CP_Pcode],0)-1,0,1,1)</f>
        <v>Lisu Boarding-House</v>
      </c>
      <c r="D92" s="18" t="str">
        <f ca="1">OFFSET(CampList[Township],MATCH(Table10[[#This Row],[Pcode]],CampList[CP_Pcode],0)-1,0,1,1)</f>
        <v>Bhamo</v>
      </c>
      <c r="E92" s="277">
        <f ca="1">OFFSET(CampList[HH],MATCH(Table10[[#This Row],[Pcode]],CampList[CP_Pcode],0)-1,0,1,1)</f>
        <v>116</v>
      </c>
      <c r="F92" s="277">
        <f ca="1">OFFSET(CampList[Total],MATCH(Table10[[#This Row],[Pcode]],CampList[CP_Pcode],0)-1,0,1,1)</f>
        <v>659</v>
      </c>
      <c r="G92" s="277">
        <f>SUMIF('NFI Tracking'!AQ$11:AQ$1048576,Table10[[#This Row],[Pcode]],'NFI Tracking'!AI$11:AI$1048576)</f>
        <v>0</v>
      </c>
      <c r="H92" s="277">
        <f>SUMIF('NFI Tracking'!AQ$11:AQ$1048576,Table10[[#This Row],[Pcode]],'NFI Tracking'!AJ$11:AJ$1048576)</f>
        <v>0</v>
      </c>
      <c r="I92" s="277">
        <f>SUMIF('NFI Tracking'!AQ$11:AQ$1048576,Table10[[#This Row],[Pcode]],'NFI Tracking'!AK$11:AK$1048576)</f>
        <v>0</v>
      </c>
      <c r="J92" s="277">
        <f ca="1">MAX(Table10[[#This Row],[HH]]*VLOOKUP("Winter Clothes Adult",NFI,6)-Table10[[#This Row],[Winter Clothes Adult ]],0)</f>
        <v>232</v>
      </c>
      <c r="K92" s="277">
        <f ca="1">MAX(Table10[[#This Row],[HH]]*VLOOKUP("Winter Clothes Children ",NFI,6)-Table10[[#This Row],[Winter Clothes Children ]],0)</f>
        <v>116</v>
      </c>
      <c r="L92" s="277">
        <f ca="1">MAX(Table10[[#This Row],[HH]]*VLOOKUP("Winter Items Other ",NFI,6)-Table10[[#This Row],[Winter Items Other ]],0)</f>
        <v>116</v>
      </c>
      <c r="M92" s="310" t="str">
        <f>IF(OR(Table10[[#This Row],[Winter Clothes Adult ]]&lt;&gt;0,Table10[[#This Row],[Winter Clothes Children ]]&lt;&gt;0,Table10[[#This Row],[Winter Items Other ]]&lt;&gt;0),"No","")</f>
        <v/>
      </c>
      <c r="N92" s="311">
        <f>COUNTIF(A:A,Table10[[#This Row],[Pcode]])-1</f>
        <v>0</v>
      </c>
    </row>
    <row r="93" spans="1:14" x14ac:dyDescent="0.25">
      <c r="A93" s="259" t="s">
        <v>319</v>
      </c>
      <c r="B93" s="18" t="str">
        <f ca="1">OFFSET(CampList[Priority],MATCH(Table10[[#This Row],[Pcode]],CampList[CP_Pcode],0)-1,0,1,1)</f>
        <v>P4</v>
      </c>
      <c r="C93" s="18" t="str">
        <f ca="1">OFFSET(CampList[Camp],MATCH(Table10[[#This Row],[Pcode]],CampList[CP_Pcode],0)-1,0,1,1)</f>
        <v>Mading Baptist Church</v>
      </c>
      <c r="D93" s="18" t="str">
        <f ca="1">OFFSET(CampList[Township],MATCH(Table10[[#This Row],[Pcode]],CampList[CP_Pcode],0)-1,0,1,1)</f>
        <v>Waingmaw</v>
      </c>
      <c r="E93" s="277">
        <f ca="1">OFFSET(CampList[HH],MATCH(Table10[[#This Row],[Pcode]],CampList[CP_Pcode],0)-1,0,1,1)</f>
        <v>27</v>
      </c>
      <c r="F93" s="277">
        <f ca="1">OFFSET(CampList[Total],MATCH(Table10[[#This Row],[Pcode]],CampList[CP_Pcode],0)-1,0,1,1)</f>
        <v>145</v>
      </c>
      <c r="G93" s="277">
        <f>SUMIF('NFI Tracking'!AQ$11:AQ$1048576,Table10[[#This Row],[Pcode]],'NFI Tracking'!AI$11:AI$1048576)</f>
        <v>0</v>
      </c>
      <c r="H93" s="277">
        <f>SUMIF('NFI Tracking'!AQ$11:AQ$1048576,Table10[[#This Row],[Pcode]],'NFI Tracking'!AJ$11:AJ$1048576)</f>
        <v>0</v>
      </c>
      <c r="I93" s="277">
        <f>SUMIF('NFI Tracking'!AQ$11:AQ$1048576,Table10[[#This Row],[Pcode]],'NFI Tracking'!AK$11:AK$1048576)</f>
        <v>0</v>
      </c>
      <c r="J93" s="277">
        <f ca="1">MAX(Table10[[#This Row],[HH]]*VLOOKUP("Winter Clothes Adult",NFI,6)-Table10[[#This Row],[Winter Clothes Adult ]],0)</f>
        <v>54</v>
      </c>
      <c r="K93" s="277">
        <f ca="1">MAX(Table10[[#This Row],[HH]]*VLOOKUP("Winter Clothes Children ",NFI,6)-Table10[[#This Row],[Winter Clothes Children ]],0)</f>
        <v>27</v>
      </c>
      <c r="L93" s="277">
        <f ca="1">MAX(Table10[[#This Row],[HH]]*VLOOKUP("Winter Items Other ",NFI,6)-Table10[[#This Row],[Winter Items Other ]],0)</f>
        <v>27</v>
      </c>
      <c r="M93" s="310" t="str">
        <f>IF(OR(Table10[[#This Row],[Winter Clothes Adult ]]&lt;&gt;0,Table10[[#This Row],[Winter Clothes Children ]]&lt;&gt;0,Table10[[#This Row],[Winter Items Other ]]&lt;&gt;0),"No","")</f>
        <v/>
      </c>
      <c r="N93" s="311">
        <f>COUNTIF(A:A,Table10[[#This Row],[Pcode]])-1</f>
        <v>0</v>
      </c>
    </row>
    <row r="94" spans="1:14" x14ac:dyDescent="0.25">
      <c r="A94" s="259" t="s">
        <v>199</v>
      </c>
      <c r="B94" s="18" t="str">
        <f ca="1">OFFSET(CampList[Priority],MATCH(Table10[[#This Row],[Pcode]],CampList[CP_Pcode],0)-1,0,1,1)</f>
        <v>P4</v>
      </c>
      <c r="C94" s="18" t="str">
        <f ca="1">OFFSET(CampList[Camp],MATCH(Table10[[#This Row],[Pcode]],CampList[CP_Pcode],0)-1,0,1,1)</f>
        <v xml:space="preserve">Mai Khat </v>
      </c>
      <c r="D94" s="18" t="str">
        <f ca="1">OFFSET(CampList[Township],MATCH(Table10[[#This Row],[Pcode]],CampList[CP_Pcode],0)-1,0,1,1)</f>
        <v>Momauk</v>
      </c>
      <c r="E94" s="277">
        <f ca="1">OFFSET(CampList[HH],MATCH(Table10[[#This Row],[Pcode]],CampList[CP_Pcode],0)-1,0,1,1)</f>
        <v>2</v>
      </c>
      <c r="F94" s="277">
        <f ca="1">OFFSET(CampList[Total],MATCH(Table10[[#This Row],[Pcode]],CampList[CP_Pcode],0)-1,0,1,1)</f>
        <v>9</v>
      </c>
      <c r="G94" s="277">
        <f>SUMIF('NFI Tracking'!AQ$11:AQ$1048576,Table10[[#This Row],[Pcode]],'NFI Tracking'!AI$11:AI$1048576)</f>
        <v>0</v>
      </c>
      <c r="H94" s="277">
        <f>SUMIF('NFI Tracking'!AQ$11:AQ$1048576,Table10[[#This Row],[Pcode]],'NFI Tracking'!AJ$11:AJ$1048576)</f>
        <v>0</v>
      </c>
      <c r="I94" s="277">
        <f>SUMIF('NFI Tracking'!AQ$11:AQ$1048576,Table10[[#This Row],[Pcode]],'NFI Tracking'!AK$11:AK$1048576)</f>
        <v>0</v>
      </c>
      <c r="J94" s="277">
        <f ca="1">MAX(Table10[[#This Row],[HH]]*VLOOKUP("Winter Clothes Adult",NFI,6)-Table10[[#This Row],[Winter Clothes Adult ]],0)</f>
        <v>4</v>
      </c>
      <c r="K94" s="277">
        <f ca="1">MAX(Table10[[#This Row],[HH]]*VLOOKUP("Winter Clothes Children ",NFI,6)-Table10[[#This Row],[Winter Clothes Children ]],0)</f>
        <v>2</v>
      </c>
      <c r="L94" s="277">
        <f ca="1">MAX(Table10[[#This Row],[HH]]*VLOOKUP("Winter Items Other ",NFI,6)-Table10[[#This Row],[Winter Items Other ]],0)</f>
        <v>2</v>
      </c>
      <c r="M94" s="310" t="str">
        <f>IF(OR(Table10[[#This Row],[Winter Clothes Adult ]]&lt;&gt;0,Table10[[#This Row],[Winter Clothes Children ]]&lt;&gt;0,Table10[[#This Row],[Winter Items Other ]]&lt;&gt;0),"No","")</f>
        <v/>
      </c>
      <c r="N94" s="311">
        <f>COUNTIF(A:A,Table10[[#This Row],[Pcode]])-1</f>
        <v>0</v>
      </c>
    </row>
    <row r="95" spans="1:14" x14ac:dyDescent="0.25">
      <c r="A95" s="259" t="s">
        <v>327</v>
      </c>
      <c r="B95" s="18" t="str">
        <f ca="1">OFFSET(CampList[Priority],MATCH(Table10[[#This Row],[Pcode]],CampList[CP_Pcode],0)-1,0,1,1)</f>
        <v>P4</v>
      </c>
      <c r="C95" s="18" t="str">
        <f ca="1">OFFSET(CampList[Camp],MATCH(Table10[[#This Row],[Pcode]],CampList[CP_Pcode],0)-1,0,1,1)</f>
        <v>Maina AG Church</v>
      </c>
      <c r="D95" s="18" t="str">
        <f ca="1">OFFSET(CampList[Township],MATCH(Table10[[#This Row],[Pcode]],CampList[CP_Pcode],0)-1,0,1,1)</f>
        <v>Waingmaw</v>
      </c>
      <c r="E95" s="277">
        <f ca="1">OFFSET(CampList[HH],MATCH(Table10[[#This Row],[Pcode]],CampList[CP_Pcode],0)-1,0,1,1)</f>
        <v>149</v>
      </c>
      <c r="F95" s="277">
        <f ca="1">OFFSET(CampList[Total],MATCH(Table10[[#This Row],[Pcode]],CampList[CP_Pcode],0)-1,0,1,1)</f>
        <v>841</v>
      </c>
      <c r="G95" s="277">
        <f>SUMIF('NFI Tracking'!AQ$11:AQ$1048576,Table10[[#This Row],[Pcode]],'NFI Tracking'!AI$11:AI$1048576)</f>
        <v>0</v>
      </c>
      <c r="H95" s="277">
        <f>SUMIF('NFI Tracking'!AQ$11:AQ$1048576,Table10[[#This Row],[Pcode]],'NFI Tracking'!AJ$11:AJ$1048576)</f>
        <v>0</v>
      </c>
      <c r="I95" s="277">
        <f>SUMIF('NFI Tracking'!AQ$11:AQ$1048576,Table10[[#This Row],[Pcode]],'NFI Tracking'!AK$11:AK$1048576)</f>
        <v>0</v>
      </c>
      <c r="J95" s="277">
        <f ca="1">MAX(Table10[[#This Row],[HH]]*VLOOKUP("Winter Clothes Adult",NFI,6)-Table10[[#This Row],[Winter Clothes Adult ]],0)</f>
        <v>298</v>
      </c>
      <c r="K95" s="277">
        <f ca="1">MAX(Table10[[#This Row],[HH]]*VLOOKUP("Winter Clothes Children ",NFI,6)-Table10[[#This Row],[Winter Clothes Children ]],0)</f>
        <v>149</v>
      </c>
      <c r="L95" s="277">
        <f ca="1">MAX(Table10[[#This Row],[HH]]*VLOOKUP("Winter Items Other ",NFI,6)-Table10[[#This Row],[Winter Items Other ]],0)</f>
        <v>149</v>
      </c>
      <c r="M95" s="310" t="str">
        <f>IF(OR(Table10[[#This Row],[Winter Clothes Adult ]]&lt;&gt;0,Table10[[#This Row],[Winter Clothes Children ]]&lt;&gt;0,Table10[[#This Row],[Winter Items Other ]]&lt;&gt;0),"No","")</f>
        <v/>
      </c>
      <c r="N95" s="311">
        <f>COUNTIF(A:A,Table10[[#This Row],[Pcode]])-1</f>
        <v>0</v>
      </c>
    </row>
    <row r="96" spans="1:14" x14ac:dyDescent="0.25">
      <c r="A96" s="259" t="s">
        <v>329</v>
      </c>
      <c r="B96" s="18" t="str">
        <f ca="1">OFFSET(CampList[Priority],MATCH(Table10[[#This Row],[Pcode]],CampList[CP_Pcode],0)-1,0,1,1)</f>
        <v>P4</v>
      </c>
      <c r="C96" s="18" t="str">
        <f ca="1">OFFSET(CampList[Camp],MATCH(Table10[[#This Row],[Pcode]],CampList[CP_Pcode],0)-1,0,1,1)</f>
        <v>Maina Catholic Church (St. Joseph)</v>
      </c>
      <c r="D96" s="18" t="str">
        <f ca="1">OFFSET(CampList[Township],MATCH(Table10[[#This Row],[Pcode]],CampList[CP_Pcode],0)-1,0,1,1)</f>
        <v>Waingmaw</v>
      </c>
      <c r="E96" s="277">
        <f ca="1">OFFSET(CampList[HH],MATCH(Table10[[#This Row],[Pcode]],CampList[CP_Pcode],0)-1,0,1,1)</f>
        <v>223</v>
      </c>
      <c r="F96" s="277">
        <f ca="1">OFFSET(CampList[Total],MATCH(Table10[[#This Row],[Pcode]],CampList[CP_Pcode],0)-1,0,1,1)</f>
        <v>1230</v>
      </c>
      <c r="G96" s="277">
        <f>SUMIF('NFI Tracking'!AQ$11:AQ$1048576,Table10[[#This Row],[Pcode]],'NFI Tracking'!AI$11:AI$1048576)</f>
        <v>0</v>
      </c>
      <c r="H96" s="277">
        <f>SUMIF('NFI Tracking'!AQ$11:AQ$1048576,Table10[[#This Row],[Pcode]],'NFI Tracking'!AJ$11:AJ$1048576)</f>
        <v>0</v>
      </c>
      <c r="I96" s="277">
        <f>SUMIF('NFI Tracking'!AQ$11:AQ$1048576,Table10[[#This Row],[Pcode]],'NFI Tracking'!AK$11:AK$1048576)</f>
        <v>0</v>
      </c>
      <c r="J96" s="277">
        <f ca="1">MAX(Table10[[#This Row],[HH]]*VLOOKUP("Winter Clothes Adult",NFI,6)-Table10[[#This Row],[Winter Clothes Adult ]],0)</f>
        <v>446</v>
      </c>
      <c r="K96" s="277">
        <f ca="1">MAX(Table10[[#This Row],[HH]]*VLOOKUP("Winter Clothes Children ",NFI,6)-Table10[[#This Row],[Winter Clothes Children ]],0)</f>
        <v>223</v>
      </c>
      <c r="L96" s="277">
        <f ca="1">MAX(Table10[[#This Row],[HH]]*VLOOKUP("Winter Items Other ",NFI,6)-Table10[[#This Row],[Winter Items Other ]],0)</f>
        <v>223</v>
      </c>
      <c r="M96" s="310" t="str">
        <f>IF(OR(Table10[[#This Row],[Winter Clothes Adult ]]&lt;&gt;0,Table10[[#This Row],[Winter Clothes Children ]]&lt;&gt;0,Table10[[#This Row],[Winter Items Other ]]&lt;&gt;0),"No","")</f>
        <v/>
      </c>
      <c r="N96" s="311">
        <f>COUNTIF(A:A,Table10[[#This Row],[Pcode]])-1</f>
        <v>0</v>
      </c>
    </row>
    <row r="97" spans="1:14" x14ac:dyDescent="0.25">
      <c r="A97" s="259" t="s">
        <v>323</v>
      </c>
      <c r="B97" s="18" t="str">
        <f ca="1">OFFSET(CampList[Priority],MATCH(Table10[[#This Row],[Pcode]],CampList[CP_Pcode],0)-1,0,1,1)</f>
        <v>P4</v>
      </c>
      <c r="C97" s="18" t="str">
        <f ca="1">OFFSET(CampList[Camp],MATCH(Table10[[#This Row],[Pcode]],CampList[CP_Pcode],0)-1,0,1,1)</f>
        <v>Maina KBC (Bawng Ring)</v>
      </c>
      <c r="D97" s="18" t="str">
        <f ca="1">OFFSET(CampList[Township],MATCH(Table10[[#This Row],[Pcode]],CampList[CP_Pcode],0)-1,0,1,1)</f>
        <v>Waingmaw</v>
      </c>
      <c r="E97" s="277">
        <f ca="1">OFFSET(CampList[HH],MATCH(Table10[[#This Row],[Pcode]],CampList[CP_Pcode],0)-1,0,1,1)</f>
        <v>471</v>
      </c>
      <c r="F97" s="277">
        <f ca="1">OFFSET(CampList[Total],MATCH(Table10[[#This Row],[Pcode]],CampList[CP_Pcode],0)-1,0,1,1)</f>
        <v>2389</v>
      </c>
      <c r="G97" s="277">
        <f>SUMIF('NFI Tracking'!AQ$11:AQ$1048576,Table10[[#This Row],[Pcode]],'NFI Tracking'!AI$11:AI$1048576)</f>
        <v>0</v>
      </c>
      <c r="H97" s="277">
        <f>SUMIF('NFI Tracking'!AQ$11:AQ$1048576,Table10[[#This Row],[Pcode]],'NFI Tracking'!AJ$11:AJ$1048576)</f>
        <v>0</v>
      </c>
      <c r="I97" s="277">
        <f>SUMIF('NFI Tracking'!AQ$11:AQ$1048576,Table10[[#This Row],[Pcode]],'NFI Tracking'!AK$11:AK$1048576)</f>
        <v>0</v>
      </c>
      <c r="J97" s="277">
        <f ca="1">MAX(Table10[[#This Row],[HH]]*VLOOKUP("Winter Clothes Adult",NFI,6)-Table10[[#This Row],[Winter Clothes Adult ]],0)</f>
        <v>942</v>
      </c>
      <c r="K97" s="277">
        <f ca="1">MAX(Table10[[#This Row],[HH]]*VLOOKUP("Winter Clothes Children ",NFI,6)-Table10[[#This Row],[Winter Clothes Children ]],0)</f>
        <v>471</v>
      </c>
      <c r="L97" s="277">
        <f ca="1">MAX(Table10[[#This Row],[HH]]*VLOOKUP("Winter Items Other ",NFI,6)-Table10[[#This Row],[Winter Items Other ]],0)</f>
        <v>471</v>
      </c>
      <c r="M97" s="310" t="str">
        <f>IF(OR(Table10[[#This Row],[Winter Clothes Adult ]]&lt;&gt;0,Table10[[#This Row],[Winter Clothes Children ]]&lt;&gt;0,Table10[[#This Row],[Winter Items Other ]]&lt;&gt;0),"No","")</f>
        <v/>
      </c>
      <c r="N97" s="311">
        <f>COUNTIF(A:A,Table10[[#This Row],[Pcode]])-1</f>
        <v>0</v>
      </c>
    </row>
    <row r="98" spans="1:14" x14ac:dyDescent="0.25">
      <c r="A98" s="259" t="s">
        <v>325</v>
      </c>
      <c r="B98" s="18" t="str">
        <f ca="1">OFFSET(CampList[Priority],MATCH(Table10[[#This Row],[Pcode]],CampList[CP_Pcode],0)-1,0,1,1)</f>
        <v>P4</v>
      </c>
      <c r="C98" s="18" t="str">
        <f ca="1">OFFSET(CampList[Camp],MATCH(Table10[[#This Row],[Pcode]],CampList[CP_Pcode],0)-1,0,1,1)</f>
        <v>Maina Lawang Baptist Church</v>
      </c>
      <c r="D98" s="18" t="str">
        <f ca="1">OFFSET(CampList[Township],MATCH(Table10[[#This Row],[Pcode]],CampList[CP_Pcode],0)-1,0,1,1)</f>
        <v>Waingmaw</v>
      </c>
      <c r="E98" s="277">
        <f ca="1">OFFSET(CampList[HH],MATCH(Table10[[#This Row],[Pcode]],CampList[CP_Pcode],0)-1,0,1,1)</f>
        <v>45</v>
      </c>
      <c r="F98" s="277">
        <f ca="1">OFFSET(CampList[Total],MATCH(Table10[[#This Row],[Pcode]],CampList[CP_Pcode],0)-1,0,1,1)</f>
        <v>152</v>
      </c>
      <c r="G98" s="277">
        <f>SUMIF('NFI Tracking'!AQ$11:AQ$1048576,Table10[[#This Row],[Pcode]],'NFI Tracking'!AI$11:AI$1048576)</f>
        <v>0</v>
      </c>
      <c r="H98" s="277">
        <f>SUMIF('NFI Tracking'!AQ$11:AQ$1048576,Table10[[#This Row],[Pcode]],'NFI Tracking'!AJ$11:AJ$1048576)</f>
        <v>0</v>
      </c>
      <c r="I98" s="277">
        <f>SUMIF('NFI Tracking'!AQ$11:AQ$1048576,Table10[[#This Row],[Pcode]],'NFI Tracking'!AK$11:AK$1048576)</f>
        <v>0</v>
      </c>
      <c r="J98" s="277">
        <f ca="1">MAX(Table10[[#This Row],[HH]]*VLOOKUP("Winter Clothes Adult",NFI,6)-Table10[[#This Row],[Winter Clothes Adult ]],0)</f>
        <v>90</v>
      </c>
      <c r="K98" s="277">
        <f ca="1">MAX(Table10[[#This Row],[HH]]*VLOOKUP("Winter Clothes Children ",NFI,6)-Table10[[#This Row],[Winter Clothes Children ]],0)</f>
        <v>45</v>
      </c>
      <c r="L98" s="277">
        <f ca="1">MAX(Table10[[#This Row],[HH]]*VLOOKUP("Winter Items Other ",NFI,6)-Table10[[#This Row],[Winter Items Other ]],0)</f>
        <v>45</v>
      </c>
      <c r="M98" s="310" t="str">
        <f>IF(OR(Table10[[#This Row],[Winter Clothes Adult ]]&lt;&gt;0,Table10[[#This Row],[Winter Clothes Children ]]&lt;&gt;0,Table10[[#This Row],[Winter Items Other ]]&lt;&gt;0),"No","")</f>
        <v/>
      </c>
      <c r="N98" s="311">
        <f>COUNTIF(A:A,Table10[[#This Row],[Pcode]])-1</f>
        <v>0</v>
      </c>
    </row>
    <row r="99" spans="1:14" x14ac:dyDescent="0.25">
      <c r="A99" s="259" t="s">
        <v>886</v>
      </c>
      <c r="B99" s="18" t="str">
        <f ca="1">OFFSET(CampList[Priority],MATCH(Table10[[#This Row],[Pcode]],CampList[CP_Pcode],0)-1,0,1,1)</f>
        <v>P4</v>
      </c>
      <c r="C99" s="18" t="str">
        <f ca="1">OFFSET(CampList[Camp],MATCH(Table10[[#This Row],[Pcode]],CampList[CP_Pcode],0)-1,0,1,1)</f>
        <v>Maing Khaung</v>
      </c>
      <c r="D99" s="18" t="str">
        <f ca="1">OFFSET(CampList[Township],MATCH(Table10[[#This Row],[Pcode]],CampList[CP_Pcode],0)-1,0,1,1)</f>
        <v>Mansi</v>
      </c>
      <c r="E99" s="277">
        <f ca="1">OFFSET(CampList[HH],MATCH(Table10[[#This Row],[Pcode]],CampList[CP_Pcode],0)-1,0,1,1)</f>
        <v>389</v>
      </c>
      <c r="F99" s="277">
        <f ca="1">OFFSET(CampList[Total],MATCH(Table10[[#This Row],[Pcode]],CampList[CP_Pcode],0)-1,0,1,1)</f>
        <v>1799</v>
      </c>
      <c r="G99" s="277">
        <f>SUMIF('NFI Tracking'!AQ$11:AQ$1048576,Table10[[#This Row],[Pcode]],'NFI Tracking'!AI$11:AI$1048576)</f>
        <v>0</v>
      </c>
      <c r="H99" s="277">
        <f>SUMIF('NFI Tracking'!AQ$11:AQ$1048576,Table10[[#This Row],[Pcode]],'NFI Tracking'!AJ$11:AJ$1048576)</f>
        <v>0</v>
      </c>
      <c r="I99" s="277">
        <f>SUMIF('NFI Tracking'!AQ$11:AQ$1048576,Table10[[#This Row],[Pcode]],'NFI Tracking'!AK$11:AK$1048576)</f>
        <v>0</v>
      </c>
      <c r="J99" s="277">
        <f ca="1">MAX(Table10[[#This Row],[HH]]*VLOOKUP("Winter Clothes Adult",NFI,6)-Table10[[#This Row],[Winter Clothes Adult ]],0)</f>
        <v>778</v>
      </c>
      <c r="K99" s="277">
        <f ca="1">MAX(Table10[[#This Row],[HH]]*VLOOKUP("Winter Clothes Children ",NFI,6)-Table10[[#This Row],[Winter Clothes Children ]],0)</f>
        <v>389</v>
      </c>
      <c r="L99" s="277">
        <f ca="1">MAX(Table10[[#This Row],[HH]]*VLOOKUP("Winter Items Other ",NFI,6)-Table10[[#This Row],[Winter Items Other ]],0)</f>
        <v>389</v>
      </c>
      <c r="M99" s="310" t="str">
        <f>IF(OR(Table10[[#This Row],[Winter Clothes Adult ]]&lt;&gt;0,Table10[[#This Row],[Winter Clothes Children ]]&lt;&gt;0,Table10[[#This Row],[Winter Items Other ]]&lt;&gt;0),"No","")</f>
        <v/>
      </c>
      <c r="N99" s="311">
        <f>COUNTIF(A:A,Table10[[#This Row],[Pcode]])-1</f>
        <v>0</v>
      </c>
    </row>
    <row r="100" spans="1:14" x14ac:dyDescent="0.25">
      <c r="A100" s="259" t="s">
        <v>941</v>
      </c>
      <c r="B100" s="18" t="str">
        <f ca="1">OFFSET(CampList[Priority],MATCH(Table10[[#This Row],[Pcode]],CampList[CP_Pcode],0)-1,0,1,1)</f>
        <v>P4</v>
      </c>
      <c r="C100" s="18" t="str">
        <f ca="1">OFFSET(CampList[Camp],MATCH(Table10[[#This Row],[Pcode]],CampList[CP_Pcode],0)-1,0,1,1)</f>
        <v>Maing Khaung Catholic Church</v>
      </c>
      <c r="D100" s="18" t="str">
        <f ca="1">OFFSET(CampList[Township],MATCH(Table10[[#This Row],[Pcode]],CampList[CP_Pcode],0)-1,0,1,1)</f>
        <v>Mansi</v>
      </c>
      <c r="E100" s="277">
        <f ca="1">OFFSET(CampList[HH],MATCH(Table10[[#This Row],[Pcode]],CampList[CP_Pcode],0)-1,0,1,1)</f>
        <v>167</v>
      </c>
      <c r="F100" s="277">
        <f ca="1">OFFSET(CampList[Total],MATCH(Table10[[#This Row],[Pcode]],CampList[CP_Pcode],0)-1,0,1,1)</f>
        <v>730</v>
      </c>
      <c r="G100" s="277">
        <f>SUMIF('NFI Tracking'!AQ$11:AQ$1048576,Table10[[#This Row],[Pcode]],'NFI Tracking'!AI$11:AI$1048576)</f>
        <v>0</v>
      </c>
      <c r="H100" s="277">
        <f>SUMIF('NFI Tracking'!AQ$11:AQ$1048576,Table10[[#This Row],[Pcode]],'NFI Tracking'!AJ$11:AJ$1048576)</f>
        <v>0</v>
      </c>
      <c r="I100" s="277">
        <f>SUMIF('NFI Tracking'!AQ$11:AQ$1048576,Table10[[#This Row],[Pcode]],'NFI Tracking'!AK$11:AK$1048576)</f>
        <v>0</v>
      </c>
      <c r="J100" s="277">
        <f ca="1">MAX(Table10[[#This Row],[HH]]*VLOOKUP("Winter Clothes Adult",NFI,6)-Table10[[#This Row],[Winter Clothes Adult ]],0)</f>
        <v>334</v>
      </c>
      <c r="K100" s="277">
        <f ca="1">MAX(Table10[[#This Row],[HH]]*VLOOKUP("Winter Clothes Children ",NFI,6)-Table10[[#This Row],[Winter Clothes Children ]],0)</f>
        <v>167</v>
      </c>
      <c r="L100" s="277">
        <f ca="1">MAX(Table10[[#This Row],[HH]]*VLOOKUP("Winter Items Other ",NFI,6)-Table10[[#This Row],[Winter Items Other ]],0)</f>
        <v>167</v>
      </c>
      <c r="M100" s="310" t="str">
        <f>IF(OR(Table10[[#This Row],[Winter Clothes Adult ]]&lt;&gt;0,Table10[[#This Row],[Winter Clothes Children ]]&lt;&gt;0,Table10[[#This Row],[Winter Items Other ]]&lt;&gt;0),"No","")</f>
        <v/>
      </c>
      <c r="N100" s="311">
        <f>COUNTIF(A:A,Table10[[#This Row],[Pcode]])-1</f>
        <v>0</v>
      </c>
    </row>
    <row r="101" spans="1:14" x14ac:dyDescent="0.25">
      <c r="A101" s="259" t="s">
        <v>258</v>
      </c>
      <c r="B101" s="18" t="str">
        <f ca="1">OFFSET(CampList[Priority],MATCH(Table10[[#This Row],[Pcode]],CampList[CP_Pcode],0)-1,0,1,1)</f>
        <v>P4</v>
      </c>
      <c r="C101" s="18" t="str">
        <f ca="1">OFFSET(CampList[Camp],MATCH(Table10[[#This Row],[Pcode]],CampList[CP_Pcode],0)-1,0,1,1)</f>
        <v>Maliyang Baptist Church</v>
      </c>
      <c r="D101" s="18" t="str">
        <f ca="1">OFFSET(CampList[Township],MATCH(Table10[[#This Row],[Pcode]],CampList[CP_Pcode],0)-1,0,1,1)</f>
        <v>Myitkyina</v>
      </c>
      <c r="E101" s="277">
        <f ca="1">OFFSET(CampList[HH],MATCH(Table10[[#This Row],[Pcode]],CampList[CP_Pcode],0)-1,0,1,1)</f>
        <v>61</v>
      </c>
      <c r="F101" s="277">
        <f ca="1">OFFSET(CampList[Total],MATCH(Table10[[#This Row],[Pcode]],CampList[CP_Pcode],0)-1,0,1,1)</f>
        <v>303</v>
      </c>
      <c r="G101" s="277">
        <f>SUMIF('NFI Tracking'!AQ$11:AQ$1048576,Table10[[#This Row],[Pcode]],'NFI Tracking'!AI$11:AI$1048576)</f>
        <v>0</v>
      </c>
      <c r="H101" s="277">
        <f>SUMIF('NFI Tracking'!AQ$11:AQ$1048576,Table10[[#This Row],[Pcode]],'NFI Tracking'!AJ$11:AJ$1048576)</f>
        <v>0</v>
      </c>
      <c r="I101" s="277">
        <f>SUMIF('NFI Tracking'!AQ$11:AQ$1048576,Table10[[#This Row],[Pcode]],'NFI Tracking'!AK$11:AK$1048576)</f>
        <v>0</v>
      </c>
      <c r="J101" s="277">
        <f ca="1">MAX(Table10[[#This Row],[HH]]*VLOOKUP("Winter Clothes Adult",NFI,6)-Table10[[#This Row],[Winter Clothes Adult ]],0)</f>
        <v>122</v>
      </c>
      <c r="K101" s="277">
        <f ca="1">MAX(Table10[[#This Row],[HH]]*VLOOKUP("Winter Clothes Children ",NFI,6)-Table10[[#This Row],[Winter Clothes Children ]],0)</f>
        <v>61</v>
      </c>
      <c r="L101" s="277">
        <f ca="1">MAX(Table10[[#This Row],[HH]]*VLOOKUP("Winter Items Other ",NFI,6)-Table10[[#This Row],[Winter Items Other ]],0)</f>
        <v>61</v>
      </c>
      <c r="M101" s="310" t="str">
        <f>IF(OR(Table10[[#This Row],[Winter Clothes Adult ]]&lt;&gt;0,Table10[[#This Row],[Winter Clothes Children ]]&lt;&gt;0,Table10[[#This Row],[Winter Items Other ]]&lt;&gt;0),"No","")</f>
        <v/>
      </c>
      <c r="N101" s="311">
        <f>COUNTIF(A:A,Table10[[#This Row],[Pcode]])-1</f>
        <v>0</v>
      </c>
    </row>
    <row r="102" spans="1:14" x14ac:dyDescent="0.25">
      <c r="A102" s="259" t="s">
        <v>201</v>
      </c>
      <c r="B102" s="18" t="str">
        <f ca="1">OFFSET(CampList[Priority],MATCH(Table10[[#This Row],[Pcode]],CampList[CP_Pcode],0)-1,0,1,1)</f>
        <v>P4</v>
      </c>
      <c r="C102" s="18" t="str">
        <f ca="1">OFFSET(CampList[Camp],MATCH(Table10[[#This Row],[Pcode]],CampList[CP_Pcode],0)-1,0,1,1)</f>
        <v>Man Bung Catholic compound</v>
      </c>
      <c r="D102" s="18" t="str">
        <f ca="1">OFFSET(CampList[Township],MATCH(Table10[[#This Row],[Pcode]],CampList[CP_Pcode],0)-1,0,1,1)</f>
        <v>Momauk</v>
      </c>
      <c r="E102" s="277">
        <f ca="1">OFFSET(CampList[HH],MATCH(Table10[[#This Row],[Pcode]],CampList[CP_Pcode],0)-1,0,1,1)</f>
        <v>265</v>
      </c>
      <c r="F102" s="277">
        <f ca="1">OFFSET(CampList[Total],MATCH(Table10[[#This Row],[Pcode]],CampList[CP_Pcode],0)-1,0,1,1)</f>
        <v>1183</v>
      </c>
      <c r="G102" s="277">
        <f>SUMIF('NFI Tracking'!AQ$11:AQ$1048576,Table10[[#This Row],[Pcode]],'NFI Tracking'!AI$11:AI$1048576)</f>
        <v>0</v>
      </c>
      <c r="H102" s="277">
        <f>SUMIF('NFI Tracking'!AQ$11:AQ$1048576,Table10[[#This Row],[Pcode]],'NFI Tracking'!AJ$11:AJ$1048576)</f>
        <v>0</v>
      </c>
      <c r="I102" s="277">
        <f>SUMIF('NFI Tracking'!AQ$11:AQ$1048576,Table10[[#This Row],[Pcode]],'NFI Tracking'!AK$11:AK$1048576)</f>
        <v>0</v>
      </c>
      <c r="J102" s="277">
        <f ca="1">MAX(Table10[[#This Row],[HH]]*VLOOKUP("Winter Clothes Adult",NFI,6)-Table10[[#This Row],[Winter Clothes Adult ]],0)</f>
        <v>530</v>
      </c>
      <c r="K102" s="277">
        <f ca="1">MAX(Table10[[#This Row],[HH]]*VLOOKUP("Winter Clothes Children ",NFI,6)-Table10[[#This Row],[Winter Clothes Children ]],0)</f>
        <v>265</v>
      </c>
      <c r="L102" s="277">
        <f ca="1">MAX(Table10[[#This Row],[HH]]*VLOOKUP("Winter Items Other ",NFI,6)-Table10[[#This Row],[Winter Items Other ]],0)</f>
        <v>265</v>
      </c>
      <c r="M102" s="310" t="str">
        <f>IF(OR(Table10[[#This Row],[Winter Clothes Adult ]]&lt;&gt;0,Table10[[#This Row],[Winter Clothes Children ]]&lt;&gt;0,Table10[[#This Row],[Winter Items Other ]]&lt;&gt;0),"No","")</f>
        <v/>
      </c>
      <c r="N102" s="311">
        <f>COUNTIF(A:A,Table10[[#This Row],[Pcode]])-1</f>
        <v>0</v>
      </c>
    </row>
    <row r="103" spans="1:14" x14ac:dyDescent="0.25">
      <c r="A103" s="259" t="s">
        <v>260</v>
      </c>
      <c r="B103" s="18" t="str">
        <f ca="1">OFFSET(CampList[Priority],MATCH(Table10[[#This Row],[Pcode]],CampList[CP_Pcode],0)-1,0,1,1)</f>
        <v>P4</v>
      </c>
      <c r="C103" s="18" t="str">
        <f ca="1">OFFSET(CampList[Camp],MATCH(Table10[[#This Row],[Pcode]],CampList[CP_Pcode],0)-1,0,1,1)</f>
        <v>Man Hkring Baptist Church</v>
      </c>
      <c r="D103" s="18" t="str">
        <f ca="1">OFFSET(CampList[Township],MATCH(Table10[[#This Row],[Pcode]],CampList[CP_Pcode],0)-1,0,1,1)</f>
        <v>Myitkyina</v>
      </c>
      <c r="E103" s="277">
        <f ca="1">OFFSET(CampList[HH],MATCH(Table10[[#This Row],[Pcode]],CampList[CP_Pcode],0)-1,0,1,1)</f>
        <v>101</v>
      </c>
      <c r="F103" s="277">
        <f ca="1">OFFSET(CampList[Total],MATCH(Table10[[#This Row],[Pcode]],CampList[CP_Pcode],0)-1,0,1,1)</f>
        <v>545</v>
      </c>
      <c r="G103" s="277">
        <f>SUMIF('NFI Tracking'!AQ$11:AQ$1048576,Table10[[#This Row],[Pcode]],'NFI Tracking'!AI$11:AI$1048576)</f>
        <v>0</v>
      </c>
      <c r="H103" s="277">
        <f>SUMIF('NFI Tracking'!AQ$11:AQ$1048576,Table10[[#This Row],[Pcode]],'NFI Tracking'!AJ$11:AJ$1048576)</f>
        <v>0</v>
      </c>
      <c r="I103" s="277">
        <f>SUMIF('NFI Tracking'!AQ$11:AQ$1048576,Table10[[#This Row],[Pcode]],'NFI Tracking'!AK$11:AK$1048576)</f>
        <v>0</v>
      </c>
      <c r="J103" s="277">
        <f ca="1">MAX(Table10[[#This Row],[HH]]*VLOOKUP("Winter Clothes Adult",NFI,6)-Table10[[#This Row],[Winter Clothes Adult ]],0)</f>
        <v>202</v>
      </c>
      <c r="K103" s="277">
        <f ca="1">MAX(Table10[[#This Row],[HH]]*VLOOKUP("Winter Clothes Children ",NFI,6)-Table10[[#This Row],[Winter Clothes Children ]],0)</f>
        <v>101</v>
      </c>
      <c r="L103" s="277">
        <f ca="1">MAX(Table10[[#This Row],[HH]]*VLOOKUP("Winter Items Other ",NFI,6)-Table10[[#This Row],[Winter Items Other ]],0)</f>
        <v>101</v>
      </c>
      <c r="M103" s="310" t="str">
        <f>IF(OR(Table10[[#This Row],[Winter Clothes Adult ]]&lt;&gt;0,Table10[[#This Row],[Winter Clothes Children ]]&lt;&gt;0,Table10[[#This Row],[Winter Items Other ]]&lt;&gt;0),"No","")</f>
        <v/>
      </c>
      <c r="N103" s="311">
        <f>COUNTIF(A:A,Table10[[#This Row],[Pcode]])-1</f>
        <v>0</v>
      </c>
    </row>
    <row r="104" spans="1:14" x14ac:dyDescent="0.25">
      <c r="A104" s="259" t="s">
        <v>203</v>
      </c>
      <c r="B104" s="18" t="str">
        <f ca="1">OFFSET(CampList[Priority],MATCH(Table10[[#This Row],[Pcode]],CampList[CP_Pcode],0)-1,0,1,1)</f>
        <v>P4</v>
      </c>
      <c r="C104" s="18" t="str">
        <f ca="1">OFFSET(CampList[Camp],MATCH(Table10[[#This Row],[Pcode]],CampList[CP_Pcode],0)-1,0,1,1)</f>
        <v xml:space="preserve">Man Nawng </v>
      </c>
      <c r="D104" s="18" t="str">
        <f ca="1">OFFSET(CampList[Township],MATCH(Table10[[#This Row],[Pcode]],CampList[CP_Pcode],0)-1,0,1,1)</f>
        <v>Momauk</v>
      </c>
      <c r="E104" s="277">
        <f ca="1">OFFSET(CampList[HH],MATCH(Table10[[#This Row],[Pcode]],CampList[CP_Pcode],0)-1,0,1,1)</f>
        <v>28</v>
      </c>
      <c r="F104" s="277">
        <f ca="1">OFFSET(CampList[Total],MATCH(Table10[[#This Row],[Pcode]],CampList[CP_Pcode],0)-1,0,1,1)</f>
        <v>136</v>
      </c>
      <c r="G104" s="277">
        <f>SUMIF('NFI Tracking'!AQ$11:AQ$1048576,Table10[[#This Row],[Pcode]],'NFI Tracking'!AI$11:AI$1048576)</f>
        <v>0</v>
      </c>
      <c r="H104" s="277">
        <f>SUMIF('NFI Tracking'!AQ$11:AQ$1048576,Table10[[#This Row],[Pcode]],'NFI Tracking'!AJ$11:AJ$1048576)</f>
        <v>0</v>
      </c>
      <c r="I104" s="277">
        <f>SUMIF('NFI Tracking'!AQ$11:AQ$1048576,Table10[[#This Row],[Pcode]],'NFI Tracking'!AK$11:AK$1048576)</f>
        <v>0</v>
      </c>
      <c r="J104" s="277">
        <f ca="1">MAX(Table10[[#This Row],[HH]]*VLOOKUP("Winter Clothes Adult",NFI,6)-Table10[[#This Row],[Winter Clothes Adult ]],0)</f>
        <v>56</v>
      </c>
      <c r="K104" s="277">
        <f ca="1">MAX(Table10[[#This Row],[HH]]*VLOOKUP("Winter Clothes Children ",NFI,6)-Table10[[#This Row],[Winter Clothes Children ]],0)</f>
        <v>28</v>
      </c>
      <c r="L104" s="277">
        <f ca="1">MAX(Table10[[#This Row],[HH]]*VLOOKUP("Winter Items Other ",NFI,6)-Table10[[#This Row],[Winter Items Other ]],0)</f>
        <v>28</v>
      </c>
      <c r="M104" s="310" t="str">
        <f>IF(OR(Table10[[#This Row],[Winter Clothes Adult ]]&lt;&gt;0,Table10[[#This Row],[Winter Clothes Children ]]&lt;&gt;0,Table10[[#This Row],[Winter Items Other ]]&lt;&gt;0),"No","")</f>
        <v/>
      </c>
      <c r="N104" s="311">
        <f>COUNTIF(A:A,Table10[[#This Row],[Pcode]])-1</f>
        <v>0</v>
      </c>
    </row>
    <row r="105" spans="1:14" x14ac:dyDescent="0.25">
      <c r="A105" s="259" t="s">
        <v>392</v>
      </c>
      <c r="B105" s="18" t="str">
        <f ca="1">OFFSET(CampList[Priority],MATCH(Table10[[#This Row],[Pcode]],CampList[CP_Pcode],0)-1,0,1,1)</f>
        <v>P4</v>
      </c>
      <c r="C105" s="18" t="str">
        <f ca="1">OFFSET(CampList[Camp],MATCH(Table10[[#This Row],[Pcode]],CampList[CP_Pcode],0)-1,0,1,1)</f>
        <v>Man Ting</v>
      </c>
      <c r="D105" s="18" t="str">
        <f ca="1">OFFSET(CampList[Township],MATCH(Table10[[#This Row],[Pcode]],CampList[CP_Pcode],0)-1,0,1,1)</f>
        <v>Momauk</v>
      </c>
      <c r="E105" s="277">
        <f ca="1">OFFSET(CampList[HH],MATCH(Table10[[#This Row],[Pcode]],CampList[CP_Pcode],0)-1,0,1,1)</f>
        <v>0</v>
      </c>
      <c r="F105" s="277">
        <f ca="1">OFFSET(CampList[Total],MATCH(Table10[[#This Row],[Pcode]],CampList[CP_Pcode],0)-1,0,1,1)</f>
        <v>0</v>
      </c>
      <c r="G105" s="277">
        <f>SUMIF('NFI Tracking'!AQ$11:AQ$1048576,Table10[[#This Row],[Pcode]],'NFI Tracking'!AI$11:AI$1048576)</f>
        <v>0</v>
      </c>
      <c r="H105" s="277">
        <f>SUMIF('NFI Tracking'!AQ$11:AQ$1048576,Table10[[#This Row],[Pcode]],'NFI Tracking'!AJ$11:AJ$1048576)</f>
        <v>0</v>
      </c>
      <c r="I105" s="277">
        <f>SUMIF('NFI Tracking'!AQ$11:AQ$1048576,Table10[[#This Row],[Pcode]],'NFI Tracking'!AK$11:AK$1048576)</f>
        <v>0</v>
      </c>
      <c r="J105" s="277">
        <f ca="1">MAX(Table10[[#This Row],[HH]]*VLOOKUP("Winter Clothes Adult",NFI,6)-Table10[[#This Row],[Winter Clothes Adult ]],0)</f>
        <v>0</v>
      </c>
      <c r="K105" s="277">
        <f ca="1">MAX(Table10[[#This Row],[HH]]*VLOOKUP("Winter Clothes Children ",NFI,6)-Table10[[#This Row],[Winter Clothes Children ]],0)</f>
        <v>0</v>
      </c>
      <c r="L105" s="277">
        <f ca="1">MAX(Table10[[#This Row],[HH]]*VLOOKUP("Winter Items Other ",NFI,6)-Table10[[#This Row],[Winter Items Other ]],0)</f>
        <v>0</v>
      </c>
      <c r="M105" s="310" t="str">
        <f>IF(OR(Table10[[#This Row],[Winter Clothes Adult ]]&lt;&gt;0,Table10[[#This Row],[Winter Clothes Children ]]&lt;&gt;0,Table10[[#This Row],[Winter Items Other ]]&lt;&gt;0),"No","")</f>
        <v/>
      </c>
      <c r="N105" s="311">
        <f>COUNTIF(A:A,Table10[[#This Row],[Pcode]])-1</f>
        <v>0</v>
      </c>
    </row>
    <row r="106" spans="1:14" x14ac:dyDescent="0.25">
      <c r="A106" s="259" t="s">
        <v>159</v>
      </c>
      <c r="B106" s="18" t="str">
        <f ca="1">OFFSET(CampList[Priority],MATCH(Table10[[#This Row],[Pcode]],CampList[CP_Pcode],0)-1,0,1,1)</f>
        <v>P4</v>
      </c>
      <c r="C106" s="18" t="str">
        <f ca="1">OFFSET(CampList[Camp],MATCH(Table10[[#This Row],[Pcode]],CampList[CP_Pcode],0)-1,0,1,1)</f>
        <v>Man Wing Baptist Church</v>
      </c>
      <c r="D106" s="18" t="str">
        <f ca="1">OFFSET(CampList[Township],MATCH(Table10[[#This Row],[Pcode]],CampList[CP_Pcode],0)-1,0,1,1)</f>
        <v>Mansi</v>
      </c>
      <c r="E106" s="277">
        <f ca="1">OFFSET(CampList[HH],MATCH(Table10[[#This Row],[Pcode]],CampList[CP_Pcode],0)-1,0,1,1)</f>
        <v>107</v>
      </c>
      <c r="F106" s="277">
        <f ca="1">OFFSET(CampList[Total],MATCH(Table10[[#This Row],[Pcode]],CampList[CP_Pcode],0)-1,0,1,1)</f>
        <v>539</v>
      </c>
      <c r="G106" s="277">
        <f>SUMIF('NFI Tracking'!AQ$11:AQ$1048576,Table10[[#This Row],[Pcode]],'NFI Tracking'!AI$11:AI$1048576)</f>
        <v>0</v>
      </c>
      <c r="H106" s="277">
        <f>SUMIF('NFI Tracking'!AQ$11:AQ$1048576,Table10[[#This Row],[Pcode]],'NFI Tracking'!AJ$11:AJ$1048576)</f>
        <v>0</v>
      </c>
      <c r="I106" s="277">
        <f>SUMIF('NFI Tracking'!AQ$11:AQ$1048576,Table10[[#This Row],[Pcode]],'NFI Tracking'!AK$11:AK$1048576)</f>
        <v>0</v>
      </c>
      <c r="J106" s="277">
        <f ca="1">MAX(Table10[[#This Row],[HH]]*VLOOKUP("Winter Clothes Adult",NFI,6)-Table10[[#This Row],[Winter Clothes Adult ]],0)</f>
        <v>214</v>
      </c>
      <c r="K106" s="277">
        <f ca="1">MAX(Table10[[#This Row],[HH]]*VLOOKUP("Winter Clothes Children ",NFI,6)-Table10[[#This Row],[Winter Clothes Children ]],0)</f>
        <v>107</v>
      </c>
      <c r="L106" s="277">
        <f ca="1">MAX(Table10[[#This Row],[HH]]*VLOOKUP("Winter Items Other ",NFI,6)-Table10[[#This Row],[Winter Items Other ]],0)</f>
        <v>107</v>
      </c>
      <c r="M106" s="310" t="str">
        <f>IF(OR(Table10[[#This Row],[Winter Clothes Adult ]]&lt;&gt;0,Table10[[#This Row],[Winter Clothes Children ]]&lt;&gt;0,Table10[[#This Row],[Winter Items Other ]]&lt;&gt;0),"No","")</f>
        <v/>
      </c>
      <c r="N106" s="311">
        <f>COUNTIF(A:A,Table10[[#This Row],[Pcode]])-1</f>
        <v>0</v>
      </c>
    </row>
    <row r="107" spans="1:14" x14ac:dyDescent="0.25">
      <c r="A107" s="259" t="s">
        <v>153</v>
      </c>
      <c r="B107" s="18" t="str">
        <f ca="1">OFFSET(CampList[Priority],MATCH(Table10[[#This Row],[Pcode]],CampList[CP_Pcode],0)-1,0,1,1)</f>
        <v>P4</v>
      </c>
      <c r="C107" s="18" t="str">
        <f ca="1">OFFSET(CampList[Camp],MATCH(Table10[[#This Row],[Pcode]],CampList[CP_Pcode],0)-1,0,1,1)</f>
        <v>Man Wing Catholic Church</v>
      </c>
      <c r="D107" s="18" t="str">
        <f ca="1">OFFSET(CampList[Township],MATCH(Table10[[#This Row],[Pcode]],CampList[CP_Pcode],0)-1,0,1,1)</f>
        <v>Mansi</v>
      </c>
      <c r="E107" s="277">
        <f ca="1">OFFSET(CampList[HH],MATCH(Table10[[#This Row],[Pcode]],CampList[CP_Pcode],0)-1,0,1,1)</f>
        <v>480</v>
      </c>
      <c r="F107" s="277">
        <f ca="1">OFFSET(CampList[Total],MATCH(Table10[[#This Row],[Pcode]],CampList[CP_Pcode],0)-1,0,1,1)</f>
        <v>2437</v>
      </c>
      <c r="G107" s="277">
        <f>SUMIF('NFI Tracking'!AQ$11:AQ$1048576,Table10[[#This Row],[Pcode]],'NFI Tracking'!AI$11:AI$1048576)</f>
        <v>0</v>
      </c>
      <c r="H107" s="277">
        <f>SUMIF('NFI Tracking'!AQ$11:AQ$1048576,Table10[[#This Row],[Pcode]],'NFI Tracking'!AJ$11:AJ$1048576)</f>
        <v>0</v>
      </c>
      <c r="I107" s="277">
        <f>SUMIF('NFI Tracking'!AQ$11:AQ$1048576,Table10[[#This Row],[Pcode]],'NFI Tracking'!AK$11:AK$1048576)</f>
        <v>0</v>
      </c>
      <c r="J107" s="277">
        <f ca="1">MAX(Table10[[#This Row],[HH]]*VLOOKUP("Winter Clothes Adult",NFI,6)-Table10[[#This Row],[Winter Clothes Adult ]],0)</f>
        <v>960</v>
      </c>
      <c r="K107" s="277">
        <f ca="1">MAX(Table10[[#This Row],[HH]]*VLOOKUP("Winter Clothes Children ",NFI,6)-Table10[[#This Row],[Winter Clothes Children ]],0)</f>
        <v>480</v>
      </c>
      <c r="L107" s="277">
        <f ca="1">MAX(Table10[[#This Row],[HH]]*VLOOKUP("Winter Items Other ",NFI,6)-Table10[[#This Row],[Winter Items Other ]],0)</f>
        <v>480</v>
      </c>
      <c r="M107" s="310" t="str">
        <f>IF(OR(Table10[[#This Row],[Winter Clothes Adult ]]&lt;&gt;0,Table10[[#This Row],[Winter Clothes Children ]]&lt;&gt;0,Table10[[#This Row],[Winter Items Other ]]&lt;&gt;0),"No","")</f>
        <v/>
      </c>
      <c r="N107" s="311">
        <f>COUNTIF(A:A,Table10[[#This Row],[Pcode]])-1</f>
        <v>0</v>
      </c>
    </row>
    <row r="108" spans="1:14" x14ac:dyDescent="0.25">
      <c r="A108" s="259" t="s">
        <v>1062</v>
      </c>
      <c r="B108" s="18" t="str">
        <f ca="1">OFFSET(CampList[Priority],MATCH(Table10[[#This Row],[Pcode]],CampList[CP_Pcode],0)-1,0,1,1)</f>
        <v>P4</v>
      </c>
      <c r="C108" s="18" t="str">
        <f ca="1">OFFSET(CampList[Camp],MATCH(Table10[[#This Row],[Pcode]],CampList[CP_Pcode],0)-1,0,1,1)</f>
        <v>Man Wing Catholic Church II</v>
      </c>
      <c r="D108" s="18" t="str">
        <f ca="1">OFFSET(CampList[Township],MATCH(Table10[[#This Row],[Pcode]],CampList[CP_Pcode],0)-1,0,1,1)</f>
        <v>Mansi</v>
      </c>
      <c r="E108" s="277">
        <f ca="1">OFFSET(CampList[HH],MATCH(Table10[[#This Row],[Pcode]],CampList[CP_Pcode],0)-1,0,1,1)</f>
        <v>147</v>
      </c>
      <c r="F108" s="277">
        <f ca="1">OFFSET(CampList[Total],MATCH(Table10[[#This Row],[Pcode]],CampList[CP_Pcode],0)-1,0,1,1)</f>
        <v>631</v>
      </c>
      <c r="G108" s="277">
        <f>SUMIF('NFI Tracking'!AQ$11:AQ$1048576,Table10[[#This Row],[Pcode]],'NFI Tracking'!AI$11:AI$1048576)</f>
        <v>0</v>
      </c>
      <c r="H108" s="277">
        <f>SUMIF('NFI Tracking'!AQ$11:AQ$1048576,Table10[[#This Row],[Pcode]],'NFI Tracking'!AJ$11:AJ$1048576)</f>
        <v>0</v>
      </c>
      <c r="I108" s="277">
        <f>SUMIF('NFI Tracking'!AQ$11:AQ$1048576,Table10[[#This Row],[Pcode]],'NFI Tracking'!AK$11:AK$1048576)</f>
        <v>0</v>
      </c>
      <c r="J108" s="277">
        <f ca="1">MAX(Table10[[#This Row],[HH]]*VLOOKUP("Winter Clothes Adult",NFI,6)-Table10[[#This Row],[Winter Clothes Adult ]],0)</f>
        <v>294</v>
      </c>
      <c r="K108" s="277">
        <f ca="1">MAX(Table10[[#This Row],[HH]]*VLOOKUP("Winter Clothes Children ",NFI,6)-Table10[[#This Row],[Winter Clothes Children ]],0)</f>
        <v>147</v>
      </c>
      <c r="L108" s="277">
        <f ca="1">MAX(Table10[[#This Row],[HH]]*VLOOKUP("Winter Items Other ",NFI,6)-Table10[[#This Row],[Winter Items Other ]],0)</f>
        <v>147</v>
      </c>
      <c r="M108" s="310" t="str">
        <f>IF(OR(Table10[[#This Row],[Winter Clothes Adult ]]&lt;&gt;0,Table10[[#This Row],[Winter Clothes Children ]]&lt;&gt;0,Table10[[#This Row],[Winter Items Other ]]&lt;&gt;0),"No","")</f>
        <v/>
      </c>
      <c r="N108" s="311">
        <f>COUNTIF(A:A,Table10[[#This Row],[Pcode]])-1</f>
        <v>0</v>
      </c>
    </row>
    <row r="109" spans="1:14" x14ac:dyDescent="0.25">
      <c r="A109" s="259" t="s">
        <v>155</v>
      </c>
      <c r="B109" s="18" t="str">
        <f ca="1">OFFSET(CampList[Priority],MATCH(Table10[[#This Row],[Pcode]],CampList[CP_Pcode],0)-1,0,1,1)</f>
        <v>P4</v>
      </c>
      <c r="C109" s="18" t="str">
        <f ca="1">OFFSET(CampList[Camp],MATCH(Table10[[#This Row],[Pcode]],CampList[CP_Pcode],0)-1,0,1,1)</f>
        <v>Man Wing Host Families</v>
      </c>
      <c r="D109" s="18" t="str">
        <f ca="1">OFFSET(CampList[Township],MATCH(Table10[[#This Row],[Pcode]],CampList[CP_Pcode],0)-1,0,1,1)</f>
        <v>Mansi</v>
      </c>
      <c r="E109" s="277">
        <f ca="1">OFFSET(CampList[HH],MATCH(Table10[[#This Row],[Pcode]],CampList[CP_Pcode],0)-1,0,1,1)</f>
        <v>175</v>
      </c>
      <c r="F109" s="277">
        <f ca="1">OFFSET(CampList[Total],MATCH(Table10[[#This Row],[Pcode]],CampList[CP_Pcode],0)-1,0,1,1)</f>
        <v>834</v>
      </c>
      <c r="G109" s="277">
        <f>SUMIF('NFI Tracking'!AQ$11:AQ$1048576,Table10[[#This Row],[Pcode]],'NFI Tracking'!AI$11:AI$1048576)</f>
        <v>0</v>
      </c>
      <c r="H109" s="277">
        <f>SUMIF('NFI Tracking'!AQ$11:AQ$1048576,Table10[[#This Row],[Pcode]],'NFI Tracking'!AJ$11:AJ$1048576)</f>
        <v>0</v>
      </c>
      <c r="I109" s="277">
        <f>SUMIF('NFI Tracking'!AQ$11:AQ$1048576,Table10[[#This Row],[Pcode]],'NFI Tracking'!AK$11:AK$1048576)</f>
        <v>0</v>
      </c>
      <c r="J109" s="277">
        <f ca="1">MAX(Table10[[#This Row],[HH]]*VLOOKUP("Winter Clothes Adult",NFI,6)-Table10[[#This Row],[Winter Clothes Adult ]],0)</f>
        <v>350</v>
      </c>
      <c r="K109" s="277">
        <f ca="1">MAX(Table10[[#This Row],[HH]]*VLOOKUP("Winter Clothes Children ",NFI,6)-Table10[[#This Row],[Winter Clothes Children ]],0)</f>
        <v>175</v>
      </c>
      <c r="L109" s="277">
        <f ca="1">MAX(Table10[[#This Row],[HH]]*VLOOKUP("Winter Items Other ",NFI,6)-Table10[[#This Row],[Winter Items Other ]],0)</f>
        <v>175</v>
      </c>
      <c r="M109" s="310" t="str">
        <f>IF(OR(Table10[[#This Row],[Winter Clothes Adult ]]&lt;&gt;0,Table10[[#This Row],[Winter Clothes Children ]]&lt;&gt;0,Table10[[#This Row],[Winter Items Other ]]&lt;&gt;0),"No","")</f>
        <v/>
      </c>
      <c r="N109" s="311">
        <f>COUNTIF(A:A,Table10[[#This Row],[Pcode]])-1</f>
        <v>0</v>
      </c>
    </row>
    <row r="110" spans="1:14" x14ac:dyDescent="0.25">
      <c r="A110" s="259" t="s">
        <v>206</v>
      </c>
      <c r="B110" s="18" t="str">
        <f ca="1">OFFSET(CampList[Priority],MATCH(Table10[[#This Row],[Pcode]],CampList[CP_Pcode],0)-1,0,1,1)</f>
        <v>P4</v>
      </c>
      <c r="C110" s="18" t="str">
        <f ca="1">OFFSET(CampList[Camp],MATCH(Table10[[#This Row],[Pcode]],CampList[CP_Pcode],0)-1,0,1,1)</f>
        <v>Mandalay Monestry</v>
      </c>
      <c r="D110" s="18" t="str">
        <f ca="1">OFFSET(CampList[Township],MATCH(Table10[[#This Row],[Pcode]],CampList[CP_Pcode],0)-1,0,1,1)</f>
        <v>Momauk</v>
      </c>
      <c r="E110" s="277">
        <f ca="1">OFFSET(CampList[HH],MATCH(Table10[[#This Row],[Pcode]],CampList[CP_Pcode],0)-1,0,1,1)</f>
        <v>0</v>
      </c>
      <c r="F110" s="277">
        <f ca="1">OFFSET(CampList[Total],MATCH(Table10[[#This Row],[Pcode]],CampList[CP_Pcode],0)-1,0,1,1)</f>
        <v>0</v>
      </c>
      <c r="G110" s="277">
        <f>SUMIF('NFI Tracking'!AQ$11:AQ$1048576,Table10[[#This Row],[Pcode]],'NFI Tracking'!AI$11:AI$1048576)</f>
        <v>0</v>
      </c>
      <c r="H110" s="277">
        <f>SUMIF('NFI Tracking'!AQ$11:AQ$1048576,Table10[[#This Row],[Pcode]],'NFI Tracking'!AJ$11:AJ$1048576)</f>
        <v>0</v>
      </c>
      <c r="I110" s="277">
        <f>SUMIF('NFI Tracking'!AQ$11:AQ$1048576,Table10[[#This Row],[Pcode]],'NFI Tracking'!AK$11:AK$1048576)</f>
        <v>0</v>
      </c>
      <c r="J110" s="277">
        <f ca="1">MAX(Table10[[#This Row],[HH]]*VLOOKUP("Winter Clothes Adult",NFI,6)-Table10[[#This Row],[Winter Clothes Adult ]],0)</f>
        <v>0</v>
      </c>
      <c r="K110" s="277">
        <f ca="1">MAX(Table10[[#This Row],[HH]]*VLOOKUP("Winter Clothes Children ",NFI,6)-Table10[[#This Row],[Winter Clothes Children ]],0)</f>
        <v>0</v>
      </c>
      <c r="L110" s="277">
        <f ca="1">MAX(Table10[[#This Row],[HH]]*VLOOKUP("Winter Items Other ",NFI,6)-Table10[[#This Row],[Winter Items Other ]],0)</f>
        <v>0</v>
      </c>
      <c r="M110" s="310" t="str">
        <f>IF(OR(Table10[[#This Row],[Winter Clothes Adult ]]&lt;&gt;0,Table10[[#This Row],[Winter Clothes Children ]]&lt;&gt;0,Table10[[#This Row],[Winter Items Other ]]&lt;&gt;0),"No","")</f>
        <v/>
      </c>
      <c r="N110" s="311">
        <f>COUNTIF(A:A,Table10[[#This Row],[Pcode]])-1</f>
        <v>0</v>
      </c>
    </row>
    <row r="111" spans="1:14" x14ac:dyDescent="0.25">
      <c r="A111" s="259" t="s">
        <v>175</v>
      </c>
      <c r="B111" s="18" t="str">
        <f ca="1">OFFSET(CampList[Priority],MATCH(Table10[[#This Row],[Pcode]],CampList[CP_Pcode],0)-1,0,1,1)</f>
        <v>P4</v>
      </c>
      <c r="C111" s="18" t="str">
        <f ca="1">OFFSET(CampList[Camp],MATCH(Table10[[#This Row],[Pcode]],CampList[CP_Pcode],0)-1,0,1,1)</f>
        <v>Mang Hawng Baptist Church</v>
      </c>
      <c r="D111" s="18" t="str">
        <f ca="1">OFFSET(CampList[Township],MATCH(Table10[[#This Row],[Pcode]],CampList[CP_Pcode],0)-1,0,1,1)</f>
        <v>Mogaung</v>
      </c>
      <c r="E111" s="277">
        <f ca="1">OFFSET(CampList[HH],MATCH(Table10[[#This Row],[Pcode]],CampList[CP_Pcode],0)-1,0,1,1)</f>
        <v>15</v>
      </c>
      <c r="F111" s="277">
        <f ca="1">OFFSET(CampList[Total],MATCH(Table10[[#This Row],[Pcode]],CampList[CP_Pcode],0)-1,0,1,1)</f>
        <v>71</v>
      </c>
      <c r="G111" s="277">
        <f>SUMIF('NFI Tracking'!AQ$11:AQ$1048576,Table10[[#This Row],[Pcode]],'NFI Tracking'!AI$11:AI$1048576)</f>
        <v>0</v>
      </c>
      <c r="H111" s="277">
        <f>SUMIF('NFI Tracking'!AQ$11:AQ$1048576,Table10[[#This Row],[Pcode]],'NFI Tracking'!AJ$11:AJ$1048576)</f>
        <v>0</v>
      </c>
      <c r="I111" s="277">
        <f>SUMIF('NFI Tracking'!AQ$11:AQ$1048576,Table10[[#This Row],[Pcode]],'NFI Tracking'!AK$11:AK$1048576)</f>
        <v>0</v>
      </c>
      <c r="J111" s="277">
        <f ca="1">MAX(Table10[[#This Row],[HH]]*VLOOKUP("Winter Clothes Adult",NFI,6)-Table10[[#This Row],[Winter Clothes Adult ]],0)</f>
        <v>30</v>
      </c>
      <c r="K111" s="277">
        <f ca="1">MAX(Table10[[#This Row],[HH]]*VLOOKUP("Winter Clothes Children ",NFI,6)-Table10[[#This Row],[Winter Clothes Children ]],0)</f>
        <v>15</v>
      </c>
      <c r="L111" s="277">
        <f ca="1">MAX(Table10[[#This Row],[HH]]*VLOOKUP("Winter Items Other ",NFI,6)-Table10[[#This Row],[Winter Items Other ]],0)</f>
        <v>15</v>
      </c>
      <c r="M111" s="310" t="str">
        <f>IF(OR(Table10[[#This Row],[Winter Clothes Adult ]]&lt;&gt;0,Table10[[#This Row],[Winter Clothes Children ]]&lt;&gt;0,Table10[[#This Row],[Winter Items Other ]]&lt;&gt;0),"No","")</f>
        <v/>
      </c>
      <c r="N111" s="311">
        <f>COUNTIF(A:A,Table10[[#This Row],[Pcode]])-1</f>
        <v>0</v>
      </c>
    </row>
    <row r="112" spans="1:14" x14ac:dyDescent="0.25">
      <c r="A112" s="259" t="s">
        <v>150</v>
      </c>
      <c r="B112" s="18" t="str">
        <f ca="1">OFFSET(CampList[Priority],MATCH(Table10[[#This Row],[Pcode]],CampList[CP_Pcode],0)-1,0,1,1)</f>
        <v>P4</v>
      </c>
      <c r="C112" s="18" t="str">
        <f ca="1">OFFSET(CampList[Camp],MATCH(Table10[[#This Row],[Pcode]],CampList[CP_Pcode],0)-1,0,1,1)</f>
        <v>Mansi Baptist Church</v>
      </c>
      <c r="D112" s="18" t="str">
        <f ca="1">OFFSET(CampList[Township],MATCH(Table10[[#This Row],[Pcode]],CampList[CP_Pcode],0)-1,0,1,1)</f>
        <v>Mansi</v>
      </c>
      <c r="E112" s="277">
        <f ca="1">OFFSET(CampList[HH],MATCH(Table10[[#This Row],[Pcode]],CampList[CP_Pcode],0)-1,0,1,1)</f>
        <v>195</v>
      </c>
      <c r="F112" s="277">
        <f ca="1">OFFSET(CampList[Total],MATCH(Table10[[#This Row],[Pcode]],CampList[CP_Pcode],0)-1,0,1,1)</f>
        <v>881</v>
      </c>
      <c r="G112" s="277">
        <f>SUMIF('NFI Tracking'!AQ$11:AQ$1048576,Table10[[#This Row],[Pcode]],'NFI Tracking'!AI$11:AI$1048576)</f>
        <v>0</v>
      </c>
      <c r="H112" s="277">
        <f>SUMIF('NFI Tracking'!AQ$11:AQ$1048576,Table10[[#This Row],[Pcode]],'NFI Tracking'!AJ$11:AJ$1048576)</f>
        <v>0</v>
      </c>
      <c r="I112" s="277">
        <f>SUMIF('NFI Tracking'!AQ$11:AQ$1048576,Table10[[#This Row],[Pcode]],'NFI Tracking'!AK$11:AK$1048576)</f>
        <v>0</v>
      </c>
      <c r="J112" s="277">
        <f ca="1">MAX(Table10[[#This Row],[HH]]*VLOOKUP("Winter Clothes Adult",NFI,6)-Table10[[#This Row],[Winter Clothes Adult ]],0)</f>
        <v>390</v>
      </c>
      <c r="K112" s="277">
        <f ca="1">MAX(Table10[[#This Row],[HH]]*VLOOKUP("Winter Clothes Children ",NFI,6)-Table10[[#This Row],[Winter Clothes Children ]],0)</f>
        <v>195</v>
      </c>
      <c r="L112" s="277">
        <f ca="1">MAX(Table10[[#This Row],[HH]]*VLOOKUP("Winter Items Other ",NFI,6)-Table10[[#This Row],[Winter Items Other ]],0)</f>
        <v>195</v>
      </c>
      <c r="M112" s="310" t="str">
        <f>IF(OR(Table10[[#This Row],[Winter Clothes Adult ]]&lt;&gt;0,Table10[[#This Row],[Winter Clothes Children ]]&lt;&gt;0,Table10[[#This Row],[Winter Items Other ]]&lt;&gt;0),"No","")</f>
        <v/>
      </c>
      <c r="N112" s="311">
        <f>COUNTIF(A:A,Table10[[#This Row],[Pcode]])-1</f>
        <v>0</v>
      </c>
    </row>
    <row r="113" spans="1:14" x14ac:dyDescent="0.25">
      <c r="A113" s="259" t="s">
        <v>262</v>
      </c>
      <c r="B113" s="18" t="str">
        <f ca="1">OFFSET(CampList[Priority],MATCH(Table10[[#This Row],[Pcode]],CampList[CP_Pcode],0)-1,0,1,1)</f>
        <v>P4</v>
      </c>
      <c r="C113" s="18" t="str">
        <f ca="1">OFFSET(CampList[Camp],MATCH(Table10[[#This Row],[Pcode]],CampList[CP_Pcode],0)-1,0,1,1)</f>
        <v>Maw Hpawng Hka Nan Baptist Church</v>
      </c>
      <c r="D113" s="18" t="str">
        <f ca="1">OFFSET(CampList[Township],MATCH(Table10[[#This Row],[Pcode]],CampList[CP_Pcode],0)-1,0,1,1)</f>
        <v>Myitkyina</v>
      </c>
      <c r="E113" s="277">
        <f ca="1">OFFSET(CampList[HH],MATCH(Table10[[#This Row],[Pcode]],CampList[CP_Pcode],0)-1,0,1,1)</f>
        <v>21</v>
      </c>
      <c r="F113" s="277">
        <f ca="1">OFFSET(CampList[Total],MATCH(Table10[[#This Row],[Pcode]],CampList[CP_Pcode],0)-1,0,1,1)</f>
        <v>98</v>
      </c>
      <c r="G113" s="277">
        <f>SUMIF('NFI Tracking'!AQ$11:AQ$1048576,Table10[[#This Row],[Pcode]],'NFI Tracking'!AI$11:AI$1048576)</f>
        <v>0</v>
      </c>
      <c r="H113" s="277">
        <f>SUMIF('NFI Tracking'!AQ$11:AQ$1048576,Table10[[#This Row],[Pcode]],'NFI Tracking'!AJ$11:AJ$1048576)</f>
        <v>0</v>
      </c>
      <c r="I113" s="277">
        <f>SUMIF('NFI Tracking'!AQ$11:AQ$1048576,Table10[[#This Row],[Pcode]],'NFI Tracking'!AK$11:AK$1048576)</f>
        <v>0</v>
      </c>
      <c r="J113" s="277">
        <f ca="1">MAX(Table10[[#This Row],[HH]]*VLOOKUP("Winter Clothes Adult",NFI,6)-Table10[[#This Row],[Winter Clothes Adult ]],0)</f>
        <v>42</v>
      </c>
      <c r="K113" s="277">
        <f ca="1">MAX(Table10[[#This Row],[HH]]*VLOOKUP("Winter Clothes Children ",NFI,6)-Table10[[#This Row],[Winter Clothes Children ]],0)</f>
        <v>21</v>
      </c>
      <c r="L113" s="277">
        <f ca="1">MAX(Table10[[#This Row],[HH]]*VLOOKUP("Winter Items Other ",NFI,6)-Table10[[#This Row],[Winter Items Other ]],0)</f>
        <v>21</v>
      </c>
      <c r="M113" s="310" t="str">
        <f>IF(OR(Table10[[#This Row],[Winter Clothes Adult ]]&lt;&gt;0,Table10[[#This Row],[Winter Clothes Children ]]&lt;&gt;0,Table10[[#This Row],[Winter Items Other ]]&lt;&gt;0),"No","")</f>
        <v/>
      </c>
      <c r="N113" s="311">
        <f>COUNTIF(A:A,Table10[[#This Row],[Pcode]])-1</f>
        <v>0</v>
      </c>
    </row>
    <row r="114" spans="1:14" x14ac:dyDescent="0.25">
      <c r="A114" s="259" t="s">
        <v>264</v>
      </c>
      <c r="B114" s="18" t="str">
        <f ca="1">OFFSET(CampList[Priority],MATCH(Table10[[#This Row],[Pcode]],CampList[CP_Pcode],0)-1,0,1,1)</f>
        <v>P4</v>
      </c>
      <c r="C114" s="18" t="str">
        <f ca="1">OFFSET(CampList[Camp],MATCH(Table10[[#This Row],[Pcode]],CampList[CP_Pcode],0)-1,0,1,1)</f>
        <v>Maw Hpawng Lhaovo Baptist Church</v>
      </c>
      <c r="D114" s="18" t="str">
        <f ca="1">OFFSET(CampList[Township],MATCH(Table10[[#This Row],[Pcode]],CampList[CP_Pcode],0)-1,0,1,1)</f>
        <v>Myitkyina</v>
      </c>
      <c r="E114" s="277">
        <f ca="1">OFFSET(CampList[HH],MATCH(Table10[[#This Row],[Pcode]],CampList[CP_Pcode],0)-1,0,1,1)</f>
        <v>14</v>
      </c>
      <c r="F114" s="277">
        <f ca="1">OFFSET(CampList[Total],MATCH(Table10[[#This Row],[Pcode]],CampList[CP_Pcode],0)-1,0,1,1)</f>
        <v>71</v>
      </c>
      <c r="G114" s="277">
        <f>SUMIF('NFI Tracking'!AQ$11:AQ$1048576,Table10[[#This Row],[Pcode]],'NFI Tracking'!AI$11:AI$1048576)</f>
        <v>0</v>
      </c>
      <c r="H114" s="277">
        <f>SUMIF('NFI Tracking'!AQ$11:AQ$1048576,Table10[[#This Row],[Pcode]],'NFI Tracking'!AJ$11:AJ$1048576)</f>
        <v>0</v>
      </c>
      <c r="I114" s="277">
        <f>SUMIF('NFI Tracking'!AQ$11:AQ$1048576,Table10[[#This Row],[Pcode]],'NFI Tracking'!AK$11:AK$1048576)</f>
        <v>0</v>
      </c>
      <c r="J114" s="277">
        <f ca="1">MAX(Table10[[#This Row],[HH]]*VLOOKUP("Winter Clothes Adult",NFI,6)-Table10[[#This Row],[Winter Clothes Adult ]],0)</f>
        <v>28</v>
      </c>
      <c r="K114" s="277">
        <f ca="1">MAX(Table10[[#This Row],[HH]]*VLOOKUP("Winter Clothes Children ",NFI,6)-Table10[[#This Row],[Winter Clothes Children ]],0)</f>
        <v>14</v>
      </c>
      <c r="L114" s="277">
        <f ca="1">MAX(Table10[[#This Row],[HH]]*VLOOKUP("Winter Items Other ",NFI,6)-Table10[[#This Row],[Winter Items Other ]],0)</f>
        <v>14</v>
      </c>
      <c r="M114" s="310" t="str">
        <f>IF(OR(Table10[[#This Row],[Winter Clothes Adult ]]&lt;&gt;0,Table10[[#This Row],[Winter Clothes Children ]]&lt;&gt;0,Table10[[#This Row],[Winter Items Other ]]&lt;&gt;0),"No","")</f>
        <v/>
      </c>
      <c r="N114" s="311">
        <f>COUNTIF(A:A,Table10[[#This Row],[Pcode]])-1</f>
        <v>0</v>
      </c>
    </row>
    <row r="115" spans="1:14" x14ac:dyDescent="0.25">
      <c r="A115" s="259" t="s">
        <v>99</v>
      </c>
      <c r="B115" s="18" t="str">
        <f ca="1">OFFSET(CampList[Priority],MATCH(Table10[[#This Row],[Pcode]],CampList[CP_Pcode],0)-1,0,1,1)</f>
        <v>P4</v>
      </c>
      <c r="C115" s="18" t="str">
        <f ca="1">OFFSET(CampList[Camp],MATCH(Table10[[#This Row],[Pcode]],CampList[CP_Pcode],0)-1,0,1,1)</f>
        <v>Maw Wan, Mu-yin Baptist Church</v>
      </c>
      <c r="D115" s="18" t="str">
        <f ca="1">OFFSET(CampList[Township],MATCH(Table10[[#This Row],[Pcode]],CampList[CP_Pcode],0)-1,0,1,1)</f>
        <v>Hpakant</v>
      </c>
      <c r="E115" s="277">
        <f ca="1">OFFSET(CampList[HH],MATCH(Table10[[#This Row],[Pcode]],CampList[CP_Pcode],0)-1,0,1,1)</f>
        <v>4</v>
      </c>
      <c r="F115" s="277">
        <f ca="1">OFFSET(CampList[Total],MATCH(Table10[[#This Row],[Pcode]],CampList[CP_Pcode],0)-1,0,1,1)</f>
        <v>22</v>
      </c>
      <c r="G115" s="277">
        <f>SUMIF('NFI Tracking'!AQ$11:AQ$1048576,Table10[[#This Row],[Pcode]],'NFI Tracking'!AI$11:AI$1048576)</f>
        <v>0</v>
      </c>
      <c r="H115" s="277">
        <f>SUMIF('NFI Tracking'!AQ$11:AQ$1048576,Table10[[#This Row],[Pcode]],'NFI Tracking'!AJ$11:AJ$1048576)</f>
        <v>0</v>
      </c>
      <c r="I115" s="277">
        <f>SUMIF('NFI Tracking'!AQ$11:AQ$1048576,Table10[[#This Row],[Pcode]],'NFI Tracking'!AK$11:AK$1048576)</f>
        <v>0</v>
      </c>
      <c r="J115" s="277">
        <f ca="1">MAX(Table10[[#This Row],[HH]]*VLOOKUP("Winter Clothes Adult",NFI,6)-Table10[[#This Row],[Winter Clothes Adult ]],0)</f>
        <v>8</v>
      </c>
      <c r="K115" s="277">
        <f ca="1">MAX(Table10[[#This Row],[HH]]*VLOOKUP("Winter Clothes Children ",NFI,6)-Table10[[#This Row],[Winter Clothes Children ]],0)</f>
        <v>4</v>
      </c>
      <c r="L115" s="277">
        <f ca="1">MAX(Table10[[#This Row],[HH]]*VLOOKUP("Winter Items Other ",NFI,6)-Table10[[#This Row],[Winter Items Other ]],0)</f>
        <v>4</v>
      </c>
      <c r="M115" s="310" t="str">
        <f>IF(OR(Table10[[#This Row],[Winter Clothes Adult ]]&lt;&gt;0,Table10[[#This Row],[Winter Clothes Children ]]&lt;&gt;0,Table10[[#This Row],[Winter Items Other ]]&lt;&gt;0),"No","")</f>
        <v/>
      </c>
      <c r="N115" s="311">
        <f>COUNTIF(A:A,Table10[[#This Row],[Pcode]])-1</f>
        <v>0</v>
      </c>
    </row>
    <row r="116" spans="1:14" x14ac:dyDescent="0.25">
      <c r="A116" s="259" t="s">
        <v>208</v>
      </c>
      <c r="B116" s="18" t="str">
        <f ca="1">OFFSET(CampList[Priority],MATCH(Table10[[#This Row],[Pcode]],CampList[CP_Pcode],0)-1,0,1,1)</f>
        <v>P4</v>
      </c>
      <c r="C116" s="18" t="str">
        <f ca="1">OFFSET(CampList[Camp],MATCH(Table10[[#This Row],[Pcode]],CampList[CP_Pcode],0)-1,0,1,1)</f>
        <v>Momauk Baptist Church</v>
      </c>
      <c r="D116" s="18" t="str">
        <f ca="1">OFFSET(CampList[Township],MATCH(Table10[[#This Row],[Pcode]],CampList[CP_Pcode],0)-1,0,1,1)</f>
        <v>Momauk</v>
      </c>
      <c r="E116" s="277">
        <f ca="1">OFFSET(CampList[HH],MATCH(Table10[[#This Row],[Pcode]],CampList[CP_Pcode],0)-1,0,1,1)</f>
        <v>387</v>
      </c>
      <c r="F116" s="277">
        <f ca="1">OFFSET(CampList[Total],MATCH(Table10[[#This Row],[Pcode]],CampList[CP_Pcode],0)-1,0,1,1)</f>
        <v>1844</v>
      </c>
      <c r="G116" s="277">
        <f>SUMIF('NFI Tracking'!AQ$11:AQ$1048576,Table10[[#This Row],[Pcode]],'NFI Tracking'!AI$11:AI$1048576)</f>
        <v>0</v>
      </c>
      <c r="H116" s="277">
        <f>SUMIF('NFI Tracking'!AQ$11:AQ$1048576,Table10[[#This Row],[Pcode]],'NFI Tracking'!AJ$11:AJ$1048576)</f>
        <v>0</v>
      </c>
      <c r="I116" s="277">
        <f>SUMIF('NFI Tracking'!AQ$11:AQ$1048576,Table10[[#This Row],[Pcode]],'NFI Tracking'!AK$11:AK$1048576)</f>
        <v>0</v>
      </c>
      <c r="J116" s="277">
        <f ca="1">MAX(Table10[[#This Row],[HH]]*VLOOKUP("Winter Clothes Adult",NFI,6)-Table10[[#This Row],[Winter Clothes Adult ]],0)</f>
        <v>774</v>
      </c>
      <c r="K116" s="277">
        <f ca="1">MAX(Table10[[#This Row],[HH]]*VLOOKUP("Winter Clothes Children ",NFI,6)-Table10[[#This Row],[Winter Clothes Children ]],0)</f>
        <v>387</v>
      </c>
      <c r="L116" s="277">
        <f ca="1">MAX(Table10[[#This Row],[HH]]*VLOOKUP("Winter Items Other ",NFI,6)-Table10[[#This Row],[Winter Items Other ]],0)</f>
        <v>387</v>
      </c>
      <c r="M116" s="310" t="str">
        <f>IF(OR(Table10[[#This Row],[Winter Clothes Adult ]]&lt;&gt;0,Table10[[#This Row],[Winter Clothes Children ]]&lt;&gt;0,Table10[[#This Row],[Winter Items Other ]]&lt;&gt;0),"No","")</f>
        <v/>
      </c>
      <c r="N116" s="311">
        <f>COUNTIF(A:A,Table10[[#This Row],[Pcode]])-1</f>
        <v>0</v>
      </c>
    </row>
    <row r="117" spans="1:14" x14ac:dyDescent="0.25">
      <c r="A117" s="259" t="s">
        <v>210</v>
      </c>
      <c r="B117" s="18" t="str">
        <f ca="1">OFFSET(CampList[Priority],MATCH(Table10[[#This Row],[Pcode]],CampList[CP_Pcode],0)-1,0,1,1)</f>
        <v>P4</v>
      </c>
      <c r="C117" s="18" t="str">
        <f ca="1">OFFSET(CampList[Camp],MATCH(Table10[[#This Row],[Pcode]],CampList[CP_Pcode],0)-1,0,1,1)</f>
        <v>Momauk Catholic Church (St. Patrick)</v>
      </c>
      <c r="D117" s="18" t="str">
        <f ca="1">OFFSET(CampList[Township],MATCH(Table10[[#This Row],[Pcode]],CampList[CP_Pcode],0)-1,0,1,1)</f>
        <v>Momauk</v>
      </c>
      <c r="E117" s="277">
        <f ca="1">OFFSET(CampList[HH],MATCH(Table10[[#This Row],[Pcode]],CampList[CP_Pcode],0)-1,0,1,1)</f>
        <v>0</v>
      </c>
      <c r="F117" s="277">
        <f ca="1">OFFSET(CampList[Total],MATCH(Table10[[#This Row],[Pcode]],CampList[CP_Pcode],0)-1,0,1,1)</f>
        <v>0</v>
      </c>
      <c r="G117" s="277">
        <f>SUMIF('NFI Tracking'!AQ$11:AQ$1048576,Table10[[#This Row],[Pcode]],'NFI Tracking'!AI$11:AI$1048576)</f>
        <v>0</v>
      </c>
      <c r="H117" s="277">
        <f>SUMIF('NFI Tracking'!AQ$11:AQ$1048576,Table10[[#This Row],[Pcode]],'NFI Tracking'!AJ$11:AJ$1048576)</f>
        <v>0</v>
      </c>
      <c r="I117" s="277">
        <f>SUMIF('NFI Tracking'!AQ$11:AQ$1048576,Table10[[#This Row],[Pcode]],'NFI Tracking'!AK$11:AK$1048576)</f>
        <v>0</v>
      </c>
      <c r="J117" s="277">
        <f ca="1">MAX(Table10[[#This Row],[HH]]*VLOOKUP("Winter Clothes Adult",NFI,6)-Table10[[#This Row],[Winter Clothes Adult ]],0)</f>
        <v>0</v>
      </c>
      <c r="K117" s="277">
        <f ca="1">MAX(Table10[[#This Row],[HH]]*VLOOKUP("Winter Clothes Children ",NFI,6)-Table10[[#This Row],[Winter Clothes Children ]],0)</f>
        <v>0</v>
      </c>
      <c r="L117" s="277">
        <f ca="1">MAX(Table10[[#This Row],[HH]]*VLOOKUP("Winter Items Other ",NFI,6)-Table10[[#This Row],[Winter Items Other ]],0)</f>
        <v>0</v>
      </c>
      <c r="M117" s="310" t="str">
        <f>IF(OR(Table10[[#This Row],[Winter Clothes Adult ]]&lt;&gt;0,Table10[[#This Row],[Winter Clothes Children ]]&lt;&gt;0,Table10[[#This Row],[Winter Items Other ]]&lt;&gt;0),"No","")</f>
        <v/>
      </c>
      <c r="N117" s="311">
        <f>COUNTIF(A:A,Table10[[#This Row],[Pcode]])-1</f>
        <v>0</v>
      </c>
    </row>
    <row r="118" spans="1:14" x14ac:dyDescent="0.25">
      <c r="A118" s="259" t="s">
        <v>1054</v>
      </c>
      <c r="B118" s="18" t="str">
        <f ca="1">OFFSET(CampList[Priority],MATCH(Table10[[#This Row],[Pcode]],CampList[CP_Pcode],0)-1,0,1,1)</f>
        <v>P4</v>
      </c>
      <c r="C118" s="18" t="str">
        <f ca="1">OFFSET(CampList[Camp],MATCH(Table10[[#This Row],[Pcode]],CampList[CP_Pcode],0)-1,0,1,1)</f>
        <v>Muse Baptist Church</v>
      </c>
      <c r="D118" s="18" t="str">
        <f ca="1">OFFSET(CampList[Township],MATCH(Table10[[#This Row],[Pcode]],CampList[CP_Pcode],0)-1,0,1,1)</f>
        <v>Muse</v>
      </c>
      <c r="E118" s="277">
        <f ca="1">OFFSET(CampList[HH],MATCH(Table10[[#This Row],[Pcode]],CampList[CP_Pcode],0)-1,0,1,1)</f>
        <v>51</v>
      </c>
      <c r="F118" s="277">
        <f ca="1">OFFSET(CampList[Total],MATCH(Table10[[#This Row],[Pcode]],CampList[CP_Pcode],0)-1,0,1,1)</f>
        <v>214</v>
      </c>
      <c r="G118" s="277">
        <f>SUMIF('NFI Tracking'!AQ$11:AQ$1048576,Table10[[#This Row],[Pcode]],'NFI Tracking'!AI$11:AI$1048576)</f>
        <v>0</v>
      </c>
      <c r="H118" s="277">
        <f>SUMIF('NFI Tracking'!AQ$11:AQ$1048576,Table10[[#This Row],[Pcode]],'NFI Tracking'!AJ$11:AJ$1048576)</f>
        <v>0</v>
      </c>
      <c r="I118" s="277">
        <f>SUMIF('NFI Tracking'!AQ$11:AQ$1048576,Table10[[#This Row],[Pcode]],'NFI Tracking'!AK$11:AK$1048576)</f>
        <v>0</v>
      </c>
      <c r="J118" s="277">
        <f ca="1">MAX(Table10[[#This Row],[HH]]*VLOOKUP("Winter Clothes Adult",NFI,6)-Table10[[#This Row],[Winter Clothes Adult ]],0)</f>
        <v>102</v>
      </c>
      <c r="K118" s="277">
        <f ca="1">MAX(Table10[[#This Row],[HH]]*VLOOKUP("Winter Clothes Children ",NFI,6)-Table10[[#This Row],[Winter Clothes Children ]],0)</f>
        <v>51</v>
      </c>
      <c r="L118" s="277">
        <f ca="1">MAX(Table10[[#This Row],[HH]]*VLOOKUP("Winter Items Other ",NFI,6)-Table10[[#This Row],[Winter Items Other ]],0)</f>
        <v>51</v>
      </c>
      <c r="M118" s="310" t="str">
        <f>IF(OR(Table10[[#This Row],[Winter Clothes Adult ]]&lt;&gt;0,Table10[[#This Row],[Winter Clothes Children ]]&lt;&gt;0,Table10[[#This Row],[Winter Items Other ]]&lt;&gt;0),"No","")</f>
        <v/>
      </c>
      <c r="N118" s="311">
        <f>COUNTIF(A:A,Table10[[#This Row],[Pcode]])-1</f>
        <v>0</v>
      </c>
    </row>
    <row r="119" spans="1:14" x14ac:dyDescent="0.25">
      <c r="A119" s="259" t="s">
        <v>1064</v>
      </c>
      <c r="B119" s="18" t="str">
        <f ca="1">OFFSET(CampList[Priority],MATCH(Table10[[#This Row],[Pcode]],CampList[CP_Pcode],0)-1,0,1,1)</f>
        <v>P4</v>
      </c>
      <c r="C119" s="18" t="str">
        <f ca="1">OFFSET(CampList[Camp],MATCH(Table10[[#This Row],[Pcode]],CampList[CP_Pcode],0)-1,0,1,1)</f>
        <v>Muse Catholic Church</v>
      </c>
      <c r="D119" s="18" t="str">
        <f ca="1">OFFSET(CampList[Township],MATCH(Table10[[#This Row],[Pcode]],CampList[CP_Pcode],0)-1,0,1,1)</f>
        <v>Muse</v>
      </c>
      <c r="E119" s="277">
        <f ca="1">OFFSET(CampList[HH],MATCH(Table10[[#This Row],[Pcode]],CampList[CP_Pcode],0)-1,0,1,1)</f>
        <v>25</v>
      </c>
      <c r="F119" s="277">
        <f ca="1">OFFSET(CampList[Total],MATCH(Table10[[#This Row],[Pcode]],CampList[CP_Pcode],0)-1,0,1,1)</f>
        <v>113</v>
      </c>
      <c r="G119" s="277">
        <f>SUMIF('NFI Tracking'!AQ$11:AQ$1048576,Table10[[#This Row],[Pcode]],'NFI Tracking'!AI$11:AI$1048576)</f>
        <v>0</v>
      </c>
      <c r="H119" s="277">
        <f>SUMIF('NFI Tracking'!AQ$11:AQ$1048576,Table10[[#This Row],[Pcode]],'NFI Tracking'!AJ$11:AJ$1048576)</f>
        <v>0</v>
      </c>
      <c r="I119" s="277">
        <f>SUMIF('NFI Tracking'!AQ$11:AQ$1048576,Table10[[#This Row],[Pcode]],'NFI Tracking'!AK$11:AK$1048576)</f>
        <v>0</v>
      </c>
      <c r="J119" s="277">
        <f ca="1">MAX(Table10[[#This Row],[HH]]*VLOOKUP("Winter Clothes Adult",NFI,6)-Table10[[#This Row],[Winter Clothes Adult ]],0)</f>
        <v>50</v>
      </c>
      <c r="K119" s="277">
        <f ca="1">MAX(Table10[[#This Row],[HH]]*VLOOKUP("Winter Clothes Children ",NFI,6)-Table10[[#This Row],[Winter Clothes Children ]],0)</f>
        <v>25</v>
      </c>
      <c r="L119" s="277">
        <f ca="1">MAX(Table10[[#This Row],[HH]]*VLOOKUP("Winter Items Other ",NFI,6)-Table10[[#This Row],[Winter Items Other ]],0)</f>
        <v>25</v>
      </c>
      <c r="M119" s="310" t="str">
        <f>IF(OR(Table10[[#This Row],[Winter Clothes Adult ]]&lt;&gt;0,Table10[[#This Row],[Winter Clothes Children ]]&lt;&gt;0,Table10[[#This Row],[Winter Items Other ]]&lt;&gt;0),"No","")</f>
        <v/>
      </c>
      <c r="N119" s="311">
        <f>COUNTIF(A:A,Table10[[#This Row],[Pcode]])-1</f>
        <v>0</v>
      </c>
    </row>
    <row r="120" spans="1:14" x14ac:dyDescent="0.25">
      <c r="A120" s="259" t="s">
        <v>7</v>
      </c>
      <c r="B120" s="18" t="str">
        <f ca="1">OFFSET(CampList[Priority],MATCH(Table10[[#This Row],[Pcode]],CampList[CP_Pcode],0)-1,0,1,1)</f>
        <v>P4</v>
      </c>
      <c r="C120" s="18" t="str">
        <f ca="1">OFFSET(CampList[Camp],MATCH(Table10[[#This Row],[Pcode]],CampList[CP_Pcode],0)-1,0,1,1)</f>
        <v>Mu-yin Baptist Church</v>
      </c>
      <c r="D120" s="18" t="str">
        <f ca="1">OFFSET(CampList[Township],MATCH(Table10[[#This Row],[Pcode]],CampList[CP_Pcode],0)-1,0,1,1)</f>
        <v>Bhamo</v>
      </c>
      <c r="E120" s="277">
        <f ca="1">OFFSET(CampList[HH],MATCH(Table10[[#This Row],[Pcode]],CampList[CP_Pcode],0)-1,0,1,1)</f>
        <v>14</v>
      </c>
      <c r="F120" s="277">
        <f ca="1">OFFSET(CampList[Total],MATCH(Table10[[#This Row],[Pcode]],CampList[CP_Pcode],0)-1,0,1,1)</f>
        <v>61</v>
      </c>
      <c r="G120" s="277">
        <f>SUMIF('NFI Tracking'!AQ$11:AQ$1048576,Table10[[#This Row],[Pcode]],'NFI Tracking'!AI$11:AI$1048576)</f>
        <v>0</v>
      </c>
      <c r="H120" s="277">
        <f>SUMIF('NFI Tracking'!AQ$11:AQ$1048576,Table10[[#This Row],[Pcode]],'NFI Tracking'!AJ$11:AJ$1048576)</f>
        <v>0</v>
      </c>
      <c r="I120" s="277">
        <f>SUMIF('NFI Tracking'!AQ$11:AQ$1048576,Table10[[#This Row],[Pcode]],'NFI Tracking'!AK$11:AK$1048576)</f>
        <v>0</v>
      </c>
      <c r="J120" s="277">
        <f ca="1">MAX(Table10[[#This Row],[HH]]*VLOOKUP("Winter Clothes Adult",NFI,6)-Table10[[#This Row],[Winter Clothes Adult ]],0)</f>
        <v>28</v>
      </c>
      <c r="K120" s="277">
        <f ca="1">MAX(Table10[[#This Row],[HH]]*VLOOKUP("Winter Clothes Children ",NFI,6)-Table10[[#This Row],[Winter Clothes Children ]],0)</f>
        <v>14</v>
      </c>
      <c r="L120" s="277">
        <f ca="1">MAX(Table10[[#This Row],[HH]]*VLOOKUP("Winter Items Other ",NFI,6)-Table10[[#This Row],[Winter Items Other ]],0)</f>
        <v>14</v>
      </c>
      <c r="M120" s="310" t="str">
        <f>IF(OR(Table10[[#This Row],[Winter Clothes Adult ]]&lt;&gt;0,Table10[[#This Row],[Winter Clothes Children ]]&lt;&gt;0,Table10[[#This Row],[Winter Items Other ]]&lt;&gt;0),"No","")</f>
        <v/>
      </c>
      <c r="N120" s="311">
        <f>COUNTIF(A:A,Table10[[#This Row],[Pcode]])-1</f>
        <v>0</v>
      </c>
    </row>
    <row r="121" spans="1:14" x14ac:dyDescent="0.25">
      <c r="A121" s="259" t="s">
        <v>266</v>
      </c>
      <c r="B121" s="18" t="str">
        <f ca="1">OFFSET(CampList[Priority],MATCH(Table10[[#This Row],[Pcode]],CampList[CP_Pcode],0)-1,0,1,1)</f>
        <v>P4</v>
      </c>
      <c r="C121" s="18" t="str">
        <f ca="1">OFFSET(CampList[Camp],MATCH(Table10[[#This Row],[Pcode]],CampList[CP_Pcode],0)-1,0,1,1)</f>
        <v>Myay Myint Baptist Church</v>
      </c>
      <c r="D121" s="18" t="str">
        <f ca="1">OFFSET(CampList[Township],MATCH(Table10[[#This Row],[Pcode]],CampList[CP_Pcode],0)-1,0,1,1)</f>
        <v>Myitkyina</v>
      </c>
      <c r="E121" s="277">
        <f ca="1">OFFSET(CampList[HH],MATCH(Table10[[#This Row],[Pcode]],CampList[CP_Pcode],0)-1,0,1,1)</f>
        <v>0</v>
      </c>
      <c r="F121" s="277">
        <f ca="1">OFFSET(CampList[Total],MATCH(Table10[[#This Row],[Pcode]],CampList[CP_Pcode],0)-1,0,1,1)</f>
        <v>0</v>
      </c>
      <c r="G121" s="277">
        <f>SUMIF('NFI Tracking'!AQ$11:AQ$1048576,Table10[[#This Row],[Pcode]],'NFI Tracking'!AI$11:AI$1048576)</f>
        <v>0</v>
      </c>
      <c r="H121" s="277">
        <f>SUMIF('NFI Tracking'!AQ$11:AQ$1048576,Table10[[#This Row],[Pcode]],'NFI Tracking'!AJ$11:AJ$1048576)</f>
        <v>0</v>
      </c>
      <c r="I121" s="277">
        <f>SUMIF('NFI Tracking'!AQ$11:AQ$1048576,Table10[[#This Row],[Pcode]],'NFI Tracking'!AK$11:AK$1048576)</f>
        <v>0</v>
      </c>
      <c r="J121" s="277">
        <f ca="1">MAX(Table10[[#This Row],[HH]]*VLOOKUP("Winter Clothes Adult",NFI,6)-Table10[[#This Row],[Winter Clothes Adult ]],0)</f>
        <v>0</v>
      </c>
      <c r="K121" s="277">
        <f ca="1">MAX(Table10[[#This Row],[HH]]*VLOOKUP("Winter Clothes Children ",NFI,6)-Table10[[#This Row],[Winter Clothes Children ]],0)</f>
        <v>0</v>
      </c>
      <c r="L121" s="277">
        <f ca="1">MAX(Table10[[#This Row],[HH]]*VLOOKUP("Winter Items Other ",NFI,6)-Table10[[#This Row],[Winter Items Other ]],0)</f>
        <v>0</v>
      </c>
      <c r="M121" s="310" t="str">
        <f>IF(OR(Table10[[#This Row],[Winter Clothes Adult ]]&lt;&gt;0,Table10[[#This Row],[Winter Clothes Children ]]&lt;&gt;0,Table10[[#This Row],[Winter Items Other ]]&lt;&gt;0),"No","")</f>
        <v/>
      </c>
      <c r="N121" s="311">
        <f>COUNTIF(A:A,Table10[[#This Row],[Pcode]])-1</f>
        <v>0</v>
      </c>
    </row>
    <row r="122" spans="1:14" x14ac:dyDescent="0.25">
      <c r="A122" s="259" t="s">
        <v>212</v>
      </c>
      <c r="B122" s="18" t="str">
        <f ca="1">OFFSET(CampList[Priority],MATCH(Table10[[#This Row],[Pcode]],CampList[CP_Pcode],0)-1,0,1,1)</f>
        <v>P4</v>
      </c>
      <c r="C122" s="18" t="str">
        <f ca="1">OFFSET(CampList[Camp],MATCH(Table10[[#This Row],[Pcode]],CampList[CP_Pcode],0)-1,0,1,1)</f>
        <v xml:space="preserve">Myo Thit </v>
      </c>
      <c r="D122" s="18" t="str">
        <f ca="1">OFFSET(CampList[Township],MATCH(Table10[[#This Row],[Pcode]],CampList[CP_Pcode],0)-1,0,1,1)</f>
        <v>Momauk</v>
      </c>
      <c r="E122" s="277">
        <f ca="1">OFFSET(CampList[HH],MATCH(Table10[[#This Row],[Pcode]],CampList[CP_Pcode],0)-1,0,1,1)</f>
        <v>44</v>
      </c>
      <c r="F122" s="277">
        <f ca="1">OFFSET(CampList[Total],MATCH(Table10[[#This Row],[Pcode]],CampList[CP_Pcode],0)-1,0,1,1)</f>
        <v>143</v>
      </c>
      <c r="G122" s="277">
        <f>SUMIF('NFI Tracking'!AQ$11:AQ$1048576,Table10[[#This Row],[Pcode]],'NFI Tracking'!AI$11:AI$1048576)</f>
        <v>0</v>
      </c>
      <c r="H122" s="277">
        <f>SUMIF('NFI Tracking'!AQ$11:AQ$1048576,Table10[[#This Row],[Pcode]],'NFI Tracking'!AJ$11:AJ$1048576)</f>
        <v>0</v>
      </c>
      <c r="I122" s="277">
        <f>SUMIF('NFI Tracking'!AQ$11:AQ$1048576,Table10[[#This Row],[Pcode]],'NFI Tracking'!AK$11:AK$1048576)</f>
        <v>0</v>
      </c>
      <c r="J122" s="277">
        <f ca="1">MAX(Table10[[#This Row],[HH]]*VLOOKUP("Winter Clothes Adult",NFI,6)-Table10[[#This Row],[Winter Clothes Adult ]],0)</f>
        <v>88</v>
      </c>
      <c r="K122" s="277">
        <f ca="1">MAX(Table10[[#This Row],[HH]]*VLOOKUP("Winter Clothes Children ",NFI,6)-Table10[[#This Row],[Winter Clothes Children ]],0)</f>
        <v>44</v>
      </c>
      <c r="L122" s="277">
        <f ca="1">MAX(Table10[[#This Row],[HH]]*VLOOKUP("Winter Items Other ",NFI,6)-Table10[[#This Row],[Winter Items Other ]],0)</f>
        <v>44</v>
      </c>
      <c r="M122" s="310" t="str">
        <f>IF(OR(Table10[[#This Row],[Winter Clothes Adult ]]&lt;&gt;0,Table10[[#This Row],[Winter Clothes Children ]]&lt;&gt;0,Table10[[#This Row],[Winter Items Other ]]&lt;&gt;0),"No","")</f>
        <v/>
      </c>
      <c r="N122" s="311">
        <f>COUNTIF(A:A,Table10[[#This Row],[Pcode]])-1</f>
        <v>0</v>
      </c>
    </row>
    <row r="123" spans="1:14" x14ac:dyDescent="0.25">
      <c r="A123" s="259" t="s">
        <v>1056</v>
      </c>
      <c r="B123" s="18" t="str">
        <f ca="1">OFFSET(CampList[Priority],MATCH(Table10[[#This Row],[Pcode]],CampList[CP_Pcode],0)-1,0,1,1)</f>
        <v>P4</v>
      </c>
      <c r="C123" s="18" t="str">
        <f ca="1">OFFSET(CampList[Camp],MATCH(Table10[[#This Row],[Pcode]],CampList[CP_Pcode],0)-1,0,1,1)</f>
        <v>Nam Hkam (KBC Jaw Wang) II</v>
      </c>
      <c r="D123" s="18" t="str">
        <f ca="1">OFFSET(CampList[Township],MATCH(Table10[[#This Row],[Pcode]],CampList[CP_Pcode],0)-1,0,1,1)</f>
        <v>Namhkan</v>
      </c>
      <c r="E123" s="277">
        <f ca="1">OFFSET(CampList[HH],MATCH(Table10[[#This Row],[Pcode]],CampList[CP_Pcode],0)-1,0,1,1)</f>
        <v>37</v>
      </c>
      <c r="F123" s="277">
        <f ca="1">OFFSET(CampList[Total],MATCH(Table10[[#This Row],[Pcode]],CampList[CP_Pcode],0)-1,0,1,1)</f>
        <v>201</v>
      </c>
      <c r="G123" s="277">
        <f>SUMIF('NFI Tracking'!AQ$11:AQ$1048576,Table10[[#This Row],[Pcode]],'NFI Tracking'!AI$11:AI$1048576)</f>
        <v>0</v>
      </c>
      <c r="H123" s="277">
        <f>SUMIF('NFI Tracking'!AQ$11:AQ$1048576,Table10[[#This Row],[Pcode]],'NFI Tracking'!AJ$11:AJ$1048576)</f>
        <v>0</v>
      </c>
      <c r="I123" s="277">
        <f>SUMIF('NFI Tracking'!AQ$11:AQ$1048576,Table10[[#This Row],[Pcode]],'NFI Tracking'!AK$11:AK$1048576)</f>
        <v>0</v>
      </c>
      <c r="J123" s="277">
        <f ca="1">MAX(Table10[[#This Row],[HH]]*VLOOKUP("Winter Clothes Adult",NFI,6)-Table10[[#This Row],[Winter Clothes Adult ]],0)</f>
        <v>74</v>
      </c>
      <c r="K123" s="277">
        <f ca="1">MAX(Table10[[#This Row],[HH]]*VLOOKUP("Winter Clothes Children ",NFI,6)-Table10[[#This Row],[Winter Clothes Children ]],0)</f>
        <v>37</v>
      </c>
      <c r="L123" s="277">
        <f ca="1">MAX(Table10[[#This Row],[HH]]*VLOOKUP("Winter Items Other ",NFI,6)-Table10[[#This Row],[Winter Items Other ]],0)</f>
        <v>37</v>
      </c>
      <c r="M123" s="310" t="str">
        <f>IF(OR(Table10[[#This Row],[Winter Clothes Adult ]]&lt;&gt;0,Table10[[#This Row],[Winter Clothes Children ]]&lt;&gt;0,Table10[[#This Row],[Winter Items Other ]]&lt;&gt;0),"No","")</f>
        <v/>
      </c>
      <c r="N123" s="311">
        <f>COUNTIF(A:A,Table10[[#This Row],[Pcode]])-1</f>
        <v>0</v>
      </c>
    </row>
    <row r="124" spans="1:14" x14ac:dyDescent="0.25">
      <c r="A124" s="259" t="s">
        <v>46</v>
      </c>
      <c r="B124" s="18" t="str">
        <f ca="1">OFFSET(CampList[Priority],MATCH(Table10[[#This Row],[Pcode]],CampList[CP_Pcode],0)-1,0,1,1)</f>
        <v>P4</v>
      </c>
      <c r="C124" s="18" t="str">
        <f ca="1">OFFSET(CampList[Camp],MATCH(Table10[[#This Row],[Pcode]],CampList[CP_Pcode],0)-1,0,1,1)</f>
        <v>Nam Ma Phyit, COC</v>
      </c>
      <c r="D124" s="18" t="str">
        <f ca="1">OFFSET(CampList[Township],MATCH(Table10[[#This Row],[Pcode]],CampList[CP_Pcode],0)-1,0,1,1)</f>
        <v>Hpakant</v>
      </c>
      <c r="E124" s="277">
        <f ca="1">OFFSET(CampList[HH],MATCH(Table10[[#This Row],[Pcode]],CampList[CP_Pcode],0)-1,0,1,1)</f>
        <v>12</v>
      </c>
      <c r="F124" s="277">
        <f ca="1">OFFSET(CampList[Total],MATCH(Table10[[#This Row],[Pcode]],CampList[CP_Pcode],0)-1,0,1,1)</f>
        <v>50</v>
      </c>
      <c r="G124" s="277">
        <f>SUMIF('NFI Tracking'!AQ$11:AQ$1048576,Table10[[#This Row],[Pcode]],'NFI Tracking'!AI$11:AI$1048576)</f>
        <v>0</v>
      </c>
      <c r="H124" s="277">
        <f>SUMIF('NFI Tracking'!AQ$11:AQ$1048576,Table10[[#This Row],[Pcode]],'NFI Tracking'!AJ$11:AJ$1048576)</f>
        <v>0</v>
      </c>
      <c r="I124" s="277">
        <f>SUMIF('NFI Tracking'!AQ$11:AQ$1048576,Table10[[#This Row],[Pcode]],'NFI Tracking'!AK$11:AK$1048576)</f>
        <v>0</v>
      </c>
      <c r="J124" s="277">
        <f ca="1">MAX(Table10[[#This Row],[HH]]*VLOOKUP("Winter Clothes Adult",NFI,6)-Table10[[#This Row],[Winter Clothes Adult ]],0)</f>
        <v>24</v>
      </c>
      <c r="K124" s="277">
        <f ca="1">MAX(Table10[[#This Row],[HH]]*VLOOKUP("Winter Clothes Children ",NFI,6)-Table10[[#This Row],[Winter Clothes Children ]],0)</f>
        <v>12</v>
      </c>
      <c r="L124" s="277">
        <f ca="1">MAX(Table10[[#This Row],[HH]]*VLOOKUP("Winter Items Other ",NFI,6)-Table10[[#This Row],[Winter Items Other ]],0)</f>
        <v>12</v>
      </c>
      <c r="M124" s="310" t="str">
        <f>IF(OR(Table10[[#This Row],[Winter Clothes Adult ]]&lt;&gt;0,Table10[[#This Row],[Winter Clothes Children ]]&lt;&gt;0,Table10[[#This Row],[Winter Items Other ]]&lt;&gt;0),"No","")</f>
        <v/>
      </c>
      <c r="N124" s="311">
        <f>COUNTIF(A:A,Table10[[#This Row],[Pcode]])-1</f>
        <v>0</v>
      </c>
    </row>
    <row r="125" spans="1:14" x14ac:dyDescent="0.25">
      <c r="A125" s="259" t="s">
        <v>1060</v>
      </c>
      <c r="B125" s="18" t="str">
        <f ca="1">OFFSET(CampList[Priority],MATCH(Table10[[#This Row],[Pcode]],CampList[CP_Pcode],0)-1,0,1,1)</f>
        <v>P4</v>
      </c>
      <c r="C125" s="18" t="str">
        <f ca="1">OFFSET(CampList[Camp],MATCH(Table10[[#This Row],[Pcode]],CampList[CP_Pcode],0)-1,0,1,1)</f>
        <v>Namhkan - Pang Long KBC</v>
      </c>
      <c r="D125" s="18" t="str">
        <f ca="1">OFFSET(CampList[Township],MATCH(Table10[[#This Row],[Pcode]],CampList[CP_Pcode],0)-1,0,1,1)</f>
        <v>Namhkan</v>
      </c>
      <c r="E125" s="277">
        <f ca="1">OFFSET(CampList[HH],MATCH(Table10[[#This Row],[Pcode]],CampList[CP_Pcode],0)-1,0,1,1)</f>
        <v>121</v>
      </c>
      <c r="F125" s="277">
        <f ca="1">OFFSET(CampList[Total],MATCH(Table10[[#This Row],[Pcode]],CampList[CP_Pcode],0)-1,0,1,1)</f>
        <v>556</v>
      </c>
      <c r="G125" s="277">
        <f>SUMIF('NFI Tracking'!AQ$11:AQ$1048576,Table10[[#This Row],[Pcode]],'NFI Tracking'!AI$11:AI$1048576)</f>
        <v>0</v>
      </c>
      <c r="H125" s="277">
        <f>SUMIF('NFI Tracking'!AQ$11:AQ$1048576,Table10[[#This Row],[Pcode]],'NFI Tracking'!AJ$11:AJ$1048576)</f>
        <v>0</v>
      </c>
      <c r="I125" s="277">
        <f>SUMIF('NFI Tracking'!AQ$11:AQ$1048576,Table10[[#This Row],[Pcode]],'NFI Tracking'!AK$11:AK$1048576)</f>
        <v>0</v>
      </c>
      <c r="J125" s="277">
        <f ca="1">MAX(Table10[[#This Row],[HH]]*VLOOKUP("Winter Clothes Adult",NFI,6)-Table10[[#This Row],[Winter Clothes Adult ]],0)</f>
        <v>242</v>
      </c>
      <c r="K125" s="277">
        <f ca="1">MAX(Table10[[#This Row],[HH]]*VLOOKUP("Winter Clothes Children ",NFI,6)-Table10[[#This Row],[Winter Clothes Children ]],0)</f>
        <v>121</v>
      </c>
      <c r="L125" s="277">
        <f ca="1">MAX(Table10[[#This Row],[HH]]*VLOOKUP("Winter Items Other ",NFI,6)-Table10[[#This Row],[Winter Items Other ]],0)</f>
        <v>121</v>
      </c>
      <c r="M125" s="310" t="str">
        <f>IF(OR(Table10[[#This Row],[Winter Clothes Adult ]]&lt;&gt;0,Table10[[#This Row],[Winter Clothes Children ]]&lt;&gt;0,Table10[[#This Row],[Winter Items Other ]]&lt;&gt;0),"No","")</f>
        <v/>
      </c>
      <c r="N125" s="311">
        <f>COUNTIF(A:A,Table10[[#This Row],[Pcode]])-1</f>
        <v>0</v>
      </c>
    </row>
    <row r="126" spans="1:14" x14ac:dyDescent="0.25">
      <c r="A126" s="259" t="s">
        <v>270</v>
      </c>
      <c r="B126" s="18" t="str">
        <f ca="1">OFFSET(CampList[Priority],MATCH(Table10[[#This Row],[Pcode]],CampList[CP_Pcode],0)-1,0,1,1)</f>
        <v>P4</v>
      </c>
      <c r="C126" s="18" t="str">
        <f ca="1">OFFSET(CampList[Camp],MATCH(Table10[[#This Row],[Pcode]],CampList[CP_Pcode],0)-1,0,1,1)</f>
        <v>Nan Kway St. John Catholic Church</v>
      </c>
      <c r="D126" s="18" t="str">
        <f ca="1">OFFSET(CampList[Township],MATCH(Table10[[#This Row],[Pcode]],CampList[CP_Pcode],0)-1,0,1,1)</f>
        <v>Myitkyina</v>
      </c>
      <c r="E126" s="277">
        <f ca="1">OFFSET(CampList[HH],MATCH(Table10[[#This Row],[Pcode]],CampList[CP_Pcode],0)-1,0,1,1)</f>
        <v>68</v>
      </c>
      <c r="F126" s="277">
        <f ca="1">OFFSET(CampList[Total],MATCH(Table10[[#This Row],[Pcode]],CampList[CP_Pcode],0)-1,0,1,1)</f>
        <v>333</v>
      </c>
      <c r="G126" s="277">
        <f>SUMIF('NFI Tracking'!AQ$11:AQ$1048576,Table10[[#This Row],[Pcode]],'NFI Tracking'!AI$11:AI$1048576)</f>
        <v>0</v>
      </c>
      <c r="H126" s="277">
        <f>SUMIF('NFI Tracking'!AQ$11:AQ$1048576,Table10[[#This Row],[Pcode]],'NFI Tracking'!AJ$11:AJ$1048576)</f>
        <v>0</v>
      </c>
      <c r="I126" s="277">
        <f>SUMIF('NFI Tracking'!AQ$11:AQ$1048576,Table10[[#This Row],[Pcode]],'NFI Tracking'!AK$11:AK$1048576)</f>
        <v>0</v>
      </c>
      <c r="J126" s="277">
        <f ca="1">MAX(Table10[[#This Row],[HH]]*VLOOKUP("Winter Clothes Adult",NFI,6)-Table10[[#This Row],[Winter Clothes Adult ]],0)</f>
        <v>136</v>
      </c>
      <c r="K126" s="277">
        <f ca="1">MAX(Table10[[#This Row],[HH]]*VLOOKUP("Winter Clothes Children ",NFI,6)-Table10[[#This Row],[Winter Clothes Children ]],0)</f>
        <v>68</v>
      </c>
      <c r="L126" s="277">
        <f ca="1">MAX(Table10[[#This Row],[HH]]*VLOOKUP("Winter Items Other ",NFI,6)-Table10[[#This Row],[Winter Items Other ]],0)</f>
        <v>68</v>
      </c>
      <c r="M126" s="310" t="str">
        <f>IF(OR(Table10[[#This Row],[Winter Clothes Adult ]]&lt;&gt;0,Table10[[#This Row],[Winter Clothes Children ]]&lt;&gt;0,Table10[[#This Row],[Winter Items Other ]]&lt;&gt;0),"No","")</f>
        <v/>
      </c>
      <c r="N126" s="311">
        <f>COUNTIF(A:A,Table10[[#This Row],[Pcode]])-1</f>
        <v>0</v>
      </c>
    </row>
    <row r="127" spans="1:14" x14ac:dyDescent="0.25">
      <c r="A127" s="259" t="s">
        <v>19</v>
      </c>
      <c r="B127" s="18" t="str">
        <f ca="1">OFFSET(CampList[Priority],MATCH(Table10[[#This Row],[Pcode]],CampList[CP_Pcode],0)-1,0,1,1)</f>
        <v>P4</v>
      </c>
      <c r="C127" s="18" t="str">
        <f ca="1">OFFSET(CampList[Camp],MATCH(Table10[[#This Row],[Pcode]],CampList[CP_Pcode],0)-1,0,1,1)</f>
        <v>Nant Hlaing Church</v>
      </c>
      <c r="D127" s="18" t="str">
        <f ca="1">OFFSET(CampList[Township],MATCH(Table10[[#This Row],[Pcode]],CampList[CP_Pcode],0)-1,0,1,1)</f>
        <v>Bhamo</v>
      </c>
      <c r="E127" s="277">
        <f ca="1">OFFSET(CampList[HH],MATCH(Table10[[#This Row],[Pcode]],CampList[CP_Pcode],0)-1,0,1,1)</f>
        <v>21</v>
      </c>
      <c r="F127" s="277">
        <f ca="1">OFFSET(CampList[Total],MATCH(Table10[[#This Row],[Pcode]],CampList[CP_Pcode],0)-1,0,1,1)</f>
        <v>111</v>
      </c>
      <c r="G127" s="277">
        <f>SUMIF('NFI Tracking'!AQ$11:AQ$1048576,Table10[[#This Row],[Pcode]],'NFI Tracking'!AI$11:AI$1048576)</f>
        <v>0</v>
      </c>
      <c r="H127" s="277">
        <f>SUMIF('NFI Tracking'!AQ$11:AQ$1048576,Table10[[#This Row],[Pcode]],'NFI Tracking'!AJ$11:AJ$1048576)</f>
        <v>0</v>
      </c>
      <c r="I127" s="277">
        <f>SUMIF('NFI Tracking'!AQ$11:AQ$1048576,Table10[[#This Row],[Pcode]],'NFI Tracking'!AK$11:AK$1048576)</f>
        <v>0</v>
      </c>
      <c r="J127" s="277">
        <f ca="1">MAX(Table10[[#This Row],[HH]]*VLOOKUP("Winter Clothes Adult",NFI,6)-Table10[[#This Row],[Winter Clothes Adult ]],0)</f>
        <v>42</v>
      </c>
      <c r="K127" s="277">
        <f ca="1">MAX(Table10[[#This Row],[HH]]*VLOOKUP("Winter Clothes Children ",NFI,6)-Table10[[#This Row],[Winter Clothes Children ]],0)</f>
        <v>21</v>
      </c>
      <c r="L127" s="277">
        <f ca="1">MAX(Table10[[#This Row],[HH]]*VLOOKUP("Winter Items Other ",NFI,6)-Table10[[#This Row],[Winter Items Other ]],0)</f>
        <v>21</v>
      </c>
      <c r="M127" s="310" t="str">
        <f>IF(OR(Table10[[#This Row],[Winter Clothes Adult ]]&lt;&gt;0,Table10[[#This Row],[Winter Clothes Children ]]&lt;&gt;0,Table10[[#This Row],[Winter Items Other ]]&lt;&gt;0),"No","")</f>
        <v/>
      </c>
      <c r="N127" s="311">
        <f>COUNTIF(A:A,Table10[[#This Row],[Pcode]])-1</f>
        <v>0</v>
      </c>
    </row>
    <row r="128" spans="1:14" x14ac:dyDescent="0.25">
      <c r="A128" s="259" t="s">
        <v>107</v>
      </c>
      <c r="B128" s="18" t="str">
        <f ca="1">OFFSET(CampList[Priority],MATCH(Table10[[#This Row],[Pcode]],CampList[CP_Pcode],0)-1,0,1,1)</f>
        <v>P4</v>
      </c>
      <c r="C128" s="18" t="str">
        <f ca="1">OFFSET(CampList[Camp],MATCH(Table10[[#This Row],[Pcode]],CampList[CP_Pcode],0)-1,0,1,1)</f>
        <v>Nant Ma Hpit Catholic Church</v>
      </c>
      <c r="D128" s="18" t="str">
        <f ca="1">OFFSET(CampList[Township],MATCH(Table10[[#This Row],[Pcode]],CampList[CP_Pcode],0)-1,0,1,1)</f>
        <v>Hpakant</v>
      </c>
      <c r="E128" s="277">
        <f ca="1">OFFSET(CampList[HH],MATCH(Table10[[#This Row],[Pcode]],CampList[CP_Pcode],0)-1,0,1,1)</f>
        <v>51</v>
      </c>
      <c r="F128" s="277">
        <f ca="1">OFFSET(CampList[Total],MATCH(Table10[[#This Row],[Pcode]],CampList[CP_Pcode],0)-1,0,1,1)</f>
        <v>225</v>
      </c>
      <c r="G128" s="277">
        <f>SUMIF('NFI Tracking'!AQ$11:AQ$1048576,Table10[[#This Row],[Pcode]],'NFI Tracking'!AI$11:AI$1048576)</f>
        <v>0</v>
      </c>
      <c r="H128" s="277">
        <f>SUMIF('NFI Tracking'!AQ$11:AQ$1048576,Table10[[#This Row],[Pcode]],'NFI Tracking'!AJ$11:AJ$1048576)</f>
        <v>0</v>
      </c>
      <c r="I128" s="277">
        <f>SUMIF('NFI Tracking'!AQ$11:AQ$1048576,Table10[[#This Row],[Pcode]],'NFI Tracking'!AK$11:AK$1048576)</f>
        <v>0</v>
      </c>
      <c r="J128" s="277">
        <f ca="1">MAX(Table10[[#This Row],[HH]]*VLOOKUP("Winter Clothes Adult",NFI,6)-Table10[[#This Row],[Winter Clothes Adult ]],0)</f>
        <v>102</v>
      </c>
      <c r="K128" s="277">
        <f ca="1">MAX(Table10[[#This Row],[HH]]*VLOOKUP("Winter Clothes Children ",NFI,6)-Table10[[#This Row],[Winter Clothes Children ]],0)</f>
        <v>51</v>
      </c>
      <c r="L128" s="277">
        <f ca="1">MAX(Table10[[#This Row],[HH]]*VLOOKUP("Winter Items Other ",NFI,6)-Table10[[#This Row],[Winter Items Other ]],0)</f>
        <v>51</v>
      </c>
      <c r="M128" s="310" t="str">
        <f>IF(OR(Table10[[#This Row],[Winter Clothes Adult ]]&lt;&gt;0,Table10[[#This Row],[Winter Clothes Children ]]&lt;&gt;0,Table10[[#This Row],[Winter Items Other ]]&lt;&gt;0),"No","")</f>
        <v/>
      </c>
      <c r="N128" s="311">
        <f>COUNTIF(A:A,Table10[[#This Row],[Pcode]])-1</f>
        <v>0</v>
      </c>
    </row>
    <row r="129" spans="1:14" x14ac:dyDescent="0.25">
      <c r="A129" s="259" t="s">
        <v>182</v>
      </c>
      <c r="B129" s="18" t="str">
        <f ca="1">OFFSET(CampList[Priority],MATCH(Table10[[#This Row],[Pcode]],CampList[CP_Pcode],0)-1,0,1,1)</f>
        <v>P4</v>
      </c>
      <c r="C129" s="18" t="str">
        <f ca="1">OFFSET(CampList[Camp],MATCH(Table10[[#This Row],[Pcode]],CampList[CP_Pcode],0)-1,0,1,1)</f>
        <v>Nant Mun</v>
      </c>
      <c r="D129" s="18" t="str">
        <f ca="1">OFFSET(CampList[Township],MATCH(Table10[[#This Row],[Pcode]],CampList[CP_Pcode],0)-1,0,1,1)</f>
        <v>Mohnyin</v>
      </c>
      <c r="E129" s="277">
        <f ca="1">OFFSET(CampList[HH],MATCH(Table10[[#This Row],[Pcode]],CampList[CP_Pcode],0)-1,0,1,1)</f>
        <v>0</v>
      </c>
      <c r="F129" s="277">
        <f ca="1">OFFSET(CampList[Total],MATCH(Table10[[#This Row],[Pcode]],CampList[CP_Pcode],0)-1,0,1,1)</f>
        <v>0</v>
      </c>
      <c r="G129" s="277">
        <f>SUMIF('NFI Tracking'!AQ$11:AQ$1048576,Table10[[#This Row],[Pcode]],'NFI Tracking'!AI$11:AI$1048576)</f>
        <v>0</v>
      </c>
      <c r="H129" s="277">
        <f>SUMIF('NFI Tracking'!AQ$11:AQ$1048576,Table10[[#This Row],[Pcode]],'NFI Tracking'!AJ$11:AJ$1048576)</f>
        <v>0</v>
      </c>
      <c r="I129" s="277">
        <f>SUMIF('NFI Tracking'!AQ$11:AQ$1048576,Table10[[#This Row],[Pcode]],'NFI Tracking'!AK$11:AK$1048576)</f>
        <v>0</v>
      </c>
      <c r="J129" s="277">
        <f ca="1">MAX(Table10[[#This Row],[HH]]*VLOOKUP("Winter Clothes Adult",NFI,6)-Table10[[#This Row],[Winter Clothes Adult ]],0)</f>
        <v>0</v>
      </c>
      <c r="K129" s="277">
        <f ca="1">MAX(Table10[[#This Row],[HH]]*VLOOKUP("Winter Clothes Children ",NFI,6)-Table10[[#This Row],[Winter Clothes Children ]],0)</f>
        <v>0</v>
      </c>
      <c r="L129" s="277">
        <f ca="1">MAX(Table10[[#This Row],[HH]]*VLOOKUP("Winter Items Other ",NFI,6)-Table10[[#This Row],[Winter Items Other ]],0)</f>
        <v>0</v>
      </c>
      <c r="M129" s="310" t="str">
        <f>IF(OR(Table10[[#This Row],[Winter Clothes Adult ]]&lt;&gt;0,Table10[[#This Row],[Winter Clothes Children ]]&lt;&gt;0,Table10[[#This Row],[Winter Items Other ]]&lt;&gt;0),"No","")</f>
        <v/>
      </c>
      <c r="N129" s="311">
        <f>COUNTIF(A:A,Table10[[#This Row],[Pcode]])-1</f>
        <v>0</v>
      </c>
    </row>
    <row r="130" spans="1:14" x14ac:dyDescent="0.25">
      <c r="A130" s="259" t="s">
        <v>838</v>
      </c>
      <c r="B130" s="18" t="str">
        <f ca="1">OFFSET(CampList[Priority],MATCH(Table10[[#This Row],[Pcode]],CampList[CP_Pcode],0)-1,0,1,1)</f>
        <v>P4</v>
      </c>
      <c r="C130" s="18" t="str">
        <f ca="1">OFFSET(CampList[Camp],MATCH(Table10[[#This Row],[Pcode]],CampList[CP_Pcode],0)-1,0,1,1)</f>
        <v>Narte</v>
      </c>
      <c r="D130" s="18" t="str">
        <f ca="1">OFFSET(CampList[Township],MATCH(Table10[[#This Row],[Pcode]],CampList[CP_Pcode],0)-1,0,1,1)</f>
        <v>Hseni</v>
      </c>
      <c r="E130" s="277">
        <f ca="1">OFFSET(CampList[HH],MATCH(Table10[[#This Row],[Pcode]],CampList[CP_Pcode],0)-1,0,1,1)</f>
        <v>67</v>
      </c>
      <c r="F130" s="277">
        <f ca="1">OFFSET(CampList[Total],MATCH(Table10[[#This Row],[Pcode]],CampList[CP_Pcode],0)-1,0,1,1)</f>
        <v>392</v>
      </c>
      <c r="G130" s="277">
        <f>SUMIF('NFI Tracking'!AQ$11:AQ$1048576,Table10[[#This Row],[Pcode]],'NFI Tracking'!AI$11:AI$1048576)</f>
        <v>0</v>
      </c>
      <c r="H130" s="277">
        <f>SUMIF('NFI Tracking'!AQ$11:AQ$1048576,Table10[[#This Row],[Pcode]],'NFI Tracking'!AJ$11:AJ$1048576)</f>
        <v>0</v>
      </c>
      <c r="I130" s="277">
        <f>SUMIF('NFI Tracking'!AQ$11:AQ$1048576,Table10[[#This Row],[Pcode]],'NFI Tracking'!AK$11:AK$1048576)</f>
        <v>0</v>
      </c>
      <c r="J130" s="277">
        <f ca="1">MAX(Table10[[#This Row],[HH]]*VLOOKUP("Winter Clothes Adult",NFI,6)-Table10[[#This Row],[Winter Clothes Adult ]],0)</f>
        <v>134</v>
      </c>
      <c r="K130" s="277">
        <f ca="1">MAX(Table10[[#This Row],[HH]]*VLOOKUP("Winter Clothes Children ",NFI,6)-Table10[[#This Row],[Winter Clothes Children ]],0)</f>
        <v>67</v>
      </c>
      <c r="L130" s="277">
        <f ca="1">MAX(Table10[[#This Row],[HH]]*VLOOKUP("Winter Items Other ",NFI,6)-Table10[[#This Row],[Winter Items Other ]],0)</f>
        <v>67</v>
      </c>
      <c r="M130" s="310" t="str">
        <f>IF(OR(Table10[[#This Row],[Winter Clothes Adult ]]&lt;&gt;0,Table10[[#This Row],[Winter Clothes Children ]]&lt;&gt;0,Table10[[#This Row],[Winter Items Other ]]&lt;&gt;0),"No","")</f>
        <v/>
      </c>
      <c r="N130" s="311">
        <f>COUNTIF(A:A,Table10[[#This Row],[Pcode]])-1</f>
        <v>0</v>
      </c>
    </row>
    <row r="131" spans="1:14" x14ac:dyDescent="0.25">
      <c r="A131" s="259" t="s">
        <v>177</v>
      </c>
      <c r="B131" s="18" t="str">
        <f ca="1">OFFSET(CampList[Priority],MATCH(Table10[[#This Row],[Pcode]],CampList[CP_Pcode],0)-1,0,1,1)</f>
        <v>P4</v>
      </c>
      <c r="C131" s="18" t="str">
        <f ca="1">OFFSET(CampList[Camp],MATCH(Table10[[#This Row],[Pcode]],CampList[CP_Pcode],0)-1,0,1,1)</f>
        <v xml:space="preserve">Nat Gyi Kone Baptist Church </v>
      </c>
      <c r="D131" s="18" t="str">
        <f ca="1">OFFSET(CampList[Township],MATCH(Table10[[#This Row],[Pcode]],CampList[CP_Pcode],0)-1,0,1,1)</f>
        <v>Mogaung</v>
      </c>
      <c r="E131" s="277">
        <f ca="1">OFFSET(CampList[HH],MATCH(Table10[[#This Row],[Pcode]],CampList[CP_Pcode],0)-1,0,1,1)</f>
        <v>12</v>
      </c>
      <c r="F131" s="277">
        <f ca="1">OFFSET(CampList[Total],MATCH(Table10[[#This Row],[Pcode]],CampList[CP_Pcode],0)-1,0,1,1)</f>
        <v>46</v>
      </c>
      <c r="G131" s="277">
        <f>SUMIF('NFI Tracking'!AQ$11:AQ$1048576,Table10[[#This Row],[Pcode]],'NFI Tracking'!AI$11:AI$1048576)</f>
        <v>0</v>
      </c>
      <c r="H131" s="277">
        <f>SUMIF('NFI Tracking'!AQ$11:AQ$1048576,Table10[[#This Row],[Pcode]],'NFI Tracking'!AJ$11:AJ$1048576)</f>
        <v>0</v>
      </c>
      <c r="I131" s="277">
        <f>SUMIF('NFI Tracking'!AQ$11:AQ$1048576,Table10[[#This Row],[Pcode]],'NFI Tracking'!AK$11:AK$1048576)</f>
        <v>0</v>
      </c>
      <c r="J131" s="277">
        <f ca="1">MAX(Table10[[#This Row],[HH]]*VLOOKUP("Winter Clothes Adult",NFI,6)-Table10[[#This Row],[Winter Clothes Adult ]],0)</f>
        <v>24</v>
      </c>
      <c r="K131" s="277">
        <f ca="1">MAX(Table10[[#This Row],[HH]]*VLOOKUP("Winter Clothes Children ",NFI,6)-Table10[[#This Row],[Winter Clothes Children ]],0)</f>
        <v>12</v>
      </c>
      <c r="L131" s="277">
        <f ca="1">MAX(Table10[[#This Row],[HH]]*VLOOKUP("Winter Items Other ",NFI,6)-Table10[[#This Row],[Winter Items Other ]],0)</f>
        <v>12</v>
      </c>
      <c r="M131" s="310" t="str">
        <f>IF(OR(Table10[[#This Row],[Winter Clothes Adult ]]&lt;&gt;0,Table10[[#This Row],[Winter Clothes Children ]]&lt;&gt;0,Table10[[#This Row],[Winter Items Other ]]&lt;&gt;0),"No","")</f>
        <v/>
      </c>
      <c r="N131" s="311">
        <f>COUNTIF(A:A,Table10[[#This Row],[Pcode]])-1</f>
        <v>0</v>
      </c>
    </row>
    <row r="132" spans="1:14" x14ac:dyDescent="0.25">
      <c r="A132" s="259" t="s">
        <v>343</v>
      </c>
      <c r="B132" s="18" t="str">
        <f ca="1">OFFSET(CampList[Priority],MATCH(Table10[[#This Row],[Pcode]],CampList[CP_Pcode],0)-1,0,1,1)</f>
        <v>P4</v>
      </c>
      <c r="C132" s="18" t="str">
        <f ca="1">OFFSET(CampList[Camp],MATCH(Table10[[#This Row],[Pcode]],CampList[CP_Pcode],0)-1,0,1,1)</f>
        <v>Nawng Hee Village</v>
      </c>
      <c r="D132" s="18" t="str">
        <f ca="1">OFFSET(CampList[Township],MATCH(Table10[[#This Row],[Pcode]],CampList[CP_Pcode],0)-1,0,1,1)</f>
        <v>Waingmaw</v>
      </c>
      <c r="E132" s="277">
        <f ca="1">OFFSET(CampList[HH],MATCH(Table10[[#This Row],[Pcode]],CampList[CP_Pcode],0)-1,0,1,1)</f>
        <v>18</v>
      </c>
      <c r="F132" s="277">
        <f ca="1">OFFSET(CampList[Total],MATCH(Table10[[#This Row],[Pcode]],CampList[CP_Pcode],0)-1,0,1,1)</f>
        <v>82</v>
      </c>
      <c r="G132" s="277">
        <f>SUMIF('NFI Tracking'!AQ$11:AQ$1048576,Table10[[#This Row],[Pcode]],'NFI Tracking'!AI$11:AI$1048576)</f>
        <v>0</v>
      </c>
      <c r="H132" s="277">
        <f>SUMIF('NFI Tracking'!AQ$11:AQ$1048576,Table10[[#This Row],[Pcode]],'NFI Tracking'!AJ$11:AJ$1048576)</f>
        <v>0</v>
      </c>
      <c r="I132" s="277">
        <f>SUMIF('NFI Tracking'!AQ$11:AQ$1048576,Table10[[#This Row],[Pcode]],'NFI Tracking'!AK$11:AK$1048576)</f>
        <v>0</v>
      </c>
      <c r="J132" s="277">
        <f ca="1">MAX(Table10[[#This Row],[HH]]*VLOOKUP("Winter Clothes Adult",NFI,6)-Table10[[#This Row],[Winter Clothes Adult ]],0)</f>
        <v>36</v>
      </c>
      <c r="K132" s="277">
        <f ca="1">MAX(Table10[[#This Row],[HH]]*VLOOKUP("Winter Clothes Children ",NFI,6)-Table10[[#This Row],[Winter Clothes Children ]],0)</f>
        <v>18</v>
      </c>
      <c r="L132" s="277">
        <f ca="1">MAX(Table10[[#This Row],[HH]]*VLOOKUP("Winter Items Other ",NFI,6)-Table10[[#This Row],[Winter Items Other ]],0)</f>
        <v>18</v>
      </c>
      <c r="M132" s="310" t="str">
        <f>IF(OR(Table10[[#This Row],[Winter Clothes Adult ]]&lt;&gt;0,Table10[[#This Row],[Winter Clothes Children ]]&lt;&gt;0,Table10[[#This Row],[Winter Items Other ]]&lt;&gt;0),"No","")</f>
        <v/>
      </c>
      <c r="N132" s="311">
        <f>COUNTIF(A:A,Table10[[#This Row],[Pcode]])-1</f>
        <v>0</v>
      </c>
    </row>
    <row r="133" spans="1:14" x14ac:dyDescent="0.25">
      <c r="A133" s="259" t="s">
        <v>286</v>
      </c>
      <c r="B133" s="18" t="str">
        <f ca="1">OFFSET(CampList[Priority],MATCH(Table10[[#This Row],[Pcode]],CampList[CP_Pcode],0)-1,0,1,1)</f>
        <v>P4</v>
      </c>
      <c r="C133" s="18" t="str">
        <f ca="1">OFFSET(CampList[Camp],MATCH(Table10[[#This Row],[Pcode]],CampList[CP_Pcode],0)-1,0,1,1)</f>
        <v xml:space="preserve">Nawng Ing (Indawgyi) Baptist Church  </v>
      </c>
      <c r="D133" s="18" t="str">
        <f ca="1">OFFSET(CampList[Township],MATCH(Table10[[#This Row],[Pcode]],CampList[CP_Pcode],0)-1,0,1,1)</f>
        <v>Mohnyin</v>
      </c>
      <c r="E133" s="277">
        <f ca="1">OFFSET(CampList[HH],MATCH(Table10[[#This Row],[Pcode]],CampList[CP_Pcode],0)-1,0,1,1)</f>
        <v>19</v>
      </c>
      <c r="F133" s="277">
        <f ca="1">OFFSET(CampList[Total],MATCH(Table10[[#This Row],[Pcode]],CampList[CP_Pcode],0)-1,0,1,1)</f>
        <v>102</v>
      </c>
      <c r="G133" s="277">
        <f>SUMIF('NFI Tracking'!AQ$11:AQ$1048576,Table10[[#This Row],[Pcode]],'NFI Tracking'!AI$11:AI$1048576)</f>
        <v>0</v>
      </c>
      <c r="H133" s="277">
        <f>SUMIF('NFI Tracking'!AQ$11:AQ$1048576,Table10[[#This Row],[Pcode]],'NFI Tracking'!AJ$11:AJ$1048576)</f>
        <v>0</v>
      </c>
      <c r="I133" s="277">
        <f>SUMIF('NFI Tracking'!AQ$11:AQ$1048576,Table10[[#This Row],[Pcode]],'NFI Tracking'!AK$11:AK$1048576)</f>
        <v>0</v>
      </c>
      <c r="J133" s="277">
        <f ca="1">MAX(Table10[[#This Row],[HH]]*VLOOKUP("Winter Clothes Adult",NFI,6)-Table10[[#This Row],[Winter Clothes Adult ]],0)</f>
        <v>38</v>
      </c>
      <c r="K133" s="277">
        <f ca="1">MAX(Table10[[#This Row],[HH]]*VLOOKUP("Winter Clothes Children ",NFI,6)-Table10[[#This Row],[Winter Clothes Children ]],0)</f>
        <v>19</v>
      </c>
      <c r="L133" s="277">
        <f ca="1">MAX(Table10[[#This Row],[HH]]*VLOOKUP("Winter Items Other ",NFI,6)-Table10[[#This Row],[Winter Items Other ]],0)</f>
        <v>19</v>
      </c>
      <c r="M133" s="310" t="str">
        <f>IF(OR(Table10[[#This Row],[Winter Clothes Adult ]]&lt;&gt;0,Table10[[#This Row],[Winter Clothes Children ]]&lt;&gt;0,Table10[[#This Row],[Winter Items Other ]]&lt;&gt;0),"No","")</f>
        <v/>
      </c>
      <c r="N133" s="311">
        <f>COUNTIF(A:A,Table10[[#This Row],[Pcode]])-1</f>
        <v>0</v>
      </c>
    </row>
    <row r="134" spans="1:14" x14ac:dyDescent="0.25">
      <c r="A134" s="259" t="s">
        <v>216</v>
      </c>
      <c r="B134" s="18" t="str">
        <f ca="1">OFFSET(CampList[Priority],MATCH(Table10[[#This Row],[Pcode]],CampList[CP_Pcode],0)-1,0,1,1)</f>
        <v>P4</v>
      </c>
      <c r="C134" s="18" t="str">
        <f ca="1">OFFSET(CampList[Camp],MATCH(Table10[[#This Row],[Pcode]],CampList[CP_Pcode],0)-1,0,1,1)</f>
        <v>Ni Thaw Ka Monestry</v>
      </c>
      <c r="D134" s="18" t="str">
        <f ca="1">OFFSET(CampList[Township],MATCH(Table10[[#This Row],[Pcode]],CampList[CP_Pcode],0)-1,0,1,1)</f>
        <v>Momauk</v>
      </c>
      <c r="E134" s="277">
        <f ca="1">OFFSET(CampList[HH],MATCH(Table10[[#This Row],[Pcode]],CampList[CP_Pcode],0)-1,0,1,1)</f>
        <v>0</v>
      </c>
      <c r="F134" s="277">
        <f ca="1">OFFSET(CampList[Total],MATCH(Table10[[#This Row],[Pcode]],CampList[CP_Pcode],0)-1,0,1,1)</f>
        <v>0</v>
      </c>
      <c r="G134" s="277">
        <f>SUMIF('NFI Tracking'!AQ$11:AQ$1048576,Table10[[#This Row],[Pcode]],'NFI Tracking'!AI$11:AI$1048576)</f>
        <v>0</v>
      </c>
      <c r="H134" s="277">
        <f>SUMIF('NFI Tracking'!AQ$11:AQ$1048576,Table10[[#This Row],[Pcode]],'NFI Tracking'!AJ$11:AJ$1048576)</f>
        <v>0</v>
      </c>
      <c r="I134" s="277">
        <f>SUMIF('NFI Tracking'!AQ$11:AQ$1048576,Table10[[#This Row],[Pcode]],'NFI Tracking'!AK$11:AK$1048576)</f>
        <v>0</v>
      </c>
      <c r="J134" s="277">
        <f ca="1">MAX(Table10[[#This Row],[HH]]*VLOOKUP("Winter Clothes Adult",NFI,6)-Table10[[#This Row],[Winter Clothes Adult ]],0)</f>
        <v>0</v>
      </c>
      <c r="K134" s="277">
        <f ca="1">MAX(Table10[[#This Row],[HH]]*VLOOKUP("Winter Clothes Children ",NFI,6)-Table10[[#This Row],[Winter Clothes Children ]],0)</f>
        <v>0</v>
      </c>
      <c r="L134" s="277">
        <f ca="1">MAX(Table10[[#This Row],[HH]]*VLOOKUP("Winter Items Other ",NFI,6)-Table10[[#This Row],[Winter Items Other ]],0)</f>
        <v>0</v>
      </c>
      <c r="M134" s="310" t="str">
        <f>IF(OR(Table10[[#This Row],[Winter Clothes Adult ]]&lt;&gt;0,Table10[[#This Row],[Winter Clothes Children ]]&lt;&gt;0,Table10[[#This Row],[Winter Items Other ]]&lt;&gt;0),"No","")</f>
        <v/>
      </c>
      <c r="N134" s="311">
        <f>COUNTIF(A:A,Table10[[#This Row],[Pcode]])-1</f>
        <v>0</v>
      </c>
    </row>
    <row r="135" spans="1:14" x14ac:dyDescent="0.25">
      <c r="A135" s="259" t="s">
        <v>268</v>
      </c>
      <c r="B135" s="18" t="str">
        <f ca="1">OFFSET(CampList[Priority],MATCH(Table10[[#This Row],[Pcode]],CampList[CP_Pcode],0)-1,0,1,1)</f>
        <v>P4</v>
      </c>
      <c r="C135" s="18" t="str">
        <f ca="1">OFFSET(CampList[Camp],MATCH(Table10[[#This Row],[Pcode]],CampList[CP_Pcode],0)-1,0,1,1)</f>
        <v xml:space="preserve">Njang Dung Baptist Church </v>
      </c>
      <c r="D135" s="18" t="str">
        <f ca="1">OFFSET(CampList[Township],MATCH(Table10[[#This Row],[Pcode]],CampList[CP_Pcode],0)-1,0,1,1)</f>
        <v>Myitkyina</v>
      </c>
      <c r="E135" s="277">
        <f ca="1">OFFSET(CampList[HH],MATCH(Table10[[#This Row],[Pcode]],CampList[CP_Pcode],0)-1,0,1,1)</f>
        <v>67</v>
      </c>
      <c r="F135" s="277">
        <f ca="1">OFFSET(CampList[Total],MATCH(Table10[[#This Row],[Pcode]],CampList[CP_Pcode],0)-1,0,1,1)</f>
        <v>289</v>
      </c>
      <c r="G135" s="277">
        <f>SUMIF('NFI Tracking'!AQ$11:AQ$1048576,Table10[[#This Row],[Pcode]],'NFI Tracking'!AI$11:AI$1048576)</f>
        <v>0</v>
      </c>
      <c r="H135" s="277">
        <f>SUMIF('NFI Tracking'!AQ$11:AQ$1048576,Table10[[#This Row],[Pcode]],'NFI Tracking'!AJ$11:AJ$1048576)</f>
        <v>0</v>
      </c>
      <c r="I135" s="277">
        <f>SUMIF('NFI Tracking'!AQ$11:AQ$1048576,Table10[[#This Row],[Pcode]],'NFI Tracking'!AK$11:AK$1048576)</f>
        <v>0</v>
      </c>
      <c r="J135" s="277">
        <f ca="1">MAX(Table10[[#This Row],[HH]]*VLOOKUP("Winter Clothes Adult",NFI,6)-Table10[[#This Row],[Winter Clothes Adult ]],0)</f>
        <v>134</v>
      </c>
      <c r="K135" s="277">
        <f ca="1">MAX(Table10[[#This Row],[HH]]*VLOOKUP("Winter Clothes Children ",NFI,6)-Table10[[#This Row],[Winter Clothes Children ]],0)</f>
        <v>67</v>
      </c>
      <c r="L135" s="277">
        <f ca="1">MAX(Table10[[#This Row],[HH]]*VLOOKUP("Winter Items Other ",NFI,6)-Table10[[#This Row],[Winter Items Other ]],0)</f>
        <v>67</v>
      </c>
      <c r="M135" s="310" t="str">
        <f>IF(OR(Table10[[#This Row],[Winter Clothes Adult ]]&lt;&gt;0,Table10[[#This Row],[Winter Clothes Children ]]&lt;&gt;0,Table10[[#This Row],[Winter Items Other ]]&lt;&gt;0),"No","")</f>
        <v/>
      </c>
      <c r="N135" s="311">
        <f>COUNTIF(A:A,Table10[[#This Row],[Pcode]])-1</f>
        <v>0</v>
      </c>
    </row>
    <row r="136" spans="1:14" x14ac:dyDescent="0.25">
      <c r="A136" s="259" t="s">
        <v>272</v>
      </c>
      <c r="B136" s="18" t="str">
        <f ca="1">OFFSET(CampList[Priority],MATCH(Table10[[#This Row],[Pcode]],CampList[CP_Pcode],0)-1,0,1,1)</f>
        <v>P4</v>
      </c>
      <c r="C136" s="18" t="str">
        <f ca="1">OFFSET(CampList[Camp],MATCH(Table10[[#This Row],[Pcode]],CampList[CP_Pcode],0)-1,0,1,1)</f>
        <v>Pa Dauk Myaing(Pa La Na)</v>
      </c>
      <c r="D136" s="18" t="str">
        <f ca="1">OFFSET(CampList[Township],MATCH(Table10[[#This Row],[Pcode]],CampList[CP_Pcode],0)-1,0,1,1)</f>
        <v>Myitkyina</v>
      </c>
      <c r="E136" s="277">
        <f ca="1">OFFSET(CampList[HH],MATCH(Table10[[#This Row],[Pcode]],CampList[CP_Pcode],0)-1,0,1,1)</f>
        <v>46</v>
      </c>
      <c r="F136" s="277">
        <f ca="1">OFFSET(CampList[Total],MATCH(Table10[[#This Row],[Pcode]],CampList[CP_Pcode],0)-1,0,1,1)</f>
        <v>278</v>
      </c>
      <c r="G136" s="277">
        <f>SUMIF('NFI Tracking'!AQ$11:AQ$1048576,Table10[[#This Row],[Pcode]],'NFI Tracking'!AI$11:AI$1048576)</f>
        <v>0</v>
      </c>
      <c r="H136" s="277">
        <f>SUMIF('NFI Tracking'!AQ$11:AQ$1048576,Table10[[#This Row],[Pcode]],'NFI Tracking'!AJ$11:AJ$1048576)</f>
        <v>0</v>
      </c>
      <c r="I136" s="277">
        <f>SUMIF('NFI Tracking'!AQ$11:AQ$1048576,Table10[[#This Row],[Pcode]],'NFI Tracking'!AK$11:AK$1048576)</f>
        <v>0</v>
      </c>
      <c r="J136" s="277">
        <f ca="1">MAX(Table10[[#This Row],[HH]]*VLOOKUP("Winter Clothes Adult",NFI,6)-Table10[[#This Row],[Winter Clothes Adult ]],0)</f>
        <v>92</v>
      </c>
      <c r="K136" s="277">
        <f ca="1">MAX(Table10[[#This Row],[HH]]*VLOOKUP("Winter Clothes Children ",NFI,6)-Table10[[#This Row],[Winter Clothes Children ]],0)</f>
        <v>46</v>
      </c>
      <c r="L136" s="277">
        <f ca="1">MAX(Table10[[#This Row],[HH]]*VLOOKUP("Winter Items Other ",NFI,6)-Table10[[#This Row],[Winter Items Other ]],0)</f>
        <v>46</v>
      </c>
      <c r="M136" s="310" t="str">
        <f>IF(OR(Table10[[#This Row],[Winter Clothes Adult ]]&lt;&gt;0,Table10[[#This Row],[Winter Clothes Children ]]&lt;&gt;0,Table10[[#This Row],[Winter Items Other ]]&lt;&gt;0),"No","")</f>
        <v/>
      </c>
      <c r="N136" s="311">
        <f>COUNTIF(A:A,Table10[[#This Row],[Pcode]])-1</f>
        <v>0</v>
      </c>
    </row>
    <row r="137" spans="1:14" x14ac:dyDescent="0.25">
      <c r="A137" s="259" t="s">
        <v>376</v>
      </c>
      <c r="B137" s="18" t="str">
        <f ca="1">OFFSET(CampList[Priority],MATCH(Table10[[#This Row],[Pcode]],CampList[CP_Pcode],0)-1,0,1,1)</f>
        <v>P4</v>
      </c>
      <c r="C137" s="18" t="str">
        <f ca="1">OFFSET(CampList[Camp],MATCH(Table10[[#This Row],[Pcode]],CampList[CP_Pcode],0)-1,0,1,1)</f>
        <v>Phan Khar Kone</v>
      </c>
      <c r="D137" s="18" t="str">
        <f ca="1">OFFSET(CampList[Township],MATCH(Table10[[#This Row],[Pcode]],CampList[CP_Pcode],0)-1,0,1,1)</f>
        <v>Bhamo</v>
      </c>
      <c r="E137" s="277">
        <f ca="1">OFFSET(CampList[HH],MATCH(Table10[[#This Row],[Pcode]],CampList[CP_Pcode],0)-1,0,1,1)</f>
        <v>153</v>
      </c>
      <c r="F137" s="277">
        <f ca="1">OFFSET(CampList[Total],MATCH(Table10[[#This Row],[Pcode]],CampList[CP_Pcode],0)-1,0,1,1)</f>
        <v>773</v>
      </c>
      <c r="G137" s="277">
        <f>SUMIF('NFI Tracking'!AQ$11:AQ$1048576,Table10[[#This Row],[Pcode]],'NFI Tracking'!AI$11:AI$1048576)</f>
        <v>0</v>
      </c>
      <c r="H137" s="277">
        <f>SUMIF('NFI Tracking'!AQ$11:AQ$1048576,Table10[[#This Row],[Pcode]],'NFI Tracking'!AJ$11:AJ$1048576)</f>
        <v>0</v>
      </c>
      <c r="I137" s="277">
        <f>SUMIF('NFI Tracking'!AQ$11:AQ$1048576,Table10[[#This Row],[Pcode]],'NFI Tracking'!AK$11:AK$1048576)</f>
        <v>0</v>
      </c>
      <c r="J137" s="277">
        <f ca="1">MAX(Table10[[#This Row],[HH]]*VLOOKUP("Winter Clothes Adult",NFI,6)-Table10[[#This Row],[Winter Clothes Adult ]],0)</f>
        <v>306</v>
      </c>
      <c r="K137" s="277">
        <f ca="1">MAX(Table10[[#This Row],[HH]]*VLOOKUP("Winter Clothes Children ",NFI,6)-Table10[[#This Row],[Winter Clothes Children ]],0)</f>
        <v>153</v>
      </c>
      <c r="L137" s="277">
        <f ca="1">MAX(Table10[[#This Row],[HH]]*VLOOKUP("Winter Items Other ",NFI,6)-Table10[[#This Row],[Winter Items Other ]],0)</f>
        <v>153</v>
      </c>
      <c r="M137" s="310" t="str">
        <f>IF(OR(Table10[[#This Row],[Winter Clothes Adult ]]&lt;&gt;0,Table10[[#This Row],[Winter Clothes Children ]]&lt;&gt;0,Table10[[#This Row],[Winter Items Other ]]&lt;&gt;0),"No","")</f>
        <v/>
      </c>
      <c r="N137" s="311">
        <f>COUNTIF(A:A,Table10[[#This Row],[Pcode]])-1</f>
        <v>0</v>
      </c>
    </row>
    <row r="138" spans="1:14" x14ac:dyDescent="0.25">
      <c r="A138" s="259" t="s">
        <v>220</v>
      </c>
      <c r="B138" s="18" t="str">
        <f ca="1">OFFSET(CampList[Priority],MATCH(Table10[[#This Row],[Pcode]],CampList[CP_Pcode],0)-1,0,1,1)</f>
        <v>P4</v>
      </c>
      <c r="C138" s="18" t="str">
        <f ca="1">OFFSET(CampList[Camp],MATCH(Table10[[#This Row],[Pcode]],CampList[CP_Pcode],0)-1,0,1,1)</f>
        <v xml:space="preserve">Phar Kay/Nant Waing </v>
      </c>
      <c r="D138" s="18" t="str">
        <f ca="1">OFFSET(CampList[Township],MATCH(Table10[[#This Row],[Pcode]],CampList[CP_Pcode],0)-1,0,1,1)</f>
        <v>Momauk</v>
      </c>
      <c r="E138" s="277">
        <f ca="1">OFFSET(CampList[HH],MATCH(Table10[[#This Row],[Pcode]],CampList[CP_Pcode],0)-1,0,1,1)</f>
        <v>39</v>
      </c>
      <c r="F138" s="277">
        <f ca="1">OFFSET(CampList[Total],MATCH(Table10[[#This Row],[Pcode]],CampList[CP_Pcode],0)-1,0,1,1)</f>
        <v>176</v>
      </c>
      <c r="G138" s="277">
        <f>SUMIF('NFI Tracking'!AQ$11:AQ$1048576,Table10[[#This Row],[Pcode]],'NFI Tracking'!AI$11:AI$1048576)</f>
        <v>0</v>
      </c>
      <c r="H138" s="277">
        <f>SUMIF('NFI Tracking'!AQ$11:AQ$1048576,Table10[[#This Row],[Pcode]],'NFI Tracking'!AJ$11:AJ$1048576)</f>
        <v>0</v>
      </c>
      <c r="I138" s="277">
        <f>SUMIF('NFI Tracking'!AQ$11:AQ$1048576,Table10[[#This Row],[Pcode]],'NFI Tracking'!AK$11:AK$1048576)</f>
        <v>0</v>
      </c>
      <c r="J138" s="277">
        <f ca="1">MAX(Table10[[#This Row],[HH]]*VLOOKUP("Winter Clothes Adult",NFI,6)-Table10[[#This Row],[Winter Clothes Adult ]],0)</f>
        <v>78</v>
      </c>
      <c r="K138" s="277">
        <f ca="1">MAX(Table10[[#This Row],[HH]]*VLOOKUP("Winter Clothes Children ",NFI,6)-Table10[[#This Row],[Winter Clothes Children ]],0)</f>
        <v>39</v>
      </c>
      <c r="L138" s="277">
        <f ca="1">MAX(Table10[[#This Row],[HH]]*VLOOKUP("Winter Items Other ",NFI,6)-Table10[[#This Row],[Winter Items Other ]],0)</f>
        <v>39</v>
      </c>
      <c r="M138" s="310" t="str">
        <f>IF(OR(Table10[[#This Row],[Winter Clothes Adult ]]&lt;&gt;0,Table10[[#This Row],[Winter Clothes Children ]]&lt;&gt;0,Table10[[#This Row],[Winter Items Other ]]&lt;&gt;0),"No","")</f>
        <v/>
      </c>
      <c r="N138" s="311">
        <f>COUNTIF(A:A,Table10[[#This Row],[Pcode]])-1</f>
        <v>0</v>
      </c>
    </row>
    <row r="139" spans="1:14" x14ac:dyDescent="0.25">
      <c r="A139" s="259" t="s">
        <v>317</v>
      </c>
      <c r="B139" s="18" t="str">
        <f ca="1">OFFSET(CampList[Priority],MATCH(Table10[[#This Row],[Pcode]],CampList[CP_Pcode],0)-1,0,1,1)</f>
        <v>P4</v>
      </c>
      <c r="C139" s="18" t="str">
        <f ca="1">OFFSET(CampList[Camp],MATCH(Table10[[#This Row],[Pcode]],CampList[CP_Pcode],0)-1,0,1,1)</f>
        <v>Qtr. 2 Lhaovo Baptist Church</v>
      </c>
      <c r="D139" s="18" t="str">
        <f ca="1">OFFSET(CampList[Township],MATCH(Table10[[#This Row],[Pcode]],CampList[CP_Pcode],0)-1,0,1,1)</f>
        <v>Waingmaw</v>
      </c>
      <c r="E139" s="277">
        <f ca="1">OFFSET(CampList[HH],MATCH(Table10[[#This Row],[Pcode]],CampList[CP_Pcode],0)-1,0,1,1)</f>
        <v>91</v>
      </c>
      <c r="F139" s="277">
        <f ca="1">OFFSET(CampList[Total],MATCH(Table10[[#This Row],[Pcode]],CampList[CP_Pcode],0)-1,0,1,1)</f>
        <v>329</v>
      </c>
      <c r="G139" s="277">
        <f>SUMIF('NFI Tracking'!AQ$11:AQ$1048576,Table10[[#This Row],[Pcode]],'NFI Tracking'!AI$11:AI$1048576)</f>
        <v>0</v>
      </c>
      <c r="H139" s="277">
        <f>SUMIF('NFI Tracking'!AQ$11:AQ$1048576,Table10[[#This Row],[Pcode]],'NFI Tracking'!AJ$11:AJ$1048576)</f>
        <v>0</v>
      </c>
      <c r="I139" s="277">
        <f>SUMIF('NFI Tracking'!AQ$11:AQ$1048576,Table10[[#This Row],[Pcode]],'NFI Tracking'!AK$11:AK$1048576)</f>
        <v>0</v>
      </c>
      <c r="J139" s="277">
        <f ca="1">MAX(Table10[[#This Row],[HH]]*VLOOKUP("Winter Clothes Adult",NFI,6)-Table10[[#This Row],[Winter Clothes Adult ]],0)</f>
        <v>182</v>
      </c>
      <c r="K139" s="277">
        <f ca="1">MAX(Table10[[#This Row],[HH]]*VLOOKUP("Winter Clothes Children ",NFI,6)-Table10[[#This Row],[Winter Clothes Children ]],0)</f>
        <v>91</v>
      </c>
      <c r="L139" s="277">
        <f ca="1">MAX(Table10[[#This Row],[HH]]*VLOOKUP("Winter Items Other ",NFI,6)-Table10[[#This Row],[Winter Items Other ]],0)</f>
        <v>91</v>
      </c>
      <c r="M139" s="310" t="str">
        <f>IF(OR(Table10[[#This Row],[Winter Clothes Adult ]]&lt;&gt;0,Table10[[#This Row],[Winter Clothes Children ]]&lt;&gt;0,Table10[[#This Row],[Winter Items Other ]]&lt;&gt;0),"No","")</f>
        <v/>
      </c>
      <c r="N139" s="311">
        <f>COUNTIF(A:A,Table10[[#This Row],[Pcode]])-1</f>
        <v>0</v>
      </c>
    </row>
    <row r="140" spans="1:14" x14ac:dyDescent="0.25">
      <c r="A140" s="259" t="s">
        <v>341</v>
      </c>
      <c r="B140" s="18" t="str">
        <f ca="1">OFFSET(CampList[Priority],MATCH(Table10[[#This Row],[Pcode]],CampList[CP_Pcode],0)-1,0,1,1)</f>
        <v>P4</v>
      </c>
      <c r="C140" s="18" t="str">
        <f ca="1">OFFSET(CampList[Camp],MATCH(Table10[[#This Row],[Pcode]],CampList[CP_Pcode],0)-1,0,1,1)</f>
        <v>Qtr. 2 Myoma Baptist Church</v>
      </c>
      <c r="D140" s="18" t="str">
        <f ca="1">OFFSET(CampList[Township],MATCH(Table10[[#This Row],[Pcode]],CampList[CP_Pcode],0)-1,0,1,1)</f>
        <v>Waingmaw</v>
      </c>
      <c r="E140" s="277">
        <f ca="1">OFFSET(CampList[HH],MATCH(Table10[[#This Row],[Pcode]],CampList[CP_Pcode],0)-1,0,1,1)</f>
        <v>64</v>
      </c>
      <c r="F140" s="277">
        <f ca="1">OFFSET(CampList[Total],MATCH(Table10[[#This Row],[Pcode]],CampList[CP_Pcode],0)-1,0,1,1)</f>
        <v>324</v>
      </c>
      <c r="G140" s="277">
        <f>SUMIF('NFI Tracking'!AQ$11:AQ$1048576,Table10[[#This Row],[Pcode]],'NFI Tracking'!AI$11:AI$1048576)</f>
        <v>0</v>
      </c>
      <c r="H140" s="277">
        <f>SUMIF('NFI Tracking'!AQ$11:AQ$1048576,Table10[[#This Row],[Pcode]],'NFI Tracking'!AJ$11:AJ$1048576)</f>
        <v>0</v>
      </c>
      <c r="I140" s="277">
        <f>SUMIF('NFI Tracking'!AQ$11:AQ$1048576,Table10[[#This Row],[Pcode]],'NFI Tracking'!AK$11:AK$1048576)</f>
        <v>0</v>
      </c>
      <c r="J140" s="277">
        <f ca="1">MAX(Table10[[#This Row],[HH]]*VLOOKUP("Winter Clothes Adult",NFI,6)-Table10[[#This Row],[Winter Clothes Adult ]],0)</f>
        <v>128</v>
      </c>
      <c r="K140" s="277">
        <f ca="1">MAX(Table10[[#This Row],[HH]]*VLOOKUP("Winter Clothes Children ",NFI,6)-Table10[[#This Row],[Winter Clothes Children ]],0)</f>
        <v>64</v>
      </c>
      <c r="L140" s="277">
        <f ca="1">MAX(Table10[[#This Row],[HH]]*VLOOKUP("Winter Items Other ",NFI,6)-Table10[[#This Row],[Winter Items Other ]],0)</f>
        <v>64</v>
      </c>
      <c r="M140" s="310" t="str">
        <f>IF(OR(Table10[[#This Row],[Winter Clothes Adult ]]&lt;&gt;0,Table10[[#This Row],[Winter Clothes Children ]]&lt;&gt;0,Table10[[#This Row],[Winter Items Other ]]&lt;&gt;0),"No","")</f>
        <v/>
      </c>
      <c r="N140" s="311">
        <f>COUNTIF(A:A,Table10[[#This Row],[Pcode]])-1</f>
        <v>0</v>
      </c>
    </row>
    <row r="141" spans="1:14" x14ac:dyDescent="0.25">
      <c r="A141" s="259" t="s">
        <v>337</v>
      </c>
      <c r="B141" s="18" t="str">
        <f ca="1">OFFSET(CampList[Priority],MATCH(Table10[[#This Row],[Pcode]],CampList[CP_Pcode],0)-1,0,1,1)</f>
        <v>P4</v>
      </c>
      <c r="C141" s="18" t="str">
        <f ca="1">OFFSET(CampList[Camp],MATCH(Table10[[#This Row],[Pcode]],CampList[CP_Pcode],0)-1,0,1,1)</f>
        <v>Qtr. 3 Mu-yin  Baptist Church</v>
      </c>
      <c r="D141" s="18" t="str">
        <f ca="1">OFFSET(CampList[Township],MATCH(Table10[[#This Row],[Pcode]],CampList[CP_Pcode],0)-1,0,1,1)</f>
        <v>Waingmaw</v>
      </c>
      <c r="E141" s="277">
        <f ca="1">OFFSET(CampList[HH],MATCH(Table10[[#This Row],[Pcode]],CampList[CP_Pcode],0)-1,0,1,1)</f>
        <v>31</v>
      </c>
      <c r="F141" s="277">
        <f ca="1">OFFSET(CampList[Total],MATCH(Table10[[#This Row],[Pcode]],CampList[CP_Pcode],0)-1,0,1,1)</f>
        <v>172</v>
      </c>
      <c r="G141" s="277">
        <f>SUMIF('NFI Tracking'!AQ$11:AQ$1048576,Table10[[#This Row],[Pcode]],'NFI Tracking'!AI$11:AI$1048576)</f>
        <v>0</v>
      </c>
      <c r="H141" s="277">
        <f>SUMIF('NFI Tracking'!AQ$11:AQ$1048576,Table10[[#This Row],[Pcode]],'NFI Tracking'!AJ$11:AJ$1048576)</f>
        <v>0</v>
      </c>
      <c r="I141" s="277">
        <f>SUMIF('NFI Tracking'!AQ$11:AQ$1048576,Table10[[#This Row],[Pcode]],'NFI Tracking'!AK$11:AK$1048576)</f>
        <v>0</v>
      </c>
      <c r="J141" s="277">
        <f ca="1">MAX(Table10[[#This Row],[HH]]*VLOOKUP("Winter Clothes Adult",NFI,6)-Table10[[#This Row],[Winter Clothes Adult ]],0)</f>
        <v>62</v>
      </c>
      <c r="K141" s="277">
        <f ca="1">MAX(Table10[[#This Row],[HH]]*VLOOKUP("Winter Clothes Children ",NFI,6)-Table10[[#This Row],[Winter Clothes Children ]],0)</f>
        <v>31</v>
      </c>
      <c r="L141" s="277">
        <f ca="1">MAX(Table10[[#This Row],[HH]]*VLOOKUP("Winter Items Other ",NFI,6)-Table10[[#This Row],[Winter Items Other ]],0)</f>
        <v>31</v>
      </c>
      <c r="M141" s="310" t="str">
        <f>IF(OR(Table10[[#This Row],[Winter Clothes Adult ]]&lt;&gt;0,Table10[[#This Row],[Winter Clothes Children ]]&lt;&gt;0,Table10[[#This Row],[Winter Items Other ]]&lt;&gt;0),"No","")</f>
        <v/>
      </c>
      <c r="N141" s="311">
        <f>COUNTIF(A:A,Table10[[#This Row],[Pcode]])-1</f>
        <v>0</v>
      </c>
    </row>
    <row r="142" spans="1:14" x14ac:dyDescent="0.25">
      <c r="A142" s="259" t="s">
        <v>350</v>
      </c>
      <c r="B142" s="18" t="str">
        <f ca="1">OFFSET(CampList[Priority],MATCH(Table10[[#This Row],[Pcode]],CampList[CP_Pcode],0)-1,0,1,1)</f>
        <v>P4</v>
      </c>
      <c r="C142" s="18" t="str">
        <f ca="1">OFFSET(CampList[Camp],MATCH(Table10[[#This Row],[Pcode]],CampList[CP_Pcode],0)-1,0,1,1)</f>
        <v>Qtr. 4 Monestry (Thargaya Thayett Taw)</v>
      </c>
      <c r="D142" s="18" t="str">
        <f ca="1">OFFSET(CampList[Township],MATCH(Table10[[#This Row],[Pcode]],CampList[CP_Pcode],0)-1,0,1,1)</f>
        <v>Waingmaw</v>
      </c>
      <c r="E142" s="277">
        <f ca="1">OFFSET(CampList[HH],MATCH(Table10[[#This Row],[Pcode]],CampList[CP_Pcode],0)-1,0,1,1)</f>
        <v>87</v>
      </c>
      <c r="F142" s="277">
        <f ca="1">OFFSET(CampList[Total],MATCH(Table10[[#This Row],[Pcode]],CampList[CP_Pcode],0)-1,0,1,1)</f>
        <v>479</v>
      </c>
      <c r="G142" s="277">
        <f>SUMIF('NFI Tracking'!AQ$11:AQ$1048576,Table10[[#This Row],[Pcode]],'NFI Tracking'!AI$11:AI$1048576)</f>
        <v>0</v>
      </c>
      <c r="H142" s="277">
        <f>SUMIF('NFI Tracking'!AQ$11:AQ$1048576,Table10[[#This Row],[Pcode]],'NFI Tracking'!AJ$11:AJ$1048576)</f>
        <v>0</v>
      </c>
      <c r="I142" s="277">
        <f>SUMIF('NFI Tracking'!AQ$11:AQ$1048576,Table10[[#This Row],[Pcode]],'NFI Tracking'!AK$11:AK$1048576)</f>
        <v>0</v>
      </c>
      <c r="J142" s="277">
        <f ca="1">MAX(Table10[[#This Row],[HH]]*VLOOKUP("Winter Clothes Adult",NFI,6)-Table10[[#This Row],[Winter Clothes Adult ]],0)</f>
        <v>174</v>
      </c>
      <c r="K142" s="277">
        <f ca="1">MAX(Table10[[#This Row],[HH]]*VLOOKUP("Winter Clothes Children ",NFI,6)-Table10[[#This Row],[Winter Clothes Children ]],0)</f>
        <v>87</v>
      </c>
      <c r="L142" s="277">
        <f ca="1">MAX(Table10[[#This Row],[HH]]*VLOOKUP("Winter Items Other ",NFI,6)-Table10[[#This Row],[Winter Items Other ]],0)</f>
        <v>87</v>
      </c>
      <c r="M142" s="310" t="str">
        <f>IF(OR(Table10[[#This Row],[Winter Clothes Adult ]]&lt;&gt;0,Table10[[#This Row],[Winter Clothes Children ]]&lt;&gt;0,Table10[[#This Row],[Winter Items Other ]]&lt;&gt;0),"No","")</f>
        <v/>
      </c>
      <c r="N142" s="311">
        <f>COUNTIF(A:A,Table10[[#This Row],[Pcode]])-1</f>
        <v>0</v>
      </c>
    </row>
    <row r="143" spans="1:14" x14ac:dyDescent="0.25">
      <c r="A143" s="259" t="s">
        <v>117</v>
      </c>
      <c r="B143" s="18" t="str">
        <f ca="1">OFFSET(CampList[Priority],MATCH(Table10[[#This Row],[Pcode]],CampList[CP_Pcode],0)-1,0,1,1)</f>
        <v>P4</v>
      </c>
      <c r="C143" s="18" t="str">
        <f ca="1">OFFSET(CampList[Camp],MATCH(Table10[[#This Row],[Pcode]],CampList[CP_Pcode],0)-1,0,1,1)</f>
        <v>Rawan Baptist Church, Maw Shan Vil., Seik Mu</v>
      </c>
      <c r="D143" s="18" t="str">
        <f ca="1">OFFSET(CampList[Township],MATCH(Table10[[#This Row],[Pcode]],CampList[CP_Pcode],0)-1,0,1,1)</f>
        <v>Hpakant</v>
      </c>
      <c r="E143" s="277">
        <f ca="1">OFFSET(CampList[HH],MATCH(Table10[[#This Row],[Pcode]],CampList[CP_Pcode],0)-1,0,1,1)</f>
        <v>10</v>
      </c>
      <c r="F143" s="277">
        <f ca="1">OFFSET(CampList[Total],MATCH(Table10[[#This Row],[Pcode]],CampList[CP_Pcode],0)-1,0,1,1)</f>
        <v>39</v>
      </c>
      <c r="G143" s="277">
        <f>SUMIF('NFI Tracking'!AQ$11:AQ$1048576,Table10[[#This Row],[Pcode]],'NFI Tracking'!AI$11:AI$1048576)</f>
        <v>0</v>
      </c>
      <c r="H143" s="277">
        <f>SUMIF('NFI Tracking'!AQ$11:AQ$1048576,Table10[[#This Row],[Pcode]],'NFI Tracking'!AJ$11:AJ$1048576)</f>
        <v>0</v>
      </c>
      <c r="I143" s="277">
        <f>SUMIF('NFI Tracking'!AQ$11:AQ$1048576,Table10[[#This Row],[Pcode]],'NFI Tracking'!AK$11:AK$1048576)</f>
        <v>0</v>
      </c>
      <c r="J143" s="277">
        <f ca="1">MAX(Table10[[#This Row],[HH]]*VLOOKUP("Winter Clothes Adult",NFI,6)-Table10[[#This Row],[Winter Clothes Adult ]],0)</f>
        <v>20</v>
      </c>
      <c r="K143" s="277">
        <f ca="1">MAX(Table10[[#This Row],[HH]]*VLOOKUP("Winter Clothes Children ",NFI,6)-Table10[[#This Row],[Winter Clothes Children ]],0)</f>
        <v>10</v>
      </c>
      <c r="L143" s="277">
        <f ca="1">MAX(Table10[[#This Row],[HH]]*VLOOKUP("Winter Items Other ",NFI,6)-Table10[[#This Row],[Winter Items Other ]],0)</f>
        <v>10</v>
      </c>
      <c r="M143" s="310" t="str">
        <f>IF(OR(Table10[[#This Row],[Winter Clothes Adult ]]&lt;&gt;0,Table10[[#This Row],[Winter Clothes Children ]]&lt;&gt;0,Table10[[#This Row],[Winter Items Other ]]&lt;&gt;0),"No","")</f>
        <v/>
      </c>
      <c r="N143" s="311">
        <f>COUNTIF(A:A,Table10[[#This Row],[Pcode]])-1</f>
        <v>0</v>
      </c>
    </row>
    <row r="144" spans="1:14" x14ac:dyDescent="0.25">
      <c r="A144" s="259" t="s">
        <v>21</v>
      </c>
      <c r="B144" s="18" t="str">
        <f ca="1">OFFSET(CampList[Priority],MATCH(Table10[[#This Row],[Pcode]],CampList[CP_Pcode],0)-1,0,1,1)</f>
        <v>P4</v>
      </c>
      <c r="C144" s="18" t="str">
        <f ca="1">OFFSET(CampList[Camp],MATCH(Table10[[#This Row],[Pcode]],CampList[CP_Pcode],0)-1,0,1,1)</f>
        <v>Robert Church</v>
      </c>
      <c r="D144" s="18" t="str">
        <f ca="1">OFFSET(CampList[Township],MATCH(Table10[[#This Row],[Pcode]],CampList[CP_Pcode],0)-1,0,1,1)</f>
        <v>Bhamo</v>
      </c>
      <c r="E144" s="277">
        <f ca="1">OFFSET(CampList[HH],MATCH(Table10[[#This Row],[Pcode]],CampList[CP_Pcode],0)-1,0,1,1)</f>
        <v>626</v>
      </c>
      <c r="F144" s="277">
        <f ca="1">OFFSET(CampList[Total],MATCH(Table10[[#This Row],[Pcode]],CampList[CP_Pcode],0)-1,0,1,1)</f>
        <v>3822</v>
      </c>
      <c r="G144" s="277">
        <f>SUMIF('NFI Tracking'!AQ$11:AQ$1048576,Table10[[#This Row],[Pcode]],'NFI Tracking'!AI$11:AI$1048576)</f>
        <v>0</v>
      </c>
      <c r="H144" s="277">
        <f>SUMIF('NFI Tracking'!AQ$11:AQ$1048576,Table10[[#This Row],[Pcode]],'NFI Tracking'!AJ$11:AJ$1048576)</f>
        <v>0</v>
      </c>
      <c r="I144" s="277">
        <f>SUMIF('NFI Tracking'!AQ$11:AQ$1048576,Table10[[#This Row],[Pcode]],'NFI Tracking'!AK$11:AK$1048576)</f>
        <v>0</v>
      </c>
      <c r="J144" s="277">
        <f ca="1">MAX(Table10[[#This Row],[HH]]*VLOOKUP("Winter Clothes Adult",NFI,6)-Table10[[#This Row],[Winter Clothes Adult ]],0)</f>
        <v>1252</v>
      </c>
      <c r="K144" s="277">
        <f ca="1">MAX(Table10[[#This Row],[HH]]*VLOOKUP("Winter Clothes Children ",NFI,6)-Table10[[#This Row],[Winter Clothes Children ]],0)</f>
        <v>626</v>
      </c>
      <c r="L144" s="277">
        <f ca="1">MAX(Table10[[#This Row],[HH]]*VLOOKUP("Winter Items Other ",NFI,6)-Table10[[#This Row],[Winter Items Other ]],0)</f>
        <v>626</v>
      </c>
      <c r="M144" s="310" t="str">
        <f>IF(OR(Table10[[#This Row],[Winter Clothes Adult ]]&lt;&gt;0,Table10[[#This Row],[Winter Clothes Children ]]&lt;&gt;0,Table10[[#This Row],[Winter Items Other ]]&lt;&gt;0),"No","")</f>
        <v/>
      </c>
      <c r="N144" s="311">
        <f>COUNTIF(A:A,Table10[[#This Row],[Pcode]])-1</f>
        <v>0</v>
      </c>
    </row>
    <row r="145" spans="1:14" x14ac:dyDescent="0.25">
      <c r="A145" s="259" t="s">
        <v>123</v>
      </c>
      <c r="B145" s="18" t="str">
        <f ca="1">OFFSET(CampList[Priority],MATCH(Table10[[#This Row],[Pcode]],CampList[CP_Pcode],0)-1,0,1,1)</f>
        <v>P4</v>
      </c>
      <c r="C145" s="18" t="str">
        <f ca="1">OFFSET(CampList[Camp],MATCH(Table10[[#This Row],[Pcode]],CampList[CP_Pcode],0)-1,0,1,1)</f>
        <v>Sai Nai Baptish Church, Maw Shan Vil., Seki Mu</v>
      </c>
      <c r="D145" s="18" t="str">
        <f ca="1">OFFSET(CampList[Township],MATCH(Table10[[#This Row],[Pcode]],CampList[CP_Pcode],0)-1,0,1,1)</f>
        <v>Hpakant</v>
      </c>
      <c r="E145" s="277">
        <f ca="1">OFFSET(CampList[HH],MATCH(Table10[[#This Row],[Pcode]],CampList[CP_Pcode],0)-1,0,1,1)</f>
        <v>8</v>
      </c>
      <c r="F145" s="277">
        <f ca="1">OFFSET(CampList[Total],MATCH(Table10[[#This Row],[Pcode]],CampList[CP_Pcode],0)-1,0,1,1)</f>
        <v>36</v>
      </c>
      <c r="G145" s="277">
        <f>SUMIF('NFI Tracking'!AQ$11:AQ$1048576,Table10[[#This Row],[Pcode]],'NFI Tracking'!AI$11:AI$1048576)</f>
        <v>0</v>
      </c>
      <c r="H145" s="277">
        <f>SUMIF('NFI Tracking'!AQ$11:AQ$1048576,Table10[[#This Row],[Pcode]],'NFI Tracking'!AJ$11:AJ$1048576)</f>
        <v>0</v>
      </c>
      <c r="I145" s="277">
        <f>SUMIF('NFI Tracking'!AQ$11:AQ$1048576,Table10[[#This Row],[Pcode]],'NFI Tracking'!AK$11:AK$1048576)</f>
        <v>0</v>
      </c>
      <c r="J145" s="277">
        <f ca="1">MAX(Table10[[#This Row],[HH]]*VLOOKUP("Winter Clothes Adult",NFI,6)-Table10[[#This Row],[Winter Clothes Adult ]],0)</f>
        <v>16</v>
      </c>
      <c r="K145" s="277">
        <f ca="1">MAX(Table10[[#This Row],[HH]]*VLOOKUP("Winter Clothes Children ",NFI,6)-Table10[[#This Row],[Winter Clothes Children ]],0)</f>
        <v>8</v>
      </c>
      <c r="L145" s="277">
        <f ca="1">MAX(Table10[[#This Row],[HH]]*VLOOKUP("Winter Items Other ",NFI,6)-Table10[[#This Row],[Winter Items Other ]],0)</f>
        <v>8</v>
      </c>
      <c r="M145" s="310" t="str">
        <f>IF(OR(Table10[[#This Row],[Winter Clothes Adult ]]&lt;&gt;0,Table10[[#This Row],[Winter Clothes Children ]]&lt;&gt;0,Table10[[#This Row],[Winter Items Other ]]&lt;&gt;0),"No","")</f>
        <v/>
      </c>
      <c r="N145" s="311">
        <f>COUNTIF(A:A,Table10[[#This Row],[Pcode]])-1</f>
        <v>0</v>
      </c>
    </row>
    <row r="146" spans="1:14" x14ac:dyDescent="0.25">
      <c r="A146" s="259" t="s">
        <v>276</v>
      </c>
      <c r="B146" s="18" t="str">
        <f ca="1">OFFSET(CampList[Priority],MATCH(Table10[[#This Row],[Pcode]],CampList[CP_Pcode],0)-1,0,1,1)</f>
        <v>P4</v>
      </c>
      <c r="C146" s="18" t="str">
        <f ca="1">OFFSET(CampList[Camp],MATCH(Table10[[#This Row],[Pcode]],CampList[CP_Pcode],0)-1,0,1,1)</f>
        <v>Shatapru Sut Ngai Tawng</v>
      </c>
      <c r="D146" s="18" t="str">
        <f ca="1">OFFSET(CampList[Township],MATCH(Table10[[#This Row],[Pcode]],CampList[CP_Pcode],0)-1,0,1,1)</f>
        <v>Myitkyina</v>
      </c>
      <c r="E146" s="277">
        <f ca="1">OFFSET(CampList[HH],MATCH(Table10[[#This Row],[Pcode]],CampList[CP_Pcode],0)-1,0,1,1)</f>
        <v>90</v>
      </c>
      <c r="F146" s="277">
        <f ca="1">OFFSET(CampList[Total],MATCH(Table10[[#This Row],[Pcode]],CampList[CP_Pcode],0)-1,0,1,1)</f>
        <v>405</v>
      </c>
      <c r="G146" s="277">
        <f>SUMIF('NFI Tracking'!AQ$11:AQ$1048576,Table10[[#This Row],[Pcode]],'NFI Tracking'!AI$11:AI$1048576)</f>
        <v>0</v>
      </c>
      <c r="H146" s="277">
        <f>SUMIF('NFI Tracking'!AQ$11:AQ$1048576,Table10[[#This Row],[Pcode]],'NFI Tracking'!AJ$11:AJ$1048576)</f>
        <v>0</v>
      </c>
      <c r="I146" s="277">
        <f>SUMIF('NFI Tracking'!AQ$11:AQ$1048576,Table10[[#This Row],[Pcode]],'NFI Tracking'!AK$11:AK$1048576)</f>
        <v>0</v>
      </c>
      <c r="J146" s="277">
        <f ca="1">MAX(Table10[[#This Row],[HH]]*VLOOKUP("Winter Clothes Adult",NFI,6)-Table10[[#This Row],[Winter Clothes Adult ]],0)</f>
        <v>180</v>
      </c>
      <c r="K146" s="277">
        <f ca="1">MAX(Table10[[#This Row],[HH]]*VLOOKUP("Winter Clothes Children ",NFI,6)-Table10[[#This Row],[Winter Clothes Children ]],0)</f>
        <v>90</v>
      </c>
      <c r="L146" s="277">
        <f ca="1">MAX(Table10[[#This Row],[HH]]*VLOOKUP("Winter Items Other ",NFI,6)-Table10[[#This Row],[Winter Items Other ]],0)</f>
        <v>90</v>
      </c>
      <c r="M146" s="310" t="str">
        <f>IF(OR(Table10[[#This Row],[Winter Clothes Adult ]]&lt;&gt;0,Table10[[#This Row],[Winter Clothes Children ]]&lt;&gt;0,Table10[[#This Row],[Winter Items Other ]]&lt;&gt;0),"No","")</f>
        <v/>
      </c>
      <c r="N146" s="311">
        <f>COUNTIF(A:A,Table10[[#This Row],[Pcode]])-1</f>
        <v>0</v>
      </c>
    </row>
    <row r="147" spans="1:14" x14ac:dyDescent="0.25">
      <c r="A147" s="259" t="s">
        <v>278</v>
      </c>
      <c r="B147" s="18" t="str">
        <f ca="1">OFFSET(CampList[Priority],MATCH(Table10[[#This Row],[Pcode]],CampList[CP_Pcode],0)-1,0,1,1)</f>
        <v>P4</v>
      </c>
      <c r="C147" s="18" t="str">
        <f ca="1">OFFSET(CampList[Camp],MATCH(Table10[[#This Row],[Pcode]],CampList[CP_Pcode],0)-1,0,1,1)</f>
        <v>Shatapru Thida Aye Baptist Church</v>
      </c>
      <c r="D147" s="18" t="str">
        <f ca="1">OFFSET(CampList[Township],MATCH(Table10[[#This Row],[Pcode]],CampList[CP_Pcode],0)-1,0,1,1)</f>
        <v>Myitkyina</v>
      </c>
      <c r="E147" s="277">
        <f ca="1">OFFSET(CampList[HH],MATCH(Table10[[#This Row],[Pcode]],CampList[CP_Pcode],0)-1,0,1,1)</f>
        <v>22</v>
      </c>
      <c r="F147" s="277">
        <f ca="1">OFFSET(CampList[Total],MATCH(Table10[[#This Row],[Pcode]],CampList[CP_Pcode],0)-1,0,1,1)</f>
        <v>111</v>
      </c>
      <c r="G147" s="277">
        <f>SUMIF('NFI Tracking'!AQ$11:AQ$1048576,Table10[[#This Row],[Pcode]],'NFI Tracking'!AI$11:AI$1048576)</f>
        <v>0</v>
      </c>
      <c r="H147" s="277">
        <f>SUMIF('NFI Tracking'!AQ$11:AQ$1048576,Table10[[#This Row],[Pcode]],'NFI Tracking'!AJ$11:AJ$1048576)</f>
        <v>0</v>
      </c>
      <c r="I147" s="277">
        <f>SUMIF('NFI Tracking'!AQ$11:AQ$1048576,Table10[[#This Row],[Pcode]],'NFI Tracking'!AK$11:AK$1048576)</f>
        <v>0</v>
      </c>
      <c r="J147" s="277">
        <f ca="1">MAX(Table10[[#This Row],[HH]]*VLOOKUP("Winter Clothes Adult",NFI,6)-Table10[[#This Row],[Winter Clothes Adult ]],0)</f>
        <v>44</v>
      </c>
      <c r="K147" s="277">
        <f ca="1">MAX(Table10[[#This Row],[HH]]*VLOOKUP("Winter Clothes Children ",NFI,6)-Table10[[#This Row],[Winter Clothes Children ]],0)</f>
        <v>22</v>
      </c>
      <c r="L147" s="277">
        <f ca="1">MAX(Table10[[#This Row],[HH]]*VLOOKUP("Winter Items Other ",NFI,6)-Table10[[#This Row],[Winter Items Other ]],0)</f>
        <v>22</v>
      </c>
      <c r="M147" s="310" t="str">
        <f>IF(OR(Table10[[#This Row],[Winter Clothes Adult ]]&lt;&gt;0,Table10[[#This Row],[Winter Clothes Children ]]&lt;&gt;0,Table10[[#This Row],[Winter Items Other ]]&lt;&gt;0),"No","")</f>
        <v/>
      </c>
      <c r="N147" s="311">
        <f>COUNTIF(A:A,Table10[[#This Row],[Pcode]])-1</f>
        <v>0</v>
      </c>
    </row>
    <row r="148" spans="1:14" x14ac:dyDescent="0.25">
      <c r="A148" s="259" t="s">
        <v>305</v>
      </c>
      <c r="B148" s="18" t="str">
        <f ca="1">OFFSET(CampList[Priority],MATCH(Table10[[#This Row],[Pcode]],CampList[CP_Pcode],0)-1,0,1,1)</f>
        <v>P4</v>
      </c>
      <c r="C148" s="18" t="str">
        <f ca="1">OFFSET(CampList[Camp],MATCH(Table10[[#This Row],[Pcode]],CampList[CP_Pcode],0)-1,0,1,1)</f>
        <v>Shwe Gu Baptist Church</v>
      </c>
      <c r="D148" s="18" t="str">
        <f ca="1">OFFSET(CampList[Township],MATCH(Table10[[#This Row],[Pcode]],CampList[CP_Pcode],0)-1,0,1,1)</f>
        <v>Shwegu</v>
      </c>
      <c r="E148" s="277">
        <f ca="1">OFFSET(CampList[HH],MATCH(Table10[[#This Row],[Pcode]],CampList[CP_Pcode],0)-1,0,1,1)</f>
        <v>86</v>
      </c>
      <c r="F148" s="277">
        <f ca="1">OFFSET(CampList[Total],MATCH(Table10[[#This Row],[Pcode]],CampList[CP_Pcode],0)-1,0,1,1)</f>
        <v>313</v>
      </c>
      <c r="G148" s="277">
        <f>SUMIF('NFI Tracking'!AQ$11:AQ$1048576,Table10[[#This Row],[Pcode]],'NFI Tracking'!AI$11:AI$1048576)</f>
        <v>0</v>
      </c>
      <c r="H148" s="277">
        <f>SUMIF('NFI Tracking'!AQ$11:AQ$1048576,Table10[[#This Row],[Pcode]],'NFI Tracking'!AJ$11:AJ$1048576)</f>
        <v>0</v>
      </c>
      <c r="I148" s="277">
        <f>SUMIF('NFI Tracking'!AQ$11:AQ$1048576,Table10[[#This Row],[Pcode]],'NFI Tracking'!AK$11:AK$1048576)</f>
        <v>0</v>
      </c>
      <c r="J148" s="277">
        <f ca="1">MAX(Table10[[#This Row],[HH]]*VLOOKUP("Winter Clothes Adult",NFI,6)-Table10[[#This Row],[Winter Clothes Adult ]],0)</f>
        <v>172</v>
      </c>
      <c r="K148" s="277">
        <f ca="1">MAX(Table10[[#This Row],[HH]]*VLOOKUP("Winter Clothes Children ",NFI,6)-Table10[[#This Row],[Winter Clothes Children ]],0)</f>
        <v>86</v>
      </c>
      <c r="L148" s="277">
        <f ca="1">MAX(Table10[[#This Row],[HH]]*VLOOKUP("Winter Items Other ",NFI,6)-Table10[[#This Row],[Winter Items Other ]],0)</f>
        <v>86</v>
      </c>
      <c r="M148" s="310" t="str">
        <f>IF(OR(Table10[[#This Row],[Winter Clothes Adult ]]&lt;&gt;0,Table10[[#This Row],[Winter Clothes Children ]]&lt;&gt;0,Table10[[#This Row],[Winter Items Other ]]&lt;&gt;0),"No","")</f>
        <v/>
      </c>
      <c r="N148" s="311">
        <f>COUNTIF(A:A,Table10[[#This Row],[Pcode]])-1</f>
        <v>0</v>
      </c>
    </row>
    <row r="149" spans="1:14" x14ac:dyDescent="0.25">
      <c r="A149" s="259" t="s">
        <v>307</v>
      </c>
      <c r="B149" s="18" t="str">
        <f ca="1">OFFSET(CampList[Priority],MATCH(Table10[[#This Row],[Pcode]],CampList[CP_Pcode],0)-1,0,1,1)</f>
        <v>P4</v>
      </c>
      <c r="C149" s="18" t="str">
        <f ca="1">OFFSET(CampList[Camp],MATCH(Table10[[#This Row],[Pcode]],CampList[CP_Pcode],0)-1,0,1,1)</f>
        <v>Shwe Gu Catholic Church</v>
      </c>
      <c r="D149" s="18" t="str">
        <f ca="1">OFFSET(CampList[Township],MATCH(Table10[[#This Row],[Pcode]],CampList[CP_Pcode],0)-1,0,1,1)</f>
        <v>Shwegu</v>
      </c>
      <c r="E149" s="277">
        <f ca="1">OFFSET(CampList[HH],MATCH(Table10[[#This Row],[Pcode]],CampList[CP_Pcode],0)-1,0,1,1)</f>
        <v>32</v>
      </c>
      <c r="F149" s="277">
        <f ca="1">OFFSET(CampList[Total],MATCH(Table10[[#This Row],[Pcode]],CampList[CP_Pcode],0)-1,0,1,1)</f>
        <v>136</v>
      </c>
      <c r="G149" s="277">
        <f>SUMIF('NFI Tracking'!AQ$11:AQ$1048576,Table10[[#This Row],[Pcode]],'NFI Tracking'!AI$11:AI$1048576)</f>
        <v>0</v>
      </c>
      <c r="H149" s="277">
        <f>SUMIF('NFI Tracking'!AQ$11:AQ$1048576,Table10[[#This Row],[Pcode]],'NFI Tracking'!AJ$11:AJ$1048576)</f>
        <v>0</v>
      </c>
      <c r="I149" s="277">
        <f>SUMIF('NFI Tracking'!AQ$11:AQ$1048576,Table10[[#This Row],[Pcode]],'NFI Tracking'!AK$11:AK$1048576)</f>
        <v>0</v>
      </c>
      <c r="J149" s="277">
        <f ca="1">MAX(Table10[[#This Row],[HH]]*VLOOKUP("Winter Clothes Adult",NFI,6)-Table10[[#This Row],[Winter Clothes Adult ]],0)</f>
        <v>64</v>
      </c>
      <c r="K149" s="277">
        <f ca="1">MAX(Table10[[#This Row],[HH]]*VLOOKUP("Winter Clothes Children ",NFI,6)-Table10[[#This Row],[Winter Clothes Children ]],0)</f>
        <v>32</v>
      </c>
      <c r="L149" s="277">
        <f ca="1">MAX(Table10[[#This Row],[HH]]*VLOOKUP("Winter Items Other ",NFI,6)-Table10[[#This Row],[Winter Items Other ]],0)</f>
        <v>32</v>
      </c>
      <c r="M149" s="310" t="str">
        <f>IF(OR(Table10[[#This Row],[Winter Clothes Adult ]]&lt;&gt;0,Table10[[#This Row],[Winter Clothes Children ]]&lt;&gt;0,Table10[[#This Row],[Winter Items Other ]]&lt;&gt;0),"No","")</f>
        <v/>
      </c>
      <c r="N149" s="311">
        <f>COUNTIF(A:A,Table10[[#This Row],[Pcode]])-1</f>
        <v>0</v>
      </c>
    </row>
    <row r="150" spans="1:14" x14ac:dyDescent="0.25">
      <c r="A150" s="259" t="s">
        <v>280</v>
      </c>
      <c r="B150" s="18" t="str">
        <f ca="1">OFFSET(CampList[Priority],MATCH(Table10[[#This Row],[Pcode]],CampList[CP_Pcode],0)-1,0,1,1)</f>
        <v>P4</v>
      </c>
      <c r="C150" s="18" t="str">
        <f ca="1">OFFSET(CampList[Camp],MATCH(Table10[[#This Row],[Pcode]],CampList[CP_Pcode],0)-1,0,1,1)</f>
        <v>Shwe Zet Baptist Church</v>
      </c>
      <c r="D150" s="18" t="str">
        <f ca="1">OFFSET(CampList[Township],MATCH(Table10[[#This Row],[Pcode]],CampList[CP_Pcode],0)-1,0,1,1)</f>
        <v>Myitkyina</v>
      </c>
      <c r="E150" s="277">
        <f ca="1">OFFSET(CampList[HH],MATCH(Table10[[#This Row],[Pcode]],CampList[CP_Pcode],0)-1,0,1,1)</f>
        <v>89</v>
      </c>
      <c r="F150" s="277">
        <f ca="1">OFFSET(CampList[Total],MATCH(Table10[[#This Row],[Pcode]],CampList[CP_Pcode],0)-1,0,1,1)</f>
        <v>489</v>
      </c>
      <c r="G150" s="277">
        <f>SUMIF('NFI Tracking'!AQ$11:AQ$1048576,Table10[[#This Row],[Pcode]],'NFI Tracking'!AI$11:AI$1048576)</f>
        <v>0</v>
      </c>
      <c r="H150" s="277">
        <f>SUMIF('NFI Tracking'!AQ$11:AQ$1048576,Table10[[#This Row],[Pcode]],'NFI Tracking'!AJ$11:AJ$1048576)</f>
        <v>0</v>
      </c>
      <c r="I150" s="277">
        <f>SUMIF('NFI Tracking'!AQ$11:AQ$1048576,Table10[[#This Row],[Pcode]],'NFI Tracking'!AK$11:AK$1048576)</f>
        <v>0</v>
      </c>
      <c r="J150" s="277">
        <f ca="1">MAX(Table10[[#This Row],[HH]]*VLOOKUP("Winter Clothes Adult",NFI,6)-Table10[[#This Row],[Winter Clothes Adult ]],0)</f>
        <v>178</v>
      </c>
      <c r="K150" s="277">
        <f ca="1">MAX(Table10[[#This Row],[HH]]*VLOOKUP("Winter Clothes Children ",NFI,6)-Table10[[#This Row],[Winter Clothes Children ]],0)</f>
        <v>89</v>
      </c>
      <c r="L150" s="277">
        <f ca="1">MAX(Table10[[#This Row],[HH]]*VLOOKUP("Winter Items Other ",NFI,6)-Table10[[#This Row],[Winter Items Other ]],0)</f>
        <v>89</v>
      </c>
      <c r="M150" s="310" t="str">
        <f>IF(OR(Table10[[#This Row],[Winter Clothes Adult ]]&lt;&gt;0,Table10[[#This Row],[Winter Clothes Children ]]&lt;&gt;0,Table10[[#This Row],[Winter Items Other ]]&lt;&gt;0),"No","")</f>
        <v/>
      </c>
      <c r="N150" s="311">
        <f>COUNTIF(A:A,Table10[[#This Row],[Pcode]])-1</f>
        <v>0</v>
      </c>
    </row>
    <row r="151" spans="1:14" x14ac:dyDescent="0.25">
      <c r="A151" s="259" t="s">
        <v>179</v>
      </c>
      <c r="B151" s="18" t="str">
        <f ca="1">OFFSET(CampList[Priority],MATCH(Table10[[#This Row],[Pcode]],CampList[CP_Pcode],0)-1,0,1,1)</f>
        <v>P4</v>
      </c>
      <c r="C151" s="18" t="str">
        <f ca="1">OFFSET(CampList[Camp],MATCH(Table10[[#This Row],[Pcode]],CampList[CP_Pcode],0)-1,0,1,1)</f>
        <v xml:space="preserve">St. Patrick Catholic Church </v>
      </c>
      <c r="D151" s="18" t="str">
        <f ca="1">OFFSET(CampList[Township],MATCH(Table10[[#This Row],[Pcode]],CampList[CP_Pcode],0)-1,0,1,1)</f>
        <v>Mohnyin</v>
      </c>
      <c r="E151" s="277">
        <f ca="1">OFFSET(CampList[HH],MATCH(Table10[[#This Row],[Pcode]],CampList[CP_Pcode],0)-1,0,1,1)</f>
        <v>12</v>
      </c>
      <c r="F151" s="277">
        <f ca="1">OFFSET(CampList[Total],MATCH(Table10[[#This Row],[Pcode]],CampList[CP_Pcode],0)-1,0,1,1)</f>
        <v>62</v>
      </c>
      <c r="G151" s="277">
        <f>SUMIF('NFI Tracking'!AQ$11:AQ$1048576,Table10[[#This Row],[Pcode]],'NFI Tracking'!AI$11:AI$1048576)</f>
        <v>0</v>
      </c>
      <c r="H151" s="277">
        <f>SUMIF('NFI Tracking'!AQ$11:AQ$1048576,Table10[[#This Row],[Pcode]],'NFI Tracking'!AJ$11:AJ$1048576)</f>
        <v>0</v>
      </c>
      <c r="I151" s="277">
        <f>SUMIF('NFI Tracking'!AQ$11:AQ$1048576,Table10[[#This Row],[Pcode]],'NFI Tracking'!AK$11:AK$1048576)</f>
        <v>0</v>
      </c>
      <c r="J151" s="277">
        <f ca="1">MAX(Table10[[#This Row],[HH]]*VLOOKUP("Winter Clothes Adult",NFI,6)-Table10[[#This Row],[Winter Clothes Adult ]],0)</f>
        <v>24</v>
      </c>
      <c r="K151" s="277">
        <f ca="1">MAX(Table10[[#This Row],[HH]]*VLOOKUP("Winter Clothes Children ",NFI,6)-Table10[[#This Row],[Winter Clothes Children ]],0)</f>
        <v>12</v>
      </c>
      <c r="L151" s="277">
        <f ca="1">MAX(Table10[[#This Row],[HH]]*VLOOKUP("Winter Items Other ",NFI,6)-Table10[[#This Row],[Winter Items Other ]],0)</f>
        <v>12</v>
      </c>
      <c r="M151" s="310" t="str">
        <f>IF(OR(Table10[[#This Row],[Winter Clothes Adult ]]&lt;&gt;0,Table10[[#This Row],[Winter Clothes Children ]]&lt;&gt;0,Table10[[#This Row],[Winter Items Other ]]&lt;&gt;0),"No","")</f>
        <v/>
      </c>
      <c r="N151" s="311">
        <f>COUNTIF(A:A,Table10[[#This Row],[Pcode]])-1</f>
        <v>0</v>
      </c>
    </row>
    <row r="152" spans="1:14" x14ac:dyDescent="0.25">
      <c r="A152" s="259" t="s">
        <v>812</v>
      </c>
      <c r="B152" s="18" t="str">
        <f ca="1">OFFSET(CampList[Priority],MATCH(Table10[[#This Row],[Pcode]],CampList[CP_Pcode],0)-1,0,1,1)</f>
        <v>P4</v>
      </c>
      <c r="C152" s="18" t="str">
        <f ca="1">OFFSET(CampList[Camp],MATCH(Table10[[#This Row],[Pcode]],CampList[CP_Pcode],0)-1,0,1,1)</f>
        <v>Sumprabum</v>
      </c>
      <c r="D152" s="18" t="str">
        <f ca="1">OFFSET(CampList[Township],MATCH(Table10[[#This Row],[Pcode]],CampList[CP_Pcode],0)-1,0,1,1)</f>
        <v>Sumprabum</v>
      </c>
      <c r="E152" s="277">
        <f ca="1">OFFSET(CampList[HH],MATCH(Table10[[#This Row],[Pcode]],CampList[CP_Pcode],0)-1,0,1,1)</f>
        <v>5</v>
      </c>
      <c r="F152" s="277">
        <f ca="1">OFFSET(CampList[Total],MATCH(Table10[[#This Row],[Pcode]],CampList[CP_Pcode],0)-1,0,1,1)</f>
        <v>32</v>
      </c>
      <c r="G152" s="277">
        <f>SUMIF('NFI Tracking'!AQ$11:AQ$1048576,Table10[[#This Row],[Pcode]],'NFI Tracking'!AI$11:AI$1048576)</f>
        <v>0</v>
      </c>
      <c r="H152" s="277">
        <f>SUMIF('NFI Tracking'!AQ$11:AQ$1048576,Table10[[#This Row],[Pcode]],'NFI Tracking'!AJ$11:AJ$1048576)</f>
        <v>0</v>
      </c>
      <c r="I152" s="277">
        <f>SUMIF('NFI Tracking'!AQ$11:AQ$1048576,Table10[[#This Row],[Pcode]],'NFI Tracking'!AK$11:AK$1048576)</f>
        <v>0</v>
      </c>
      <c r="J152" s="277">
        <f ca="1">MAX(Table10[[#This Row],[HH]]*VLOOKUP("Winter Clothes Adult",NFI,6)-Table10[[#This Row],[Winter Clothes Adult ]],0)</f>
        <v>10</v>
      </c>
      <c r="K152" s="277">
        <f ca="1">MAX(Table10[[#This Row],[HH]]*VLOOKUP("Winter Clothes Children ",NFI,6)-Table10[[#This Row],[Winter Clothes Children ]],0)</f>
        <v>5</v>
      </c>
      <c r="L152" s="277">
        <f ca="1">MAX(Table10[[#This Row],[HH]]*VLOOKUP("Winter Items Other ",NFI,6)-Table10[[#This Row],[Winter Items Other ]],0)</f>
        <v>5</v>
      </c>
      <c r="M152" s="310" t="str">
        <f>IF(OR(Table10[[#This Row],[Winter Clothes Adult ]]&lt;&gt;0,Table10[[#This Row],[Winter Clothes Children ]]&lt;&gt;0,Table10[[#This Row],[Winter Items Other ]]&lt;&gt;0),"No","")</f>
        <v/>
      </c>
      <c r="N152" s="311">
        <f>COUNTIF(A:A,Table10[[#This Row],[Pcode]])-1</f>
        <v>0</v>
      </c>
    </row>
    <row r="153" spans="1:14" x14ac:dyDescent="0.25">
      <c r="A153" s="259" t="s">
        <v>23</v>
      </c>
      <c r="B153" s="18" t="str">
        <f ca="1">OFFSET(CampList[Priority],MATCH(Table10[[#This Row],[Pcode]],CampList[CP_Pcode],0)-1,0,1,1)</f>
        <v>P4</v>
      </c>
      <c r="C153" s="18" t="str">
        <f ca="1">OFFSET(CampList[Camp],MATCH(Table10[[#This Row],[Pcode]],CampList[CP_Pcode],0)-1,0,1,1)</f>
        <v>Ta Gun Taing Monastery (Shwe Kyi Na)</v>
      </c>
      <c r="D153" s="18" t="str">
        <f ca="1">OFFSET(CampList[Township],MATCH(Table10[[#This Row],[Pcode]],CampList[CP_Pcode],0)-1,0,1,1)</f>
        <v>Bhamo</v>
      </c>
      <c r="E153" s="277">
        <f ca="1">OFFSET(CampList[HH],MATCH(Table10[[#This Row],[Pcode]],CampList[CP_Pcode],0)-1,0,1,1)</f>
        <v>21</v>
      </c>
      <c r="F153" s="277">
        <f ca="1">OFFSET(CampList[Total],MATCH(Table10[[#This Row],[Pcode]],CampList[CP_Pcode],0)-1,0,1,1)</f>
        <v>95</v>
      </c>
      <c r="G153" s="277">
        <f>SUMIF('NFI Tracking'!AQ$11:AQ$1048576,Table10[[#This Row],[Pcode]],'NFI Tracking'!AI$11:AI$1048576)</f>
        <v>0</v>
      </c>
      <c r="H153" s="277">
        <f>SUMIF('NFI Tracking'!AQ$11:AQ$1048576,Table10[[#This Row],[Pcode]],'NFI Tracking'!AJ$11:AJ$1048576)</f>
        <v>0</v>
      </c>
      <c r="I153" s="277">
        <f>SUMIF('NFI Tracking'!AQ$11:AQ$1048576,Table10[[#This Row],[Pcode]],'NFI Tracking'!AK$11:AK$1048576)</f>
        <v>0</v>
      </c>
      <c r="J153" s="277">
        <f ca="1">MAX(Table10[[#This Row],[HH]]*VLOOKUP("Winter Clothes Adult",NFI,6)-Table10[[#This Row],[Winter Clothes Adult ]],0)</f>
        <v>42</v>
      </c>
      <c r="K153" s="277">
        <f ca="1">MAX(Table10[[#This Row],[HH]]*VLOOKUP("Winter Clothes Children ",NFI,6)-Table10[[#This Row],[Winter Clothes Children ]],0)</f>
        <v>21</v>
      </c>
      <c r="L153" s="277">
        <f ca="1">MAX(Table10[[#This Row],[HH]]*VLOOKUP("Winter Items Other ",NFI,6)-Table10[[#This Row],[Winter Items Other ]],0)</f>
        <v>21</v>
      </c>
      <c r="M153" s="310" t="str">
        <f>IF(OR(Table10[[#This Row],[Winter Clothes Adult ]]&lt;&gt;0,Table10[[#This Row],[Winter Clothes Children ]]&lt;&gt;0,Table10[[#This Row],[Winter Items Other ]]&lt;&gt;0),"No","")</f>
        <v/>
      </c>
      <c r="N153" s="311">
        <f>COUNTIF(A:A,Table10[[#This Row],[Pcode]])-1</f>
        <v>0</v>
      </c>
    </row>
    <row r="154" spans="1:14" x14ac:dyDescent="0.25">
      <c r="A154" s="259" t="s">
        <v>226</v>
      </c>
      <c r="B154" s="18" t="str">
        <f ca="1">OFFSET(CampList[Priority],MATCH(Table10[[#This Row],[Pcode]],CampList[CP_Pcode],0)-1,0,1,1)</f>
        <v>P4</v>
      </c>
      <c r="C154" s="18" t="str">
        <f ca="1">OFFSET(CampList[Camp],MATCH(Table10[[#This Row],[Pcode]],CampList[CP_Pcode],0)-1,0,1,1)</f>
        <v xml:space="preserve">Tarli </v>
      </c>
      <c r="D154" s="18" t="str">
        <f ca="1">OFFSET(CampList[Township],MATCH(Table10[[#This Row],[Pcode]],CampList[CP_Pcode],0)-1,0,1,1)</f>
        <v>Momauk</v>
      </c>
      <c r="E154" s="277">
        <f ca="1">OFFSET(CampList[HH],MATCH(Table10[[#This Row],[Pcode]],CampList[CP_Pcode],0)-1,0,1,1)</f>
        <v>10</v>
      </c>
      <c r="F154" s="277">
        <f ca="1">OFFSET(CampList[Total],MATCH(Table10[[#This Row],[Pcode]],CampList[CP_Pcode],0)-1,0,1,1)</f>
        <v>38</v>
      </c>
      <c r="G154" s="277">
        <f>SUMIF('NFI Tracking'!AQ$11:AQ$1048576,Table10[[#This Row],[Pcode]],'NFI Tracking'!AI$11:AI$1048576)</f>
        <v>0</v>
      </c>
      <c r="H154" s="277">
        <f>SUMIF('NFI Tracking'!AQ$11:AQ$1048576,Table10[[#This Row],[Pcode]],'NFI Tracking'!AJ$11:AJ$1048576)</f>
        <v>0</v>
      </c>
      <c r="I154" s="277">
        <f>SUMIF('NFI Tracking'!AQ$11:AQ$1048576,Table10[[#This Row],[Pcode]],'NFI Tracking'!AK$11:AK$1048576)</f>
        <v>0</v>
      </c>
      <c r="J154" s="277">
        <f ca="1">MAX(Table10[[#This Row],[HH]]*VLOOKUP("Winter Clothes Adult",NFI,6)-Table10[[#This Row],[Winter Clothes Adult ]],0)</f>
        <v>20</v>
      </c>
      <c r="K154" s="277">
        <f ca="1">MAX(Table10[[#This Row],[HH]]*VLOOKUP("Winter Clothes Children ",NFI,6)-Table10[[#This Row],[Winter Clothes Children ]],0)</f>
        <v>10</v>
      </c>
      <c r="L154" s="277">
        <f ca="1">MAX(Table10[[#This Row],[HH]]*VLOOKUP("Winter Items Other ",NFI,6)-Table10[[#This Row],[Winter Items Other ]],0)</f>
        <v>10</v>
      </c>
      <c r="M154" s="310" t="str">
        <f>IF(OR(Table10[[#This Row],[Winter Clothes Adult ]]&lt;&gt;0,Table10[[#This Row],[Winter Clothes Children ]]&lt;&gt;0,Table10[[#This Row],[Winter Items Other ]]&lt;&gt;0),"No","")</f>
        <v/>
      </c>
      <c r="N154" s="311">
        <f>COUNTIF(A:A,Table10[[#This Row],[Pcode]])-1</f>
        <v>0</v>
      </c>
    </row>
    <row r="155" spans="1:14" x14ac:dyDescent="0.25">
      <c r="A155" s="259" t="s">
        <v>236</v>
      </c>
      <c r="B155" s="18" t="str">
        <f ca="1">OFFSET(CampList[Priority],MATCH(Table10[[#This Row],[Pcode]],CampList[CP_Pcode],0)-1,0,1,1)</f>
        <v>P4</v>
      </c>
      <c r="C155" s="18" t="str">
        <f ca="1">OFFSET(CampList[Camp],MATCH(Table10[[#This Row],[Pcode]],CampList[CP_Pcode],0)-1,0,1,1)</f>
        <v>Tat Kone Baptist Church</v>
      </c>
      <c r="D155" s="18" t="str">
        <f ca="1">OFFSET(CampList[Township],MATCH(Table10[[#This Row],[Pcode]],CampList[CP_Pcode],0)-1,0,1,1)</f>
        <v>Myitkyina</v>
      </c>
      <c r="E155" s="277">
        <f ca="1">OFFSET(CampList[HH],MATCH(Table10[[#This Row],[Pcode]],CampList[CP_Pcode],0)-1,0,1,1)</f>
        <v>52</v>
      </c>
      <c r="F155" s="277">
        <f ca="1">OFFSET(CampList[Total],MATCH(Table10[[#This Row],[Pcode]],CampList[CP_Pcode],0)-1,0,1,1)</f>
        <v>263</v>
      </c>
      <c r="G155" s="277">
        <f>SUMIF('NFI Tracking'!AQ$11:AQ$1048576,Table10[[#This Row],[Pcode]],'NFI Tracking'!AI$11:AI$1048576)</f>
        <v>0</v>
      </c>
      <c r="H155" s="277">
        <f>SUMIF('NFI Tracking'!AQ$11:AQ$1048576,Table10[[#This Row],[Pcode]],'NFI Tracking'!AJ$11:AJ$1048576)</f>
        <v>0</v>
      </c>
      <c r="I155" s="277">
        <f>SUMIF('NFI Tracking'!AQ$11:AQ$1048576,Table10[[#This Row],[Pcode]],'NFI Tracking'!AK$11:AK$1048576)</f>
        <v>0</v>
      </c>
      <c r="J155" s="277">
        <f ca="1">MAX(Table10[[#This Row],[HH]]*VLOOKUP("Winter Clothes Adult",NFI,6)-Table10[[#This Row],[Winter Clothes Adult ]],0)</f>
        <v>104</v>
      </c>
      <c r="K155" s="277">
        <f ca="1">MAX(Table10[[#This Row],[HH]]*VLOOKUP("Winter Clothes Children ",NFI,6)-Table10[[#This Row],[Winter Clothes Children ]],0)</f>
        <v>52</v>
      </c>
      <c r="L155" s="277">
        <f ca="1">MAX(Table10[[#This Row],[HH]]*VLOOKUP("Winter Items Other ",NFI,6)-Table10[[#This Row],[Winter Items Other ]],0)</f>
        <v>52</v>
      </c>
      <c r="M155" s="310" t="str">
        <f>IF(OR(Table10[[#This Row],[Winter Clothes Adult ]]&lt;&gt;0,Table10[[#This Row],[Winter Clothes Children ]]&lt;&gt;0,Table10[[#This Row],[Winter Items Other ]]&lt;&gt;0),"No","")</f>
        <v/>
      </c>
      <c r="N155" s="311">
        <f>COUNTIF(A:A,Table10[[#This Row],[Pcode]])-1</f>
        <v>0</v>
      </c>
    </row>
    <row r="156" spans="1:14" x14ac:dyDescent="0.25">
      <c r="A156" s="259" t="s">
        <v>241</v>
      </c>
      <c r="B156" s="18" t="str">
        <f ca="1">OFFSET(CampList[Priority],MATCH(Table10[[#This Row],[Pcode]],CampList[CP_Pcode],0)-1,0,1,1)</f>
        <v>P4</v>
      </c>
      <c r="C156" s="18" t="str">
        <f ca="1">OFFSET(CampList[Camp],MATCH(Table10[[#This Row],[Pcode]],CampList[CP_Pcode],0)-1,0,1,1)</f>
        <v>Tat Kone COC Baptist - Tat Kone Htoi San</v>
      </c>
      <c r="D156" s="18" t="str">
        <f ca="1">OFFSET(CampList[Township],MATCH(Table10[[#This Row],[Pcode]],CampList[CP_Pcode],0)-1,0,1,1)</f>
        <v>Myitkyina</v>
      </c>
      <c r="E156" s="277">
        <f ca="1">OFFSET(CampList[HH],MATCH(Table10[[#This Row],[Pcode]],CampList[CP_Pcode],0)-1,0,1,1)</f>
        <v>54</v>
      </c>
      <c r="F156" s="277">
        <f ca="1">OFFSET(CampList[Total],MATCH(Table10[[#This Row],[Pcode]],CampList[CP_Pcode],0)-1,0,1,1)</f>
        <v>259</v>
      </c>
      <c r="G156" s="277">
        <f>SUMIF('NFI Tracking'!AQ$11:AQ$1048576,Table10[[#This Row],[Pcode]],'NFI Tracking'!AI$11:AI$1048576)</f>
        <v>0</v>
      </c>
      <c r="H156" s="277">
        <f>SUMIF('NFI Tracking'!AQ$11:AQ$1048576,Table10[[#This Row],[Pcode]],'NFI Tracking'!AJ$11:AJ$1048576)</f>
        <v>0</v>
      </c>
      <c r="I156" s="277">
        <f>SUMIF('NFI Tracking'!AQ$11:AQ$1048576,Table10[[#This Row],[Pcode]],'NFI Tracking'!AK$11:AK$1048576)</f>
        <v>0</v>
      </c>
      <c r="J156" s="277">
        <f ca="1">MAX(Table10[[#This Row],[HH]]*VLOOKUP("Winter Clothes Adult",NFI,6)-Table10[[#This Row],[Winter Clothes Adult ]],0)</f>
        <v>108</v>
      </c>
      <c r="K156" s="277">
        <f ca="1">MAX(Table10[[#This Row],[HH]]*VLOOKUP("Winter Clothes Children ",NFI,6)-Table10[[#This Row],[Winter Clothes Children ]],0)</f>
        <v>54</v>
      </c>
      <c r="L156" s="277">
        <f ca="1">MAX(Table10[[#This Row],[HH]]*VLOOKUP("Winter Items Other ",NFI,6)-Table10[[#This Row],[Winter Items Other ]],0)</f>
        <v>54</v>
      </c>
      <c r="M156" s="310" t="str">
        <f>IF(OR(Table10[[#This Row],[Winter Clothes Adult ]]&lt;&gt;0,Table10[[#This Row],[Winter Clothes Children ]]&lt;&gt;0,Table10[[#This Row],[Winter Items Other ]]&lt;&gt;0),"No","")</f>
        <v/>
      </c>
      <c r="N156" s="311">
        <f>COUNTIF(A:A,Table10[[#This Row],[Pcode]])-1</f>
        <v>0</v>
      </c>
    </row>
    <row r="157" spans="1:14" x14ac:dyDescent="0.25">
      <c r="A157" s="259" t="s">
        <v>248</v>
      </c>
      <c r="B157" s="18" t="str">
        <f ca="1">OFFSET(CampList[Priority],MATCH(Table10[[#This Row],[Pcode]],CampList[CP_Pcode],0)-1,0,1,1)</f>
        <v>P4</v>
      </c>
      <c r="C157" s="18" t="str">
        <f ca="1">OFFSET(CampList[Camp],MATCH(Table10[[#This Row],[Pcode]],CampList[CP_Pcode],0)-1,0,1,1)</f>
        <v>Tat Kone Emanuel Church</v>
      </c>
      <c r="D157" s="18" t="str">
        <f ca="1">OFFSET(CampList[Township],MATCH(Table10[[#This Row],[Pcode]],CampList[CP_Pcode],0)-1,0,1,1)</f>
        <v>Myitkyina</v>
      </c>
      <c r="E157" s="277">
        <f ca="1">OFFSET(CampList[HH],MATCH(Table10[[#This Row],[Pcode]],CampList[CP_Pcode],0)-1,0,1,1)</f>
        <v>4</v>
      </c>
      <c r="F157" s="277">
        <f ca="1">OFFSET(CampList[Total],MATCH(Table10[[#This Row],[Pcode]],CampList[CP_Pcode],0)-1,0,1,1)</f>
        <v>21</v>
      </c>
      <c r="G157" s="277">
        <f>SUMIF('NFI Tracking'!AQ$11:AQ$1048576,Table10[[#This Row],[Pcode]],'NFI Tracking'!AI$11:AI$1048576)</f>
        <v>0</v>
      </c>
      <c r="H157" s="277">
        <f>SUMIF('NFI Tracking'!AQ$11:AQ$1048576,Table10[[#This Row],[Pcode]],'NFI Tracking'!AJ$11:AJ$1048576)</f>
        <v>0</v>
      </c>
      <c r="I157" s="277">
        <f>SUMIF('NFI Tracking'!AQ$11:AQ$1048576,Table10[[#This Row],[Pcode]],'NFI Tracking'!AK$11:AK$1048576)</f>
        <v>0</v>
      </c>
      <c r="J157" s="277">
        <f ca="1">MAX(Table10[[#This Row],[HH]]*VLOOKUP("Winter Clothes Adult",NFI,6)-Table10[[#This Row],[Winter Clothes Adult ]],0)</f>
        <v>8</v>
      </c>
      <c r="K157" s="277">
        <f ca="1">MAX(Table10[[#This Row],[HH]]*VLOOKUP("Winter Clothes Children ",NFI,6)-Table10[[#This Row],[Winter Clothes Children ]],0)</f>
        <v>4</v>
      </c>
      <c r="L157" s="277">
        <f ca="1">MAX(Table10[[#This Row],[HH]]*VLOOKUP("Winter Items Other ",NFI,6)-Table10[[#This Row],[Winter Items Other ]],0)</f>
        <v>4</v>
      </c>
      <c r="M157" s="310" t="str">
        <f>IF(OR(Table10[[#This Row],[Winter Clothes Adult ]]&lt;&gt;0,Table10[[#This Row],[Winter Clothes Children ]]&lt;&gt;0,Table10[[#This Row],[Winter Items Other ]]&lt;&gt;0),"No","")</f>
        <v/>
      </c>
      <c r="N157" s="311">
        <f>COUNTIF(A:A,Table10[[#This Row],[Pcode]])-1</f>
        <v>0</v>
      </c>
    </row>
    <row r="158" spans="1:14" x14ac:dyDescent="0.25">
      <c r="A158" s="259" t="s">
        <v>250</v>
      </c>
      <c r="B158" s="18" t="str">
        <f ca="1">OFFSET(CampList[Priority],MATCH(Table10[[#This Row],[Pcode]],CampList[CP_Pcode],0)-1,0,1,1)</f>
        <v>P4</v>
      </c>
      <c r="C158" s="18" t="str">
        <f ca="1">OFFSET(CampList[Camp],MATCH(Table10[[#This Row],[Pcode]],CampList[CP_Pcode],0)-1,0,1,1)</f>
        <v>Tat Kone Galile Baptist Church</v>
      </c>
      <c r="D158" s="18" t="str">
        <f ca="1">OFFSET(CampList[Township],MATCH(Table10[[#This Row],[Pcode]],CampList[CP_Pcode],0)-1,0,1,1)</f>
        <v>Myitkyina</v>
      </c>
      <c r="E158" s="277">
        <f ca="1">OFFSET(CampList[HH],MATCH(Table10[[#This Row],[Pcode]],CampList[CP_Pcode],0)-1,0,1,1)</f>
        <v>32</v>
      </c>
      <c r="F158" s="277">
        <f ca="1">OFFSET(CampList[Total],MATCH(Table10[[#This Row],[Pcode]],CampList[CP_Pcode],0)-1,0,1,1)</f>
        <v>169</v>
      </c>
      <c r="G158" s="277">
        <f>SUMIF('NFI Tracking'!AQ$11:AQ$1048576,Table10[[#This Row],[Pcode]],'NFI Tracking'!AI$11:AI$1048576)</f>
        <v>0</v>
      </c>
      <c r="H158" s="277">
        <f>SUMIF('NFI Tracking'!AQ$11:AQ$1048576,Table10[[#This Row],[Pcode]],'NFI Tracking'!AJ$11:AJ$1048576)</f>
        <v>0</v>
      </c>
      <c r="I158" s="277">
        <f>SUMIF('NFI Tracking'!AQ$11:AQ$1048576,Table10[[#This Row],[Pcode]],'NFI Tracking'!AK$11:AK$1048576)</f>
        <v>0</v>
      </c>
      <c r="J158" s="277">
        <f ca="1">MAX(Table10[[#This Row],[HH]]*VLOOKUP("Winter Clothes Adult",NFI,6)-Table10[[#This Row],[Winter Clothes Adult ]],0)</f>
        <v>64</v>
      </c>
      <c r="K158" s="277">
        <f ca="1">MAX(Table10[[#This Row],[HH]]*VLOOKUP("Winter Clothes Children ",NFI,6)-Table10[[#This Row],[Winter Clothes Children ]],0)</f>
        <v>32</v>
      </c>
      <c r="L158" s="277">
        <f ca="1">MAX(Table10[[#This Row],[HH]]*VLOOKUP("Winter Items Other ",NFI,6)-Table10[[#This Row],[Winter Items Other ]],0)</f>
        <v>32</v>
      </c>
      <c r="M158" s="310" t="str">
        <f>IF(OR(Table10[[#This Row],[Winter Clothes Adult ]]&lt;&gt;0,Table10[[#This Row],[Winter Clothes Children ]]&lt;&gt;0,Table10[[#This Row],[Winter Items Other ]]&lt;&gt;0),"No","")</f>
        <v/>
      </c>
      <c r="N158" s="311">
        <f>COUNTIF(A:A,Table10[[#This Row],[Pcode]])-1</f>
        <v>0</v>
      </c>
    </row>
    <row r="159" spans="1:14" x14ac:dyDescent="0.25">
      <c r="A159" s="259" t="s">
        <v>274</v>
      </c>
      <c r="B159" s="18" t="str">
        <f ca="1">OFFSET(CampList[Priority],MATCH(Table10[[#This Row],[Pcode]],CampList[CP_Pcode],0)-1,0,1,1)</f>
        <v>P4</v>
      </c>
      <c r="C159" s="18" t="str">
        <f ca="1">OFFSET(CampList[Camp],MATCH(Table10[[#This Row],[Pcode]],CampList[CP_Pcode],0)-1,0,1,1)</f>
        <v>Tat Kone San Pya Baptist Church</v>
      </c>
      <c r="D159" s="18" t="str">
        <f ca="1">OFFSET(CampList[Township],MATCH(Table10[[#This Row],[Pcode]],CampList[CP_Pcode],0)-1,0,1,1)</f>
        <v>Myitkyina</v>
      </c>
      <c r="E159" s="277">
        <f ca="1">OFFSET(CampList[HH],MATCH(Table10[[#This Row],[Pcode]],CampList[CP_Pcode],0)-1,0,1,1)</f>
        <v>46</v>
      </c>
      <c r="F159" s="277">
        <f ca="1">OFFSET(CampList[Total],MATCH(Table10[[#This Row],[Pcode]],CampList[CP_Pcode],0)-1,0,1,1)</f>
        <v>228</v>
      </c>
      <c r="G159" s="277">
        <f>SUMIF('NFI Tracking'!AQ$11:AQ$1048576,Table10[[#This Row],[Pcode]],'NFI Tracking'!AI$11:AI$1048576)</f>
        <v>0</v>
      </c>
      <c r="H159" s="277">
        <f>SUMIF('NFI Tracking'!AQ$11:AQ$1048576,Table10[[#This Row],[Pcode]],'NFI Tracking'!AJ$11:AJ$1048576)</f>
        <v>0</v>
      </c>
      <c r="I159" s="277">
        <f>SUMIF('NFI Tracking'!AQ$11:AQ$1048576,Table10[[#This Row],[Pcode]],'NFI Tracking'!AK$11:AK$1048576)</f>
        <v>0</v>
      </c>
      <c r="J159" s="277">
        <f ca="1">MAX(Table10[[#This Row],[HH]]*VLOOKUP("Winter Clothes Adult",NFI,6)-Table10[[#This Row],[Winter Clothes Adult ]],0)</f>
        <v>92</v>
      </c>
      <c r="K159" s="277">
        <f ca="1">MAX(Table10[[#This Row],[HH]]*VLOOKUP("Winter Clothes Children ",NFI,6)-Table10[[#This Row],[Winter Clothes Children ]],0)</f>
        <v>46</v>
      </c>
      <c r="L159" s="277">
        <f ca="1">MAX(Table10[[#This Row],[HH]]*VLOOKUP("Winter Items Other ",NFI,6)-Table10[[#This Row],[Winter Items Other ]],0)</f>
        <v>46</v>
      </c>
      <c r="M159" s="310" t="str">
        <f>IF(OR(Table10[[#This Row],[Winter Clothes Adult ]]&lt;&gt;0,Table10[[#This Row],[Winter Clothes Children ]]&lt;&gt;0,Table10[[#This Row],[Winter Items Other ]]&lt;&gt;0),"No","")</f>
        <v/>
      </c>
      <c r="N159" s="311">
        <f>COUNTIF(A:A,Table10[[#This Row],[Pcode]])-1</f>
        <v>0</v>
      </c>
    </row>
    <row r="160" spans="1:14" x14ac:dyDescent="0.25">
      <c r="A160" s="259" t="s">
        <v>348</v>
      </c>
      <c r="B160" s="18" t="str">
        <f ca="1">OFFSET(CampList[Priority],MATCH(Table10[[#This Row],[Pcode]],CampList[CP_Pcode],0)-1,0,1,1)</f>
        <v>P4</v>
      </c>
      <c r="C160" s="18" t="str">
        <f ca="1">OFFSET(CampList[Camp],MATCH(Table10[[#This Row],[Pcode]],CampList[CP_Pcode],0)-1,0,1,1)</f>
        <v>Thargaya Lisu Baptist Church</v>
      </c>
      <c r="D160" s="18" t="str">
        <f ca="1">OFFSET(CampList[Township],MATCH(Table10[[#This Row],[Pcode]],CampList[CP_Pcode],0)-1,0,1,1)</f>
        <v>Waingmaw</v>
      </c>
      <c r="E160" s="277">
        <f ca="1">OFFSET(CampList[HH],MATCH(Table10[[#This Row],[Pcode]],CampList[CP_Pcode],0)-1,0,1,1)</f>
        <v>44</v>
      </c>
      <c r="F160" s="277">
        <f ca="1">OFFSET(CampList[Total],MATCH(Table10[[#This Row],[Pcode]],CampList[CP_Pcode],0)-1,0,1,1)</f>
        <v>182</v>
      </c>
      <c r="G160" s="277">
        <f>SUMIF('NFI Tracking'!AQ$11:AQ$1048576,Table10[[#This Row],[Pcode]],'NFI Tracking'!AI$11:AI$1048576)</f>
        <v>0</v>
      </c>
      <c r="H160" s="277">
        <f>SUMIF('NFI Tracking'!AQ$11:AQ$1048576,Table10[[#This Row],[Pcode]],'NFI Tracking'!AJ$11:AJ$1048576)</f>
        <v>0</v>
      </c>
      <c r="I160" s="277">
        <f>SUMIF('NFI Tracking'!AQ$11:AQ$1048576,Table10[[#This Row],[Pcode]],'NFI Tracking'!AK$11:AK$1048576)</f>
        <v>0</v>
      </c>
      <c r="J160" s="277">
        <f ca="1">MAX(Table10[[#This Row],[HH]]*VLOOKUP("Winter Clothes Adult",NFI,6)-Table10[[#This Row],[Winter Clothes Adult ]],0)</f>
        <v>88</v>
      </c>
      <c r="K160" s="277">
        <f ca="1">MAX(Table10[[#This Row],[HH]]*VLOOKUP("Winter Clothes Children ",NFI,6)-Table10[[#This Row],[Winter Clothes Children ]],0)</f>
        <v>44</v>
      </c>
      <c r="L160" s="277">
        <f ca="1">MAX(Table10[[#This Row],[HH]]*VLOOKUP("Winter Items Other ",NFI,6)-Table10[[#This Row],[Winter Items Other ]],0)</f>
        <v>44</v>
      </c>
      <c r="M160" s="310" t="str">
        <f>IF(OR(Table10[[#This Row],[Winter Clothes Adult ]]&lt;&gt;0,Table10[[#This Row],[Winter Clothes Children ]]&lt;&gt;0,Table10[[#This Row],[Winter Items Other ]]&lt;&gt;0),"No","")</f>
        <v/>
      </c>
      <c r="N160" s="311">
        <f>COUNTIF(A:A,Table10[[#This Row],[Pcode]])-1</f>
        <v>0</v>
      </c>
    </row>
    <row r="161" spans="1:14" x14ac:dyDescent="0.25">
      <c r="A161" s="259" t="s">
        <v>1018</v>
      </c>
      <c r="B161" s="18" t="str">
        <f ca="1">OFFSET(CampList[Priority],MATCH(Table10[[#This Row],[Pcode]],CampList[CP_Pcode],0)-1,0,1,1)</f>
        <v>P4</v>
      </c>
      <c r="C161" s="18" t="str">
        <f ca="1">OFFSET(CampList[Camp],MATCH(Table10[[#This Row],[Pcode]],CampList[CP_Pcode],0)-1,0,1,1)</f>
        <v>Tharthana Ahlin Yaung New Monastery</v>
      </c>
      <c r="D161" s="18" t="str">
        <f ca="1">OFFSET(CampList[Township],MATCH(Table10[[#This Row],[Pcode]],CampList[CP_Pcode],0)-1,0,1,1)</f>
        <v>Bhamo</v>
      </c>
      <c r="E161" s="277">
        <f ca="1">OFFSET(CampList[HH],MATCH(Table10[[#This Row],[Pcode]],CampList[CP_Pcode],0)-1,0,1,1)</f>
        <v>0</v>
      </c>
      <c r="F161" s="277">
        <f ca="1">OFFSET(CampList[Total],MATCH(Table10[[#This Row],[Pcode]],CampList[CP_Pcode],0)-1,0,1,1)</f>
        <v>0</v>
      </c>
      <c r="G161" s="277">
        <f>SUMIF('NFI Tracking'!AQ$11:AQ$1048576,Table10[[#This Row],[Pcode]],'NFI Tracking'!AI$11:AI$1048576)</f>
        <v>0</v>
      </c>
      <c r="H161" s="277">
        <f>SUMIF('NFI Tracking'!AQ$11:AQ$1048576,Table10[[#This Row],[Pcode]],'NFI Tracking'!AJ$11:AJ$1048576)</f>
        <v>0</v>
      </c>
      <c r="I161" s="277">
        <f>SUMIF('NFI Tracking'!AQ$11:AQ$1048576,Table10[[#This Row],[Pcode]],'NFI Tracking'!AK$11:AK$1048576)</f>
        <v>0</v>
      </c>
      <c r="J161" s="277">
        <f ca="1">MAX(Table10[[#This Row],[HH]]*VLOOKUP("Winter Clothes Adult",NFI,6)-Table10[[#This Row],[Winter Clothes Adult ]],0)</f>
        <v>0</v>
      </c>
      <c r="K161" s="277">
        <f ca="1">MAX(Table10[[#This Row],[HH]]*VLOOKUP("Winter Clothes Children ",NFI,6)-Table10[[#This Row],[Winter Clothes Children ]],0)</f>
        <v>0</v>
      </c>
      <c r="L161" s="277">
        <f ca="1">MAX(Table10[[#This Row],[HH]]*VLOOKUP("Winter Items Other ",NFI,6)-Table10[[#This Row],[Winter Items Other ]],0)</f>
        <v>0</v>
      </c>
      <c r="M161" s="310" t="str">
        <f>IF(OR(Table10[[#This Row],[Winter Clothes Adult ]]&lt;&gt;0,Table10[[#This Row],[Winter Clothes Children ]]&lt;&gt;0,Table10[[#This Row],[Winter Items Other ]]&lt;&gt;0),"No","")</f>
        <v/>
      </c>
      <c r="N161" s="311">
        <f>COUNTIF(A:A,Table10[[#This Row],[Pcode]])-1</f>
        <v>0</v>
      </c>
    </row>
    <row r="162" spans="1:14" x14ac:dyDescent="0.25">
      <c r="A162" s="259" t="s">
        <v>315</v>
      </c>
      <c r="B162" s="18" t="str">
        <f ca="1">OFFSET(CampList[Priority],MATCH(Table10[[#This Row],[Pcode]],CampList[CP_Pcode],0)-1,0,1,1)</f>
        <v>P4</v>
      </c>
      <c r="C162" s="18" t="str">
        <f ca="1">OFFSET(CampList[Camp],MATCH(Table10[[#This Row],[Pcode]],CampList[CP_Pcode],0)-1,0,1,1)</f>
        <v>Waingmaw AG Church</v>
      </c>
      <c r="D162" s="18" t="str">
        <f ca="1">OFFSET(CampList[Township],MATCH(Table10[[#This Row],[Pcode]],CampList[CP_Pcode],0)-1,0,1,1)</f>
        <v>Waingmaw</v>
      </c>
      <c r="E162" s="277">
        <f ca="1">OFFSET(CampList[HH],MATCH(Table10[[#This Row],[Pcode]],CampList[CP_Pcode],0)-1,0,1,1)</f>
        <v>70</v>
      </c>
      <c r="F162" s="277">
        <f ca="1">OFFSET(CampList[Total],MATCH(Table10[[#This Row],[Pcode]],CampList[CP_Pcode],0)-1,0,1,1)</f>
        <v>288</v>
      </c>
      <c r="G162" s="277">
        <f>SUMIF('NFI Tracking'!AQ$11:AQ$1048576,Table10[[#This Row],[Pcode]],'NFI Tracking'!AI$11:AI$1048576)</f>
        <v>0</v>
      </c>
      <c r="H162" s="277">
        <f>SUMIF('NFI Tracking'!AQ$11:AQ$1048576,Table10[[#This Row],[Pcode]],'NFI Tracking'!AJ$11:AJ$1048576)</f>
        <v>0</v>
      </c>
      <c r="I162" s="277">
        <f>SUMIF('NFI Tracking'!AQ$11:AQ$1048576,Table10[[#This Row],[Pcode]],'NFI Tracking'!AK$11:AK$1048576)</f>
        <v>0</v>
      </c>
      <c r="J162" s="277">
        <f ca="1">MAX(Table10[[#This Row],[HH]]*VLOOKUP("Winter Clothes Adult",NFI,6)-Table10[[#This Row],[Winter Clothes Adult ]],0)</f>
        <v>140</v>
      </c>
      <c r="K162" s="277">
        <f ca="1">MAX(Table10[[#This Row],[HH]]*VLOOKUP("Winter Clothes Children ",NFI,6)-Table10[[#This Row],[Winter Clothes Children ]],0)</f>
        <v>70</v>
      </c>
      <c r="L162" s="277">
        <f ca="1">MAX(Table10[[#This Row],[HH]]*VLOOKUP("Winter Items Other ",NFI,6)-Table10[[#This Row],[Winter Items Other ]],0)</f>
        <v>70</v>
      </c>
      <c r="M162" s="310" t="str">
        <f>IF(OR(Table10[[#This Row],[Winter Clothes Adult ]]&lt;&gt;0,Table10[[#This Row],[Winter Clothes Children ]]&lt;&gt;0,Table10[[#This Row],[Winter Items Other ]]&lt;&gt;0),"No","")</f>
        <v/>
      </c>
      <c r="N162" s="311">
        <f>COUNTIF(A:A,Table10[[#This Row],[Pcode]])-1</f>
        <v>0</v>
      </c>
    </row>
    <row r="163" spans="1:14" x14ac:dyDescent="0.25">
      <c r="A163" s="259" t="s">
        <v>309</v>
      </c>
      <c r="B163" s="18" t="str">
        <f ca="1">OFFSET(CampList[Priority],MATCH(Table10[[#This Row],[Pcode]],CampList[CP_Pcode],0)-1,0,1,1)</f>
        <v>P4</v>
      </c>
      <c r="C163" s="18" t="str">
        <f ca="1">OFFSET(CampList[Camp],MATCH(Table10[[#This Row],[Pcode]],CampList[CP_Pcode],0)-1,0,1,1)</f>
        <v>Waingmaw Baptist Zonal Office</v>
      </c>
      <c r="D163" s="18" t="str">
        <f ca="1">OFFSET(CampList[Township],MATCH(Table10[[#This Row],[Pcode]],CampList[CP_Pcode],0)-1,0,1,1)</f>
        <v>Waingmaw</v>
      </c>
      <c r="E163" s="277">
        <f ca="1">OFFSET(CampList[HH],MATCH(Table10[[#This Row],[Pcode]],CampList[CP_Pcode],0)-1,0,1,1)</f>
        <v>0</v>
      </c>
      <c r="F163" s="277">
        <f ca="1">OFFSET(CampList[Total],MATCH(Table10[[#This Row],[Pcode]],CampList[CP_Pcode],0)-1,0,1,1)</f>
        <v>0</v>
      </c>
      <c r="G163" s="277">
        <f>SUMIF('NFI Tracking'!AQ$11:AQ$1048576,Table10[[#This Row],[Pcode]],'NFI Tracking'!AI$11:AI$1048576)</f>
        <v>0</v>
      </c>
      <c r="H163" s="277">
        <f>SUMIF('NFI Tracking'!AQ$11:AQ$1048576,Table10[[#This Row],[Pcode]],'NFI Tracking'!AJ$11:AJ$1048576)</f>
        <v>0</v>
      </c>
      <c r="I163" s="277">
        <f>SUMIF('NFI Tracking'!AQ$11:AQ$1048576,Table10[[#This Row],[Pcode]],'NFI Tracking'!AK$11:AK$1048576)</f>
        <v>0</v>
      </c>
      <c r="J163" s="277">
        <f ca="1">MAX(Table10[[#This Row],[HH]]*VLOOKUP("Winter Clothes Adult",NFI,6)-Table10[[#This Row],[Winter Clothes Adult ]],0)</f>
        <v>0</v>
      </c>
      <c r="K163" s="277">
        <f ca="1">MAX(Table10[[#This Row],[HH]]*VLOOKUP("Winter Clothes Children ",NFI,6)-Table10[[#This Row],[Winter Clothes Children ]],0)</f>
        <v>0</v>
      </c>
      <c r="L163" s="277">
        <f ca="1">MAX(Table10[[#This Row],[HH]]*VLOOKUP("Winter Items Other ",NFI,6)-Table10[[#This Row],[Winter Items Other ]],0)</f>
        <v>0</v>
      </c>
      <c r="M163" s="310" t="str">
        <f>IF(OR(Table10[[#This Row],[Winter Clothes Adult ]]&lt;&gt;0,Table10[[#This Row],[Winter Clothes Children ]]&lt;&gt;0,Table10[[#This Row],[Winter Items Other ]]&lt;&gt;0),"No","")</f>
        <v/>
      </c>
      <c r="N163" s="311">
        <f>COUNTIF(A:A,Table10[[#This Row],[Pcode]])-1</f>
        <v>0</v>
      </c>
    </row>
    <row r="164" spans="1:14" x14ac:dyDescent="0.25">
      <c r="A164" s="259" t="s">
        <v>125</v>
      </c>
      <c r="B164" s="18" t="str">
        <f ca="1">OFFSET(CampList[Priority],MATCH(Table10[[#This Row],[Pcode]],CampList[CP_Pcode],0)-1,0,1,1)</f>
        <v>P4</v>
      </c>
      <c r="C164" s="18" t="str">
        <f ca="1">OFFSET(CampList[Camp],MATCH(Table10[[#This Row],[Pcode]],CampList[CP_Pcode],0)-1,0,1,1)</f>
        <v xml:space="preserve">Ward 2 Sai Taung Baptist Church, Seik Mu </v>
      </c>
      <c r="D164" s="18" t="str">
        <f ca="1">OFFSET(CampList[Township],MATCH(Table10[[#This Row],[Pcode]],CampList[CP_Pcode],0)-1,0,1,1)</f>
        <v>Hpakant</v>
      </c>
      <c r="E164" s="277">
        <f ca="1">OFFSET(CampList[HH],MATCH(Table10[[#This Row],[Pcode]],CampList[CP_Pcode],0)-1,0,1,1)</f>
        <v>35</v>
      </c>
      <c r="F164" s="277">
        <f ca="1">OFFSET(CampList[Total],MATCH(Table10[[#This Row],[Pcode]],CampList[CP_Pcode],0)-1,0,1,1)</f>
        <v>173</v>
      </c>
      <c r="G164" s="277">
        <f>SUMIF('NFI Tracking'!AQ$11:AQ$1048576,Table10[[#This Row],[Pcode]],'NFI Tracking'!AI$11:AI$1048576)</f>
        <v>0</v>
      </c>
      <c r="H164" s="277">
        <f>SUMIF('NFI Tracking'!AQ$11:AQ$1048576,Table10[[#This Row],[Pcode]],'NFI Tracking'!AJ$11:AJ$1048576)</f>
        <v>0</v>
      </c>
      <c r="I164" s="277">
        <f>SUMIF('NFI Tracking'!AQ$11:AQ$1048576,Table10[[#This Row],[Pcode]],'NFI Tracking'!AK$11:AK$1048576)</f>
        <v>0</v>
      </c>
      <c r="J164" s="277">
        <f ca="1">MAX(Table10[[#This Row],[HH]]*VLOOKUP("Winter Clothes Adult",NFI,6)-Table10[[#This Row],[Winter Clothes Adult ]],0)</f>
        <v>70</v>
      </c>
      <c r="K164" s="277">
        <f ca="1">MAX(Table10[[#This Row],[HH]]*VLOOKUP("Winter Clothes Children ",NFI,6)-Table10[[#This Row],[Winter Clothes Children ]],0)</f>
        <v>35</v>
      </c>
      <c r="L164" s="277">
        <f ca="1">MAX(Table10[[#This Row],[HH]]*VLOOKUP("Winter Items Other ",NFI,6)-Table10[[#This Row],[Winter Items Other ]],0)</f>
        <v>35</v>
      </c>
      <c r="M164" s="310" t="str">
        <f>IF(OR(Table10[[#This Row],[Winter Clothes Adult ]]&lt;&gt;0,Table10[[#This Row],[Winter Clothes Children ]]&lt;&gt;0,Table10[[#This Row],[Winter Items Other ]]&lt;&gt;0),"No","")</f>
        <v/>
      </c>
      <c r="N164" s="311">
        <f>COUNTIF(A:A,Table10[[#This Row],[Pcode]])-1</f>
        <v>0</v>
      </c>
    </row>
    <row r="165" spans="1:14" x14ac:dyDescent="0.25">
      <c r="A165" s="259" t="s">
        <v>352</v>
      </c>
      <c r="B165" s="18" t="str">
        <f ca="1">OFFSET(CampList[Priority],MATCH(Table10[[#This Row],[Pcode]],CampList[CP_Pcode],0)-1,0,1,1)</f>
        <v>P4</v>
      </c>
      <c r="C165" s="18" t="str">
        <f ca="1">OFFSET(CampList[Camp],MATCH(Table10[[#This Row],[Pcode]],CampList[CP_Pcode],0)-1,0,1,1)</f>
        <v xml:space="preserve">Woi Chyai </v>
      </c>
      <c r="D165" s="18" t="str">
        <f ca="1">OFFSET(CampList[Township],MATCH(Table10[[#This Row],[Pcode]],CampList[CP_Pcode],0)-1,0,1,1)</f>
        <v>Waingmaw</v>
      </c>
      <c r="E165" s="277">
        <f ca="1">OFFSET(CampList[HH],MATCH(Table10[[#This Row],[Pcode]],CampList[CP_Pcode],0)-1,0,1,1)</f>
        <v>1371</v>
      </c>
      <c r="F165" s="277">
        <f ca="1">OFFSET(CampList[Total],MATCH(Table10[[#This Row],[Pcode]],CampList[CP_Pcode],0)-1,0,1,1)</f>
        <v>6701</v>
      </c>
      <c r="G165" s="277">
        <f>SUMIF('NFI Tracking'!AQ$11:AQ$1048576,Table10[[#This Row],[Pcode]],'NFI Tracking'!AI$11:AI$1048576)</f>
        <v>0</v>
      </c>
      <c r="H165" s="277">
        <f>SUMIF('NFI Tracking'!AQ$11:AQ$1048576,Table10[[#This Row],[Pcode]],'NFI Tracking'!AJ$11:AJ$1048576)</f>
        <v>0</v>
      </c>
      <c r="I165" s="277">
        <f>SUMIF('NFI Tracking'!AQ$11:AQ$1048576,Table10[[#This Row],[Pcode]],'NFI Tracking'!AK$11:AK$1048576)</f>
        <v>0</v>
      </c>
      <c r="J165" s="277">
        <f ca="1">MAX(Table10[[#This Row],[HH]]*VLOOKUP("Winter Clothes Adult",NFI,6)-Table10[[#This Row],[Winter Clothes Adult ]],0)</f>
        <v>2742</v>
      </c>
      <c r="K165" s="277">
        <f ca="1">MAX(Table10[[#This Row],[HH]]*VLOOKUP("Winter Clothes Children ",NFI,6)-Table10[[#This Row],[Winter Clothes Children ]],0)</f>
        <v>1371</v>
      </c>
      <c r="L165" s="277">
        <f ca="1">MAX(Table10[[#This Row],[HH]]*VLOOKUP("Winter Items Other ",NFI,6)-Table10[[#This Row],[Winter Items Other ]],0)</f>
        <v>1371</v>
      </c>
      <c r="M165" s="310" t="str">
        <f>IF(OR(Table10[[#This Row],[Winter Clothes Adult ]]&lt;&gt;0,Table10[[#This Row],[Winter Clothes Children ]]&lt;&gt;0,Table10[[#This Row],[Winter Items Other ]]&lt;&gt;0),"No","")</f>
        <v/>
      </c>
      <c r="N165" s="311">
        <f>COUNTIF(A:A,Table10[[#This Row],[Pcode]])-1</f>
        <v>0</v>
      </c>
    </row>
    <row r="166" spans="1:14" x14ac:dyDescent="0.25">
      <c r="A166" s="259" t="s">
        <v>282</v>
      </c>
      <c r="B166" s="18" t="str">
        <f ca="1">OFFSET(CampList[Priority],MATCH(Table10[[#This Row],[Pcode]],CampList[CP_Pcode],0)-1,0,1,1)</f>
        <v>P4</v>
      </c>
      <c r="C166" s="18" t="str">
        <f ca="1">OFFSET(CampList[Camp],MATCH(Table10[[#This Row],[Pcode]],CampList[CP_Pcode],0)-1,0,1,1)</f>
        <v>Wun Tho Buddhist Monastery</v>
      </c>
      <c r="D166" s="18" t="str">
        <f ca="1">OFFSET(CampList[Township],MATCH(Table10[[#This Row],[Pcode]],CampList[CP_Pcode],0)-1,0,1,1)</f>
        <v>Myitkyina</v>
      </c>
      <c r="E166" s="277">
        <f ca="1">OFFSET(CampList[HH],MATCH(Table10[[#This Row],[Pcode]],CampList[CP_Pcode],0)-1,0,1,1)</f>
        <v>7</v>
      </c>
      <c r="F166" s="277">
        <f ca="1">OFFSET(CampList[Total],MATCH(Table10[[#This Row],[Pcode]],CampList[CP_Pcode],0)-1,0,1,1)</f>
        <v>37</v>
      </c>
      <c r="G166" s="277">
        <f>SUMIF('NFI Tracking'!AQ$11:AQ$1048576,Table10[[#This Row],[Pcode]],'NFI Tracking'!AI$11:AI$1048576)</f>
        <v>0</v>
      </c>
      <c r="H166" s="277">
        <f>SUMIF('NFI Tracking'!AQ$11:AQ$1048576,Table10[[#This Row],[Pcode]],'NFI Tracking'!AJ$11:AJ$1048576)</f>
        <v>0</v>
      </c>
      <c r="I166" s="277">
        <f>SUMIF('NFI Tracking'!AQ$11:AQ$1048576,Table10[[#This Row],[Pcode]],'NFI Tracking'!AK$11:AK$1048576)</f>
        <v>0</v>
      </c>
      <c r="J166" s="277">
        <f ca="1">MAX(Table10[[#This Row],[HH]]*VLOOKUP("Winter Clothes Adult",NFI,6)-Table10[[#This Row],[Winter Clothes Adult ]],0)</f>
        <v>14</v>
      </c>
      <c r="K166" s="277">
        <f ca="1">MAX(Table10[[#This Row],[HH]]*VLOOKUP("Winter Clothes Children ",NFI,6)-Table10[[#This Row],[Winter Clothes Children ]],0)</f>
        <v>7</v>
      </c>
      <c r="L166" s="277">
        <f ca="1">MAX(Table10[[#This Row],[HH]]*VLOOKUP("Winter Items Other ",NFI,6)-Table10[[#This Row],[Winter Items Other ]],0)</f>
        <v>7</v>
      </c>
      <c r="M166" s="310" t="str">
        <f>IF(OR(Table10[[#This Row],[Winter Clothes Adult ]]&lt;&gt;0,Table10[[#This Row],[Winter Clothes Children ]]&lt;&gt;0,Table10[[#This Row],[Winter Items Other ]]&lt;&gt;0),"No","")</f>
        <v/>
      </c>
      <c r="N166" s="311">
        <f>COUNTIF(A:A,Table10[[#This Row],[Pcode]])-1</f>
        <v>0</v>
      </c>
    </row>
    <row r="167" spans="1:14" x14ac:dyDescent="0.25">
      <c r="A167" s="259" t="s">
        <v>25</v>
      </c>
      <c r="B167" s="18" t="str">
        <f ca="1">OFFSET(CampList[Priority],MATCH(Table10[[#This Row],[Pcode]],CampList[CP_Pcode],0)-1,0,1,1)</f>
        <v>P4</v>
      </c>
      <c r="C167" s="18" t="str">
        <f ca="1">OFFSET(CampList[Camp],MATCH(Table10[[#This Row],[Pcode]],CampList[CP_Pcode],0)-1,0,1,1)</f>
        <v>Yoe Kyi Monastery</v>
      </c>
      <c r="D167" s="18" t="str">
        <f ca="1">OFFSET(CampList[Township],MATCH(Table10[[#This Row],[Pcode]],CampList[CP_Pcode],0)-1,0,1,1)</f>
        <v>Bhamo</v>
      </c>
      <c r="E167" s="277">
        <f ca="1">OFFSET(CampList[HH],MATCH(Table10[[#This Row],[Pcode]],CampList[CP_Pcode],0)-1,0,1,1)</f>
        <v>15</v>
      </c>
      <c r="F167" s="277">
        <f ca="1">OFFSET(CampList[Total],MATCH(Table10[[#This Row],[Pcode]],CampList[CP_Pcode],0)-1,0,1,1)</f>
        <v>75</v>
      </c>
      <c r="G167" s="277">
        <f>SUMIF('NFI Tracking'!AQ$11:AQ$1048576,Table10[[#This Row],[Pcode]],'NFI Tracking'!AI$11:AI$1048576)</f>
        <v>0</v>
      </c>
      <c r="H167" s="277">
        <f>SUMIF('NFI Tracking'!AQ$11:AQ$1048576,Table10[[#This Row],[Pcode]],'NFI Tracking'!AJ$11:AJ$1048576)</f>
        <v>0</v>
      </c>
      <c r="I167" s="277">
        <f>SUMIF('NFI Tracking'!AQ$11:AQ$1048576,Table10[[#This Row],[Pcode]],'NFI Tracking'!AK$11:AK$1048576)</f>
        <v>0</v>
      </c>
      <c r="J167" s="277">
        <f ca="1">MAX(Table10[[#This Row],[HH]]*VLOOKUP("Winter Clothes Adult",NFI,6)-Table10[[#This Row],[Winter Clothes Adult ]],0)</f>
        <v>30</v>
      </c>
      <c r="K167" s="277">
        <f ca="1">MAX(Table10[[#This Row],[HH]]*VLOOKUP("Winter Clothes Children ",NFI,6)-Table10[[#This Row],[Winter Clothes Children ]],0)</f>
        <v>15</v>
      </c>
      <c r="L167" s="277">
        <f ca="1">MAX(Table10[[#This Row],[HH]]*VLOOKUP("Winter Items Other ",NFI,6)-Table10[[#This Row],[Winter Items Other ]],0)</f>
        <v>15</v>
      </c>
      <c r="M167" s="310" t="str">
        <f>IF(OR(Table10[[#This Row],[Winter Clothes Adult ]]&lt;&gt;0,Table10[[#This Row],[Winter Clothes Children ]]&lt;&gt;0,Table10[[#This Row],[Winter Items Other ]]&lt;&gt;0),"No","")</f>
        <v/>
      </c>
      <c r="N167" s="311">
        <f>COUNTIF(A:A,Table10[[#This Row],[Pcode]])-1</f>
        <v>0</v>
      </c>
    </row>
    <row r="168" spans="1:14" x14ac:dyDescent="0.25">
      <c r="A168" s="257" t="s">
        <v>139</v>
      </c>
      <c r="B168" s="280" t="str">
        <f ca="1">OFFSET(CampList[Priority],MATCH(Table10[[#This Row],[Pcode]],CampList[CP_Pcode],0)-1,0,1,1)</f>
        <v>P4</v>
      </c>
      <c r="C168" s="280" t="str">
        <f ca="1">OFFSET(CampList[Camp],MATCH(Table10[[#This Row],[Pcode]],CampList[CP_Pcode],0)-1,0,1,1)</f>
        <v>Yumar Baptist Church</v>
      </c>
      <c r="D168" s="280" t="str">
        <f ca="1">OFFSET(CampList[Township],MATCH(Table10[[#This Row],[Pcode]],CampList[CP_Pcode],0)-1,0,1,1)</f>
        <v>Hpakant</v>
      </c>
      <c r="E168" s="312">
        <f ca="1">OFFSET(CampList[HH],MATCH(Table10[[#This Row],[Pcode]],CampList[CP_Pcode],0)-1,0,1,1)</f>
        <v>12</v>
      </c>
      <c r="F168" s="312">
        <f ca="1">OFFSET(CampList[Total],MATCH(Table10[[#This Row],[Pcode]],CampList[CP_Pcode],0)-1,0,1,1)</f>
        <v>43</v>
      </c>
      <c r="G168" s="312">
        <f>SUMIF('NFI Tracking'!AQ$11:AQ$1048576,Table10[[#This Row],[Pcode]],'NFI Tracking'!AI$11:AI$1048576)</f>
        <v>0</v>
      </c>
      <c r="H168" s="312">
        <f>SUMIF('NFI Tracking'!AQ$11:AQ$1048576,Table10[[#This Row],[Pcode]],'NFI Tracking'!AJ$11:AJ$1048576)</f>
        <v>0</v>
      </c>
      <c r="I168" s="312">
        <f>SUMIF('NFI Tracking'!AQ$11:AQ$1048576,Table10[[#This Row],[Pcode]],'NFI Tracking'!AK$11:AK$1048576)</f>
        <v>0</v>
      </c>
      <c r="J168" s="312">
        <f ca="1">MAX(Table10[[#This Row],[HH]]*VLOOKUP("Winter Clothes Adult",NFI,6)-Table10[[#This Row],[Winter Clothes Adult ]],0)</f>
        <v>24</v>
      </c>
      <c r="K168" s="312">
        <f ca="1">MAX(Table10[[#This Row],[HH]]*VLOOKUP("Winter Clothes Children ",NFI,6)-Table10[[#This Row],[Winter Clothes Children ]],0)</f>
        <v>12</v>
      </c>
      <c r="L168" s="312">
        <f ca="1">MAX(Table10[[#This Row],[HH]]*VLOOKUP("Winter Items Other ",NFI,6)-Table10[[#This Row],[Winter Items Other ]],0)</f>
        <v>12</v>
      </c>
      <c r="M168" s="313" t="str">
        <f>IF(OR(Table10[[#This Row],[Winter Clothes Adult ]]&lt;&gt;0,Table10[[#This Row],[Winter Clothes Children ]]&lt;&gt;0,Table10[[#This Row],[Winter Items Other ]]&lt;&gt;0),"No","")</f>
        <v/>
      </c>
      <c r="N168" s="314">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2789"/>
  <sheetViews>
    <sheetView showZeros="0" zoomScaleNormal="100" zoomScaleSheetLayoutView="80" workbookViewId="0">
      <selection activeCell="AG31" sqref="AG31"/>
    </sheetView>
  </sheetViews>
  <sheetFormatPr defaultColWidth="11.42578125" defaultRowHeight="15" x14ac:dyDescent="0.25"/>
  <cols>
    <col min="1" max="1" width="2.42578125" style="92" customWidth="1"/>
    <col min="2" max="2" width="1.5703125" style="92" customWidth="1"/>
    <col min="3" max="3" width="13.42578125" style="27" customWidth="1"/>
    <col min="4" max="4" width="17.85546875" style="27" customWidth="1"/>
    <col min="5" max="5" width="9.7109375" style="27" customWidth="1"/>
    <col min="6" max="6" width="8.140625" style="27" customWidth="1"/>
    <col min="7" max="7" width="11.42578125" style="27" customWidth="1"/>
    <col min="8" max="8" width="13.7109375" style="27" customWidth="1"/>
    <col min="9" max="9" width="11.140625" style="27" customWidth="1"/>
    <col min="10" max="10" width="8.140625" style="27" customWidth="1"/>
    <col min="11" max="11" width="11.42578125" style="92" customWidth="1"/>
    <col min="12" max="12" width="13.7109375" style="27" customWidth="1"/>
    <col min="13" max="13" width="11.140625" style="27" customWidth="1"/>
    <col min="14" max="14" width="7.42578125" style="27" customWidth="1"/>
    <col min="15" max="15" width="8" style="27" customWidth="1"/>
    <col min="16" max="16" width="6.85546875" style="27" customWidth="1"/>
    <col min="17" max="17" width="6.85546875" style="28" customWidth="1"/>
    <col min="18" max="19" width="6.85546875" style="92" customWidth="1"/>
    <col min="20" max="20" width="1.28515625" style="92" customWidth="1"/>
    <col min="21" max="21" width="5" style="92" customWidth="1"/>
    <col min="22" max="22" width="7.7109375" style="92" hidden="1" customWidth="1"/>
    <col min="23" max="23" width="7.5703125" style="92" hidden="1" customWidth="1"/>
    <col min="24" max="24" width="4.28515625" style="92" hidden="1" customWidth="1"/>
    <col min="25" max="25" width="7.140625" style="92" hidden="1" customWidth="1"/>
    <col min="26" max="27" width="10.140625" style="92" hidden="1" customWidth="1"/>
    <col min="28" max="28" width="9.5703125" style="92" hidden="1" customWidth="1"/>
    <col min="29" max="29" width="9.28515625" style="92" hidden="1" customWidth="1"/>
    <col min="30" max="30" width="9.85546875" style="92" hidden="1" customWidth="1"/>
    <col min="31" max="31" width="10.28515625" style="92" hidden="1" customWidth="1"/>
    <col min="32" max="32" width="8.85546875" style="27" hidden="1" customWidth="1"/>
    <col min="33" max="33" width="12.28515625" style="27" customWidth="1"/>
    <col min="34" max="34" width="23.5703125" style="27" customWidth="1"/>
    <col min="35" max="259" width="11.42578125" style="27"/>
    <col min="260" max="260" width="5.28515625" style="27" customWidth="1"/>
    <col min="261" max="261" width="15.28515625" style="27" customWidth="1"/>
    <col min="262" max="262" width="14.42578125" style="27" bestFit="1" customWidth="1"/>
    <col min="263" max="263" width="10.42578125" style="27" bestFit="1" customWidth="1"/>
    <col min="264" max="264" width="12.28515625" style="27" customWidth="1"/>
    <col min="265" max="269" width="11.42578125" style="27" customWidth="1"/>
    <col min="270" max="271" width="10.5703125" style="27" bestFit="1" customWidth="1"/>
    <col min="272" max="273" width="11.42578125" style="27" customWidth="1"/>
    <col min="274" max="274" width="6.140625" style="27" customWidth="1"/>
    <col min="275" max="285" width="11.42578125" style="27" customWidth="1"/>
    <col min="286" max="515" width="11.42578125" style="27"/>
    <col min="516" max="516" width="5.28515625" style="27" customWidth="1"/>
    <col min="517" max="517" width="15.28515625" style="27" customWidth="1"/>
    <col min="518" max="518" width="14.42578125" style="27" bestFit="1" customWidth="1"/>
    <col min="519" max="519" width="10.42578125" style="27" bestFit="1" customWidth="1"/>
    <col min="520" max="520" width="12.28515625" style="27" customWidth="1"/>
    <col min="521" max="525" width="11.42578125" style="27" customWidth="1"/>
    <col min="526" max="527" width="10.5703125" style="27" bestFit="1" customWidth="1"/>
    <col min="528" max="529" width="11.42578125" style="27" customWidth="1"/>
    <col min="530" max="530" width="6.140625" style="27" customWidth="1"/>
    <col min="531" max="541" width="11.42578125" style="27" customWidth="1"/>
    <col min="542" max="771" width="11.42578125" style="27"/>
    <col min="772" max="772" width="5.28515625" style="27" customWidth="1"/>
    <col min="773" max="773" width="15.28515625" style="27" customWidth="1"/>
    <col min="774" max="774" width="14.42578125" style="27" bestFit="1" customWidth="1"/>
    <col min="775" max="775" width="10.42578125" style="27" bestFit="1" customWidth="1"/>
    <col min="776" max="776" width="12.28515625" style="27" customWidth="1"/>
    <col min="777" max="781" width="11.42578125" style="27" customWidth="1"/>
    <col min="782" max="783" width="10.5703125" style="27" bestFit="1" customWidth="1"/>
    <col min="784" max="785" width="11.42578125" style="27" customWidth="1"/>
    <col min="786" max="786" width="6.140625" style="27" customWidth="1"/>
    <col min="787" max="797" width="11.42578125" style="27" customWidth="1"/>
    <col min="798" max="1027" width="11.42578125" style="27"/>
    <col min="1028" max="1028" width="5.28515625" style="27" customWidth="1"/>
    <col min="1029" max="1029" width="15.28515625" style="27" customWidth="1"/>
    <col min="1030" max="1030" width="14.42578125" style="27" bestFit="1" customWidth="1"/>
    <col min="1031" max="1031" width="10.42578125" style="27" bestFit="1" customWidth="1"/>
    <col min="1032" max="1032" width="12.28515625" style="27" customWidth="1"/>
    <col min="1033" max="1037" width="11.42578125" style="27" customWidth="1"/>
    <col min="1038" max="1039" width="10.5703125" style="27" bestFit="1" customWidth="1"/>
    <col min="1040" max="1041" width="11.42578125" style="27" customWidth="1"/>
    <col min="1042" max="1042" width="6.140625" style="27" customWidth="1"/>
    <col min="1043" max="1053" width="11.42578125" style="27" customWidth="1"/>
    <col min="1054" max="1283" width="11.42578125" style="27"/>
    <col min="1284" max="1284" width="5.28515625" style="27" customWidth="1"/>
    <col min="1285" max="1285" width="15.28515625" style="27" customWidth="1"/>
    <col min="1286" max="1286" width="14.42578125" style="27" bestFit="1" customWidth="1"/>
    <col min="1287" max="1287" width="10.42578125" style="27" bestFit="1" customWidth="1"/>
    <col min="1288" max="1288" width="12.28515625" style="27" customWidth="1"/>
    <col min="1289" max="1293" width="11.42578125" style="27" customWidth="1"/>
    <col min="1294" max="1295" width="10.5703125" style="27" bestFit="1" customWidth="1"/>
    <col min="1296" max="1297" width="11.42578125" style="27" customWidth="1"/>
    <col min="1298" max="1298" width="6.140625" style="27" customWidth="1"/>
    <col min="1299" max="1309" width="11.42578125" style="27" customWidth="1"/>
    <col min="1310" max="1539" width="11.42578125" style="27"/>
    <col min="1540" max="1540" width="5.28515625" style="27" customWidth="1"/>
    <col min="1541" max="1541" width="15.28515625" style="27" customWidth="1"/>
    <col min="1542" max="1542" width="14.42578125" style="27" bestFit="1" customWidth="1"/>
    <col min="1543" max="1543" width="10.42578125" style="27" bestFit="1" customWidth="1"/>
    <col min="1544" max="1544" width="12.28515625" style="27" customWidth="1"/>
    <col min="1545" max="1549" width="11.42578125" style="27" customWidth="1"/>
    <col min="1550" max="1551" width="10.5703125" style="27" bestFit="1" customWidth="1"/>
    <col min="1552" max="1553" width="11.42578125" style="27" customWidth="1"/>
    <col min="1554" max="1554" width="6.140625" style="27" customWidth="1"/>
    <col min="1555" max="1565" width="11.42578125" style="27" customWidth="1"/>
    <col min="1566" max="1795" width="11.42578125" style="27"/>
    <col min="1796" max="1796" width="5.28515625" style="27" customWidth="1"/>
    <col min="1797" max="1797" width="15.28515625" style="27" customWidth="1"/>
    <col min="1798" max="1798" width="14.42578125" style="27" bestFit="1" customWidth="1"/>
    <col min="1799" max="1799" width="10.42578125" style="27" bestFit="1" customWidth="1"/>
    <col min="1800" max="1800" width="12.28515625" style="27" customWidth="1"/>
    <col min="1801" max="1805" width="11.42578125" style="27" customWidth="1"/>
    <col min="1806" max="1807" width="10.5703125" style="27" bestFit="1" customWidth="1"/>
    <col min="1808" max="1809" width="11.42578125" style="27" customWidth="1"/>
    <col min="1810" max="1810" width="6.140625" style="27" customWidth="1"/>
    <col min="1811" max="1821" width="11.42578125" style="27" customWidth="1"/>
    <col min="1822" max="2051" width="11.42578125" style="27"/>
    <col min="2052" max="2052" width="5.28515625" style="27" customWidth="1"/>
    <col min="2053" max="2053" width="15.28515625" style="27" customWidth="1"/>
    <col min="2054" max="2054" width="14.42578125" style="27" bestFit="1" customWidth="1"/>
    <col min="2055" max="2055" width="10.42578125" style="27" bestFit="1" customWidth="1"/>
    <col min="2056" max="2056" width="12.28515625" style="27" customWidth="1"/>
    <col min="2057" max="2061" width="11.42578125" style="27" customWidth="1"/>
    <col min="2062" max="2063" width="10.5703125" style="27" bestFit="1" customWidth="1"/>
    <col min="2064" max="2065" width="11.42578125" style="27" customWidth="1"/>
    <col min="2066" max="2066" width="6.140625" style="27" customWidth="1"/>
    <col min="2067" max="2077" width="11.42578125" style="27" customWidth="1"/>
    <col min="2078" max="2307" width="11.42578125" style="27"/>
    <col min="2308" max="2308" width="5.28515625" style="27" customWidth="1"/>
    <col min="2309" max="2309" width="15.28515625" style="27" customWidth="1"/>
    <col min="2310" max="2310" width="14.42578125" style="27" bestFit="1" customWidth="1"/>
    <col min="2311" max="2311" width="10.42578125" style="27" bestFit="1" customWidth="1"/>
    <col min="2312" max="2312" width="12.28515625" style="27" customWidth="1"/>
    <col min="2313" max="2317" width="11.42578125" style="27" customWidth="1"/>
    <col min="2318" max="2319" width="10.5703125" style="27" bestFit="1" customWidth="1"/>
    <col min="2320" max="2321" width="11.42578125" style="27" customWidth="1"/>
    <col min="2322" max="2322" width="6.140625" style="27" customWidth="1"/>
    <col min="2323" max="2333" width="11.42578125" style="27" customWidth="1"/>
    <col min="2334" max="2563" width="11.42578125" style="27"/>
    <col min="2564" max="2564" width="5.28515625" style="27" customWidth="1"/>
    <col min="2565" max="2565" width="15.28515625" style="27" customWidth="1"/>
    <col min="2566" max="2566" width="14.42578125" style="27" bestFit="1" customWidth="1"/>
    <col min="2567" max="2567" width="10.42578125" style="27" bestFit="1" customWidth="1"/>
    <col min="2568" max="2568" width="12.28515625" style="27" customWidth="1"/>
    <col min="2569" max="2573" width="11.42578125" style="27" customWidth="1"/>
    <col min="2574" max="2575" width="10.5703125" style="27" bestFit="1" customWidth="1"/>
    <col min="2576" max="2577" width="11.42578125" style="27" customWidth="1"/>
    <col min="2578" max="2578" width="6.140625" style="27" customWidth="1"/>
    <col min="2579" max="2589" width="11.42578125" style="27" customWidth="1"/>
    <col min="2590" max="2819" width="11.42578125" style="27"/>
    <col min="2820" max="2820" width="5.28515625" style="27" customWidth="1"/>
    <col min="2821" max="2821" width="15.28515625" style="27" customWidth="1"/>
    <col min="2822" max="2822" width="14.42578125" style="27" bestFit="1" customWidth="1"/>
    <col min="2823" max="2823" width="10.42578125" style="27" bestFit="1" customWidth="1"/>
    <col min="2824" max="2824" width="12.28515625" style="27" customWidth="1"/>
    <col min="2825" max="2829" width="11.42578125" style="27" customWidth="1"/>
    <col min="2830" max="2831" width="10.5703125" style="27" bestFit="1" customWidth="1"/>
    <col min="2832" max="2833" width="11.42578125" style="27" customWidth="1"/>
    <col min="2834" max="2834" width="6.140625" style="27" customWidth="1"/>
    <col min="2835" max="2845" width="11.42578125" style="27" customWidth="1"/>
    <col min="2846" max="3075" width="11.42578125" style="27"/>
    <col min="3076" max="3076" width="5.28515625" style="27" customWidth="1"/>
    <col min="3077" max="3077" width="15.28515625" style="27" customWidth="1"/>
    <col min="3078" max="3078" width="14.42578125" style="27" bestFit="1" customWidth="1"/>
    <col min="3079" max="3079" width="10.42578125" style="27" bestFit="1" customWidth="1"/>
    <col min="3080" max="3080" width="12.28515625" style="27" customWidth="1"/>
    <col min="3081" max="3085" width="11.42578125" style="27" customWidth="1"/>
    <col min="3086" max="3087" width="10.5703125" style="27" bestFit="1" customWidth="1"/>
    <col min="3088" max="3089" width="11.42578125" style="27" customWidth="1"/>
    <col min="3090" max="3090" width="6.140625" style="27" customWidth="1"/>
    <col min="3091" max="3101" width="11.42578125" style="27" customWidth="1"/>
    <col min="3102" max="3331" width="11.42578125" style="27"/>
    <col min="3332" max="3332" width="5.28515625" style="27" customWidth="1"/>
    <col min="3333" max="3333" width="15.28515625" style="27" customWidth="1"/>
    <col min="3334" max="3334" width="14.42578125" style="27" bestFit="1" customWidth="1"/>
    <col min="3335" max="3335" width="10.42578125" style="27" bestFit="1" customWidth="1"/>
    <col min="3336" max="3336" width="12.28515625" style="27" customWidth="1"/>
    <col min="3337" max="3341" width="11.42578125" style="27" customWidth="1"/>
    <col min="3342" max="3343" width="10.5703125" style="27" bestFit="1" customWidth="1"/>
    <col min="3344" max="3345" width="11.42578125" style="27" customWidth="1"/>
    <col min="3346" max="3346" width="6.140625" style="27" customWidth="1"/>
    <col min="3347" max="3357" width="11.42578125" style="27" customWidth="1"/>
    <col min="3358" max="3587" width="11.42578125" style="27"/>
    <col min="3588" max="3588" width="5.28515625" style="27" customWidth="1"/>
    <col min="3589" max="3589" width="15.28515625" style="27" customWidth="1"/>
    <col min="3590" max="3590" width="14.42578125" style="27" bestFit="1" customWidth="1"/>
    <col min="3591" max="3591" width="10.42578125" style="27" bestFit="1" customWidth="1"/>
    <col min="3592" max="3592" width="12.28515625" style="27" customWidth="1"/>
    <col min="3593" max="3597" width="11.42578125" style="27" customWidth="1"/>
    <col min="3598" max="3599" width="10.5703125" style="27" bestFit="1" customWidth="1"/>
    <col min="3600" max="3601" width="11.42578125" style="27" customWidth="1"/>
    <col min="3602" max="3602" width="6.140625" style="27" customWidth="1"/>
    <col min="3603" max="3613" width="11.42578125" style="27" customWidth="1"/>
    <col min="3614" max="3843" width="11.42578125" style="27"/>
    <col min="3844" max="3844" width="5.28515625" style="27" customWidth="1"/>
    <col min="3845" max="3845" width="15.28515625" style="27" customWidth="1"/>
    <col min="3846" max="3846" width="14.42578125" style="27" bestFit="1" customWidth="1"/>
    <col min="3847" max="3847" width="10.42578125" style="27" bestFit="1" customWidth="1"/>
    <col min="3848" max="3848" width="12.28515625" style="27" customWidth="1"/>
    <col min="3849" max="3853" width="11.42578125" style="27" customWidth="1"/>
    <col min="3854" max="3855" width="10.5703125" style="27" bestFit="1" customWidth="1"/>
    <col min="3856" max="3857" width="11.42578125" style="27" customWidth="1"/>
    <col min="3858" max="3858" width="6.140625" style="27" customWidth="1"/>
    <col min="3859" max="3869" width="11.42578125" style="27" customWidth="1"/>
    <col min="3870" max="4099" width="11.42578125" style="27"/>
    <col min="4100" max="4100" width="5.28515625" style="27" customWidth="1"/>
    <col min="4101" max="4101" width="15.28515625" style="27" customWidth="1"/>
    <col min="4102" max="4102" width="14.42578125" style="27" bestFit="1" customWidth="1"/>
    <col min="4103" max="4103" width="10.42578125" style="27" bestFit="1" customWidth="1"/>
    <col min="4104" max="4104" width="12.28515625" style="27" customWidth="1"/>
    <col min="4105" max="4109" width="11.42578125" style="27" customWidth="1"/>
    <col min="4110" max="4111" width="10.5703125" style="27" bestFit="1" customWidth="1"/>
    <col min="4112" max="4113" width="11.42578125" style="27" customWidth="1"/>
    <col min="4114" max="4114" width="6.140625" style="27" customWidth="1"/>
    <col min="4115" max="4125" width="11.42578125" style="27" customWidth="1"/>
    <col min="4126" max="4355" width="11.42578125" style="27"/>
    <col min="4356" max="4356" width="5.28515625" style="27" customWidth="1"/>
    <col min="4357" max="4357" width="15.28515625" style="27" customWidth="1"/>
    <col min="4358" max="4358" width="14.42578125" style="27" bestFit="1" customWidth="1"/>
    <col min="4359" max="4359" width="10.42578125" style="27" bestFit="1" customWidth="1"/>
    <col min="4360" max="4360" width="12.28515625" style="27" customWidth="1"/>
    <col min="4361" max="4365" width="11.42578125" style="27" customWidth="1"/>
    <col min="4366" max="4367" width="10.5703125" style="27" bestFit="1" customWidth="1"/>
    <col min="4368" max="4369" width="11.42578125" style="27" customWidth="1"/>
    <col min="4370" max="4370" width="6.140625" style="27" customWidth="1"/>
    <col min="4371" max="4381" width="11.42578125" style="27" customWidth="1"/>
    <col min="4382" max="4611" width="11.42578125" style="27"/>
    <col min="4612" max="4612" width="5.28515625" style="27" customWidth="1"/>
    <col min="4613" max="4613" width="15.28515625" style="27" customWidth="1"/>
    <col min="4614" max="4614" width="14.42578125" style="27" bestFit="1" customWidth="1"/>
    <col min="4615" max="4615" width="10.42578125" style="27" bestFit="1" customWidth="1"/>
    <col min="4616" max="4616" width="12.28515625" style="27" customWidth="1"/>
    <col min="4617" max="4621" width="11.42578125" style="27" customWidth="1"/>
    <col min="4622" max="4623" width="10.5703125" style="27" bestFit="1" customWidth="1"/>
    <col min="4624" max="4625" width="11.42578125" style="27" customWidth="1"/>
    <col min="4626" max="4626" width="6.140625" style="27" customWidth="1"/>
    <col min="4627" max="4637" width="11.42578125" style="27" customWidth="1"/>
    <col min="4638" max="4867" width="11.42578125" style="27"/>
    <col min="4868" max="4868" width="5.28515625" style="27" customWidth="1"/>
    <col min="4869" max="4869" width="15.28515625" style="27" customWidth="1"/>
    <col min="4870" max="4870" width="14.42578125" style="27" bestFit="1" customWidth="1"/>
    <col min="4871" max="4871" width="10.42578125" style="27" bestFit="1" customWidth="1"/>
    <col min="4872" max="4872" width="12.28515625" style="27" customWidth="1"/>
    <col min="4873" max="4877" width="11.42578125" style="27" customWidth="1"/>
    <col min="4878" max="4879" width="10.5703125" style="27" bestFit="1" customWidth="1"/>
    <col min="4880" max="4881" width="11.42578125" style="27" customWidth="1"/>
    <col min="4882" max="4882" width="6.140625" style="27" customWidth="1"/>
    <col min="4883" max="4893" width="11.42578125" style="27" customWidth="1"/>
    <col min="4894" max="5123" width="11.42578125" style="27"/>
    <col min="5124" max="5124" width="5.28515625" style="27" customWidth="1"/>
    <col min="5125" max="5125" width="15.28515625" style="27" customWidth="1"/>
    <col min="5126" max="5126" width="14.42578125" style="27" bestFit="1" customWidth="1"/>
    <col min="5127" max="5127" width="10.42578125" style="27" bestFit="1" customWidth="1"/>
    <col min="5128" max="5128" width="12.28515625" style="27" customWidth="1"/>
    <col min="5129" max="5133" width="11.42578125" style="27" customWidth="1"/>
    <col min="5134" max="5135" width="10.5703125" style="27" bestFit="1" customWidth="1"/>
    <col min="5136" max="5137" width="11.42578125" style="27" customWidth="1"/>
    <col min="5138" max="5138" width="6.140625" style="27" customWidth="1"/>
    <col min="5139" max="5149" width="11.42578125" style="27" customWidth="1"/>
    <col min="5150" max="5379" width="11.42578125" style="27"/>
    <col min="5380" max="5380" width="5.28515625" style="27" customWidth="1"/>
    <col min="5381" max="5381" width="15.28515625" style="27" customWidth="1"/>
    <col min="5382" max="5382" width="14.42578125" style="27" bestFit="1" customWidth="1"/>
    <col min="5383" max="5383" width="10.42578125" style="27" bestFit="1" customWidth="1"/>
    <col min="5384" max="5384" width="12.28515625" style="27" customWidth="1"/>
    <col min="5385" max="5389" width="11.42578125" style="27" customWidth="1"/>
    <col min="5390" max="5391" width="10.5703125" style="27" bestFit="1" customWidth="1"/>
    <col min="5392" max="5393" width="11.42578125" style="27" customWidth="1"/>
    <col min="5394" max="5394" width="6.140625" style="27" customWidth="1"/>
    <col min="5395" max="5405" width="11.42578125" style="27" customWidth="1"/>
    <col min="5406" max="5635" width="11.42578125" style="27"/>
    <col min="5636" max="5636" width="5.28515625" style="27" customWidth="1"/>
    <col min="5637" max="5637" width="15.28515625" style="27" customWidth="1"/>
    <col min="5638" max="5638" width="14.42578125" style="27" bestFit="1" customWidth="1"/>
    <col min="5639" max="5639" width="10.42578125" style="27" bestFit="1" customWidth="1"/>
    <col min="5640" max="5640" width="12.28515625" style="27" customWidth="1"/>
    <col min="5641" max="5645" width="11.42578125" style="27" customWidth="1"/>
    <col min="5646" max="5647" width="10.5703125" style="27" bestFit="1" customWidth="1"/>
    <col min="5648" max="5649" width="11.42578125" style="27" customWidth="1"/>
    <col min="5650" max="5650" width="6.140625" style="27" customWidth="1"/>
    <col min="5651" max="5661" width="11.42578125" style="27" customWidth="1"/>
    <col min="5662" max="5891" width="11.42578125" style="27"/>
    <col min="5892" max="5892" width="5.28515625" style="27" customWidth="1"/>
    <col min="5893" max="5893" width="15.28515625" style="27" customWidth="1"/>
    <col min="5894" max="5894" width="14.42578125" style="27" bestFit="1" customWidth="1"/>
    <col min="5895" max="5895" width="10.42578125" style="27" bestFit="1" customWidth="1"/>
    <col min="5896" max="5896" width="12.28515625" style="27" customWidth="1"/>
    <col min="5897" max="5901" width="11.42578125" style="27" customWidth="1"/>
    <col min="5902" max="5903" width="10.5703125" style="27" bestFit="1" customWidth="1"/>
    <col min="5904" max="5905" width="11.42578125" style="27" customWidth="1"/>
    <col min="5906" max="5906" width="6.140625" style="27" customWidth="1"/>
    <col min="5907" max="5917" width="11.42578125" style="27" customWidth="1"/>
    <col min="5918" max="6147" width="11.42578125" style="27"/>
    <col min="6148" max="6148" width="5.28515625" style="27" customWidth="1"/>
    <col min="6149" max="6149" width="15.28515625" style="27" customWidth="1"/>
    <col min="6150" max="6150" width="14.42578125" style="27" bestFit="1" customWidth="1"/>
    <col min="6151" max="6151" width="10.42578125" style="27" bestFit="1" customWidth="1"/>
    <col min="6152" max="6152" width="12.28515625" style="27" customWidth="1"/>
    <col min="6153" max="6157" width="11.42578125" style="27" customWidth="1"/>
    <col min="6158" max="6159" width="10.5703125" style="27" bestFit="1" customWidth="1"/>
    <col min="6160" max="6161" width="11.42578125" style="27" customWidth="1"/>
    <col min="6162" max="6162" width="6.140625" style="27" customWidth="1"/>
    <col min="6163" max="6173" width="11.42578125" style="27" customWidth="1"/>
    <col min="6174" max="6403" width="11.42578125" style="27"/>
    <col min="6404" max="6404" width="5.28515625" style="27" customWidth="1"/>
    <col min="6405" max="6405" width="15.28515625" style="27" customWidth="1"/>
    <col min="6406" max="6406" width="14.42578125" style="27" bestFit="1" customWidth="1"/>
    <col min="6407" max="6407" width="10.42578125" style="27" bestFit="1" customWidth="1"/>
    <col min="6408" max="6408" width="12.28515625" style="27" customWidth="1"/>
    <col min="6409" max="6413" width="11.42578125" style="27" customWidth="1"/>
    <col min="6414" max="6415" width="10.5703125" style="27" bestFit="1" customWidth="1"/>
    <col min="6416" max="6417" width="11.42578125" style="27" customWidth="1"/>
    <col min="6418" max="6418" width="6.140625" style="27" customWidth="1"/>
    <col min="6419" max="6429" width="11.42578125" style="27" customWidth="1"/>
    <col min="6430" max="6659" width="11.42578125" style="27"/>
    <col min="6660" max="6660" width="5.28515625" style="27" customWidth="1"/>
    <col min="6661" max="6661" width="15.28515625" style="27" customWidth="1"/>
    <col min="6662" max="6662" width="14.42578125" style="27" bestFit="1" customWidth="1"/>
    <col min="6663" max="6663" width="10.42578125" style="27" bestFit="1" customWidth="1"/>
    <col min="6664" max="6664" width="12.28515625" style="27" customWidth="1"/>
    <col min="6665" max="6669" width="11.42578125" style="27" customWidth="1"/>
    <col min="6670" max="6671" width="10.5703125" style="27" bestFit="1" customWidth="1"/>
    <col min="6672" max="6673" width="11.42578125" style="27" customWidth="1"/>
    <col min="6674" max="6674" width="6.140625" style="27" customWidth="1"/>
    <col min="6675" max="6685" width="11.42578125" style="27" customWidth="1"/>
    <col min="6686" max="6915" width="11.42578125" style="27"/>
    <col min="6916" max="6916" width="5.28515625" style="27" customWidth="1"/>
    <col min="6917" max="6917" width="15.28515625" style="27" customWidth="1"/>
    <col min="6918" max="6918" width="14.42578125" style="27" bestFit="1" customWidth="1"/>
    <col min="6919" max="6919" width="10.42578125" style="27" bestFit="1" customWidth="1"/>
    <col min="6920" max="6920" width="12.28515625" style="27" customWidth="1"/>
    <col min="6921" max="6925" width="11.42578125" style="27" customWidth="1"/>
    <col min="6926" max="6927" width="10.5703125" style="27" bestFit="1" customWidth="1"/>
    <col min="6928" max="6929" width="11.42578125" style="27" customWidth="1"/>
    <col min="6930" max="6930" width="6.140625" style="27" customWidth="1"/>
    <col min="6931" max="6941" width="11.42578125" style="27" customWidth="1"/>
    <col min="6942" max="7171" width="11.42578125" style="27"/>
    <col min="7172" max="7172" width="5.28515625" style="27" customWidth="1"/>
    <col min="7173" max="7173" width="15.28515625" style="27" customWidth="1"/>
    <col min="7174" max="7174" width="14.42578125" style="27" bestFit="1" customWidth="1"/>
    <col min="7175" max="7175" width="10.42578125" style="27" bestFit="1" customWidth="1"/>
    <col min="7176" max="7176" width="12.28515625" style="27" customWidth="1"/>
    <col min="7177" max="7181" width="11.42578125" style="27" customWidth="1"/>
    <col min="7182" max="7183" width="10.5703125" style="27" bestFit="1" customWidth="1"/>
    <col min="7184" max="7185" width="11.42578125" style="27" customWidth="1"/>
    <col min="7186" max="7186" width="6.140625" style="27" customWidth="1"/>
    <col min="7187" max="7197" width="11.42578125" style="27" customWidth="1"/>
    <col min="7198" max="7427" width="11.42578125" style="27"/>
    <col min="7428" max="7428" width="5.28515625" style="27" customWidth="1"/>
    <col min="7429" max="7429" width="15.28515625" style="27" customWidth="1"/>
    <col min="7430" max="7430" width="14.42578125" style="27" bestFit="1" customWidth="1"/>
    <col min="7431" max="7431" width="10.42578125" style="27" bestFit="1" customWidth="1"/>
    <col min="7432" max="7432" width="12.28515625" style="27" customWidth="1"/>
    <col min="7433" max="7437" width="11.42578125" style="27" customWidth="1"/>
    <col min="7438" max="7439" width="10.5703125" style="27" bestFit="1" customWidth="1"/>
    <col min="7440" max="7441" width="11.42578125" style="27" customWidth="1"/>
    <col min="7442" max="7442" width="6.140625" style="27" customWidth="1"/>
    <col min="7443" max="7453" width="11.42578125" style="27" customWidth="1"/>
    <col min="7454" max="7683" width="11.42578125" style="27"/>
    <col min="7684" max="7684" width="5.28515625" style="27" customWidth="1"/>
    <col min="7685" max="7685" width="15.28515625" style="27" customWidth="1"/>
    <col min="7686" max="7686" width="14.42578125" style="27" bestFit="1" customWidth="1"/>
    <col min="7687" max="7687" width="10.42578125" style="27" bestFit="1" customWidth="1"/>
    <col min="7688" max="7688" width="12.28515625" style="27" customWidth="1"/>
    <col min="7689" max="7693" width="11.42578125" style="27" customWidth="1"/>
    <col min="7694" max="7695" width="10.5703125" style="27" bestFit="1" customWidth="1"/>
    <col min="7696" max="7697" width="11.42578125" style="27" customWidth="1"/>
    <col min="7698" max="7698" width="6.140625" style="27" customWidth="1"/>
    <col min="7699" max="7709" width="11.42578125" style="27" customWidth="1"/>
    <col min="7710" max="7939" width="11.42578125" style="27"/>
    <col min="7940" max="7940" width="5.28515625" style="27" customWidth="1"/>
    <col min="7941" max="7941" width="15.28515625" style="27" customWidth="1"/>
    <col min="7942" max="7942" width="14.42578125" style="27" bestFit="1" customWidth="1"/>
    <col min="7943" max="7943" width="10.42578125" style="27" bestFit="1" customWidth="1"/>
    <col min="7944" max="7944" width="12.28515625" style="27" customWidth="1"/>
    <col min="7945" max="7949" width="11.42578125" style="27" customWidth="1"/>
    <col min="7950" max="7951" width="10.5703125" style="27" bestFit="1" customWidth="1"/>
    <col min="7952" max="7953" width="11.42578125" style="27" customWidth="1"/>
    <col min="7954" max="7954" width="6.140625" style="27" customWidth="1"/>
    <col min="7955" max="7965" width="11.42578125" style="27" customWidth="1"/>
    <col min="7966" max="8195" width="11.42578125" style="27"/>
    <col min="8196" max="8196" width="5.28515625" style="27" customWidth="1"/>
    <col min="8197" max="8197" width="15.28515625" style="27" customWidth="1"/>
    <col min="8198" max="8198" width="14.42578125" style="27" bestFit="1" customWidth="1"/>
    <col min="8199" max="8199" width="10.42578125" style="27" bestFit="1" customWidth="1"/>
    <col min="8200" max="8200" width="12.28515625" style="27" customWidth="1"/>
    <col min="8201" max="8205" width="11.42578125" style="27" customWidth="1"/>
    <col min="8206" max="8207" width="10.5703125" style="27" bestFit="1" customWidth="1"/>
    <col min="8208" max="8209" width="11.42578125" style="27" customWidth="1"/>
    <col min="8210" max="8210" width="6.140625" style="27" customWidth="1"/>
    <col min="8211" max="8221" width="11.42578125" style="27" customWidth="1"/>
    <col min="8222" max="8451" width="11.42578125" style="27"/>
    <col min="8452" max="8452" width="5.28515625" style="27" customWidth="1"/>
    <col min="8453" max="8453" width="15.28515625" style="27" customWidth="1"/>
    <col min="8454" max="8454" width="14.42578125" style="27" bestFit="1" customWidth="1"/>
    <col min="8455" max="8455" width="10.42578125" style="27" bestFit="1" customWidth="1"/>
    <col min="8456" max="8456" width="12.28515625" style="27" customWidth="1"/>
    <col min="8457" max="8461" width="11.42578125" style="27" customWidth="1"/>
    <col min="8462" max="8463" width="10.5703125" style="27" bestFit="1" customWidth="1"/>
    <col min="8464" max="8465" width="11.42578125" style="27" customWidth="1"/>
    <col min="8466" max="8466" width="6.140625" style="27" customWidth="1"/>
    <col min="8467" max="8477" width="11.42578125" style="27" customWidth="1"/>
    <col min="8478" max="8707" width="11.42578125" style="27"/>
    <col min="8708" max="8708" width="5.28515625" style="27" customWidth="1"/>
    <col min="8709" max="8709" width="15.28515625" style="27" customWidth="1"/>
    <col min="8710" max="8710" width="14.42578125" style="27" bestFit="1" customWidth="1"/>
    <col min="8711" max="8711" width="10.42578125" style="27" bestFit="1" customWidth="1"/>
    <col min="8712" max="8712" width="12.28515625" style="27" customWidth="1"/>
    <col min="8713" max="8717" width="11.42578125" style="27" customWidth="1"/>
    <col min="8718" max="8719" width="10.5703125" style="27" bestFit="1" customWidth="1"/>
    <col min="8720" max="8721" width="11.42578125" style="27" customWidth="1"/>
    <col min="8722" max="8722" width="6.140625" style="27" customWidth="1"/>
    <col min="8723" max="8733" width="11.42578125" style="27" customWidth="1"/>
    <col min="8734" max="8963" width="11.42578125" style="27"/>
    <col min="8964" max="8964" width="5.28515625" style="27" customWidth="1"/>
    <col min="8965" max="8965" width="15.28515625" style="27" customWidth="1"/>
    <col min="8966" max="8966" width="14.42578125" style="27" bestFit="1" customWidth="1"/>
    <col min="8967" max="8967" width="10.42578125" style="27" bestFit="1" customWidth="1"/>
    <col min="8968" max="8968" width="12.28515625" style="27" customWidth="1"/>
    <col min="8969" max="8973" width="11.42578125" style="27" customWidth="1"/>
    <col min="8974" max="8975" width="10.5703125" style="27" bestFit="1" customWidth="1"/>
    <col min="8976" max="8977" width="11.42578125" style="27" customWidth="1"/>
    <col min="8978" max="8978" width="6.140625" style="27" customWidth="1"/>
    <col min="8979" max="8989" width="11.42578125" style="27" customWidth="1"/>
    <col min="8990" max="9219" width="11.42578125" style="27"/>
    <col min="9220" max="9220" width="5.28515625" style="27" customWidth="1"/>
    <col min="9221" max="9221" width="15.28515625" style="27" customWidth="1"/>
    <col min="9222" max="9222" width="14.42578125" style="27" bestFit="1" customWidth="1"/>
    <col min="9223" max="9223" width="10.42578125" style="27" bestFit="1" customWidth="1"/>
    <col min="9224" max="9224" width="12.28515625" style="27" customWidth="1"/>
    <col min="9225" max="9229" width="11.42578125" style="27" customWidth="1"/>
    <col min="9230" max="9231" width="10.5703125" style="27" bestFit="1" customWidth="1"/>
    <col min="9232" max="9233" width="11.42578125" style="27" customWidth="1"/>
    <col min="9234" max="9234" width="6.140625" style="27" customWidth="1"/>
    <col min="9235" max="9245" width="11.42578125" style="27" customWidth="1"/>
    <col min="9246" max="9475" width="11.42578125" style="27"/>
    <col min="9476" max="9476" width="5.28515625" style="27" customWidth="1"/>
    <col min="9477" max="9477" width="15.28515625" style="27" customWidth="1"/>
    <col min="9478" max="9478" width="14.42578125" style="27" bestFit="1" customWidth="1"/>
    <col min="9479" max="9479" width="10.42578125" style="27" bestFit="1" customWidth="1"/>
    <col min="9480" max="9480" width="12.28515625" style="27" customWidth="1"/>
    <col min="9481" max="9485" width="11.42578125" style="27" customWidth="1"/>
    <col min="9486" max="9487" width="10.5703125" style="27" bestFit="1" customWidth="1"/>
    <col min="9488" max="9489" width="11.42578125" style="27" customWidth="1"/>
    <col min="9490" max="9490" width="6.140625" style="27" customWidth="1"/>
    <col min="9491" max="9501" width="11.42578125" style="27" customWidth="1"/>
    <col min="9502" max="9731" width="11.42578125" style="27"/>
    <col min="9732" max="9732" width="5.28515625" style="27" customWidth="1"/>
    <col min="9733" max="9733" width="15.28515625" style="27" customWidth="1"/>
    <col min="9734" max="9734" width="14.42578125" style="27" bestFit="1" customWidth="1"/>
    <col min="9735" max="9735" width="10.42578125" style="27" bestFit="1" customWidth="1"/>
    <col min="9736" max="9736" width="12.28515625" style="27" customWidth="1"/>
    <col min="9737" max="9741" width="11.42578125" style="27" customWidth="1"/>
    <col min="9742" max="9743" width="10.5703125" style="27" bestFit="1" customWidth="1"/>
    <col min="9744" max="9745" width="11.42578125" style="27" customWidth="1"/>
    <col min="9746" max="9746" width="6.140625" style="27" customWidth="1"/>
    <col min="9747" max="9757" width="11.42578125" style="27" customWidth="1"/>
    <col min="9758" max="9987" width="11.42578125" style="27"/>
    <col min="9988" max="9988" width="5.28515625" style="27" customWidth="1"/>
    <col min="9989" max="9989" width="15.28515625" style="27" customWidth="1"/>
    <col min="9990" max="9990" width="14.42578125" style="27" bestFit="1" customWidth="1"/>
    <col min="9991" max="9991" width="10.42578125" style="27" bestFit="1" customWidth="1"/>
    <col min="9992" max="9992" width="12.28515625" style="27" customWidth="1"/>
    <col min="9993" max="9997" width="11.42578125" style="27" customWidth="1"/>
    <col min="9998" max="9999" width="10.5703125" style="27" bestFit="1" customWidth="1"/>
    <col min="10000" max="10001" width="11.42578125" style="27" customWidth="1"/>
    <col min="10002" max="10002" width="6.140625" style="27" customWidth="1"/>
    <col min="10003" max="10013" width="11.42578125" style="27" customWidth="1"/>
    <col min="10014" max="10243" width="11.42578125" style="27"/>
    <col min="10244" max="10244" width="5.28515625" style="27" customWidth="1"/>
    <col min="10245" max="10245" width="15.28515625" style="27" customWidth="1"/>
    <col min="10246" max="10246" width="14.42578125" style="27" bestFit="1" customWidth="1"/>
    <col min="10247" max="10247" width="10.42578125" style="27" bestFit="1" customWidth="1"/>
    <col min="10248" max="10248" width="12.28515625" style="27" customWidth="1"/>
    <col min="10249" max="10253" width="11.42578125" style="27" customWidth="1"/>
    <col min="10254" max="10255" width="10.5703125" style="27" bestFit="1" customWidth="1"/>
    <col min="10256" max="10257" width="11.42578125" style="27" customWidth="1"/>
    <col min="10258" max="10258" width="6.140625" style="27" customWidth="1"/>
    <col min="10259" max="10269" width="11.42578125" style="27" customWidth="1"/>
    <col min="10270" max="10499" width="11.42578125" style="27"/>
    <col min="10500" max="10500" width="5.28515625" style="27" customWidth="1"/>
    <col min="10501" max="10501" width="15.28515625" style="27" customWidth="1"/>
    <col min="10502" max="10502" width="14.42578125" style="27" bestFit="1" customWidth="1"/>
    <col min="10503" max="10503" width="10.42578125" style="27" bestFit="1" customWidth="1"/>
    <col min="10504" max="10504" width="12.28515625" style="27" customWidth="1"/>
    <col min="10505" max="10509" width="11.42578125" style="27" customWidth="1"/>
    <col min="10510" max="10511" width="10.5703125" style="27" bestFit="1" customWidth="1"/>
    <col min="10512" max="10513" width="11.42578125" style="27" customWidth="1"/>
    <col min="10514" max="10514" width="6.140625" style="27" customWidth="1"/>
    <col min="10515" max="10525" width="11.42578125" style="27" customWidth="1"/>
    <col min="10526" max="10755" width="11.42578125" style="27"/>
    <col min="10756" max="10756" width="5.28515625" style="27" customWidth="1"/>
    <col min="10757" max="10757" width="15.28515625" style="27" customWidth="1"/>
    <col min="10758" max="10758" width="14.42578125" style="27" bestFit="1" customWidth="1"/>
    <col min="10759" max="10759" width="10.42578125" style="27" bestFit="1" customWidth="1"/>
    <col min="10760" max="10760" width="12.28515625" style="27" customWidth="1"/>
    <col min="10761" max="10765" width="11.42578125" style="27" customWidth="1"/>
    <col min="10766" max="10767" width="10.5703125" style="27" bestFit="1" customWidth="1"/>
    <col min="10768" max="10769" width="11.42578125" style="27" customWidth="1"/>
    <col min="10770" max="10770" width="6.140625" style="27" customWidth="1"/>
    <col min="10771" max="10781" width="11.42578125" style="27" customWidth="1"/>
    <col min="10782" max="11011" width="11.42578125" style="27"/>
    <col min="11012" max="11012" width="5.28515625" style="27" customWidth="1"/>
    <col min="11013" max="11013" width="15.28515625" style="27" customWidth="1"/>
    <col min="11014" max="11014" width="14.42578125" style="27" bestFit="1" customWidth="1"/>
    <col min="11015" max="11015" width="10.42578125" style="27" bestFit="1" customWidth="1"/>
    <col min="11016" max="11016" width="12.28515625" style="27" customWidth="1"/>
    <col min="11017" max="11021" width="11.42578125" style="27" customWidth="1"/>
    <col min="11022" max="11023" width="10.5703125" style="27" bestFit="1" customWidth="1"/>
    <col min="11024" max="11025" width="11.42578125" style="27" customWidth="1"/>
    <col min="11026" max="11026" width="6.140625" style="27" customWidth="1"/>
    <col min="11027" max="11037" width="11.42578125" style="27" customWidth="1"/>
    <col min="11038" max="11267" width="11.42578125" style="27"/>
    <col min="11268" max="11268" width="5.28515625" style="27" customWidth="1"/>
    <col min="11269" max="11269" width="15.28515625" style="27" customWidth="1"/>
    <col min="11270" max="11270" width="14.42578125" style="27" bestFit="1" customWidth="1"/>
    <col min="11271" max="11271" width="10.42578125" style="27" bestFit="1" customWidth="1"/>
    <col min="11272" max="11272" width="12.28515625" style="27" customWidth="1"/>
    <col min="11273" max="11277" width="11.42578125" style="27" customWidth="1"/>
    <col min="11278" max="11279" width="10.5703125" style="27" bestFit="1" customWidth="1"/>
    <col min="11280" max="11281" width="11.42578125" style="27" customWidth="1"/>
    <col min="11282" max="11282" width="6.140625" style="27" customWidth="1"/>
    <col min="11283" max="11293" width="11.42578125" style="27" customWidth="1"/>
    <col min="11294" max="11523" width="11.42578125" style="27"/>
    <col min="11524" max="11524" width="5.28515625" style="27" customWidth="1"/>
    <col min="11525" max="11525" width="15.28515625" style="27" customWidth="1"/>
    <col min="11526" max="11526" width="14.42578125" style="27" bestFit="1" customWidth="1"/>
    <col min="11527" max="11527" width="10.42578125" style="27" bestFit="1" customWidth="1"/>
    <col min="11528" max="11528" width="12.28515625" style="27" customWidth="1"/>
    <col min="11529" max="11533" width="11.42578125" style="27" customWidth="1"/>
    <col min="11534" max="11535" width="10.5703125" style="27" bestFit="1" customWidth="1"/>
    <col min="11536" max="11537" width="11.42578125" style="27" customWidth="1"/>
    <col min="11538" max="11538" width="6.140625" style="27" customWidth="1"/>
    <col min="11539" max="11549" width="11.42578125" style="27" customWidth="1"/>
    <col min="11550" max="11779" width="11.42578125" style="27"/>
    <col min="11780" max="11780" width="5.28515625" style="27" customWidth="1"/>
    <col min="11781" max="11781" width="15.28515625" style="27" customWidth="1"/>
    <col min="11782" max="11782" width="14.42578125" style="27" bestFit="1" customWidth="1"/>
    <col min="11783" max="11783" width="10.42578125" style="27" bestFit="1" customWidth="1"/>
    <col min="11784" max="11784" width="12.28515625" style="27" customWidth="1"/>
    <col min="11785" max="11789" width="11.42578125" style="27" customWidth="1"/>
    <col min="11790" max="11791" width="10.5703125" style="27" bestFit="1" customWidth="1"/>
    <col min="11792" max="11793" width="11.42578125" style="27" customWidth="1"/>
    <col min="11794" max="11794" width="6.140625" style="27" customWidth="1"/>
    <col min="11795" max="11805" width="11.42578125" style="27" customWidth="1"/>
    <col min="11806" max="12035" width="11.42578125" style="27"/>
    <col min="12036" max="12036" width="5.28515625" style="27" customWidth="1"/>
    <col min="12037" max="12037" width="15.28515625" style="27" customWidth="1"/>
    <col min="12038" max="12038" width="14.42578125" style="27" bestFit="1" customWidth="1"/>
    <col min="12039" max="12039" width="10.42578125" style="27" bestFit="1" customWidth="1"/>
    <col min="12040" max="12040" width="12.28515625" style="27" customWidth="1"/>
    <col min="12041" max="12045" width="11.42578125" style="27" customWidth="1"/>
    <col min="12046" max="12047" width="10.5703125" style="27" bestFit="1" customWidth="1"/>
    <col min="12048" max="12049" width="11.42578125" style="27" customWidth="1"/>
    <col min="12050" max="12050" width="6.140625" style="27" customWidth="1"/>
    <col min="12051" max="12061" width="11.42578125" style="27" customWidth="1"/>
    <col min="12062" max="12291" width="11.42578125" style="27"/>
    <col min="12292" max="12292" width="5.28515625" style="27" customWidth="1"/>
    <col min="12293" max="12293" width="15.28515625" style="27" customWidth="1"/>
    <col min="12294" max="12294" width="14.42578125" style="27" bestFit="1" customWidth="1"/>
    <col min="12295" max="12295" width="10.42578125" style="27" bestFit="1" customWidth="1"/>
    <col min="12296" max="12296" width="12.28515625" style="27" customWidth="1"/>
    <col min="12297" max="12301" width="11.42578125" style="27" customWidth="1"/>
    <col min="12302" max="12303" width="10.5703125" style="27" bestFit="1" customWidth="1"/>
    <col min="12304" max="12305" width="11.42578125" style="27" customWidth="1"/>
    <col min="12306" max="12306" width="6.140625" style="27" customWidth="1"/>
    <col min="12307" max="12317" width="11.42578125" style="27" customWidth="1"/>
    <col min="12318" max="12547" width="11.42578125" style="27"/>
    <col min="12548" max="12548" width="5.28515625" style="27" customWidth="1"/>
    <col min="12549" max="12549" width="15.28515625" style="27" customWidth="1"/>
    <col min="12550" max="12550" width="14.42578125" style="27" bestFit="1" customWidth="1"/>
    <col min="12551" max="12551" width="10.42578125" style="27" bestFit="1" customWidth="1"/>
    <col min="12552" max="12552" width="12.28515625" style="27" customWidth="1"/>
    <col min="12553" max="12557" width="11.42578125" style="27" customWidth="1"/>
    <col min="12558" max="12559" width="10.5703125" style="27" bestFit="1" customWidth="1"/>
    <col min="12560" max="12561" width="11.42578125" style="27" customWidth="1"/>
    <col min="12562" max="12562" width="6.140625" style="27" customWidth="1"/>
    <col min="12563" max="12573" width="11.42578125" style="27" customWidth="1"/>
    <col min="12574" max="12803" width="11.42578125" style="27"/>
    <col min="12804" max="12804" width="5.28515625" style="27" customWidth="1"/>
    <col min="12805" max="12805" width="15.28515625" style="27" customWidth="1"/>
    <col min="12806" max="12806" width="14.42578125" style="27" bestFit="1" customWidth="1"/>
    <col min="12807" max="12807" width="10.42578125" style="27" bestFit="1" customWidth="1"/>
    <col min="12808" max="12808" width="12.28515625" style="27" customWidth="1"/>
    <col min="12809" max="12813" width="11.42578125" style="27" customWidth="1"/>
    <col min="12814" max="12815" width="10.5703125" style="27" bestFit="1" customWidth="1"/>
    <col min="12816" max="12817" width="11.42578125" style="27" customWidth="1"/>
    <col min="12818" max="12818" width="6.140625" style="27" customWidth="1"/>
    <col min="12819" max="12829" width="11.42578125" style="27" customWidth="1"/>
    <col min="12830" max="13059" width="11.42578125" style="27"/>
    <col min="13060" max="13060" width="5.28515625" style="27" customWidth="1"/>
    <col min="13061" max="13061" width="15.28515625" style="27" customWidth="1"/>
    <col min="13062" max="13062" width="14.42578125" style="27" bestFit="1" customWidth="1"/>
    <col min="13063" max="13063" width="10.42578125" style="27" bestFit="1" customWidth="1"/>
    <col min="13064" max="13064" width="12.28515625" style="27" customWidth="1"/>
    <col min="13065" max="13069" width="11.42578125" style="27" customWidth="1"/>
    <col min="13070" max="13071" width="10.5703125" style="27" bestFit="1" customWidth="1"/>
    <col min="13072" max="13073" width="11.42578125" style="27" customWidth="1"/>
    <col min="13074" max="13074" width="6.140625" style="27" customWidth="1"/>
    <col min="13075" max="13085" width="11.42578125" style="27" customWidth="1"/>
    <col min="13086" max="13315" width="11.42578125" style="27"/>
    <col min="13316" max="13316" width="5.28515625" style="27" customWidth="1"/>
    <col min="13317" max="13317" width="15.28515625" style="27" customWidth="1"/>
    <col min="13318" max="13318" width="14.42578125" style="27" bestFit="1" customWidth="1"/>
    <col min="13319" max="13319" width="10.42578125" style="27" bestFit="1" customWidth="1"/>
    <col min="13320" max="13320" width="12.28515625" style="27" customWidth="1"/>
    <col min="13321" max="13325" width="11.42578125" style="27" customWidth="1"/>
    <col min="13326" max="13327" width="10.5703125" style="27" bestFit="1" customWidth="1"/>
    <col min="13328" max="13329" width="11.42578125" style="27" customWidth="1"/>
    <col min="13330" max="13330" width="6.140625" style="27" customWidth="1"/>
    <col min="13331" max="13341" width="11.42578125" style="27" customWidth="1"/>
    <col min="13342" max="13571" width="11.42578125" style="27"/>
    <col min="13572" max="13572" width="5.28515625" style="27" customWidth="1"/>
    <col min="13573" max="13573" width="15.28515625" style="27" customWidth="1"/>
    <col min="13574" max="13574" width="14.42578125" style="27" bestFit="1" customWidth="1"/>
    <col min="13575" max="13575" width="10.42578125" style="27" bestFit="1" customWidth="1"/>
    <col min="13576" max="13576" width="12.28515625" style="27" customWidth="1"/>
    <col min="13577" max="13581" width="11.42578125" style="27" customWidth="1"/>
    <col min="13582" max="13583" width="10.5703125" style="27" bestFit="1" customWidth="1"/>
    <col min="13584" max="13585" width="11.42578125" style="27" customWidth="1"/>
    <col min="13586" max="13586" width="6.140625" style="27" customWidth="1"/>
    <col min="13587" max="13597" width="11.42578125" style="27" customWidth="1"/>
    <col min="13598" max="13827" width="11.42578125" style="27"/>
    <col min="13828" max="13828" width="5.28515625" style="27" customWidth="1"/>
    <col min="13829" max="13829" width="15.28515625" style="27" customWidth="1"/>
    <col min="13830" max="13830" width="14.42578125" style="27" bestFit="1" customWidth="1"/>
    <col min="13831" max="13831" width="10.42578125" style="27" bestFit="1" customWidth="1"/>
    <col min="13832" max="13832" width="12.28515625" style="27" customWidth="1"/>
    <col min="13833" max="13837" width="11.42578125" style="27" customWidth="1"/>
    <col min="13838" max="13839" width="10.5703125" style="27" bestFit="1" customWidth="1"/>
    <col min="13840" max="13841" width="11.42578125" style="27" customWidth="1"/>
    <col min="13842" max="13842" width="6.140625" style="27" customWidth="1"/>
    <col min="13843" max="13853" width="11.42578125" style="27" customWidth="1"/>
    <col min="13854" max="14083" width="11.42578125" style="27"/>
    <col min="14084" max="14084" width="5.28515625" style="27" customWidth="1"/>
    <col min="14085" max="14085" width="15.28515625" style="27" customWidth="1"/>
    <col min="14086" max="14086" width="14.42578125" style="27" bestFit="1" customWidth="1"/>
    <col min="14087" max="14087" width="10.42578125" style="27" bestFit="1" customWidth="1"/>
    <col min="14088" max="14088" width="12.28515625" style="27" customWidth="1"/>
    <col min="14089" max="14093" width="11.42578125" style="27" customWidth="1"/>
    <col min="14094" max="14095" width="10.5703125" style="27" bestFit="1" customWidth="1"/>
    <col min="14096" max="14097" width="11.42578125" style="27" customWidth="1"/>
    <col min="14098" max="14098" width="6.140625" style="27" customWidth="1"/>
    <col min="14099" max="14109" width="11.42578125" style="27" customWidth="1"/>
    <col min="14110" max="14339" width="11.42578125" style="27"/>
    <col min="14340" max="14340" width="5.28515625" style="27" customWidth="1"/>
    <col min="14341" max="14341" width="15.28515625" style="27" customWidth="1"/>
    <col min="14342" max="14342" width="14.42578125" style="27" bestFit="1" customWidth="1"/>
    <col min="14343" max="14343" width="10.42578125" style="27" bestFit="1" customWidth="1"/>
    <col min="14344" max="14344" width="12.28515625" style="27" customWidth="1"/>
    <col min="14345" max="14349" width="11.42578125" style="27" customWidth="1"/>
    <col min="14350" max="14351" width="10.5703125" style="27" bestFit="1" customWidth="1"/>
    <col min="14352" max="14353" width="11.42578125" style="27" customWidth="1"/>
    <col min="14354" max="14354" width="6.140625" style="27" customWidth="1"/>
    <col min="14355" max="14365" width="11.42578125" style="27" customWidth="1"/>
    <col min="14366" max="14595" width="11.42578125" style="27"/>
    <col min="14596" max="14596" width="5.28515625" style="27" customWidth="1"/>
    <col min="14597" max="14597" width="15.28515625" style="27" customWidth="1"/>
    <col min="14598" max="14598" width="14.42578125" style="27" bestFit="1" customWidth="1"/>
    <col min="14599" max="14599" width="10.42578125" style="27" bestFit="1" customWidth="1"/>
    <col min="14600" max="14600" width="12.28515625" style="27" customWidth="1"/>
    <col min="14601" max="14605" width="11.42578125" style="27" customWidth="1"/>
    <col min="14606" max="14607" width="10.5703125" style="27" bestFit="1" customWidth="1"/>
    <col min="14608" max="14609" width="11.42578125" style="27" customWidth="1"/>
    <col min="14610" max="14610" width="6.140625" style="27" customWidth="1"/>
    <col min="14611" max="14621" width="11.42578125" style="27" customWidth="1"/>
    <col min="14622" max="14851" width="11.42578125" style="27"/>
    <col min="14852" max="14852" width="5.28515625" style="27" customWidth="1"/>
    <col min="14853" max="14853" width="15.28515625" style="27" customWidth="1"/>
    <col min="14854" max="14854" width="14.42578125" style="27" bestFit="1" customWidth="1"/>
    <col min="14855" max="14855" width="10.42578125" style="27" bestFit="1" customWidth="1"/>
    <col min="14856" max="14856" width="12.28515625" style="27" customWidth="1"/>
    <col min="14857" max="14861" width="11.42578125" style="27" customWidth="1"/>
    <col min="14862" max="14863" width="10.5703125" style="27" bestFit="1" customWidth="1"/>
    <col min="14864" max="14865" width="11.42578125" style="27" customWidth="1"/>
    <col min="14866" max="14866" width="6.140625" style="27" customWidth="1"/>
    <col min="14867" max="14877" width="11.42578125" style="27" customWidth="1"/>
    <col min="14878" max="15107" width="11.42578125" style="27"/>
    <col min="15108" max="15108" width="5.28515625" style="27" customWidth="1"/>
    <col min="15109" max="15109" width="15.28515625" style="27" customWidth="1"/>
    <col min="15110" max="15110" width="14.42578125" style="27" bestFit="1" customWidth="1"/>
    <col min="15111" max="15111" width="10.42578125" style="27" bestFit="1" customWidth="1"/>
    <col min="15112" max="15112" width="12.28515625" style="27" customWidth="1"/>
    <col min="15113" max="15117" width="11.42578125" style="27" customWidth="1"/>
    <col min="15118" max="15119" width="10.5703125" style="27" bestFit="1" customWidth="1"/>
    <col min="15120" max="15121" width="11.42578125" style="27" customWidth="1"/>
    <col min="15122" max="15122" width="6.140625" style="27" customWidth="1"/>
    <col min="15123" max="15133" width="11.42578125" style="27" customWidth="1"/>
    <col min="15134" max="15363" width="11.42578125" style="27"/>
    <col min="15364" max="15364" width="5.28515625" style="27" customWidth="1"/>
    <col min="15365" max="15365" width="15.28515625" style="27" customWidth="1"/>
    <col min="15366" max="15366" width="14.42578125" style="27" bestFit="1" customWidth="1"/>
    <col min="15367" max="15367" width="10.42578125" style="27" bestFit="1" customWidth="1"/>
    <col min="15368" max="15368" width="12.28515625" style="27" customWidth="1"/>
    <col min="15369" max="15373" width="11.42578125" style="27" customWidth="1"/>
    <col min="15374" max="15375" width="10.5703125" style="27" bestFit="1" customWidth="1"/>
    <col min="15376" max="15377" width="11.42578125" style="27" customWidth="1"/>
    <col min="15378" max="15378" width="6.140625" style="27" customWidth="1"/>
    <col min="15379" max="15389" width="11.42578125" style="27" customWidth="1"/>
    <col min="15390" max="15619" width="11.42578125" style="27"/>
    <col min="15620" max="15620" width="5.28515625" style="27" customWidth="1"/>
    <col min="15621" max="15621" width="15.28515625" style="27" customWidth="1"/>
    <col min="15622" max="15622" width="14.42578125" style="27" bestFit="1" customWidth="1"/>
    <col min="15623" max="15623" width="10.42578125" style="27" bestFit="1" customWidth="1"/>
    <col min="15624" max="15624" width="12.28515625" style="27" customWidth="1"/>
    <col min="15625" max="15629" width="11.42578125" style="27" customWidth="1"/>
    <col min="15630" max="15631" width="10.5703125" style="27" bestFit="1" customWidth="1"/>
    <col min="15632" max="15633" width="11.42578125" style="27" customWidth="1"/>
    <col min="15634" max="15634" width="6.140625" style="27" customWidth="1"/>
    <col min="15635" max="15645" width="11.42578125" style="27" customWidth="1"/>
    <col min="15646" max="15875" width="11.42578125" style="27"/>
    <col min="15876" max="15876" width="5.28515625" style="27" customWidth="1"/>
    <col min="15877" max="15877" width="15.28515625" style="27" customWidth="1"/>
    <col min="15878" max="15878" width="14.42578125" style="27" bestFit="1" customWidth="1"/>
    <col min="15879" max="15879" width="10.42578125" style="27" bestFit="1" customWidth="1"/>
    <col min="15880" max="15880" width="12.28515625" style="27" customWidth="1"/>
    <col min="15881" max="15885" width="11.42578125" style="27" customWidth="1"/>
    <col min="15886" max="15887" width="10.5703125" style="27" bestFit="1" customWidth="1"/>
    <col min="15888" max="15889" width="11.42578125" style="27" customWidth="1"/>
    <col min="15890" max="15890" width="6.140625" style="27" customWidth="1"/>
    <col min="15891" max="15901" width="11.42578125" style="27" customWidth="1"/>
    <col min="15902" max="16131" width="11.42578125" style="27"/>
    <col min="16132" max="16132" width="5.28515625" style="27" customWidth="1"/>
    <col min="16133" max="16133" width="15.28515625" style="27" customWidth="1"/>
    <col min="16134" max="16134" width="14.42578125" style="27" bestFit="1" customWidth="1"/>
    <col min="16135" max="16135" width="10.42578125" style="27" bestFit="1" customWidth="1"/>
    <col min="16136" max="16136" width="12.28515625" style="27" customWidth="1"/>
    <col min="16137" max="16141" width="11.42578125" style="27" customWidth="1"/>
    <col min="16142" max="16143" width="10.5703125" style="27" bestFit="1" customWidth="1"/>
    <col min="16144" max="16145" width="11.42578125" style="27" customWidth="1"/>
    <col min="16146" max="16146" width="6.140625" style="27" customWidth="1"/>
    <col min="16147" max="16157" width="11.42578125" style="27" customWidth="1"/>
    <col min="16158" max="16384" width="11.42578125" style="27"/>
  </cols>
  <sheetData>
    <row r="1" spans="1:62" s="92" customFormat="1" ht="10.5" customHeight="1" thickBot="1" x14ac:dyDescent="0.3">
      <c r="Q1" s="28"/>
    </row>
    <row r="2" spans="1:62" s="92" customFormat="1" ht="6" customHeight="1" x14ac:dyDescent="0.25">
      <c r="B2" s="195"/>
      <c r="C2" s="196"/>
      <c r="D2" s="196"/>
      <c r="E2" s="196"/>
      <c r="F2" s="196"/>
      <c r="G2" s="196"/>
      <c r="H2" s="196"/>
      <c r="I2" s="196"/>
      <c r="J2" s="196"/>
      <c r="K2" s="196"/>
      <c r="L2" s="196"/>
      <c r="M2" s="196"/>
      <c r="N2" s="196"/>
      <c r="O2" s="196"/>
      <c r="P2" s="196"/>
      <c r="Q2" s="196"/>
      <c r="R2" s="196"/>
      <c r="S2" s="196"/>
      <c r="T2" s="197"/>
    </row>
    <row r="3" spans="1:62" s="1" customFormat="1" ht="33" customHeight="1" x14ac:dyDescent="0.25">
      <c r="B3" s="198"/>
      <c r="C3" s="206"/>
      <c r="D3" s="206"/>
      <c r="E3" s="206"/>
      <c r="F3" s="206"/>
      <c r="G3" s="206"/>
      <c r="H3" s="206"/>
      <c r="I3" s="206"/>
      <c r="J3" s="206"/>
      <c r="K3" s="206"/>
      <c r="L3" s="206"/>
      <c r="M3" s="206"/>
      <c r="N3" s="206"/>
      <c r="O3" s="206"/>
      <c r="P3" s="206"/>
      <c r="Q3" s="206"/>
      <c r="R3" s="206"/>
      <c r="S3" s="206"/>
      <c r="T3" s="199"/>
      <c r="U3" s="92"/>
      <c r="V3" s="1" t="s">
        <v>1230</v>
      </c>
      <c r="W3" s="147">
        <v>1</v>
      </c>
      <c r="X3" s="92"/>
      <c r="Y3" s="92"/>
      <c r="Z3" s="92"/>
      <c r="AA3" s="92"/>
      <c r="AB3" s="92"/>
      <c r="AC3" s="92"/>
      <c r="AD3" s="92"/>
      <c r="AE3" s="92"/>
      <c r="BI3" s="46"/>
      <c r="BJ3" s="46"/>
    </row>
    <row r="4" spans="1:62" s="1" customFormat="1" ht="25.15" customHeight="1" x14ac:dyDescent="0.25">
      <c r="B4" s="198"/>
      <c r="C4" s="224" t="s">
        <v>591</v>
      </c>
      <c r="D4" s="224"/>
      <c r="E4" s="224"/>
      <c r="F4" s="224"/>
      <c r="G4" s="224"/>
      <c r="H4" s="224"/>
      <c r="I4" s="224"/>
      <c r="J4" s="188"/>
      <c r="K4" s="188"/>
      <c r="L4" s="188"/>
      <c r="M4" s="188"/>
      <c r="N4" s="188"/>
      <c r="O4" s="188"/>
      <c r="P4" s="188"/>
      <c r="Q4" s="188"/>
      <c r="R4" s="188"/>
      <c r="S4" s="188"/>
      <c r="T4" s="199"/>
      <c r="V4" s="92" t="s">
        <v>1228</v>
      </c>
      <c r="W4" s="145">
        <f>SUMIFS(CampList[HH],CampList[Status],"open",CampList[Opening Date],"&gt;=" &amp; NFI_Monitor_Date)</f>
        <v>2087</v>
      </c>
      <c r="X4" s="92"/>
      <c r="Y4" s="92"/>
      <c r="Z4" s="92"/>
      <c r="AA4" s="92"/>
      <c r="AB4" s="92"/>
      <c r="AC4" s="92"/>
      <c r="AD4" s="92"/>
      <c r="AE4" s="92"/>
      <c r="AF4" s="65"/>
      <c r="AG4" s="65"/>
      <c r="AH4" s="65"/>
      <c r="AI4" s="65"/>
      <c r="AJ4" s="65"/>
      <c r="AK4" s="65"/>
      <c r="AL4" s="65"/>
      <c r="AM4" s="65"/>
      <c r="AN4" s="65"/>
      <c r="AO4" s="65"/>
      <c r="AP4" s="65"/>
      <c r="AQ4" s="65"/>
      <c r="AR4" s="65"/>
      <c r="AS4" s="65"/>
      <c r="BC4" s="46"/>
      <c r="BD4" s="46"/>
    </row>
    <row r="5" spans="1:62" s="15" customFormat="1" ht="12.75" customHeight="1" x14ac:dyDescent="0.25">
      <c r="B5" s="198"/>
      <c r="C5" s="914">
        <f>Definition!B23</f>
        <v>42736</v>
      </c>
      <c r="D5" s="914"/>
      <c r="E5" s="914"/>
      <c r="F5" s="914"/>
      <c r="G5" s="914"/>
      <c r="H5" s="914"/>
      <c r="I5" s="225"/>
      <c r="J5" s="188"/>
      <c r="K5" s="188"/>
      <c r="L5" s="188"/>
      <c r="M5" s="188"/>
      <c r="N5" s="188"/>
      <c r="O5" s="188"/>
      <c r="P5" s="188"/>
      <c r="Q5" s="188"/>
      <c r="R5" s="188"/>
      <c r="S5" s="188"/>
      <c r="T5" s="199"/>
      <c r="V5" s="92" t="s">
        <v>1229</v>
      </c>
      <c r="W5" s="145">
        <f>SUMIFS(CampList[HH],CampList[Status],"open",CampList[Priority],"P1")</f>
        <v>1556</v>
      </c>
      <c r="X5" s="145"/>
      <c r="Y5" s="92"/>
      <c r="Z5" s="92"/>
      <c r="AA5" s="92"/>
      <c r="AB5" s="92"/>
      <c r="AC5" s="92"/>
      <c r="AD5" s="92"/>
      <c r="AE5" s="92"/>
      <c r="AF5" s="65"/>
      <c r="AG5" s="65"/>
      <c r="AH5" s="65"/>
      <c r="AI5" s="65"/>
      <c r="AJ5" s="65"/>
      <c r="AK5" s="65"/>
      <c r="AL5" s="65"/>
      <c r="AM5" s="65"/>
      <c r="AN5" s="65"/>
      <c r="AO5" s="65"/>
      <c r="AP5" s="65"/>
      <c r="AQ5" s="65"/>
      <c r="AR5" s="65"/>
      <c r="AS5" s="65"/>
      <c r="BC5" s="47"/>
      <c r="BD5" s="47"/>
    </row>
    <row r="6" spans="1:62" s="35" customFormat="1" ht="45.75" customHeight="1" x14ac:dyDescent="0.55000000000000004">
      <c r="B6" s="229"/>
      <c r="C6" s="226"/>
      <c r="D6" s="227"/>
      <c r="E6" s="227"/>
      <c r="F6" s="227"/>
      <c r="G6" s="227"/>
      <c r="H6" s="227"/>
      <c r="I6" s="227"/>
      <c r="J6" s="227"/>
      <c r="K6" s="227"/>
      <c r="L6" s="227"/>
      <c r="M6" s="227"/>
      <c r="N6" s="227"/>
      <c r="O6" s="227"/>
      <c r="P6" s="227"/>
      <c r="Q6" s="228"/>
      <c r="R6" s="227"/>
      <c r="S6" s="227"/>
      <c r="T6" s="230"/>
      <c r="V6" s="35" t="s">
        <v>1584</v>
      </c>
    </row>
    <row r="7" spans="1:62" s="35" customFormat="1" ht="4.5" customHeight="1" x14ac:dyDescent="0.55000000000000004">
      <c r="B7" s="319"/>
      <c r="C7" s="320"/>
      <c r="D7" s="321"/>
      <c r="E7" s="321"/>
      <c r="F7" s="321"/>
      <c r="G7" s="321"/>
      <c r="H7" s="321"/>
      <c r="I7" s="321"/>
      <c r="J7" s="321"/>
      <c r="K7" s="321"/>
      <c r="L7" s="321"/>
      <c r="M7" s="321"/>
      <c r="N7" s="321"/>
      <c r="O7" s="321"/>
      <c r="P7" s="321"/>
      <c r="Q7" s="322"/>
      <c r="R7" s="321"/>
      <c r="S7" s="321"/>
      <c r="T7" s="323"/>
    </row>
    <row r="8" spans="1:62" s="65" customFormat="1" ht="12.75" customHeight="1" x14ac:dyDescent="0.35">
      <c r="A8" s="92"/>
      <c r="B8" s="213"/>
      <c r="C8" s="29"/>
      <c r="D8" s="29"/>
      <c r="E8" s="29"/>
      <c r="F8" s="29"/>
      <c r="G8" s="29"/>
      <c r="H8" s="29"/>
      <c r="I8" s="29"/>
      <c r="J8" s="29"/>
      <c r="K8" s="29"/>
      <c r="L8" s="29"/>
      <c r="M8" s="29"/>
      <c r="N8" s="29"/>
      <c r="O8" s="29"/>
      <c r="P8" s="29"/>
      <c r="Q8" s="324"/>
      <c r="R8" s="29"/>
      <c r="S8" s="29"/>
      <c r="T8" s="207"/>
      <c r="U8" s="92"/>
      <c r="V8" s="92"/>
      <c r="W8" s="92"/>
      <c r="X8" s="92"/>
      <c r="Y8" s="92"/>
      <c r="Z8" s="92"/>
      <c r="AA8" s="92"/>
      <c r="AB8" s="92"/>
      <c r="AC8" s="92"/>
      <c r="AD8" s="92"/>
      <c r="AE8" s="92"/>
    </row>
    <row r="9" spans="1:62" s="65" customFormat="1" ht="7.5" customHeight="1" x14ac:dyDescent="0.25">
      <c r="A9" s="92"/>
      <c r="B9" s="213"/>
      <c r="C9" s="29"/>
      <c r="D9" s="29"/>
      <c r="E9" s="29"/>
      <c r="F9" s="29"/>
      <c r="G9" s="29"/>
      <c r="H9" s="29"/>
      <c r="I9" s="29"/>
      <c r="J9" s="29"/>
      <c r="K9" s="29"/>
      <c r="L9" s="29"/>
      <c r="M9" s="29"/>
      <c r="N9" s="29"/>
      <c r="O9" s="29"/>
      <c r="P9" s="29"/>
      <c r="Q9" s="29"/>
      <c r="R9" s="29"/>
      <c r="S9" s="29"/>
      <c r="T9" s="207"/>
      <c r="U9" s="92"/>
      <c r="V9" s="92"/>
      <c r="W9" s="92"/>
      <c r="X9" s="92"/>
      <c r="Y9" s="92"/>
      <c r="Z9" s="92"/>
      <c r="AA9" s="92"/>
      <c r="AB9" s="92"/>
      <c r="AC9" s="92"/>
      <c r="AD9" s="92"/>
      <c r="AE9" s="92"/>
    </row>
    <row r="10" spans="1:62" ht="17.25" customHeight="1" x14ac:dyDescent="0.25">
      <c r="B10" s="213"/>
      <c r="C10" s="29"/>
      <c r="D10" s="29"/>
      <c r="E10" s="29"/>
      <c r="F10" s="29"/>
      <c r="G10" s="29"/>
      <c r="H10" s="29"/>
      <c r="I10" s="29"/>
      <c r="J10" s="29"/>
      <c r="K10" s="29"/>
      <c r="L10" s="29"/>
      <c r="M10" s="29"/>
      <c r="N10" s="29"/>
      <c r="O10" s="29"/>
      <c r="P10" s="29"/>
      <c r="Q10" s="29"/>
      <c r="R10" s="29"/>
      <c r="S10" s="29"/>
      <c r="T10" s="207"/>
      <c r="Y10" s="1"/>
    </row>
    <row r="11" spans="1:62" ht="24" customHeight="1" x14ac:dyDescent="0.25">
      <c r="B11" s="213"/>
      <c r="C11" s="158" t="s">
        <v>585</v>
      </c>
      <c r="D11" s="159" t="s">
        <v>454</v>
      </c>
      <c r="E11" s="160" t="s">
        <v>831</v>
      </c>
      <c r="F11" s="161" t="s">
        <v>827</v>
      </c>
      <c r="G11" s="161" t="s">
        <v>828</v>
      </c>
      <c r="H11" s="162" t="s">
        <v>829</v>
      </c>
      <c r="I11" s="162" t="s">
        <v>830</v>
      </c>
      <c r="J11" s="163" t="s">
        <v>1231</v>
      </c>
      <c r="K11" s="29"/>
      <c r="L11" s="158" t="s">
        <v>585</v>
      </c>
      <c r="M11" s="159" t="s">
        <v>454</v>
      </c>
      <c r="N11" s="160" t="s">
        <v>831</v>
      </c>
      <c r="O11" s="161" t="s">
        <v>827</v>
      </c>
      <c r="P11" s="161" t="s">
        <v>828</v>
      </c>
      <c r="Q11" s="162" t="s">
        <v>829</v>
      </c>
      <c r="R11" s="162" t="s">
        <v>830</v>
      </c>
      <c r="S11" s="163" t="s">
        <v>1231</v>
      </c>
      <c r="T11" s="207"/>
      <c r="W11" s="36"/>
      <c r="X11" s="1"/>
      <c r="Y11" s="213"/>
      <c r="Z11" s="325" t="s">
        <v>831</v>
      </c>
      <c r="AA11" s="325" t="s">
        <v>832</v>
      </c>
      <c r="AB11" s="104" t="s">
        <v>833</v>
      </c>
      <c r="AC11" s="104" t="s">
        <v>834</v>
      </c>
      <c r="AD11" s="105" t="s">
        <v>835</v>
      </c>
      <c r="AE11" s="105" t="s">
        <v>836</v>
      </c>
      <c r="AF11" s="207"/>
    </row>
    <row r="12" spans="1:62" ht="13.5" customHeight="1" x14ac:dyDescent="0.25">
      <c r="B12" s="213"/>
      <c r="C12" s="164" t="s">
        <v>595</v>
      </c>
      <c r="D12" s="165">
        <f t="shared" ref="D12:D18" si="0">VLOOKUP($C12,NFI,6,0)</f>
        <v>2</v>
      </c>
      <c r="E12" s="166">
        <f>$W$4*D12</f>
        <v>4174</v>
      </c>
      <c r="F12" s="167">
        <f ca="1">SUMIFS(Table_NFI[Mosquito net_LS],Table_NFI[opening_date],1,Table_NFI[Status],"open")</f>
        <v>161</v>
      </c>
      <c r="G12" s="168">
        <f ca="1">IF((F12/E12)&gt;100%,100%,(F12/E12))</f>
        <v>3.857211308097748E-2</v>
      </c>
      <c r="H12" s="167">
        <f ca="1">SUM(INDIRECT(VLOOKUP($C12,NFI,3,0)))</f>
        <v>2686</v>
      </c>
      <c r="I12" s="169">
        <f ca="1">H12/E12</f>
        <v>0.64350742692860563</v>
      </c>
      <c r="J12" s="170">
        <f ca="1">MAX(0,1-G12-I12)</f>
        <v>0.31792045999041685</v>
      </c>
      <c r="K12" s="29"/>
      <c r="L12" s="164" t="s">
        <v>987</v>
      </c>
      <c r="M12" s="165">
        <f>VLOOKUP($L12,NFI,6,0)</f>
        <v>2</v>
      </c>
      <c r="N12" s="166">
        <f>$W$5*M12</f>
        <v>3112</v>
      </c>
      <c r="O12" s="167">
        <f ca="1">SUMIFS(Table_NFI[Winter Clothes Adult_LS],Table_NFI[Priority],"P1",Table_NFI[Status],"open")</f>
        <v>710</v>
      </c>
      <c r="P12" s="168">
        <f t="shared" ref="P12:P13" ca="1" si="1">IF((O12/N12)&gt;100%,100%,(O12/N12))</f>
        <v>0.22814910025706941</v>
      </c>
      <c r="Q12" s="167">
        <f ca="1">SUM(INDIRECT(VLOOKUP($L12,NFI,3,0)))</f>
        <v>0</v>
      </c>
      <c r="R12" s="169">
        <f t="shared" ref="R12:R13" ca="1" si="2">Q12/N12</f>
        <v>0</v>
      </c>
      <c r="S12" s="170">
        <f ca="1">MAX(0,1-P12-R12)</f>
        <v>0.77185089974293053</v>
      </c>
      <c r="T12" s="207"/>
      <c r="W12" s="36"/>
      <c r="X12" s="1"/>
      <c r="Y12" s="213"/>
      <c r="Z12" s="69">
        <f ca="1">IF((E12-(SUM(F12:H12)))&lt;0,0,(E12-(SUM(F12:H12))))</f>
        <v>1326.961427886919</v>
      </c>
      <c r="AA12" s="326">
        <f t="shared" ref="AA12:AA18" ca="1" si="3">Z12/E12</f>
        <v>0.31791121894751295</v>
      </c>
      <c r="AB12" s="69">
        <f t="shared" ref="AB12:AB18" ca="1" si="4">SUMIFS(INDIRECT(VLOOKUP($C12,NFI,4,0)),NFI_Pipeline_State,$C$6)</f>
        <v>0</v>
      </c>
      <c r="AC12" s="68">
        <f t="shared" ref="AC12:AC18" ca="1" si="5">AB12/E12</f>
        <v>0</v>
      </c>
      <c r="AD12" s="70">
        <f t="shared" ref="AD12:AD18" ca="1" si="6">IF((E12-(F12+H12+AB12))&lt;0,0,(E12-(F12+H12+AB12)))</f>
        <v>1327</v>
      </c>
      <c r="AE12" s="71">
        <f t="shared" ref="AE12:AE18" ca="1" si="7">AD12/E12</f>
        <v>0.31792045999041685</v>
      </c>
      <c r="AF12" s="207"/>
    </row>
    <row r="13" spans="1:62" ht="13.5" customHeight="1" x14ac:dyDescent="0.25">
      <c r="B13" s="213"/>
      <c r="C13" s="164" t="s">
        <v>457</v>
      </c>
      <c r="D13" s="165">
        <f t="shared" si="0"/>
        <v>1</v>
      </c>
      <c r="E13" s="166">
        <f>$W$4*D13</f>
        <v>2087</v>
      </c>
      <c r="F13" s="167">
        <f ca="1">SUMIFS(Table_NFI[Tarpaulin_LS],Table_NFI[opening_date],1,Table_NFI[Status],"open")</f>
        <v>96</v>
      </c>
      <c r="G13" s="168">
        <f t="shared" ref="G13:G17" ca="1" si="8">IF((F13/E13)&gt;100%,100%,(F13/E13))</f>
        <v>4.5999041686631527E-2</v>
      </c>
      <c r="H13" s="167">
        <f ca="1">SUM(INDIRECT(VLOOKUP($C13,NFI,3,0)))</f>
        <v>1553</v>
      </c>
      <c r="I13" s="169">
        <f ca="1">H13/E13</f>
        <v>0.74413033061811207</v>
      </c>
      <c r="J13" s="170">
        <f t="shared" ref="J13:J18" ca="1" si="9">MAX(0,1-G13-I13)</f>
        <v>0.20987062769525644</v>
      </c>
      <c r="K13" s="29"/>
      <c r="L13" s="164" t="s">
        <v>991</v>
      </c>
      <c r="M13" s="165">
        <f>VLOOKUP($L13,NFI,6,0)</f>
        <v>3</v>
      </c>
      <c r="N13" s="166">
        <f>$W$5*M13</f>
        <v>4668</v>
      </c>
      <c r="O13" s="167">
        <f ca="1">SUMIFS(Table_NFI[Winter Clothes Children_LS],Table_NFI[Priority],"P1",Table_NFI[Status],"open")</f>
        <v>1475</v>
      </c>
      <c r="P13" s="168">
        <f t="shared" ca="1" si="1"/>
        <v>0.31598114824335904</v>
      </c>
      <c r="Q13" s="167">
        <f ca="1">SUM(INDIRECT(VLOOKUP($L13,NFI,3,0)))</f>
        <v>465</v>
      </c>
      <c r="R13" s="169">
        <f t="shared" ca="1" si="2"/>
        <v>9.9614395886889459E-2</v>
      </c>
      <c r="S13" s="170">
        <f ca="1">MAX(0,1-P13-R13)</f>
        <v>0.58440445586975154</v>
      </c>
      <c r="T13" s="207"/>
      <c r="W13" s="36"/>
      <c r="X13" s="1"/>
      <c r="Y13" s="213"/>
      <c r="Z13" s="69">
        <f ca="1">IF((E13-(SUM(F13:H13)))&lt;0,0,(E13-(SUM(F13:H13))))</f>
        <v>437.95400095831337</v>
      </c>
      <c r="AA13" s="326">
        <f t="shared" ca="1" si="3"/>
        <v>0.20984858694696376</v>
      </c>
      <c r="AB13" s="69">
        <f t="shared" ca="1" si="4"/>
        <v>0</v>
      </c>
      <c r="AC13" s="68">
        <f t="shared" ca="1" si="5"/>
        <v>0</v>
      </c>
      <c r="AD13" s="70">
        <f t="shared" ca="1" si="6"/>
        <v>438</v>
      </c>
      <c r="AE13" s="71">
        <f t="shared" ca="1" si="7"/>
        <v>0.20987062769525636</v>
      </c>
      <c r="AF13" s="207"/>
    </row>
    <row r="14" spans="1:62" ht="13.5" customHeight="1" x14ac:dyDescent="0.25">
      <c r="B14" s="213"/>
      <c r="C14" s="164" t="s">
        <v>435</v>
      </c>
      <c r="D14" s="165">
        <f t="shared" si="0"/>
        <v>2</v>
      </c>
      <c r="E14" s="166">
        <f t="shared" ref="E14:E18" si="10">$W$4*D14</f>
        <v>4174</v>
      </c>
      <c r="F14" s="167">
        <f ca="1">SUMIFS(Table_NFI[Blanket_LS],Table_NFI[opening_date],1,Table_NFI[Status],"open")</f>
        <v>166</v>
      </c>
      <c r="G14" s="168">
        <f t="shared" ca="1" si="8"/>
        <v>3.9770004791566844E-2</v>
      </c>
      <c r="H14" s="167">
        <f t="shared" ref="H14:H18" ca="1" si="11">SUM(INDIRECT(VLOOKUP($C14,NFI,3,0)))</f>
        <v>3952</v>
      </c>
      <c r="I14" s="169">
        <f ca="1">H14/E14</f>
        <v>0.94681360804983228</v>
      </c>
      <c r="J14" s="170">
        <f t="shared" ca="1" si="9"/>
        <v>1.3416387158600829E-2</v>
      </c>
      <c r="K14" s="29"/>
      <c r="L14" s="164" t="s">
        <v>1111</v>
      </c>
      <c r="M14" s="165">
        <f>VLOOKUP(L14,NFI,6,0)</f>
        <v>2</v>
      </c>
      <c r="N14" s="166">
        <f>$W$5*M14</f>
        <v>3112</v>
      </c>
      <c r="O14" s="167">
        <f ca="1">SUMIFS(Table_NFI[Winter Blanket_LS],Table_NFI[Priority],"P1",Table_NFI[Status],"open")</f>
        <v>346</v>
      </c>
      <c r="P14" s="168">
        <f ca="1">IF((O14/N14)&gt;100%,100%,(O14/N14))</f>
        <v>0.11118251928020566</v>
      </c>
      <c r="Q14" s="167">
        <f ca="1">SUM(INDIRECT(VLOOKUP($L14,NFI,3,0)))</f>
        <v>4668</v>
      </c>
      <c r="R14" s="169">
        <f t="shared" ref="R14" ca="1" si="12">Q14/N14</f>
        <v>1.5</v>
      </c>
      <c r="S14" s="170">
        <f ca="1">MAX(0,1-P14-R14)</f>
        <v>0</v>
      </c>
      <c r="T14" s="207"/>
      <c r="W14" s="36"/>
      <c r="X14" s="1"/>
      <c r="Y14" s="213"/>
      <c r="Z14" s="69">
        <f t="shared" ref="Z14" ca="1" si="13">IF((E14-(SUM(F14:H14)))&lt;0,0,(E14-(SUM(F14:H14))))</f>
        <v>55.960229995208465</v>
      </c>
      <c r="AA14" s="326">
        <f t="shared" ca="1" si="3"/>
        <v>1.3406859126786887E-2</v>
      </c>
      <c r="AB14" s="69">
        <f t="shared" ca="1" si="4"/>
        <v>0</v>
      </c>
      <c r="AC14" s="68">
        <f t="shared" ca="1" si="5"/>
        <v>0</v>
      </c>
      <c r="AD14" s="70">
        <f t="shared" ca="1" si="6"/>
        <v>56</v>
      </c>
      <c r="AE14" s="71">
        <f t="shared" ca="1" si="7"/>
        <v>1.3416387158600862E-2</v>
      </c>
      <c r="AF14" s="207"/>
    </row>
    <row r="15" spans="1:62" ht="13.5" customHeight="1" x14ac:dyDescent="0.25">
      <c r="B15" s="213"/>
      <c r="C15" s="164" t="s">
        <v>436</v>
      </c>
      <c r="D15" s="165">
        <f t="shared" si="0"/>
        <v>1</v>
      </c>
      <c r="E15" s="166">
        <f t="shared" si="10"/>
        <v>2087</v>
      </c>
      <c r="F15" s="167">
        <f ca="1">SUMIFS(Table_NFI[Kitchen Set_LS],Table_NFI[opening_date],1,Table_NFI[Status],"open")</f>
        <v>58</v>
      </c>
      <c r="G15" s="168">
        <f t="shared" ca="1" si="8"/>
        <v>2.7791087685673215E-2</v>
      </c>
      <c r="H15" s="167">
        <f t="shared" ca="1" si="11"/>
        <v>991</v>
      </c>
      <c r="I15" s="169">
        <f ca="1">H15/E15</f>
        <v>0.47484427407762336</v>
      </c>
      <c r="J15" s="170">
        <f t="shared" ca="1" si="9"/>
        <v>0.49736463823670346</v>
      </c>
      <c r="K15" s="29"/>
      <c r="L15" s="29"/>
      <c r="M15" s="29"/>
      <c r="N15" s="29"/>
      <c r="O15" s="29"/>
      <c r="P15" s="29"/>
      <c r="Q15" s="29"/>
      <c r="R15" s="29"/>
      <c r="S15" s="29"/>
      <c r="T15" s="207"/>
      <c r="W15" s="36"/>
      <c r="X15" s="1"/>
      <c r="Y15" s="213"/>
      <c r="Z15" s="69">
        <f ca="1">IF((E15-(SUM(F15:H15)))&lt;0,0,(E15-(SUM(F15:H15))))</f>
        <v>1037.9722089123143</v>
      </c>
      <c r="AA15" s="326">
        <f t="shared" ca="1" si="3"/>
        <v>0.49735132195127663</v>
      </c>
      <c r="AB15" s="69">
        <f t="shared" ca="1" si="4"/>
        <v>0</v>
      </c>
      <c r="AC15" s="68">
        <f t="shared" ca="1" si="5"/>
        <v>0</v>
      </c>
      <c r="AD15" s="70">
        <f t="shared" ca="1" si="6"/>
        <v>1038</v>
      </c>
      <c r="AE15" s="71">
        <f t="shared" ca="1" si="7"/>
        <v>0.4973646382367034</v>
      </c>
      <c r="AF15" s="207"/>
    </row>
    <row r="16" spans="1:62" ht="13.5" customHeight="1" x14ac:dyDescent="0.25">
      <c r="B16" s="213"/>
      <c r="C16" s="164" t="s">
        <v>1218</v>
      </c>
      <c r="D16" s="165">
        <f t="shared" si="0"/>
        <v>1</v>
      </c>
      <c r="E16" s="166">
        <f t="shared" si="10"/>
        <v>2087</v>
      </c>
      <c r="F16" s="167">
        <f ca="1">SUMIFS(Table_NFI[Clothes Kit_LS],Table_NFI[opening_date],1,Table_NFI[Status],"open")</f>
        <v>7</v>
      </c>
      <c r="G16" s="168">
        <f t="shared" ca="1" si="8"/>
        <v>3.3540967896502154E-3</v>
      </c>
      <c r="H16" s="167">
        <f t="shared" ca="1" si="11"/>
        <v>0</v>
      </c>
      <c r="I16" s="169">
        <f t="shared" ref="I16:I18" ca="1" si="14">H16/E16</f>
        <v>0</v>
      </c>
      <c r="J16" s="170">
        <f t="shared" ca="1" si="9"/>
        <v>0.99664590321034974</v>
      </c>
      <c r="K16" s="29"/>
      <c r="L16" s="29"/>
      <c r="M16" s="29"/>
      <c r="N16" s="29"/>
      <c r="O16" s="29"/>
      <c r="P16" s="29"/>
      <c r="Q16" s="29"/>
      <c r="R16" s="29"/>
      <c r="S16" s="29"/>
      <c r="T16" s="207"/>
      <c r="W16" s="36"/>
      <c r="X16" s="1"/>
      <c r="Y16" s="213"/>
      <c r="Z16" s="69">
        <f ca="1">IF((E16-(SUM(F16:H16)))&lt;0,0,(E16-(SUM(F16:H16))))</f>
        <v>2079.9966459032103</v>
      </c>
      <c r="AA16" s="326">
        <f t="shared" ca="1" si="3"/>
        <v>0.99664429607245342</v>
      </c>
      <c r="AB16" s="69">
        <f t="shared" ca="1" si="4"/>
        <v>0</v>
      </c>
      <c r="AC16" s="68">
        <f t="shared" ca="1" si="5"/>
        <v>0</v>
      </c>
      <c r="AD16" s="70">
        <f t="shared" ca="1" si="6"/>
        <v>2080</v>
      </c>
      <c r="AE16" s="71">
        <f t="shared" ca="1" si="7"/>
        <v>0.99664590321034974</v>
      </c>
      <c r="AF16" s="207"/>
    </row>
    <row r="17" spans="2:32" ht="13.5" customHeight="1" x14ac:dyDescent="0.25">
      <c r="B17" s="213"/>
      <c r="C17" s="164" t="s">
        <v>577</v>
      </c>
      <c r="D17" s="165">
        <f t="shared" si="0"/>
        <v>1</v>
      </c>
      <c r="E17" s="166">
        <f t="shared" si="10"/>
        <v>2087</v>
      </c>
      <c r="F17" s="167">
        <f ca="1">SUMIFS(Table_NFI[Plastic Bucket _LS],Table_NFI[opening_date],1,Table_NFI[Status],"open")</f>
        <v>96</v>
      </c>
      <c r="G17" s="168">
        <f t="shared" ca="1" si="8"/>
        <v>4.5999041686631527E-2</v>
      </c>
      <c r="H17" s="167">
        <f ca="1">SUM(INDIRECT(VLOOKUP($C17,NFI,3,0)))</f>
        <v>1112</v>
      </c>
      <c r="I17" s="169">
        <f t="shared" ca="1" si="14"/>
        <v>0.53282223287014852</v>
      </c>
      <c r="J17" s="170">
        <f t="shared" ca="1" si="9"/>
        <v>0.42117872544321999</v>
      </c>
      <c r="K17" s="29"/>
      <c r="L17" s="29"/>
      <c r="M17" s="29"/>
      <c r="N17" s="29"/>
      <c r="O17" s="29"/>
      <c r="P17" s="29"/>
      <c r="Q17" s="29"/>
      <c r="R17" s="29"/>
      <c r="S17" s="29"/>
      <c r="T17" s="207"/>
      <c r="W17" s="36"/>
      <c r="X17" s="1"/>
      <c r="Y17" s="213"/>
      <c r="Z17" s="69">
        <f ca="1">IF((E17-(SUM(F17:H17)))&lt;0,0,(E17-(SUM(F17:H17))))</f>
        <v>878.95400095831337</v>
      </c>
      <c r="AA17" s="326">
        <f t="shared" ca="1" si="3"/>
        <v>0.42115668469492734</v>
      </c>
      <c r="AB17" s="69">
        <f t="shared" ca="1" si="4"/>
        <v>0</v>
      </c>
      <c r="AC17" s="68">
        <f t="shared" ca="1" si="5"/>
        <v>0</v>
      </c>
      <c r="AD17" s="70">
        <f t="shared" ca="1" si="6"/>
        <v>879</v>
      </c>
      <c r="AE17" s="71">
        <f t="shared" ca="1" si="7"/>
        <v>0.42117872544321994</v>
      </c>
      <c r="AF17" s="207"/>
    </row>
    <row r="18" spans="2:32" ht="13.5" customHeight="1" x14ac:dyDescent="0.25">
      <c r="B18" s="213"/>
      <c r="C18" s="164" t="s">
        <v>578</v>
      </c>
      <c r="D18" s="165">
        <f t="shared" si="0"/>
        <v>5</v>
      </c>
      <c r="E18" s="166">
        <f t="shared" si="10"/>
        <v>10435</v>
      </c>
      <c r="F18" s="167">
        <f ca="1">SUMIFS(Table_NFI[Plastic  Mat_LS],Table_NFI[opening_date],1,Table_NFI[Status],"open")</f>
        <v>565</v>
      </c>
      <c r="G18" s="168">
        <f ca="1">IF((F18/E18)&gt;100%,100%,(F18/E18))</f>
        <v>5.4144705318639193E-2</v>
      </c>
      <c r="H18" s="167">
        <f t="shared" ca="1" si="11"/>
        <v>5165</v>
      </c>
      <c r="I18" s="169">
        <f t="shared" ca="1" si="14"/>
        <v>0.49496885481552466</v>
      </c>
      <c r="J18" s="170">
        <f t="shared" ca="1" si="9"/>
        <v>0.4508864398658361</v>
      </c>
      <c r="K18" s="29"/>
      <c r="L18" s="29"/>
      <c r="M18" s="29"/>
      <c r="N18" s="29"/>
      <c r="O18" s="29"/>
      <c r="P18" s="29"/>
      <c r="Q18" s="29"/>
      <c r="R18" s="29"/>
      <c r="S18" s="29"/>
      <c r="T18" s="207"/>
      <c r="W18" s="36"/>
      <c r="X18" s="1"/>
      <c r="Y18" s="213"/>
      <c r="Z18" s="69">
        <f ca="1">IF((E18-(SUM(F18:H18)))&lt;0,0,(E18-(SUM(F18:H18))))</f>
        <v>4704.9458552946817</v>
      </c>
      <c r="AA18" s="326">
        <f t="shared" ca="1" si="3"/>
        <v>0.45088125110634225</v>
      </c>
      <c r="AB18" s="69">
        <f t="shared" ca="1" si="4"/>
        <v>0</v>
      </c>
      <c r="AC18" s="68">
        <f t="shared" ca="1" si="5"/>
        <v>0</v>
      </c>
      <c r="AD18" s="70">
        <f t="shared" ca="1" si="6"/>
        <v>4705</v>
      </c>
      <c r="AE18" s="71">
        <f t="shared" ca="1" si="7"/>
        <v>0.45088643986583615</v>
      </c>
      <c r="AF18" s="207"/>
    </row>
    <row r="19" spans="2:32" s="92" customFormat="1" ht="14.25" customHeight="1" x14ac:dyDescent="0.25">
      <c r="B19" s="213"/>
      <c r="C19" s="29"/>
      <c r="D19" s="29"/>
      <c r="E19" s="29"/>
      <c r="F19" s="29"/>
      <c r="G19" s="29"/>
      <c r="H19" s="29"/>
      <c r="I19" s="29"/>
      <c r="J19" s="29"/>
      <c r="K19" s="29"/>
      <c r="L19" s="29"/>
      <c r="M19" s="29"/>
      <c r="N19" s="29"/>
      <c r="O19" s="29"/>
      <c r="P19" s="29"/>
      <c r="Q19" s="29"/>
      <c r="R19" s="29"/>
      <c r="S19" s="29"/>
      <c r="T19" s="207"/>
      <c r="W19" s="36"/>
      <c r="X19" s="1"/>
      <c r="Y19" s="213"/>
      <c r="Z19" s="69">
        <f ca="1">IF((N12-(SUM(O12:Q12)))&lt;0,0,(N12-(SUM(O12:Q12))))</f>
        <v>2401.7718508997432</v>
      </c>
      <c r="AA19" s="326">
        <f ca="1">Z19/N12</f>
        <v>0.77177758705004607</v>
      </c>
      <c r="AB19" s="69">
        <f ca="1">SUMIFS(INDIRECT(VLOOKUP($L12,NFI,4,0)),NFI_Pipeline_State,$C$6)</f>
        <v>0</v>
      </c>
      <c r="AC19" s="68">
        <f ca="1">AB19/N12</f>
        <v>0</v>
      </c>
      <c r="AD19" s="70">
        <f ca="1">IF((N12-(O12+Q12+AB19))&lt;0,0,(N12-(O12+Q12+AB19)))</f>
        <v>2402</v>
      </c>
      <c r="AE19" s="71">
        <f ca="1">AD19/N12</f>
        <v>0.77185089974293064</v>
      </c>
      <c r="AF19" s="207"/>
    </row>
    <row r="20" spans="2:32" s="92" customFormat="1" ht="12.75" customHeight="1" x14ac:dyDescent="0.25">
      <c r="B20" s="213"/>
      <c r="C20" s="29"/>
      <c r="D20" s="29"/>
      <c r="E20" s="29"/>
      <c r="F20" s="29"/>
      <c r="G20" s="29"/>
      <c r="H20" s="29"/>
      <c r="I20" s="29"/>
      <c r="J20" s="29"/>
      <c r="K20" s="29"/>
      <c r="L20" s="29"/>
      <c r="M20" s="29"/>
      <c r="N20" s="29"/>
      <c r="O20" s="29"/>
      <c r="P20" s="29"/>
      <c r="Q20" s="29"/>
      <c r="R20" s="29"/>
      <c r="S20" s="29"/>
      <c r="T20" s="207"/>
      <c r="W20" s="36"/>
      <c r="X20" s="1"/>
      <c r="Y20" s="213"/>
      <c r="Z20" s="69">
        <f ca="1">IF((N13-(SUM(O13:Q13)))&lt;0,0,(N13-(SUM(O13:Q13))))</f>
        <v>2727.6840188517567</v>
      </c>
      <c r="AA20" s="326">
        <f ca="1">Z20/N13</f>
        <v>0.58433676496395814</v>
      </c>
      <c r="AB20" s="69">
        <f ca="1">SUMIFS(INDIRECT(VLOOKUP($L13,NFI,4,0)),NFI_Pipeline_State,$C$6)</f>
        <v>0</v>
      </c>
      <c r="AC20" s="68">
        <f ca="1">AB20/N13</f>
        <v>0</v>
      </c>
      <c r="AD20" s="70">
        <f ca="1">IF((N13-(O13+Q13+AB20))&lt;0,0,(N13-(O13+Q13+AB20)))</f>
        <v>2728</v>
      </c>
      <c r="AE20" s="71">
        <f ca="1">AD20/N13</f>
        <v>0.58440445586975154</v>
      </c>
      <c r="AF20" s="207"/>
    </row>
    <row r="21" spans="2:32" ht="12.75" customHeight="1" x14ac:dyDescent="0.25">
      <c r="B21" s="213"/>
      <c r="C21" s="29"/>
      <c r="D21" s="29"/>
      <c r="E21" s="29"/>
      <c r="F21" s="29"/>
      <c r="G21" s="29"/>
      <c r="H21" s="29"/>
      <c r="I21" s="29"/>
      <c r="J21" s="29"/>
      <c r="K21" s="29"/>
      <c r="L21" s="29"/>
      <c r="M21" s="29"/>
      <c r="N21" s="29"/>
      <c r="O21" s="29"/>
      <c r="P21" s="29"/>
      <c r="Q21" s="29"/>
      <c r="R21" s="29"/>
      <c r="S21" s="29"/>
      <c r="T21" s="207"/>
      <c r="W21" s="36"/>
      <c r="X21" s="1"/>
      <c r="Y21" s="213"/>
      <c r="Z21" s="69">
        <f ca="1">IF((N14-(SUM(O14:Q14)))&lt;0,0,(N14-(SUM(O14:Q14))))</f>
        <v>0</v>
      </c>
      <c r="AA21" s="326">
        <f ca="1">Z21/N14</f>
        <v>0</v>
      </c>
      <c r="AB21" s="69">
        <f ca="1">SUMIFS(INDIRECT(VLOOKUP($L14,NFI,4,0)),NFI_Pipeline_State,$C$6)</f>
        <v>0</v>
      </c>
      <c r="AC21" s="68">
        <f ca="1">AB21/N14</f>
        <v>0</v>
      </c>
      <c r="AD21" s="70">
        <f ca="1">IF((N14-(O14+Q14+AB21))&lt;0,0,(N14-(O14+Q14+AB21)))</f>
        <v>0</v>
      </c>
      <c r="AE21" s="71">
        <f ca="1">AD21/N14</f>
        <v>0</v>
      </c>
      <c r="AF21" s="207"/>
    </row>
    <row r="22" spans="2:32" ht="12.75" customHeight="1" thickBot="1" x14ac:dyDescent="0.3">
      <c r="B22" s="213"/>
      <c r="C22" s="29"/>
      <c r="D22" s="29"/>
      <c r="E22" s="29"/>
      <c r="F22" s="29"/>
      <c r="G22" s="29"/>
      <c r="H22" s="29"/>
      <c r="I22" s="29"/>
      <c r="J22" s="29"/>
      <c r="K22" s="29"/>
      <c r="L22" s="29"/>
      <c r="M22" s="29"/>
      <c r="N22" s="29"/>
      <c r="O22" s="29"/>
      <c r="P22" s="29"/>
      <c r="Q22" s="29"/>
      <c r="R22" s="29"/>
      <c r="S22" s="29"/>
      <c r="T22" s="207"/>
      <c r="W22" s="202"/>
      <c r="X22" s="203"/>
      <c r="Y22" s="214"/>
      <c r="Z22" s="204"/>
      <c r="AA22" s="204"/>
      <c r="AB22" s="204"/>
      <c r="AC22" s="204"/>
      <c r="AD22" s="204"/>
      <c r="AE22" s="204"/>
      <c r="AF22" s="212"/>
    </row>
    <row r="23" spans="2:32" ht="12.75" customHeight="1" x14ac:dyDescent="0.25">
      <c r="B23" s="213"/>
      <c r="C23" s="29"/>
      <c r="D23" s="29"/>
      <c r="E23" s="29"/>
      <c r="F23" s="29"/>
      <c r="G23" s="29"/>
      <c r="H23" s="29"/>
      <c r="I23" s="29"/>
      <c r="J23" s="29"/>
      <c r="K23" s="29"/>
      <c r="L23" s="29"/>
      <c r="M23" s="29"/>
      <c r="N23" s="29"/>
      <c r="O23" s="29"/>
      <c r="P23" s="29"/>
      <c r="Q23" s="29"/>
      <c r="R23" s="29"/>
      <c r="S23" s="29"/>
      <c r="T23" s="207"/>
      <c r="Y23" s="1"/>
    </row>
    <row r="24" spans="2:32" ht="12.75" customHeight="1" x14ac:dyDescent="0.25">
      <c r="B24" s="213"/>
      <c r="C24" s="29"/>
      <c r="D24" s="29"/>
      <c r="E24" s="29"/>
      <c r="F24" s="29"/>
      <c r="G24" s="29"/>
      <c r="H24" s="29"/>
      <c r="I24" s="29"/>
      <c r="J24" s="29"/>
      <c r="K24" s="29"/>
      <c r="L24" s="29"/>
      <c r="M24" s="29"/>
      <c r="N24" s="29"/>
      <c r="O24" s="29"/>
      <c r="P24" s="29"/>
      <c r="Q24" s="29"/>
      <c r="R24" s="29"/>
      <c r="S24" s="29"/>
      <c r="T24" s="207"/>
      <c r="Y24" s="1"/>
    </row>
    <row r="25" spans="2:32" ht="12.75" customHeight="1" x14ac:dyDescent="0.25">
      <c r="B25" s="213"/>
      <c r="C25" s="29"/>
      <c r="D25" s="29"/>
      <c r="E25" s="29"/>
      <c r="F25" s="29"/>
      <c r="G25" s="29"/>
      <c r="H25" s="29"/>
      <c r="I25" s="29"/>
      <c r="J25" s="29"/>
      <c r="K25" s="29"/>
      <c r="L25" s="29"/>
      <c r="M25" s="29"/>
      <c r="N25" s="29"/>
      <c r="O25" s="29"/>
      <c r="P25" s="29"/>
      <c r="Q25" s="29"/>
      <c r="R25" s="29"/>
      <c r="S25" s="29"/>
      <c r="T25" s="207"/>
    </row>
    <row r="26" spans="2:32" ht="12.75" customHeight="1" x14ac:dyDescent="0.25">
      <c r="B26" s="213"/>
      <c r="C26" s="29"/>
      <c r="D26" s="29"/>
      <c r="E26" s="29"/>
      <c r="F26" s="29"/>
      <c r="G26" s="29"/>
      <c r="H26" s="29"/>
      <c r="I26" s="29"/>
      <c r="J26" s="29"/>
      <c r="K26" s="29"/>
      <c r="L26" s="29"/>
      <c r="M26" s="29"/>
      <c r="N26" s="29"/>
      <c r="O26" s="29"/>
      <c r="P26" s="29"/>
      <c r="Q26" s="29"/>
      <c r="R26" s="29"/>
      <c r="S26" s="29"/>
      <c r="T26" s="207"/>
    </row>
    <row r="27" spans="2:32" x14ac:dyDescent="0.25">
      <c r="B27" s="213"/>
      <c r="C27" s="29"/>
      <c r="D27" s="29"/>
      <c r="E27" s="29"/>
      <c r="F27" s="29"/>
      <c r="G27" s="29"/>
      <c r="H27" s="29"/>
      <c r="I27" s="29"/>
      <c r="J27" s="29"/>
      <c r="K27" s="29"/>
      <c r="L27" s="29"/>
      <c r="M27" s="29"/>
      <c r="N27" s="29"/>
      <c r="O27" s="29"/>
      <c r="P27" s="29"/>
      <c r="Q27" s="29"/>
      <c r="R27" s="29"/>
      <c r="S27" s="29"/>
      <c r="T27" s="207"/>
    </row>
    <row r="28" spans="2:32" x14ac:dyDescent="0.25">
      <c r="B28" s="213"/>
      <c r="C28" s="29"/>
      <c r="D28" s="29"/>
      <c r="E28" s="29"/>
      <c r="F28" s="29"/>
      <c r="G28" s="29"/>
      <c r="H28" s="29"/>
      <c r="I28" s="29"/>
      <c r="J28" s="29"/>
      <c r="K28" s="29"/>
      <c r="L28" s="29"/>
      <c r="M28" s="29"/>
      <c r="N28" s="29"/>
      <c r="O28" s="29"/>
      <c r="P28" s="29"/>
      <c r="Q28" s="29"/>
      <c r="R28" s="29"/>
      <c r="S28" s="29"/>
      <c r="T28" s="207"/>
    </row>
    <row r="29" spans="2:32" x14ac:dyDescent="0.25">
      <c r="B29" s="213"/>
      <c r="C29" s="29"/>
      <c r="D29" s="29"/>
      <c r="E29" s="29"/>
      <c r="F29" s="29"/>
      <c r="G29" s="29"/>
      <c r="H29" s="29"/>
      <c r="I29" s="29"/>
      <c r="J29" s="29"/>
      <c r="K29" s="29"/>
      <c r="L29" s="29"/>
      <c r="M29" s="29"/>
      <c r="N29" s="29"/>
      <c r="O29" s="29"/>
      <c r="P29" s="29"/>
      <c r="Q29" s="29"/>
      <c r="R29" s="29"/>
      <c r="S29" s="29"/>
      <c r="T29" s="207"/>
    </row>
    <row r="30" spans="2:32" x14ac:dyDescent="0.25">
      <c r="B30" s="213"/>
      <c r="C30" s="29"/>
      <c r="D30" s="29"/>
      <c r="E30" s="29"/>
      <c r="F30" s="29"/>
      <c r="G30" s="29"/>
      <c r="H30" s="29"/>
      <c r="I30" s="29"/>
      <c r="J30" s="29"/>
      <c r="K30" s="29"/>
      <c r="L30" s="29"/>
      <c r="M30" s="29"/>
      <c r="N30" s="29"/>
      <c r="O30" s="29"/>
      <c r="P30" s="29"/>
      <c r="Q30" s="29"/>
      <c r="R30" s="29"/>
      <c r="S30" s="29"/>
      <c r="T30" s="207"/>
    </row>
    <row r="31" spans="2:32" s="92" customFormat="1" x14ac:dyDescent="0.25">
      <c r="B31" s="213"/>
      <c r="C31" s="29"/>
      <c r="D31" s="29"/>
      <c r="E31" s="29"/>
      <c r="F31" s="29"/>
      <c r="G31" s="29"/>
      <c r="H31" s="29"/>
      <c r="I31" s="29"/>
      <c r="J31" s="29"/>
      <c r="K31" s="29"/>
      <c r="L31" s="29"/>
      <c r="M31" s="29"/>
      <c r="N31" s="29"/>
      <c r="O31" s="29"/>
      <c r="P31" s="29"/>
      <c r="Q31" s="29"/>
      <c r="R31" s="29"/>
      <c r="S31" s="29"/>
      <c r="T31" s="207"/>
    </row>
    <row r="32" spans="2:32" s="92" customFormat="1" x14ac:dyDescent="0.25">
      <c r="B32" s="213"/>
      <c r="C32" s="29"/>
      <c r="D32" s="29"/>
      <c r="E32" s="29"/>
      <c r="F32" s="29"/>
      <c r="G32" s="29"/>
      <c r="H32" s="29"/>
      <c r="I32" s="29"/>
      <c r="J32" s="29"/>
      <c r="K32" s="29"/>
      <c r="L32" s="29"/>
      <c r="M32" s="29"/>
      <c r="N32" s="29"/>
      <c r="O32" s="29"/>
      <c r="P32" s="29"/>
      <c r="Q32" s="29"/>
      <c r="R32" s="29"/>
      <c r="S32" s="29"/>
      <c r="T32" s="207"/>
    </row>
    <row r="33" spans="2:20" x14ac:dyDescent="0.25">
      <c r="B33" s="213"/>
      <c r="C33" s="29"/>
      <c r="D33" s="29"/>
      <c r="E33" s="29"/>
      <c r="F33" s="29"/>
      <c r="G33" s="29"/>
      <c r="H33" s="29"/>
      <c r="I33" s="29"/>
      <c r="J33" s="29"/>
      <c r="K33" s="29"/>
      <c r="L33" s="29"/>
      <c r="M33" s="29"/>
      <c r="N33" s="29"/>
      <c r="O33" s="29"/>
      <c r="P33" s="29"/>
      <c r="Q33" s="29"/>
      <c r="R33" s="29"/>
      <c r="S33" s="29"/>
      <c r="T33" s="207"/>
    </row>
    <row r="34" spans="2:20" x14ac:dyDescent="0.25">
      <c r="B34" s="213"/>
      <c r="C34" s="29"/>
      <c r="D34" s="29"/>
      <c r="E34" s="29"/>
      <c r="F34" s="29"/>
      <c r="G34" s="29"/>
      <c r="H34" s="29"/>
      <c r="I34" s="29"/>
      <c r="J34" s="29"/>
      <c r="K34" s="29"/>
      <c r="L34" s="29"/>
      <c r="M34" s="29"/>
      <c r="N34" s="29"/>
      <c r="O34" s="29"/>
      <c r="P34" s="29"/>
      <c r="Q34" s="29"/>
      <c r="R34" s="29"/>
      <c r="S34" s="29"/>
      <c r="T34" s="207"/>
    </row>
    <row r="35" spans="2:20" x14ac:dyDescent="0.25">
      <c r="B35" s="213"/>
      <c r="C35" s="29"/>
      <c r="D35" s="29"/>
      <c r="E35" s="29"/>
      <c r="F35" s="29"/>
      <c r="G35" s="29"/>
      <c r="H35" s="29"/>
      <c r="I35" s="29"/>
      <c r="J35" s="29"/>
      <c r="K35" s="29"/>
      <c r="L35" s="29"/>
      <c r="M35" s="29"/>
      <c r="N35" s="29"/>
      <c r="O35" s="29"/>
      <c r="P35" s="29"/>
      <c r="Q35" s="29"/>
      <c r="R35" s="29"/>
      <c r="S35" s="29"/>
      <c r="T35" s="207"/>
    </row>
    <row r="36" spans="2:20" s="92" customFormat="1" ht="4.1500000000000004" customHeight="1" x14ac:dyDescent="0.25">
      <c r="B36" s="213"/>
      <c r="C36" s="29"/>
      <c r="D36" s="29"/>
      <c r="E36" s="29"/>
      <c r="F36" s="29"/>
      <c r="G36" s="29"/>
      <c r="H36" s="29"/>
      <c r="I36" s="29"/>
      <c r="J36" s="29"/>
      <c r="K36" s="29"/>
      <c r="L36" s="29"/>
      <c r="M36" s="29"/>
      <c r="N36" s="29"/>
      <c r="O36" s="29"/>
      <c r="P36" s="29"/>
      <c r="Q36" s="29"/>
      <c r="R36" s="29"/>
      <c r="S36" s="29"/>
      <c r="T36" s="207"/>
    </row>
    <row r="37" spans="2:20" s="92" customFormat="1" x14ac:dyDescent="0.25">
      <c r="B37" s="213"/>
      <c r="C37" s="29"/>
      <c r="D37" s="29"/>
      <c r="E37" s="29"/>
      <c r="F37" s="29"/>
      <c r="G37" s="29"/>
      <c r="H37" s="29"/>
      <c r="I37" s="29"/>
      <c r="J37" s="29"/>
      <c r="K37" s="29"/>
      <c r="L37" s="29"/>
      <c r="M37" s="29"/>
      <c r="N37" s="29"/>
      <c r="O37" s="29"/>
      <c r="P37" s="29"/>
      <c r="Q37" s="29"/>
      <c r="R37" s="29"/>
      <c r="S37" s="29"/>
      <c r="T37" s="207"/>
    </row>
    <row r="38" spans="2:20" ht="19.5" customHeight="1" x14ac:dyDescent="0.25">
      <c r="B38" s="213"/>
      <c r="C38" s="29"/>
      <c r="D38" s="29"/>
      <c r="E38" s="29"/>
      <c r="F38" s="29"/>
      <c r="G38" s="29"/>
      <c r="H38" s="29"/>
      <c r="I38" s="29"/>
      <c r="J38" s="29"/>
      <c r="K38" s="29"/>
      <c r="L38" s="29"/>
      <c r="M38" s="29"/>
      <c r="N38" s="29"/>
      <c r="O38" s="29"/>
      <c r="P38" s="29"/>
      <c r="Q38" s="29"/>
      <c r="R38" s="29"/>
      <c r="S38" s="29"/>
      <c r="T38" s="207"/>
    </row>
    <row r="39" spans="2:20" ht="7.5" customHeight="1" thickBot="1" x14ac:dyDescent="0.3">
      <c r="B39" s="214"/>
      <c r="C39" s="204"/>
      <c r="D39" s="204"/>
      <c r="E39" s="204"/>
      <c r="F39" s="204"/>
      <c r="G39" s="204"/>
      <c r="H39" s="204"/>
      <c r="I39" s="204"/>
      <c r="J39" s="204"/>
      <c r="K39" s="204"/>
      <c r="L39" s="204"/>
      <c r="M39" s="204"/>
      <c r="N39" s="204"/>
      <c r="O39" s="204"/>
      <c r="P39" s="204"/>
      <c r="Q39" s="204"/>
      <c r="R39" s="204"/>
      <c r="S39" s="204"/>
      <c r="T39" s="212"/>
    </row>
    <row r="40" spans="2:20" hidden="1" x14ac:dyDescent="0.25">
      <c r="C40" s="5"/>
      <c r="D40" s="5"/>
      <c r="E40" s="5"/>
      <c r="F40" s="5"/>
      <c r="N40" s="5"/>
      <c r="O40" s="5"/>
      <c r="P40" s="5"/>
      <c r="Q40" s="5"/>
    </row>
    <row r="41" spans="2:20" ht="15.75" hidden="1" thickBot="1" x14ac:dyDescent="0.3">
      <c r="G41" s="341" t="s">
        <v>498</v>
      </c>
      <c r="H41" s="333" t="s">
        <v>500</v>
      </c>
      <c r="I41" s="204"/>
      <c r="J41" s="204"/>
      <c r="K41" s="204"/>
      <c r="L41" s="204"/>
      <c r="M41" s="204"/>
    </row>
    <row r="42" spans="2:20" ht="28.5" hidden="1" customHeight="1" x14ac:dyDescent="0.25">
      <c r="G42" s="341" t="s">
        <v>1135</v>
      </c>
      <c r="H42" s="333" t="s">
        <v>1122</v>
      </c>
      <c r="I42" s="5"/>
      <c r="J42" s="5"/>
      <c r="K42" s="5"/>
      <c r="L42" s="5"/>
      <c r="M42" s="5"/>
    </row>
    <row r="43" spans="2:20" hidden="1" x14ac:dyDescent="0.25"/>
    <row r="44" spans="2:20" hidden="1" x14ac:dyDescent="0.25">
      <c r="G44" s="341" t="s">
        <v>414</v>
      </c>
      <c r="H44" s="333" t="s">
        <v>1225</v>
      </c>
      <c r="I44" s="333" t="s">
        <v>1647</v>
      </c>
      <c r="J44" s="333" t="s">
        <v>1648</v>
      </c>
      <c r="K44" s="333" t="s">
        <v>1649</v>
      </c>
      <c r="L44" s="333" t="s">
        <v>1226</v>
      </c>
      <c r="M44" s="333" t="s">
        <v>1227</v>
      </c>
    </row>
    <row r="45" spans="2:20" hidden="1" x14ac:dyDescent="0.25">
      <c r="G45" s="17" t="s">
        <v>905</v>
      </c>
      <c r="H45" s="335"/>
      <c r="I45" s="335"/>
      <c r="J45" s="335"/>
      <c r="K45" s="335"/>
      <c r="L45" s="335"/>
      <c r="M45" s="335"/>
    </row>
    <row r="46" spans="2:20" hidden="1" x14ac:dyDescent="0.25">
      <c r="C46" s="341" t="s">
        <v>1135</v>
      </c>
      <c r="D46" s="333" t="s">
        <v>1122</v>
      </c>
      <c r="G46" s="17" t="s">
        <v>452</v>
      </c>
      <c r="H46" s="335">
        <v>1051</v>
      </c>
      <c r="I46" s="335">
        <v>585</v>
      </c>
      <c r="J46" s="335">
        <v>1205</v>
      </c>
      <c r="K46" s="335">
        <v>347</v>
      </c>
      <c r="L46" s="335">
        <v>385</v>
      </c>
      <c r="M46" s="335">
        <v>1376</v>
      </c>
    </row>
    <row r="47" spans="2:20" hidden="1" x14ac:dyDescent="0.25">
      <c r="C47" s="341" t="s">
        <v>498</v>
      </c>
      <c r="D47" s="333" t="s">
        <v>500</v>
      </c>
      <c r="G47" s="17" t="s">
        <v>415</v>
      </c>
      <c r="H47" s="335">
        <v>1051</v>
      </c>
      <c r="I47" s="335">
        <v>585</v>
      </c>
      <c r="J47" s="335">
        <v>1205</v>
      </c>
      <c r="K47" s="335">
        <v>347</v>
      </c>
      <c r="L47" s="335">
        <v>385</v>
      </c>
      <c r="M47" s="335">
        <v>1376</v>
      </c>
    </row>
    <row r="48" spans="2:20" hidden="1" x14ac:dyDescent="0.25">
      <c r="C48"/>
      <c r="D48"/>
      <c r="E48"/>
      <c r="F48"/>
      <c r="G48"/>
      <c r="H48"/>
      <c r="I48"/>
      <c r="J48"/>
      <c r="K48"/>
      <c r="L48"/>
      <c r="M48"/>
    </row>
    <row r="49" spans="3:13" hidden="1" x14ac:dyDescent="0.25">
      <c r="C49" s="341" t="s">
        <v>414</v>
      </c>
      <c r="D49" s="333" t="s">
        <v>1646</v>
      </c>
      <c r="E49" s="333" t="s">
        <v>1647</v>
      </c>
      <c r="F49" s="333" t="s">
        <v>1648</v>
      </c>
      <c r="G49" s="333" t="s">
        <v>1649</v>
      </c>
      <c r="H49" s="333" t="s">
        <v>1226</v>
      </c>
      <c r="I49" s="333" t="s">
        <v>1227</v>
      </c>
      <c r="J49"/>
      <c r="K49"/>
      <c r="L49"/>
      <c r="M49"/>
    </row>
    <row r="50" spans="3:13" hidden="1" x14ac:dyDescent="0.25">
      <c r="C50" s="17" t="s">
        <v>905</v>
      </c>
      <c r="D50" s="335"/>
      <c r="E50" s="335"/>
      <c r="F50" s="335"/>
      <c r="G50" s="335"/>
      <c r="H50" s="335"/>
      <c r="I50" s="335"/>
      <c r="J50"/>
      <c r="K50"/>
      <c r="L50"/>
      <c r="M50"/>
    </row>
    <row r="51" spans="3:13" hidden="1" x14ac:dyDescent="0.25">
      <c r="C51" s="17" t="s">
        <v>452</v>
      </c>
      <c r="D51" s="335">
        <v>1051</v>
      </c>
      <c r="E51" s="335">
        <v>585</v>
      </c>
      <c r="F51" s="335">
        <v>1205</v>
      </c>
      <c r="G51" s="335">
        <v>347</v>
      </c>
      <c r="H51" s="335">
        <v>385</v>
      </c>
      <c r="I51" s="335">
        <v>1376</v>
      </c>
      <c r="J51"/>
      <c r="K51"/>
      <c r="L51"/>
      <c r="M51"/>
    </row>
    <row r="52" spans="3:13" hidden="1" x14ac:dyDescent="0.25">
      <c r="C52" s="17" t="s">
        <v>415</v>
      </c>
      <c r="D52" s="335">
        <v>1051</v>
      </c>
      <c r="E52" s="335">
        <v>585</v>
      </c>
      <c r="F52" s="335">
        <v>1205</v>
      </c>
      <c r="G52" s="335">
        <v>347</v>
      </c>
      <c r="H52" s="335">
        <v>385</v>
      </c>
      <c r="I52" s="335">
        <v>1376</v>
      </c>
      <c r="J52"/>
      <c r="K52"/>
      <c r="L52"/>
      <c r="M52"/>
    </row>
    <row r="53" spans="3:13" hidden="1" x14ac:dyDescent="0.25">
      <c r="C53"/>
      <c r="D53"/>
      <c r="E53"/>
      <c r="F53"/>
      <c r="G53"/>
      <c r="H53"/>
      <c r="I53"/>
      <c r="J53"/>
      <c r="K53"/>
      <c r="L53"/>
      <c r="M53"/>
    </row>
    <row r="54" spans="3:13" hidden="1" x14ac:dyDescent="0.25">
      <c r="C54"/>
      <c r="D54"/>
      <c r="E54"/>
      <c r="F54"/>
      <c r="G54"/>
      <c r="H54"/>
      <c r="I54"/>
      <c r="J54"/>
      <c r="K54"/>
      <c r="L54"/>
      <c r="M54"/>
    </row>
    <row r="55" spans="3:13" hidden="1" x14ac:dyDescent="0.25">
      <c r="C55"/>
      <c r="D55"/>
      <c r="E55"/>
      <c r="F55"/>
      <c r="G55"/>
      <c r="H55"/>
      <c r="I55"/>
      <c r="J55"/>
      <c r="K55"/>
      <c r="L55"/>
      <c r="M55"/>
    </row>
    <row r="56" spans="3:13" hidden="1" x14ac:dyDescent="0.25">
      <c r="C56"/>
      <c r="D56"/>
      <c r="E56"/>
      <c r="F56"/>
      <c r="G56"/>
      <c r="H56"/>
      <c r="I56"/>
      <c r="J56"/>
      <c r="K56"/>
      <c r="L56"/>
      <c r="M56"/>
    </row>
    <row r="57" spans="3:13" hidden="1" x14ac:dyDescent="0.25">
      <c r="C57"/>
      <c r="D57"/>
      <c r="E57"/>
      <c r="F57"/>
      <c r="G57"/>
      <c r="H57"/>
      <c r="I57"/>
      <c r="J57"/>
      <c r="K57"/>
      <c r="L57"/>
      <c r="M57"/>
    </row>
    <row r="58" spans="3:13" hidden="1" x14ac:dyDescent="0.25">
      <c r="C58"/>
      <c r="D58"/>
      <c r="E58"/>
      <c r="F58"/>
      <c r="G58"/>
      <c r="H58"/>
      <c r="I58"/>
      <c r="J58"/>
      <c r="K58"/>
      <c r="L58"/>
      <c r="M58"/>
    </row>
    <row r="59" spans="3:13" hidden="1" x14ac:dyDescent="0.25">
      <c r="C59"/>
      <c r="D59"/>
      <c r="E59"/>
      <c r="F59"/>
      <c r="G59"/>
      <c r="H59"/>
      <c r="I59"/>
      <c r="J59"/>
      <c r="K59"/>
      <c r="L59"/>
      <c r="M59"/>
    </row>
    <row r="60" spans="3:13" hidden="1" x14ac:dyDescent="0.25">
      <c r="C60"/>
      <c r="D60"/>
      <c r="E60"/>
      <c r="F60"/>
      <c r="G60"/>
      <c r="H60"/>
      <c r="I60"/>
      <c r="J60"/>
      <c r="K60"/>
      <c r="L60"/>
    </row>
    <row r="61" spans="3:13" hidden="1" x14ac:dyDescent="0.25">
      <c r="C61"/>
      <c r="D61"/>
      <c r="E61"/>
      <c r="F61"/>
      <c r="G61"/>
      <c r="H61"/>
      <c r="I61"/>
      <c r="J61"/>
      <c r="K61"/>
      <c r="L61"/>
    </row>
    <row r="62" spans="3:13" hidden="1" x14ac:dyDescent="0.25">
      <c r="C62"/>
      <c r="D62"/>
      <c r="E62"/>
      <c r="F62"/>
      <c r="G62"/>
      <c r="H62"/>
      <c r="I62"/>
      <c r="J62"/>
      <c r="K62"/>
      <c r="L62"/>
    </row>
    <row r="63" spans="3:13" hidden="1" x14ac:dyDescent="0.25">
      <c r="C63"/>
      <c r="D63"/>
      <c r="E63"/>
      <c r="F63"/>
      <c r="G63"/>
      <c r="H63"/>
      <c r="I63"/>
      <c r="J63"/>
      <c r="K63"/>
      <c r="L63"/>
    </row>
    <row r="64" spans="3:13" hidden="1" x14ac:dyDescent="0.25">
      <c r="C64"/>
      <c r="D64"/>
      <c r="E64"/>
      <c r="F64"/>
      <c r="G64"/>
      <c r="H64"/>
      <c r="I64"/>
      <c r="J64"/>
      <c r="K64"/>
      <c r="L64"/>
    </row>
    <row r="65" spans="3:12" hidden="1" x14ac:dyDescent="0.25">
      <c r="C65"/>
      <c r="D65"/>
      <c r="E65"/>
      <c r="F65"/>
      <c r="G65"/>
      <c r="H65"/>
      <c r="I65"/>
      <c r="J65"/>
      <c r="K65"/>
      <c r="L65"/>
    </row>
    <row r="66" spans="3:12" hidden="1" x14ac:dyDescent="0.25">
      <c r="C66"/>
      <c r="D66"/>
      <c r="E66"/>
      <c r="G66"/>
      <c r="H66"/>
      <c r="I66"/>
      <c r="J66"/>
      <c r="K66"/>
      <c r="L66"/>
    </row>
    <row r="67" spans="3:12" hidden="1" x14ac:dyDescent="0.25">
      <c r="G67"/>
      <c r="H67"/>
      <c r="I67"/>
      <c r="J67"/>
      <c r="K67"/>
      <c r="L67"/>
    </row>
    <row r="68" spans="3:12" hidden="1" x14ac:dyDescent="0.25">
      <c r="G68"/>
      <c r="H68"/>
      <c r="I68"/>
      <c r="J68"/>
      <c r="K68"/>
      <c r="L68"/>
    </row>
    <row r="69" spans="3:12" hidden="1" x14ac:dyDescent="0.25">
      <c r="G69"/>
      <c r="H69"/>
      <c r="I69"/>
      <c r="J69"/>
      <c r="K69"/>
      <c r="L69"/>
    </row>
    <row r="70" spans="3:12" hidden="1" x14ac:dyDescent="0.25">
      <c r="G70"/>
      <c r="H70"/>
      <c r="I70"/>
      <c r="J70"/>
      <c r="K70"/>
      <c r="L70"/>
    </row>
    <row r="71" spans="3:12" hidden="1" x14ac:dyDescent="0.25">
      <c r="G71"/>
      <c r="H71"/>
      <c r="I71"/>
      <c r="J71"/>
      <c r="K71"/>
      <c r="L71"/>
    </row>
    <row r="72" spans="3:12" hidden="1" x14ac:dyDescent="0.25">
      <c r="G72"/>
      <c r="H72"/>
      <c r="I72"/>
      <c r="J72"/>
      <c r="K72"/>
      <c r="L72"/>
    </row>
    <row r="73" spans="3:12" hidden="1" x14ac:dyDescent="0.25">
      <c r="G73"/>
      <c r="H73"/>
      <c r="I73"/>
      <c r="J73"/>
      <c r="K73"/>
      <c r="L73"/>
    </row>
    <row r="74" spans="3:12" x14ac:dyDescent="0.25">
      <c r="G74"/>
      <c r="H74"/>
      <c r="I74"/>
      <c r="J74"/>
      <c r="K74"/>
      <c r="L74"/>
    </row>
    <row r="75" spans="3:12" x14ac:dyDescent="0.25">
      <c r="G75"/>
      <c r="H75"/>
      <c r="I75"/>
      <c r="J75"/>
      <c r="K75"/>
      <c r="L75"/>
    </row>
    <row r="76" spans="3:12" x14ac:dyDescent="0.25">
      <c r="G76"/>
      <c r="H76"/>
      <c r="I76"/>
      <c r="J76"/>
      <c r="K76"/>
      <c r="L76"/>
    </row>
    <row r="77" spans="3:12" x14ac:dyDescent="0.25">
      <c r="G77"/>
      <c r="H77"/>
      <c r="I77"/>
      <c r="J77"/>
      <c r="K77"/>
      <c r="L77"/>
    </row>
    <row r="78" spans="3:12" x14ac:dyDescent="0.25">
      <c r="G78"/>
      <c r="H78"/>
      <c r="I78"/>
      <c r="J78"/>
      <c r="K78"/>
      <c r="L78"/>
    </row>
    <row r="79" spans="3:12" x14ac:dyDescent="0.25">
      <c r="C79"/>
      <c r="D79"/>
      <c r="E79"/>
      <c r="F79"/>
      <c r="G79"/>
      <c r="H79"/>
      <c r="I79"/>
      <c r="J79"/>
      <c r="K79"/>
      <c r="L79"/>
    </row>
    <row r="80" spans="3:12" x14ac:dyDescent="0.25">
      <c r="C80"/>
      <c r="D80"/>
      <c r="E80"/>
      <c r="F80"/>
      <c r="G80"/>
      <c r="H80"/>
      <c r="I80"/>
      <c r="J80"/>
      <c r="K80"/>
      <c r="L80"/>
    </row>
    <row r="81" spans="3:12" x14ac:dyDescent="0.25">
      <c r="C81"/>
      <c r="D81"/>
      <c r="E81"/>
      <c r="F81"/>
      <c r="G81"/>
      <c r="H81"/>
      <c r="I81"/>
      <c r="J81"/>
      <c r="K81"/>
      <c r="L81"/>
    </row>
    <row r="82" spans="3:12" x14ac:dyDescent="0.25">
      <c r="C82"/>
      <c r="D82"/>
      <c r="E82"/>
      <c r="F82"/>
      <c r="G82"/>
      <c r="H82"/>
      <c r="I82"/>
      <c r="J82"/>
      <c r="K82"/>
      <c r="L82"/>
    </row>
    <row r="83" spans="3:12" x14ac:dyDescent="0.25">
      <c r="C83"/>
      <c r="D83"/>
      <c r="E83"/>
      <c r="F83"/>
      <c r="G83"/>
      <c r="H83"/>
      <c r="I83"/>
      <c r="J83"/>
      <c r="K83"/>
      <c r="L83"/>
    </row>
    <row r="84" spans="3:12" x14ac:dyDescent="0.25">
      <c r="C84"/>
      <c r="D84"/>
      <c r="E84"/>
      <c r="F84"/>
      <c r="G84"/>
      <c r="H84"/>
      <c r="I84"/>
      <c r="J84"/>
      <c r="K84"/>
      <c r="L84"/>
    </row>
    <row r="85" spans="3:12" x14ac:dyDescent="0.25">
      <c r="C85"/>
      <c r="D85"/>
      <c r="E85"/>
      <c r="F85"/>
      <c r="G85"/>
      <c r="H85"/>
      <c r="I85"/>
      <c r="J85"/>
      <c r="K85"/>
      <c r="L85"/>
    </row>
    <row r="86" spans="3:12" x14ac:dyDescent="0.25">
      <c r="C86"/>
      <c r="D86"/>
      <c r="E86"/>
      <c r="F86"/>
      <c r="G86"/>
      <c r="H86"/>
      <c r="I86"/>
      <c r="J86"/>
      <c r="K86"/>
      <c r="L86"/>
    </row>
    <row r="87" spans="3:12" x14ac:dyDescent="0.25">
      <c r="C87"/>
      <c r="D87"/>
      <c r="E87"/>
      <c r="F87"/>
      <c r="G87"/>
      <c r="H87"/>
      <c r="I87"/>
      <c r="J87"/>
      <c r="K87"/>
      <c r="L87"/>
    </row>
    <row r="88" spans="3:12" x14ac:dyDescent="0.25">
      <c r="C88"/>
      <c r="D88"/>
      <c r="E88"/>
      <c r="F88"/>
      <c r="G88"/>
      <c r="H88"/>
      <c r="I88"/>
      <c r="J88"/>
      <c r="K88"/>
      <c r="L88"/>
    </row>
    <row r="89" spans="3:12" x14ac:dyDescent="0.25">
      <c r="C89"/>
      <c r="D89"/>
      <c r="E89"/>
      <c r="F89"/>
      <c r="G89"/>
      <c r="H89"/>
      <c r="I89"/>
      <c r="J89"/>
      <c r="K89"/>
      <c r="L89"/>
    </row>
    <row r="90" spans="3:12" x14ac:dyDescent="0.25">
      <c r="C90"/>
      <c r="D90"/>
      <c r="E90"/>
      <c r="F90"/>
      <c r="G90"/>
      <c r="H90"/>
      <c r="I90"/>
      <c r="J90"/>
      <c r="K90"/>
      <c r="L90"/>
    </row>
    <row r="91" spans="3:12" x14ac:dyDescent="0.25">
      <c r="C91"/>
      <c r="D91"/>
      <c r="E91"/>
      <c r="F91"/>
      <c r="G91"/>
      <c r="H91"/>
      <c r="I91"/>
      <c r="J91"/>
      <c r="K91"/>
      <c r="L91"/>
    </row>
    <row r="92" spans="3:12" x14ac:dyDescent="0.25">
      <c r="C92"/>
      <c r="D92"/>
      <c r="E92"/>
      <c r="F92"/>
      <c r="G92"/>
      <c r="H92"/>
      <c r="I92"/>
      <c r="J92"/>
      <c r="K92"/>
      <c r="L92"/>
    </row>
    <row r="93" spans="3:12" x14ac:dyDescent="0.25">
      <c r="C93"/>
      <c r="D93"/>
      <c r="E93"/>
      <c r="F93"/>
      <c r="G93"/>
      <c r="H93"/>
      <c r="I93"/>
      <c r="J93"/>
      <c r="K93"/>
      <c r="L93"/>
    </row>
    <row r="94" spans="3:12" x14ac:dyDescent="0.25">
      <c r="C94"/>
      <c r="D94"/>
      <c r="E94"/>
      <c r="F94"/>
      <c r="G94"/>
      <c r="H94"/>
      <c r="I94"/>
      <c r="J94"/>
      <c r="K94"/>
      <c r="L94"/>
    </row>
    <row r="95" spans="3:12" x14ac:dyDescent="0.25">
      <c r="C95"/>
      <c r="D95"/>
      <c r="E95"/>
      <c r="F95"/>
      <c r="G95"/>
      <c r="H95"/>
      <c r="I95"/>
      <c r="J95"/>
      <c r="K95"/>
      <c r="L95"/>
    </row>
    <row r="96" spans="3:12" x14ac:dyDescent="0.25">
      <c r="C96"/>
      <c r="D96"/>
      <c r="E96"/>
      <c r="F96"/>
      <c r="G96"/>
      <c r="H96"/>
      <c r="I96"/>
      <c r="J96"/>
      <c r="K96"/>
      <c r="L96"/>
    </row>
    <row r="97" spans="3:12" x14ac:dyDescent="0.25">
      <c r="C97"/>
      <c r="D97"/>
      <c r="E97"/>
      <c r="F97"/>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G102"/>
      <c r="H102"/>
      <c r="I102"/>
      <c r="J102"/>
      <c r="K102"/>
      <c r="L102"/>
    </row>
    <row r="103" spans="3:12" x14ac:dyDescent="0.25">
      <c r="G103"/>
      <c r="H103"/>
      <c r="I103"/>
      <c r="J103"/>
      <c r="K103"/>
      <c r="L103"/>
    </row>
    <row r="104" spans="3:12" x14ac:dyDescent="0.25">
      <c r="G104"/>
      <c r="H104"/>
      <c r="I104"/>
      <c r="J104"/>
      <c r="K104"/>
      <c r="L104"/>
    </row>
    <row r="105" spans="3:12" x14ac:dyDescent="0.25">
      <c r="G105"/>
      <c r="H105"/>
      <c r="I105"/>
      <c r="J105"/>
      <c r="K105"/>
      <c r="L105"/>
    </row>
    <row r="106" spans="3:12" x14ac:dyDescent="0.25">
      <c r="G106"/>
      <c r="H106"/>
      <c r="I106"/>
      <c r="J106"/>
      <c r="K106"/>
      <c r="L106"/>
    </row>
    <row r="107" spans="3:12" x14ac:dyDescent="0.25">
      <c r="G107"/>
      <c r="H107"/>
      <c r="I107"/>
      <c r="J107"/>
      <c r="K107"/>
      <c r="L107"/>
    </row>
    <row r="108" spans="3:12" x14ac:dyDescent="0.25">
      <c r="G108"/>
      <c r="H108"/>
      <c r="I108"/>
      <c r="J108"/>
      <c r="K108"/>
      <c r="L108"/>
    </row>
    <row r="109" spans="3:12" x14ac:dyDescent="0.25">
      <c r="G109"/>
      <c r="H109"/>
      <c r="I109"/>
      <c r="J109"/>
      <c r="K109"/>
      <c r="L109"/>
    </row>
    <row r="110" spans="3:12" x14ac:dyDescent="0.25">
      <c r="G110"/>
      <c r="H110"/>
      <c r="I110"/>
      <c r="J110"/>
      <c r="K110"/>
      <c r="L110"/>
    </row>
    <row r="111" spans="3:12" x14ac:dyDescent="0.25">
      <c r="G111"/>
      <c r="H111"/>
      <c r="I111"/>
      <c r="J111"/>
      <c r="K111"/>
      <c r="L111"/>
    </row>
    <row r="112" spans="3:12" x14ac:dyDescent="0.25">
      <c r="G112"/>
      <c r="H112"/>
      <c r="I112"/>
      <c r="J112"/>
      <c r="K112"/>
      <c r="L112"/>
    </row>
    <row r="113" spans="7:12" x14ac:dyDescent="0.25">
      <c r="G113"/>
      <c r="H113"/>
      <c r="I113"/>
      <c r="J113"/>
      <c r="K113"/>
      <c r="L113"/>
    </row>
    <row r="114" spans="7:12" x14ac:dyDescent="0.25">
      <c r="G114"/>
      <c r="H114"/>
      <c r="I114"/>
      <c r="J114"/>
      <c r="K114"/>
      <c r="L114"/>
    </row>
    <row r="115" spans="7:12" x14ac:dyDescent="0.25">
      <c r="G115"/>
      <c r="H115"/>
      <c r="I115"/>
      <c r="J115"/>
      <c r="K115"/>
      <c r="L115"/>
    </row>
    <row r="116" spans="7:12" x14ac:dyDescent="0.25">
      <c r="G116"/>
      <c r="H116"/>
      <c r="I116"/>
      <c r="J116"/>
      <c r="K116"/>
      <c r="L116"/>
    </row>
    <row r="117" spans="7:12" x14ac:dyDescent="0.25">
      <c r="G117"/>
      <c r="H117"/>
      <c r="I117"/>
      <c r="J117"/>
      <c r="K117"/>
      <c r="L117"/>
    </row>
    <row r="118" spans="7:12" x14ac:dyDescent="0.25">
      <c r="G118"/>
      <c r="H118"/>
      <c r="I118"/>
      <c r="J118"/>
      <c r="K118"/>
      <c r="L118"/>
    </row>
    <row r="119" spans="7:12" x14ac:dyDescent="0.25">
      <c r="G119"/>
      <c r="H119"/>
      <c r="I119"/>
      <c r="J119"/>
      <c r="K119"/>
      <c r="L119"/>
    </row>
    <row r="120" spans="7:12" x14ac:dyDescent="0.25">
      <c r="G120"/>
      <c r="H120"/>
      <c r="I120"/>
      <c r="J120"/>
      <c r="K120"/>
      <c r="L120"/>
    </row>
    <row r="121" spans="7:12" x14ac:dyDescent="0.25">
      <c r="G121"/>
      <c r="H121"/>
      <c r="I121"/>
      <c r="J121"/>
      <c r="K121"/>
      <c r="L121"/>
    </row>
    <row r="122" spans="7:12" x14ac:dyDescent="0.25">
      <c r="G122"/>
      <c r="H122"/>
      <c r="I122"/>
      <c r="J122"/>
      <c r="K122"/>
      <c r="L122"/>
    </row>
    <row r="123" spans="7:12" x14ac:dyDescent="0.25">
      <c r="G123"/>
      <c r="H123"/>
      <c r="I123"/>
      <c r="J123"/>
      <c r="K123"/>
      <c r="L123"/>
    </row>
    <row r="124" spans="7:12" x14ac:dyDescent="0.25">
      <c r="G124"/>
      <c r="H124"/>
      <c r="I124"/>
      <c r="J124"/>
      <c r="K124"/>
      <c r="L124"/>
    </row>
    <row r="125" spans="7:12" x14ac:dyDescent="0.25">
      <c r="G125"/>
      <c r="H125"/>
      <c r="I125"/>
      <c r="J125"/>
      <c r="K125"/>
      <c r="L125"/>
    </row>
    <row r="126" spans="7:12" x14ac:dyDescent="0.25">
      <c r="G126"/>
      <c r="H126"/>
      <c r="I126"/>
      <c r="J126"/>
      <c r="K126"/>
      <c r="L126"/>
    </row>
    <row r="127" spans="7:12" x14ac:dyDescent="0.25">
      <c r="G127"/>
      <c r="H127"/>
      <c r="I127"/>
      <c r="J127"/>
      <c r="K127"/>
      <c r="L127"/>
    </row>
    <row r="128" spans="7: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row>
    <row r="212" spans="7:12" x14ac:dyDescent="0.25">
      <c r="G212"/>
      <c r="H212"/>
      <c r="I212"/>
      <c r="J212"/>
      <c r="K212"/>
    </row>
    <row r="213" spans="7:12" x14ac:dyDescent="0.25">
      <c r="G213"/>
      <c r="H213"/>
      <c r="I213"/>
      <c r="J213"/>
      <c r="K213"/>
    </row>
    <row r="214" spans="7:12" x14ac:dyDescent="0.25">
      <c r="G214"/>
      <c r="H214"/>
      <c r="I214"/>
      <c r="J214"/>
      <c r="K214"/>
    </row>
    <row r="215" spans="7:12" x14ac:dyDescent="0.25">
      <c r="G215"/>
      <c r="H215"/>
      <c r="I215"/>
      <c r="J215"/>
      <c r="K215"/>
    </row>
    <row r="216" spans="7:12" x14ac:dyDescent="0.25">
      <c r="G216"/>
      <c r="H216"/>
      <c r="I216"/>
      <c r="J216"/>
      <c r="K216"/>
    </row>
    <row r="217" spans="7:12" x14ac:dyDescent="0.25">
      <c r="G217"/>
      <c r="H217"/>
      <c r="I217"/>
      <c r="J217"/>
      <c r="K217"/>
    </row>
    <row r="218" spans="7:12" x14ac:dyDescent="0.25">
      <c r="G218"/>
      <c r="H218"/>
      <c r="I218"/>
      <c r="J218"/>
      <c r="K218"/>
    </row>
    <row r="219" spans="7:12" x14ac:dyDescent="0.25">
      <c r="G219"/>
      <c r="H219"/>
      <c r="I219"/>
      <c r="J219"/>
      <c r="K219"/>
    </row>
    <row r="220" spans="7:12" x14ac:dyDescent="0.25">
      <c r="G220"/>
      <c r="H220"/>
      <c r="I220"/>
      <c r="J220"/>
      <c r="K220"/>
    </row>
    <row r="221" spans="7:12" x14ac:dyDescent="0.25">
      <c r="G221"/>
      <c r="H221"/>
      <c r="I221"/>
      <c r="J221"/>
      <c r="K221"/>
    </row>
    <row r="222" spans="7:12" x14ac:dyDescent="0.25">
      <c r="G222"/>
      <c r="H222"/>
      <c r="I222"/>
      <c r="J222"/>
      <c r="K222"/>
    </row>
    <row r="223" spans="7:12" x14ac:dyDescent="0.25">
      <c r="G223"/>
      <c r="H223"/>
      <c r="I223"/>
      <c r="J223"/>
      <c r="K223"/>
    </row>
    <row r="224" spans="7:12" x14ac:dyDescent="0.25">
      <c r="G224"/>
      <c r="H224"/>
      <c r="I224"/>
      <c r="J224"/>
      <c r="K224"/>
    </row>
    <row r="225" spans="7:11" x14ac:dyDescent="0.25">
      <c r="G225"/>
      <c r="H225"/>
      <c r="I225"/>
      <c r="J225"/>
      <c r="K225"/>
    </row>
    <row r="226" spans="7:11" x14ac:dyDescent="0.25">
      <c r="G226"/>
      <c r="H226"/>
      <c r="I226"/>
      <c r="J226"/>
      <c r="K226"/>
    </row>
    <row r="227" spans="7:11" x14ac:dyDescent="0.25">
      <c r="G227"/>
      <c r="H227"/>
      <c r="I227"/>
      <c r="J227"/>
      <c r="K227"/>
    </row>
    <row r="228" spans="7:11" x14ac:dyDescent="0.25">
      <c r="G228"/>
      <c r="H228"/>
      <c r="I228"/>
      <c r="J228"/>
      <c r="K228"/>
    </row>
    <row r="229" spans="7:11" x14ac:dyDescent="0.25">
      <c r="G229"/>
      <c r="H229"/>
      <c r="I229"/>
      <c r="J229"/>
      <c r="K229"/>
    </row>
    <row r="230" spans="7:11" x14ac:dyDescent="0.25">
      <c r="G230"/>
      <c r="H230"/>
      <c r="I230"/>
      <c r="J230"/>
      <c r="K230"/>
    </row>
    <row r="231" spans="7:11" x14ac:dyDescent="0.25">
      <c r="G231"/>
      <c r="H231"/>
      <c r="I231"/>
      <c r="J231"/>
      <c r="K231"/>
    </row>
    <row r="232" spans="7:11" x14ac:dyDescent="0.25">
      <c r="G232"/>
      <c r="H232"/>
      <c r="I232"/>
      <c r="J232"/>
      <c r="K232"/>
    </row>
    <row r="233" spans="7:11" x14ac:dyDescent="0.25">
      <c r="G233"/>
      <c r="H233"/>
      <c r="I233"/>
      <c r="J233"/>
      <c r="K233"/>
    </row>
    <row r="234" spans="7:11" x14ac:dyDescent="0.25">
      <c r="G234"/>
      <c r="H234"/>
      <c r="I234"/>
      <c r="J234"/>
      <c r="K234"/>
    </row>
    <row r="235" spans="7:11" x14ac:dyDescent="0.25">
      <c r="G235"/>
      <c r="H235"/>
      <c r="I235"/>
      <c r="J235"/>
      <c r="K235"/>
    </row>
    <row r="236" spans="7:11" x14ac:dyDescent="0.25">
      <c r="G236"/>
      <c r="H236"/>
      <c r="I236"/>
      <c r="J236"/>
      <c r="K236"/>
    </row>
    <row r="237" spans="7:11" x14ac:dyDescent="0.25">
      <c r="G237"/>
      <c r="H237"/>
      <c r="I237"/>
      <c r="J237"/>
      <c r="K237"/>
    </row>
    <row r="238" spans="7:11" x14ac:dyDescent="0.25">
      <c r="G238"/>
      <c r="H238"/>
      <c r="I238"/>
      <c r="J238"/>
      <c r="K238"/>
    </row>
    <row r="239" spans="7:11" x14ac:dyDescent="0.25">
      <c r="G239"/>
      <c r="H239"/>
      <c r="I239"/>
      <c r="J239"/>
      <c r="K239"/>
    </row>
    <row r="240" spans="7:11"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row>
    <row r="379" spans="7:11" x14ac:dyDescent="0.25">
      <c r="G379"/>
      <c r="H379"/>
      <c r="I379"/>
      <c r="J379"/>
    </row>
    <row r="380" spans="7:11" x14ac:dyDescent="0.25">
      <c r="G380"/>
      <c r="H380"/>
      <c r="I380"/>
      <c r="J380"/>
    </row>
    <row r="381" spans="7:11" x14ac:dyDescent="0.25">
      <c r="G381"/>
      <c r="H381"/>
      <c r="I381"/>
      <c r="J381"/>
    </row>
    <row r="382" spans="7:11" x14ac:dyDescent="0.25">
      <c r="G382"/>
      <c r="H382"/>
      <c r="I382"/>
      <c r="J382"/>
    </row>
    <row r="383" spans="7:11" x14ac:dyDescent="0.25">
      <c r="G383"/>
      <c r="H383"/>
      <c r="I383"/>
      <c r="J383"/>
    </row>
    <row r="384" spans="7:11" x14ac:dyDescent="0.25">
      <c r="G384"/>
      <c r="H384"/>
      <c r="I384"/>
      <c r="J384"/>
    </row>
    <row r="385" spans="7:10" x14ac:dyDescent="0.25">
      <c r="G385"/>
      <c r="H385"/>
      <c r="I385"/>
      <c r="J385"/>
    </row>
    <row r="386" spans="7:10" x14ac:dyDescent="0.25">
      <c r="G386"/>
      <c r="H386"/>
      <c r="I386"/>
      <c r="J386"/>
    </row>
    <row r="387" spans="7:10" x14ac:dyDescent="0.25">
      <c r="G387"/>
      <c r="H387"/>
      <c r="I387"/>
      <c r="J387"/>
    </row>
    <row r="388" spans="7:10" x14ac:dyDescent="0.25">
      <c r="G388"/>
      <c r="H388"/>
      <c r="I388"/>
      <c r="J388"/>
    </row>
    <row r="389" spans="7:10" x14ac:dyDescent="0.25">
      <c r="G389"/>
      <c r="H389"/>
      <c r="I389"/>
      <c r="J389"/>
    </row>
    <row r="390" spans="7:10" x14ac:dyDescent="0.25">
      <c r="G390"/>
      <c r="H390"/>
      <c r="I390"/>
      <c r="J390"/>
    </row>
    <row r="391" spans="7:10" x14ac:dyDescent="0.25">
      <c r="G391"/>
      <c r="H391"/>
      <c r="I391"/>
      <c r="J391"/>
    </row>
    <row r="392" spans="7:10" x14ac:dyDescent="0.25">
      <c r="G392"/>
      <c r="H392"/>
      <c r="I392"/>
      <c r="J392"/>
    </row>
    <row r="393" spans="7:10" x14ac:dyDescent="0.25">
      <c r="G393"/>
      <c r="H393"/>
      <c r="I393"/>
      <c r="J393"/>
    </row>
    <row r="394" spans="7:10" x14ac:dyDescent="0.25">
      <c r="G394"/>
      <c r="H394"/>
      <c r="I394"/>
      <c r="J394"/>
    </row>
    <row r="395" spans="7:10" x14ac:dyDescent="0.25">
      <c r="G395"/>
      <c r="H395"/>
      <c r="I395"/>
      <c r="J395"/>
    </row>
    <row r="396" spans="7:10" x14ac:dyDescent="0.25">
      <c r="G396"/>
      <c r="H396"/>
      <c r="I396"/>
      <c r="J396"/>
    </row>
    <row r="397" spans="7:10" x14ac:dyDescent="0.25">
      <c r="G397"/>
      <c r="H397"/>
      <c r="I397"/>
      <c r="J397"/>
    </row>
    <row r="398" spans="7:10" x14ac:dyDescent="0.25">
      <c r="G398"/>
      <c r="H398"/>
      <c r="I398"/>
      <c r="J398"/>
    </row>
    <row r="399" spans="7:10" x14ac:dyDescent="0.25">
      <c r="G399"/>
      <c r="H399"/>
      <c r="I399"/>
      <c r="J399"/>
    </row>
    <row r="400" spans="7:10"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row>
    <row r="995" spans="7:10" x14ac:dyDescent="0.25">
      <c r="G995"/>
      <c r="H995"/>
      <c r="I995"/>
    </row>
    <row r="996" spans="7:10" x14ac:dyDescent="0.25">
      <c r="G996"/>
      <c r="H996"/>
      <c r="I996"/>
    </row>
    <row r="997" spans="7:10" x14ac:dyDescent="0.25">
      <c r="G997"/>
      <c r="H997"/>
      <c r="I997"/>
    </row>
    <row r="998" spans="7:10" x14ac:dyDescent="0.25">
      <c r="G998"/>
      <c r="H998"/>
      <c r="I998"/>
    </row>
    <row r="999" spans="7:10" x14ac:dyDescent="0.25">
      <c r="G999"/>
      <c r="H999"/>
      <c r="I999"/>
    </row>
    <row r="1000" spans="7:10" x14ac:dyDescent="0.25">
      <c r="G1000"/>
      <c r="H1000"/>
      <c r="I1000"/>
    </row>
    <row r="1001" spans="7:10" x14ac:dyDescent="0.25">
      <c r="G1001"/>
      <c r="H1001"/>
      <c r="I1001"/>
    </row>
    <row r="1002" spans="7:10" x14ac:dyDescent="0.25">
      <c r="G1002"/>
      <c r="H1002"/>
      <c r="I1002"/>
    </row>
    <row r="1003" spans="7:10" x14ac:dyDescent="0.25">
      <c r="G1003"/>
      <c r="H1003"/>
      <c r="I1003"/>
    </row>
    <row r="1004" spans="7:10" x14ac:dyDescent="0.25">
      <c r="G1004"/>
      <c r="H1004"/>
      <c r="I1004"/>
    </row>
    <row r="1005" spans="7:10" x14ac:dyDescent="0.25">
      <c r="G1005"/>
      <c r="H1005"/>
      <c r="I1005"/>
    </row>
    <row r="1006" spans="7:10" x14ac:dyDescent="0.25">
      <c r="G1006"/>
      <c r="H1006"/>
      <c r="I1006"/>
    </row>
    <row r="1007" spans="7:10" x14ac:dyDescent="0.25">
      <c r="G1007"/>
      <c r="H1007"/>
      <c r="I1007"/>
    </row>
    <row r="1008" spans="7:10" x14ac:dyDescent="0.25">
      <c r="G1008"/>
      <c r="H1008"/>
      <c r="I1008"/>
    </row>
    <row r="1009" spans="7:9" x14ac:dyDescent="0.25">
      <c r="G1009"/>
      <c r="H1009"/>
      <c r="I1009"/>
    </row>
    <row r="1010" spans="7:9" x14ac:dyDescent="0.25">
      <c r="G1010"/>
      <c r="H1010"/>
      <c r="I1010"/>
    </row>
    <row r="1011" spans="7:9" x14ac:dyDescent="0.25">
      <c r="G1011"/>
      <c r="H1011"/>
      <c r="I1011"/>
    </row>
    <row r="1012" spans="7:9" x14ac:dyDescent="0.25">
      <c r="G1012"/>
      <c r="H1012"/>
      <c r="I1012"/>
    </row>
    <row r="1013" spans="7:9" x14ac:dyDescent="0.25">
      <c r="G1013"/>
      <c r="H1013"/>
      <c r="I1013"/>
    </row>
    <row r="1014" spans="7:9" x14ac:dyDescent="0.25">
      <c r="G1014"/>
      <c r="H1014"/>
      <c r="I1014"/>
    </row>
    <row r="1015" spans="7:9" x14ac:dyDescent="0.25">
      <c r="G1015"/>
      <c r="H1015"/>
      <c r="I1015"/>
    </row>
    <row r="1016" spans="7:9" x14ac:dyDescent="0.25">
      <c r="G1016"/>
      <c r="H1016"/>
      <c r="I1016"/>
    </row>
    <row r="1017" spans="7:9" x14ac:dyDescent="0.25">
      <c r="G1017"/>
      <c r="H1017"/>
      <c r="I1017"/>
    </row>
    <row r="1018" spans="7:9" x14ac:dyDescent="0.25">
      <c r="G1018"/>
      <c r="H1018"/>
      <c r="I1018"/>
    </row>
    <row r="1019" spans="7:9" x14ac:dyDescent="0.25">
      <c r="G1019"/>
      <c r="H1019"/>
      <c r="I1019"/>
    </row>
    <row r="1020" spans="7:9" x14ac:dyDescent="0.25">
      <c r="G1020"/>
      <c r="H1020"/>
      <c r="I1020"/>
    </row>
    <row r="1021" spans="7:9" x14ac:dyDescent="0.25">
      <c r="G1021"/>
      <c r="H1021"/>
      <c r="I1021"/>
    </row>
    <row r="1022" spans="7:9" x14ac:dyDescent="0.25">
      <c r="G1022"/>
      <c r="H1022"/>
      <c r="I1022"/>
    </row>
    <row r="1023" spans="7:9" x14ac:dyDescent="0.25">
      <c r="G1023"/>
      <c r="H1023"/>
      <c r="I1023"/>
    </row>
    <row r="1024" spans="7:9"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row>
    <row r="1407" spans="7:9" x14ac:dyDescent="0.25">
      <c r="G1407"/>
      <c r="H1407"/>
    </row>
    <row r="1408" spans="7:9" x14ac:dyDescent="0.25">
      <c r="G1408"/>
      <c r="H1408"/>
    </row>
    <row r="1409" spans="7:8" x14ac:dyDescent="0.25">
      <c r="G1409"/>
      <c r="H1409"/>
    </row>
    <row r="1410" spans="7:8" x14ac:dyDescent="0.25">
      <c r="G1410"/>
      <c r="H1410"/>
    </row>
    <row r="1411" spans="7:8" x14ac:dyDescent="0.25">
      <c r="G1411"/>
      <c r="H1411"/>
    </row>
    <row r="1412" spans="7:8" x14ac:dyDescent="0.25">
      <c r="G1412"/>
      <c r="H1412"/>
    </row>
    <row r="1413" spans="7:8" x14ac:dyDescent="0.25">
      <c r="G1413"/>
      <c r="H1413"/>
    </row>
    <row r="1414" spans="7:8" x14ac:dyDescent="0.25">
      <c r="G1414"/>
      <c r="H1414"/>
    </row>
    <row r="1415" spans="7:8" x14ac:dyDescent="0.25">
      <c r="G1415"/>
      <c r="H1415"/>
    </row>
    <row r="1416" spans="7:8" x14ac:dyDescent="0.25">
      <c r="G1416"/>
      <c r="H1416"/>
    </row>
    <row r="1417" spans="7:8" x14ac:dyDescent="0.25">
      <c r="G1417"/>
      <c r="H1417"/>
    </row>
    <row r="1418" spans="7:8" x14ac:dyDescent="0.25">
      <c r="G1418"/>
      <c r="H1418"/>
    </row>
    <row r="1419" spans="7:8" x14ac:dyDescent="0.25">
      <c r="G1419"/>
      <c r="H1419"/>
    </row>
    <row r="1420" spans="7:8" x14ac:dyDescent="0.25">
      <c r="G1420"/>
      <c r="H1420"/>
    </row>
    <row r="1421" spans="7:8" x14ac:dyDescent="0.25">
      <c r="G1421"/>
      <c r="H1421"/>
    </row>
    <row r="1422" spans="7:8" x14ac:dyDescent="0.25">
      <c r="G1422"/>
      <c r="H1422"/>
    </row>
    <row r="1423" spans="7:8" x14ac:dyDescent="0.25">
      <c r="G1423"/>
      <c r="H1423"/>
    </row>
    <row r="1424" spans="7:8" x14ac:dyDescent="0.25">
      <c r="G1424"/>
      <c r="H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row>
    <row r="1808" spans="7:8" x14ac:dyDescent="0.25">
      <c r="G1808"/>
    </row>
    <row r="1809" spans="7:7" x14ac:dyDescent="0.25">
      <c r="G1809"/>
    </row>
    <row r="1810" spans="7:7" x14ac:dyDescent="0.25">
      <c r="G1810"/>
    </row>
    <row r="1811" spans="7:7" x14ac:dyDescent="0.25">
      <c r="G1811"/>
    </row>
    <row r="1812" spans="7:7" x14ac:dyDescent="0.25">
      <c r="G1812"/>
    </row>
    <row r="1813" spans="7:7" x14ac:dyDescent="0.25">
      <c r="G1813"/>
    </row>
    <row r="1814" spans="7:7" x14ac:dyDescent="0.25">
      <c r="G1814"/>
    </row>
    <row r="1815" spans="7:7" x14ac:dyDescent="0.25">
      <c r="G1815"/>
    </row>
    <row r="1816" spans="7:7" x14ac:dyDescent="0.25">
      <c r="G1816"/>
    </row>
    <row r="1817" spans="7:7" x14ac:dyDescent="0.25">
      <c r="G1817"/>
    </row>
    <row r="1818" spans="7:7" x14ac:dyDescent="0.25">
      <c r="G1818"/>
    </row>
    <row r="1819" spans="7:7" x14ac:dyDescent="0.25">
      <c r="G1819"/>
    </row>
    <row r="1820" spans="7:7" x14ac:dyDescent="0.25">
      <c r="G1820"/>
    </row>
    <row r="1821" spans="7:7" x14ac:dyDescent="0.25">
      <c r="G1821"/>
    </row>
    <row r="1822" spans="7:7" x14ac:dyDescent="0.25">
      <c r="G1822"/>
    </row>
    <row r="1823" spans="7:7" x14ac:dyDescent="0.25">
      <c r="G1823"/>
    </row>
    <row r="1824" spans="7:7" x14ac:dyDescent="0.25">
      <c r="G1824"/>
    </row>
    <row r="1825" spans="7:7" x14ac:dyDescent="0.25">
      <c r="G1825"/>
    </row>
    <row r="1826" spans="7:7" x14ac:dyDescent="0.25">
      <c r="G1826"/>
    </row>
    <row r="1827" spans="7:7" x14ac:dyDescent="0.25">
      <c r="G1827"/>
    </row>
    <row r="1828" spans="7:7" x14ac:dyDescent="0.25">
      <c r="G1828"/>
    </row>
    <row r="1829" spans="7:7" x14ac:dyDescent="0.25">
      <c r="G1829"/>
    </row>
    <row r="1830" spans="7:7" x14ac:dyDescent="0.25">
      <c r="G1830"/>
    </row>
    <row r="1831" spans="7:7" x14ac:dyDescent="0.25">
      <c r="G1831"/>
    </row>
    <row r="1832" spans="7:7" x14ac:dyDescent="0.25">
      <c r="G1832"/>
    </row>
    <row r="1833" spans="7:7" x14ac:dyDescent="0.25">
      <c r="G1833"/>
    </row>
    <row r="1834" spans="7:7" x14ac:dyDescent="0.25">
      <c r="G1834"/>
    </row>
    <row r="1835" spans="7:7" x14ac:dyDescent="0.25">
      <c r="G1835"/>
    </row>
    <row r="1836" spans="7:7" x14ac:dyDescent="0.25">
      <c r="G1836"/>
    </row>
    <row r="1837" spans="7:7" x14ac:dyDescent="0.25">
      <c r="G1837"/>
    </row>
    <row r="1838" spans="7:7" x14ac:dyDescent="0.25">
      <c r="G1838"/>
    </row>
    <row r="1839" spans="7:7" x14ac:dyDescent="0.25">
      <c r="G1839"/>
    </row>
    <row r="1840" spans="7:7"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sheetData>
  <mergeCells count="1">
    <mergeCell ref="C5:H5"/>
  </mergeCells>
  <printOptions horizontalCentered="1" verticalCentered="1"/>
  <pageMargins left="0.19685039370078741" right="0.19685039370078741" top="0.28999999999999998" bottom="0.19685039370078741" header="0" footer="0"/>
  <pageSetup paperSize="9"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92" customWidth="1"/>
    <col min="2" max="2" width="34.42578125" style="92" customWidth="1"/>
    <col min="3" max="3" width="22.5703125" style="92" customWidth="1"/>
    <col min="4" max="16384" width="9.140625" style="92"/>
  </cols>
  <sheetData>
    <row r="1" spans="1:13" x14ac:dyDescent="0.25">
      <c r="A1" s="99"/>
      <c r="B1" s="100"/>
      <c r="E1" s="92" t="s">
        <v>945</v>
      </c>
      <c r="K1" s="92" t="s">
        <v>946</v>
      </c>
      <c r="L1" s="92" t="s">
        <v>947</v>
      </c>
    </row>
    <row r="2" spans="1:13" ht="44.25" customHeight="1" x14ac:dyDescent="0.25">
      <c r="A2" s="99"/>
      <c r="B2" s="100" t="s">
        <v>948</v>
      </c>
      <c r="C2" s="100" t="str">
        <f>CONCATENATE("d:\",C3,".kml")</f>
        <v>d:\Kachin_CampList_20170101.kml</v>
      </c>
      <c r="G2" s="92" t="s">
        <v>949</v>
      </c>
      <c r="H2" s="92" t="s">
        <v>950</v>
      </c>
      <c r="K2" s="92" t="s">
        <v>951</v>
      </c>
      <c r="L2" s="92" t="s">
        <v>952</v>
      </c>
      <c r="M2" s="92" t="s">
        <v>953</v>
      </c>
    </row>
    <row r="3" spans="1:13" x14ac:dyDescent="0.25">
      <c r="A3" s="99"/>
      <c r="B3" s="101" t="s">
        <v>954</v>
      </c>
      <c r="C3" s="92" t="str">
        <f>CONCATENATE("Kachin_CampList_",TEXT(Report_Date,"yyyymmdd"))</f>
        <v>Kachin_CampList_20170101</v>
      </c>
      <c r="G3" s="92" t="s">
        <v>955</v>
      </c>
      <c r="H3" s="92" t="s">
        <v>956</v>
      </c>
      <c r="K3" s="92" t="s">
        <v>957</v>
      </c>
      <c r="L3" s="92" t="s">
        <v>958</v>
      </c>
      <c r="M3" s="92" t="s">
        <v>959</v>
      </c>
    </row>
    <row r="4" spans="1:13" x14ac:dyDescent="0.25">
      <c r="A4" s="99"/>
      <c r="B4" s="101"/>
      <c r="G4" s="92" t="s">
        <v>960</v>
      </c>
      <c r="H4" s="92" t="s">
        <v>961</v>
      </c>
      <c r="K4" s="92" t="s">
        <v>962</v>
      </c>
      <c r="L4" s="92" t="s">
        <v>963</v>
      </c>
      <c r="M4" s="92" t="s">
        <v>964</v>
      </c>
    </row>
    <row r="5" spans="1:13" x14ac:dyDescent="0.25">
      <c r="B5" s="92" t="s">
        <v>965</v>
      </c>
      <c r="C5" s="92" t="s">
        <v>966</v>
      </c>
      <c r="K5" s="92" t="s">
        <v>967</v>
      </c>
      <c r="L5" s="92" t="s">
        <v>968</v>
      </c>
      <c r="M5" s="92" t="s">
        <v>969</v>
      </c>
    </row>
    <row r="6" spans="1:13" x14ac:dyDescent="0.25">
      <c r="B6" s="92" t="s">
        <v>970</v>
      </c>
      <c r="C6" s="92" t="s">
        <v>971</v>
      </c>
      <c r="K6" s="92" t="s">
        <v>972</v>
      </c>
      <c r="L6" s="92" t="s">
        <v>973</v>
      </c>
      <c r="M6" s="92" t="s">
        <v>974</v>
      </c>
    </row>
    <row r="8" spans="1:13" x14ac:dyDescent="0.25">
      <c r="B8" s="92" t="s">
        <v>975</v>
      </c>
      <c r="C8" s="92" t="s">
        <v>976</v>
      </c>
    </row>
    <row r="9" spans="1:13" x14ac:dyDescent="0.25">
      <c r="B9" s="92" t="s">
        <v>977</v>
      </c>
      <c r="C9" s="92" t="s">
        <v>978</v>
      </c>
      <c r="D9" s="92" t="s">
        <v>979</v>
      </c>
    </row>
    <row r="10" spans="1:13" x14ac:dyDescent="0.25">
      <c r="B10" s="92" t="s">
        <v>980</v>
      </c>
      <c r="C10" s="92" t="s">
        <v>981</v>
      </c>
    </row>
    <row r="11" spans="1:13" x14ac:dyDescent="0.25">
      <c r="B11" s="92" t="s">
        <v>982</v>
      </c>
      <c r="C11" s="92" t="s">
        <v>983</v>
      </c>
    </row>
    <row r="13" spans="1:13" x14ac:dyDescent="0.25">
      <c r="B13" s="92" t="s">
        <v>984</v>
      </c>
      <c r="C13" s="92" t="s">
        <v>985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92" customWidth="1"/>
    <col min="12" max="12" width="15.28515625" customWidth="1"/>
    <col min="13" max="13" width="15.28515625" style="92" customWidth="1"/>
    <col min="14" max="14" width="14.85546875" customWidth="1"/>
    <col min="16" max="16" width="22.5703125" customWidth="1"/>
    <col min="17" max="17" width="21.42578125" customWidth="1"/>
  </cols>
  <sheetData>
    <row r="1" spans="1:19" s="31" customFormat="1" x14ac:dyDescent="0.25">
      <c r="A1" s="31" t="s">
        <v>485</v>
      </c>
      <c r="B1" s="31" t="s">
        <v>487</v>
      </c>
      <c r="C1" s="31" t="s">
        <v>486</v>
      </c>
      <c r="D1" s="31" t="s">
        <v>410</v>
      </c>
      <c r="E1" s="31" t="s">
        <v>489</v>
      </c>
      <c r="F1" s="31" t="s">
        <v>488</v>
      </c>
      <c r="J1" s="2" t="s">
        <v>395</v>
      </c>
      <c r="K1" s="2"/>
      <c r="L1" s="2" t="s">
        <v>380</v>
      </c>
      <c r="M1" s="2"/>
      <c r="N1" s="2" t="s">
        <v>553</v>
      </c>
      <c r="O1" s="2"/>
      <c r="P1" s="2" t="s">
        <v>401</v>
      </c>
      <c r="Q1" s="2" t="s">
        <v>499</v>
      </c>
      <c r="R1"/>
      <c r="S1" s="2" t="s">
        <v>1302</v>
      </c>
    </row>
    <row r="2" spans="1:19" x14ac:dyDescent="0.25">
      <c r="A2" t="s">
        <v>435</v>
      </c>
      <c r="B2" t="s">
        <v>476</v>
      </c>
      <c r="C2" t="s">
        <v>466</v>
      </c>
      <c r="D2" t="s">
        <v>469</v>
      </c>
      <c r="E2" s="92">
        <v>12</v>
      </c>
      <c r="F2">
        <v>2</v>
      </c>
      <c r="J2" s="35" t="s">
        <v>380</v>
      </c>
      <c r="K2" s="35"/>
      <c r="L2" s="35" t="s">
        <v>5</v>
      </c>
      <c r="M2" s="35"/>
      <c r="N2" s="35" t="s">
        <v>146</v>
      </c>
      <c r="O2" s="35"/>
      <c r="P2" s="35" t="s">
        <v>396</v>
      </c>
      <c r="Q2" s="35" t="s">
        <v>494</v>
      </c>
      <c r="S2" t="s">
        <v>1304</v>
      </c>
    </row>
    <row r="3" spans="1:19" x14ac:dyDescent="0.25">
      <c r="A3" t="s">
        <v>1218</v>
      </c>
      <c r="B3" t="s">
        <v>1220</v>
      </c>
      <c r="C3" t="s">
        <v>1221</v>
      </c>
      <c r="D3" t="s">
        <v>1222</v>
      </c>
      <c r="E3" s="92">
        <v>12</v>
      </c>
      <c r="F3">
        <v>1</v>
      </c>
      <c r="J3" s="35" t="s">
        <v>381</v>
      </c>
      <c r="K3" s="35"/>
      <c r="L3" s="35" t="s">
        <v>27</v>
      </c>
      <c r="M3" s="35"/>
      <c r="N3" s="35" t="s">
        <v>166</v>
      </c>
      <c r="O3" s="35"/>
      <c r="P3" s="35" t="s">
        <v>397</v>
      </c>
      <c r="Q3" s="35" t="s">
        <v>495</v>
      </c>
      <c r="S3" t="s">
        <v>1305</v>
      </c>
    </row>
    <row r="4" spans="1:19" x14ac:dyDescent="0.25">
      <c r="A4" t="s">
        <v>455</v>
      </c>
      <c r="B4" t="s">
        <v>477</v>
      </c>
      <c r="C4" t="s">
        <v>462</v>
      </c>
      <c r="D4" t="s">
        <v>472</v>
      </c>
      <c r="E4" s="92">
        <v>12</v>
      </c>
      <c r="F4">
        <v>1</v>
      </c>
      <c r="J4" s="35" t="s">
        <v>553</v>
      </c>
      <c r="K4" s="35"/>
      <c r="L4" s="35" t="s">
        <v>527</v>
      </c>
      <c r="M4" s="35"/>
      <c r="N4" s="35" t="s">
        <v>230</v>
      </c>
      <c r="O4" s="35"/>
      <c r="P4" s="35" t="s">
        <v>398</v>
      </c>
      <c r="Q4" s="35" t="s">
        <v>493</v>
      </c>
    </row>
    <row r="5" spans="1:19" x14ac:dyDescent="0.25">
      <c r="A5" t="s">
        <v>436</v>
      </c>
      <c r="B5" t="s">
        <v>478</v>
      </c>
      <c r="C5" t="s">
        <v>467</v>
      </c>
      <c r="D5" t="s">
        <v>470</v>
      </c>
      <c r="E5" s="92">
        <v>12</v>
      </c>
      <c r="F5">
        <v>1</v>
      </c>
      <c r="J5" s="2"/>
      <c r="K5" s="2"/>
      <c r="L5" s="35" t="s">
        <v>363</v>
      </c>
      <c r="M5" s="35"/>
      <c r="N5" s="35" t="s">
        <v>289</v>
      </c>
      <c r="O5" s="35"/>
      <c r="P5" s="35" t="s">
        <v>399</v>
      </c>
      <c r="Q5" s="35"/>
    </row>
    <row r="6" spans="1:19" x14ac:dyDescent="0.25">
      <c r="A6" t="s">
        <v>595</v>
      </c>
      <c r="B6" t="s">
        <v>479</v>
      </c>
      <c r="C6" t="s">
        <v>471</v>
      </c>
      <c r="D6" t="s">
        <v>475</v>
      </c>
      <c r="E6" s="92">
        <v>12</v>
      </c>
      <c r="F6">
        <v>2</v>
      </c>
      <c r="J6" s="35"/>
      <c r="K6" s="35"/>
      <c r="L6" s="35" t="s">
        <v>144</v>
      </c>
      <c r="M6" s="35"/>
      <c r="N6" s="35" t="s">
        <v>298</v>
      </c>
      <c r="O6" s="35"/>
      <c r="P6" s="35" t="s">
        <v>400</v>
      </c>
      <c r="Q6" s="35"/>
    </row>
    <row r="7" spans="1:19" x14ac:dyDescent="0.25">
      <c r="A7" t="s">
        <v>404</v>
      </c>
      <c r="B7" t="s">
        <v>480</v>
      </c>
      <c r="C7" t="s">
        <v>463</v>
      </c>
      <c r="D7" t="s">
        <v>473</v>
      </c>
      <c r="E7" s="92">
        <v>12</v>
      </c>
      <c r="F7">
        <v>1</v>
      </c>
      <c r="J7" s="35"/>
      <c r="K7" s="35"/>
      <c r="L7" s="92" t="s">
        <v>892</v>
      </c>
      <c r="N7" s="35" t="s">
        <v>779</v>
      </c>
      <c r="O7" s="35"/>
      <c r="P7" s="35"/>
      <c r="Q7" s="35"/>
    </row>
    <row r="8" spans="1:19" x14ac:dyDescent="0.25">
      <c r="A8" t="s">
        <v>456</v>
      </c>
      <c r="B8" t="s">
        <v>481</v>
      </c>
      <c r="C8" t="s">
        <v>464</v>
      </c>
      <c r="D8" t="s">
        <v>474</v>
      </c>
      <c r="E8" s="92">
        <v>12</v>
      </c>
      <c r="F8">
        <v>1</v>
      </c>
      <c r="J8" s="35"/>
      <c r="K8" s="35"/>
      <c r="L8" s="35" t="s">
        <v>151</v>
      </c>
      <c r="M8" s="35"/>
      <c r="O8" s="35"/>
      <c r="P8" s="35"/>
      <c r="Q8" s="35"/>
    </row>
    <row r="9" spans="1:19" x14ac:dyDescent="0.25">
      <c r="A9" t="s">
        <v>457</v>
      </c>
      <c r="B9" t="s">
        <v>482</v>
      </c>
      <c r="C9" t="s">
        <v>465</v>
      </c>
      <c r="D9" t="s">
        <v>468</v>
      </c>
      <c r="E9" s="92">
        <v>12</v>
      </c>
      <c r="F9">
        <v>1</v>
      </c>
      <c r="J9" s="35"/>
      <c r="K9" s="35"/>
      <c r="L9" s="35" t="s">
        <v>173</v>
      </c>
      <c r="M9" s="35"/>
      <c r="N9" s="35"/>
      <c r="O9" s="35"/>
      <c r="P9" s="35"/>
      <c r="Q9" s="35"/>
    </row>
    <row r="10" spans="1:19" x14ac:dyDescent="0.25">
      <c r="A10" t="s">
        <v>577</v>
      </c>
      <c r="B10" s="65" t="s">
        <v>579</v>
      </c>
      <c r="C10" s="65" t="s">
        <v>581</v>
      </c>
      <c r="D10" s="65" t="s">
        <v>583</v>
      </c>
      <c r="E10" s="92">
        <v>12</v>
      </c>
      <c r="F10" s="65">
        <v>1</v>
      </c>
      <c r="J10" s="35"/>
      <c r="K10" s="35"/>
      <c r="L10" s="35" t="s">
        <v>180</v>
      </c>
      <c r="M10" s="35"/>
      <c r="N10" s="35"/>
      <c r="O10" s="35"/>
      <c r="P10" s="35"/>
      <c r="Q10" s="35"/>
    </row>
    <row r="11" spans="1:19" x14ac:dyDescent="0.25">
      <c r="A11" t="s">
        <v>578</v>
      </c>
      <c r="B11" s="65" t="s">
        <v>580</v>
      </c>
      <c r="C11" s="65" t="s">
        <v>582</v>
      </c>
      <c r="D11" s="65" t="s">
        <v>584</v>
      </c>
      <c r="E11" s="92">
        <v>12</v>
      </c>
      <c r="F11" s="65">
        <v>5</v>
      </c>
      <c r="J11" s="35"/>
      <c r="K11" s="35"/>
      <c r="L11" s="35" t="s">
        <v>185</v>
      </c>
      <c r="M11" s="35"/>
      <c r="N11" s="35"/>
      <c r="O11" s="35"/>
      <c r="P11" s="35"/>
      <c r="Q11" s="35"/>
    </row>
    <row r="12" spans="1:19" x14ac:dyDescent="0.25">
      <c r="A12" t="s">
        <v>987</v>
      </c>
      <c r="B12" s="92" t="s">
        <v>988</v>
      </c>
      <c r="C12" s="92" t="s">
        <v>989</v>
      </c>
      <c r="D12" s="92" t="s">
        <v>990</v>
      </c>
      <c r="E12" s="92">
        <v>12</v>
      </c>
      <c r="F12">
        <v>2</v>
      </c>
      <c r="J12" s="35"/>
      <c r="K12" s="35"/>
      <c r="L12" s="35" t="s">
        <v>379</v>
      </c>
      <c r="M12" s="35"/>
      <c r="N12" s="35"/>
      <c r="O12" s="35"/>
      <c r="P12" s="35"/>
      <c r="Q12" s="35"/>
    </row>
    <row r="13" spans="1:19" x14ac:dyDescent="0.25">
      <c r="A13" s="92" t="s">
        <v>991</v>
      </c>
      <c r="B13" s="92" t="s">
        <v>992</v>
      </c>
      <c r="C13" s="92" t="s">
        <v>993</v>
      </c>
      <c r="D13" s="92" t="s">
        <v>994</v>
      </c>
      <c r="E13" s="92">
        <v>12</v>
      </c>
      <c r="F13">
        <v>3</v>
      </c>
      <c r="J13" s="35"/>
      <c r="K13" s="35"/>
      <c r="L13" s="35" t="s">
        <v>237</v>
      </c>
      <c r="M13" s="35"/>
      <c r="N13" s="35"/>
      <c r="O13" s="35"/>
      <c r="P13" s="35"/>
      <c r="Q13" s="35"/>
    </row>
    <row r="14" spans="1:19" x14ac:dyDescent="0.25">
      <c r="A14" t="s">
        <v>995</v>
      </c>
      <c r="B14" s="92" t="s">
        <v>996</v>
      </c>
      <c r="C14" s="92" t="s">
        <v>997</v>
      </c>
      <c r="D14" s="92" t="s">
        <v>998</v>
      </c>
      <c r="E14" s="92">
        <v>12</v>
      </c>
      <c r="F14">
        <v>10</v>
      </c>
      <c r="J14" s="35"/>
      <c r="K14" s="35"/>
      <c r="L14" s="35" t="s">
        <v>300</v>
      </c>
      <c r="M14" s="35"/>
      <c r="N14" s="35"/>
      <c r="O14" s="35"/>
      <c r="P14" s="35"/>
      <c r="Q14" s="35"/>
    </row>
    <row r="15" spans="1:19" x14ac:dyDescent="0.25">
      <c r="A15" t="s">
        <v>1111</v>
      </c>
      <c r="B15" t="s">
        <v>1112</v>
      </c>
      <c r="C15" s="92" t="s">
        <v>1113</v>
      </c>
      <c r="D15" s="92" t="s">
        <v>1114</v>
      </c>
      <c r="E15" s="92">
        <v>24</v>
      </c>
      <c r="F15">
        <v>2</v>
      </c>
      <c r="J15" s="35"/>
      <c r="K15" s="35"/>
      <c r="L15" s="35" t="s">
        <v>302</v>
      </c>
      <c r="M15" s="35"/>
      <c r="N15" s="35"/>
      <c r="O15" s="35"/>
      <c r="P15" s="35"/>
      <c r="Q15" s="35"/>
    </row>
    <row r="16" spans="1:19" x14ac:dyDescent="0.25">
      <c r="A16" t="s">
        <v>1306</v>
      </c>
      <c r="B16" t="s">
        <v>1308</v>
      </c>
      <c r="C16" t="s">
        <v>1309</v>
      </c>
      <c r="D16" t="s">
        <v>1310</v>
      </c>
      <c r="E16">
        <v>12</v>
      </c>
      <c r="F16">
        <v>1</v>
      </c>
      <c r="J16" s="35"/>
      <c r="K16" s="35"/>
      <c r="L16" s="35" t="s">
        <v>808</v>
      </c>
      <c r="M16" s="35"/>
      <c r="N16" s="35"/>
      <c r="O16" s="35"/>
      <c r="P16" s="35"/>
      <c r="Q16" s="35"/>
    </row>
    <row r="17" spans="1:17" x14ac:dyDescent="0.25">
      <c r="J17" s="35"/>
      <c r="K17" s="35"/>
      <c r="L17" s="35" t="s">
        <v>310</v>
      </c>
      <c r="M17" s="35"/>
      <c r="N17" s="35"/>
      <c r="O17" s="35"/>
      <c r="P17" s="35"/>
      <c r="Q17" s="35"/>
    </row>
    <row r="18" spans="1:17" x14ac:dyDescent="0.25">
      <c r="J18" s="35"/>
      <c r="K18" s="35"/>
      <c r="L18" s="35" t="s">
        <v>1412</v>
      </c>
      <c r="M18" s="35"/>
      <c r="N18" s="35"/>
      <c r="O18" s="35"/>
      <c r="P18" s="35"/>
      <c r="Q18" s="35"/>
    </row>
    <row r="19" spans="1:17" x14ac:dyDescent="0.25">
      <c r="J19" s="35"/>
      <c r="K19" s="35"/>
      <c r="L19" s="35"/>
      <c r="M19" s="35"/>
      <c r="N19" s="35"/>
      <c r="O19" s="35"/>
      <c r="P19" s="35"/>
      <c r="Q19" s="35"/>
    </row>
    <row r="20" spans="1:17" x14ac:dyDescent="0.25">
      <c r="A20" s="2"/>
      <c r="J20" s="35"/>
      <c r="K20" s="35"/>
      <c r="L20" s="35"/>
      <c r="M20" s="35"/>
      <c r="N20" s="35"/>
      <c r="O20" s="35"/>
      <c r="P20" s="35"/>
      <c r="Q20" s="35"/>
    </row>
    <row r="21" spans="1:17" x14ac:dyDescent="0.25">
      <c r="L21" s="35"/>
    </row>
    <row r="22" spans="1:17" x14ac:dyDescent="0.25">
      <c r="L22" s="35"/>
    </row>
    <row r="23" spans="1:17" x14ac:dyDescent="0.25">
      <c r="A23" t="s">
        <v>1149</v>
      </c>
      <c r="B23" s="51">
        <v>42736</v>
      </c>
      <c r="L23" s="35"/>
    </row>
    <row r="24" spans="1:17" x14ac:dyDescent="0.25">
      <c r="A24" t="s">
        <v>1150</v>
      </c>
      <c r="B24" s="146">
        <v>41640</v>
      </c>
      <c r="C24" s="146"/>
      <c r="L24" s="35"/>
    </row>
    <row r="25" spans="1:17" x14ac:dyDescent="0.25">
      <c r="B25" s="146"/>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92" customWidth="1"/>
    <col min="2" max="2" width="23" style="92" customWidth="1"/>
    <col min="3" max="3" width="11.7109375" style="153" customWidth="1"/>
    <col min="5" max="5" width="15.28515625" bestFit="1" customWidth="1"/>
  </cols>
  <sheetData>
    <row r="1" spans="1:5" s="155" customFormat="1" x14ac:dyDescent="0.25">
      <c r="A1" s="154" t="s">
        <v>925</v>
      </c>
      <c r="B1" s="156" t="s">
        <v>1192</v>
      </c>
      <c r="C1" s="157" t="s">
        <v>1193</v>
      </c>
    </row>
    <row r="2" spans="1:5" x14ac:dyDescent="0.25">
      <c r="A2" s="98" t="s">
        <v>236</v>
      </c>
      <c r="B2" s="143" t="s">
        <v>671</v>
      </c>
      <c r="C2" s="150">
        <v>3.1341427522963001</v>
      </c>
      <c r="E2" s="642" t="s">
        <v>13</v>
      </c>
    </row>
    <row r="3" spans="1:5" x14ac:dyDescent="0.25">
      <c r="A3" s="98" t="s">
        <v>268</v>
      </c>
      <c r="B3" s="143" t="s">
        <v>671</v>
      </c>
      <c r="C3" s="150">
        <v>3.8820329084732199</v>
      </c>
      <c r="E3" s="643" t="s">
        <v>378</v>
      </c>
    </row>
    <row r="4" spans="1:5" x14ac:dyDescent="0.25">
      <c r="A4" s="98" t="s">
        <v>250</v>
      </c>
      <c r="B4" s="143" t="s">
        <v>671</v>
      </c>
      <c r="C4" s="150">
        <v>2.3045478259125423</v>
      </c>
      <c r="E4" s="642" t="s">
        <v>1121</v>
      </c>
    </row>
    <row r="5" spans="1:5" x14ac:dyDescent="0.25">
      <c r="A5" s="98" t="s">
        <v>248</v>
      </c>
      <c r="B5" s="143" t="s">
        <v>671</v>
      </c>
      <c r="C5" s="150">
        <v>3.3637010801853577</v>
      </c>
      <c r="E5" s="643" t="s">
        <v>1259</v>
      </c>
    </row>
    <row r="6" spans="1:5" x14ac:dyDescent="0.25">
      <c r="A6" s="98" t="s">
        <v>274</v>
      </c>
      <c r="B6" s="143" t="s">
        <v>671</v>
      </c>
      <c r="C6" s="150">
        <v>2.0123527499589278</v>
      </c>
      <c r="E6" s="642" t="s">
        <v>1270</v>
      </c>
    </row>
    <row r="7" spans="1:5" x14ac:dyDescent="0.25">
      <c r="A7" s="98" t="s">
        <v>276</v>
      </c>
      <c r="B7" s="143" t="s">
        <v>671</v>
      </c>
      <c r="C7" s="150">
        <v>2.9133254097712102</v>
      </c>
      <c r="E7" s="645" t="s">
        <v>1271</v>
      </c>
    </row>
    <row r="8" spans="1:5" x14ac:dyDescent="0.25">
      <c r="A8" s="98" t="s">
        <v>278</v>
      </c>
      <c r="B8" s="143" t="s">
        <v>671</v>
      </c>
      <c r="C8" s="150">
        <v>4.9021696969220816</v>
      </c>
      <c r="E8" s="644" t="s">
        <v>1299</v>
      </c>
    </row>
    <row r="9" spans="1:5" x14ac:dyDescent="0.25">
      <c r="A9" s="144" t="s">
        <v>260</v>
      </c>
      <c r="B9" s="143" t="s">
        <v>671</v>
      </c>
      <c r="C9" s="150">
        <v>5.4145379230647226</v>
      </c>
      <c r="E9" s="645" t="s">
        <v>1301</v>
      </c>
    </row>
    <row r="10" spans="1:5" x14ac:dyDescent="0.25">
      <c r="A10" s="144" t="s">
        <v>280</v>
      </c>
      <c r="B10" s="143" t="s">
        <v>671</v>
      </c>
      <c r="C10" s="150">
        <v>6.6198004689728469</v>
      </c>
      <c r="E10" s="642" t="s">
        <v>1410</v>
      </c>
    </row>
    <row r="11" spans="1:5" x14ac:dyDescent="0.25">
      <c r="A11" s="98" t="s">
        <v>244</v>
      </c>
      <c r="B11" s="143" t="s">
        <v>671</v>
      </c>
      <c r="C11" s="150">
        <v>1.1985969617964649</v>
      </c>
      <c r="E11" s="645" t="s">
        <v>1101</v>
      </c>
    </row>
    <row r="12" spans="1:5" x14ac:dyDescent="0.25">
      <c r="A12" s="98" t="s">
        <v>246</v>
      </c>
      <c r="B12" s="143" t="s">
        <v>671</v>
      </c>
      <c r="C12" s="150">
        <v>1.3510454549069482</v>
      </c>
      <c r="E12" s="642" t="s">
        <v>1258</v>
      </c>
    </row>
    <row r="13" spans="1:5" x14ac:dyDescent="0.25">
      <c r="A13" s="98" t="s">
        <v>242</v>
      </c>
      <c r="B13" s="143" t="s">
        <v>671</v>
      </c>
      <c r="C13" s="150">
        <v>1.5295244799681529</v>
      </c>
      <c r="E13" s="643" t="s">
        <v>1316</v>
      </c>
    </row>
    <row r="14" spans="1:5" x14ac:dyDescent="0.25">
      <c r="A14" s="98" t="s">
        <v>256</v>
      </c>
      <c r="B14" s="143" t="s">
        <v>671</v>
      </c>
      <c r="C14" s="150">
        <v>2.8164250706222882</v>
      </c>
      <c r="E14" s="644" t="s">
        <v>1395</v>
      </c>
    </row>
    <row r="15" spans="1:5" x14ac:dyDescent="0.25">
      <c r="A15" s="98" t="s">
        <v>284</v>
      </c>
      <c r="B15" s="143" t="s">
        <v>671</v>
      </c>
      <c r="C15" s="150">
        <v>4.262018365878137</v>
      </c>
      <c r="E15" s="645" t="s">
        <v>1396</v>
      </c>
    </row>
    <row r="16" spans="1:5" x14ac:dyDescent="0.25">
      <c r="A16" s="98" t="s">
        <v>239</v>
      </c>
      <c r="B16" s="143" t="s">
        <v>671</v>
      </c>
      <c r="C16" s="150">
        <v>3.3602711423118103</v>
      </c>
      <c r="E16" s="644" t="s">
        <v>1397</v>
      </c>
    </row>
    <row r="17" spans="1:5" x14ac:dyDescent="0.25">
      <c r="A17" s="98" t="s">
        <v>258</v>
      </c>
      <c r="B17" s="143" t="s">
        <v>695</v>
      </c>
      <c r="C17" s="150">
        <v>3.3362307375127798</v>
      </c>
      <c r="E17" s="645" t="s">
        <v>1398</v>
      </c>
    </row>
    <row r="18" spans="1:5" x14ac:dyDescent="0.25">
      <c r="A18" s="98" t="s">
        <v>266</v>
      </c>
      <c r="B18" s="143" t="s">
        <v>671</v>
      </c>
      <c r="C18" s="150">
        <v>1.3751794210741128</v>
      </c>
      <c r="E18" s="644" t="s">
        <v>1399</v>
      </c>
    </row>
    <row r="19" spans="1:5" x14ac:dyDescent="0.25">
      <c r="A19" s="98" t="s">
        <v>252</v>
      </c>
      <c r="B19" s="143" t="s">
        <v>671</v>
      </c>
      <c r="C19" s="150">
        <v>2.4647367211404561</v>
      </c>
      <c r="E19" s="645" t="s">
        <v>1400</v>
      </c>
    </row>
    <row r="20" spans="1:5" x14ac:dyDescent="0.25">
      <c r="A20" s="98" t="s">
        <v>254</v>
      </c>
      <c r="B20" s="143" t="s">
        <v>671</v>
      </c>
      <c r="C20" s="150">
        <v>1.8563710010113432</v>
      </c>
      <c r="E20" s="644" t="s">
        <v>1401</v>
      </c>
    </row>
    <row r="21" spans="1:5" x14ac:dyDescent="0.25">
      <c r="A21" s="98" t="s">
        <v>262</v>
      </c>
      <c r="B21" s="143" t="s">
        <v>671</v>
      </c>
      <c r="C21" s="150">
        <v>10.744749696609457</v>
      </c>
      <c r="E21" s="645" t="s">
        <v>1402</v>
      </c>
    </row>
    <row r="22" spans="1:5" x14ac:dyDescent="0.25">
      <c r="A22" s="98" t="s">
        <v>264</v>
      </c>
      <c r="B22" s="143" t="s">
        <v>671</v>
      </c>
      <c r="C22" s="150">
        <v>10.15228229456989</v>
      </c>
    </row>
    <row r="23" spans="1:5" x14ac:dyDescent="0.25">
      <c r="A23" s="98" t="s">
        <v>282</v>
      </c>
      <c r="B23" s="143" t="s">
        <v>671</v>
      </c>
      <c r="C23" s="150">
        <v>1.7877148351104664</v>
      </c>
    </row>
    <row r="24" spans="1:5" x14ac:dyDescent="0.25">
      <c r="A24" s="98" t="s">
        <v>241</v>
      </c>
      <c r="B24" s="143" t="s">
        <v>671</v>
      </c>
      <c r="C24" s="150">
        <v>2.6190942927115026</v>
      </c>
    </row>
    <row r="25" spans="1:5" x14ac:dyDescent="0.25">
      <c r="A25" s="98" t="s">
        <v>270</v>
      </c>
      <c r="B25" s="143" t="s">
        <v>671</v>
      </c>
      <c r="C25" s="150">
        <v>4.037940696665812</v>
      </c>
    </row>
    <row r="26" spans="1:5" x14ac:dyDescent="0.25">
      <c r="A26" s="98" t="s">
        <v>341</v>
      </c>
      <c r="B26" s="143" t="s">
        <v>695</v>
      </c>
      <c r="C26" s="150">
        <v>0.4474205416025816</v>
      </c>
    </row>
    <row r="27" spans="1:5" x14ac:dyDescent="0.25">
      <c r="A27" s="98" t="s">
        <v>350</v>
      </c>
      <c r="B27" s="143" t="s">
        <v>695</v>
      </c>
      <c r="C27" s="150">
        <v>1.0367202051285227</v>
      </c>
    </row>
    <row r="28" spans="1:5" x14ac:dyDescent="0.25">
      <c r="A28" s="151" t="s">
        <v>319</v>
      </c>
      <c r="B28" s="143" t="s">
        <v>695</v>
      </c>
      <c r="C28" s="150">
        <v>1.1134935940025397</v>
      </c>
    </row>
    <row r="29" spans="1:5" x14ac:dyDescent="0.25">
      <c r="A29" s="98" t="s">
        <v>312</v>
      </c>
      <c r="B29" s="143" t="s">
        <v>695</v>
      </c>
      <c r="C29" s="150">
        <v>5.0655036329811631</v>
      </c>
    </row>
    <row r="30" spans="1:5" x14ac:dyDescent="0.25">
      <c r="A30" s="144" t="s">
        <v>329</v>
      </c>
      <c r="B30" s="143" t="s">
        <v>671</v>
      </c>
      <c r="C30" s="150">
        <v>5.7019834469756479</v>
      </c>
    </row>
    <row r="31" spans="1:5" x14ac:dyDescent="0.25">
      <c r="A31" s="98" t="s">
        <v>337</v>
      </c>
      <c r="B31" s="143" t="s">
        <v>695</v>
      </c>
      <c r="C31" s="150">
        <v>0.77827912736780092</v>
      </c>
    </row>
    <row r="32" spans="1:5" x14ac:dyDescent="0.25">
      <c r="A32" s="98" t="s">
        <v>327</v>
      </c>
      <c r="B32" s="143" t="s">
        <v>671</v>
      </c>
      <c r="C32" s="150">
        <v>5.9727739497559158</v>
      </c>
    </row>
    <row r="33" spans="1:3" x14ac:dyDescent="0.25">
      <c r="A33" s="98" t="s">
        <v>317</v>
      </c>
      <c r="B33" s="143" t="s">
        <v>695</v>
      </c>
      <c r="C33" s="150">
        <v>0.37684287609457234</v>
      </c>
    </row>
    <row r="34" spans="1:3" x14ac:dyDescent="0.25">
      <c r="A34" s="98" t="s">
        <v>343</v>
      </c>
      <c r="B34" s="143" t="s">
        <v>671</v>
      </c>
      <c r="C34" s="150">
        <v>6.0275881703713861</v>
      </c>
    </row>
    <row r="35" spans="1:3" x14ac:dyDescent="0.25">
      <c r="A35" s="151" t="s">
        <v>309</v>
      </c>
      <c r="B35" s="143" t="s">
        <v>695</v>
      </c>
      <c r="C35" s="150">
        <v>0.70725493400809891</v>
      </c>
    </row>
    <row r="36" spans="1:3" x14ac:dyDescent="0.25">
      <c r="A36" s="98" t="s">
        <v>348</v>
      </c>
      <c r="B36" s="143" t="s">
        <v>695</v>
      </c>
      <c r="C36" s="150">
        <v>2.4174307716662291</v>
      </c>
    </row>
    <row r="37" spans="1:3" x14ac:dyDescent="0.25">
      <c r="A37" s="98" t="s">
        <v>315</v>
      </c>
      <c r="B37" s="143" t="s">
        <v>695</v>
      </c>
      <c r="C37" s="150">
        <v>0.15089472113650237</v>
      </c>
    </row>
    <row r="38" spans="1:3" x14ac:dyDescent="0.25">
      <c r="A38" s="98" t="s">
        <v>325</v>
      </c>
      <c r="B38" s="143" t="s">
        <v>671</v>
      </c>
      <c r="C38" s="150">
        <v>4.3887485673235673</v>
      </c>
    </row>
    <row r="39" spans="1:3" x14ac:dyDescent="0.25">
      <c r="A39" s="98" t="s">
        <v>323</v>
      </c>
      <c r="B39" s="143" t="s">
        <v>671</v>
      </c>
      <c r="C39" s="150">
        <v>5.2238983299151851</v>
      </c>
    </row>
    <row r="40" spans="1:3" x14ac:dyDescent="0.25">
      <c r="A40" s="98" t="s">
        <v>346</v>
      </c>
      <c r="B40" s="143" t="s">
        <v>1208</v>
      </c>
      <c r="C40" s="150">
        <v>9.3609732231189877</v>
      </c>
    </row>
    <row r="41" spans="1:3" x14ac:dyDescent="0.25">
      <c r="A41" s="98" t="s">
        <v>30</v>
      </c>
      <c r="B41" s="143" t="s">
        <v>791</v>
      </c>
      <c r="C41" s="150">
        <v>0.15809623370782155</v>
      </c>
    </row>
    <row r="42" spans="1:3" x14ac:dyDescent="0.25">
      <c r="A42" s="98" t="s">
        <v>29</v>
      </c>
      <c r="B42" s="143" t="s">
        <v>1195</v>
      </c>
      <c r="C42" s="150">
        <v>19.834999342466848</v>
      </c>
    </row>
    <row r="43" spans="1:3" x14ac:dyDescent="0.25">
      <c r="A43" s="98" t="s">
        <v>33</v>
      </c>
      <c r="B43" s="143" t="s">
        <v>1195</v>
      </c>
      <c r="C43" s="150">
        <v>12.486065224161463</v>
      </c>
    </row>
    <row r="44" spans="1:3" x14ac:dyDescent="0.25">
      <c r="A44" s="98" t="s">
        <v>21</v>
      </c>
      <c r="B44" s="143" t="s">
        <v>637</v>
      </c>
      <c r="C44" s="150">
        <v>1.5797992800898704</v>
      </c>
    </row>
    <row r="45" spans="1:3" x14ac:dyDescent="0.25">
      <c r="A45" s="98" t="s">
        <v>17</v>
      </c>
      <c r="B45" s="143" t="s">
        <v>637</v>
      </c>
      <c r="C45" s="150">
        <v>1.0876401420946245</v>
      </c>
    </row>
    <row r="46" spans="1:3" x14ac:dyDescent="0.25">
      <c r="A46" s="98" t="s">
        <v>4</v>
      </c>
      <c r="B46" s="143" t="s">
        <v>637</v>
      </c>
      <c r="C46" s="150">
        <v>0.78440046838596356</v>
      </c>
    </row>
    <row r="47" spans="1:3" x14ac:dyDescent="0.25">
      <c r="A47" s="98" t="s">
        <v>7</v>
      </c>
      <c r="B47" s="143" t="s">
        <v>637</v>
      </c>
      <c r="C47" s="150">
        <v>0.20824727902294948</v>
      </c>
    </row>
    <row r="48" spans="1:3" x14ac:dyDescent="0.25">
      <c r="A48" s="98" t="s">
        <v>13</v>
      </c>
      <c r="B48" s="143" t="s">
        <v>637</v>
      </c>
      <c r="C48" s="150">
        <v>0.84749304721635399</v>
      </c>
    </row>
    <row r="49" spans="1:3" x14ac:dyDescent="0.25">
      <c r="A49" s="98" t="s">
        <v>25</v>
      </c>
      <c r="B49" s="143" t="s">
        <v>637</v>
      </c>
      <c r="C49" s="150">
        <v>0.87147615879849294</v>
      </c>
    </row>
    <row r="50" spans="1:3" x14ac:dyDescent="0.25">
      <c r="A50" s="144" t="s">
        <v>19</v>
      </c>
      <c r="B50" s="143" t="s">
        <v>662</v>
      </c>
      <c r="C50" s="150">
        <v>8.3788619521763046</v>
      </c>
    </row>
    <row r="51" spans="1:3" x14ac:dyDescent="0.25">
      <c r="A51" s="98" t="s">
        <v>23</v>
      </c>
      <c r="B51" s="143" t="s">
        <v>637</v>
      </c>
      <c r="C51" s="150">
        <v>4.108228790802368</v>
      </c>
    </row>
    <row r="52" spans="1:3" x14ac:dyDescent="0.25">
      <c r="A52" s="98" t="s">
        <v>208</v>
      </c>
      <c r="B52" s="143" t="s">
        <v>662</v>
      </c>
      <c r="C52" s="150">
        <v>0.62513510418653162</v>
      </c>
    </row>
    <row r="53" spans="1:3" x14ac:dyDescent="0.25">
      <c r="A53" s="98" t="s">
        <v>206</v>
      </c>
      <c r="B53" s="143" t="s">
        <v>662</v>
      </c>
      <c r="C53" s="150">
        <v>0.49034468319599833</v>
      </c>
    </row>
    <row r="54" spans="1:3" x14ac:dyDescent="0.25">
      <c r="A54" s="98" t="s">
        <v>216</v>
      </c>
      <c r="B54" s="143" t="s">
        <v>662</v>
      </c>
      <c r="C54" s="150">
        <v>0.32830807173487342</v>
      </c>
    </row>
    <row r="55" spans="1:3" x14ac:dyDescent="0.25">
      <c r="A55" s="98" t="s">
        <v>226</v>
      </c>
      <c r="B55" s="143" t="s">
        <v>1205</v>
      </c>
      <c r="C55" s="150">
        <v>14.236592976936194</v>
      </c>
    </row>
    <row r="56" spans="1:3" x14ac:dyDescent="0.25">
      <c r="A56" s="98" t="s">
        <v>212</v>
      </c>
      <c r="B56" s="143" t="s">
        <v>662</v>
      </c>
      <c r="C56" s="150">
        <v>17.689123339899055</v>
      </c>
    </row>
    <row r="57" spans="1:3" x14ac:dyDescent="0.25">
      <c r="A57" s="98" t="s">
        <v>201</v>
      </c>
      <c r="B57" s="143" t="s">
        <v>662</v>
      </c>
      <c r="C57" s="150">
        <v>2.4411071835305544</v>
      </c>
    </row>
    <row r="58" spans="1:3" x14ac:dyDescent="0.25">
      <c r="A58" s="98" t="s">
        <v>203</v>
      </c>
      <c r="B58" s="143" t="s">
        <v>662</v>
      </c>
      <c r="C58" s="150">
        <v>17.282528446236295</v>
      </c>
    </row>
    <row r="59" spans="1:3" x14ac:dyDescent="0.25">
      <c r="A59" s="98" t="s">
        <v>199</v>
      </c>
      <c r="B59" s="143" t="s">
        <v>1205</v>
      </c>
      <c r="C59" s="150">
        <v>19.860265975801305</v>
      </c>
    </row>
    <row r="60" spans="1:3" x14ac:dyDescent="0.25">
      <c r="A60" s="151" t="s">
        <v>220</v>
      </c>
      <c r="B60" s="143" t="s">
        <v>1205</v>
      </c>
      <c r="C60" s="150">
        <v>3.6887624513681017</v>
      </c>
    </row>
    <row r="61" spans="1:3" x14ac:dyDescent="0.25">
      <c r="A61" s="98" t="s">
        <v>150</v>
      </c>
      <c r="B61" s="143" t="s">
        <v>650</v>
      </c>
      <c r="C61" s="150">
        <v>1.0576516850656514</v>
      </c>
    </row>
    <row r="62" spans="1:3" x14ac:dyDescent="0.25">
      <c r="A62" s="98" t="s">
        <v>305</v>
      </c>
      <c r="B62" s="143" t="s">
        <v>621</v>
      </c>
      <c r="C62" s="150">
        <v>0.74396039478864395</v>
      </c>
    </row>
    <row r="63" spans="1:3" x14ac:dyDescent="0.25">
      <c r="A63" s="98" t="s">
        <v>307</v>
      </c>
      <c r="B63" s="143" t="s">
        <v>621</v>
      </c>
      <c r="C63" s="150">
        <v>0.74330366237812662</v>
      </c>
    </row>
    <row r="64" spans="1:3" x14ac:dyDescent="0.25">
      <c r="A64" s="98" t="s">
        <v>222</v>
      </c>
      <c r="B64" s="143" t="s">
        <v>753</v>
      </c>
      <c r="C64" s="150">
        <v>0.77978735578277303</v>
      </c>
    </row>
    <row r="65" spans="1:3" x14ac:dyDescent="0.25">
      <c r="A65" s="98" t="s">
        <v>189</v>
      </c>
      <c r="B65" s="143" t="s">
        <v>753</v>
      </c>
      <c r="C65" s="150">
        <v>0.38934692601696641</v>
      </c>
    </row>
    <row r="66" spans="1:3" x14ac:dyDescent="0.25">
      <c r="A66" s="98" t="s">
        <v>184</v>
      </c>
      <c r="B66" s="143" t="s">
        <v>753</v>
      </c>
      <c r="C66" s="150">
        <v>0.28829825866869707</v>
      </c>
    </row>
    <row r="67" spans="1:3" x14ac:dyDescent="0.25">
      <c r="A67" s="98" t="s">
        <v>228</v>
      </c>
      <c r="B67" s="143" t="s">
        <v>753</v>
      </c>
      <c r="C67" s="150">
        <v>0.77561767807574999</v>
      </c>
    </row>
    <row r="68" spans="1:3" x14ac:dyDescent="0.25">
      <c r="A68" s="98" t="s">
        <v>224</v>
      </c>
      <c r="B68" s="143" t="s">
        <v>753</v>
      </c>
      <c r="C68" s="150">
        <v>1.343152344964242</v>
      </c>
    </row>
    <row r="69" spans="1:3" x14ac:dyDescent="0.25">
      <c r="A69" s="98" t="s">
        <v>143</v>
      </c>
      <c r="B69" s="143" t="s">
        <v>1199</v>
      </c>
      <c r="C69" s="150">
        <v>28.422357500443528</v>
      </c>
    </row>
    <row r="70" spans="1:3" x14ac:dyDescent="0.25">
      <c r="A70" s="151" t="s">
        <v>299</v>
      </c>
      <c r="B70" s="143" t="s">
        <v>800</v>
      </c>
      <c r="C70" s="150">
        <v>1.3759254000531889</v>
      </c>
    </row>
    <row r="71" spans="1:3" x14ac:dyDescent="0.25">
      <c r="A71" s="98" t="s">
        <v>175</v>
      </c>
      <c r="B71" s="143" t="s">
        <v>630</v>
      </c>
      <c r="C71" s="150">
        <v>0.71141459237180937</v>
      </c>
    </row>
    <row r="72" spans="1:3" x14ac:dyDescent="0.25">
      <c r="A72" s="98" t="s">
        <v>172</v>
      </c>
      <c r="B72" s="143" t="s">
        <v>630</v>
      </c>
      <c r="C72" s="150">
        <v>1.815139598767344</v>
      </c>
    </row>
    <row r="73" spans="1:3" x14ac:dyDescent="0.25">
      <c r="A73" s="98" t="s">
        <v>177</v>
      </c>
      <c r="B73" s="143" t="s">
        <v>630</v>
      </c>
      <c r="C73" s="150">
        <v>0.86042374061342075</v>
      </c>
    </row>
    <row r="74" spans="1:3" x14ac:dyDescent="0.25">
      <c r="A74" s="98" t="s">
        <v>179</v>
      </c>
      <c r="B74" s="143" t="s">
        <v>1131</v>
      </c>
      <c r="C74" s="150">
        <v>1.7021273757523427</v>
      </c>
    </row>
    <row r="75" spans="1:3" x14ac:dyDescent="0.25">
      <c r="A75" s="98" t="s">
        <v>99</v>
      </c>
      <c r="B75" s="143" t="s">
        <v>1196</v>
      </c>
      <c r="C75" s="150">
        <v>0.79577754007276646</v>
      </c>
    </row>
    <row r="76" spans="1:3" x14ac:dyDescent="0.25">
      <c r="A76" s="98" t="s">
        <v>107</v>
      </c>
      <c r="B76" s="143" t="s">
        <v>1196</v>
      </c>
      <c r="C76" s="150">
        <v>2.9334852607184256</v>
      </c>
    </row>
    <row r="77" spans="1:3" x14ac:dyDescent="0.25">
      <c r="A77" s="98" t="s">
        <v>139</v>
      </c>
      <c r="B77" s="143" t="s">
        <v>1196</v>
      </c>
      <c r="C77" s="150">
        <v>1.5942018764815451</v>
      </c>
    </row>
    <row r="78" spans="1:3" x14ac:dyDescent="0.25">
      <c r="A78" s="98" t="s">
        <v>71</v>
      </c>
      <c r="B78" s="143" t="s">
        <v>1196</v>
      </c>
      <c r="C78" s="150">
        <v>4.4704963044882238</v>
      </c>
    </row>
    <row r="79" spans="1:3" x14ac:dyDescent="0.25">
      <c r="A79" s="98" t="s">
        <v>356</v>
      </c>
      <c r="B79" s="143" t="s">
        <v>1209</v>
      </c>
      <c r="C79" s="150">
        <v>32.827754639406997</v>
      </c>
    </row>
    <row r="80" spans="1:3" x14ac:dyDescent="0.25">
      <c r="A80" s="98" t="s">
        <v>333</v>
      </c>
      <c r="B80" s="143" t="s">
        <v>1209</v>
      </c>
      <c r="C80" s="150">
        <v>18.198335991626355</v>
      </c>
    </row>
    <row r="81" spans="1:3" x14ac:dyDescent="0.25">
      <c r="A81" s="98" t="s">
        <v>335</v>
      </c>
      <c r="B81" s="143" t="s">
        <v>1209</v>
      </c>
      <c r="C81" s="150">
        <v>21.287604662770121</v>
      </c>
    </row>
    <row r="82" spans="1:3" x14ac:dyDescent="0.25">
      <c r="A82" s="144" t="s">
        <v>352</v>
      </c>
      <c r="B82" s="143" t="s">
        <v>1204</v>
      </c>
      <c r="C82" s="150">
        <v>1.7420415164460403</v>
      </c>
    </row>
    <row r="83" spans="1:3" x14ac:dyDescent="0.25">
      <c r="A83" s="144" t="s">
        <v>314</v>
      </c>
      <c r="B83" s="143" t="s">
        <v>1204</v>
      </c>
      <c r="C83" s="150">
        <v>1.857513522619473</v>
      </c>
    </row>
    <row r="84" spans="1:3" x14ac:dyDescent="0.25">
      <c r="A84" s="98" t="s">
        <v>321</v>
      </c>
      <c r="B84" s="143" t="s">
        <v>1204</v>
      </c>
      <c r="C84" s="150">
        <v>28.888856599204185</v>
      </c>
    </row>
    <row r="85" spans="1:3" x14ac:dyDescent="0.25">
      <c r="A85" s="98" t="s">
        <v>345</v>
      </c>
      <c r="B85" s="143" t="s">
        <v>1204</v>
      </c>
      <c r="C85" s="150">
        <v>20.599512012485512</v>
      </c>
    </row>
    <row r="86" spans="1:3" x14ac:dyDescent="0.25">
      <c r="A86" s="98" t="s">
        <v>195</v>
      </c>
      <c r="B86" s="143" t="s">
        <v>1204</v>
      </c>
      <c r="C86" s="150">
        <v>7.985347533011188</v>
      </c>
    </row>
    <row r="87" spans="1:3" x14ac:dyDescent="0.25">
      <c r="A87" s="98" t="s">
        <v>193</v>
      </c>
      <c r="B87" s="143" t="s">
        <v>1204</v>
      </c>
      <c r="C87" s="150">
        <v>10.953347686331073</v>
      </c>
    </row>
    <row r="88" spans="1:3" x14ac:dyDescent="0.25">
      <c r="A88" s="98" t="s">
        <v>191</v>
      </c>
      <c r="B88" s="143" t="s">
        <v>1205</v>
      </c>
      <c r="C88" s="150">
        <v>18.65617244319267</v>
      </c>
    </row>
    <row r="89" spans="1:3" x14ac:dyDescent="0.25">
      <c r="A89" s="98" t="s">
        <v>218</v>
      </c>
      <c r="B89" s="143" t="s">
        <v>753</v>
      </c>
      <c r="C89" s="150">
        <v>8.953204937938569</v>
      </c>
    </row>
    <row r="90" spans="1:3" x14ac:dyDescent="0.25">
      <c r="A90" s="98" t="s">
        <v>197</v>
      </c>
      <c r="B90" s="143" t="s">
        <v>753</v>
      </c>
      <c r="C90" s="150">
        <v>18.620903555062636</v>
      </c>
    </row>
    <row r="91" spans="1:3" x14ac:dyDescent="0.25">
      <c r="A91" s="98" t="s">
        <v>187</v>
      </c>
      <c r="B91" s="143" t="s">
        <v>1200</v>
      </c>
      <c r="C91" s="150">
        <v>19.796407430638478</v>
      </c>
    </row>
    <row r="92" spans="1:3" x14ac:dyDescent="0.25">
      <c r="A92" s="98" t="s">
        <v>214</v>
      </c>
      <c r="B92" s="143" t="s">
        <v>753</v>
      </c>
      <c r="C92" s="150">
        <v>20.558236360788097</v>
      </c>
    </row>
    <row r="93" spans="1:3" x14ac:dyDescent="0.25">
      <c r="A93" s="98" t="s">
        <v>153</v>
      </c>
      <c r="B93" s="143" t="s">
        <v>1200</v>
      </c>
      <c r="C93" s="150">
        <v>10.509375400480517</v>
      </c>
    </row>
    <row r="94" spans="1:3" x14ac:dyDescent="0.25">
      <c r="A94" s="98" t="s">
        <v>159</v>
      </c>
      <c r="B94" s="143" t="s">
        <v>1200</v>
      </c>
      <c r="C94" s="150">
        <v>9.3704379947870464</v>
      </c>
    </row>
    <row r="95" spans="1:3" x14ac:dyDescent="0.25">
      <c r="A95" s="98" t="s">
        <v>155</v>
      </c>
      <c r="B95" s="143" t="s">
        <v>1200</v>
      </c>
      <c r="C95" s="150">
        <v>9.5650381623500511</v>
      </c>
    </row>
    <row r="96" spans="1:3" x14ac:dyDescent="0.25">
      <c r="A96" s="98" t="s">
        <v>157</v>
      </c>
      <c r="B96" s="143" t="s">
        <v>1200</v>
      </c>
      <c r="C96" s="150">
        <v>12.392289083396149</v>
      </c>
    </row>
    <row r="97" spans="1:3" x14ac:dyDescent="0.25">
      <c r="A97" s="98" t="s">
        <v>87</v>
      </c>
      <c r="B97" s="143" t="s">
        <v>1197</v>
      </c>
      <c r="C97" s="150">
        <v>1.1537462444167914</v>
      </c>
    </row>
    <row r="98" spans="1:3" x14ac:dyDescent="0.25">
      <c r="A98" s="144" t="s">
        <v>339</v>
      </c>
      <c r="B98" s="143" t="s">
        <v>1209</v>
      </c>
      <c r="C98" s="150">
        <v>34.344689881690819</v>
      </c>
    </row>
    <row r="99" spans="1:3" x14ac:dyDescent="0.25">
      <c r="A99" s="98" t="s">
        <v>286</v>
      </c>
      <c r="B99" s="143" t="s">
        <v>1203</v>
      </c>
      <c r="C99" s="150">
        <v>16.668825701583572</v>
      </c>
    </row>
    <row r="100" spans="1:3" x14ac:dyDescent="0.25">
      <c r="A100" s="98" t="s">
        <v>354</v>
      </c>
      <c r="B100" s="143" t="s">
        <v>1209</v>
      </c>
      <c r="C100" s="150">
        <v>17.035515422123492</v>
      </c>
    </row>
    <row r="101" spans="1:3" x14ac:dyDescent="0.25">
      <c r="A101" s="144" t="s">
        <v>272</v>
      </c>
      <c r="B101" s="143" t="s">
        <v>671</v>
      </c>
      <c r="C101" s="150">
        <v>12.627188913244609</v>
      </c>
    </row>
    <row r="102" spans="1:3" x14ac:dyDescent="0.25">
      <c r="A102" s="98" t="s">
        <v>11</v>
      </c>
      <c r="B102" s="143" t="s">
        <v>637</v>
      </c>
      <c r="C102" s="150">
        <v>1.1354007641426449</v>
      </c>
    </row>
    <row r="103" spans="1:3" x14ac:dyDescent="0.25">
      <c r="A103" s="98" t="s">
        <v>91</v>
      </c>
      <c r="B103" s="143" t="s">
        <v>1196</v>
      </c>
      <c r="C103" s="150">
        <v>0.75842119772531946</v>
      </c>
    </row>
    <row r="104" spans="1:3" x14ac:dyDescent="0.25">
      <c r="A104" s="98" t="s">
        <v>119</v>
      </c>
      <c r="B104" s="143" t="s">
        <v>1196</v>
      </c>
      <c r="C104" s="150">
        <v>6.3039408411778268</v>
      </c>
    </row>
    <row r="105" spans="1:3" x14ac:dyDescent="0.25">
      <c r="A105" s="98" t="s">
        <v>51</v>
      </c>
      <c r="B105" s="143" t="s">
        <v>1196</v>
      </c>
      <c r="C105" s="150">
        <v>5.184483270539272</v>
      </c>
    </row>
    <row r="106" spans="1:3" x14ac:dyDescent="0.25">
      <c r="A106" s="98" t="s">
        <v>75</v>
      </c>
      <c r="B106" s="143" t="s">
        <v>1196</v>
      </c>
      <c r="C106" s="150">
        <v>4.8862832644478198</v>
      </c>
    </row>
    <row r="107" spans="1:3" x14ac:dyDescent="0.25">
      <c r="A107" s="98" t="s">
        <v>40</v>
      </c>
      <c r="B107" s="143" t="s">
        <v>1196</v>
      </c>
      <c r="C107" s="150">
        <v>4.1842484710239098</v>
      </c>
    </row>
    <row r="108" spans="1:3" x14ac:dyDescent="0.25">
      <c r="A108" s="98" t="s">
        <v>61</v>
      </c>
      <c r="B108" s="143" t="s">
        <v>1196</v>
      </c>
      <c r="C108" s="150">
        <v>6.4753396248436657</v>
      </c>
    </row>
    <row r="109" spans="1:3" x14ac:dyDescent="0.25">
      <c r="A109" s="98" t="s">
        <v>89</v>
      </c>
      <c r="B109" s="143" t="s">
        <v>1196</v>
      </c>
      <c r="C109" s="150">
        <v>6.7094919928483892</v>
      </c>
    </row>
    <row r="110" spans="1:3" x14ac:dyDescent="0.25">
      <c r="A110" s="98" t="s">
        <v>117</v>
      </c>
      <c r="B110" s="143" t="s">
        <v>1196</v>
      </c>
      <c r="C110" s="150">
        <v>6.2085564346706201</v>
      </c>
    </row>
    <row r="111" spans="1:3" x14ac:dyDescent="0.25">
      <c r="A111" s="98" t="s">
        <v>123</v>
      </c>
      <c r="B111" s="143" t="s">
        <v>1196</v>
      </c>
      <c r="C111" s="150">
        <v>7.419312682373878</v>
      </c>
    </row>
    <row r="112" spans="1:3" x14ac:dyDescent="0.25">
      <c r="A112" s="98" t="s">
        <v>125</v>
      </c>
      <c r="B112" s="143" t="s">
        <v>1196</v>
      </c>
      <c r="C112" s="150">
        <v>4.6754712546149264</v>
      </c>
    </row>
    <row r="113" spans="1:3" x14ac:dyDescent="0.25">
      <c r="A113" s="98" t="s">
        <v>57</v>
      </c>
      <c r="B113" s="143" t="s">
        <v>1197</v>
      </c>
      <c r="C113" s="150">
        <v>23.222739740353646</v>
      </c>
    </row>
    <row r="114" spans="1:3" x14ac:dyDescent="0.25">
      <c r="A114" s="98" t="s">
        <v>42</v>
      </c>
      <c r="B114" s="143" t="s">
        <v>1196</v>
      </c>
      <c r="C114" s="150">
        <v>0.66733171900141897</v>
      </c>
    </row>
    <row r="115" spans="1:3" x14ac:dyDescent="0.25">
      <c r="A115" s="98" t="s">
        <v>45</v>
      </c>
      <c r="B115" s="143" t="s">
        <v>1196</v>
      </c>
      <c r="C115" s="150">
        <v>0.56771790814545575</v>
      </c>
    </row>
    <row r="116" spans="1:3" x14ac:dyDescent="0.25">
      <c r="A116" s="98" t="s">
        <v>46</v>
      </c>
      <c r="B116" s="143" t="s">
        <v>1196</v>
      </c>
      <c r="C116" s="150">
        <v>2.814225084976667</v>
      </c>
    </row>
    <row r="117" spans="1:3" x14ac:dyDescent="0.25">
      <c r="A117" s="98" t="s">
        <v>376</v>
      </c>
      <c r="B117" s="143" t="s">
        <v>637</v>
      </c>
      <c r="C117" s="150">
        <v>4.067486452659054</v>
      </c>
    </row>
    <row r="118" spans="1:3" x14ac:dyDescent="0.25">
      <c r="A118" s="98" t="s">
        <v>377</v>
      </c>
      <c r="B118" s="143" t="s">
        <v>637</v>
      </c>
      <c r="C118" s="150">
        <v>1.9489261822960435</v>
      </c>
    </row>
    <row r="119" spans="1:3" s="333" customFormat="1" x14ac:dyDescent="0.25">
      <c r="A119" s="98" t="s">
        <v>378</v>
      </c>
      <c r="B119" s="143" t="s">
        <v>791</v>
      </c>
      <c r="C119" s="150">
        <v>0</v>
      </c>
    </row>
    <row r="120" spans="1:3" x14ac:dyDescent="0.25">
      <c r="A120" s="98" t="s">
        <v>390</v>
      </c>
      <c r="B120" s="143" t="s">
        <v>650</v>
      </c>
      <c r="C120" s="150">
        <v>0.51447052329458698</v>
      </c>
    </row>
    <row r="121" spans="1:3" x14ac:dyDescent="0.25">
      <c r="A121" s="98" t="s">
        <v>391</v>
      </c>
      <c r="B121" s="143" t="s">
        <v>662</v>
      </c>
      <c r="C121" s="150">
        <v>0.60629049139006752</v>
      </c>
    </row>
    <row r="122" spans="1:3" x14ac:dyDescent="0.25">
      <c r="A122" s="98" t="s">
        <v>392</v>
      </c>
      <c r="B122" s="143" t="s">
        <v>1205</v>
      </c>
      <c r="C122" s="150">
        <v>24.701686141136339</v>
      </c>
    </row>
    <row r="123" spans="1:3" x14ac:dyDescent="0.25">
      <c r="A123" s="98" t="s">
        <v>393</v>
      </c>
      <c r="B123" s="143" t="s">
        <v>621</v>
      </c>
      <c r="C123" s="150">
        <v>2.3794331620169178</v>
      </c>
    </row>
    <row r="124" spans="1:3" x14ac:dyDescent="0.25">
      <c r="A124" s="98" t="s">
        <v>522</v>
      </c>
      <c r="B124" s="143" t="s">
        <v>662</v>
      </c>
      <c r="C124" s="150">
        <v>13.446032768350749</v>
      </c>
    </row>
    <row r="125" spans="1:3" x14ac:dyDescent="0.25">
      <c r="A125" s="151" t="s">
        <v>812</v>
      </c>
      <c r="B125" s="143" t="s">
        <v>810</v>
      </c>
      <c r="C125" s="150">
        <v>0.23004407510846425</v>
      </c>
    </row>
    <row r="126" spans="1:3" x14ac:dyDescent="0.25">
      <c r="A126" s="144" t="s">
        <v>814</v>
      </c>
      <c r="B126" s="143" t="s">
        <v>1204</v>
      </c>
      <c r="C126" s="150">
        <v>2.3307568207764655</v>
      </c>
    </row>
    <row r="127" spans="1:3" x14ac:dyDescent="0.25">
      <c r="A127" s="151" t="s">
        <v>863</v>
      </c>
      <c r="B127" s="143" t="s">
        <v>1195</v>
      </c>
      <c r="C127" s="150">
        <v>0.18710270881855062</v>
      </c>
    </row>
    <row r="128" spans="1:3" x14ac:dyDescent="0.25">
      <c r="A128" s="98" t="s">
        <v>886</v>
      </c>
      <c r="B128" s="143" t="s">
        <v>650</v>
      </c>
      <c r="C128" s="150">
        <v>17.731070777343263</v>
      </c>
    </row>
    <row r="129" spans="1:3" x14ac:dyDescent="0.25">
      <c r="A129" s="151" t="s">
        <v>891</v>
      </c>
      <c r="B129" s="143" t="s">
        <v>1210</v>
      </c>
      <c r="C129" s="150">
        <v>1.7005689699647599</v>
      </c>
    </row>
    <row r="130" spans="1:3" x14ac:dyDescent="0.25">
      <c r="A130" s="151" t="s">
        <v>895</v>
      </c>
      <c r="B130" s="143" t="s">
        <v>1210</v>
      </c>
      <c r="C130" s="150">
        <v>1.136583238544624</v>
      </c>
    </row>
    <row r="131" spans="1:3" x14ac:dyDescent="0.25">
      <c r="A131" s="98" t="s">
        <v>941</v>
      </c>
      <c r="B131" s="143" t="s">
        <v>1197</v>
      </c>
      <c r="C131" s="150">
        <v>12.257552920582597</v>
      </c>
    </row>
    <row r="132" spans="1:3" x14ac:dyDescent="0.25">
      <c r="A132" s="98" t="s">
        <v>1020</v>
      </c>
      <c r="B132" s="143" t="s">
        <v>1194</v>
      </c>
      <c r="C132" s="150">
        <v>0</v>
      </c>
    </row>
    <row r="133" spans="1:3" x14ac:dyDescent="0.25">
      <c r="A133" s="75" t="s">
        <v>1035</v>
      </c>
      <c r="B133" s="143" t="s">
        <v>1200</v>
      </c>
      <c r="C133" s="150">
        <v>19.631786732140053</v>
      </c>
    </row>
    <row r="134" spans="1:3" x14ac:dyDescent="0.25">
      <c r="A134" s="152" t="s">
        <v>1043</v>
      </c>
      <c r="B134" s="143" t="s">
        <v>1210</v>
      </c>
      <c r="C134" s="150">
        <v>4.789460146835963</v>
      </c>
    </row>
    <row r="135" spans="1:3" x14ac:dyDescent="0.25">
      <c r="A135" s="98" t="s">
        <v>1062</v>
      </c>
      <c r="B135" s="143" t="s">
        <v>1200</v>
      </c>
      <c r="C135" s="150">
        <v>10.527586947557506</v>
      </c>
    </row>
    <row r="136" spans="1:3" x14ac:dyDescent="0.25">
      <c r="A136" s="98" t="s">
        <v>1066</v>
      </c>
      <c r="B136" s="143" t="s">
        <v>1196</v>
      </c>
      <c r="C136" s="150">
        <v>0.19374952337076978</v>
      </c>
    </row>
    <row r="137" spans="1:3" x14ac:dyDescent="0.25">
      <c r="A137" s="98" t="s">
        <v>1096</v>
      </c>
      <c r="B137" s="143" t="s">
        <v>1200</v>
      </c>
      <c r="C137" s="150">
        <v>9.2957189123335944</v>
      </c>
    </row>
    <row r="138" spans="1:3" x14ac:dyDescent="0.25">
      <c r="A138" s="98" t="s">
        <v>288</v>
      </c>
      <c r="B138" s="143" t="s">
        <v>1200</v>
      </c>
      <c r="C138" s="150">
        <v>1.5619149693996526</v>
      </c>
    </row>
    <row r="139" spans="1:3" x14ac:dyDescent="0.25">
      <c r="A139" s="98" t="s">
        <v>295</v>
      </c>
      <c r="B139" s="143" t="s">
        <v>1200</v>
      </c>
      <c r="C139" s="150">
        <v>1.5239325151406049</v>
      </c>
    </row>
    <row r="140" spans="1:3" x14ac:dyDescent="0.25">
      <c r="A140" s="98" t="s">
        <v>291</v>
      </c>
      <c r="B140" s="143" t="s">
        <v>1200</v>
      </c>
      <c r="C140" s="150">
        <v>1.7369508287203668</v>
      </c>
    </row>
    <row r="141" spans="1:3" x14ac:dyDescent="0.25">
      <c r="A141" s="98" t="s">
        <v>234</v>
      </c>
      <c r="B141" s="143" t="s">
        <v>1207</v>
      </c>
      <c r="C141" s="150">
        <v>7.490291417449443</v>
      </c>
    </row>
    <row r="142" spans="1:3" x14ac:dyDescent="0.25">
      <c r="A142" s="98" t="s">
        <v>147</v>
      </c>
      <c r="B142" s="143" t="s">
        <v>1201</v>
      </c>
      <c r="C142" s="150">
        <v>23.172399462804503</v>
      </c>
    </row>
    <row r="143" spans="1:3" x14ac:dyDescent="0.25">
      <c r="A143" s="98" t="s">
        <v>148</v>
      </c>
      <c r="B143" s="143" t="s">
        <v>1200</v>
      </c>
      <c r="C143" s="150">
        <v>21.148671772283631</v>
      </c>
    </row>
    <row r="144" spans="1:3" x14ac:dyDescent="0.25">
      <c r="A144" s="98" t="s">
        <v>165</v>
      </c>
      <c r="B144" s="143" t="s">
        <v>1202</v>
      </c>
      <c r="C144" s="150">
        <v>0.43878855438285824</v>
      </c>
    </row>
    <row r="145" spans="1:3" x14ac:dyDescent="0.25">
      <c r="A145" s="98" t="s">
        <v>168</v>
      </c>
      <c r="B145" s="143" t="s">
        <v>1207</v>
      </c>
      <c r="C145" s="150">
        <v>18.405283544772924</v>
      </c>
    </row>
    <row r="146" spans="1:3" x14ac:dyDescent="0.25">
      <c r="A146" s="98" t="s">
        <v>170</v>
      </c>
      <c r="B146" s="143" t="s">
        <v>1207</v>
      </c>
      <c r="C146" s="150">
        <v>12.794700705104317</v>
      </c>
    </row>
    <row r="147" spans="1:3" x14ac:dyDescent="0.25">
      <c r="A147" s="98" t="s">
        <v>232</v>
      </c>
      <c r="B147" s="143" t="s">
        <v>1206</v>
      </c>
      <c r="C147" s="150">
        <v>1.789574394782699</v>
      </c>
    </row>
    <row r="148" spans="1:3" x14ac:dyDescent="0.25">
      <c r="A148" s="98" t="s">
        <v>297</v>
      </c>
      <c r="B148" s="143" t="s">
        <v>817</v>
      </c>
      <c r="C148" s="150">
        <v>0.37588352961435612</v>
      </c>
    </row>
    <row r="149" spans="1:3" x14ac:dyDescent="0.25">
      <c r="A149" s="98" t="s">
        <v>382</v>
      </c>
      <c r="B149" s="143" t="s">
        <v>729</v>
      </c>
      <c r="C149" s="150">
        <v>11.65743881259678</v>
      </c>
    </row>
    <row r="150" spans="1:3" x14ac:dyDescent="0.25">
      <c r="A150" s="98" t="s">
        <v>383</v>
      </c>
      <c r="B150" s="143" t="s">
        <v>729</v>
      </c>
      <c r="C150" s="150">
        <v>1.9281430163271129</v>
      </c>
    </row>
    <row r="151" spans="1:3" x14ac:dyDescent="0.25">
      <c r="A151" s="98" t="s">
        <v>384</v>
      </c>
      <c r="B151" s="143" t="s">
        <v>729</v>
      </c>
      <c r="C151" s="150">
        <v>0.42212558305526549</v>
      </c>
    </row>
    <row r="152" spans="1:3" x14ac:dyDescent="0.25">
      <c r="A152" s="98" t="s">
        <v>385</v>
      </c>
      <c r="B152" s="143" t="s">
        <v>729</v>
      </c>
      <c r="C152" s="150">
        <v>21.050742639251741</v>
      </c>
    </row>
    <row r="153" spans="1:3" x14ac:dyDescent="0.25">
      <c r="A153" s="98" t="s">
        <v>387</v>
      </c>
      <c r="B153" s="143" t="s">
        <v>729</v>
      </c>
      <c r="C153" s="150">
        <v>13.632081902964599</v>
      </c>
    </row>
    <row r="154" spans="1:3" x14ac:dyDescent="0.25">
      <c r="A154" s="98" t="s">
        <v>388</v>
      </c>
      <c r="B154" s="143" t="s">
        <v>1207</v>
      </c>
      <c r="C154" s="150">
        <v>5.5919136174199959</v>
      </c>
    </row>
    <row r="155" spans="1:3" x14ac:dyDescent="0.25">
      <c r="A155" s="98" t="s">
        <v>838</v>
      </c>
      <c r="B155" s="143" t="s">
        <v>1198</v>
      </c>
      <c r="C155" s="150">
        <v>30.037709702375544</v>
      </c>
    </row>
    <row r="156" spans="1:3" x14ac:dyDescent="0.25">
      <c r="A156" s="98" t="s">
        <v>823</v>
      </c>
      <c r="B156" s="143" t="s">
        <v>1202</v>
      </c>
      <c r="C156" s="150">
        <v>0.71762888500316424</v>
      </c>
    </row>
    <row r="157" spans="1:3" x14ac:dyDescent="0.25">
      <c r="A157" s="98" t="s">
        <v>824</v>
      </c>
      <c r="B157" s="143" t="s">
        <v>817</v>
      </c>
      <c r="C157" s="150">
        <v>0.63626694856259092</v>
      </c>
    </row>
    <row r="158" spans="1:3" x14ac:dyDescent="0.25">
      <c r="A158" s="75" t="s">
        <v>1054</v>
      </c>
      <c r="B158" s="143" t="s">
        <v>1049</v>
      </c>
      <c r="C158" s="150">
        <v>1.989668595899414</v>
      </c>
    </row>
    <row r="159" spans="1:3" x14ac:dyDescent="0.25">
      <c r="A159" s="75" t="s">
        <v>1056</v>
      </c>
      <c r="B159" s="143" t="s">
        <v>1200</v>
      </c>
      <c r="C159" s="150">
        <v>2.0141034419413328</v>
      </c>
    </row>
    <row r="160" spans="1:3" x14ac:dyDescent="0.25">
      <c r="A160" s="75" t="s">
        <v>1060</v>
      </c>
      <c r="B160" s="143" t="s">
        <v>1200</v>
      </c>
      <c r="C160" s="150">
        <v>2.8590638493982405</v>
      </c>
    </row>
    <row r="161" spans="1:3" x14ac:dyDescent="0.25">
      <c r="A161" s="75" t="s">
        <v>1064</v>
      </c>
      <c r="B161" s="143" t="s">
        <v>1049</v>
      </c>
      <c r="C161" s="150">
        <v>2.1362355825722199</v>
      </c>
    </row>
    <row r="162" spans="1:3" x14ac:dyDescent="0.25">
      <c r="A162" s="648"/>
      <c r="B162" s="143"/>
      <c r="C162" s="150"/>
    </row>
    <row r="163" spans="1:3" x14ac:dyDescent="0.25">
      <c r="A163" s="648"/>
      <c r="B163" s="143"/>
      <c r="C163" s="150"/>
    </row>
    <row r="164" spans="1:3" x14ac:dyDescent="0.25">
      <c r="A164" s="648"/>
      <c r="B164" s="143"/>
      <c r="C164" s="150"/>
    </row>
    <row r="165" spans="1:3" x14ac:dyDescent="0.25">
      <c r="A165" s="648"/>
      <c r="B165" s="143"/>
      <c r="C165" s="150"/>
    </row>
    <row r="166" spans="1:3" x14ac:dyDescent="0.25">
      <c r="A166" s="648"/>
      <c r="B166" s="143"/>
      <c r="C166" s="150"/>
    </row>
    <row r="167" spans="1:3" x14ac:dyDescent="0.25">
      <c r="A167" s="648"/>
      <c r="B167" s="143"/>
      <c r="C167" s="150"/>
    </row>
    <row r="168" spans="1:3" x14ac:dyDescent="0.25">
      <c r="A168" s="651" t="s">
        <v>1121</v>
      </c>
      <c r="B168" s="143" t="s">
        <v>1196</v>
      </c>
      <c r="C168" s="150">
        <v>10</v>
      </c>
    </row>
    <row r="169" spans="1:3" x14ac:dyDescent="0.25">
      <c r="A169" s="651" t="s">
        <v>1159</v>
      </c>
      <c r="B169" s="143" t="s">
        <v>1203</v>
      </c>
      <c r="C169" s="150">
        <v>0</v>
      </c>
    </row>
    <row r="170" spans="1:3" x14ac:dyDescent="0.25">
      <c r="A170" s="651" t="s">
        <v>1160</v>
      </c>
      <c r="B170" s="143" t="s">
        <v>1131</v>
      </c>
      <c r="C170" s="150">
        <v>0</v>
      </c>
    </row>
    <row r="171" spans="1:3" x14ac:dyDescent="0.25">
      <c r="A171" s="651" t="s">
        <v>1259</v>
      </c>
      <c r="B171" s="143" t="s">
        <v>800</v>
      </c>
      <c r="C171" s="150">
        <v>0</v>
      </c>
    </row>
    <row r="172" spans="1:3" x14ac:dyDescent="0.25">
      <c r="A172" s="651" t="s">
        <v>1269</v>
      </c>
      <c r="B172" s="143" t="s">
        <v>630</v>
      </c>
      <c r="C172" s="150">
        <v>5</v>
      </c>
    </row>
    <row r="173" spans="1:3" x14ac:dyDescent="0.25">
      <c r="A173" s="651" t="s">
        <v>1270</v>
      </c>
      <c r="B173" s="143" t="s">
        <v>630</v>
      </c>
      <c r="C173" s="150">
        <v>5</v>
      </c>
    </row>
    <row r="174" spans="1:3" x14ac:dyDescent="0.25">
      <c r="A174" s="652" t="s">
        <v>1271</v>
      </c>
      <c r="B174" s="143" t="s">
        <v>630</v>
      </c>
      <c r="C174" s="150">
        <v>0.75</v>
      </c>
    </row>
    <row r="175" spans="1:3" x14ac:dyDescent="0.25">
      <c r="A175" s="652" t="s">
        <v>1299</v>
      </c>
      <c r="B175" s="143" t="s">
        <v>810</v>
      </c>
      <c r="C175" s="150"/>
    </row>
    <row r="176" spans="1:3" x14ac:dyDescent="0.25">
      <c r="A176" s="652" t="s">
        <v>1301</v>
      </c>
      <c r="B176" s="143" t="s">
        <v>810</v>
      </c>
      <c r="C176" s="150"/>
    </row>
    <row r="177" spans="1:3" x14ac:dyDescent="0.25">
      <c r="A177" s="653" t="s">
        <v>1314</v>
      </c>
      <c r="B177" s="75" t="s">
        <v>1205</v>
      </c>
      <c r="C177" s="650">
        <v>0</v>
      </c>
    </row>
    <row r="178" spans="1:3" x14ac:dyDescent="0.25">
      <c r="A178" s="653" t="s">
        <v>1410</v>
      </c>
      <c r="B178" s="75" t="s">
        <v>1196</v>
      </c>
      <c r="C178" s="650"/>
    </row>
    <row r="179" spans="1:3" x14ac:dyDescent="0.25">
      <c r="A179" s="476" t="s">
        <v>1451</v>
      </c>
      <c r="B179" s="143" t="s">
        <v>1196</v>
      </c>
      <c r="C179" s="150"/>
    </row>
    <row r="180" spans="1:3" x14ac:dyDescent="0.25">
      <c r="A180" s="476" t="s">
        <v>1452</v>
      </c>
      <c r="B180" s="143" t="s">
        <v>1196</v>
      </c>
      <c r="C180" s="150"/>
    </row>
    <row r="181" spans="1:3" x14ac:dyDescent="0.25">
      <c r="A181" s="476" t="s">
        <v>1453</v>
      </c>
      <c r="B181" s="143" t="s">
        <v>1196</v>
      </c>
      <c r="C181" s="150"/>
    </row>
    <row r="182" spans="1:3" x14ac:dyDescent="0.25">
      <c r="A182" s="476" t="s">
        <v>1454</v>
      </c>
      <c r="B182" s="143" t="s">
        <v>1196</v>
      </c>
      <c r="C182" s="150"/>
    </row>
    <row r="183" spans="1:3" x14ac:dyDescent="0.25">
      <c r="A183" s="476" t="s">
        <v>1455</v>
      </c>
      <c r="B183" s="143" t="s">
        <v>1196</v>
      </c>
      <c r="C183" s="650"/>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B13" sqref="B13"/>
    </sheetView>
  </sheetViews>
  <sheetFormatPr defaultColWidth="9.140625" defaultRowHeight="15" x14ac:dyDescent="0.25"/>
  <cols>
    <col min="1" max="1" width="19.5703125" style="5" customWidth="1"/>
    <col min="2" max="2" width="11.42578125" style="5" customWidth="1"/>
    <col min="3" max="3" width="13.42578125" style="5" customWidth="1"/>
    <col min="4" max="5" width="11.28515625" style="5" customWidth="1"/>
    <col min="6" max="6" width="7" style="5" customWidth="1"/>
    <col min="7" max="7" width="16.42578125" style="5" customWidth="1"/>
    <col min="8" max="8" width="11.28515625" style="5" customWidth="1"/>
    <col min="9" max="9" width="7.28515625" style="5" customWidth="1"/>
    <col min="10" max="10" width="11.28515625" style="5" customWidth="1"/>
    <col min="11" max="11" width="8.7109375" style="5" customWidth="1"/>
    <col min="12" max="12" width="11.28515625" style="5" customWidth="1"/>
    <col min="13" max="13" width="12.28515625" style="5" customWidth="1"/>
    <col min="14" max="14" width="9.140625" style="5"/>
    <col min="15" max="15" width="0" style="5" hidden="1" customWidth="1"/>
    <col min="16" max="16" width="19.42578125" style="5" hidden="1" customWidth="1"/>
    <col min="17" max="17" width="20.5703125" style="5" hidden="1" customWidth="1"/>
    <col min="18" max="18" width="0" style="5" hidden="1" customWidth="1"/>
    <col min="19" max="22" width="9.140625" style="5"/>
    <col min="23" max="23" width="15.5703125" style="5" customWidth="1"/>
    <col min="24" max="24" width="10.7109375" style="5" customWidth="1"/>
    <col min="25" max="25" width="14.28515625" style="5" bestFit="1" customWidth="1"/>
    <col min="26" max="26" width="10.140625" style="5" customWidth="1"/>
    <col min="27" max="27" width="9.140625" style="5"/>
    <col min="28" max="28" width="7.42578125" style="5" customWidth="1"/>
    <col min="29" max="29" width="7" style="5" customWidth="1"/>
    <col min="30" max="30" width="6.5703125" style="5" customWidth="1"/>
    <col min="31" max="31" width="9.85546875" style="5" bestFit="1" customWidth="1"/>
    <col min="32" max="32" width="7.140625" style="5" customWidth="1"/>
    <col min="33" max="33" width="8.140625" style="5" customWidth="1"/>
    <col min="34" max="34" width="6" style="5" customWidth="1"/>
    <col min="35" max="35" width="8" style="5" customWidth="1"/>
    <col min="36" max="36" width="9.42578125" style="5" bestFit="1" customWidth="1"/>
    <col min="37" max="37" width="9" style="5" customWidth="1"/>
    <col min="38" max="38" width="10.85546875" style="5" bestFit="1" customWidth="1"/>
    <col min="39" max="39" width="9.85546875" style="5" bestFit="1" customWidth="1"/>
    <col min="40" max="40" width="13.85546875" style="5" bestFit="1" customWidth="1"/>
    <col min="41" max="42" width="7.28515625" style="5" customWidth="1"/>
    <col min="43" max="43" width="11.5703125" style="5" bestFit="1" customWidth="1"/>
    <col min="44" max="16384" width="9.140625" style="5"/>
  </cols>
  <sheetData>
    <row r="1" spans="1:59" s="92" customFormat="1" ht="36" x14ac:dyDescent="0.25">
      <c r="A1" s="231"/>
      <c r="B1" s="232"/>
      <c r="C1" s="232"/>
      <c r="D1" s="232"/>
      <c r="E1" s="232"/>
      <c r="F1" s="232"/>
      <c r="G1" s="232"/>
      <c r="H1" s="232"/>
      <c r="I1" s="232"/>
      <c r="J1" s="232"/>
      <c r="K1" s="232"/>
      <c r="L1" s="232"/>
      <c r="M1" s="232"/>
      <c r="N1" s="190"/>
      <c r="O1" s="5"/>
      <c r="P1" s="5"/>
      <c r="Q1" s="5"/>
      <c r="R1" s="5"/>
      <c r="S1" s="5"/>
      <c r="T1" s="5"/>
      <c r="U1" s="5"/>
      <c r="BF1" s="2"/>
      <c r="BG1" s="2"/>
    </row>
    <row r="2" spans="1:59" s="1" customFormat="1" ht="63.75" customHeight="1" x14ac:dyDescent="0.25">
      <c r="A2" s="249" t="s">
        <v>418</v>
      </c>
      <c r="B2" s="45"/>
      <c r="C2" s="45"/>
      <c r="D2" s="45"/>
      <c r="E2" s="45"/>
      <c r="F2" s="45"/>
      <c r="G2" s="45"/>
      <c r="H2" s="45"/>
      <c r="I2" s="45"/>
      <c r="J2" s="45"/>
      <c r="K2" s="45"/>
      <c r="L2" s="45"/>
      <c r="M2" s="45"/>
      <c r="N2" s="191"/>
      <c r="O2" s="5"/>
      <c r="P2" s="5"/>
      <c r="Q2" s="5"/>
      <c r="R2" s="5"/>
      <c r="S2" s="261"/>
      <c r="T2" s="261"/>
      <c r="U2" s="261"/>
      <c r="V2" s="187"/>
      <c r="BF2" s="46"/>
      <c r="BG2" s="46"/>
    </row>
    <row r="3" spans="1:59" s="15" customFormat="1" ht="18" customHeight="1" x14ac:dyDescent="0.25">
      <c r="A3" s="250">
        <f>Definition!B23</f>
        <v>42736</v>
      </c>
      <c r="B3" s="251"/>
      <c r="C3" s="251"/>
      <c r="D3" s="251"/>
      <c r="E3" s="251"/>
      <c r="F3" s="251"/>
      <c r="G3" s="251"/>
      <c r="H3" s="251"/>
      <c r="I3" s="251"/>
      <c r="J3" s="251"/>
      <c r="K3" s="251"/>
      <c r="L3" s="251"/>
      <c r="M3" s="251"/>
      <c r="N3" s="252"/>
      <c r="O3" s="33"/>
      <c r="P3" s="33"/>
      <c r="Q3" s="33"/>
      <c r="R3" s="33"/>
      <c r="S3" s="262"/>
      <c r="T3" s="263"/>
      <c r="U3" s="263"/>
      <c r="V3" s="187"/>
      <c r="BF3" s="47"/>
      <c r="BG3" s="47"/>
    </row>
    <row r="4" spans="1:59" s="15" customFormat="1" ht="36" x14ac:dyDescent="0.25">
      <c r="A4" s="171"/>
      <c r="B4" s="171"/>
      <c r="C4" s="182"/>
      <c r="D4" s="182"/>
      <c r="E4" s="182"/>
      <c r="F4" s="182"/>
      <c r="G4" s="183"/>
      <c r="H4" s="183"/>
      <c r="I4" s="183"/>
      <c r="J4" s="183"/>
      <c r="K4" s="29"/>
      <c r="L4" s="183"/>
      <c r="M4" s="183"/>
      <c r="N4" s="183"/>
      <c r="O4" s="33"/>
      <c r="P4" s="33"/>
      <c r="Q4" s="33"/>
      <c r="R4" s="33"/>
      <c r="S4" s="262"/>
      <c r="T4" s="263"/>
      <c r="U4" s="263"/>
      <c r="V4" s="187"/>
      <c r="BF4" s="47"/>
      <c r="BG4" s="47"/>
    </row>
    <row r="5" spans="1:59" s="15" customFormat="1" ht="16.5" customHeight="1" x14ac:dyDescent="0.25">
      <c r="A5" s="421" t="s">
        <v>395</v>
      </c>
      <c r="B5" s="421" t="s">
        <v>596</v>
      </c>
      <c r="C5" s="184"/>
      <c r="D5" s="184"/>
      <c r="E5" s="184"/>
      <c r="F5" s="184"/>
      <c r="G5" s="184"/>
      <c r="H5" s="184"/>
      <c r="I5" s="184"/>
      <c r="J5" s="184"/>
      <c r="K5" s="184"/>
      <c r="L5" s="183"/>
      <c r="M5" s="183"/>
      <c r="N5" s="183"/>
      <c r="O5" s="33"/>
      <c r="P5" s="33"/>
      <c r="Q5" s="33"/>
      <c r="R5" s="33"/>
      <c r="S5" s="262"/>
      <c r="T5" s="263"/>
      <c r="U5" s="263"/>
      <c r="V5" s="187"/>
      <c r="BF5" s="47"/>
      <c r="BG5" s="47"/>
    </row>
    <row r="6" spans="1:59" ht="18.75" x14ac:dyDescent="0.25">
      <c r="A6" s="421" t="s">
        <v>0</v>
      </c>
      <c r="B6" s="421" t="s">
        <v>596</v>
      </c>
      <c r="C6" s="190"/>
      <c r="S6" s="264"/>
      <c r="T6" s="261"/>
      <c r="U6" s="261"/>
      <c r="V6" s="261"/>
    </row>
    <row r="7" spans="1:59" x14ac:dyDescent="0.25">
      <c r="A7" s="448" t="s">
        <v>1249</v>
      </c>
      <c r="B7" s="447" t="s">
        <v>1191</v>
      </c>
      <c r="C7" s="194" t="s">
        <v>421</v>
      </c>
      <c r="P7" s="92"/>
      <c r="Q7" s="92"/>
      <c r="S7" s="261"/>
      <c r="T7" s="261"/>
      <c r="U7" s="261"/>
      <c r="V7" s="261"/>
    </row>
    <row r="8" spans="1:59" x14ac:dyDescent="0.25">
      <c r="P8" s="92"/>
      <c r="Q8" s="92"/>
      <c r="S8" s="261"/>
      <c r="T8" s="261"/>
      <c r="U8" s="261"/>
      <c r="V8" s="261"/>
    </row>
    <row r="9" spans="1:59" x14ac:dyDescent="0.25">
      <c r="A9" s="367" t="s">
        <v>414</v>
      </c>
      <c r="B9" s="368" t="s">
        <v>417</v>
      </c>
      <c r="C9" s="366" t="s">
        <v>416</v>
      </c>
      <c r="P9" s="339" t="s">
        <v>395</v>
      </c>
      <c r="Q9" s="336" t="s">
        <v>596</v>
      </c>
      <c r="R9" s="5" t="s">
        <v>421</v>
      </c>
      <c r="S9" s="261"/>
      <c r="T9" s="261"/>
      <c r="U9" s="261"/>
      <c r="V9" s="261"/>
    </row>
    <row r="10" spans="1:59" x14ac:dyDescent="0.25">
      <c r="A10" s="369" t="s">
        <v>500</v>
      </c>
      <c r="B10" s="370">
        <v>19473</v>
      </c>
      <c r="C10" s="371">
        <v>96781</v>
      </c>
      <c r="S10" s="261"/>
      <c r="T10" s="261"/>
      <c r="U10" s="261"/>
      <c r="V10" s="261"/>
      <c r="W10" s="92"/>
      <c r="X10" s="92"/>
    </row>
    <row r="11" spans="1:59" x14ac:dyDescent="0.25">
      <c r="A11" s="372" t="s">
        <v>5</v>
      </c>
      <c r="B11" s="370">
        <v>1470</v>
      </c>
      <c r="C11" s="371">
        <v>8096</v>
      </c>
      <c r="P11" s="336" t="s">
        <v>414</v>
      </c>
      <c r="Q11" s="336" t="s">
        <v>416</v>
      </c>
      <c r="R11" s="92"/>
      <c r="S11" s="261"/>
      <c r="T11" s="261"/>
      <c r="U11" s="261"/>
      <c r="V11" s="261"/>
      <c r="W11" s="92"/>
      <c r="X11" s="92"/>
    </row>
    <row r="12" spans="1:59" x14ac:dyDescent="0.25">
      <c r="A12" s="372" t="s">
        <v>27</v>
      </c>
      <c r="B12" s="370">
        <v>500</v>
      </c>
      <c r="C12" s="371">
        <v>2374</v>
      </c>
      <c r="P12" s="337" t="s">
        <v>5</v>
      </c>
      <c r="Q12" s="338"/>
      <c r="R12" s="92"/>
      <c r="S12" s="261"/>
      <c r="T12" s="261"/>
      <c r="U12" s="261"/>
      <c r="V12" s="261"/>
      <c r="W12" s="92"/>
      <c r="X12" s="92"/>
    </row>
    <row r="13" spans="1:59" x14ac:dyDescent="0.25">
      <c r="A13" s="372" t="s">
        <v>527</v>
      </c>
      <c r="B13" s="370">
        <v>787</v>
      </c>
      <c r="C13" s="371">
        <v>3668</v>
      </c>
      <c r="P13" s="343" t="s">
        <v>5</v>
      </c>
      <c r="Q13" s="338">
        <v>8096</v>
      </c>
      <c r="R13" s="92"/>
      <c r="S13" s="261"/>
      <c r="T13" s="261"/>
      <c r="U13" s="261"/>
      <c r="V13" s="261"/>
      <c r="W13" s="92"/>
      <c r="X13" s="92"/>
    </row>
    <row r="14" spans="1:59" x14ac:dyDescent="0.25">
      <c r="A14" s="372" t="s">
        <v>779</v>
      </c>
      <c r="B14" s="370">
        <v>117</v>
      </c>
      <c r="C14" s="371">
        <v>679</v>
      </c>
      <c r="P14" s="337" t="s">
        <v>27</v>
      </c>
      <c r="Q14" s="338"/>
      <c r="R14" s="92"/>
      <c r="W14" s="92"/>
      <c r="X14" s="92"/>
    </row>
    <row r="15" spans="1:59" x14ac:dyDescent="0.25">
      <c r="A15" s="372" t="s">
        <v>1182</v>
      </c>
      <c r="B15" s="370">
        <v>1693</v>
      </c>
      <c r="C15" s="371">
        <v>7265</v>
      </c>
      <c r="P15" s="343" t="s">
        <v>27</v>
      </c>
      <c r="Q15" s="338">
        <v>2374</v>
      </c>
      <c r="R15" s="92"/>
      <c r="W15" s="92"/>
      <c r="X15" s="92"/>
    </row>
    <row r="16" spans="1:59" x14ac:dyDescent="0.25">
      <c r="A16" s="372" t="s">
        <v>146</v>
      </c>
      <c r="B16" s="370">
        <v>926</v>
      </c>
      <c r="C16" s="371">
        <v>4538</v>
      </c>
      <c r="P16" s="337" t="s">
        <v>527</v>
      </c>
      <c r="Q16" s="338"/>
      <c r="R16" s="92"/>
      <c r="W16" s="92"/>
      <c r="X16" s="92"/>
    </row>
    <row r="17" spans="1:24" x14ac:dyDescent="0.25">
      <c r="A17" s="372" t="s">
        <v>151</v>
      </c>
      <c r="B17" s="370">
        <v>2810</v>
      </c>
      <c r="C17" s="371">
        <v>13325</v>
      </c>
      <c r="P17" s="343" t="s">
        <v>527</v>
      </c>
      <c r="Q17" s="338">
        <v>3668</v>
      </c>
      <c r="R17" s="92"/>
      <c r="W17" s="92"/>
      <c r="X17" s="92"/>
    </row>
    <row r="18" spans="1:24" x14ac:dyDescent="0.25">
      <c r="A18" s="372" t="s">
        <v>185</v>
      </c>
      <c r="B18" s="370">
        <v>3181</v>
      </c>
      <c r="C18" s="371">
        <v>15854</v>
      </c>
      <c r="P18" s="337" t="s">
        <v>779</v>
      </c>
      <c r="Q18" s="338"/>
      <c r="R18" s="92"/>
      <c r="W18" s="92"/>
      <c r="X18" s="92"/>
    </row>
    <row r="19" spans="1:24" x14ac:dyDescent="0.25">
      <c r="A19" s="372" t="s">
        <v>237</v>
      </c>
      <c r="B19" s="370">
        <v>1273</v>
      </c>
      <c r="C19" s="371">
        <v>6461</v>
      </c>
      <c r="P19" s="343" t="s">
        <v>779</v>
      </c>
      <c r="Q19" s="338">
        <v>679</v>
      </c>
      <c r="R19" s="92"/>
      <c r="W19" s="92"/>
      <c r="X19" s="92"/>
    </row>
    <row r="20" spans="1:24" x14ac:dyDescent="0.25">
      <c r="A20" s="372" t="s">
        <v>289</v>
      </c>
      <c r="B20" s="370">
        <v>596</v>
      </c>
      <c r="C20" s="371">
        <v>2769</v>
      </c>
      <c r="P20" s="337" t="s">
        <v>363</v>
      </c>
      <c r="Q20" s="338"/>
      <c r="R20" s="92"/>
      <c r="W20" s="92"/>
      <c r="X20" s="92"/>
    </row>
    <row r="21" spans="1:24" x14ac:dyDescent="0.25">
      <c r="A21" s="372" t="s">
        <v>310</v>
      </c>
      <c r="B21" s="370">
        <v>6083</v>
      </c>
      <c r="C21" s="371">
        <v>31632</v>
      </c>
      <c r="P21" s="343" t="s">
        <v>363</v>
      </c>
      <c r="Q21" s="338">
        <v>0</v>
      </c>
      <c r="R21" s="92"/>
      <c r="W21" s="92"/>
      <c r="X21" s="92"/>
    </row>
    <row r="22" spans="1:24" x14ac:dyDescent="0.25">
      <c r="A22" s="372" t="s">
        <v>1502</v>
      </c>
      <c r="B22" s="370">
        <v>37</v>
      </c>
      <c r="C22" s="371">
        <v>120</v>
      </c>
      <c r="P22" s="337" t="s">
        <v>1182</v>
      </c>
      <c r="Q22" s="338"/>
      <c r="R22" s="92"/>
      <c r="W22" s="92"/>
      <c r="X22" s="92"/>
    </row>
    <row r="23" spans="1:24" x14ac:dyDescent="0.25">
      <c r="A23" s="369" t="s">
        <v>843</v>
      </c>
      <c r="B23" s="370">
        <v>0</v>
      </c>
      <c r="C23" s="371">
        <v>0</v>
      </c>
      <c r="P23" s="343" t="s">
        <v>144</v>
      </c>
      <c r="Q23" s="338"/>
      <c r="R23" s="92"/>
      <c r="W23" s="92"/>
      <c r="X23" s="92"/>
    </row>
    <row r="24" spans="1:24" x14ac:dyDescent="0.25">
      <c r="A24" s="373" t="s">
        <v>415</v>
      </c>
      <c r="B24" s="374">
        <v>19473</v>
      </c>
      <c r="C24" s="440">
        <v>96781</v>
      </c>
      <c r="P24" s="343" t="s">
        <v>892</v>
      </c>
      <c r="Q24" s="338">
        <v>0</v>
      </c>
      <c r="R24" s="92"/>
      <c r="W24" s="92"/>
      <c r="X24" s="92"/>
    </row>
    <row r="25" spans="1:24" x14ac:dyDescent="0.25">
      <c r="A25"/>
      <c r="B25"/>
      <c r="C25"/>
      <c r="P25" s="343" t="s">
        <v>166</v>
      </c>
      <c r="Q25" s="338">
        <v>545</v>
      </c>
      <c r="R25" s="92"/>
      <c r="W25" s="92"/>
      <c r="X25" s="92"/>
    </row>
    <row r="26" spans="1:24" x14ac:dyDescent="0.25">
      <c r="A26"/>
      <c r="B26"/>
      <c r="C26"/>
      <c r="P26" s="343" t="s">
        <v>173</v>
      </c>
      <c r="Q26" s="338">
        <v>433</v>
      </c>
      <c r="R26" s="92"/>
      <c r="W26" s="92"/>
      <c r="X26" s="92"/>
    </row>
    <row r="27" spans="1:24" x14ac:dyDescent="0.25">
      <c r="A27"/>
      <c r="B27"/>
      <c r="C27"/>
      <c r="P27" s="343" t="s">
        <v>180</v>
      </c>
      <c r="Q27" s="338">
        <v>380</v>
      </c>
      <c r="W27" s="92"/>
      <c r="X27" s="92"/>
    </row>
    <row r="28" spans="1:24" x14ac:dyDescent="0.25">
      <c r="A28"/>
      <c r="B28"/>
      <c r="C28"/>
      <c r="P28" s="343" t="s">
        <v>230</v>
      </c>
      <c r="Q28" s="338">
        <v>514</v>
      </c>
      <c r="W28" s="92"/>
      <c r="X28" s="92"/>
    </row>
    <row r="29" spans="1:24" x14ac:dyDescent="0.25">
      <c r="A29"/>
      <c r="B29"/>
      <c r="C29"/>
      <c r="P29" s="343" t="s">
        <v>298</v>
      </c>
      <c r="Q29" s="338">
        <v>1978</v>
      </c>
      <c r="W29" s="92"/>
      <c r="X29" s="92"/>
    </row>
    <row r="30" spans="1:24" x14ac:dyDescent="0.25">
      <c r="A30"/>
      <c r="B30"/>
      <c r="C30"/>
      <c r="P30" s="343" t="s">
        <v>300</v>
      </c>
      <c r="Q30" s="338">
        <v>394</v>
      </c>
      <c r="W30" s="92"/>
      <c r="X30" s="92"/>
    </row>
    <row r="31" spans="1:24" x14ac:dyDescent="0.25">
      <c r="A31"/>
      <c r="B31"/>
      <c r="C31"/>
      <c r="P31" s="343" t="s">
        <v>302</v>
      </c>
      <c r="Q31" s="338">
        <v>2170</v>
      </c>
      <c r="W31" s="92"/>
      <c r="X31" s="92"/>
    </row>
    <row r="32" spans="1:24" x14ac:dyDescent="0.25">
      <c r="A32"/>
      <c r="B32"/>
      <c r="C32"/>
      <c r="P32" s="343" t="s">
        <v>808</v>
      </c>
      <c r="Q32" s="338">
        <v>851</v>
      </c>
      <c r="W32" s="92"/>
      <c r="X32" s="92"/>
    </row>
    <row r="33" spans="1:24" x14ac:dyDescent="0.25">
      <c r="A33"/>
      <c r="B33"/>
      <c r="C33"/>
      <c r="P33" s="337" t="s">
        <v>146</v>
      </c>
      <c r="Q33" s="338"/>
      <c r="W33" s="92"/>
      <c r="X33" s="92"/>
    </row>
    <row r="34" spans="1:24" x14ac:dyDescent="0.25">
      <c r="A34"/>
      <c r="B34"/>
      <c r="C34"/>
      <c r="P34" s="343" t="s">
        <v>146</v>
      </c>
      <c r="Q34" s="338">
        <v>4538</v>
      </c>
      <c r="W34" s="92"/>
      <c r="X34" s="92"/>
    </row>
    <row r="35" spans="1:24" x14ac:dyDescent="0.25">
      <c r="A35"/>
      <c r="B35"/>
      <c r="C35"/>
      <c r="P35" s="337" t="s">
        <v>151</v>
      </c>
      <c r="Q35" s="338"/>
      <c r="W35" s="92"/>
      <c r="X35" s="92"/>
    </row>
    <row r="36" spans="1:24" hidden="1" x14ac:dyDescent="0.25">
      <c r="A36"/>
      <c r="B36"/>
      <c r="C36"/>
      <c r="P36" s="343" t="s">
        <v>151</v>
      </c>
      <c r="Q36" s="338">
        <v>13325</v>
      </c>
      <c r="W36" s="92"/>
      <c r="X36" s="92"/>
    </row>
    <row r="37" spans="1:24" hidden="1" x14ac:dyDescent="0.25">
      <c r="P37" s="337" t="s">
        <v>185</v>
      </c>
      <c r="Q37" s="338"/>
      <c r="W37" s="92"/>
      <c r="X37" s="92"/>
    </row>
    <row r="38" spans="1:24" hidden="1" x14ac:dyDescent="0.25">
      <c r="P38" s="343" t="s">
        <v>185</v>
      </c>
      <c r="Q38" s="338">
        <v>15854</v>
      </c>
      <c r="W38" s="92"/>
      <c r="X38" s="92"/>
    </row>
    <row r="39" spans="1:24" hidden="1" x14ac:dyDescent="0.25">
      <c r="P39" s="337" t="s">
        <v>237</v>
      </c>
      <c r="Q39" s="338"/>
      <c r="W39" s="92"/>
      <c r="X39" s="92"/>
    </row>
    <row r="40" spans="1:24" hidden="1" x14ac:dyDescent="0.25">
      <c r="P40" s="343" t="s">
        <v>237</v>
      </c>
      <c r="Q40" s="338">
        <v>6461</v>
      </c>
      <c r="W40" s="92"/>
      <c r="X40" s="92"/>
    </row>
    <row r="41" spans="1:24" hidden="1" x14ac:dyDescent="0.25">
      <c r="P41" s="337" t="s">
        <v>289</v>
      </c>
      <c r="Q41" s="338"/>
      <c r="W41" s="92"/>
      <c r="X41" s="92"/>
    </row>
    <row r="42" spans="1:24" hidden="1" x14ac:dyDescent="0.25">
      <c r="P42" s="343" t="s">
        <v>289</v>
      </c>
      <c r="Q42" s="338">
        <v>2769</v>
      </c>
      <c r="W42" s="92"/>
      <c r="X42" s="92"/>
    </row>
    <row r="43" spans="1:24" x14ac:dyDescent="0.25">
      <c r="A43" s="391" t="s">
        <v>395</v>
      </c>
      <c r="B43" s="383" t="s">
        <v>596</v>
      </c>
      <c r="P43" s="337" t="s">
        <v>310</v>
      </c>
      <c r="Q43" s="338"/>
      <c r="W43" s="92"/>
      <c r="X43" s="92"/>
    </row>
    <row r="44" spans="1:24" x14ac:dyDescent="0.25">
      <c r="A44" s="391" t="s">
        <v>1249</v>
      </c>
      <c r="B44" s="383" t="s">
        <v>1191</v>
      </c>
      <c r="C44" s="260" t="s">
        <v>421</v>
      </c>
      <c r="P44" s="343" t="s">
        <v>310</v>
      </c>
      <c r="Q44" s="338">
        <v>36082</v>
      </c>
      <c r="W44" s="92"/>
      <c r="X44" s="92"/>
    </row>
    <row r="45" spans="1:24" x14ac:dyDescent="0.25">
      <c r="P45" s="337" t="s">
        <v>1502</v>
      </c>
      <c r="Q45" s="338"/>
      <c r="W45" s="92"/>
      <c r="X45" s="92"/>
    </row>
    <row r="46" spans="1:24" x14ac:dyDescent="0.25">
      <c r="A46" s="377" t="s">
        <v>826</v>
      </c>
      <c r="B46" s="346" t="s">
        <v>825</v>
      </c>
      <c r="C46" s="346"/>
      <c r="D46" s="347"/>
      <c r="E46"/>
      <c r="P46" s="343" t="s">
        <v>1502</v>
      </c>
      <c r="Q46" s="338">
        <v>120</v>
      </c>
      <c r="W46" s="92"/>
      <c r="X46" s="92"/>
    </row>
    <row r="47" spans="1:24" x14ac:dyDescent="0.25">
      <c r="A47" s="378" t="s">
        <v>414</v>
      </c>
      <c r="B47" s="344" t="s">
        <v>511</v>
      </c>
      <c r="C47" s="344" t="s">
        <v>513</v>
      </c>
      <c r="D47" s="348" t="s">
        <v>415</v>
      </c>
      <c r="E47"/>
      <c r="P47" s="439" t="s">
        <v>415</v>
      </c>
      <c r="Q47" s="438">
        <v>101231</v>
      </c>
      <c r="W47" s="92"/>
      <c r="X47" s="92"/>
    </row>
    <row r="48" spans="1:24" x14ac:dyDescent="0.25">
      <c r="A48" s="385" t="s">
        <v>500</v>
      </c>
      <c r="B48" s="386">
        <v>56898</v>
      </c>
      <c r="C48" s="386">
        <v>39883</v>
      </c>
      <c r="D48" s="387">
        <v>96781</v>
      </c>
      <c r="E48"/>
      <c r="P48"/>
      <c r="Q48"/>
      <c r="W48" s="92"/>
      <c r="X48" s="92"/>
    </row>
    <row r="49" spans="1:24" x14ac:dyDescent="0.25">
      <c r="A49" s="385" t="s">
        <v>843</v>
      </c>
      <c r="B49" s="386">
        <v>0</v>
      </c>
      <c r="C49" s="386">
        <v>0</v>
      </c>
      <c r="D49" s="387">
        <v>0</v>
      </c>
      <c r="E49"/>
      <c r="P49"/>
      <c r="Q49"/>
      <c r="W49" s="92"/>
      <c r="X49" s="92"/>
    </row>
    <row r="50" spans="1:24" x14ac:dyDescent="0.25">
      <c r="A50" s="441" t="s">
        <v>415</v>
      </c>
      <c r="B50" s="442">
        <v>56898</v>
      </c>
      <c r="C50" s="442">
        <v>39883</v>
      </c>
      <c r="D50" s="440">
        <v>96781</v>
      </c>
      <c r="E50"/>
      <c r="W50" s="92"/>
      <c r="X50" s="92"/>
    </row>
    <row r="51" spans="1:24" x14ac:dyDescent="0.25">
      <c r="A51"/>
      <c r="B51"/>
      <c r="C51"/>
      <c r="D51"/>
      <c r="E51"/>
      <c r="W51" s="92"/>
      <c r="X51" s="92"/>
    </row>
    <row r="52" spans="1:24" s="336" customFormat="1" x14ac:dyDescent="0.25">
      <c r="A52" s="333"/>
      <c r="B52" s="333"/>
      <c r="C52" s="333"/>
      <c r="D52" s="333"/>
      <c r="E52" s="333"/>
      <c r="W52" s="333"/>
      <c r="X52" s="333"/>
    </row>
    <row r="53" spans="1:24" x14ac:dyDescent="0.25">
      <c r="A53" s="421" t="s">
        <v>498</v>
      </c>
      <c r="B53" s="421" t="s">
        <v>500</v>
      </c>
      <c r="W53" s="92"/>
      <c r="X53" s="92"/>
    </row>
    <row r="54" spans="1:24" x14ac:dyDescent="0.25">
      <c r="A54" s="391" t="s">
        <v>1249</v>
      </c>
      <c r="B54" s="383" t="s">
        <v>1191</v>
      </c>
    </row>
    <row r="56" spans="1:24" x14ac:dyDescent="0.25">
      <c r="A56" s="377" t="s">
        <v>826</v>
      </c>
      <c r="B56" s="346" t="s">
        <v>825</v>
      </c>
      <c r="C56" s="346"/>
      <c r="D56" s="347"/>
      <c r="E56"/>
    </row>
    <row r="57" spans="1:24" x14ac:dyDescent="0.25">
      <c r="A57" s="378" t="s">
        <v>414</v>
      </c>
      <c r="B57" s="344" t="s">
        <v>511</v>
      </c>
      <c r="C57" s="344" t="s">
        <v>513</v>
      </c>
      <c r="D57" s="348" t="s">
        <v>415</v>
      </c>
      <c r="E57"/>
    </row>
    <row r="58" spans="1:24" x14ac:dyDescent="0.25">
      <c r="A58" s="388" t="s">
        <v>554</v>
      </c>
      <c r="B58" s="389">
        <v>52239</v>
      </c>
      <c r="C58" s="389">
        <v>36566</v>
      </c>
      <c r="D58" s="390">
        <v>88805</v>
      </c>
      <c r="E58"/>
    </row>
    <row r="59" spans="1:24" x14ac:dyDescent="0.25">
      <c r="A59" s="388" t="s">
        <v>12</v>
      </c>
      <c r="B59" s="389">
        <v>4610</v>
      </c>
      <c r="C59" s="389">
        <v>2270</v>
      </c>
      <c r="D59" s="390">
        <v>6880</v>
      </c>
      <c r="E59"/>
    </row>
    <row r="60" spans="1:24" x14ac:dyDescent="0.25">
      <c r="A60" s="388" t="s">
        <v>986</v>
      </c>
      <c r="B60" s="389">
        <v>49</v>
      </c>
      <c r="C60" s="389">
        <v>1047</v>
      </c>
      <c r="D60" s="390">
        <v>1096</v>
      </c>
      <c r="E60"/>
    </row>
    <row r="61" spans="1:24" x14ac:dyDescent="0.25">
      <c r="A61" s="380" t="s">
        <v>415</v>
      </c>
      <c r="B61" s="381">
        <v>56898</v>
      </c>
      <c r="C61" s="381">
        <v>39883</v>
      </c>
      <c r="D61" s="382">
        <v>96781</v>
      </c>
      <c r="E61"/>
    </row>
    <row r="62" spans="1:24" x14ac:dyDescent="0.25">
      <c r="A62"/>
      <c r="B62"/>
      <c r="C62"/>
      <c r="D62"/>
    </row>
    <row r="65" spans="1:5" x14ac:dyDescent="0.25">
      <c r="A65" s="375" t="s">
        <v>498</v>
      </c>
      <c r="B65" s="376" t="s">
        <v>500</v>
      </c>
    </row>
    <row r="66" spans="1:5" x14ac:dyDescent="0.25">
      <c r="A66" s="375" t="s">
        <v>1249</v>
      </c>
      <c r="B66" s="376" t="s">
        <v>1191</v>
      </c>
    </row>
    <row r="68" spans="1:5" x14ac:dyDescent="0.25">
      <c r="A68" s="398" t="s">
        <v>940</v>
      </c>
      <c r="B68" s="399" t="s">
        <v>825</v>
      </c>
      <c r="C68" s="364"/>
      <c r="D68" s="365"/>
      <c r="E68"/>
    </row>
    <row r="69" spans="1:5" x14ac:dyDescent="0.25">
      <c r="A69" s="400" t="s">
        <v>414</v>
      </c>
      <c r="B69" s="334" t="s">
        <v>511</v>
      </c>
      <c r="C69" s="334" t="s">
        <v>513</v>
      </c>
      <c r="D69" s="363" t="s">
        <v>415</v>
      </c>
      <c r="E69"/>
    </row>
    <row r="70" spans="1:5" x14ac:dyDescent="0.25">
      <c r="A70" s="401" t="s">
        <v>554</v>
      </c>
      <c r="B70" s="349">
        <v>140</v>
      </c>
      <c r="C70" s="349">
        <v>15</v>
      </c>
      <c r="D70" s="402">
        <v>155</v>
      </c>
      <c r="E70"/>
    </row>
    <row r="71" spans="1:5" x14ac:dyDescent="0.25">
      <c r="A71" s="401" t="s">
        <v>12</v>
      </c>
      <c r="B71" s="349">
        <v>19</v>
      </c>
      <c r="C71" s="349">
        <v>3</v>
      </c>
      <c r="D71" s="402">
        <v>22</v>
      </c>
      <c r="E71"/>
    </row>
    <row r="72" spans="1:5" x14ac:dyDescent="0.25">
      <c r="A72" s="401" t="s">
        <v>986</v>
      </c>
      <c r="B72" s="349">
        <v>1</v>
      </c>
      <c r="C72" s="349">
        <v>1</v>
      </c>
      <c r="D72" s="402">
        <v>2</v>
      </c>
      <c r="E72"/>
    </row>
    <row r="73" spans="1:5" x14ac:dyDescent="0.25">
      <c r="A73" s="403" t="s">
        <v>415</v>
      </c>
      <c r="B73" s="404">
        <v>160</v>
      </c>
      <c r="C73" s="404">
        <v>19</v>
      </c>
      <c r="D73" s="405">
        <v>179</v>
      </c>
      <c r="E73"/>
    </row>
    <row r="74" spans="1:5" x14ac:dyDescent="0.25">
      <c r="A74"/>
      <c r="B74"/>
      <c r="C74"/>
      <c r="D74"/>
    </row>
    <row r="78" spans="1:5" x14ac:dyDescent="0.25">
      <c r="A78" s="421" t="s">
        <v>498</v>
      </c>
      <c r="B78" s="422" t="s">
        <v>500</v>
      </c>
    </row>
    <row r="79" spans="1:5" x14ac:dyDescent="0.25">
      <c r="A79" s="448" t="s">
        <v>1249</v>
      </c>
      <c r="B79" s="447" t="s">
        <v>1191</v>
      </c>
      <c r="C79" s="260" t="s">
        <v>421</v>
      </c>
    </row>
    <row r="81" spans="1:4" x14ac:dyDescent="0.25">
      <c r="A81" s="377" t="s">
        <v>414</v>
      </c>
      <c r="B81" s="346" t="s">
        <v>1175</v>
      </c>
      <c r="C81" s="346" t="s">
        <v>826</v>
      </c>
      <c r="D81" s="347" t="s">
        <v>1176</v>
      </c>
    </row>
    <row r="82" spans="1:4" x14ac:dyDescent="0.25">
      <c r="A82" s="379" t="s">
        <v>380</v>
      </c>
      <c r="B82" s="384">
        <v>141</v>
      </c>
      <c r="C82" s="384">
        <v>85638</v>
      </c>
      <c r="D82" s="392">
        <v>0.88486376458189109</v>
      </c>
    </row>
    <row r="83" spans="1:4" x14ac:dyDescent="0.25">
      <c r="A83" s="372" t="s">
        <v>511</v>
      </c>
      <c r="B83" s="370"/>
      <c r="C83" s="370"/>
      <c r="D83" s="393"/>
    </row>
    <row r="84" spans="1:4" x14ac:dyDescent="0.25">
      <c r="A84" s="394" t="s">
        <v>986</v>
      </c>
      <c r="B84" s="370">
        <v>1</v>
      </c>
      <c r="C84" s="370">
        <v>49</v>
      </c>
      <c r="D84" s="395">
        <v>5.0629772372676456E-4</v>
      </c>
    </row>
    <row r="85" spans="1:4" x14ac:dyDescent="0.25">
      <c r="A85" s="394" t="s">
        <v>554</v>
      </c>
      <c r="B85" s="370">
        <v>105</v>
      </c>
      <c r="C85" s="370">
        <v>42195</v>
      </c>
      <c r="D85" s="395">
        <v>0.4359843357683843</v>
      </c>
    </row>
    <row r="86" spans="1:4" x14ac:dyDescent="0.25">
      <c r="A86" s="394" t="s">
        <v>12</v>
      </c>
      <c r="B86" s="370">
        <v>18</v>
      </c>
      <c r="C86" s="370">
        <v>4090</v>
      </c>
      <c r="D86" s="395">
        <v>4.2260361021274839E-2</v>
      </c>
    </row>
    <row r="87" spans="1:4" x14ac:dyDescent="0.25">
      <c r="A87" s="372" t="s">
        <v>513</v>
      </c>
      <c r="B87" s="370"/>
      <c r="C87" s="370"/>
      <c r="D87" s="395"/>
    </row>
    <row r="88" spans="1:4" x14ac:dyDescent="0.25">
      <c r="A88" s="394" t="s">
        <v>986</v>
      </c>
      <c r="B88" s="370">
        <v>1</v>
      </c>
      <c r="C88" s="370">
        <v>1047</v>
      </c>
      <c r="D88" s="395">
        <v>1.0818239117182091E-2</v>
      </c>
    </row>
    <row r="89" spans="1:4" x14ac:dyDescent="0.25">
      <c r="A89" s="394" t="s">
        <v>554</v>
      </c>
      <c r="B89" s="370">
        <v>15</v>
      </c>
      <c r="C89" s="370">
        <v>36566</v>
      </c>
      <c r="D89" s="395">
        <v>0.37782209317944637</v>
      </c>
    </row>
    <row r="90" spans="1:4" x14ac:dyDescent="0.25">
      <c r="A90" s="394" t="s">
        <v>12</v>
      </c>
      <c r="B90" s="370">
        <v>1</v>
      </c>
      <c r="C90" s="370">
        <v>1691</v>
      </c>
      <c r="D90" s="395">
        <v>1.7472437771876712E-2</v>
      </c>
    </row>
    <row r="91" spans="1:4" x14ac:dyDescent="0.25">
      <c r="A91" s="396" t="s">
        <v>553</v>
      </c>
      <c r="B91" s="370">
        <v>38</v>
      </c>
      <c r="C91" s="370">
        <v>11143</v>
      </c>
      <c r="D91" s="395">
        <v>0.11513623541810893</v>
      </c>
    </row>
    <row r="92" spans="1:4" x14ac:dyDescent="0.25">
      <c r="A92" s="373" t="s">
        <v>415</v>
      </c>
      <c r="B92" s="374">
        <v>179</v>
      </c>
      <c r="C92" s="374">
        <v>96781</v>
      </c>
      <c r="D92" s="397">
        <v>1</v>
      </c>
    </row>
    <row r="93" spans="1:4" x14ac:dyDescent="0.25">
      <c r="A93"/>
      <c r="B93"/>
      <c r="C93"/>
      <c r="D93"/>
    </row>
    <row r="94" spans="1:4" x14ac:dyDescent="0.25">
      <c r="A94"/>
      <c r="B94"/>
      <c r="C94"/>
      <c r="D94"/>
    </row>
    <row r="95" spans="1:4" x14ac:dyDescent="0.25">
      <c r="A95" s="261"/>
      <c r="B95" s="261"/>
      <c r="C95" s="261"/>
      <c r="D95" s="261"/>
    </row>
    <row r="96" spans="1:4" x14ac:dyDescent="0.25">
      <c r="A96" s="261"/>
      <c r="B96" s="261"/>
      <c r="C96" s="261"/>
      <c r="D96" s="261"/>
    </row>
    <row r="97" spans="1:4" x14ac:dyDescent="0.25">
      <c r="A97" s="261"/>
      <c r="B97" s="261"/>
      <c r="C97" s="261"/>
      <c r="D97" s="261"/>
    </row>
    <row r="98" spans="1:4" x14ac:dyDescent="0.25">
      <c r="A98" s="261"/>
      <c r="B98" s="261"/>
      <c r="C98" s="261"/>
      <c r="D98" s="261"/>
    </row>
    <row r="99" spans="1:4" x14ac:dyDescent="0.25">
      <c r="A99" s="261"/>
      <c r="B99" s="261"/>
      <c r="C99" s="261"/>
      <c r="D99" s="261"/>
    </row>
    <row r="100" spans="1:4" x14ac:dyDescent="0.25">
      <c r="A100" s="261"/>
      <c r="B100" s="261"/>
      <c r="C100" s="261"/>
      <c r="D100" s="261"/>
    </row>
    <row r="101" spans="1:4" x14ac:dyDescent="0.25">
      <c r="A101" s="261"/>
      <c r="B101" s="261"/>
      <c r="C101" s="261"/>
      <c r="D101" s="261"/>
    </row>
    <row r="102" spans="1:4" x14ac:dyDescent="0.25">
      <c r="A102" s="261"/>
      <c r="B102" s="261"/>
      <c r="C102" s="261"/>
      <c r="D102" s="261"/>
    </row>
    <row r="103" spans="1:4" x14ac:dyDescent="0.25">
      <c r="A103" s="261"/>
      <c r="B103" s="261"/>
      <c r="C103" s="261"/>
      <c r="D103" s="261"/>
    </row>
    <row r="104" spans="1:4" x14ac:dyDescent="0.25">
      <c r="A104" s="261"/>
      <c r="B104" s="261"/>
      <c r="C104" s="261"/>
      <c r="D104" s="261"/>
    </row>
    <row r="105" spans="1:4" x14ac:dyDescent="0.25">
      <c r="A105" s="261"/>
      <c r="B105" s="261"/>
      <c r="C105" s="261"/>
      <c r="D105" s="261"/>
    </row>
    <row r="106" spans="1:4" x14ac:dyDescent="0.25">
      <c r="A106" s="261"/>
      <c r="B106" s="261"/>
      <c r="C106" s="261"/>
      <c r="D106" s="261"/>
    </row>
    <row r="107" spans="1:4" x14ac:dyDescent="0.25">
      <c r="A107" s="261"/>
      <c r="B107" s="261"/>
      <c r="C107" s="261"/>
      <c r="D107" s="261"/>
    </row>
    <row r="108" spans="1:4" x14ac:dyDescent="0.25">
      <c r="A108" s="261"/>
      <c r="B108" s="261"/>
      <c r="C108" s="261"/>
      <c r="D108" s="261"/>
    </row>
    <row r="109" spans="1:4" x14ac:dyDescent="0.25">
      <c r="A109" s="261"/>
      <c r="B109" s="261"/>
      <c r="C109" s="261"/>
      <c r="D109" s="261"/>
    </row>
    <row r="110" spans="1:4" x14ac:dyDescent="0.25">
      <c r="A110" s="261"/>
      <c r="B110" s="261"/>
      <c r="C110" s="261"/>
      <c r="D110" s="261"/>
    </row>
    <row r="111" spans="1:4" x14ac:dyDescent="0.25">
      <c r="A111" s="261"/>
      <c r="B111" s="261"/>
      <c r="C111" s="261"/>
      <c r="D111" s="261"/>
    </row>
    <row r="112" spans="1:4" x14ac:dyDescent="0.25">
      <c r="A112" s="261"/>
      <c r="B112" s="261"/>
      <c r="C112" s="261"/>
      <c r="D112" s="261"/>
    </row>
    <row r="113" spans="1:4" x14ac:dyDescent="0.25">
      <c r="A113" s="261"/>
      <c r="B113" s="261"/>
      <c r="C113" s="261"/>
      <c r="D113" s="261"/>
    </row>
    <row r="114" spans="1:4" x14ac:dyDescent="0.25">
      <c r="A114" s="261"/>
      <c r="B114" s="261"/>
      <c r="C114" s="261"/>
      <c r="D114" s="261"/>
    </row>
    <row r="115" spans="1:4" x14ac:dyDescent="0.25">
      <c r="A115" s="261"/>
      <c r="B115" s="261"/>
      <c r="C115" s="261"/>
      <c r="D115" s="261"/>
    </row>
    <row r="116" spans="1:4" x14ac:dyDescent="0.25">
      <c r="A116" s="261"/>
      <c r="B116" s="261"/>
      <c r="C116" s="261"/>
      <c r="D116" s="261"/>
    </row>
    <row r="117" spans="1:4" x14ac:dyDescent="0.25">
      <c r="A117" s="261"/>
      <c r="B117" s="261"/>
      <c r="C117" s="261"/>
      <c r="D117" s="261"/>
    </row>
    <row r="118" spans="1:4" x14ac:dyDescent="0.25">
      <c r="A118" s="261"/>
      <c r="B118" s="261"/>
      <c r="C118" s="261"/>
      <c r="D118" s="261"/>
    </row>
    <row r="119" spans="1:4" x14ac:dyDescent="0.25">
      <c r="A119" s="261"/>
      <c r="B119" s="261"/>
      <c r="C119" s="261"/>
      <c r="D119" s="261"/>
    </row>
    <row r="120" spans="1:4" x14ac:dyDescent="0.25">
      <c r="A120" s="261"/>
      <c r="B120" s="261"/>
      <c r="C120" s="261"/>
      <c r="D120" s="261"/>
    </row>
    <row r="121" spans="1:4" x14ac:dyDescent="0.25">
      <c r="A121" s="261"/>
      <c r="B121" s="261"/>
      <c r="C121" s="261"/>
      <c r="D121" s="261"/>
    </row>
    <row r="122" spans="1:4" x14ac:dyDescent="0.25">
      <c r="A122" s="261"/>
      <c r="B122" s="261"/>
      <c r="C122" s="261"/>
      <c r="D122" s="261"/>
    </row>
    <row r="123" spans="1:4" x14ac:dyDescent="0.25">
      <c r="A123" s="261"/>
      <c r="B123" s="261"/>
      <c r="C123" s="261"/>
      <c r="D123" s="261"/>
    </row>
    <row r="124" spans="1:4" x14ac:dyDescent="0.25">
      <c r="A124" s="261"/>
      <c r="B124" s="261"/>
      <c r="C124" s="261"/>
      <c r="D124" s="261"/>
    </row>
    <row r="125" spans="1:4" x14ac:dyDescent="0.25">
      <c r="A125" s="261"/>
      <c r="B125" s="261"/>
      <c r="C125" s="261"/>
      <c r="D125" s="261"/>
    </row>
    <row r="126" spans="1:4" x14ac:dyDescent="0.25">
      <c r="A126" s="261"/>
      <c r="B126" s="261"/>
      <c r="C126" s="261"/>
      <c r="D126" s="261"/>
    </row>
    <row r="127" spans="1:4" x14ac:dyDescent="0.25">
      <c r="A127" s="261"/>
      <c r="B127" s="261"/>
      <c r="C127" s="261"/>
      <c r="D127" s="261"/>
    </row>
    <row r="128" spans="1:4" x14ac:dyDescent="0.25">
      <c r="A128" s="261"/>
      <c r="B128" s="261"/>
      <c r="C128" s="261"/>
      <c r="D128" s="261"/>
    </row>
    <row r="129" spans="1:4" x14ac:dyDescent="0.25">
      <c r="A129" s="261"/>
      <c r="B129" s="261"/>
      <c r="C129" s="261"/>
      <c r="D129" s="261"/>
    </row>
    <row r="130" spans="1:4" x14ac:dyDescent="0.25">
      <c r="A130" s="261"/>
      <c r="B130" s="261"/>
      <c r="C130" s="261"/>
      <c r="D130" s="261"/>
    </row>
    <row r="131" spans="1:4" x14ac:dyDescent="0.25">
      <c r="A131" s="261"/>
      <c r="B131" s="261"/>
      <c r="C131" s="261"/>
      <c r="D131" s="261"/>
    </row>
    <row r="132" spans="1:4" x14ac:dyDescent="0.25">
      <c r="A132" s="261"/>
      <c r="B132" s="261"/>
      <c r="C132" s="261"/>
      <c r="D132" s="261"/>
    </row>
    <row r="133" spans="1:4" x14ac:dyDescent="0.25">
      <c r="A133" s="261"/>
      <c r="B133" s="261"/>
      <c r="C133" s="261"/>
      <c r="D133" s="261"/>
    </row>
    <row r="134" spans="1:4" x14ac:dyDescent="0.25">
      <c r="A134" s="261"/>
      <c r="B134" s="261"/>
      <c r="C134" s="261"/>
      <c r="D134" s="261"/>
    </row>
    <row r="135" spans="1:4" x14ac:dyDescent="0.25">
      <c r="A135" s="261"/>
      <c r="B135" s="261"/>
      <c r="C135" s="261"/>
      <c r="D135" s="261"/>
    </row>
    <row r="136" spans="1:4" x14ac:dyDescent="0.25">
      <c r="A136" s="261"/>
      <c r="B136" s="261"/>
      <c r="C136" s="261"/>
      <c r="D136" s="261"/>
    </row>
    <row r="137" spans="1:4" x14ac:dyDescent="0.25">
      <c r="A137" s="261"/>
      <c r="B137" s="261"/>
      <c r="C137" s="261"/>
      <c r="D137" s="261"/>
    </row>
    <row r="138" spans="1:4" x14ac:dyDescent="0.25">
      <c r="A138" s="261"/>
      <c r="B138" s="261"/>
      <c r="C138" s="261"/>
      <c r="D138" s="261"/>
    </row>
    <row r="139" spans="1:4" x14ac:dyDescent="0.25">
      <c r="A139" s="261"/>
      <c r="B139" s="261"/>
      <c r="C139" s="261"/>
      <c r="D139" s="261"/>
    </row>
    <row r="140" spans="1:4" x14ac:dyDescent="0.25">
      <c r="A140" s="261"/>
      <c r="B140" s="261"/>
      <c r="C140" s="261"/>
      <c r="D140" s="261"/>
    </row>
    <row r="141" spans="1:4" x14ac:dyDescent="0.25">
      <c r="A141" s="261"/>
      <c r="B141" s="261"/>
      <c r="C141" s="261"/>
      <c r="D141" s="261"/>
    </row>
    <row r="142" spans="1:4" x14ac:dyDescent="0.25">
      <c r="A142" s="261"/>
      <c r="B142" s="261"/>
      <c r="C142" s="261"/>
      <c r="D142" s="261"/>
    </row>
    <row r="143" spans="1:4" x14ac:dyDescent="0.25">
      <c r="A143" s="261"/>
      <c r="B143" s="261"/>
      <c r="C143" s="261"/>
      <c r="D143" s="261"/>
    </row>
    <row r="144" spans="1:4" x14ac:dyDescent="0.25">
      <c r="A144" s="261"/>
      <c r="B144" s="261"/>
      <c r="C144" s="261"/>
      <c r="D144" s="261"/>
    </row>
    <row r="145" spans="1:4" x14ac:dyDescent="0.25">
      <c r="A145" s="261"/>
      <c r="B145" s="261"/>
      <c r="C145" s="261"/>
      <c r="D145" s="261"/>
    </row>
    <row r="146" spans="1:4" x14ac:dyDescent="0.25">
      <c r="A146" s="261"/>
      <c r="B146" s="261"/>
      <c r="C146" s="261"/>
      <c r="D146" s="261"/>
    </row>
    <row r="147" spans="1:4" x14ac:dyDescent="0.25">
      <c r="A147" s="261"/>
      <c r="B147" s="261"/>
      <c r="C147" s="261"/>
      <c r="D147" s="261"/>
    </row>
    <row r="148" spans="1:4" x14ac:dyDescent="0.25">
      <c r="A148" s="261"/>
      <c r="B148" s="261"/>
      <c r="C148" s="261"/>
      <c r="D148" s="261"/>
    </row>
    <row r="149" spans="1:4" x14ac:dyDescent="0.25">
      <c r="A149" s="261"/>
      <c r="B149" s="261"/>
      <c r="C149" s="261"/>
      <c r="D149" s="261"/>
    </row>
    <row r="150" spans="1:4" x14ac:dyDescent="0.25">
      <c r="A150" s="261"/>
      <c r="B150" s="261"/>
      <c r="C150" s="261"/>
      <c r="D150" s="261"/>
    </row>
    <row r="151" spans="1:4" x14ac:dyDescent="0.25">
      <c r="A151" s="261"/>
      <c r="B151" s="261"/>
      <c r="C151" s="261"/>
      <c r="D151" s="261"/>
    </row>
    <row r="152" spans="1:4" x14ac:dyDescent="0.25">
      <c r="A152" s="261"/>
      <c r="B152" s="261"/>
      <c r="C152" s="261"/>
      <c r="D152" s="261"/>
    </row>
    <row r="153" spans="1:4" x14ac:dyDescent="0.25">
      <c r="A153" s="261"/>
      <c r="B153" s="261"/>
      <c r="C153" s="261"/>
      <c r="D153" s="261"/>
    </row>
    <row r="154" spans="1:4" x14ac:dyDescent="0.25">
      <c r="A154" s="261"/>
      <c r="B154" s="261"/>
      <c r="C154" s="261"/>
      <c r="D154" s="261"/>
    </row>
    <row r="155" spans="1:4" x14ac:dyDescent="0.25">
      <c r="A155" s="261"/>
      <c r="B155" s="261"/>
      <c r="C155" s="261"/>
      <c r="D155" s="261"/>
    </row>
    <row r="156" spans="1:4" x14ac:dyDescent="0.25">
      <c r="A156" s="261"/>
      <c r="B156" s="261"/>
      <c r="C156" s="261"/>
      <c r="D156" s="261"/>
    </row>
    <row r="157" spans="1:4" x14ac:dyDescent="0.25">
      <c r="A157" s="261"/>
      <c r="B157" s="261"/>
      <c r="C157" s="261"/>
      <c r="D157" s="261"/>
    </row>
    <row r="158" spans="1:4" x14ac:dyDescent="0.25">
      <c r="A158" s="92"/>
      <c r="B158" s="92"/>
      <c r="C158" s="92"/>
      <c r="D158" s="92"/>
    </row>
    <row r="159" spans="1:4" x14ac:dyDescent="0.25">
      <c r="A159" s="92"/>
      <c r="B159" s="92"/>
      <c r="C159" s="92"/>
      <c r="D159" s="92"/>
    </row>
    <row r="160" spans="1:4" x14ac:dyDescent="0.25">
      <c r="A160" s="92"/>
      <c r="B160" s="92"/>
      <c r="C160" s="92"/>
      <c r="D160" s="92"/>
    </row>
    <row r="161" spans="1:4" x14ac:dyDescent="0.25">
      <c r="A161" s="92"/>
      <c r="B161" s="92"/>
      <c r="C161" s="92"/>
      <c r="D161" s="92"/>
    </row>
    <row r="162" spans="1:4" x14ac:dyDescent="0.25">
      <c r="A162" s="92"/>
      <c r="B162" s="92"/>
      <c r="C162" s="92"/>
      <c r="D162" s="92"/>
    </row>
    <row r="163" spans="1:4" x14ac:dyDescent="0.25">
      <c r="A163" s="92"/>
      <c r="B163" s="92"/>
      <c r="C163" s="92"/>
      <c r="D163" s="92"/>
    </row>
    <row r="164" spans="1:4" x14ac:dyDescent="0.25">
      <c r="A164" s="92"/>
      <c r="B164" s="92"/>
      <c r="C164" s="92"/>
      <c r="D164" s="92"/>
    </row>
    <row r="165" spans="1:4" x14ac:dyDescent="0.25">
      <c r="A165" s="92"/>
      <c r="B165" s="92"/>
      <c r="C165" s="92"/>
      <c r="D165" s="92"/>
    </row>
    <row r="166" spans="1:4" x14ac:dyDescent="0.25">
      <c r="A166" s="92"/>
      <c r="B166" s="92"/>
      <c r="C166" s="92"/>
      <c r="D166" s="92"/>
    </row>
    <row r="167" spans="1:4" x14ac:dyDescent="0.25">
      <c r="A167" s="92"/>
      <c r="B167" s="92"/>
      <c r="C167" s="92"/>
      <c r="D167" s="92"/>
    </row>
    <row r="168" spans="1:4" x14ac:dyDescent="0.25">
      <c r="A168" s="92"/>
      <c r="B168" s="92"/>
      <c r="C168" s="92"/>
      <c r="D168" s="92"/>
    </row>
    <row r="169" spans="1:4" x14ac:dyDescent="0.25">
      <c r="A169" s="92"/>
      <c r="B169" s="92"/>
      <c r="C169" s="92"/>
      <c r="D169" s="92"/>
    </row>
    <row r="170" spans="1:4" x14ac:dyDescent="0.25">
      <c r="A170" s="92"/>
      <c r="B170" s="92"/>
      <c r="C170" s="92"/>
      <c r="D170" s="92"/>
    </row>
    <row r="171" spans="1:4" x14ac:dyDescent="0.25">
      <c r="A171" s="92"/>
      <c r="B171" s="92"/>
      <c r="C171" s="92"/>
      <c r="D171" s="92"/>
    </row>
    <row r="172" spans="1:4" x14ac:dyDescent="0.25">
      <c r="A172" s="92"/>
      <c r="B172" s="92"/>
      <c r="C172" s="92"/>
      <c r="D172" s="92"/>
    </row>
    <row r="173" spans="1:4" x14ac:dyDescent="0.25">
      <c r="A173" s="92"/>
      <c r="B173" s="92"/>
      <c r="C173" s="92"/>
      <c r="D173" s="92"/>
    </row>
    <row r="174" spans="1:4" x14ac:dyDescent="0.25">
      <c r="A174" s="92"/>
      <c r="B174" s="92"/>
      <c r="C174" s="92"/>
      <c r="D174" s="92"/>
    </row>
    <row r="175" spans="1:4" x14ac:dyDescent="0.25">
      <c r="A175" s="92"/>
      <c r="B175" s="92"/>
      <c r="C175" s="92"/>
      <c r="D175" s="92"/>
    </row>
    <row r="176" spans="1:4" x14ac:dyDescent="0.25">
      <c r="A176" s="92"/>
      <c r="B176" s="92"/>
      <c r="C176" s="92"/>
      <c r="D176" s="92"/>
    </row>
    <row r="177" spans="1:4" x14ac:dyDescent="0.25">
      <c r="A177" s="92"/>
      <c r="B177" s="92"/>
      <c r="C177" s="92"/>
      <c r="D177" s="92"/>
    </row>
    <row r="178" spans="1:4" x14ac:dyDescent="0.25">
      <c r="A178" s="92"/>
      <c r="B178" s="92"/>
      <c r="C178" s="92"/>
      <c r="D178" s="92"/>
    </row>
    <row r="179" spans="1:4" x14ac:dyDescent="0.25">
      <c r="A179" s="92"/>
      <c r="B179" s="92"/>
      <c r="C179" s="92"/>
      <c r="D179" s="92"/>
    </row>
    <row r="180" spans="1:4" x14ac:dyDescent="0.25">
      <c r="A180" s="92"/>
      <c r="B180" s="92"/>
      <c r="C180" s="92"/>
      <c r="D180" s="92"/>
    </row>
    <row r="181" spans="1:4" x14ac:dyDescent="0.25">
      <c r="A181" s="92"/>
      <c r="B181" s="92"/>
      <c r="C181" s="92"/>
      <c r="D181" s="92"/>
    </row>
    <row r="182" spans="1:4" x14ac:dyDescent="0.25">
      <c r="A182" s="92"/>
      <c r="B182" s="92"/>
      <c r="C182" s="92"/>
      <c r="D182" s="92"/>
    </row>
    <row r="183" spans="1:4" x14ac:dyDescent="0.25">
      <c r="A183" s="92"/>
      <c r="B183" s="92"/>
      <c r="C183" s="92"/>
      <c r="D183" s="92"/>
    </row>
    <row r="184" spans="1:4" x14ac:dyDescent="0.25">
      <c r="A184" s="92"/>
      <c r="B184" s="92"/>
      <c r="C184" s="92"/>
      <c r="D184" s="92"/>
    </row>
    <row r="185" spans="1:4" x14ac:dyDescent="0.25">
      <c r="A185" s="92"/>
      <c r="B185" s="92"/>
      <c r="C185" s="92"/>
      <c r="D185" s="92"/>
    </row>
    <row r="186" spans="1:4" x14ac:dyDescent="0.25">
      <c r="A186" s="92"/>
      <c r="B186" s="92"/>
      <c r="C186" s="92"/>
      <c r="D186" s="92"/>
    </row>
    <row r="187" spans="1:4" x14ac:dyDescent="0.25">
      <c r="A187" s="92"/>
      <c r="B187" s="92"/>
      <c r="C187" s="92"/>
      <c r="D187" s="92"/>
    </row>
    <row r="188" spans="1:4" x14ac:dyDescent="0.25">
      <c r="A188" s="92"/>
      <c r="B188" s="92"/>
      <c r="C188" s="92"/>
      <c r="D188" s="92"/>
    </row>
    <row r="189" spans="1:4" x14ac:dyDescent="0.25">
      <c r="A189" s="92"/>
      <c r="B189" s="92"/>
      <c r="C189" s="92"/>
      <c r="D189" s="92"/>
    </row>
    <row r="190" spans="1:4" x14ac:dyDescent="0.25">
      <c r="A190" s="92"/>
      <c r="B190" s="92"/>
      <c r="C190" s="92"/>
      <c r="D190" s="92"/>
    </row>
    <row r="191" spans="1:4" x14ac:dyDescent="0.25">
      <c r="A191" s="92"/>
      <c r="B191" s="92"/>
      <c r="C191" s="92"/>
      <c r="D191" s="92"/>
    </row>
    <row r="192" spans="1:4" x14ac:dyDescent="0.25">
      <c r="A192" s="92"/>
      <c r="B192" s="92"/>
      <c r="C192" s="92"/>
      <c r="D192" s="92"/>
    </row>
    <row r="193" spans="1:4" x14ac:dyDescent="0.25">
      <c r="A193" s="92"/>
      <c r="B193" s="92"/>
      <c r="C193" s="92"/>
      <c r="D193" s="92"/>
    </row>
    <row r="194" spans="1:4" x14ac:dyDescent="0.25">
      <c r="A194" s="92"/>
      <c r="B194" s="92"/>
      <c r="C194" s="92"/>
      <c r="D194" s="92"/>
    </row>
    <row r="195" spans="1:4" x14ac:dyDescent="0.25">
      <c r="A195" s="92"/>
      <c r="B195" s="92"/>
      <c r="C195" s="92"/>
      <c r="D195" s="92"/>
    </row>
    <row r="196" spans="1:4" x14ac:dyDescent="0.25">
      <c r="A196" s="92"/>
      <c r="B196" s="92"/>
      <c r="C196" s="92"/>
      <c r="D196" s="92"/>
    </row>
    <row r="197" spans="1:4" x14ac:dyDescent="0.25">
      <c r="A197" s="92"/>
      <c r="B197" s="92"/>
      <c r="C197" s="92"/>
      <c r="D197" s="92"/>
    </row>
    <row r="198" spans="1:4" x14ac:dyDescent="0.25">
      <c r="A198" s="92"/>
      <c r="B198" s="92"/>
      <c r="C198" s="92"/>
      <c r="D198" s="92"/>
    </row>
    <row r="199" spans="1:4" x14ac:dyDescent="0.25">
      <c r="A199" s="92"/>
      <c r="B199" s="92"/>
      <c r="C199" s="92"/>
      <c r="D199" s="92"/>
    </row>
    <row r="200" spans="1:4" x14ac:dyDescent="0.25">
      <c r="A200" s="92"/>
      <c r="B200" s="92"/>
      <c r="C200" s="92"/>
      <c r="D200" s="92"/>
    </row>
    <row r="201" spans="1:4" x14ac:dyDescent="0.25">
      <c r="A201" s="92"/>
      <c r="B201" s="92"/>
      <c r="C201" s="92"/>
      <c r="D201" s="92"/>
    </row>
    <row r="202" spans="1:4" x14ac:dyDescent="0.25">
      <c r="A202" s="92"/>
      <c r="B202" s="92"/>
      <c r="C202" s="92"/>
      <c r="D202" s="92"/>
    </row>
    <row r="203" spans="1:4" x14ac:dyDescent="0.25">
      <c r="A203" s="92"/>
      <c r="B203" s="92"/>
      <c r="C203" s="92"/>
      <c r="D203" s="92"/>
    </row>
    <row r="204" spans="1:4" x14ac:dyDescent="0.25">
      <c r="A204" s="92"/>
      <c r="B204" s="92"/>
      <c r="C204" s="92"/>
      <c r="D204" s="92"/>
    </row>
    <row r="205" spans="1:4" x14ac:dyDescent="0.25">
      <c r="A205" s="92"/>
      <c r="B205" s="92"/>
      <c r="C205" s="92"/>
      <c r="D205" s="92"/>
    </row>
    <row r="206" spans="1:4" x14ac:dyDescent="0.25">
      <c r="A206" s="92"/>
      <c r="B206" s="92"/>
      <c r="C206" s="92"/>
      <c r="D206" s="92"/>
    </row>
    <row r="207" spans="1:4" x14ac:dyDescent="0.25">
      <c r="A207" s="92"/>
      <c r="B207" s="92"/>
      <c r="C207" s="92"/>
      <c r="D207" s="92"/>
    </row>
    <row r="208" spans="1:4" x14ac:dyDescent="0.25">
      <c r="A208" s="92"/>
      <c r="B208" s="92"/>
      <c r="C208" s="92"/>
      <c r="D208" s="92"/>
    </row>
    <row r="209" spans="1:4" x14ac:dyDescent="0.25">
      <c r="A209" s="92"/>
      <c r="B209" s="92"/>
      <c r="C209" s="92"/>
      <c r="D209" s="92"/>
    </row>
    <row r="210" spans="1:4" x14ac:dyDescent="0.25">
      <c r="A210" s="92"/>
      <c r="B210" s="92"/>
      <c r="C210" s="92"/>
      <c r="D210" s="92"/>
    </row>
    <row r="211" spans="1:4" x14ac:dyDescent="0.25">
      <c r="A211" s="92"/>
      <c r="B211" s="92"/>
      <c r="C211" s="92"/>
      <c r="D211" s="92"/>
    </row>
    <row r="212" spans="1:4" x14ac:dyDescent="0.25">
      <c r="A212" s="92"/>
      <c r="B212" s="92"/>
      <c r="C212" s="92"/>
      <c r="D212" s="92"/>
    </row>
    <row r="213" spans="1:4" x14ac:dyDescent="0.25">
      <c r="A213" s="92"/>
      <c r="B213" s="92"/>
      <c r="C213" s="92"/>
      <c r="D213" s="92"/>
    </row>
    <row r="214" spans="1:4" x14ac:dyDescent="0.25">
      <c r="A214" s="92"/>
      <c r="B214" s="92"/>
      <c r="C214" s="92"/>
      <c r="D214" s="92"/>
    </row>
    <row r="215" spans="1:4" x14ac:dyDescent="0.25">
      <c r="A215" s="92"/>
      <c r="B215" s="92"/>
      <c r="C215" s="92"/>
      <c r="D215" s="92"/>
    </row>
    <row r="216" spans="1:4" x14ac:dyDescent="0.25">
      <c r="A216" s="92"/>
      <c r="B216" s="92"/>
      <c r="C216" s="92"/>
      <c r="D216" s="92"/>
    </row>
    <row r="217" spans="1:4" x14ac:dyDescent="0.25">
      <c r="A217" s="92"/>
      <c r="B217" s="92"/>
      <c r="C217" s="92"/>
      <c r="D217" s="92"/>
    </row>
    <row r="218" spans="1:4" x14ac:dyDescent="0.25">
      <c r="A218" s="92"/>
      <c r="B218" s="92"/>
      <c r="C218" s="92"/>
      <c r="D218" s="92"/>
    </row>
    <row r="219" spans="1:4" x14ac:dyDescent="0.25">
      <c r="A219" s="92"/>
      <c r="B219" s="92"/>
      <c r="C219" s="92"/>
      <c r="D219" s="92"/>
    </row>
    <row r="220" spans="1:4" x14ac:dyDescent="0.25">
      <c r="A220" s="92"/>
      <c r="B220" s="92"/>
      <c r="C220" s="92"/>
      <c r="D220" s="92"/>
    </row>
    <row r="221" spans="1:4" x14ac:dyDescent="0.25">
      <c r="A221" s="92"/>
      <c r="B221" s="92"/>
      <c r="C221" s="92"/>
      <c r="D221" s="92"/>
    </row>
    <row r="222" spans="1:4" x14ac:dyDescent="0.25">
      <c r="A222" s="92"/>
      <c r="B222" s="92"/>
      <c r="C222" s="92"/>
      <c r="D222" s="92"/>
    </row>
    <row r="223" spans="1:4" x14ac:dyDescent="0.25">
      <c r="A223" s="92"/>
      <c r="B223" s="92"/>
      <c r="C223" s="92"/>
      <c r="D223" s="92"/>
    </row>
    <row r="224" spans="1:4" x14ac:dyDescent="0.25">
      <c r="A224" s="92"/>
      <c r="B224" s="92"/>
      <c r="C224" s="92"/>
      <c r="D224" s="92"/>
    </row>
    <row r="225" spans="1:4" x14ac:dyDescent="0.25">
      <c r="A225" s="92"/>
      <c r="B225" s="92"/>
      <c r="C225" s="92"/>
      <c r="D225" s="92"/>
    </row>
    <row r="226" spans="1:4" x14ac:dyDescent="0.25">
      <c r="A226" s="92"/>
      <c r="B226" s="92"/>
      <c r="C226" s="92"/>
      <c r="D226" s="92"/>
    </row>
    <row r="227" spans="1:4" x14ac:dyDescent="0.25">
      <c r="A227" s="92"/>
      <c r="B227" s="92"/>
      <c r="C227" s="92"/>
      <c r="D227" s="92"/>
    </row>
    <row r="228" spans="1:4" x14ac:dyDescent="0.25">
      <c r="A228" s="92"/>
      <c r="B228" s="92"/>
      <c r="C228" s="92"/>
      <c r="D228" s="92"/>
    </row>
    <row r="229" spans="1:4" x14ac:dyDescent="0.25">
      <c r="A229" s="92"/>
      <c r="B229" s="92"/>
      <c r="C229" s="92"/>
      <c r="D229" s="92"/>
    </row>
    <row r="230" spans="1:4" x14ac:dyDescent="0.25">
      <c r="A230" s="92"/>
      <c r="B230" s="92"/>
      <c r="C230" s="92"/>
      <c r="D230" s="92"/>
    </row>
    <row r="231" spans="1:4" x14ac:dyDescent="0.25">
      <c r="A231" s="92"/>
      <c r="B231" s="92"/>
      <c r="C231" s="92"/>
      <c r="D231" s="92"/>
    </row>
    <row r="232" spans="1:4" x14ac:dyDescent="0.25">
      <c r="A232" s="92"/>
      <c r="B232" s="92"/>
      <c r="C232" s="92"/>
      <c r="D232" s="92"/>
    </row>
    <row r="233" spans="1:4" x14ac:dyDescent="0.25">
      <c r="A233" s="92"/>
      <c r="B233" s="92"/>
      <c r="C233" s="92"/>
      <c r="D233" s="92"/>
    </row>
    <row r="234" spans="1:4" x14ac:dyDescent="0.25">
      <c r="A234" s="92"/>
      <c r="B234" s="92"/>
      <c r="C234" s="92"/>
      <c r="D234" s="92"/>
    </row>
    <row r="235" spans="1:4" x14ac:dyDescent="0.25">
      <c r="A235" s="92"/>
      <c r="B235" s="92"/>
      <c r="C235" s="92"/>
      <c r="D235" s="92"/>
    </row>
    <row r="236" spans="1:4" x14ac:dyDescent="0.25">
      <c r="A236" s="92"/>
      <c r="B236" s="92"/>
      <c r="C236" s="92"/>
      <c r="D236" s="92"/>
    </row>
    <row r="237" spans="1:4" x14ac:dyDescent="0.25">
      <c r="A237" s="92"/>
      <c r="B237" s="92"/>
      <c r="C237" s="92"/>
      <c r="D237" s="92"/>
    </row>
    <row r="238" spans="1:4" x14ac:dyDescent="0.25">
      <c r="A238" s="92"/>
      <c r="B238" s="92"/>
      <c r="C238" s="92"/>
      <c r="D238" s="92"/>
    </row>
    <row r="239" spans="1:4" x14ac:dyDescent="0.25">
      <c r="A239" s="92"/>
      <c r="B239" s="92"/>
      <c r="C239" s="92"/>
      <c r="D239" s="92"/>
    </row>
    <row r="240" spans="1:4" x14ac:dyDescent="0.25">
      <c r="A240" s="92"/>
      <c r="B240" s="92"/>
      <c r="C240" s="92"/>
      <c r="D240" s="92"/>
    </row>
    <row r="241" spans="1:4" x14ac:dyDescent="0.25">
      <c r="A241" s="92"/>
      <c r="B241" s="92"/>
      <c r="C241" s="92"/>
      <c r="D241" s="92"/>
    </row>
    <row r="242" spans="1:4" x14ac:dyDescent="0.25">
      <c r="A242" s="92"/>
      <c r="B242" s="92"/>
      <c r="C242" s="92"/>
      <c r="D242" s="92"/>
    </row>
    <row r="243" spans="1:4" x14ac:dyDescent="0.25">
      <c r="A243" s="92"/>
      <c r="B243" s="92"/>
      <c r="C243" s="92"/>
      <c r="D243" s="92"/>
    </row>
    <row r="244" spans="1:4" x14ac:dyDescent="0.25">
      <c r="A244" s="92"/>
      <c r="B244" s="92"/>
      <c r="C244" s="92"/>
      <c r="D244" s="92"/>
    </row>
    <row r="245" spans="1:4" x14ac:dyDescent="0.25">
      <c r="A245" s="92"/>
      <c r="B245" s="92"/>
      <c r="C245" s="92"/>
      <c r="D245" s="92"/>
    </row>
    <row r="246" spans="1:4" x14ac:dyDescent="0.25">
      <c r="A246" s="92"/>
      <c r="B246" s="92"/>
      <c r="C246" s="92"/>
      <c r="D246" s="92"/>
    </row>
    <row r="247" spans="1:4" x14ac:dyDescent="0.25">
      <c r="A247" s="92"/>
      <c r="B247" s="92"/>
      <c r="C247" s="92"/>
      <c r="D247" s="92"/>
    </row>
    <row r="248" spans="1:4" x14ac:dyDescent="0.25">
      <c r="A248" s="92"/>
      <c r="B248" s="92"/>
      <c r="C248" s="92"/>
      <c r="D248" s="92"/>
    </row>
    <row r="249" spans="1:4" x14ac:dyDescent="0.25">
      <c r="A249" s="92"/>
      <c r="B249" s="92"/>
      <c r="C249" s="92"/>
      <c r="D249" s="92"/>
    </row>
    <row r="250" spans="1:4" x14ac:dyDescent="0.25">
      <c r="A250" s="92"/>
      <c r="B250" s="92"/>
      <c r="C250" s="92"/>
      <c r="D250" s="92"/>
    </row>
    <row r="251" spans="1:4" x14ac:dyDescent="0.25">
      <c r="A251" s="92"/>
      <c r="B251" s="92"/>
      <c r="C251" s="92"/>
      <c r="D251" s="92"/>
    </row>
    <row r="252" spans="1:4" x14ac:dyDescent="0.25">
      <c r="A252" s="92"/>
      <c r="B252" s="92"/>
      <c r="C252" s="92"/>
      <c r="D252" s="92"/>
    </row>
    <row r="253" spans="1:4" x14ac:dyDescent="0.25">
      <c r="A253" s="92"/>
      <c r="B253" s="92"/>
      <c r="C253" s="92"/>
      <c r="D253" s="92"/>
    </row>
    <row r="254" spans="1:4" x14ac:dyDescent="0.25">
      <c r="A254" s="92"/>
      <c r="B254" s="92"/>
      <c r="C254" s="92"/>
      <c r="D254" s="92"/>
    </row>
    <row r="255" spans="1:4" x14ac:dyDescent="0.25">
      <c r="A255" s="92"/>
      <c r="B255" s="92"/>
      <c r="C255" s="92"/>
      <c r="D255" s="92"/>
    </row>
    <row r="256" spans="1:4" x14ac:dyDescent="0.25">
      <c r="A256" s="92"/>
      <c r="B256" s="92"/>
      <c r="C256" s="92"/>
      <c r="D256" s="92"/>
    </row>
    <row r="257" spans="1:4" x14ac:dyDescent="0.25">
      <c r="A257" s="92"/>
      <c r="B257" s="92"/>
      <c r="C257" s="92"/>
      <c r="D257" s="92"/>
    </row>
    <row r="258" spans="1:4" x14ac:dyDescent="0.25">
      <c r="A258" s="92"/>
      <c r="B258" s="92"/>
      <c r="C258" s="92"/>
      <c r="D258" s="92"/>
    </row>
    <row r="259" spans="1:4" x14ac:dyDescent="0.25">
      <c r="A259" s="92"/>
      <c r="B259" s="92"/>
      <c r="C259" s="92"/>
      <c r="D259" s="92"/>
    </row>
    <row r="260" spans="1:4" x14ac:dyDescent="0.25">
      <c r="A260" s="92"/>
      <c r="B260" s="92"/>
      <c r="C260" s="92"/>
      <c r="D260" s="92"/>
    </row>
    <row r="261" spans="1:4" x14ac:dyDescent="0.25">
      <c r="A261" s="92"/>
      <c r="B261" s="92"/>
      <c r="C261" s="92"/>
      <c r="D261" s="92"/>
    </row>
    <row r="262" spans="1:4" x14ac:dyDescent="0.25">
      <c r="A262" s="92"/>
      <c r="B262" s="92"/>
      <c r="C262" s="92"/>
      <c r="D262" s="92"/>
    </row>
    <row r="263" spans="1:4" x14ac:dyDescent="0.25">
      <c r="A263" s="92"/>
      <c r="B263" s="92"/>
      <c r="C263" s="92"/>
      <c r="D263" s="92"/>
    </row>
    <row r="264" spans="1:4" x14ac:dyDescent="0.25">
      <c r="A264" s="92"/>
      <c r="B264" s="92"/>
      <c r="C264" s="92"/>
      <c r="D264" s="92"/>
    </row>
    <row r="265" spans="1:4" x14ac:dyDescent="0.25">
      <c r="A265" s="92"/>
      <c r="B265" s="92"/>
      <c r="C265" s="92"/>
      <c r="D265" s="92"/>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85" zoomScaleNormal="85" workbookViewId="0">
      <selection activeCell="C26" sqref="C26"/>
    </sheetView>
  </sheetViews>
  <sheetFormatPr defaultRowHeight="15" x14ac:dyDescent="0.25"/>
  <cols>
    <col min="1" max="1" width="11.28515625" style="466" customWidth="1"/>
    <col min="2" max="2" width="12.7109375" style="466" customWidth="1"/>
    <col min="3" max="3" width="47" style="466" bestFit="1" customWidth="1"/>
    <col min="4" max="4" width="19.140625" style="466" customWidth="1"/>
    <col min="5" max="5" width="15" style="466" customWidth="1"/>
    <col min="6" max="6" width="12" style="466" customWidth="1"/>
    <col min="7" max="7" width="10.7109375" style="740" customWidth="1"/>
    <col min="8" max="8" width="11.28515625" style="740" customWidth="1"/>
    <col min="9" max="9" width="9.7109375" style="466" customWidth="1"/>
    <col min="10" max="16384" width="9.140625" style="466"/>
  </cols>
  <sheetData>
    <row r="1" spans="1:11" ht="21.75" customHeight="1" x14ac:dyDescent="0.25">
      <c r="A1" s="731"/>
      <c r="B1" s="449"/>
      <c r="C1" s="449"/>
      <c r="D1" s="449"/>
      <c r="E1" s="449"/>
      <c r="F1" s="449"/>
      <c r="G1" s="449"/>
      <c r="H1" s="450"/>
      <c r="I1" s="464"/>
      <c r="J1" s="464"/>
      <c r="K1" s="464"/>
    </row>
    <row r="2" spans="1:11" ht="28.5" x14ac:dyDescent="0.25">
      <c r="A2" s="732" t="s">
        <v>858</v>
      </c>
      <c r="B2" s="733"/>
      <c r="C2" s="733"/>
      <c r="D2" s="733"/>
      <c r="E2" s="733"/>
      <c r="F2" s="733"/>
      <c r="G2" s="733"/>
      <c r="H2" s="734"/>
      <c r="I2" s="735"/>
      <c r="J2" s="102"/>
      <c r="K2" s="102"/>
    </row>
    <row r="3" spans="1:11" ht="22.5" customHeight="1" x14ac:dyDescent="0.25">
      <c r="A3" s="863">
        <f>Definition!B23</f>
        <v>42736</v>
      </c>
      <c r="B3" s="864"/>
      <c r="C3" s="736"/>
      <c r="D3" s="736"/>
      <c r="E3" s="736"/>
      <c r="F3" s="736"/>
      <c r="G3" s="736"/>
      <c r="H3" s="737"/>
      <c r="I3" s="735"/>
      <c r="J3" s="103"/>
      <c r="K3" s="735"/>
    </row>
    <row r="4" spans="1:11" ht="17.25" customHeight="1" x14ac:dyDescent="0.25">
      <c r="A4" s="738" t="s">
        <v>498</v>
      </c>
      <c r="B4" s="739" t="s">
        <v>500</v>
      </c>
      <c r="C4" s="735"/>
      <c r="D4" s="735"/>
      <c r="E4" s="735"/>
      <c r="F4" s="735"/>
      <c r="G4" s="735"/>
      <c r="H4" s="735"/>
      <c r="I4" s="735"/>
      <c r="J4" s="103"/>
      <c r="K4" s="735"/>
    </row>
    <row r="5" spans="1:11" x14ac:dyDescent="0.25">
      <c r="A5" s="738" t="s">
        <v>1249</v>
      </c>
      <c r="B5" s="739" t="s">
        <v>1191</v>
      </c>
    </row>
    <row r="6" spans="1:11" ht="6.75" customHeight="1" x14ac:dyDescent="0.25"/>
    <row r="7" spans="1:11" ht="45" x14ac:dyDescent="0.25">
      <c r="A7" s="406" t="s">
        <v>395</v>
      </c>
      <c r="B7" s="407" t="s">
        <v>0</v>
      </c>
      <c r="C7" s="407" t="s">
        <v>554</v>
      </c>
      <c r="D7" s="407" t="s">
        <v>925</v>
      </c>
      <c r="E7" s="407" t="s">
        <v>1293</v>
      </c>
      <c r="F7" s="432" t="s">
        <v>926</v>
      </c>
      <c r="G7" s="408" t="s">
        <v>497</v>
      </c>
      <c r="H7" s="409" t="s">
        <v>860</v>
      </c>
      <c r="I7" s="409" t="s">
        <v>861</v>
      </c>
      <c r="J7" s="741" t="s">
        <v>1292</v>
      </c>
      <c r="K7" s="142"/>
    </row>
    <row r="8" spans="1:11" ht="12.75" customHeight="1" x14ac:dyDescent="0.25">
      <c r="A8" s="742" t="s">
        <v>380</v>
      </c>
      <c r="B8" s="451" t="s">
        <v>5</v>
      </c>
      <c r="C8" s="451" t="s">
        <v>6</v>
      </c>
      <c r="D8" s="451" t="s">
        <v>4</v>
      </c>
      <c r="E8" s="451" t="s">
        <v>554</v>
      </c>
      <c r="F8" s="451" t="s">
        <v>1089</v>
      </c>
      <c r="G8" s="451" t="s">
        <v>511</v>
      </c>
      <c r="H8" s="743">
        <v>257</v>
      </c>
      <c r="I8" s="743">
        <v>1266</v>
      </c>
      <c r="J8" s="744">
        <v>1</v>
      </c>
    </row>
    <row r="9" spans="1:11" ht="12.75" customHeight="1" x14ac:dyDescent="0.25">
      <c r="A9" s="742"/>
      <c r="B9" s="451"/>
      <c r="C9" s="451" t="s">
        <v>512</v>
      </c>
      <c r="D9" s="451" t="s">
        <v>377</v>
      </c>
      <c r="E9" s="451" t="s">
        <v>554</v>
      </c>
      <c r="F9" s="451" t="s">
        <v>460</v>
      </c>
      <c r="G9" s="451" t="s">
        <v>511</v>
      </c>
      <c r="H9" s="743">
        <v>12</v>
      </c>
      <c r="I9" s="743">
        <v>56</v>
      </c>
      <c r="J9" s="744">
        <v>1</v>
      </c>
    </row>
    <row r="10" spans="1:11" ht="12.75" customHeight="1" x14ac:dyDescent="0.25">
      <c r="A10" s="742"/>
      <c r="B10" s="451"/>
      <c r="C10" s="451" t="s">
        <v>12</v>
      </c>
      <c r="D10" s="451" t="s">
        <v>11</v>
      </c>
      <c r="E10" s="451" t="s">
        <v>12</v>
      </c>
      <c r="F10" s="451" t="s">
        <v>601</v>
      </c>
      <c r="G10" s="451" t="s">
        <v>511</v>
      </c>
      <c r="H10" s="743">
        <v>197</v>
      </c>
      <c r="I10" s="743">
        <v>957</v>
      </c>
      <c r="J10" s="744">
        <v>1</v>
      </c>
    </row>
    <row r="11" spans="1:11" ht="12.75" customHeight="1" x14ac:dyDescent="0.25">
      <c r="A11" s="742"/>
      <c r="B11" s="451"/>
      <c r="C11" s="451" t="s">
        <v>14</v>
      </c>
      <c r="D11" s="451" t="s">
        <v>13</v>
      </c>
      <c r="E11" s="451" t="s">
        <v>554</v>
      </c>
      <c r="F11" s="451" t="s">
        <v>460</v>
      </c>
      <c r="G11" s="451" t="s">
        <v>511</v>
      </c>
      <c r="H11" s="743">
        <v>38</v>
      </c>
      <c r="I11" s="743">
        <v>221</v>
      </c>
      <c r="J11" s="744">
        <v>1</v>
      </c>
    </row>
    <row r="12" spans="1:11" ht="12.75" customHeight="1" x14ac:dyDescent="0.25">
      <c r="A12" s="742"/>
      <c r="B12" s="451"/>
      <c r="C12" s="98" t="s">
        <v>18</v>
      </c>
      <c r="D12" s="451" t="s">
        <v>17</v>
      </c>
      <c r="E12" s="451" t="s">
        <v>554</v>
      </c>
      <c r="F12" s="451" t="s">
        <v>505</v>
      </c>
      <c r="G12" s="451" t="s">
        <v>511</v>
      </c>
      <c r="H12" s="743">
        <v>116</v>
      </c>
      <c r="I12" s="743">
        <v>659</v>
      </c>
      <c r="J12" s="744">
        <v>1</v>
      </c>
    </row>
    <row r="13" spans="1:11" ht="12.75" customHeight="1" x14ac:dyDescent="0.25">
      <c r="A13" s="742"/>
      <c r="B13" s="451"/>
      <c r="C13" s="98" t="s">
        <v>8</v>
      </c>
      <c r="D13" s="451" t="s">
        <v>7</v>
      </c>
      <c r="E13" s="451" t="s">
        <v>554</v>
      </c>
      <c r="F13" s="451" t="s">
        <v>505</v>
      </c>
      <c r="G13" s="451" t="s">
        <v>511</v>
      </c>
      <c r="H13" s="743">
        <v>14</v>
      </c>
      <c r="I13" s="743">
        <v>61</v>
      </c>
      <c r="J13" s="744">
        <v>1</v>
      </c>
    </row>
    <row r="14" spans="1:11" ht="12.75" customHeight="1" x14ac:dyDescent="0.25">
      <c r="A14" s="742"/>
      <c r="B14" s="451"/>
      <c r="C14" s="98" t="s">
        <v>20</v>
      </c>
      <c r="D14" s="451" t="s">
        <v>19</v>
      </c>
      <c r="E14" s="451" t="s">
        <v>554</v>
      </c>
      <c r="F14" s="451" t="s">
        <v>1089</v>
      </c>
      <c r="G14" s="451" t="s">
        <v>511</v>
      </c>
      <c r="H14" s="743">
        <v>21</v>
      </c>
      <c r="I14" s="743">
        <v>111</v>
      </c>
      <c r="J14" s="744">
        <v>1</v>
      </c>
    </row>
    <row r="15" spans="1:11" ht="12.75" customHeight="1" x14ac:dyDescent="0.25">
      <c r="A15" s="742"/>
      <c r="B15" s="451"/>
      <c r="C15" s="98" t="s">
        <v>366</v>
      </c>
      <c r="D15" s="451" t="s">
        <v>376</v>
      </c>
      <c r="E15" s="451" t="s">
        <v>554</v>
      </c>
      <c r="F15" s="451" t="s">
        <v>460</v>
      </c>
      <c r="G15" s="451" t="s">
        <v>511</v>
      </c>
      <c r="H15" s="743">
        <v>153</v>
      </c>
      <c r="I15" s="743">
        <v>773</v>
      </c>
      <c r="J15" s="744">
        <v>1</v>
      </c>
    </row>
    <row r="16" spans="1:11" ht="12.75" customHeight="1" x14ac:dyDescent="0.25">
      <c r="A16" s="742"/>
      <c r="B16" s="451"/>
      <c r="C16" s="98" t="s">
        <v>22</v>
      </c>
      <c r="D16" s="451" t="s">
        <v>21</v>
      </c>
      <c r="E16" s="451" t="s">
        <v>554</v>
      </c>
      <c r="F16" s="451" t="s">
        <v>460</v>
      </c>
      <c r="G16" s="451" t="s">
        <v>511</v>
      </c>
      <c r="H16" s="743">
        <v>626</v>
      </c>
      <c r="I16" s="743">
        <v>3822</v>
      </c>
      <c r="J16" s="744">
        <v>1</v>
      </c>
    </row>
    <row r="17" spans="1:10" ht="12.75" customHeight="1" x14ac:dyDescent="0.25">
      <c r="A17" s="742"/>
      <c r="B17" s="451"/>
      <c r="C17" s="98" t="s">
        <v>24</v>
      </c>
      <c r="D17" s="451" t="s">
        <v>23</v>
      </c>
      <c r="E17" s="451" t="s">
        <v>554</v>
      </c>
      <c r="F17" s="451" t="s">
        <v>505</v>
      </c>
      <c r="G17" s="451" t="s">
        <v>511</v>
      </c>
      <c r="H17" s="743">
        <v>21</v>
      </c>
      <c r="I17" s="743">
        <v>95</v>
      </c>
      <c r="J17" s="744">
        <v>1</v>
      </c>
    </row>
    <row r="18" spans="1:10" ht="12.75" customHeight="1" x14ac:dyDescent="0.25">
      <c r="A18" s="742"/>
      <c r="B18" s="451"/>
      <c r="C18" s="451" t="s">
        <v>26</v>
      </c>
      <c r="D18" s="451" t="s">
        <v>25</v>
      </c>
      <c r="E18" s="451" t="s">
        <v>554</v>
      </c>
      <c r="F18" s="451" t="s">
        <v>505</v>
      </c>
      <c r="G18" s="451" t="s">
        <v>511</v>
      </c>
      <c r="H18" s="743">
        <v>15</v>
      </c>
      <c r="I18" s="743">
        <v>75</v>
      </c>
      <c r="J18" s="744">
        <v>1</v>
      </c>
    </row>
    <row r="19" spans="1:10" ht="12.75" customHeight="1" x14ac:dyDescent="0.25">
      <c r="A19" s="742"/>
      <c r="B19" s="451" t="s">
        <v>1164</v>
      </c>
      <c r="C19" s="451"/>
      <c r="D19" s="451"/>
      <c r="E19" s="451"/>
      <c r="F19" s="451"/>
      <c r="G19" s="451"/>
      <c r="H19" s="743">
        <v>1470</v>
      </c>
      <c r="I19" s="743">
        <v>8096</v>
      </c>
      <c r="J19" s="744">
        <v>11</v>
      </c>
    </row>
    <row r="20" spans="1:10" ht="12.75" customHeight="1" x14ac:dyDescent="0.25">
      <c r="A20" s="742"/>
      <c r="B20" s="451" t="s">
        <v>27</v>
      </c>
      <c r="C20" s="451" t="s">
        <v>28</v>
      </c>
      <c r="D20" s="451" t="s">
        <v>30</v>
      </c>
      <c r="E20" s="451" t="s">
        <v>554</v>
      </c>
      <c r="F20" s="451" t="s">
        <v>505</v>
      </c>
      <c r="G20" s="451" t="s">
        <v>511</v>
      </c>
      <c r="H20" s="743">
        <v>110</v>
      </c>
      <c r="I20" s="743">
        <v>516</v>
      </c>
      <c r="J20" s="744">
        <v>1</v>
      </c>
    </row>
    <row r="21" spans="1:10" ht="12.75" customHeight="1" x14ac:dyDescent="0.25">
      <c r="A21" s="742"/>
      <c r="B21" s="451"/>
      <c r="C21" s="451" t="s">
        <v>364</v>
      </c>
      <c r="D21" s="451" t="s">
        <v>29</v>
      </c>
      <c r="E21" s="451" t="s">
        <v>554</v>
      </c>
      <c r="F21" s="451" t="s">
        <v>460</v>
      </c>
      <c r="G21" s="451" t="s">
        <v>513</v>
      </c>
      <c r="H21" s="743">
        <v>155</v>
      </c>
      <c r="I21" s="743">
        <v>768</v>
      </c>
      <c r="J21" s="744">
        <v>1</v>
      </c>
    </row>
    <row r="22" spans="1:10" ht="12.75" customHeight="1" x14ac:dyDescent="0.25">
      <c r="A22" s="742"/>
      <c r="B22" s="451"/>
      <c r="C22" s="451" t="s">
        <v>34</v>
      </c>
      <c r="D22" s="451" t="s">
        <v>33</v>
      </c>
      <c r="E22" s="451" t="s">
        <v>12</v>
      </c>
      <c r="F22" s="451" t="s">
        <v>601</v>
      </c>
      <c r="G22" s="451" t="s">
        <v>511</v>
      </c>
      <c r="H22" s="743"/>
      <c r="I22" s="743"/>
      <c r="J22" s="744">
        <v>1</v>
      </c>
    </row>
    <row r="23" spans="1:10" ht="12.75" customHeight="1" x14ac:dyDescent="0.25">
      <c r="A23" s="742"/>
      <c r="B23" s="451"/>
      <c r="C23" s="451" t="s">
        <v>365</v>
      </c>
      <c r="D23" s="451" t="s">
        <v>378</v>
      </c>
      <c r="E23" s="451" t="s">
        <v>554</v>
      </c>
      <c r="F23" s="451" t="s">
        <v>505</v>
      </c>
      <c r="G23" s="451" t="s">
        <v>511</v>
      </c>
      <c r="H23" s="743">
        <v>143</v>
      </c>
      <c r="I23" s="743">
        <v>637</v>
      </c>
      <c r="J23" s="744">
        <v>1</v>
      </c>
    </row>
    <row r="24" spans="1:10" ht="12.75" customHeight="1" x14ac:dyDescent="0.25">
      <c r="A24" s="742"/>
      <c r="B24" s="451"/>
      <c r="C24" s="451" t="s">
        <v>864</v>
      </c>
      <c r="D24" s="451" t="s">
        <v>863</v>
      </c>
      <c r="E24" s="451" t="s">
        <v>554</v>
      </c>
      <c r="F24" s="451" t="s">
        <v>1090</v>
      </c>
      <c r="G24" s="451" t="s">
        <v>511</v>
      </c>
      <c r="H24" s="743">
        <v>61</v>
      </c>
      <c r="I24" s="743">
        <v>273</v>
      </c>
      <c r="J24" s="744">
        <v>1</v>
      </c>
    </row>
    <row r="25" spans="1:10" ht="12.75" customHeight="1" x14ac:dyDescent="0.25">
      <c r="A25" s="742"/>
      <c r="B25" s="451"/>
      <c r="C25" s="451" t="s">
        <v>1019</v>
      </c>
      <c r="D25" s="451" t="s">
        <v>1020</v>
      </c>
      <c r="E25" s="451" t="s">
        <v>554</v>
      </c>
      <c r="F25" s="451" t="s">
        <v>1090</v>
      </c>
      <c r="G25" s="451" t="s">
        <v>511</v>
      </c>
      <c r="H25" s="743">
        <v>31</v>
      </c>
      <c r="I25" s="743">
        <v>180</v>
      </c>
      <c r="J25" s="744">
        <v>1</v>
      </c>
    </row>
    <row r="26" spans="1:10" ht="12.75" customHeight="1" x14ac:dyDescent="0.25">
      <c r="A26" s="742"/>
      <c r="B26" s="451" t="s">
        <v>1117</v>
      </c>
      <c r="C26" s="451"/>
      <c r="D26" s="451"/>
      <c r="E26" s="451"/>
      <c r="F26" s="451"/>
      <c r="G26" s="451"/>
      <c r="H26" s="743">
        <v>500</v>
      </c>
      <c r="I26" s="743">
        <v>2374</v>
      </c>
      <c r="J26" s="744">
        <v>6</v>
      </c>
    </row>
    <row r="27" spans="1:10" ht="12.75" customHeight="1" x14ac:dyDescent="0.25">
      <c r="A27" s="742"/>
      <c r="B27" s="451" t="s">
        <v>527</v>
      </c>
      <c r="C27" s="451" t="s">
        <v>62</v>
      </c>
      <c r="D27" s="451" t="s">
        <v>61</v>
      </c>
      <c r="E27" s="451" t="s">
        <v>554</v>
      </c>
      <c r="F27" s="451" t="s">
        <v>460</v>
      </c>
      <c r="G27" s="451" t="s">
        <v>511</v>
      </c>
      <c r="H27" s="743">
        <v>67</v>
      </c>
      <c r="I27" s="743">
        <v>351</v>
      </c>
      <c r="J27" s="744">
        <v>1</v>
      </c>
    </row>
    <row r="28" spans="1:10" ht="12.75" customHeight="1" x14ac:dyDescent="0.25">
      <c r="A28" s="742"/>
      <c r="B28" s="451"/>
      <c r="C28" s="451" t="s">
        <v>120</v>
      </c>
      <c r="D28" s="451" t="s">
        <v>119</v>
      </c>
      <c r="E28" s="451" t="s">
        <v>554</v>
      </c>
      <c r="F28" s="451" t="s">
        <v>1090</v>
      </c>
      <c r="G28" s="451" t="s">
        <v>511</v>
      </c>
      <c r="H28" s="743">
        <v>72</v>
      </c>
      <c r="I28" s="743">
        <v>363</v>
      </c>
      <c r="J28" s="744">
        <v>1</v>
      </c>
    </row>
    <row r="29" spans="1:10" ht="12.75" customHeight="1" x14ac:dyDescent="0.25">
      <c r="A29" s="742"/>
      <c r="B29" s="451"/>
      <c r="C29" s="451" t="s">
        <v>41</v>
      </c>
      <c r="D29" s="451" t="s">
        <v>40</v>
      </c>
      <c r="E29" s="451" t="s">
        <v>554</v>
      </c>
      <c r="F29" s="451" t="s">
        <v>505</v>
      </c>
      <c r="G29" s="451" t="s">
        <v>511</v>
      </c>
      <c r="H29" s="743">
        <v>67</v>
      </c>
      <c r="I29" s="743">
        <v>353</v>
      </c>
      <c r="J29" s="744">
        <v>1</v>
      </c>
    </row>
    <row r="30" spans="1:10" ht="12.75" customHeight="1" x14ac:dyDescent="0.25">
      <c r="A30" s="742"/>
      <c r="B30" s="451"/>
      <c r="C30" s="451" t="s">
        <v>43</v>
      </c>
      <c r="D30" s="451" t="s">
        <v>42</v>
      </c>
      <c r="E30" s="451" t="s">
        <v>554</v>
      </c>
      <c r="F30" s="451" t="s">
        <v>505</v>
      </c>
      <c r="G30" s="451" t="s">
        <v>511</v>
      </c>
      <c r="H30" s="743">
        <v>14</v>
      </c>
      <c r="I30" s="743">
        <v>83</v>
      </c>
      <c r="J30" s="744">
        <v>1</v>
      </c>
    </row>
    <row r="31" spans="1:10" ht="12.75" customHeight="1" x14ac:dyDescent="0.25">
      <c r="A31" s="742"/>
      <c r="B31" s="451"/>
      <c r="C31" s="451" t="s">
        <v>52</v>
      </c>
      <c r="D31" s="451" t="s">
        <v>51</v>
      </c>
      <c r="E31" s="451" t="s">
        <v>554</v>
      </c>
      <c r="F31" s="451" t="s">
        <v>460</v>
      </c>
      <c r="G31" s="451" t="s">
        <v>511</v>
      </c>
      <c r="H31" s="743">
        <v>38</v>
      </c>
      <c r="I31" s="743">
        <v>233</v>
      </c>
      <c r="J31" s="744">
        <v>1</v>
      </c>
    </row>
    <row r="32" spans="1:10" ht="12.75" customHeight="1" x14ac:dyDescent="0.25">
      <c r="A32" s="742"/>
      <c r="B32" s="451"/>
      <c r="C32" s="451" t="s">
        <v>72</v>
      </c>
      <c r="D32" s="451" t="s">
        <v>71</v>
      </c>
      <c r="E32" s="451" t="s">
        <v>554</v>
      </c>
      <c r="F32" s="451" t="s">
        <v>505</v>
      </c>
      <c r="G32" s="451" t="s">
        <v>511</v>
      </c>
      <c r="H32" s="743">
        <v>6</v>
      </c>
      <c r="I32" s="743">
        <v>30</v>
      </c>
      <c r="J32" s="744">
        <v>1</v>
      </c>
    </row>
    <row r="33" spans="1:10" ht="12.75" customHeight="1" x14ac:dyDescent="0.25">
      <c r="A33" s="742"/>
      <c r="B33" s="451"/>
      <c r="C33" s="451" t="s">
        <v>76</v>
      </c>
      <c r="D33" s="451" t="s">
        <v>75</v>
      </c>
      <c r="E33" s="451" t="s">
        <v>554</v>
      </c>
      <c r="F33" s="451" t="s">
        <v>505</v>
      </c>
      <c r="G33" s="451" t="s">
        <v>511</v>
      </c>
      <c r="H33" s="743">
        <v>66</v>
      </c>
      <c r="I33" s="743">
        <v>362</v>
      </c>
      <c r="J33" s="744">
        <v>1</v>
      </c>
    </row>
    <row r="34" spans="1:10" ht="12.75" customHeight="1" x14ac:dyDescent="0.25">
      <c r="A34" s="742"/>
      <c r="B34" s="451"/>
      <c r="C34" s="451" t="s">
        <v>88</v>
      </c>
      <c r="D34" s="451" t="s">
        <v>87</v>
      </c>
      <c r="E34" s="451" t="s">
        <v>554</v>
      </c>
      <c r="F34" s="451" t="s">
        <v>460</v>
      </c>
      <c r="G34" s="451" t="s">
        <v>511</v>
      </c>
      <c r="H34" s="743">
        <v>13</v>
      </c>
      <c r="I34" s="743">
        <v>46</v>
      </c>
      <c r="J34" s="744">
        <v>1</v>
      </c>
    </row>
    <row r="35" spans="1:10" ht="12.75" customHeight="1" x14ac:dyDescent="0.25">
      <c r="A35" s="742"/>
      <c r="B35" s="451"/>
      <c r="C35" s="451" t="s">
        <v>44</v>
      </c>
      <c r="D35" s="451" t="s">
        <v>45</v>
      </c>
      <c r="E35" s="451" t="s">
        <v>554</v>
      </c>
      <c r="F35" s="451" t="s">
        <v>505</v>
      </c>
      <c r="G35" s="451" t="s">
        <v>511</v>
      </c>
      <c r="H35" s="743">
        <v>5</v>
      </c>
      <c r="I35" s="743">
        <v>34</v>
      </c>
      <c r="J35" s="744">
        <v>1</v>
      </c>
    </row>
    <row r="36" spans="1:10" ht="12.75" customHeight="1" x14ac:dyDescent="0.25">
      <c r="A36" s="742"/>
      <c r="B36" s="451"/>
      <c r="C36" s="451" t="s">
        <v>90</v>
      </c>
      <c r="D36" s="451" t="s">
        <v>89</v>
      </c>
      <c r="E36" s="451" t="s">
        <v>554</v>
      </c>
      <c r="F36" s="451" t="s">
        <v>505</v>
      </c>
      <c r="G36" s="451" t="s">
        <v>511</v>
      </c>
      <c r="H36" s="743">
        <v>25</v>
      </c>
      <c r="I36" s="743">
        <v>118</v>
      </c>
      <c r="J36" s="744">
        <v>1</v>
      </c>
    </row>
    <row r="37" spans="1:10" ht="12.75" customHeight="1" x14ac:dyDescent="0.25">
      <c r="A37" s="742"/>
      <c r="B37" s="451"/>
      <c r="C37" s="451" t="s">
        <v>92</v>
      </c>
      <c r="D37" s="451" t="s">
        <v>91</v>
      </c>
      <c r="E37" s="451" t="s">
        <v>554</v>
      </c>
      <c r="F37" s="451" t="s">
        <v>505</v>
      </c>
      <c r="G37" s="451" t="s">
        <v>511</v>
      </c>
      <c r="H37" s="743">
        <v>15</v>
      </c>
      <c r="I37" s="743">
        <v>73</v>
      </c>
      <c r="J37" s="744">
        <v>1</v>
      </c>
    </row>
    <row r="38" spans="1:10" ht="12.75" customHeight="1" x14ac:dyDescent="0.25">
      <c r="A38" s="742"/>
      <c r="B38" s="451"/>
      <c r="C38" s="451" t="s">
        <v>100</v>
      </c>
      <c r="D38" s="451" t="s">
        <v>99</v>
      </c>
      <c r="E38" s="451" t="s">
        <v>554</v>
      </c>
      <c r="F38" s="451" t="s">
        <v>505</v>
      </c>
      <c r="G38" s="451" t="s">
        <v>511</v>
      </c>
      <c r="H38" s="743">
        <v>4</v>
      </c>
      <c r="I38" s="743">
        <v>22</v>
      </c>
      <c r="J38" s="744">
        <v>1</v>
      </c>
    </row>
    <row r="39" spans="1:10" ht="12.75" customHeight="1" x14ac:dyDescent="0.25">
      <c r="A39" s="742"/>
      <c r="B39" s="451"/>
      <c r="C39" s="451" t="s">
        <v>611</v>
      </c>
      <c r="D39" s="451" t="s">
        <v>46</v>
      </c>
      <c r="E39" s="451" t="s">
        <v>554</v>
      </c>
      <c r="F39" s="451" t="s">
        <v>505</v>
      </c>
      <c r="G39" s="451" t="s">
        <v>511</v>
      </c>
      <c r="H39" s="743">
        <v>12</v>
      </c>
      <c r="I39" s="743">
        <v>50</v>
      </c>
      <c r="J39" s="744">
        <v>1</v>
      </c>
    </row>
    <row r="40" spans="1:10" ht="12.75" customHeight="1" x14ac:dyDescent="0.25">
      <c r="A40" s="742"/>
      <c r="B40" s="451"/>
      <c r="C40" s="451" t="s">
        <v>108</v>
      </c>
      <c r="D40" s="451" t="s">
        <v>107</v>
      </c>
      <c r="E40" s="451" t="s">
        <v>554</v>
      </c>
      <c r="F40" s="451" t="s">
        <v>1090</v>
      </c>
      <c r="G40" s="451" t="s">
        <v>511</v>
      </c>
      <c r="H40" s="743">
        <v>51</v>
      </c>
      <c r="I40" s="743">
        <v>225</v>
      </c>
      <c r="J40" s="744">
        <v>1</v>
      </c>
    </row>
    <row r="41" spans="1:10" ht="12.75" customHeight="1" x14ac:dyDescent="0.25">
      <c r="A41" s="742"/>
      <c r="B41" s="451"/>
      <c r="C41" s="451" t="s">
        <v>118</v>
      </c>
      <c r="D41" s="451" t="s">
        <v>117</v>
      </c>
      <c r="E41" s="451" t="s">
        <v>554</v>
      </c>
      <c r="F41" s="451" t="s">
        <v>505</v>
      </c>
      <c r="G41" s="451" t="s">
        <v>511</v>
      </c>
      <c r="H41" s="743">
        <v>10</v>
      </c>
      <c r="I41" s="743">
        <v>39</v>
      </c>
      <c r="J41" s="744">
        <v>1</v>
      </c>
    </row>
    <row r="42" spans="1:10" ht="12.75" customHeight="1" x14ac:dyDescent="0.25">
      <c r="A42" s="742"/>
      <c r="B42" s="451"/>
      <c r="C42" s="451" t="s">
        <v>124</v>
      </c>
      <c r="D42" s="451" t="s">
        <v>123</v>
      </c>
      <c r="E42" s="451" t="s">
        <v>554</v>
      </c>
      <c r="F42" s="451" t="s">
        <v>460</v>
      </c>
      <c r="G42" s="451" t="s">
        <v>511</v>
      </c>
      <c r="H42" s="743">
        <v>8</v>
      </c>
      <c r="I42" s="743">
        <v>36</v>
      </c>
      <c r="J42" s="744">
        <v>1</v>
      </c>
    </row>
    <row r="43" spans="1:10" ht="12.75" customHeight="1" x14ac:dyDescent="0.25">
      <c r="A43" s="742"/>
      <c r="B43" s="451"/>
      <c r="C43" s="451" t="s">
        <v>126</v>
      </c>
      <c r="D43" s="451" t="s">
        <v>125</v>
      </c>
      <c r="E43" s="451" t="s">
        <v>554</v>
      </c>
      <c r="F43" s="451" t="s">
        <v>460</v>
      </c>
      <c r="G43" s="451" t="s">
        <v>511</v>
      </c>
      <c r="H43" s="743">
        <v>35</v>
      </c>
      <c r="I43" s="743">
        <v>173</v>
      </c>
      <c r="J43" s="744">
        <v>1</v>
      </c>
    </row>
    <row r="44" spans="1:10" ht="12.75" customHeight="1" x14ac:dyDescent="0.25">
      <c r="A44" s="742"/>
      <c r="B44" s="451"/>
      <c r="C44" s="451" t="s">
        <v>140</v>
      </c>
      <c r="D44" s="451" t="s">
        <v>139</v>
      </c>
      <c r="E44" s="451" t="s">
        <v>554</v>
      </c>
      <c r="F44" s="451" t="s">
        <v>460</v>
      </c>
      <c r="G44" s="451" t="s">
        <v>511</v>
      </c>
      <c r="H44" s="743">
        <v>12</v>
      </c>
      <c r="I44" s="743">
        <v>43</v>
      </c>
      <c r="J44" s="744">
        <v>1</v>
      </c>
    </row>
    <row r="45" spans="1:10" ht="12.75" customHeight="1" x14ac:dyDescent="0.25">
      <c r="A45" s="742"/>
      <c r="B45" s="451"/>
      <c r="C45" s="451" t="s">
        <v>1065</v>
      </c>
      <c r="D45" s="451" t="s">
        <v>1066</v>
      </c>
      <c r="E45" s="451" t="s">
        <v>554</v>
      </c>
      <c r="F45" s="451" t="s">
        <v>460</v>
      </c>
      <c r="G45" s="451" t="s">
        <v>511</v>
      </c>
      <c r="H45" s="743">
        <v>103</v>
      </c>
      <c r="I45" s="743">
        <v>490</v>
      </c>
      <c r="J45" s="744">
        <v>1</v>
      </c>
    </row>
    <row r="46" spans="1:10" ht="12.75" customHeight="1" x14ac:dyDescent="0.25">
      <c r="A46" s="742"/>
      <c r="B46" s="451"/>
      <c r="C46" s="451" t="s">
        <v>1120</v>
      </c>
      <c r="D46" s="451" t="s">
        <v>1121</v>
      </c>
      <c r="E46" s="451" t="s">
        <v>554</v>
      </c>
      <c r="F46" s="451" t="s">
        <v>460</v>
      </c>
      <c r="G46" s="451" t="s">
        <v>511</v>
      </c>
      <c r="H46" s="743">
        <v>52</v>
      </c>
      <c r="I46" s="743">
        <v>242</v>
      </c>
      <c r="J46" s="744">
        <v>1</v>
      </c>
    </row>
    <row r="47" spans="1:10" ht="12.75" customHeight="1" x14ac:dyDescent="0.25">
      <c r="A47" s="742"/>
      <c r="B47" s="451"/>
      <c r="C47" s="451" t="s">
        <v>1409</v>
      </c>
      <c r="D47" s="451" t="s">
        <v>1410</v>
      </c>
      <c r="E47" s="451" t="s">
        <v>554</v>
      </c>
      <c r="F47" s="451" t="s">
        <v>601</v>
      </c>
      <c r="G47" s="451" t="s">
        <v>511</v>
      </c>
      <c r="H47" s="743">
        <v>6</v>
      </c>
      <c r="I47" s="743">
        <v>9</v>
      </c>
      <c r="J47" s="744">
        <v>1</v>
      </c>
    </row>
    <row r="48" spans="1:10" ht="12.75" customHeight="1" x14ac:dyDescent="0.25">
      <c r="A48" s="742"/>
      <c r="B48" s="451"/>
      <c r="C48" s="451" t="s">
        <v>1445</v>
      </c>
      <c r="D48" s="451" t="s">
        <v>1451</v>
      </c>
      <c r="E48" s="451" t="s">
        <v>554</v>
      </c>
      <c r="F48" s="451" t="s">
        <v>601</v>
      </c>
      <c r="G48" s="451" t="s">
        <v>511</v>
      </c>
      <c r="H48" s="743">
        <v>32</v>
      </c>
      <c r="I48" s="743">
        <v>83</v>
      </c>
      <c r="J48" s="744">
        <v>1</v>
      </c>
    </row>
    <row r="49" spans="1:10" ht="12.75" customHeight="1" x14ac:dyDescent="0.25">
      <c r="A49" s="742"/>
      <c r="B49" s="451"/>
      <c r="C49" s="451" t="s">
        <v>1449</v>
      </c>
      <c r="D49" s="451" t="s">
        <v>1452</v>
      </c>
      <c r="E49" s="451" t="s">
        <v>554</v>
      </c>
      <c r="F49" s="451" t="s">
        <v>460</v>
      </c>
      <c r="G49" s="451" t="s">
        <v>511</v>
      </c>
      <c r="H49" s="743">
        <v>32</v>
      </c>
      <c r="I49" s="743">
        <v>92</v>
      </c>
      <c r="J49" s="744">
        <v>1</v>
      </c>
    </row>
    <row r="50" spans="1:10" ht="12.75" customHeight="1" x14ac:dyDescent="0.25">
      <c r="A50" s="742"/>
      <c r="B50" s="451"/>
      <c r="C50" s="451" t="s">
        <v>1446</v>
      </c>
      <c r="D50" s="451" t="s">
        <v>1453</v>
      </c>
      <c r="E50" s="451" t="s">
        <v>554</v>
      </c>
      <c r="F50" s="451" t="s">
        <v>601</v>
      </c>
      <c r="G50" s="451" t="s">
        <v>511</v>
      </c>
      <c r="H50" s="743">
        <v>13</v>
      </c>
      <c r="I50" s="743">
        <v>47</v>
      </c>
      <c r="J50" s="744">
        <v>1</v>
      </c>
    </row>
    <row r="51" spans="1:10" ht="12.75" customHeight="1" x14ac:dyDescent="0.25">
      <c r="A51" s="742"/>
      <c r="B51" s="451"/>
      <c r="C51" s="451" t="s">
        <v>1448</v>
      </c>
      <c r="D51" s="451" t="s">
        <v>1454</v>
      </c>
      <c r="E51" s="451" t="s">
        <v>554</v>
      </c>
      <c r="F51" s="451" t="s">
        <v>601</v>
      </c>
      <c r="G51" s="451" t="s">
        <v>511</v>
      </c>
      <c r="H51" s="743">
        <v>7</v>
      </c>
      <c r="I51" s="743">
        <v>19</v>
      </c>
      <c r="J51" s="744">
        <v>1</v>
      </c>
    </row>
    <row r="52" spans="1:10" ht="12.75" customHeight="1" x14ac:dyDescent="0.25">
      <c r="A52" s="742"/>
      <c r="B52" s="451"/>
      <c r="C52" s="451" t="s">
        <v>1447</v>
      </c>
      <c r="D52" s="451" t="s">
        <v>1455</v>
      </c>
      <c r="E52" s="451" t="s">
        <v>554</v>
      </c>
      <c r="F52" s="451" t="s">
        <v>601</v>
      </c>
      <c r="G52" s="451" t="s">
        <v>511</v>
      </c>
      <c r="H52" s="743">
        <v>22</v>
      </c>
      <c r="I52" s="743">
        <v>52</v>
      </c>
      <c r="J52" s="744">
        <v>1</v>
      </c>
    </row>
    <row r="53" spans="1:10" ht="12.75" customHeight="1" x14ac:dyDescent="0.25">
      <c r="A53" s="742"/>
      <c r="B53" s="451" t="s">
        <v>1165</v>
      </c>
      <c r="C53" s="451"/>
      <c r="D53" s="451"/>
      <c r="E53" s="451"/>
      <c r="F53" s="451"/>
      <c r="G53" s="451"/>
      <c r="H53" s="743">
        <v>787</v>
      </c>
      <c r="I53" s="743">
        <v>3668</v>
      </c>
      <c r="J53" s="744">
        <v>26</v>
      </c>
    </row>
    <row r="54" spans="1:10" ht="12.75" customHeight="1" x14ac:dyDescent="0.25">
      <c r="A54" s="742"/>
      <c r="B54" s="451" t="s">
        <v>151</v>
      </c>
      <c r="C54" s="451" t="s">
        <v>188</v>
      </c>
      <c r="D54" s="451" t="s">
        <v>187</v>
      </c>
      <c r="E54" s="451" t="s">
        <v>554</v>
      </c>
      <c r="F54" s="451" t="s">
        <v>1089</v>
      </c>
      <c r="G54" s="451" t="s">
        <v>513</v>
      </c>
      <c r="H54" s="743">
        <v>418</v>
      </c>
      <c r="I54" s="743">
        <v>2109</v>
      </c>
      <c r="J54" s="744">
        <v>1</v>
      </c>
    </row>
    <row r="55" spans="1:10" ht="12.75" customHeight="1" x14ac:dyDescent="0.25">
      <c r="A55" s="742"/>
      <c r="B55" s="451"/>
      <c r="C55" s="451" t="s">
        <v>12</v>
      </c>
      <c r="D55" s="451" t="s">
        <v>390</v>
      </c>
      <c r="E55" s="451" t="s">
        <v>12</v>
      </c>
      <c r="F55" s="451" t="s">
        <v>601</v>
      </c>
      <c r="G55" s="451" t="s">
        <v>511</v>
      </c>
      <c r="H55" s="743">
        <v>73</v>
      </c>
      <c r="I55" s="743">
        <v>274</v>
      </c>
      <c r="J55" s="744">
        <v>1</v>
      </c>
    </row>
    <row r="56" spans="1:10" ht="12.75" customHeight="1" x14ac:dyDescent="0.25">
      <c r="A56" s="742"/>
      <c r="B56" s="451"/>
      <c r="C56" s="451" t="s">
        <v>198</v>
      </c>
      <c r="D56" s="451" t="s">
        <v>197</v>
      </c>
      <c r="E56" s="451" t="s">
        <v>554</v>
      </c>
      <c r="F56" s="451" t="s">
        <v>1089</v>
      </c>
      <c r="G56" s="451" t="s">
        <v>513</v>
      </c>
      <c r="H56" s="743">
        <v>547</v>
      </c>
      <c r="I56" s="743">
        <v>2576</v>
      </c>
      <c r="J56" s="744">
        <v>1</v>
      </c>
    </row>
    <row r="57" spans="1:10" ht="12.75" customHeight="1" x14ac:dyDescent="0.25">
      <c r="A57" s="742"/>
      <c r="B57" s="451"/>
      <c r="C57" s="451" t="s">
        <v>885</v>
      </c>
      <c r="D57" s="451" t="s">
        <v>886</v>
      </c>
      <c r="E57" s="451" t="s">
        <v>554</v>
      </c>
      <c r="F57" s="451" t="s">
        <v>460</v>
      </c>
      <c r="G57" s="451" t="s">
        <v>511</v>
      </c>
      <c r="H57" s="743">
        <v>389</v>
      </c>
      <c r="I57" s="743">
        <v>1799</v>
      </c>
      <c r="J57" s="744">
        <v>1</v>
      </c>
    </row>
    <row r="58" spans="1:10" ht="12.75" customHeight="1" x14ac:dyDescent="0.25">
      <c r="A58" s="742"/>
      <c r="B58" s="451"/>
      <c r="C58" s="451" t="s">
        <v>160</v>
      </c>
      <c r="D58" s="451" t="s">
        <v>159</v>
      </c>
      <c r="E58" s="451" t="s">
        <v>554</v>
      </c>
      <c r="F58" s="451" t="s">
        <v>460</v>
      </c>
      <c r="G58" s="451" t="s">
        <v>511</v>
      </c>
      <c r="H58" s="743">
        <v>107</v>
      </c>
      <c r="I58" s="743">
        <v>539</v>
      </c>
      <c r="J58" s="744">
        <v>1</v>
      </c>
    </row>
    <row r="59" spans="1:10" ht="12.75" customHeight="1" x14ac:dyDescent="0.25">
      <c r="A59" s="742"/>
      <c r="B59" s="451"/>
      <c r="C59" s="451" t="s">
        <v>154</v>
      </c>
      <c r="D59" s="451" t="s">
        <v>153</v>
      </c>
      <c r="E59" s="451" t="s">
        <v>554</v>
      </c>
      <c r="F59" s="451" t="s">
        <v>1089</v>
      </c>
      <c r="G59" s="451" t="s">
        <v>511</v>
      </c>
      <c r="H59" s="743">
        <v>480</v>
      </c>
      <c r="I59" s="743">
        <v>2437</v>
      </c>
      <c r="J59" s="744">
        <v>1</v>
      </c>
    </row>
    <row r="60" spans="1:10" ht="12.75" customHeight="1" x14ac:dyDescent="0.25">
      <c r="A60" s="742"/>
      <c r="B60" s="451"/>
      <c r="C60" s="451" t="s">
        <v>156</v>
      </c>
      <c r="D60" s="451" t="s">
        <v>155</v>
      </c>
      <c r="E60" s="451" t="s">
        <v>12</v>
      </c>
      <c r="F60" s="451" t="s">
        <v>601</v>
      </c>
      <c r="G60" s="451" t="s">
        <v>511</v>
      </c>
      <c r="H60" s="743">
        <v>175</v>
      </c>
      <c r="I60" s="743">
        <v>834</v>
      </c>
      <c r="J60" s="744">
        <v>1</v>
      </c>
    </row>
    <row r="61" spans="1:10" ht="12.75" customHeight="1" x14ac:dyDescent="0.25">
      <c r="A61" s="742"/>
      <c r="B61" s="451"/>
      <c r="C61" s="451" t="s">
        <v>152</v>
      </c>
      <c r="D61" s="451" t="s">
        <v>150</v>
      </c>
      <c r="E61" s="451" t="s">
        <v>554</v>
      </c>
      <c r="F61" s="451" t="s">
        <v>460</v>
      </c>
      <c r="G61" s="451" t="s">
        <v>511</v>
      </c>
      <c r="H61" s="743">
        <v>195</v>
      </c>
      <c r="I61" s="743">
        <v>881</v>
      </c>
      <c r="J61" s="744">
        <v>1</v>
      </c>
    </row>
    <row r="62" spans="1:10" ht="12.75" customHeight="1" x14ac:dyDescent="0.25">
      <c r="A62" s="742"/>
      <c r="B62" s="451"/>
      <c r="C62" s="451" t="s">
        <v>942</v>
      </c>
      <c r="D62" s="451" t="s">
        <v>941</v>
      </c>
      <c r="E62" s="451" t="s">
        <v>554</v>
      </c>
      <c r="F62" s="451" t="s">
        <v>1089</v>
      </c>
      <c r="G62" s="451" t="s">
        <v>511</v>
      </c>
      <c r="H62" s="743">
        <v>167</v>
      </c>
      <c r="I62" s="743">
        <v>730</v>
      </c>
      <c r="J62" s="744">
        <v>1</v>
      </c>
    </row>
    <row r="63" spans="1:10" ht="12.75" customHeight="1" x14ac:dyDescent="0.25">
      <c r="A63" s="742"/>
      <c r="B63" s="451"/>
      <c r="C63" s="451" t="s">
        <v>1061</v>
      </c>
      <c r="D63" s="451" t="s">
        <v>1062</v>
      </c>
      <c r="E63" s="451" t="s">
        <v>554</v>
      </c>
      <c r="F63" s="451" t="s">
        <v>1089</v>
      </c>
      <c r="G63" s="451" t="s">
        <v>511</v>
      </c>
      <c r="H63" s="743">
        <v>147</v>
      </c>
      <c r="I63" s="743">
        <v>631</v>
      </c>
      <c r="J63" s="744">
        <v>1</v>
      </c>
    </row>
    <row r="64" spans="1:10" ht="12.75" customHeight="1" x14ac:dyDescent="0.25">
      <c r="A64" s="742"/>
      <c r="B64" s="451"/>
      <c r="C64" s="451" t="s">
        <v>1095</v>
      </c>
      <c r="D64" s="451" t="s">
        <v>1096</v>
      </c>
      <c r="E64" s="451" t="s">
        <v>554</v>
      </c>
      <c r="F64" s="451" t="s">
        <v>460</v>
      </c>
      <c r="G64" s="451" t="s">
        <v>511</v>
      </c>
      <c r="H64" s="743">
        <v>112</v>
      </c>
      <c r="I64" s="743">
        <v>515</v>
      </c>
      <c r="J64" s="744">
        <v>1</v>
      </c>
    </row>
    <row r="65" spans="1:10" ht="12.75" customHeight="1" x14ac:dyDescent="0.25">
      <c r="A65" s="742"/>
      <c r="B65" s="451" t="s">
        <v>1166</v>
      </c>
      <c r="C65" s="451"/>
      <c r="D65" s="451"/>
      <c r="E65" s="451"/>
      <c r="F65" s="451"/>
      <c r="G65" s="451"/>
      <c r="H65" s="743">
        <v>2810</v>
      </c>
      <c r="I65" s="743">
        <v>13325</v>
      </c>
      <c r="J65" s="744">
        <v>11</v>
      </c>
    </row>
    <row r="66" spans="1:10" ht="12.75" customHeight="1" x14ac:dyDescent="0.25">
      <c r="A66" s="742"/>
      <c r="B66" s="451" t="s">
        <v>173</v>
      </c>
      <c r="C66" s="451" t="s">
        <v>174</v>
      </c>
      <c r="D66" s="451" t="s">
        <v>172</v>
      </c>
      <c r="E66" s="451" t="s">
        <v>554</v>
      </c>
      <c r="F66" s="451" t="s">
        <v>460</v>
      </c>
      <c r="G66" s="451" t="s">
        <v>511</v>
      </c>
      <c r="H66" s="743">
        <v>13</v>
      </c>
      <c r="I66" s="743">
        <v>66</v>
      </c>
      <c r="J66" s="744">
        <v>1</v>
      </c>
    </row>
    <row r="67" spans="1:10" ht="12.75" customHeight="1" x14ac:dyDescent="0.25">
      <c r="A67" s="742"/>
      <c r="B67" s="451"/>
      <c r="C67" s="451" t="s">
        <v>176</v>
      </c>
      <c r="D67" s="451" t="s">
        <v>175</v>
      </c>
      <c r="E67" s="451" t="s">
        <v>554</v>
      </c>
      <c r="F67" s="451" t="s">
        <v>460</v>
      </c>
      <c r="G67" s="451" t="s">
        <v>511</v>
      </c>
      <c r="H67" s="743">
        <v>15</v>
      </c>
      <c r="I67" s="743">
        <v>71</v>
      </c>
      <c r="J67" s="744">
        <v>1</v>
      </c>
    </row>
    <row r="68" spans="1:10" ht="12.75" customHeight="1" x14ac:dyDescent="0.25">
      <c r="A68" s="742"/>
      <c r="B68" s="451"/>
      <c r="C68" s="451" t="s">
        <v>178</v>
      </c>
      <c r="D68" s="451" t="s">
        <v>177</v>
      </c>
      <c r="E68" s="451" t="s">
        <v>554</v>
      </c>
      <c r="F68" s="451" t="s">
        <v>460</v>
      </c>
      <c r="G68" s="451" t="s">
        <v>511</v>
      </c>
      <c r="H68" s="743">
        <v>12</v>
      </c>
      <c r="I68" s="743">
        <v>46</v>
      </c>
      <c r="J68" s="744">
        <v>1</v>
      </c>
    </row>
    <row r="69" spans="1:10" ht="12.75" customHeight="1" x14ac:dyDescent="0.25">
      <c r="A69" s="742"/>
      <c r="B69" s="451"/>
      <c r="C69" s="451" t="s">
        <v>1278</v>
      </c>
      <c r="D69" s="451" t="s">
        <v>1269</v>
      </c>
      <c r="E69" s="451" t="s">
        <v>12</v>
      </c>
      <c r="F69" s="451" t="s">
        <v>601</v>
      </c>
      <c r="G69" s="451" t="s">
        <v>511</v>
      </c>
      <c r="H69" s="743">
        <v>24</v>
      </c>
      <c r="I69" s="743">
        <v>83</v>
      </c>
      <c r="J69" s="744">
        <v>1</v>
      </c>
    </row>
    <row r="70" spans="1:10" ht="12.75" customHeight="1" x14ac:dyDescent="0.25">
      <c r="A70" s="742"/>
      <c r="B70" s="451"/>
      <c r="C70" s="451" t="s">
        <v>1277</v>
      </c>
      <c r="D70" s="451" t="s">
        <v>1270</v>
      </c>
      <c r="E70" s="451" t="s">
        <v>554</v>
      </c>
      <c r="F70" s="451" t="s">
        <v>460</v>
      </c>
      <c r="G70" s="451" t="s">
        <v>511</v>
      </c>
      <c r="H70" s="743">
        <v>28</v>
      </c>
      <c r="I70" s="743">
        <v>136</v>
      </c>
      <c r="J70" s="744">
        <v>1</v>
      </c>
    </row>
    <row r="71" spans="1:10" ht="12.75" customHeight="1" x14ac:dyDescent="0.25">
      <c r="A71" s="742"/>
      <c r="B71" s="451"/>
      <c r="C71" s="451" t="s">
        <v>1268</v>
      </c>
      <c r="D71" s="451" t="s">
        <v>1271</v>
      </c>
      <c r="E71" s="451" t="s">
        <v>554</v>
      </c>
      <c r="F71" s="451" t="s">
        <v>1090</v>
      </c>
      <c r="G71" s="451" t="s">
        <v>511</v>
      </c>
      <c r="H71" s="743">
        <v>7</v>
      </c>
      <c r="I71" s="743">
        <v>31</v>
      </c>
      <c r="J71" s="744">
        <v>1</v>
      </c>
    </row>
    <row r="72" spans="1:10" ht="12.75" customHeight="1" x14ac:dyDescent="0.25">
      <c r="A72" s="742"/>
      <c r="B72" s="451" t="s">
        <v>1343</v>
      </c>
      <c r="C72" s="451"/>
      <c r="D72" s="451"/>
      <c r="E72" s="451"/>
      <c r="F72" s="451"/>
      <c r="G72" s="451"/>
      <c r="H72" s="743">
        <v>99</v>
      </c>
      <c r="I72" s="743">
        <v>433</v>
      </c>
      <c r="J72" s="744">
        <v>6</v>
      </c>
    </row>
    <row r="73" spans="1:10" ht="12.75" customHeight="1" x14ac:dyDescent="0.25">
      <c r="A73" s="742"/>
      <c r="B73" s="451" t="s">
        <v>180</v>
      </c>
      <c r="C73" s="451" t="s">
        <v>287</v>
      </c>
      <c r="D73" s="451" t="s">
        <v>286</v>
      </c>
      <c r="E73" s="451" t="s">
        <v>554</v>
      </c>
      <c r="F73" s="451" t="s">
        <v>460</v>
      </c>
      <c r="G73" s="451" t="s">
        <v>511</v>
      </c>
      <c r="H73" s="743">
        <v>19</v>
      </c>
      <c r="I73" s="743">
        <v>102</v>
      </c>
      <c r="J73" s="744">
        <v>1</v>
      </c>
    </row>
    <row r="74" spans="1:10" ht="12.75" customHeight="1" x14ac:dyDescent="0.25">
      <c r="A74" s="742"/>
      <c r="B74" s="451"/>
      <c r="C74" s="451" t="s">
        <v>181</v>
      </c>
      <c r="D74" s="451" t="s">
        <v>179</v>
      </c>
      <c r="E74" s="451" t="s">
        <v>554</v>
      </c>
      <c r="F74" s="451" t="s">
        <v>1090</v>
      </c>
      <c r="G74" s="451" t="s">
        <v>511</v>
      </c>
      <c r="H74" s="743">
        <v>12</v>
      </c>
      <c r="I74" s="743">
        <v>62</v>
      </c>
      <c r="J74" s="744">
        <v>1</v>
      </c>
    </row>
    <row r="75" spans="1:10" ht="12.75" customHeight="1" x14ac:dyDescent="0.25">
      <c r="A75" s="742"/>
      <c r="B75" s="451"/>
      <c r="C75" s="451" t="s">
        <v>1157</v>
      </c>
      <c r="D75" s="451" t="s">
        <v>1159</v>
      </c>
      <c r="E75" s="451" t="s">
        <v>12</v>
      </c>
      <c r="F75" s="451" t="s">
        <v>601</v>
      </c>
      <c r="G75" s="451" t="s">
        <v>511</v>
      </c>
      <c r="H75" s="743">
        <v>36</v>
      </c>
      <c r="I75" s="743">
        <v>153</v>
      </c>
      <c r="J75" s="744">
        <v>1</v>
      </c>
    </row>
    <row r="76" spans="1:10" ht="12.75" customHeight="1" x14ac:dyDescent="0.25">
      <c r="A76" s="742"/>
      <c r="B76" s="451"/>
      <c r="C76" s="451" t="s">
        <v>1158</v>
      </c>
      <c r="D76" s="451" t="s">
        <v>1160</v>
      </c>
      <c r="E76" s="451" t="s">
        <v>12</v>
      </c>
      <c r="F76" s="451" t="s">
        <v>601</v>
      </c>
      <c r="G76" s="451" t="s">
        <v>511</v>
      </c>
      <c r="H76" s="743">
        <v>14</v>
      </c>
      <c r="I76" s="743">
        <v>63</v>
      </c>
      <c r="J76" s="744">
        <v>1</v>
      </c>
    </row>
    <row r="77" spans="1:10" ht="12.75" customHeight="1" x14ac:dyDescent="0.25">
      <c r="A77" s="742"/>
      <c r="B77" s="451" t="s">
        <v>1167</v>
      </c>
      <c r="C77" s="451"/>
      <c r="D77" s="451"/>
      <c r="E77" s="451"/>
      <c r="F77" s="451"/>
      <c r="G77" s="451"/>
      <c r="H77" s="743">
        <v>81</v>
      </c>
      <c r="I77" s="743">
        <v>380</v>
      </c>
      <c r="J77" s="744">
        <v>4</v>
      </c>
    </row>
    <row r="78" spans="1:10" ht="12.75" customHeight="1" x14ac:dyDescent="0.25">
      <c r="A78" s="742"/>
      <c r="B78" s="451" t="s">
        <v>185</v>
      </c>
      <c r="C78" s="451" t="s">
        <v>192</v>
      </c>
      <c r="D78" s="451" t="s">
        <v>191</v>
      </c>
      <c r="E78" s="451" t="s">
        <v>554</v>
      </c>
      <c r="F78" s="451" t="s">
        <v>1090</v>
      </c>
      <c r="G78" s="451" t="s">
        <v>513</v>
      </c>
      <c r="H78" s="743">
        <v>109</v>
      </c>
      <c r="I78" s="743">
        <v>408</v>
      </c>
      <c r="J78" s="744">
        <v>1</v>
      </c>
    </row>
    <row r="79" spans="1:10" ht="12.75" customHeight="1" x14ac:dyDescent="0.25">
      <c r="A79" s="742"/>
      <c r="B79" s="451"/>
      <c r="C79" s="451" t="s">
        <v>12</v>
      </c>
      <c r="D79" s="451" t="s">
        <v>391</v>
      </c>
      <c r="E79" s="451" t="s">
        <v>12</v>
      </c>
      <c r="F79" s="451" t="s">
        <v>601</v>
      </c>
      <c r="G79" s="451" t="s">
        <v>511</v>
      </c>
      <c r="H79" s="743">
        <v>226</v>
      </c>
      <c r="I79" s="743">
        <v>1048</v>
      </c>
      <c r="J79" s="744">
        <v>1</v>
      </c>
    </row>
    <row r="80" spans="1:10" ht="12.75" customHeight="1" x14ac:dyDescent="0.25">
      <c r="A80" s="742"/>
      <c r="B80" s="451"/>
      <c r="C80" s="451" t="s">
        <v>194</v>
      </c>
      <c r="D80" s="451" t="s">
        <v>193</v>
      </c>
      <c r="E80" s="451" t="s">
        <v>554</v>
      </c>
      <c r="F80" s="451" t="s">
        <v>1090</v>
      </c>
      <c r="G80" s="451" t="s">
        <v>513</v>
      </c>
      <c r="H80" s="743">
        <v>641</v>
      </c>
      <c r="I80" s="743">
        <v>2862</v>
      </c>
      <c r="J80" s="744">
        <v>1</v>
      </c>
    </row>
    <row r="81" spans="1:10" ht="12.75" customHeight="1" x14ac:dyDescent="0.25">
      <c r="A81" s="742"/>
      <c r="B81" s="451"/>
      <c r="C81" s="451" t="s">
        <v>521</v>
      </c>
      <c r="D81" s="451" t="s">
        <v>522</v>
      </c>
      <c r="E81" s="451" t="s">
        <v>12</v>
      </c>
      <c r="F81" s="451" t="s">
        <v>601</v>
      </c>
      <c r="G81" s="451" t="s">
        <v>511</v>
      </c>
      <c r="H81" s="743">
        <v>4</v>
      </c>
      <c r="I81" s="743">
        <v>26</v>
      </c>
      <c r="J81" s="744">
        <v>1</v>
      </c>
    </row>
    <row r="82" spans="1:10" ht="12.75" customHeight="1" x14ac:dyDescent="0.25">
      <c r="A82" s="742"/>
      <c r="B82" s="451"/>
      <c r="C82" s="451" t="s">
        <v>186</v>
      </c>
      <c r="D82" s="451" t="s">
        <v>184</v>
      </c>
      <c r="E82" s="451" t="s">
        <v>554</v>
      </c>
      <c r="F82" s="451" t="s">
        <v>460</v>
      </c>
      <c r="G82" s="451" t="s">
        <v>511</v>
      </c>
      <c r="H82" s="743">
        <v>40</v>
      </c>
      <c r="I82" s="743">
        <v>240</v>
      </c>
      <c r="J82" s="744">
        <v>1</v>
      </c>
    </row>
    <row r="83" spans="1:10" ht="12.75" customHeight="1" x14ac:dyDescent="0.25">
      <c r="A83" s="742"/>
      <c r="B83" s="451"/>
      <c r="C83" s="451" t="s">
        <v>223</v>
      </c>
      <c r="D83" s="451" t="s">
        <v>222</v>
      </c>
      <c r="E83" s="451" t="s">
        <v>554</v>
      </c>
      <c r="F83" s="451" t="s">
        <v>1089</v>
      </c>
      <c r="G83" s="451" t="s">
        <v>511</v>
      </c>
      <c r="H83" s="743">
        <v>148</v>
      </c>
      <c r="I83" s="743">
        <v>751</v>
      </c>
      <c r="J83" s="744">
        <v>1</v>
      </c>
    </row>
    <row r="84" spans="1:10" ht="12.75" customHeight="1" x14ac:dyDescent="0.25">
      <c r="A84" s="742"/>
      <c r="B84" s="451"/>
      <c r="C84" s="451" t="s">
        <v>190</v>
      </c>
      <c r="D84" s="451" t="s">
        <v>189</v>
      </c>
      <c r="E84" s="451" t="s">
        <v>554</v>
      </c>
      <c r="F84" s="451" t="s">
        <v>460</v>
      </c>
      <c r="G84" s="451" t="s">
        <v>511</v>
      </c>
      <c r="H84" s="743">
        <v>194</v>
      </c>
      <c r="I84" s="743">
        <v>1071</v>
      </c>
      <c r="J84" s="744">
        <v>1</v>
      </c>
    </row>
    <row r="85" spans="1:10" ht="12.75" customHeight="1" x14ac:dyDescent="0.25">
      <c r="A85" s="742"/>
      <c r="B85" s="451"/>
      <c r="C85" s="451" t="s">
        <v>200</v>
      </c>
      <c r="D85" s="451" t="s">
        <v>199</v>
      </c>
      <c r="E85" s="451" t="s">
        <v>12</v>
      </c>
      <c r="F85" s="451" t="s">
        <v>601</v>
      </c>
      <c r="G85" s="451" t="s">
        <v>511</v>
      </c>
      <c r="H85" s="743">
        <v>2</v>
      </c>
      <c r="I85" s="743">
        <v>9</v>
      </c>
      <c r="J85" s="744">
        <v>1</v>
      </c>
    </row>
    <row r="86" spans="1:10" ht="12.75" customHeight="1" x14ac:dyDescent="0.25">
      <c r="A86" s="742"/>
      <c r="B86" s="451"/>
      <c r="C86" s="451" t="s">
        <v>202</v>
      </c>
      <c r="D86" s="451" t="s">
        <v>201</v>
      </c>
      <c r="E86" s="451" t="s">
        <v>554</v>
      </c>
      <c r="F86" s="451" t="s">
        <v>1089</v>
      </c>
      <c r="G86" s="451" t="s">
        <v>511</v>
      </c>
      <c r="H86" s="743">
        <v>265</v>
      </c>
      <c r="I86" s="743">
        <v>1183</v>
      </c>
      <c r="J86" s="744">
        <v>1</v>
      </c>
    </row>
    <row r="87" spans="1:10" ht="12.75" customHeight="1" x14ac:dyDescent="0.25">
      <c r="A87" s="742"/>
      <c r="B87" s="451"/>
      <c r="C87" s="451" t="s">
        <v>204</v>
      </c>
      <c r="D87" s="451" t="s">
        <v>203</v>
      </c>
      <c r="E87" s="451" t="s">
        <v>12</v>
      </c>
      <c r="F87" s="451" t="s">
        <v>601</v>
      </c>
      <c r="G87" s="451" t="s">
        <v>511</v>
      </c>
      <c r="H87" s="743">
        <v>28</v>
      </c>
      <c r="I87" s="743">
        <v>136</v>
      </c>
      <c r="J87" s="744">
        <v>1</v>
      </c>
    </row>
    <row r="88" spans="1:10" ht="12.75" customHeight="1" x14ac:dyDescent="0.25">
      <c r="A88" s="742"/>
      <c r="B88" s="451"/>
      <c r="C88" s="451" t="s">
        <v>205</v>
      </c>
      <c r="D88" s="451" t="s">
        <v>392</v>
      </c>
      <c r="E88" s="451" t="s">
        <v>12</v>
      </c>
      <c r="F88" s="451" t="s">
        <v>601</v>
      </c>
      <c r="G88" s="451" t="s">
        <v>511</v>
      </c>
      <c r="H88" s="743"/>
      <c r="I88" s="743"/>
      <c r="J88" s="744">
        <v>1</v>
      </c>
    </row>
    <row r="89" spans="1:10" ht="12.75" customHeight="1" x14ac:dyDescent="0.25">
      <c r="A89" s="742"/>
      <c r="B89" s="451"/>
      <c r="C89" s="451" t="s">
        <v>209</v>
      </c>
      <c r="D89" s="451" t="s">
        <v>208</v>
      </c>
      <c r="E89" s="451" t="s">
        <v>554</v>
      </c>
      <c r="F89" s="451" t="s">
        <v>460</v>
      </c>
      <c r="G89" s="451" t="s">
        <v>511</v>
      </c>
      <c r="H89" s="743">
        <v>387</v>
      </c>
      <c r="I89" s="743">
        <v>1844</v>
      </c>
      <c r="J89" s="744">
        <v>1</v>
      </c>
    </row>
    <row r="90" spans="1:10" ht="12.75" customHeight="1" x14ac:dyDescent="0.25">
      <c r="A90" s="742"/>
      <c r="B90" s="451"/>
      <c r="C90" s="451" t="s">
        <v>213</v>
      </c>
      <c r="D90" s="451" t="s">
        <v>212</v>
      </c>
      <c r="E90" s="451" t="s">
        <v>12</v>
      </c>
      <c r="F90" s="451" t="s">
        <v>601</v>
      </c>
      <c r="G90" s="451" t="s">
        <v>511</v>
      </c>
      <c r="H90" s="743">
        <v>44</v>
      </c>
      <c r="I90" s="743">
        <v>143</v>
      </c>
      <c r="J90" s="744">
        <v>1</v>
      </c>
    </row>
    <row r="91" spans="1:10" ht="12.75" customHeight="1" x14ac:dyDescent="0.25">
      <c r="A91" s="742"/>
      <c r="B91" s="451"/>
      <c r="C91" s="451" t="s">
        <v>215</v>
      </c>
      <c r="D91" s="451" t="s">
        <v>214</v>
      </c>
      <c r="E91" s="451" t="s">
        <v>554</v>
      </c>
      <c r="F91" s="451" t="s">
        <v>1089</v>
      </c>
      <c r="G91" s="451" t="s">
        <v>513</v>
      </c>
      <c r="H91" s="743">
        <v>355</v>
      </c>
      <c r="I91" s="743">
        <v>1684</v>
      </c>
      <c r="J91" s="744">
        <v>1</v>
      </c>
    </row>
    <row r="92" spans="1:10" ht="12.75" customHeight="1" x14ac:dyDescent="0.25">
      <c r="A92" s="742"/>
      <c r="B92" s="451"/>
      <c r="C92" s="451" t="s">
        <v>229</v>
      </c>
      <c r="D92" s="451" t="s">
        <v>228</v>
      </c>
      <c r="E92" s="451" t="s">
        <v>554</v>
      </c>
      <c r="F92" s="451" t="s">
        <v>460</v>
      </c>
      <c r="G92" s="451" t="s">
        <v>511</v>
      </c>
      <c r="H92" s="743">
        <v>49</v>
      </c>
      <c r="I92" s="743">
        <v>300</v>
      </c>
      <c r="J92" s="744">
        <v>1</v>
      </c>
    </row>
    <row r="93" spans="1:10" ht="12.75" customHeight="1" x14ac:dyDescent="0.25">
      <c r="A93" s="742"/>
      <c r="B93" s="451"/>
      <c r="C93" s="451" t="s">
        <v>219</v>
      </c>
      <c r="D93" s="451" t="s">
        <v>218</v>
      </c>
      <c r="E93" s="451" t="s">
        <v>554</v>
      </c>
      <c r="F93" s="451" t="s">
        <v>1089</v>
      </c>
      <c r="G93" s="451" t="s">
        <v>513</v>
      </c>
      <c r="H93" s="743">
        <v>599</v>
      </c>
      <c r="I93" s="743">
        <v>3633</v>
      </c>
      <c r="J93" s="744">
        <v>1</v>
      </c>
    </row>
    <row r="94" spans="1:10" ht="12.75" customHeight="1" x14ac:dyDescent="0.25">
      <c r="A94" s="742"/>
      <c r="B94" s="451"/>
      <c r="C94" s="451" t="s">
        <v>221</v>
      </c>
      <c r="D94" s="451" t="s">
        <v>220</v>
      </c>
      <c r="E94" s="451" t="s">
        <v>12</v>
      </c>
      <c r="F94" s="451" t="s">
        <v>601</v>
      </c>
      <c r="G94" s="451" t="s">
        <v>511</v>
      </c>
      <c r="H94" s="743">
        <v>39</v>
      </c>
      <c r="I94" s="743">
        <v>176</v>
      </c>
      <c r="J94" s="744">
        <v>1</v>
      </c>
    </row>
    <row r="95" spans="1:10" ht="12.75" customHeight="1" x14ac:dyDescent="0.25">
      <c r="A95" s="742"/>
      <c r="B95" s="451"/>
      <c r="C95" s="451" t="s">
        <v>225</v>
      </c>
      <c r="D95" s="451" t="s">
        <v>224</v>
      </c>
      <c r="E95" s="451" t="s">
        <v>554</v>
      </c>
      <c r="F95" s="451" t="s">
        <v>460</v>
      </c>
      <c r="G95" s="451" t="s">
        <v>511</v>
      </c>
      <c r="H95" s="743">
        <v>41</v>
      </c>
      <c r="I95" s="743">
        <v>253</v>
      </c>
      <c r="J95" s="744">
        <v>1</v>
      </c>
    </row>
    <row r="96" spans="1:10" ht="12.75" customHeight="1" x14ac:dyDescent="0.25">
      <c r="A96" s="742"/>
      <c r="B96" s="451"/>
      <c r="C96" s="451" t="s">
        <v>227</v>
      </c>
      <c r="D96" s="451" t="s">
        <v>226</v>
      </c>
      <c r="E96" s="451" t="s">
        <v>12</v>
      </c>
      <c r="F96" s="451" t="s">
        <v>601</v>
      </c>
      <c r="G96" s="451" t="s">
        <v>511</v>
      </c>
      <c r="H96" s="743">
        <v>10</v>
      </c>
      <c r="I96" s="743">
        <v>38</v>
      </c>
      <c r="J96" s="744">
        <v>1</v>
      </c>
    </row>
    <row r="97" spans="1:10" ht="12.75" customHeight="1" x14ac:dyDescent="0.25">
      <c r="A97" s="742"/>
      <c r="B97" s="451"/>
      <c r="C97" s="451" t="s">
        <v>1313</v>
      </c>
      <c r="D97" s="451" t="s">
        <v>1314</v>
      </c>
      <c r="E97" s="451" t="s">
        <v>986</v>
      </c>
      <c r="F97" s="451" t="s">
        <v>601</v>
      </c>
      <c r="G97" s="451" t="s">
        <v>511</v>
      </c>
      <c r="H97" s="743"/>
      <c r="I97" s="743">
        <v>49</v>
      </c>
      <c r="J97" s="744">
        <v>1</v>
      </c>
    </row>
    <row r="98" spans="1:10" ht="12.75" customHeight="1" x14ac:dyDescent="0.25">
      <c r="A98" s="742"/>
      <c r="B98" s="451" t="s">
        <v>1168</v>
      </c>
      <c r="C98" s="451"/>
      <c r="D98" s="451"/>
      <c r="E98" s="451"/>
      <c r="F98" s="451"/>
      <c r="G98" s="451"/>
      <c r="H98" s="743">
        <v>3181</v>
      </c>
      <c r="I98" s="743">
        <v>15854</v>
      </c>
      <c r="J98" s="744">
        <v>20</v>
      </c>
    </row>
    <row r="99" spans="1:10" ht="12.75" customHeight="1" x14ac:dyDescent="0.25">
      <c r="A99" s="742"/>
      <c r="B99" s="451" t="s">
        <v>237</v>
      </c>
      <c r="C99" s="451" t="s">
        <v>243</v>
      </c>
      <c r="D99" s="451" t="s">
        <v>242</v>
      </c>
      <c r="E99" s="451" t="s">
        <v>554</v>
      </c>
      <c r="F99" s="451" t="s">
        <v>460</v>
      </c>
      <c r="G99" s="451" t="s">
        <v>511</v>
      </c>
      <c r="H99" s="743">
        <v>6</v>
      </c>
      <c r="I99" s="743">
        <v>28</v>
      </c>
      <c r="J99" s="744">
        <v>1</v>
      </c>
    </row>
    <row r="100" spans="1:10" ht="12.75" customHeight="1" x14ac:dyDescent="0.25">
      <c r="A100" s="742"/>
      <c r="B100" s="451"/>
      <c r="C100" s="98" t="s">
        <v>245</v>
      </c>
      <c r="D100" s="451" t="s">
        <v>244</v>
      </c>
      <c r="E100" s="451" t="s">
        <v>554</v>
      </c>
      <c r="F100" s="451" t="s">
        <v>460</v>
      </c>
      <c r="G100" s="451" t="s">
        <v>511</v>
      </c>
      <c r="H100" s="743">
        <v>6</v>
      </c>
      <c r="I100" s="743">
        <v>39</v>
      </c>
      <c r="J100" s="744">
        <v>1</v>
      </c>
    </row>
    <row r="101" spans="1:10" ht="12.75" customHeight="1" x14ac:dyDescent="0.25">
      <c r="A101" s="742"/>
      <c r="B101" s="451"/>
      <c r="C101" s="98" t="s">
        <v>247</v>
      </c>
      <c r="D101" s="451" t="s">
        <v>246</v>
      </c>
      <c r="E101" s="451" t="s">
        <v>554</v>
      </c>
      <c r="F101" s="451" t="s">
        <v>460</v>
      </c>
      <c r="G101" s="451" t="s">
        <v>511</v>
      </c>
      <c r="H101" s="743">
        <v>20</v>
      </c>
      <c r="I101" s="743">
        <v>105</v>
      </c>
      <c r="J101" s="744">
        <v>1</v>
      </c>
    </row>
    <row r="102" spans="1:10" ht="12.75" customHeight="1" x14ac:dyDescent="0.25">
      <c r="A102" s="742"/>
      <c r="B102" s="451"/>
      <c r="C102" s="98" t="s">
        <v>253</v>
      </c>
      <c r="D102" s="451" t="s">
        <v>252</v>
      </c>
      <c r="E102" s="451" t="s">
        <v>554</v>
      </c>
      <c r="F102" s="451" t="s">
        <v>460</v>
      </c>
      <c r="G102" s="451" t="s">
        <v>511</v>
      </c>
      <c r="H102" s="743">
        <v>205</v>
      </c>
      <c r="I102" s="743">
        <v>1110</v>
      </c>
      <c r="J102" s="744">
        <v>1</v>
      </c>
    </row>
    <row r="103" spans="1:10" ht="12.75" customHeight="1" x14ac:dyDescent="0.25">
      <c r="A103" s="742"/>
      <c r="B103" s="451"/>
      <c r="C103" s="98" t="s">
        <v>255</v>
      </c>
      <c r="D103" s="451" t="s">
        <v>254</v>
      </c>
      <c r="E103" s="451" t="s">
        <v>554</v>
      </c>
      <c r="F103" s="451" t="s">
        <v>1090</v>
      </c>
      <c r="G103" s="451" t="s">
        <v>511</v>
      </c>
      <c r="H103" s="743">
        <v>99</v>
      </c>
      <c r="I103" s="743">
        <v>454</v>
      </c>
      <c r="J103" s="744">
        <v>1</v>
      </c>
    </row>
    <row r="104" spans="1:10" ht="12.75" customHeight="1" x14ac:dyDescent="0.25">
      <c r="A104" s="742"/>
      <c r="B104" s="451"/>
      <c r="C104" s="98" t="s">
        <v>257</v>
      </c>
      <c r="D104" s="451" t="s">
        <v>256</v>
      </c>
      <c r="E104" s="451" t="s">
        <v>554</v>
      </c>
      <c r="F104" s="451" t="s">
        <v>460</v>
      </c>
      <c r="G104" s="451" t="s">
        <v>511</v>
      </c>
      <c r="H104" s="743">
        <v>48</v>
      </c>
      <c r="I104" s="743">
        <v>211</v>
      </c>
      <c r="J104" s="744">
        <v>1</v>
      </c>
    </row>
    <row r="105" spans="1:10" ht="12.75" customHeight="1" x14ac:dyDescent="0.25">
      <c r="A105" s="742"/>
      <c r="B105" s="451"/>
      <c r="C105" s="98" t="s">
        <v>240</v>
      </c>
      <c r="D105" s="451" t="s">
        <v>239</v>
      </c>
      <c r="E105" s="451" t="s">
        <v>554</v>
      </c>
      <c r="F105" s="451" t="s">
        <v>460</v>
      </c>
      <c r="G105" s="451" t="s">
        <v>511</v>
      </c>
      <c r="H105" s="743">
        <v>30</v>
      </c>
      <c r="I105" s="743">
        <v>178</v>
      </c>
      <c r="J105" s="744">
        <v>1</v>
      </c>
    </row>
    <row r="106" spans="1:10" ht="12.75" customHeight="1" x14ac:dyDescent="0.25">
      <c r="A106" s="742"/>
      <c r="B106" s="451"/>
      <c r="C106" s="98" t="s">
        <v>285</v>
      </c>
      <c r="D106" s="451" t="s">
        <v>284</v>
      </c>
      <c r="E106" s="451" t="s">
        <v>554</v>
      </c>
      <c r="F106" s="451" t="s">
        <v>460</v>
      </c>
      <c r="G106" s="451" t="s">
        <v>511</v>
      </c>
      <c r="H106" s="743">
        <v>85</v>
      </c>
      <c r="I106" s="743">
        <v>437</v>
      </c>
      <c r="J106" s="744">
        <v>1</v>
      </c>
    </row>
    <row r="107" spans="1:10" ht="12.75" customHeight="1" x14ac:dyDescent="0.25">
      <c r="A107" s="742"/>
      <c r="B107" s="451"/>
      <c r="C107" s="451" t="s">
        <v>259</v>
      </c>
      <c r="D107" s="451" t="s">
        <v>258</v>
      </c>
      <c r="E107" s="451" t="s">
        <v>554</v>
      </c>
      <c r="F107" s="451" t="s">
        <v>460</v>
      </c>
      <c r="G107" s="451" t="s">
        <v>511</v>
      </c>
      <c r="H107" s="743">
        <v>61</v>
      </c>
      <c r="I107" s="743">
        <v>303</v>
      </c>
      <c r="J107" s="744">
        <v>1</v>
      </c>
    </row>
    <row r="108" spans="1:10" ht="12.75" customHeight="1" x14ac:dyDescent="0.25">
      <c r="A108" s="742"/>
      <c r="B108" s="451"/>
      <c r="C108" s="451" t="s">
        <v>261</v>
      </c>
      <c r="D108" s="451" t="s">
        <v>260</v>
      </c>
      <c r="E108" s="451" t="s">
        <v>554</v>
      </c>
      <c r="F108" s="451" t="s">
        <v>460</v>
      </c>
      <c r="G108" s="451" t="s">
        <v>511</v>
      </c>
      <c r="H108" s="743">
        <v>101</v>
      </c>
      <c r="I108" s="743">
        <v>545</v>
      </c>
      <c r="J108" s="744">
        <v>1</v>
      </c>
    </row>
    <row r="109" spans="1:10" ht="12.75" customHeight="1" x14ac:dyDescent="0.25">
      <c r="A109" s="742"/>
      <c r="B109" s="451"/>
      <c r="C109" s="451" t="s">
        <v>263</v>
      </c>
      <c r="D109" s="451" t="s">
        <v>262</v>
      </c>
      <c r="E109" s="451" t="s">
        <v>554</v>
      </c>
      <c r="F109" s="451" t="s">
        <v>505</v>
      </c>
      <c r="G109" s="451" t="s">
        <v>511</v>
      </c>
      <c r="H109" s="743">
        <v>21</v>
      </c>
      <c r="I109" s="743">
        <v>98</v>
      </c>
      <c r="J109" s="744">
        <v>1</v>
      </c>
    </row>
    <row r="110" spans="1:10" ht="12.75" customHeight="1" x14ac:dyDescent="0.25">
      <c r="A110" s="742"/>
      <c r="B110" s="451"/>
      <c r="C110" s="451" t="s">
        <v>265</v>
      </c>
      <c r="D110" s="451" t="s">
        <v>264</v>
      </c>
      <c r="E110" s="451" t="s">
        <v>554</v>
      </c>
      <c r="F110" s="451" t="s">
        <v>505</v>
      </c>
      <c r="G110" s="451" t="s">
        <v>511</v>
      </c>
      <c r="H110" s="743">
        <v>14</v>
      </c>
      <c r="I110" s="743">
        <v>71</v>
      </c>
      <c r="J110" s="744">
        <v>1</v>
      </c>
    </row>
    <row r="111" spans="1:10" ht="12.75" customHeight="1" x14ac:dyDescent="0.25">
      <c r="A111" s="742"/>
      <c r="B111" s="451"/>
      <c r="C111" s="451" t="s">
        <v>271</v>
      </c>
      <c r="D111" s="451" t="s">
        <v>270</v>
      </c>
      <c r="E111" s="451" t="s">
        <v>554</v>
      </c>
      <c r="F111" s="451" t="s">
        <v>1090</v>
      </c>
      <c r="G111" s="451" t="s">
        <v>511</v>
      </c>
      <c r="H111" s="743">
        <v>68</v>
      </c>
      <c r="I111" s="743">
        <v>333</v>
      </c>
      <c r="J111" s="744">
        <v>1</v>
      </c>
    </row>
    <row r="112" spans="1:10" ht="12.75" customHeight="1" x14ac:dyDescent="0.25">
      <c r="A112" s="742"/>
      <c r="B112" s="451"/>
      <c r="C112" s="451" t="s">
        <v>269</v>
      </c>
      <c r="D112" s="451" t="s">
        <v>268</v>
      </c>
      <c r="E112" s="451" t="s">
        <v>554</v>
      </c>
      <c r="F112" s="451" t="s">
        <v>460</v>
      </c>
      <c r="G112" s="451" t="s">
        <v>511</v>
      </c>
      <c r="H112" s="743">
        <v>67</v>
      </c>
      <c r="I112" s="743">
        <v>289</v>
      </c>
      <c r="J112" s="744">
        <v>1</v>
      </c>
    </row>
    <row r="113" spans="1:10" ht="12.75" customHeight="1" x14ac:dyDescent="0.25">
      <c r="A113" s="742"/>
      <c r="B113" s="451"/>
      <c r="C113" s="451" t="s">
        <v>273</v>
      </c>
      <c r="D113" s="451" t="s">
        <v>272</v>
      </c>
      <c r="E113" s="451" t="s">
        <v>554</v>
      </c>
      <c r="F113" s="451" t="s">
        <v>1090</v>
      </c>
      <c r="G113" s="451" t="s">
        <v>511</v>
      </c>
      <c r="H113" s="743">
        <v>46</v>
      </c>
      <c r="I113" s="743">
        <v>278</v>
      </c>
      <c r="J113" s="744">
        <v>1</v>
      </c>
    </row>
    <row r="114" spans="1:10" ht="12.75" customHeight="1" x14ac:dyDescent="0.25">
      <c r="A114" s="742"/>
      <c r="B114" s="451"/>
      <c r="C114" s="451" t="s">
        <v>277</v>
      </c>
      <c r="D114" s="451" t="s">
        <v>276</v>
      </c>
      <c r="E114" s="451" t="s">
        <v>554</v>
      </c>
      <c r="F114" s="451" t="s">
        <v>460</v>
      </c>
      <c r="G114" s="451" t="s">
        <v>511</v>
      </c>
      <c r="H114" s="743">
        <v>90</v>
      </c>
      <c r="I114" s="743">
        <v>405</v>
      </c>
      <c r="J114" s="744">
        <v>1</v>
      </c>
    </row>
    <row r="115" spans="1:10" ht="12.75" customHeight="1" x14ac:dyDescent="0.25">
      <c r="A115" s="742"/>
      <c r="B115" s="451"/>
      <c r="C115" s="451" t="s">
        <v>279</v>
      </c>
      <c r="D115" s="451" t="s">
        <v>278</v>
      </c>
      <c r="E115" s="451" t="s">
        <v>554</v>
      </c>
      <c r="F115" s="451" t="s">
        <v>505</v>
      </c>
      <c r="G115" s="451" t="s">
        <v>511</v>
      </c>
      <c r="H115" s="743">
        <v>22</v>
      </c>
      <c r="I115" s="743">
        <v>111</v>
      </c>
      <c r="J115" s="744">
        <v>1</v>
      </c>
    </row>
    <row r="116" spans="1:10" ht="12.75" customHeight="1" x14ac:dyDescent="0.25">
      <c r="A116" s="742"/>
      <c r="B116" s="451"/>
      <c r="C116" s="451" t="s">
        <v>281</v>
      </c>
      <c r="D116" s="451" t="s">
        <v>280</v>
      </c>
      <c r="E116" s="451" t="s">
        <v>554</v>
      </c>
      <c r="F116" s="451" t="s">
        <v>460</v>
      </c>
      <c r="G116" s="451" t="s">
        <v>511</v>
      </c>
      <c r="H116" s="743">
        <v>89</v>
      </c>
      <c r="I116" s="743">
        <v>489</v>
      </c>
      <c r="J116" s="744">
        <v>1</v>
      </c>
    </row>
    <row r="117" spans="1:10" ht="12.75" customHeight="1" x14ac:dyDescent="0.25">
      <c r="A117" s="742"/>
      <c r="B117" s="451"/>
      <c r="C117" s="451" t="s">
        <v>238</v>
      </c>
      <c r="D117" s="451" t="s">
        <v>236</v>
      </c>
      <c r="E117" s="451" t="s">
        <v>554</v>
      </c>
      <c r="F117" s="451" t="s">
        <v>460</v>
      </c>
      <c r="G117" s="451" t="s">
        <v>511</v>
      </c>
      <c r="H117" s="743">
        <v>52</v>
      </c>
      <c r="I117" s="743">
        <v>263</v>
      </c>
      <c r="J117" s="744">
        <v>1</v>
      </c>
    </row>
    <row r="118" spans="1:10" ht="12.75" customHeight="1" x14ac:dyDescent="0.25">
      <c r="A118" s="742"/>
      <c r="B118" s="451"/>
      <c r="C118" s="451" t="s">
        <v>249</v>
      </c>
      <c r="D118" s="451" t="s">
        <v>248</v>
      </c>
      <c r="E118" s="451" t="s">
        <v>554</v>
      </c>
      <c r="F118" s="451" t="s">
        <v>505</v>
      </c>
      <c r="G118" s="451" t="s">
        <v>511</v>
      </c>
      <c r="H118" s="743">
        <v>4</v>
      </c>
      <c r="I118" s="743">
        <v>21</v>
      </c>
      <c r="J118" s="744">
        <v>1</v>
      </c>
    </row>
    <row r="119" spans="1:10" ht="12.75" customHeight="1" x14ac:dyDescent="0.25">
      <c r="A119" s="742"/>
      <c r="B119" s="451"/>
      <c r="C119" s="451" t="s">
        <v>251</v>
      </c>
      <c r="D119" s="451" t="s">
        <v>250</v>
      </c>
      <c r="E119" s="451" t="s">
        <v>554</v>
      </c>
      <c r="F119" s="451" t="s">
        <v>460</v>
      </c>
      <c r="G119" s="451" t="s">
        <v>511</v>
      </c>
      <c r="H119" s="743">
        <v>32</v>
      </c>
      <c r="I119" s="743">
        <v>169</v>
      </c>
      <c r="J119" s="744">
        <v>1</v>
      </c>
    </row>
    <row r="120" spans="1:10" ht="12.75" customHeight="1" x14ac:dyDescent="0.25">
      <c r="A120" s="742"/>
      <c r="B120" s="451"/>
      <c r="C120" s="451" t="s">
        <v>275</v>
      </c>
      <c r="D120" s="451" t="s">
        <v>274</v>
      </c>
      <c r="E120" s="451" t="s">
        <v>554</v>
      </c>
      <c r="F120" s="451" t="s">
        <v>460</v>
      </c>
      <c r="G120" s="451" t="s">
        <v>511</v>
      </c>
      <c r="H120" s="743">
        <v>46</v>
      </c>
      <c r="I120" s="743">
        <v>228</v>
      </c>
      <c r="J120" s="744">
        <v>1</v>
      </c>
    </row>
    <row r="121" spans="1:10" ht="12.75" customHeight="1" x14ac:dyDescent="0.25">
      <c r="A121" s="742"/>
      <c r="B121" s="451"/>
      <c r="C121" s="451" t="s">
        <v>283</v>
      </c>
      <c r="D121" s="451" t="s">
        <v>282</v>
      </c>
      <c r="E121" s="451" t="s">
        <v>554</v>
      </c>
      <c r="F121" s="451" t="s">
        <v>505</v>
      </c>
      <c r="G121" s="451" t="s">
        <v>511</v>
      </c>
      <c r="H121" s="743">
        <v>7</v>
      </c>
      <c r="I121" s="743">
        <v>37</v>
      </c>
      <c r="J121" s="744">
        <v>1</v>
      </c>
    </row>
    <row r="122" spans="1:10" ht="12.75" customHeight="1" x14ac:dyDescent="0.25">
      <c r="A122" s="742"/>
      <c r="B122" s="451"/>
      <c r="C122" s="451" t="s">
        <v>1244</v>
      </c>
      <c r="D122" s="451" t="s">
        <v>241</v>
      </c>
      <c r="E122" s="451" t="s">
        <v>554</v>
      </c>
      <c r="F122" s="451" t="s">
        <v>505</v>
      </c>
      <c r="G122" s="451" t="s">
        <v>511</v>
      </c>
      <c r="H122" s="743">
        <v>54</v>
      </c>
      <c r="I122" s="743">
        <v>259</v>
      </c>
      <c r="J122" s="744">
        <v>1</v>
      </c>
    </row>
    <row r="123" spans="1:10" ht="12.75" customHeight="1" x14ac:dyDescent="0.25">
      <c r="A123" s="742"/>
      <c r="B123" s="451" t="s">
        <v>1169</v>
      </c>
      <c r="C123" s="451"/>
      <c r="D123" s="451"/>
      <c r="E123" s="451"/>
      <c r="F123" s="451"/>
      <c r="G123" s="451"/>
      <c r="H123" s="743">
        <v>1273</v>
      </c>
      <c r="I123" s="743">
        <v>6461</v>
      </c>
      <c r="J123" s="744">
        <v>24</v>
      </c>
    </row>
    <row r="124" spans="1:10" ht="12.75" customHeight="1" x14ac:dyDescent="0.25">
      <c r="A124" s="742"/>
      <c r="B124" s="451" t="s">
        <v>300</v>
      </c>
      <c r="C124" s="451" t="s">
        <v>301</v>
      </c>
      <c r="D124" s="451" t="s">
        <v>299</v>
      </c>
      <c r="E124" s="451" t="s">
        <v>12</v>
      </c>
      <c r="F124" s="451" t="s">
        <v>601</v>
      </c>
      <c r="G124" s="451" t="s">
        <v>511</v>
      </c>
      <c r="H124" s="743">
        <v>14</v>
      </c>
      <c r="I124" s="743">
        <v>64</v>
      </c>
      <c r="J124" s="744">
        <v>1</v>
      </c>
    </row>
    <row r="125" spans="1:10" ht="12.75" customHeight="1" x14ac:dyDescent="0.25">
      <c r="A125" s="742"/>
      <c r="B125" s="451"/>
      <c r="C125" s="451" t="s">
        <v>1041</v>
      </c>
      <c r="D125" s="451" t="s">
        <v>1043</v>
      </c>
      <c r="E125" s="451" t="s">
        <v>12</v>
      </c>
      <c r="F125" s="451" t="s">
        <v>601</v>
      </c>
      <c r="G125" s="451" t="s">
        <v>511</v>
      </c>
      <c r="H125" s="743">
        <v>10</v>
      </c>
      <c r="I125" s="743">
        <v>56</v>
      </c>
      <c r="J125" s="744">
        <v>1</v>
      </c>
    </row>
    <row r="126" spans="1:10" ht="12.75" customHeight="1" x14ac:dyDescent="0.25">
      <c r="A126" s="742"/>
      <c r="B126" s="451"/>
      <c r="C126" s="451" t="s">
        <v>1260</v>
      </c>
      <c r="D126" s="451" t="s">
        <v>1259</v>
      </c>
      <c r="E126" s="451" t="s">
        <v>554</v>
      </c>
      <c r="F126" s="451" t="s">
        <v>460</v>
      </c>
      <c r="G126" s="451" t="s">
        <v>511</v>
      </c>
      <c r="H126" s="743">
        <v>59</v>
      </c>
      <c r="I126" s="743">
        <v>274</v>
      </c>
      <c r="J126" s="744">
        <v>1</v>
      </c>
    </row>
    <row r="127" spans="1:10" ht="12.75" customHeight="1" x14ac:dyDescent="0.25">
      <c r="A127" s="742"/>
      <c r="B127" s="451" t="s">
        <v>1170</v>
      </c>
      <c r="C127" s="451"/>
      <c r="D127" s="451"/>
      <c r="E127" s="451"/>
      <c r="F127" s="451"/>
      <c r="G127" s="451"/>
      <c r="H127" s="743">
        <v>83</v>
      </c>
      <c r="I127" s="743">
        <v>394</v>
      </c>
      <c r="J127" s="744">
        <v>3</v>
      </c>
    </row>
    <row r="128" spans="1:10" ht="12.75" customHeight="1" x14ac:dyDescent="0.25">
      <c r="A128" s="742"/>
      <c r="B128" s="451" t="s">
        <v>302</v>
      </c>
      <c r="C128" s="451" t="s">
        <v>12</v>
      </c>
      <c r="D128" s="451" t="s">
        <v>393</v>
      </c>
      <c r="E128" s="451" t="s">
        <v>12</v>
      </c>
      <c r="F128" s="451" t="s">
        <v>601</v>
      </c>
      <c r="G128" s="451" t="s">
        <v>511</v>
      </c>
      <c r="H128" s="743">
        <v>9</v>
      </c>
      <c r="I128" s="743">
        <v>30</v>
      </c>
      <c r="J128" s="744">
        <v>1</v>
      </c>
    </row>
    <row r="129" spans="1:10" ht="12.75" customHeight="1" x14ac:dyDescent="0.25">
      <c r="A129" s="742"/>
      <c r="B129" s="451"/>
      <c r="C129" s="451" t="s">
        <v>304</v>
      </c>
      <c r="D129" s="451" t="s">
        <v>303</v>
      </c>
      <c r="E129" s="451" t="s">
        <v>12</v>
      </c>
      <c r="F129" s="451" t="s">
        <v>601</v>
      </c>
      <c r="G129" s="451" t="s">
        <v>513</v>
      </c>
      <c r="H129" s="743">
        <v>375</v>
      </c>
      <c r="I129" s="743">
        <v>1691</v>
      </c>
      <c r="J129" s="744">
        <v>1</v>
      </c>
    </row>
    <row r="130" spans="1:10" ht="12.75" customHeight="1" x14ac:dyDescent="0.25">
      <c r="A130" s="742"/>
      <c r="B130" s="451"/>
      <c r="C130" s="451" t="s">
        <v>306</v>
      </c>
      <c r="D130" s="451" t="s">
        <v>305</v>
      </c>
      <c r="E130" s="451" t="s">
        <v>554</v>
      </c>
      <c r="F130" s="451" t="s">
        <v>460</v>
      </c>
      <c r="G130" s="451" t="s">
        <v>511</v>
      </c>
      <c r="H130" s="743">
        <v>86</v>
      </c>
      <c r="I130" s="743">
        <v>313</v>
      </c>
      <c r="J130" s="744">
        <v>1</v>
      </c>
    </row>
    <row r="131" spans="1:10" ht="12.75" customHeight="1" x14ac:dyDescent="0.25">
      <c r="A131" s="742"/>
      <c r="B131" s="451"/>
      <c r="C131" s="451" t="s">
        <v>308</v>
      </c>
      <c r="D131" s="451" t="s">
        <v>307</v>
      </c>
      <c r="E131" s="451" t="s">
        <v>554</v>
      </c>
      <c r="F131" s="451" t="s">
        <v>1089</v>
      </c>
      <c r="G131" s="451" t="s">
        <v>511</v>
      </c>
      <c r="H131" s="743">
        <v>32</v>
      </c>
      <c r="I131" s="743">
        <v>136</v>
      </c>
      <c r="J131" s="744">
        <v>1</v>
      </c>
    </row>
    <row r="132" spans="1:10" ht="12.75" customHeight="1" x14ac:dyDescent="0.25">
      <c r="A132" s="742"/>
      <c r="B132" s="451" t="s">
        <v>1344</v>
      </c>
      <c r="C132" s="451"/>
      <c r="D132" s="451"/>
      <c r="E132" s="451"/>
      <c r="F132" s="451"/>
      <c r="G132" s="451"/>
      <c r="H132" s="743">
        <v>502</v>
      </c>
      <c r="I132" s="743">
        <v>2170</v>
      </c>
      <c r="J132" s="744">
        <v>4</v>
      </c>
    </row>
    <row r="133" spans="1:10" ht="12.75" customHeight="1" x14ac:dyDescent="0.25">
      <c r="A133" s="742"/>
      <c r="B133" s="451" t="s">
        <v>808</v>
      </c>
      <c r="C133" s="451" t="s">
        <v>808</v>
      </c>
      <c r="D133" s="451" t="s">
        <v>812</v>
      </c>
      <c r="E133" s="451" t="s">
        <v>554</v>
      </c>
      <c r="F133" s="451" t="s">
        <v>601</v>
      </c>
      <c r="G133" s="451" t="s">
        <v>511</v>
      </c>
      <c r="H133" s="743">
        <v>5</v>
      </c>
      <c r="I133" s="743">
        <v>32</v>
      </c>
      <c r="J133" s="744">
        <v>1</v>
      </c>
    </row>
    <row r="134" spans="1:10" ht="12.75" customHeight="1" x14ac:dyDescent="0.25">
      <c r="A134" s="742"/>
      <c r="B134" s="451"/>
      <c r="C134" s="451" t="s">
        <v>1298</v>
      </c>
      <c r="D134" s="451" t="s">
        <v>1299</v>
      </c>
      <c r="E134" s="451" t="s">
        <v>554</v>
      </c>
      <c r="F134" s="451" t="s">
        <v>460</v>
      </c>
      <c r="G134" s="451" t="s">
        <v>511</v>
      </c>
      <c r="H134" s="743">
        <v>146</v>
      </c>
      <c r="I134" s="743">
        <v>575</v>
      </c>
      <c r="J134" s="744">
        <v>1</v>
      </c>
    </row>
    <row r="135" spans="1:10" ht="12.75" customHeight="1" x14ac:dyDescent="0.25">
      <c r="A135" s="742"/>
      <c r="B135" s="451"/>
      <c r="C135" s="451" t="s">
        <v>1300</v>
      </c>
      <c r="D135" s="451" t="s">
        <v>1301</v>
      </c>
      <c r="E135" s="451" t="s">
        <v>554</v>
      </c>
      <c r="F135" s="451" t="s">
        <v>460</v>
      </c>
      <c r="G135" s="451" t="s">
        <v>511</v>
      </c>
      <c r="H135" s="743">
        <v>67</v>
      </c>
      <c r="I135" s="743">
        <v>244</v>
      </c>
      <c r="J135" s="744">
        <v>1</v>
      </c>
    </row>
    <row r="136" spans="1:10" ht="12.75" customHeight="1" x14ac:dyDescent="0.25">
      <c r="A136" s="742"/>
      <c r="B136" s="451" t="s">
        <v>1345</v>
      </c>
      <c r="C136" s="451"/>
      <c r="D136" s="451"/>
      <c r="E136" s="451"/>
      <c r="F136" s="451"/>
      <c r="G136" s="451"/>
      <c r="H136" s="743">
        <v>218</v>
      </c>
      <c r="I136" s="743">
        <v>851</v>
      </c>
      <c r="J136" s="744">
        <v>3</v>
      </c>
    </row>
    <row r="137" spans="1:10" ht="12.75" customHeight="1" x14ac:dyDescent="0.25">
      <c r="A137" s="742"/>
      <c r="B137" s="451" t="s">
        <v>310</v>
      </c>
      <c r="C137" s="451" t="s">
        <v>334</v>
      </c>
      <c r="D137" s="451" t="s">
        <v>333</v>
      </c>
      <c r="E137" s="451" t="s">
        <v>554</v>
      </c>
      <c r="F137" s="451" t="s">
        <v>1090</v>
      </c>
      <c r="G137" s="451" t="s">
        <v>513</v>
      </c>
      <c r="H137" s="743">
        <v>161</v>
      </c>
      <c r="I137" s="743">
        <v>637</v>
      </c>
      <c r="J137" s="744">
        <v>1</v>
      </c>
    </row>
    <row r="138" spans="1:10" ht="12.75" customHeight="1" x14ac:dyDescent="0.25">
      <c r="A138" s="742"/>
      <c r="B138" s="451"/>
      <c r="C138" s="451" t="s">
        <v>313</v>
      </c>
      <c r="D138" s="451" t="s">
        <v>312</v>
      </c>
      <c r="E138" s="451" t="s">
        <v>554</v>
      </c>
      <c r="F138" s="451" t="s">
        <v>505</v>
      </c>
      <c r="G138" s="451" t="s">
        <v>511</v>
      </c>
      <c r="H138" s="743">
        <v>99</v>
      </c>
      <c r="I138" s="743">
        <v>472</v>
      </c>
      <c r="J138" s="744">
        <v>1</v>
      </c>
    </row>
    <row r="139" spans="1:10" ht="12.75" customHeight="1" x14ac:dyDescent="0.25">
      <c r="A139" s="742"/>
      <c r="B139" s="451"/>
      <c r="C139" s="451" t="s">
        <v>336</v>
      </c>
      <c r="D139" s="451" t="s">
        <v>335</v>
      </c>
      <c r="E139" s="451" t="s">
        <v>554</v>
      </c>
      <c r="F139" s="451" t="s">
        <v>460</v>
      </c>
      <c r="G139" s="451" t="s">
        <v>513</v>
      </c>
      <c r="H139" s="743">
        <v>40</v>
      </c>
      <c r="I139" s="743">
        <v>225</v>
      </c>
      <c r="J139" s="744">
        <v>1</v>
      </c>
    </row>
    <row r="140" spans="1:10" ht="12.75" customHeight="1" x14ac:dyDescent="0.25">
      <c r="A140" s="742"/>
      <c r="B140" s="451"/>
      <c r="C140" s="451" t="s">
        <v>813</v>
      </c>
      <c r="D140" s="451" t="s">
        <v>814</v>
      </c>
      <c r="E140" s="451" t="s">
        <v>986</v>
      </c>
      <c r="F140" s="451" t="s">
        <v>601</v>
      </c>
      <c r="G140" s="451" t="s">
        <v>513</v>
      </c>
      <c r="H140" s="743"/>
      <c r="I140" s="743">
        <v>1047</v>
      </c>
      <c r="J140" s="744">
        <v>1</v>
      </c>
    </row>
    <row r="141" spans="1:10" ht="12.75" customHeight="1" x14ac:dyDescent="0.25">
      <c r="A141" s="742"/>
      <c r="B141" s="451"/>
      <c r="C141" s="451" t="s">
        <v>196</v>
      </c>
      <c r="D141" s="451" t="s">
        <v>195</v>
      </c>
      <c r="E141" s="451" t="s">
        <v>554</v>
      </c>
      <c r="F141" s="451" t="s">
        <v>1090</v>
      </c>
      <c r="G141" s="451" t="s">
        <v>513</v>
      </c>
      <c r="H141" s="743">
        <v>1649</v>
      </c>
      <c r="I141" s="743">
        <v>8965</v>
      </c>
      <c r="J141" s="744">
        <v>1</v>
      </c>
    </row>
    <row r="142" spans="1:10" ht="12.75" customHeight="1" x14ac:dyDescent="0.25">
      <c r="A142" s="742"/>
      <c r="B142" s="451"/>
      <c r="C142" s="98" t="s">
        <v>320</v>
      </c>
      <c r="D142" s="451" t="s">
        <v>319</v>
      </c>
      <c r="E142" s="451" t="s">
        <v>554</v>
      </c>
      <c r="F142" s="451" t="s">
        <v>460</v>
      </c>
      <c r="G142" s="451" t="s">
        <v>511</v>
      </c>
      <c r="H142" s="743">
        <v>27</v>
      </c>
      <c r="I142" s="743">
        <v>145</v>
      </c>
      <c r="J142" s="744">
        <v>1</v>
      </c>
    </row>
    <row r="143" spans="1:10" ht="12.75" customHeight="1" x14ac:dyDescent="0.25">
      <c r="A143" s="742"/>
      <c r="B143" s="451"/>
      <c r="C143" s="98" t="s">
        <v>322</v>
      </c>
      <c r="D143" s="451" t="s">
        <v>321</v>
      </c>
      <c r="E143" s="451" t="s">
        <v>554</v>
      </c>
      <c r="F143" s="451" t="s">
        <v>1090</v>
      </c>
      <c r="G143" s="451" t="s">
        <v>513</v>
      </c>
      <c r="H143" s="743">
        <v>585</v>
      </c>
      <c r="I143" s="743">
        <v>2585</v>
      </c>
      <c r="J143" s="744">
        <v>1</v>
      </c>
    </row>
    <row r="144" spans="1:10" ht="12.75" customHeight="1" x14ac:dyDescent="0.25">
      <c r="A144" s="742"/>
      <c r="B144" s="451"/>
      <c r="C144" s="98" t="s">
        <v>328</v>
      </c>
      <c r="D144" s="451" t="s">
        <v>327</v>
      </c>
      <c r="E144" s="451" t="s">
        <v>554</v>
      </c>
      <c r="F144" s="451" t="s">
        <v>505</v>
      </c>
      <c r="G144" s="451" t="s">
        <v>511</v>
      </c>
      <c r="H144" s="743">
        <v>149</v>
      </c>
      <c r="I144" s="743">
        <v>841</v>
      </c>
      <c r="J144" s="744">
        <v>1</v>
      </c>
    </row>
    <row r="145" spans="1:10" ht="12.75" customHeight="1" x14ac:dyDescent="0.25">
      <c r="A145" s="742"/>
      <c r="B145" s="451"/>
      <c r="C145" s="98" t="s">
        <v>330</v>
      </c>
      <c r="D145" s="451" t="s">
        <v>329</v>
      </c>
      <c r="E145" s="451" t="s">
        <v>554</v>
      </c>
      <c r="F145" s="451" t="s">
        <v>1090</v>
      </c>
      <c r="G145" s="451" t="s">
        <v>511</v>
      </c>
      <c r="H145" s="743">
        <v>223</v>
      </c>
      <c r="I145" s="743">
        <v>1230</v>
      </c>
      <c r="J145" s="744">
        <v>1</v>
      </c>
    </row>
    <row r="146" spans="1:10" ht="12.75" customHeight="1" x14ac:dyDescent="0.25">
      <c r="A146" s="742"/>
      <c r="B146" s="451"/>
      <c r="C146" s="98" t="s">
        <v>324</v>
      </c>
      <c r="D146" s="451" t="s">
        <v>323</v>
      </c>
      <c r="E146" s="451" t="s">
        <v>554</v>
      </c>
      <c r="F146" s="451" t="s">
        <v>460</v>
      </c>
      <c r="G146" s="451" t="s">
        <v>511</v>
      </c>
      <c r="H146" s="743">
        <v>471</v>
      </c>
      <c r="I146" s="743">
        <v>2389</v>
      </c>
      <c r="J146" s="744">
        <v>1</v>
      </c>
    </row>
    <row r="147" spans="1:10" ht="12.75" customHeight="1" x14ac:dyDescent="0.25">
      <c r="A147" s="742"/>
      <c r="B147" s="451"/>
      <c r="C147" s="98" t="s">
        <v>326</v>
      </c>
      <c r="D147" s="451" t="s">
        <v>325</v>
      </c>
      <c r="E147" s="451" t="s">
        <v>554</v>
      </c>
      <c r="F147" s="451" t="s">
        <v>460</v>
      </c>
      <c r="G147" s="451" t="s">
        <v>511</v>
      </c>
      <c r="H147" s="743">
        <v>45</v>
      </c>
      <c r="I147" s="743">
        <v>152</v>
      </c>
      <c r="J147" s="744">
        <v>1</v>
      </c>
    </row>
    <row r="148" spans="1:10" ht="12.75" customHeight="1" x14ac:dyDescent="0.25">
      <c r="A148" s="742"/>
      <c r="B148" s="451"/>
      <c r="C148" s="98" t="s">
        <v>344</v>
      </c>
      <c r="D148" s="451" t="s">
        <v>343</v>
      </c>
      <c r="E148" s="451" t="s">
        <v>554</v>
      </c>
      <c r="F148" s="451" t="s">
        <v>505</v>
      </c>
      <c r="G148" s="451" t="s">
        <v>511</v>
      </c>
      <c r="H148" s="743">
        <v>18</v>
      </c>
      <c r="I148" s="743">
        <v>82</v>
      </c>
      <c r="J148" s="744">
        <v>1</v>
      </c>
    </row>
    <row r="149" spans="1:10" ht="12.75" customHeight="1" x14ac:dyDescent="0.25">
      <c r="A149" s="742"/>
      <c r="B149" s="451"/>
      <c r="C149" s="98" t="s">
        <v>355</v>
      </c>
      <c r="D149" s="451" t="s">
        <v>354</v>
      </c>
      <c r="E149" s="451" t="s">
        <v>554</v>
      </c>
      <c r="F149" s="451" t="s">
        <v>1090</v>
      </c>
      <c r="G149" s="451" t="s">
        <v>513</v>
      </c>
      <c r="H149" s="743">
        <v>98</v>
      </c>
      <c r="I149" s="743">
        <v>563</v>
      </c>
      <c r="J149" s="744">
        <v>1</v>
      </c>
    </row>
    <row r="150" spans="1:10" ht="12.75" customHeight="1" x14ac:dyDescent="0.25">
      <c r="A150" s="742"/>
      <c r="B150" s="451"/>
      <c r="C150" s="98" t="s">
        <v>318</v>
      </c>
      <c r="D150" s="451" t="s">
        <v>317</v>
      </c>
      <c r="E150" s="451" t="s">
        <v>554</v>
      </c>
      <c r="F150" s="451" t="s">
        <v>505</v>
      </c>
      <c r="G150" s="451" t="s">
        <v>511</v>
      </c>
      <c r="H150" s="743">
        <v>91</v>
      </c>
      <c r="I150" s="743">
        <v>329</v>
      </c>
      <c r="J150" s="744">
        <v>1</v>
      </c>
    </row>
    <row r="151" spans="1:10" ht="12.75" customHeight="1" x14ac:dyDescent="0.25">
      <c r="A151" s="742"/>
      <c r="B151" s="451"/>
      <c r="C151" s="98" t="s">
        <v>342</v>
      </c>
      <c r="D151" s="451" t="s">
        <v>341</v>
      </c>
      <c r="E151" s="451" t="s">
        <v>554</v>
      </c>
      <c r="F151" s="451" t="s">
        <v>460</v>
      </c>
      <c r="G151" s="451" t="s">
        <v>511</v>
      </c>
      <c r="H151" s="743">
        <v>64</v>
      </c>
      <c r="I151" s="743">
        <v>324</v>
      </c>
      <c r="J151" s="744">
        <v>1</v>
      </c>
    </row>
    <row r="152" spans="1:10" ht="12.75" customHeight="1" x14ac:dyDescent="0.25">
      <c r="A152" s="742"/>
      <c r="B152" s="451"/>
      <c r="C152" s="98" t="s">
        <v>338</v>
      </c>
      <c r="D152" s="451" t="s">
        <v>337</v>
      </c>
      <c r="E152" s="451" t="s">
        <v>554</v>
      </c>
      <c r="F152" s="451" t="s">
        <v>505</v>
      </c>
      <c r="G152" s="451" t="s">
        <v>511</v>
      </c>
      <c r="H152" s="743">
        <v>31</v>
      </c>
      <c r="I152" s="743">
        <v>172</v>
      </c>
      <c r="J152" s="744">
        <v>1</v>
      </c>
    </row>
    <row r="153" spans="1:10" ht="12.75" customHeight="1" x14ac:dyDescent="0.25">
      <c r="A153" s="742"/>
      <c r="B153" s="451"/>
      <c r="C153" s="98" t="s">
        <v>351</v>
      </c>
      <c r="D153" s="451" t="s">
        <v>350</v>
      </c>
      <c r="E153" s="451" t="s">
        <v>554</v>
      </c>
      <c r="F153" s="451" t="s">
        <v>505</v>
      </c>
      <c r="G153" s="451" t="s">
        <v>511</v>
      </c>
      <c r="H153" s="743">
        <v>87</v>
      </c>
      <c r="I153" s="743">
        <v>479</v>
      </c>
      <c r="J153" s="744">
        <v>1</v>
      </c>
    </row>
    <row r="154" spans="1:10" ht="12.75" customHeight="1" x14ac:dyDescent="0.25">
      <c r="A154" s="742"/>
      <c r="B154" s="451"/>
      <c r="C154" s="98" t="s">
        <v>347</v>
      </c>
      <c r="D154" s="451" t="s">
        <v>346</v>
      </c>
      <c r="E154" s="451" t="s">
        <v>554</v>
      </c>
      <c r="F154" s="451" t="s">
        <v>460</v>
      </c>
      <c r="G154" s="451" t="s">
        <v>511</v>
      </c>
      <c r="H154" s="743">
        <v>182</v>
      </c>
      <c r="I154" s="743">
        <v>974</v>
      </c>
      <c r="J154" s="744">
        <v>1</v>
      </c>
    </row>
    <row r="155" spans="1:10" ht="12.75" customHeight="1" x14ac:dyDescent="0.25">
      <c r="A155" s="742"/>
      <c r="B155" s="451"/>
      <c r="C155" s="98" t="s">
        <v>349</v>
      </c>
      <c r="D155" s="451" t="s">
        <v>348</v>
      </c>
      <c r="E155" s="451" t="s">
        <v>554</v>
      </c>
      <c r="F155" s="451" t="s">
        <v>505</v>
      </c>
      <c r="G155" s="451" t="s">
        <v>511</v>
      </c>
      <c r="H155" s="743">
        <v>44</v>
      </c>
      <c r="I155" s="743">
        <v>182</v>
      </c>
      <c r="J155" s="744">
        <v>1</v>
      </c>
    </row>
    <row r="156" spans="1:10" ht="12.75" customHeight="1" x14ac:dyDescent="0.25">
      <c r="A156" s="742"/>
      <c r="B156" s="451"/>
      <c r="C156" s="98" t="s">
        <v>316</v>
      </c>
      <c r="D156" s="451" t="s">
        <v>315</v>
      </c>
      <c r="E156" s="451" t="s">
        <v>554</v>
      </c>
      <c r="F156" s="451" t="s">
        <v>505</v>
      </c>
      <c r="G156" s="451" t="s">
        <v>511</v>
      </c>
      <c r="H156" s="743">
        <v>70</v>
      </c>
      <c r="I156" s="743">
        <v>288</v>
      </c>
      <c r="J156" s="744">
        <v>1</v>
      </c>
    </row>
    <row r="157" spans="1:10" ht="12.75" customHeight="1" x14ac:dyDescent="0.25">
      <c r="A157" s="742"/>
      <c r="B157" s="451"/>
      <c r="C157" s="451" t="s">
        <v>353</v>
      </c>
      <c r="D157" s="451" t="s">
        <v>352</v>
      </c>
      <c r="E157" s="451" t="s">
        <v>554</v>
      </c>
      <c r="F157" s="451" t="s">
        <v>1090</v>
      </c>
      <c r="G157" s="451" t="s">
        <v>513</v>
      </c>
      <c r="H157" s="743">
        <v>1371</v>
      </c>
      <c r="I157" s="743">
        <v>6701</v>
      </c>
      <c r="J157" s="744">
        <v>1</v>
      </c>
    </row>
    <row r="158" spans="1:10" ht="12.75" customHeight="1" x14ac:dyDescent="0.25">
      <c r="A158" s="742"/>
      <c r="B158" s="451"/>
      <c r="C158" s="451" t="s">
        <v>1243</v>
      </c>
      <c r="D158" s="451" t="s">
        <v>345</v>
      </c>
      <c r="E158" s="451" t="s">
        <v>554</v>
      </c>
      <c r="F158" s="451" t="s">
        <v>460</v>
      </c>
      <c r="G158" s="451" t="s">
        <v>513</v>
      </c>
      <c r="H158" s="743">
        <v>174</v>
      </c>
      <c r="I158" s="743">
        <v>956</v>
      </c>
      <c r="J158" s="744">
        <v>1</v>
      </c>
    </row>
    <row r="159" spans="1:10" ht="12.75" customHeight="1" x14ac:dyDescent="0.25">
      <c r="A159" s="742"/>
      <c r="B159" s="451"/>
      <c r="C159" s="451" t="s">
        <v>1245</v>
      </c>
      <c r="D159" s="451" t="s">
        <v>356</v>
      </c>
      <c r="E159" s="451" t="s">
        <v>554</v>
      </c>
      <c r="F159" s="451" t="s">
        <v>460</v>
      </c>
      <c r="G159" s="451" t="s">
        <v>513</v>
      </c>
      <c r="H159" s="743">
        <v>404</v>
      </c>
      <c r="I159" s="743">
        <v>1894</v>
      </c>
      <c r="J159" s="744">
        <v>1</v>
      </c>
    </row>
    <row r="160" spans="1:10" ht="12.75" customHeight="1" x14ac:dyDescent="0.25">
      <c r="A160" s="742"/>
      <c r="B160" s="451" t="s">
        <v>1118</v>
      </c>
      <c r="C160" s="451"/>
      <c r="D160" s="451"/>
      <c r="E160" s="451"/>
      <c r="F160" s="451"/>
      <c r="G160" s="451"/>
      <c r="H160" s="743">
        <v>6083</v>
      </c>
      <c r="I160" s="743">
        <v>31632</v>
      </c>
      <c r="J160" s="744">
        <v>23</v>
      </c>
    </row>
    <row r="161" spans="1:10" ht="12.75" customHeight="1" x14ac:dyDescent="0.25">
      <c r="A161" s="742" t="s">
        <v>851</v>
      </c>
      <c r="B161" s="451"/>
      <c r="C161" s="451"/>
      <c r="D161" s="451"/>
      <c r="E161" s="451"/>
      <c r="F161" s="451"/>
      <c r="G161" s="451"/>
      <c r="H161" s="743">
        <v>17087</v>
      </c>
      <c r="I161" s="743">
        <v>85638</v>
      </c>
      <c r="J161" s="744">
        <v>141</v>
      </c>
    </row>
    <row r="162" spans="1:10" ht="12.75" customHeight="1" x14ac:dyDescent="0.25">
      <c r="A162" s="742" t="s">
        <v>553</v>
      </c>
      <c r="B162" s="451" t="s">
        <v>779</v>
      </c>
      <c r="C162" s="451" t="s">
        <v>594</v>
      </c>
      <c r="D162" s="451" t="s">
        <v>838</v>
      </c>
      <c r="E162" s="451" t="s">
        <v>12</v>
      </c>
      <c r="F162" s="451" t="s">
        <v>601</v>
      </c>
      <c r="G162" s="451" t="s">
        <v>513</v>
      </c>
      <c r="H162" s="743">
        <v>67</v>
      </c>
      <c r="I162" s="743">
        <v>392</v>
      </c>
      <c r="J162" s="744">
        <v>1</v>
      </c>
    </row>
    <row r="163" spans="1:10" ht="12.75" customHeight="1" x14ac:dyDescent="0.25">
      <c r="A163" s="742"/>
      <c r="B163" s="451"/>
      <c r="C163" s="451" t="s">
        <v>1275</v>
      </c>
      <c r="D163" s="451" t="s">
        <v>1258</v>
      </c>
      <c r="E163" s="451" t="s">
        <v>554</v>
      </c>
      <c r="F163" s="451" t="s">
        <v>460</v>
      </c>
      <c r="G163" s="451" t="s">
        <v>511</v>
      </c>
      <c r="H163" s="743">
        <v>30</v>
      </c>
      <c r="I163" s="743">
        <v>212</v>
      </c>
      <c r="J163" s="744">
        <v>1</v>
      </c>
    </row>
    <row r="164" spans="1:10" ht="12.75" customHeight="1" x14ac:dyDescent="0.25">
      <c r="A164" s="742"/>
      <c r="B164" s="451"/>
      <c r="C164" s="451" t="s">
        <v>1419</v>
      </c>
      <c r="D164" s="451" t="s">
        <v>1401</v>
      </c>
      <c r="E164" s="451" t="s">
        <v>554</v>
      </c>
      <c r="F164" s="451" t="s">
        <v>601</v>
      </c>
      <c r="G164" s="451" t="s">
        <v>511</v>
      </c>
      <c r="H164" s="743">
        <v>20</v>
      </c>
      <c r="I164" s="743">
        <v>75</v>
      </c>
      <c r="J164" s="744">
        <v>1</v>
      </c>
    </row>
    <row r="165" spans="1:10" ht="12.75" customHeight="1" x14ac:dyDescent="0.25">
      <c r="A165" s="742"/>
      <c r="B165" s="451" t="s">
        <v>1346</v>
      </c>
      <c r="C165" s="451"/>
      <c r="D165" s="451"/>
      <c r="E165" s="451"/>
      <c r="F165" s="451"/>
      <c r="G165" s="451"/>
      <c r="H165" s="743">
        <v>117</v>
      </c>
      <c r="I165" s="743">
        <v>679</v>
      </c>
      <c r="J165" s="744">
        <v>3</v>
      </c>
    </row>
    <row r="166" spans="1:10" ht="12.75" customHeight="1" x14ac:dyDescent="0.25">
      <c r="A166" s="742"/>
      <c r="B166" s="451" t="s">
        <v>146</v>
      </c>
      <c r="C166" s="451" t="s">
        <v>372</v>
      </c>
      <c r="D166" s="451" t="s">
        <v>382</v>
      </c>
      <c r="E166" s="451" t="s">
        <v>554</v>
      </c>
      <c r="F166" s="451" t="s">
        <v>460</v>
      </c>
      <c r="G166" s="451" t="s">
        <v>511</v>
      </c>
      <c r="H166" s="743">
        <v>88</v>
      </c>
      <c r="I166" s="743">
        <v>505</v>
      </c>
      <c r="J166" s="744">
        <v>1</v>
      </c>
    </row>
    <row r="167" spans="1:10" ht="12.75" customHeight="1" x14ac:dyDescent="0.25">
      <c r="A167" s="742"/>
      <c r="B167" s="451"/>
      <c r="C167" s="451" t="s">
        <v>369</v>
      </c>
      <c r="D167" s="451" t="s">
        <v>383</v>
      </c>
      <c r="E167" s="451" t="s">
        <v>554</v>
      </c>
      <c r="F167" s="451" t="s">
        <v>460</v>
      </c>
      <c r="G167" s="451" t="s">
        <v>511</v>
      </c>
      <c r="H167" s="743">
        <v>60</v>
      </c>
      <c r="I167" s="743">
        <v>288</v>
      </c>
      <c r="J167" s="744">
        <v>1</v>
      </c>
    </row>
    <row r="168" spans="1:10" ht="12.75" customHeight="1" x14ac:dyDescent="0.25">
      <c r="A168" s="742"/>
      <c r="B168" s="451"/>
      <c r="C168" s="451" t="s">
        <v>370</v>
      </c>
      <c r="D168" s="451" t="s">
        <v>384</v>
      </c>
      <c r="E168" s="451" t="s">
        <v>554</v>
      </c>
      <c r="F168" s="451" t="s">
        <v>1262</v>
      </c>
      <c r="G168" s="451" t="s">
        <v>511</v>
      </c>
      <c r="H168" s="743">
        <v>30</v>
      </c>
      <c r="I168" s="743">
        <v>138</v>
      </c>
      <c r="J168" s="744">
        <v>1</v>
      </c>
    </row>
    <row r="169" spans="1:10" ht="12.75" customHeight="1" x14ac:dyDescent="0.25">
      <c r="A169" s="742"/>
      <c r="B169" s="451"/>
      <c r="C169" s="451" t="s">
        <v>368</v>
      </c>
      <c r="D169" s="451" t="s">
        <v>385</v>
      </c>
      <c r="E169" s="451" t="s">
        <v>554</v>
      </c>
      <c r="F169" s="451" t="s">
        <v>460</v>
      </c>
      <c r="G169" s="451" t="s">
        <v>511</v>
      </c>
      <c r="H169" s="743">
        <v>69</v>
      </c>
      <c r="I169" s="743">
        <v>306</v>
      </c>
      <c r="J169" s="744">
        <v>1</v>
      </c>
    </row>
    <row r="170" spans="1:10" ht="12.75" customHeight="1" x14ac:dyDescent="0.25">
      <c r="A170" s="742"/>
      <c r="B170" s="451"/>
      <c r="C170" s="451" t="s">
        <v>371</v>
      </c>
      <c r="D170" s="451" t="s">
        <v>147</v>
      </c>
      <c r="E170" s="451" t="s">
        <v>554</v>
      </c>
      <c r="F170" s="451" t="s">
        <v>460</v>
      </c>
      <c r="G170" s="451" t="s">
        <v>511</v>
      </c>
      <c r="H170" s="743">
        <v>46</v>
      </c>
      <c r="I170" s="743">
        <v>255</v>
      </c>
      <c r="J170" s="744">
        <v>1</v>
      </c>
    </row>
    <row r="171" spans="1:10" ht="12.75" customHeight="1" x14ac:dyDescent="0.25">
      <c r="A171" s="742"/>
      <c r="B171" s="451"/>
      <c r="C171" s="451" t="s">
        <v>149</v>
      </c>
      <c r="D171" s="451" t="s">
        <v>148</v>
      </c>
      <c r="E171" s="451" t="s">
        <v>554</v>
      </c>
      <c r="F171" s="451" t="s">
        <v>460</v>
      </c>
      <c r="G171" s="451" t="s">
        <v>511</v>
      </c>
      <c r="H171" s="743">
        <v>64</v>
      </c>
      <c r="I171" s="743">
        <v>284</v>
      </c>
      <c r="J171" s="744">
        <v>1</v>
      </c>
    </row>
    <row r="172" spans="1:10" ht="12.75" customHeight="1" x14ac:dyDescent="0.25">
      <c r="A172" s="742"/>
      <c r="B172" s="451"/>
      <c r="C172" s="451" t="s">
        <v>373</v>
      </c>
      <c r="D172" s="451" t="s">
        <v>387</v>
      </c>
      <c r="E172" s="451" t="s">
        <v>554</v>
      </c>
      <c r="F172" s="451" t="s">
        <v>460</v>
      </c>
      <c r="G172" s="451" t="s">
        <v>511</v>
      </c>
      <c r="H172" s="743">
        <v>189</v>
      </c>
      <c r="I172" s="743">
        <v>917</v>
      </c>
      <c r="J172" s="744">
        <v>1</v>
      </c>
    </row>
    <row r="173" spans="1:10" ht="12.75" customHeight="1" x14ac:dyDescent="0.25">
      <c r="A173" s="742"/>
      <c r="B173" s="451"/>
      <c r="C173" s="451" t="s">
        <v>1102</v>
      </c>
      <c r="D173" s="451" t="s">
        <v>1101</v>
      </c>
      <c r="E173" s="451" t="s">
        <v>554</v>
      </c>
      <c r="F173" s="451" t="s">
        <v>1262</v>
      </c>
      <c r="G173" s="451" t="s">
        <v>511</v>
      </c>
      <c r="H173" s="743">
        <v>22</v>
      </c>
      <c r="I173" s="743">
        <v>105</v>
      </c>
      <c r="J173" s="744">
        <v>1</v>
      </c>
    </row>
    <row r="174" spans="1:10" ht="12.75" customHeight="1" x14ac:dyDescent="0.25">
      <c r="A174" s="742"/>
      <c r="B174" s="451"/>
      <c r="C174" s="451" t="s">
        <v>1315</v>
      </c>
      <c r="D174" s="451" t="s">
        <v>1316</v>
      </c>
      <c r="E174" s="451" t="s">
        <v>554</v>
      </c>
      <c r="F174" s="451" t="s">
        <v>601</v>
      </c>
      <c r="G174" s="451" t="s">
        <v>511</v>
      </c>
      <c r="H174" s="743">
        <v>105</v>
      </c>
      <c r="I174" s="743">
        <v>568</v>
      </c>
      <c r="J174" s="744">
        <v>1</v>
      </c>
    </row>
    <row r="175" spans="1:10" ht="12.75" customHeight="1" x14ac:dyDescent="0.25">
      <c r="A175" s="742"/>
      <c r="B175" s="451"/>
      <c r="C175" s="451" t="s">
        <v>1403</v>
      </c>
      <c r="D175" s="451" t="s">
        <v>1395</v>
      </c>
      <c r="E175" s="451" t="s">
        <v>554</v>
      </c>
      <c r="F175" s="451" t="s">
        <v>460</v>
      </c>
      <c r="G175" s="451" t="s">
        <v>511</v>
      </c>
      <c r="H175" s="743">
        <v>146</v>
      </c>
      <c r="I175" s="743">
        <v>677</v>
      </c>
      <c r="J175" s="744">
        <v>1</v>
      </c>
    </row>
    <row r="176" spans="1:10" ht="12.75" customHeight="1" x14ac:dyDescent="0.25">
      <c r="A176" s="742"/>
      <c r="B176" s="451"/>
      <c r="C176" s="451" t="s">
        <v>1406</v>
      </c>
      <c r="D176" s="451" t="s">
        <v>1400</v>
      </c>
      <c r="E176" s="451" t="s">
        <v>554</v>
      </c>
      <c r="F176" s="451" t="s">
        <v>601</v>
      </c>
      <c r="G176" s="451" t="s">
        <v>511</v>
      </c>
      <c r="H176" s="743">
        <v>37</v>
      </c>
      <c r="I176" s="743">
        <v>130</v>
      </c>
      <c r="J176" s="744">
        <v>1</v>
      </c>
    </row>
    <row r="177" spans="1:10" ht="12.75" customHeight="1" x14ac:dyDescent="0.25">
      <c r="A177" s="742"/>
      <c r="B177" s="451"/>
      <c r="C177" s="451" t="s">
        <v>1422</v>
      </c>
      <c r="D177" s="451" t="s">
        <v>1402</v>
      </c>
      <c r="E177" s="451" t="s">
        <v>554</v>
      </c>
      <c r="F177" s="451" t="s">
        <v>601</v>
      </c>
      <c r="G177" s="451" t="s">
        <v>511</v>
      </c>
      <c r="H177" s="743">
        <v>30</v>
      </c>
      <c r="I177" s="743">
        <v>170</v>
      </c>
      <c r="J177" s="744">
        <v>1</v>
      </c>
    </row>
    <row r="178" spans="1:10" ht="12.75" customHeight="1" x14ac:dyDescent="0.25">
      <c r="A178" s="742"/>
      <c r="B178" s="451"/>
      <c r="C178" s="451" t="s">
        <v>1658</v>
      </c>
      <c r="D178" s="451" t="s">
        <v>1657</v>
      </c>
      <c r="E178" s="451" t="s">
        <v>554</v>
      </c>
      <c r="F178" s="451" t="s">
        <v>601</v>
      </c>
      <c r="G178" s="451" t="s">
        <v>511</v>
      </c>
      <c r="H178" s="743">
        <v>40</v>
      </c>
      <c r="I178" s="743">
        <v>195</v>
      </c>
      <c r="J178" s="744">
        <v>1</v>
      </c>
    </row>
    <row r="179" spans="1:10" ht="12.75" customHeight="1" x14ac:dyDescent="0.25">
      <c r="A179" s="742"/>
      <c r="B179" s="451" t="s">
        <v>1171</v>
      </c>
      <c r="C179" s="451"/>
      <c r="D179" s="451"/>
      <c r="E179" s="451"/>
      <c r="F179" s="451"/>
      <c r="G179" s="451"/>
      <c r="H179" s="743">
        <v>926</v>
      </c>
      <c r="I179" s="743">
        <v>4538</v>
      </c>
      <c r="J179" s="744">
        <v>13</v>
      </c>
    </row>
    <row r="180" spans="1:10" ht="12.75" customHeight="1" x14ac:dyDescent="0.25">
      <c r="A180" s="742"/>
      <c r="B180" s="451" t="s">
        <v>166</v>
      </c>
      <c r="C180" s="451" t="s">
        <v>167</v>
      </c>
      <c r="D180" s="451" t="s">
        <v>165</v>
      </c>
      <c r="E180" s="451" t="s">
        <v>554</v>
      </c>
      <c r="F180" s="451" t="s">
        <v>460</v>
      </c>
      <c r="G180" s="451" t="s">
        <v>511</v>
      </c>
      <c r="H180" s="743">
        <v>36</v>
      </c>
      <c r="I180" s="743">
        <v>179</v>
      </c>
      <c r="J180" s="744">
        <v>1</v>
      </c>
    </row>
    <row r="181" spans="1:10" ht="12.75" customHeight="1" x14ac:dyDescent="0.25">
      <c r="A181" s="742"/>
      <c r="B181" s="451"/>
      <c r="C181" s="451" t="s">
        <v>822</v>
      </c>
      <c r="D181" s="451" t="s">
        <v>823</v>
      </c>
      <c r="E181" s="451" t="s">
        <v>554</v>
      </c>
      <c r="F181" s="451" t="s">
        <v>1262</v>
      </c>
      <c r="G181" s="451" t="s">
        <v>511</v>
      </c>
      <c r="H181" s="743">
        <v>29</v>
      </c>
      <c r="I181" s="743">
        <v>178</v>
      </c>
      <c r="J181" s="744">
        <v>1</v>
      </c>
    </row>
    <row r="182" spans="1:10" ht="12.75" customHeight="1" x14ac:dyDescent="0.25">
      <c r="A182" s="742"/>
      <c r="B182" s="451"/>
      <c r="C182" s="451" t="s">
        <v>1416</v>
      </c>
      <c r="D182" s="451" t="s">
        <v>1397</v>
      </c>
      <c r="E182" s="451" t="s">
        <v>554</v>
      </c>
      <c r="F182" s="451" t="s">
        <v>601</v>
      </c>
      <c r="G182" s="451" t="s">
        <v>511</v>
      </c>
      <c r="H182" s="743">
        <v>36</v>
      </c>
      <c r="I182" s="743">
        <v>188</v>
      </c>
      <c r="J182" s="744">
        <v>1</v>
      </c>
    </row>
    <row r="183" spans="1:10" ht="12.75" customHeight="1" x14ac:dyDescent="0.25">
      <c r="A183" s="742"/>
      <c r="B183" s="451" t="s">
        <v>1347</v>
      </c>
      <c r="C183" s="451"/>
      <c r="D183" s="451"/>
      <c r="E183" s="451"/>
      <c r="F183" s="451"/>
      <c r="G183" s="451"/>
      <c r="H183" s="743">
        <v>101</v>
      </c>
      <c r="I183" s="743">
        <v>545</v>
      </c>
      <c r="J183" s="744">
        <v>3</v>
      </c>
    </row>
    <row r="184" spans="1:10" ht="12.75" customHeight="1" x14ac:dyDescent="0.25">
      <c r="A184" s="742"/>
      <c r="B184" s="451" t="s">
        <v>230</v>
      </c>
      <c r="C184" s="451" t="s">
        <v>231</v>
      </c>
      <c r="D184" s="451" t="s">
        <v>388</v>
      </c>
      <c r="E184" s="451" t="s">
        <v>12</v>
      </c>
      <c r="F184" s="451" t="s">
        <v>601</v>
      </c>
      <c r="G184" s="451" t="s">
        <v>513</v>
      </c>
      <c r="H184" s="743">
        <v>32</v>
      </c>
      <c r="I184" s="743">
        <v>187</v>
      </c>
      <c r="J184" s="744">
        <v>1</v>
      </c>
    </row>
    <row r="185" spans="1:10" ht="12.75" customHeight="1" x14ac:dyDescent="0.25">
      <c r="A185" s="742"/>
      <c r="B185" s="451"/>
      <c r="C185" s="451" t="s">
        <v>1053</v>
      </c>
      <c r="D185" s="451" t="s">
        <v>1054</v>
      </c>
      <c r="E185" s="451" t="s">
        <v>554</v>
      </c>
      <c r="F185" s="451" t="s">
        <v>460</v>
      </c>
      <c r="G185" s="451" t="s">
        <v>511</v>
      </c>
      <c r="H185" s="743">
        <v>51</v>
      </c>
      <c r="I185" s="743">
        <v>214</v>
      </c>
      <c r="J185" s="744">
        <v>1</v>
      </c>
    </row>
    <row r="186" spans="1:10" ht="12.75" customHeight="1" x14ac:dyDescent="0.25">
      <c r="A186" s="742"/>
      <c r="B186" s="451"/>
      <c r="C186" s="451" t="s">
        <v>1063</v>
      </c>
      <c r="D186" s="451" t="s">
        <v>1064</v>
      </c>
      <c r="E186" s="451" t="s">
        <v>554</v>
      </c>
      <c r="F186" s="451" t="s">
        <v>1262</v>
      </c>
      <c r="G186" s="451" t="s">
        <v>511</v>
      </c>
      <c r="H186" s="743">
        <v>25</v>
      </c>
      <c r="I186" s="743">
        <v>113</v>
      </c>
      <c r="J186" s="744">
        <v>1</v>
      </c>
    </row>
    <row r="187" spans="1:10" ht="12.75" customHeight="1" x14ac:dyDescent="0.25">
      <c r="A187" s="742"/>
      <c r="B187" s="451" t="s">
        <v>1172</v>
      </c>
      <c r="C187" s="451"/>
      <c r="D187" s="451"/>
      <c r="E187" s="451"/>
      <c r="F187" s="451"/>
      <c r="G187" s="451"/>
      <c r="H187" s="743">
        <v>108</v>
      </c>
      <c r="I187" s="743">
        <v>514</v>
      </c>
      <c r="J187" s="744">
        <v>3</v>
      </c>
    </row>
    <row r="188" spans="1:10" ht="12.75" customHeight="1" x14ac:dyDescent="0.25">
      <c r="A188" s="742"/>
      <c r="B188" s="451" t="s">
        <v>289</v>
      </c>
      <c r="C188" s="451" t="s">
        <v>292</v>
      </c>
      <c r="D188" s="451" t="s">
        <v>291</v>
      </c>
      <c r="E188" s="451" t="s">
        <v>554</v>
      </c>
      <c r="F188" s="451" t="s">
        <v>460</v>
      </c>
      <c r="G188" s="451" t="s">
        <v>511</v>
      </c>
      <c r="H188" s="743">
        <v>75</v>
      </c>
      <c r="I188" s="743">
        <v>383</v>
      </c>
      <c r="J188" s="744">
        <v>1</v>
      </c>
    </row>
    <row r="189" spans="1:10" ht="12.75" customHeight="1" x14ac:dyDescent="0.25">
      <c r="A189" s="742"/>
      <c r="B189" s="451"/>
      <c r="C189" s="451" t="s">
        <v>290</v>
      </c>
      <c r="D189" s="451" t="s">
        <v>288</v>
      </c>
      <c r="E189" s="451" t="s">
        <v>554</v>
      </c>
      <c r="F189" s="451" t="s">
        <v>460</v>
      </c>
      <c r="G189" s="451" t="s">
        <v>511</v>
      </c>
      <c r="H189" s="743">
        <v>69</v>
      </c>
      <c r="I189" s="743">
        <v>344</v>
      </c>
      <c r="J189" s="744">
        <v>1</v>
      </c>
    </row>
    <row r="190" spans="1:10" ht="12.75" customHeight="1" x14ac:dyDescent="0.25">
      <c r="A190" s="742"/>
      <c r="B190" s="451"/>
      <c r="C190" s="451" t="s">
        <v>374</v>
      </c>
      <c r="D190" s="451" t="s">
        <v>295</v>
      </c>
      <c r="E190" s="451" t="s">
        <v>554</v>
      </c>
      <c r="F190" s="451" t="s">
        <v>1262</v>
      </c>
      <c r="G190" s="451" t="s">
        <v>511</v>
      </c>
      <c r="H190" s="743">
        <v>33</v>
      </c>
      <c r="I190" s="743">
        <v>211</v>
      </c>
      <c r="J190" s="744">
        <v>1</v>
      </c>
    </row>
    <row r="191" spans="1:10" ht="12.75" customHeight="1" x14ac:dyDescent="0.25">
      <c r="A191" s="742"/>
      <c r="B191" s="451"/>
      <c r="C191" s="451" t="s">
        <v>1055</v>
      </c>
      <c r="D191" s="451" t="s">
        <v>1056</v>
      </c>
      <c r="E191" s="451" t="s">
        <v>554</v>
      </c>
      <c r="F191" s="451" t="s">
        <v>460</v>
      </c>
      <c r="G191" s="451" t="s">
        <v>511</v>
      </c>
      <c r="H191" s="743">
        <v>37</v>
      </c>
      <c r="I191" s="743">
        <v>201</v>
      </c>
      <c r="J191" s="744">
        <v>1</v>
      </c>
    </row>
    <row r="192" spans="1:10" ht="12.75" customHeight="1" x14ac:dyDescent="0.25">
      <c r="A192" s="742"/>
      <c r="B192" s="451"/>
      <c r="C192" s="451" t="s">
        <v>1067</v>
      </c>
      <c r="D192" s="451" t="s">
        <v>1060</v>
      </c>
      <c r="E192" s="451" t="s">
        <v>554</v>
      </c>
      <c r="F192" s="451" t="s">
        <v>460</v>
      </c>
      <c r="G192" s="451" t="s">
        <v>511</v>
      </c>
      <c r="H192" s="743">
        <v>121</v>
      </c>
      <c r="I192" s="743">
        <v>556</v>
      </c>
      <c r="J192" s="744">
        <v>1</v>
      </c>
    </row>
    <row r="193" spans="1:10" ht="12.75" customHeight="1" x14ac:dyDescent="0.25">
      <c r="A193" s="742"/>
      <c r="B193" s="451"/>
      <c r="C193" s="451" t="s">
        <v>1404</v>
      </c>
      <c r="D193" s="451" t="s">
        <v>1398</v>
      </c>
      <c r="E193" s="451" t="s">
        <v>554</v>
      </c>
      <c r="F193" s="451" t="s">
        <v>601</v>
      </c>
      <c r="G193" s="451" t="s">
        <v>511</v>
      </c>
      <c r="H193" s="743">
        <v>200</v>
      </c>
      <c r="I193" s="743">
        <v>827</v>
      </c>
      <c r="J193" s="744">
        <v>1</v>
      </c>
    </row>
    <row r="194" spans="1:10" ht="12.75" customHeight="1" x14ac:dyDescent="0.25">
      <c r="A194" s="742"/>
      <c r="B194" s="451"/>
      <c r="C194" s="451" t="s">
        <v>1405</v>
      </c>
      <c r="D194" s="451" t="s">
        <v>1399</v>
      </c>
      <c r="E194" s="451" t="s">
        <v>554</v>
      </c>
      <c r="F194" s="451" t="s">
        <v>601</v>
      </c>
      <c r="G194" s="451" t="s">
        <v>511</v>
      </c>
      <c r="H194" s="743">
        <v>61</v>
      </c>
      <c r="I194" s="743">
        <v>247</v>
      </c>
      <c r="J194" s="744">
        <v>1</v>
      </c>
    </row>
    <row r="195" spans="1:10" ht="12.75" customHeight="1" x14ac:dyDescent="0.25">
      <c r="A195" s="742"/>
      <c r="B195" s="451" t="s">
        <v>1173</v>
      </c>
      <c r="C195" s="451"/>
      <c r="D195" s="451"/>
      <c r="E195" s="451"/>
      <c r="F195" s="451"/>
      <c r="G195" s="451"/>
      <c r="H195" s="743">
        <v>596</v>
      </c>
      <c r="I195" s="743">
        <v>2769</v>
      </c>
      <c r="J195" s="744">
        <v>7</v>
      </c>
    </row>
    <row r="196" spans="1:10" ht="12.75" customHeight="1" x14ac:dyDescent="0.25">
      <c r="A196" s="742"/>
      <c r="B196" s="451" t="s">
        <v>298</v>
      </c>
      <c r="C196" s="451" t="s">
        <v>821</v>
      </c>
      <c r="D196" s="451" t="s">
        <v>297</v>
      </c>
      <c r="E196" s="451" t="s">
        <v>554</v>
      </c>
      <c r="F196" s="451" t="s">
        <v>460</v>
      </c>
      <c r="G196" s="451" t="s">
        <v>511</v>
      </c>
      <c r="H196" s="743">
        <v>8</v>
      </c>
      <c r="I196" s="743">
        <v>39</v>
      </c>
      <c r="J196" s="744">
        <v>1</v>
      </c>
    </row>
    <row r="197" spans="1:10" ht="12.75" customHeight="1" x14ac:dyDescent="0.25">
      <c r="A197" s="742"/>
      <c r="B197" s="451"/>
      <c r="C197" s="451" t="s">
        <v>593</v>
      </c>
      <c r="D197" s="451" t="s">
        <v>824</v>
      </c>
      <c r="E197" s="451" t="s">
        <v>12</v>
      </c>
      <c r="F197" s="451" t="s">
        <v>601</v>
      </c>
      <c r="G197" s="451" t="s">
        <v>511</v>
      </c>
      <c r="H197" s="743">
        <v>118</v>
      </c>
      <c r="I197" s="743">
        <v>520</v>
      </c>
      <c r="J197" s="744">
        <v>1</v>
      </c>
    </row>
    <row r="198" spans="1:10" ht="12.75" customHeight="1" x14ac:dyDescent="0.25">
      <c r="A198" s="742"/>
      <c r="B198" s="451"/>
      <c r="C198" s="451" t="s">
        <v>1413</v>
      </c>
      <c r="D198" s="451" t="s">
        <v>1396</v>
      </c>
      <c r="E198" s="451" t="s">
        <v>554</v>
      </c>
      <c r="F198" s="451" t="s">
        <v>601</v>
      </c>
      <c r="G198" s="451" t="s">
        <v>511</v>
      </c>
      <c r="H198" s="743">
        <v>19</v>
      </c>
      <c r="I198" s="743">
        <v>82</v>
      </c>
      <c r="J198" s="744">
        <v>1</v>
      </c>
    </row>
    <row r="199" spans="1:10" ht="12.75" customHeight="1" x14ac:dyDescent="0.25">
      <c r="A199" s="742"/>
      <c r="B199" s="451"/>
      <c r="C199" s="451" t="s">
        <v>1488</v>
      </c>
      <c r="D199" s="451" t="s">
        <v>1471</v>
      </c>
      <c r="E199" s="451" t="s">
        <v>554</v>
      </c>
      <c r="F199" s="451" t="s">
        <v>601</v>
      </c>
      <c r="G199" s="451" t="s">
        <v>511</v>
      </c>
      <c r="H199" s="743">
        <v>224</v>
      </c>
      <c r="I199" s="743">
        <v>767</v>
      </c>
      <c r="J199" s="744">
        <v>1</v>
      </c>
    </row>
    <row r="200" spans="1:10" ht="12.75" customHeight="1" x14ac:dyDescent="0.25">
      <c r="A200" s="742"/>
      <c r="B200" s="451"/>
      <c r="C200" s="451" t="s">
        <v>1490</v>
      </c>
      <c r="D200" s="451" t="s">
        <v>1472</v>
      </c>
      <c r="E200" s="451" t="s">
        <v>554</v>
      </c>
      <c r="F200" s="451" t="s">
        <v>601</v>
      </c>
      <c r="G200" s="451" t="s">
        <v>511</v>
      </c>
      <c r="H200" s="743">
        <v>13</v>
      </c>
      <c r="I200" s="743">
        <v>45</v>
      </c>
      <c r="J200" s="744">
        <v>1</v>
      </c>
    </row>
    <row r="201" spans="1:10" ht="12.75" customHeight="1" x14ac:dyDescent="0.25">
      <c r="A201" s="742"/>
      <c r="B201" s="451"/>
      <c r="C201" s="451" t="s">
        <v>1491</v>
      </c>
      <c r="D201" s="451" t="s">
        <v>1473</v>
      </c>
      <c r="E201" s="451" t="s">
        <v>554</v>
      </c>
      <c r="F201" s="451" t="s">
        <v>601</v>
      </c>
      <c r="G201" s="451" t="s">
        <v>511</v>
      </c>
      <c r="H201" s="743">
        <v>41</v>
      </c>
      <c r="I201" s="743">
        <v>191</v>
      </c>
      <c r="J201" s="744">
        <v>1</v>
      </c>
    </row>
    <row r="202" spans="1:10" ht="12.75" customHeight="1" x14ac:dyDescent="0.25">
      <c r="A202" s="742"/>
      <c r="B202" s="451"/>
      <c r="C202" s="451" t="s">
        <v>1492</v>
      </c>
      <c r="D202" s="451" t="s">
        <v>1474</v>
      </c>
      <c r="E202" s="451" t="s">
        <v>554</v>
      </c>
      <c r="F202" s="451" t="s">
        <v>601</v>
      </c>
      <c r="G202" s="451" t="s">
        <v>511</v>
      </c>
      <c r="H202" s="743">
        <v>19</v>
      </c>
      <c r="I202" s="743">
        <v>66</v>
      </c>
      <c r="J202" s="744">
        <v>1</v>
      </c>
    </row>
    <row r="203" spans="1:10" ht="12.75" customHeight="1" x14ac:dyDescent="0.25">
      <c r="A203" s="742"/>
      <c r="B203" s="451"/>
      <c r="C203" s="451" t="s">
        <v>1493</v>
      </c>
      <c r="D203" s="451" t="s">
        <v>1475</v>
      </c>
      <c r="E203" s="451" t="s">
        <v>554</v>
      </c>
      <c r="F203" s="451" t="s">
        <v>601</v>
      </c>
      <c r="G203" s="451" t="s">
        <v>511</v>
      </c>
      <c r="H203" s="743">
        <v>59</v>
      </c>
      <c r="I203" s="743">
        <v>268</v>
      </c>
      <c r="J203" s="744">
        <v>1</v>
      </c>
    </row>
    <row r="204" spans="1:10" ht="12.75" customHeight="1" x14ac:dyDescent="0.25">
      <c r="A204" s="742"/>
      <c r="B204" s="451" t="s">
        <v>1348</v>
      </c>
      <c r="C204" s="451"/>
      <c r="D204" s="451"/>
      <c r="E204" s="451"/>
      <c r="F204" s="451"/>
      <c r="G204" s="451"/>
      <c r="H204" s="743">
        <v>501</v>
      </c>
      <c r="I204" s="743">
        <v>1978</v>
      </c>
      <c r="J204" s="744">
        <v>8</v>
      </c>
    </row>
    <row r="205" spans="1:10" x14ac:dyDescent="0.25">
      <c r="A205" s="742"/>
      <c r="B205" s="451" t="s">
        <v>1502</v>
      </c>
      <c r="C205" s="451" t="s">
        <v>1499</v>
      </c>
      <c r="D205" s="451" t="s">
        <v>1487</v>
      </c>
      <c r="E205" s="451" t="s">
        <v>554</v>
      </c>
      <c r="F205" s="451" t="s">
        <v>601</v>
      </c>
      <c r="G205" s="451" t="s">
        <v>511</v>
      </c>
      <c r="H205" s="743">
        <v>37</v>
      </c>
      <c r="I205" s="743">
        <v>120</v>
      </c>
      <c r="J205" s="744">
        <v>1</v>
      </c>
    </row>
    <row r="206" spans="1:10" x14ac:dyDescent="0.25">
      <c r="A206" s="742"/>
      <c r="B206" s="451" t="s">
        <v>1520</v>
      </c>
      <c r="C206" s="451"/>
      <c r="D206" s="451"/>
      <c r="E206" s="451"/>
      <c r="F206" s="451"/>
      <c r="G206" s="451"/>
      <c r="H206" s="743">
        <v>37</v>
      </c>
      <c r="I206" s="743">
        <v>120</v>
      </c>
      <c r="J206" s="744">
        <v>1</v>
      </c>
    </row>
    <row r="207" spans="1:10" x14ac:dyDescent="0.25">
      <c r="A207" s="742" t="s">
        <v>1174</v>
      </c>
      <c r="B207" s="451"/>
      <c r="C207" s="451"/>
      <c r="D207" s="451"/>
      <c r="E207" s="451"/>
      <c r="F207" s="451"/>
      <c r="G207" s="451"/>
      <c r="H207" s="743">
        <v>2386</v>
      </c>
      <c r="I207" s="743">
        <v>11143</v>
      </c>
      <c r="J207" s="744">
        <v>38</v>
      </c>
    </row>
    <row r="208" spans="1:10" x14ac:dyDescent="0.25">
      <c r="A208" s="745" t="s">
        <v>415</v>
      </c>
      <c r="B208" s="746"/>
      <c r="C208" s="746"/>
      <c r="D208" s="746"/>
      <c r="E208" s="746"/>
      <c r="F208" s="746"/>
      <c r="G208" s="746"/>
      <c r="H208" s="747">
        <v>19473</v>
      </c>
      <c r="I208" s="747">
        <v>96781</v>
      </c>
      <c r="J208" s="748">
        <v>179</v>
      </c>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7:8" x14ac:dyDescent="0.25">
      <c r="G225" s="466"/>
      <c r="H225" s="466"/>
    </row>
    <row r="226" spans="7:8" x14ac:dyDescent="0.25">
      <c r="G226" s="466"/>
      <c r="H226" s="466"/>
    </row>
    <row r="227" spans="7:8" x14ac:dyDescent="0.25">
      <c r="G227" s="466"/>
      <c r="H227" s="466"/>
    </row>
    <row r="228" spans="7:8" x14ac:dyDescent="0.25">
      <c r="G228" s="466"/>
      <c r="H228" s="466"/>
    </row>
    <row r="229" spans="7:8" x14ac:dyDescent="0.25">
      <c r="G229" s="466"/>
      <c r="H229" s="466"/>
    </row>
    <row r="230" spans="7:8" x14ac:dyDescent="0.25">
      <c r="G230" s="466"/>
      <c r="H230" s="466"/>
    </row>
    <row r="231" spans="7:8" x14ac:dyDescent="0.25">
      <c r="G231" s="466"/>
      <c r="H231" s="466"/>
    </row>
    <row r="232" spans="7:8" x14ac:dyDescent="0.25">
      <c r="G232" s="466"/>
      <c r="H232" s="466"/>
    </row>
    <row r="233" spans="7:8" x14ac:dyDescent="0.25">
      <c r="G233" s="466"/>
      <c r="H233" s="466"/>
    </row>
    <row r="234" spans="7:8" x14ac:dyDescent="0.25">
      <c r="G234" s="466"/>
      <c r="H234" s="466"/>
    </row>
    <row r="235" spans="7:8" x14ac:dyDescent="0.25">
      <c r="G235" s="466"/>
      <c r="H235" s="466"/>
    </row>
    <row r="236" spans="7:8" x14ac:dyDescent="0.25">
      <c r="G236" s="466"/>
      <c r="H236" s="466"/>
    </row>
    <row r="237" spans="7:8" x14ac:dyDescent="0.25">
      <c r="G237" s="466"/>
      <c r="H237" s="466"/>
    </row>
    <row r="238" spans="7:8" x14ac:dyDescent="0.25">
      <c r="G238" s="466"/>
      <c r="H238" s="466"/>
    </row>
    <row r="239" spans="7:8" x14ac:dyDescent="0.25">
      <c r="G239" s="466"/>
      <c r="H239" s="466"/>
    </row>
    <row r="240" spans="7:8" x14ac:dyDescent="0.25">
      <c r="G240" s="466"/>
      <c r="H240" s="466"/>
    </row>
    <row r="241" spans="7:8" x14ac:dyDescent="0.25">
      <c r="G241" s="466"/>
      <c r="H241" s="466"/>
    </row>
    <row r="242" spans="7:8" x14ac:dyDescent="0.25">
      <c r="G242" s="466"/>
      <c r="H242" s="466"/>
    </row>
    <row r="243" spans="7:8" x14ac:dyDescent="0.25">
      <c r="G243" s="466"/>
      <c r="H243" s="466"/>
    </row>
    <row r="244" spans="7:8" x14ac:dyDescent="0.25">
      <c r="G244" s="466"/>
      <c r="H244" s="466"/>
    </row>
    <row r="245" spans="7:8" x14ac:dyDescent="0.25">
      <c r="G245" s="466"/>
      <c r="H245" s="466"/>
    </row>
    <row r="246" spans="7:8" x14ac:dyDescent="0.25">
      <c r="G246" s="466"/>
      <c r="H246" s="466"/>
    </row>
    <row r="247" spans="7:8" x14ac:dyDescent="0.25">
      <c r="G247" s="466"/>
      <c r="H247" s="466"/>
    </row>
    <row r="248" spans="7:8" x14ac:dyDescent="0.25">
      <c r="G248" s="466"/>
      <c r="H248" s="466"/>
    </row>
    <row r="249" spans="7:8" x14ac:dyDescent="0.25">
      <c r="G249" s="466"/>
      <c r="H249" s="466"/>
    </row>
    <row r="250" spans="7:8" x14ac:dyDescent="0.25">
      <c r="G250" s="466"/>
      <c r="H250" s="466"/>
    </row>
    <row r="251" spans="7:8" x14ac:dyDescent="0.25">
      <c r="G251" s="466"/>
      <c r="H251" s="466"/>
    </row>
    <row r="252" spans="7:8" x14ac:dyDescent="0.25">
      <c r="G252" s="466"/>
      <c r="H252" s="466"/>
    </row>
    <row r="253" spans="7:8" x14ac:dyDescent="0.25">
      <c r="G253" s="466"/>
      <c r="H253" s="466"/>
    </row>
    <row r="254" spans="7:8" x14ac:dyDescent="0.25">
      <c r="G254" s="466"/>
      <c r="H254" s="466"/>
    </row>
    <row r="255" spans="7:8" x14ac:dyDescent="0.25">
      <c r="G255" s="466"/>
      <c r="H255" s="466"/>
    </row>
    <row r="256" spans="7:8" x14ac:dyDescent="0.25">
      <c r="G256" s="466"/>
      <c r="H256" s="466"/>
    </row>
    <row r="257" spans="7:8" x14ac:dyDescent="0.25">
      <c r="G257" s="466"/>
      <c r="H257" s="466"/>
    </row>
    <row r="258" spans="7:8" x14ac:dyDescent="0.25">
      <c r="G258" s="466"/>
      <c r="H258" s="466"/>
    </row>
    <row r="259" spans="7:8" x14ac:dyDescent="0.25">
      <c r="G259" s="466"/>
      <c r="H259" s="466"/>
    </row>
    <row r="260" spans="7:8" x14ac:dyDescent="0.25">
      <c r="G260" s="466"/>
      <c r="H260" s="466"/>
    </row>
    <row r="261" spans="7:8" x14ac:dyDescent="0.25">
      <c r="G261" s="466"/>
      <c r="H261" s="466"/>
    </row>
    <row r="262" spans="7:8" x14ac:dyDescent="0.25">
      <c r="G262" s="466"/>
      <c r="H262" s="466"/>
    </row>
    <row r="263" spans="7:8" x14ac:dyDescent="0.25">
      <c r="G263" s="466"/>
      <c r="H263" s="466"/>
    </row>
    <row r="264" spans="7:8" x14ac:dyDescent="0.25">
      <c r="G264" s="466"/>
      <c r="H264" s="466"/>
    </row>
    <row r="265" spans="7:8" x14ac:dyDescent="0.25">
      <c r="G265" s="466"/>
      <c r="H265" s="466"/>
    </row>
    <row r="266" spans="7:8" x14ac:dyDescent="0.25">
      <c r="G266" s="466"/>
      <c r="H266" s="466"/>
    </row>
    <row r="267" spans="7:8" x14ac:dyDescent="0.25">
      <c r="G267" s="466"/>
      <c r="H267" s="466"/>
    </row>
    <row r="268" spans="7:8" x14ac:dyDescent="0.25">
      <c r="G268" s="466"/>
      <c r="H268" s="466"/>
    </row>
    <row r="269" spans="7:8" x14ac:dyDescent="0.25">
      <c r="G269" s="466"/>
      <c r="H269" s="466"/>
    </row>
    <row r="270" spans="7:8" x14ac:dyDescent="0.25">
      <c r="G270" s="466"/>
      <c r="H270" s="466"/>
    </row>
    <row r="271" spans="7:8" x14ac:dyDescent="0.25">
      <c r="G271" s="466"/>
      <c r="H271" s="466"/>
    </row>
    <row r="272" spans="7:8" x14ac:dyDescent="0.25">
      <c r="G272" s="466"/>
      <c r="H272" s="466"/>
    </row>
    <row r="273" spans="7:8" x14ac:dyDescent="0.25">
      <c r="G273" s="466"/>
      <c r="H273" s="466"/>
    </row>
    <row r="274" spans="7:8" x14ac:dyDescent="0.25">
      <c r="G274" s="466"/>
      <c r="H274" s="466"/>
    </row>
    <row r="275" spans="7:8" x14ac:dyDescent="0.25">
      <c r="G275" s="466"/>
      <c r="H275" s="466"/>
    </row>
    <row r="276" spans="7:8" x14ac:dyDescent="0.25">
      <c r="G276" s="466"/>
      <c r="H276" s="466"/>
    </row>
    <row r="277" spans="7:8" x14ac:dyDescent="0.25">
      <c r="G277" s="466"/>
      <c r="H277" s="466"/>
    </row>
    <row r="278" spans="7:8" x14ac:dyDescent="0.25">
      <c r="G278" s="466"/>
      <c r="H278" s="466"/>
    </row>
    <row r="279" spans="7:8" x14ac:dyDescent="0.25">
      <c r="G279" s="466"/>
      <c r="H279" s="466"/>
    </row>
    <row r="280" spans="7:8" x14ac:dyDescent="0.25">
      <c r="G280" s="466"/>
      <c r="H280" s="466"/>
    </row>
    <row r="281" spans="7:8" x14ac:dyDescent="0.25">
      <c r="G281" s="466"/>
      <c r="H281" s="466"/>
    </row>
    <row r="282" spans="7:8" x14ac:dyDescent="0.25">
      <c r="G282" s="466"/>
      <c r="H282" s="466"/>
    </row>
    <row r="283" spans="7:8" x14ac:dyDescent="0.25">
      <c r="G283" s="466"/>
      <c r="H283" s="466"/>
    </row>
    <row r="284" spans="7:8" x14ac:dyDescent="0.25">
      <c r="G284" s="466"/>
      <c r="H284" s="466"/>
    </row>
    <row r="285" spans="7:8" x14ac:dyDescent="0.25">
      <c r="G285" s="466"/>
      <c r="H285" s="466"/>
    </row>
    <row r="286" spans="7:8" x14ac:dyDescent="0.25">
      <c r="G286" s="466"/>
      <c r="H286" s="466"/>
    </row>
    <row r="287" spans="7:8" x14ac:dyDescent="0.25">
      <c r="G287" s="466"/>
      <c r="H287" s="466"/>
    </row>
    <row r="288" spans="7:8" x14ac:dyDescent="0.25">
      <c r="G288" s="466"/>
      <c r="H288" s="466"/>
    </row>
    <row r="289" spans="7:8" x14ac:dyDescent="0.25">
      <c r="G289" s="466"/>
      <c r="H289" s="466"/>
    </row>
    <row r="290" spans="7:8" x14ac:dyDescent="0.25">
      <c r="G290" s="466"/>
      <c r="H290" s="466"/>
    </row>
    <row r="291" spans="7:8" x14ac:dyDescent="0.25">
      <c r="G291" s="466"/>
      <c r="H291" s="466"/>
    </row>
    <row r="292" spans="7:8" x14ac:dyDescent="0.25">
      <c r="G292" s="466"/>
      <c r="H292" s="466"/>
    </row>
    <row r="293" spans="7:8" x14ac:dyDescent="0.25">
      <c r="G293" s="466"/>
      <c r="H293" s="466"/>
    </row>
    <row r="294" spans="7:8" x14ac:dyDescent="0.25">
      <c r="G294" s="466"/>
      <c r="H294" s="466"/>
    </row>
    <row r="295" spans="7:8" x14ac:dyDescent="0.25">
      <c r="G295" s="466"/>
      <c r="H295" s="466"/>
    </row>
    <row r="296" spans="7:8" x14ac:dyDescent="0.25">
      <c r="G296" s="466"/>
      <c r="H296" s="466"/>
    </row>
    <row r="297" spans="7:8" x14ac:dyDescent="0.25">
      <c r="G297" s="466"/>
      <c r="H297" s="466"/>
    </row>
    <row r="298" spans="7:8" x14ac:dyDescent="0.25">
      <c r="G298" s="466"/>
      <c r="H298" s="466"/>
    </row>
    <row r="299" spans="7:8" x14ac:dyDescent="0.25">
      <c r="G299" s="466"/>
      <c r="H299" s="466"/>
    </row>
    <row r="300" spans="7:8" x14ac:dyDescent="0.25">
      <c r="G300" s="466"/>
      <c r="H300" s="466"/>
    </row>
    <row r="301" spans="7:8" x14ac:dyDescent="0.25">
      <c r="G301" s="466"/>
      <c r="H301" s="466"/>
    </row>
    <row r="302" spans="7:8" x14ac:dyDescent="0.25">
      <c r="G302" s="466"/>
      <c r="H302" s="466"/>
    </row>
    <row r="303" spans="7:8" x14ac:dyDescent="0.25">
      <c r="G303" s="466"/>
      <c r="H303" s="466"/>
    </row>
    <row r="304" spans="7:8" x14ac:dyDescent="0.25">
      <c r="G304" s="466"/>
      <c r="H304" s="466"/>
    </row>
    <row r="305" spans="7:8" x14ac:dyDescent="0.25">
      <c r="G305" s="466"/>
      <c r="H305" s="466"/>
    </row>
    <row r="306" spans="7:8" x14ac:dyDescent="0.25">
      <c r="G306" s="466"/>
      <c r="H306" s="466"/>
    </row>
    <row r="307" spans="7:8" x14ac:dyDescent="0.25">
      <c r="G307" s="466"/>
      <c r="H307" s="466"/>
    </row>
    <row r="308" spans="7:8" x14ac:dyDescent="0.25">
      <c r="G308" s="466"/>
      <c r="H308" s="466"/>
    </row>
    <row r="309" spans="7:8" x14ac:dyDescent="0.25">
      <c r="G309" s="466"/>
      <c r="H309" s="466"/>
    </row>
    <row r="310" spans="7:8" x14ac:dyDescent="0.25">
      <c r="G310" s="466"/>
      <c r="H310" s="466"/>
    </row>
    <row r="311" spans="7:8" x14ac:dyDescent="0.25">
      <c r="G311" s="466"/>
      <c r="H311" s="466"/>
    </row>
    <row r="312" spans="7:8" x14ac:dyDescent="0.25">
      <c r="G312" s="466"/>
      <c r="H312" s="466"/>
    </row>
    <row r="313" spans="7:8" x14ac:dyDescent="0.25">
      <c r="G313" s="466"/>
      <c r="H313" s="466"/>
    </row>
    <row r="314" spans="7:8" x14ac:dyDescent="0.25">
      <c r="G314" s="466"/>
      <c r="H314" s="466"/>
    </row>
    <row r="315" spans="7:8" x14ac:dyDescent="0.25">
      <c r="G315" s="466"/>
      <c r="H315" s="466"/>
    </row>
    <row r="316" spans="7:8" x14ac:dyDescent="0.25">
      <c r="G316" s="466"/>
      <c r="H316" s="466"/>
    </row>
    <row r="317" spans="7:8" x14ac:dyDescent="0.25">
      <c r="G317" s="466"/>
      <c r="H317" s="466"/>
    </row>
    <row r="318" spans="7:8" x14ac:dyDescent="0.25">
      <c r="G318" s="466"/>
      <c r="H318" s="466"/>
    </row>
    <row r="319" spans="7:8" x14ac:dyDescent="0.25">
      <c r="G319" s="466"/>
      <c r="H319" s="466"/>
    </row>
    <row r="320" spans="7:8" x14ac:dyDescent="0.25">
      <c r="G320" s="466"/>
      <c r="H320" s="466"/>
    </row>
    <row r="321" spans="7:8" x14ac:dyDescent="0.25">
      <c r="G321" s="466"/>
      <c r="H321" s="466"/>
    </row>
    <row r="322" spans="7:8" x14ac:dyDescent="0.25">
      <c r="G322" s="466"/>
      <c r="H322" s="466"/>
    </row>
    <row r="323" spans="7:8" x14ac:dyDescent="0.25">
      <c r="G323" s="466"/>
      <c r="H323" s="466"/>
    </row>
    <row r="324" spans="7:8" x14ac:dyDescent="0.25">
      <c r="G324" s="466"/>
      <c r="H324" s="466"/>
    </row>
    <row r="325" spans="7:8" x14ac:dyDescent="0.25">
      <c r="G325" s="466"/>
      <c r="H325" s="466"/>
    </row>
    <row r="326" spans="7:8" x14ac:dyDescent="0.25">
      <c r="G326" s="466"/>
      <c r="H326" s="466"/>
    </row>
    <row r="327" spans="7:8" x14ac:dyDescent="0.25">
      <c r="G327" s="466"/>
      <c r="H327" s="466"/>
    </row>
    <row r="328" spans="7:8" x14ac:dyDescent="0.25">
      <c r="G328" s="466"/>
      <c r="H328" s="466"/>
    </row>
    <row r="329" spans="7:8" x14ac:dyDescent="0.25">
      <c r="G329" s="466"/>
      <c r="H329" s="466"/>
    </row>
    <row r="330" spans="7:8" x14ac:dyDescent="0.25">
      <c r="G330" s="466"/>
      <c r="H330" s="466"/>
    </row>
    <row r="331" spans="7:8" x14ac:dyDescent="0.25">
      <c r="G331" s="466"/>
      <c r="H331" s="466"/>
    </row>
    <row r="332" spans="7:8" x14ac:dyDescent="0.25">
      <c r="G332" s="466"/>
      <c r="H332" s="466"/>
    </row>
    <row r="333" spans="7:8" x14ac:dyDescent="0.25">
      <c r="G333" s="466"/>
      <c r="H333" s="466"/>
    </row>
    <row r="334" spans="7:8" x14ac:dyDescent="0.25">
      <c r="G334" s="466"/>
      <c r="H334" s="466"/>
    </row>
    <row r="335" spans="7:8" x14ac:dyDescent="0.25">
      <c r="G335" s="466"/>
      <c r="H335" s="466"/>
    </row>
    <row r="336" spans="7:8" x14ac:dyDescent="0.25">
      <c r="G336" s="466"/>
      <c r="H336" s="466"/>
    </row>
    <row r="337" spans="7:8" x14ac:dyDescent="0.25">
      <c r="G337" s="466"/>
      <c r="H337" s="466"/>
    </row>
    <row r="338" spans="7:8" x14ac:dyDescent="0.25">
      <c r="G338" s="466"/>
      <c r="H338" s="466"/>
    </row>
    <row r="339" spans="7:8" x14ac:dyDescent="0.25">
      <c r="G339" s="466"/>
      <c r="H339" s="466"/>
    </row>
    <row r="340" spans="7:8" x14ac:dyDescent="0.25">
      <c r="G340" s="466"/>
      <c r="H340" s="466"/>
    </row>
    <row r="341" spans="7:8" x14ac:dyDescent="0.25">
      <c r="G341" s="466"/>
      <c r="H341" s="466"/>
    </row>
    <row r="342" spans="7:8" x14ac:dyDescent="0.25">
      <c r="G342" s="466"/>
      <c r="H342" s="466"/>
    </row>
    <row r="343" spans="7:8" x14ac:dyDescent="0.25">
      <c r="G343" s="466"/>
      <c r="H343" s="466"/>
    </row>
    <row r="344" spans="7:8" x14ac:dyDescent="0.25">
      <c r="G344" s="466"/>
      <c r="H344" s="466"/>
    </row>
    <row r="345" spans="7:8" x14ac:dyDescent="0.25">
      <c r="G345" s="466"/>
      <c r="H345" s="466"/>
    </row>
    <row r="346" spans="7:8" x14ac:dyDescent="0.25">
      <c r="G346" s="466"/>
      <c r="H346" s="466"/>
    </row>
    <row r="347" spans="7:8" x14ac:dyDescent="0.25">
      <c r="G347" s="466"/>
      <c r="H347" s="466"/>
    </row>
    <row r="348" spans="7:8" x14ac:dyDescent="0.25">
      <c r="G348" s="466"/>
      <c r="H348" s="466"/>
    </row>
    <row r="349" spans="7:8" x14ac:dyDescent="0.25">
      <c r="G349" s="466"/>
      <c r="H349" s="466"/>
    </row>
    <row r="350" spans="7:8" x14ac:dyDescent="0.25">
      <c r="G350" s="466"/>
      <c r="H350" s="466"/>
    </row>
    <row r="351" spans="7:8" x14ac:dyDescent="0.25">
      <c r="G351" s="466"/>
      <c r="H351" s="466"/>
    </row>
    <row r="352" spans="7:8" x14ac:dyDescent="0.25">
      <c r="G352" s="466"/>
      <c r="H352" s="466"/>
    </row>
    <row r="353" spans="7:8" x14ac:dyDescent="0.25">
      <c r="G353" s="466"/>
      <c r="H353" s="466"/>
    </row>
    <row r="354" spans="7:8" x14ac:dyDescent="0.25">
      <c r="G354" s="466"/>
      <c r="H354" s="466"/>
    </row>
    <row r="355" spans="7:8" x14ac:dyDescent="0.25">
      <c r="G355" s="466"/>
      <c r="H355" s="466"/>
    </row>
    <row r="356" spans="7:8" x14ac:dyDescent="0.25">
      <c r="G356" s="466"/>
      <c r="H356" s="466"/>
    </row>
    <row r="357" spans="7:8" x14ac:dyDescent="0.25">
      <c r="G357" s="466"/>
      <c r="H357" s="466"/>
    </row>
    <row r="358" spans="7:8" x14ac:dyDescent="0.25">
      <c r="G358" s="466"/>
      <c r="H358" s="466"/>
    </row>
  </sheetData>
  <mergeCells count="1">
    <mergeCell ref="A3:B3"/>
  </mergeCells>
  <printOptions horizontalCentered="1"/>
  <pageMargins left="0.25" right="0.25" top="0.3" bottom="0.2" header="0.25" footer="0.2"/>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abSelected="1" zoomScale="85" zoomScaleNormal="85" zoomScaleSheetLayoutView="100" workbookViewId="0">
      <selection activeCell="Y21" sqref="Y21"/>
    </sheetView>
  </sheetViews>
  <sheetFormatPr defaultColWidth="9.140625" defaultRowHeight="15" x14ac:dyDescent="0.25"/>
  <cols>
    <col min="1" max="1" width="1.140625" style="466" customWidth="1"/>
    <col min="2" max="2" width="21.140625" style="466" customWidth="1"/>
    <col min="3" max="4" width="9.7109375" style="466" customWidth="1"/>
    <col min="5" max="5" width="17.140625" style="466" customWidth="1"/>
    <col min="6" max="6" width="5.85546875" style="466" customWidth="1"/>
    <col min="7" max="7" width="10.28515625" style="466" customWidth="1"/>
    <col min="8" max="8" width="12" style="466" customWidth="1"/>
    <col min="9" max="9" width="9" style="466" customWidth="1"/>
    <col min="10" max="10" width="8.28515625" style="466" customWidth="1"/>
    <col min="11" max="11" width="7.7109375" style="466" customWidth="1"/>
    <col min="12" max="12" width="9.7109375" style="466" customWidth="1"/>
    <col min="13" max="13" width="5.140625" style="466" customWidth="1"/>
    <col min="14" max="15" width="9.7109375" style="466" customWidth="1"/>
    <col min="16" max="16" width="9" style="466" customWidth="1"/>
    <col min="17" max="17" width="0.7109375" style="466" customWidth="1"/>
    <col min="18" max="18" width="26.42578125" style="466" customWidth="1"/>
    <col min="19" max="19" width="1" style="466" customWidth="1"/>
    <col min="20" max="20" width="2.85546875" style="466" customWidth="1"/>
    <col min="21" max="21" width="7.140625" style="799" customWidth="1"/>
    <col min="22" max="22" width="16.7109375" style="799" customWidth="1"/>
    <col min="23" max="25" width="7.140625" style="803" customWidth="1"/>
    <col min="26" max="26" width="13" style="803" customWidth="1"/>
    <col min="27" max="27" width="12" style="803" customWidth="1"/>
    <col min="28" max="28" width="14.140625" style="803" customWidth="1"/>
    <col min="29" max="33" width="7.140625" style="803" customWidth="1"/>
    <col min="34" max="34" width="3.85546875" style="662" customWidth="1"/>
    <col min="35" max="39" width="1.7109375" style="662" customWidth="1"/>
    <col min="40" max="46" width="9.140625" style="662"/>
    <col min="47" max="51" width="9.140625" style="803"/>
    <col min="52" max="53" width="9.140625" style="799"/>
    <col min="54" max="16384" width="9.140625" style="466"/>
  </cols>
  <sheetData>
    <row r="1" spans="1:53" ht="4.5" customHeight="1" thickBot="1" x14ac:dyDescent="0.3"/>
    <row r="2" spans="1:53" ht="6" customHeight="1" x14ac:dyDescent="0.25">
      <c r="A2" s="621"/>
      <c r="B2" s="622"/>
      <c r="C2" s="622"/>
      <c r="D2" s="622"/>
      <c r="E2" s="622"/>
      <c r="F2" s="622"/>
      <c r="G2" s="622"/>
      <c r="H2" s="622"/>
      <c r="I2" s="622"/>
      <c r="J2" s="622"/>
      <c r="K2" s="622"/>
      <c r="L2" s="622"/>
      <c r="M2" s="622"/>
      <c r="N2" s="622"/>
      <c r="O2" s="622"/>
      <c r="P2" s="622"/>
      <c r="Q2" s="622"/>
      <c r="R2" s="622"/>
      <c r="S2" s="623"/>
    </row>
    <row r="3" spans="1:53" s="451" customFormat="1" ht="30.6" customHeight="1" x14ac:dyDescent="0.25">
      <c r="A3" s="624"/>
      <c r="B3" s="867"/>
      <c r="C3" s="867"/>
      <c r="D3" s="867"/>
      <c r="E3" s="867"/>
      <c r="F3" s="867"/>
      <c r="G3" s="867"/>
      <c r="H3" s="867"/>
      <c r="I3" s="867"/>
      <c r="J3" s="867"/>
      <c r="K3" s="867"/>
      <c r="L3" s="867"/>
      <c r="M3" s="867"/>
      <c r="N3" s="867"/>
      <c r="O3" s="867"/>
      <c r="P3" s="867"/>
      <c r="Q3" s="453"/>
      <c r="R3" s="453"/>
      <c r="S3" s="625"/>
      <c r="U3" s="800"/>
      <c r="V3" s="800"/>
      <c r="W3" s="804"/>
      <c r="X3" s="804"/>
      <c r="Y3" s="804"/>
      <c r="Z3" s="804"/>
      <c r="AA3" s="804"/>
      <c r="AB3" s="804"/>
      <c r="AC3" s="804"/>
      <c r="AD3" s="804"/>
      <c r="AE3" s="804"/>
      <c r="AF3" s="804"/>
      <c r="AG3" s="804"/>
      <c r="AH3" s="662"/>
      <c r="AI3" s="662"/>
      <c r="AJ3" s="662"/>
      <c r="AK3" s="662"/>
      <c r="AL3" s="662"/>
      <c r="AM3" s="662"/>
      <c r="AN3" s="662"/>
      <c r="AO3" s="662"/>
      <c r="AP3" s="662"/>
      <c r="AQ3" s="662"/>
      <c r="AR3" s="662"/>
      <c r="AS3" s="662"/>
      <c r="AT3" s="662"/>
      <c r="AU3" s="804"/>
      <c r="AV3" s="804"/>
      <c r="AW3" s="804"/>
      <c r="AX3" s="804"/>
      <c r="AY3" s="804"/>
      <c r="AZ3" s="800"/>
      <c r="BA3" s="800"/>
    </row>
    <row r="4" spans="1:53" s="451" customFormat="1" ht="4.5" customHeight="1" x14ac:dyDescent="0.25">
      <c r="A4" s="624"/>
      <c r="B4" s="730"/>
      <c r="C4" s="730"/>
      <c r="D4" s="730"/>
      <c r="E4" s="730"/>
      <c r="F4" s="730"/>
      <c r="G4" s="730"/>
      <c r="H4" s="730"/>
      <c r="I4" s="730"/>
      <c r="J4" s="730"/>
      <c r="K4" s="730"/>
      <c r="L4" s="730"/>
      <c r="M4" s="730"/>
      <c r="N4" s="730"/>
      <c r="O4" s="730"/>
      <c r="P4" s="730"/>
      <c r="Q4" s="453"/>
      <c r="R4" s="453"/>
      <c r="S4" s="625"/>
      <c r="U4" s="800"/>
      <c r="V4" s="800"/>
      <c r="W4" s="804"/>
      <c r="X4" s="804"/>
      <c r="Y4" s="804"/>
      <c r="Z4" s="804"/>
      <c r="AA4" s="804"/>
      <c r="AB4" s="804"/>
      <c r="AC4" s="804"/>
      <c r="AD4" s="804"/>
      <c r="AE4" s="804"/>
      <c r="AF4" s="804"/>
      <c r="AG4" s="804"/>
      <c r="AH4" s="662"/>
      <c r="AI4" s="662"/>
      <c r="AJ4" s="662"/>
      <c r="AK4" s="662"/>
      <c r="AL4" s="662"/>
      <c r="AM4" s="662"/>
      <c r="AN4" s="662"/>
      <c r="AO4" s="662"/>
      <c r="AP4" s="662"/>
      <c r="AQ4" s="662"/>
      <c r="AR4" s="662"/>
      <c r="AS4" s="662"/>
      <c r="AT4" s="662"/>
      <c r="AU4" s="804"/>
      <c r="AV4" s="804"/>
      <c r="AW4" s="804"/>
      <c r="AX4" s="804"/>
      <c r="AY4" s="804"/>
      <c r="AZ4" s="800"/>
      <c r="BA4" s="800"/>
    </row>
    <row r="5" spans="1:53" s="451" customFormat="1" ht="22.9" customHeight="1" x14ac:dyDescent="0.25">
      <c r="A5" s="624"/>
      <c r="B5" s="865" t="s">
        <v>586</v>
      </c>
      <c r="C5" s="865"/>
      <c r="D5" s="865"/>
      <c r="E5" s="865"/>
      <c r="F5" s="865"/>
      <c r="G5" s="865"/>
      <c r="H5" s="865"/>
      <c r="I5" s="865"/>
      <c r="J5" s="188"/>
      <c r="K5" s="188"/>
      <c r="L5" s="188"/>
      <c r="M5" s="188"/>
      <c r="N5" s="188"/>
      <c r="O5" s="188"/>
      <c r="P5" s="188"/>
      <c r="Q5" s="453"/>
      <c r="R5" s="453"/>
      <c r="S5" s="625"/>
      <c r="U5" s="800"/>
      <c r="V5" s="799"/>
      <c r="W5" s="803"/>
      <c r="X5" s="803"/>
      <c r="Y5" s="803"/>
      <c r="Z5" s="803"/>
      <c r="AA5" s="803"/>
      <c r="AB5" s="803"/>
      <c r="AC5" s="803"/>
      <c r="AD5" s="803"/>
      <c r="AE5" s="803"/>
      <c r="AF5" s="803"/>
      <c r="AG5" s="803"/>
      <c r="AH5" s="662"/>
      <c r="AI5" s="662"/>
      <c r="AJ5" s="662"/>
      <c r="AK5" s="662"/>
      <c r="AL5" s="662"/>
      <c r="AM5" s="662"/>
      <c r="AN5" s="662"/>
      <c r="AO5" s="662"/>
      <c r="AP5" s="662"/>
      <c r="AQ5" s="662"/>
      <c r="AR5" s="662"/>
      <c r="AS5" s="662"/>
      <c r="AT5" s="662"/>
      <c r="AU5" s="804"/>
      <c r="AV5" s="804"/>
      <c r="AW5" s="804"/>
      <c r="AX5" s="804"/>
      <c r="AY5" s="804"/>
      <c r="AZ5" s="800"/>
      <c r="BA5" s="800"/>
    </row>
    <row r="6" spans="1:53" s="98" customFormat="1" ht="20.45" customHeight="1" x14ac:dyDescent="0.25">
      <c r="A6" s="624"/>
      <c r="B6" s="866">
        <f>Definition!B23</f>
        <v>42736</v>
      </c>
      <c r="C6" s="866"/>
      <c r="D6" s="866"/>
      <c r="E6" s="866"/>
      <c r="F6" s="866"/>
      <c r="G6" s="866"/>
      <c r="H6" s="866"/>
      <c r="I6" s="866"/>
      <c r="J6" s="188"/>
      <c r="K6" s="188"/>
      <c r="L6" s="188"/>
      <c r="M6" s="188"/>
      <c r="N6" s="188"/>
      <c r="O6" s="188"/>
      <c r="P6" s="188"/>
      <c r="Q6" s="453"/>
      <c r="R6" s="453"/>
      <c r="S6" s="625"/>
      <c r="U6" s="476"/>
      <c r="V6" s="476"/>
      <c r="W6" s="803"/>
      <c r="X6" s="803"/>
      <c r="Y6" s="803"/>
      <c r="Z6" s="803"/>
      <c r="AA6" s="803"/>
      <c r="AB6" s="803"/>
      <c r="AC6" s="803"/>
      <c r="AD6" s="803"/>
      <c r="AE6" s="803"/>
      <c r="AF6" s="803"/>
      <c r="AG6" s="803"/>
      <c r="AH6" s="662"/>
      <c r="AI6" s="662"/>
      <c r="AJ6" s="662"/>
      <c r="AK6" s="662"/>
      <c r="AL6" s="662"/>
      <c r="AM6" s="662"/>
      <c r="AN6" s="662"/>
      <c r="AO6" s="662"/>
      <c r="AP6" s="662"/>
      <c r="AQ6" s="662"/>
      <c r="AR6" s="662"/>
      <c r="AS6" s="662"/>
      <c r="AT6" s="662"/>
      <c r="AU6" s="662"/>
      <c r="AV6" s="662"/>
      <c r="AW6" s="662"/>
      <c r="AX6" s="662"/>
      <c r="AY6" s="662"/>
      <c r="AZ6" s="476"/>
      <c r="BA6" s="476"/>
    </row>
    <row r="7" spans="1:53" ht="12" customHeight="1" x14ac:dyDescent="0.25">
      <c r="A7" s="617"/>
      <c r="B7" s="626"/>
      <c r="C7" s="626"/>
      <c r="D7" s="626"/>
      <c r="E7" s="626"/>
      <c r="F7" s="626"/>
      <c r="G7" s="626"/>
      <c r="H7" s="626"/>
      <c r="I7" s="626"/>
      <c r="J7" s="626"/>
      <c r="K7" s="626"/>
      <c r="L7" s="626"/>
      <c r="M7" s="618"/>
      <c r="N7" s="618"/>
      <c r="O7" s="618"/>
      <c r="P7" s="618"/>
      <c r="Q7" s="618"/>
      <c r="R7" s="618"/>
      <c r="S7" s="205"/>
      <c r="T7" s="67"/>
      <c r="U7" s="67"/>
      <c r="V7" s="67"/>
      <c r="W7" s="805"/>
      <c r="X7" s="805"/>
      <c r="Y7" s="805"/>
      <c r="Z7" s="805"/>
      <c r="AA7" s="805"/>
      <c r="AB7" s="805"/>
      <c r="AC7" s="805"/>
      <c r="AD7" s="805"/>
      <c r="AE7" s="805"/>
      <c r="AF7" s="805"/>
      <c r="AI7" s="662" t="s">
        <v>0</v>
      </c>
      <c r="AJ7" s="662" t="s">
        <v>1008</v>
      </c>
      <c r="AK7" s="662" t="s">
        <v>1009</v>
      </c>
      <c r="AL7" s="662" t="s">
        <v>589</v>
      </c>
      <c r="AM7" s="662" t="s">
        <v>588</v>
      </c>
    </row>
    <row r="8" spans="1:53" ht="12" customHeight="1" x14ac:dyDescent="0.25">
      <c r="A8" s="617"/>
      <c r="B8" s="626"/>
      <c r="C8" s="626"/>
      <c r="D8" s="626"/>
      <c r="E8" s="626"/>
      <c r="F8" s="626"/>
      <c r="G8" s="626"/>
      <c r="H8" s="626"/>
      <c r="I8" s="626"/>
      <c r="J8" s="626"/>
      <c r="K8" s="626"/>
      <c r="L8" s="626"/>
      <c r="M8" s="618"/>
      <c r="N8" s="618"/>
      <c r="O8" s="618"/>
      <c r="P8" s="618"/>
      <c r="Q8" s="618"/>
      <c r="R8" s="618"/>
      <c r="S8" s="620"/>
      <c r="AI8" s="662" t="s">
        <v>5</v>
      </c>
      <c r="AJ8" s="807">
        <f>SUMIFS(CampList[Total],CampList[Township],$AI8,CampList[Status],"open",CampList[Total],"&lt;=100",CampList[Affected Population],"IDP")</f>
        <v>287</v>
      </c>
      <c r="AK8" s="807">
        <f>SUMIFS(CampList[Total],CampList[Township],$AI8,CampList[Status],"open",CampList[Total],"&gt;100",CampList[Total],"&lt;=1000",CampList[Affected Population],"IDP")</f>
        <v>2721</v>
      </c>
      <c r="AL8" s="807">
        <f>SUMIFS(CampList[Total],CampList[Township],$AI8,CampList[Status],"open",CampList[Total],"&gt;1000",CampList[Total],"&lt;=5000",CampList[Affected Population],"IDP")</f>
        <v>5088</v>
      </c>
      <c r="AM8" s="807">
        <f>SUMIFS(CampList[Total],CampList[Township],$AI8,CampList[Status],"open",CampList[Total],"&gt;5000",CampList[Total],"&lt;=100000",CampList[Affected Population],"IDP")</f>
        <v>0</v>
      </c>
    </row>
    <row r="9" spans="1:53" ht="12" customHeight="1" x14ac:dyDescent="0.25">
      <c r="A9" s="617"/>
      <c r="B9" s="626"/>
      <c r="C9" s="626"/>
      <c r="D9" s="626"/>
      <c r="E9" s="626"/>
      <c r="F9" s="626"/>
      <c r="G9" s="626"/>
      <c r="H9" s="626"/>
      <c r="I9" s="626"/>
      <c r="J9" s="626"/>
      <c r="K9" s="626"/>
      <c r="L9" s="626"/>
      <c r="M9" s="618"/>
      <c r="N9" s="618"/>
      <c r="O9" s="618"/>
      <c r="P9" s="618"/>
      <c r="Q9" s="618"/>
      <c r="R9" s="618"/>
      <c r="S9" s="620"/>
      <c r="AI9" s="662" t="s">
        <v>27</v>
      </c>
      <c r="AJ9" s="807">
        <f>SUMIFS(CampList[Total],CampList[Township],$AI9,CampList[Status],"open",CampList[Total],"&lt;=100",CampList[Affected Population],"IDP")</f>
        <v>0</v>
      </c>
      <c r="AK9" s="807">
        <f>SUMIFS(CampList[Total],CampList[Township],$AI9,CampList[Status],"open",CampList[Total],"&gt;100",CampList[Total],"&lt;=1000",CampList[Affected Population],"IDP")</f>
        <v>2374</v>
      </c>
      <c r="AL9" s="807">
        <f>SUMIFS(CampList[Total],CampList[Township],$AI9,CampList[Status],"open",CampList[Total],"&gt;1000",CampList[Total],"&lt;=5000",CampList[Affected Population],"IDP")</f>
        <v>0</v>
      </c>
      <c r="AM9" s="807">
        <f>SUMIFS(CampList[Total],CampList[Township],$AI9,CampList[Status],"open",CampList[Total],"&gt;5000",CampList[Total],"&lt;=100000",CampList[Affected Population],"IDP")</f>
        <v>0</v>
      </c>
    </row>
    <row r="10" spans="1:53" ht="12" customHeight="1" x14ac:dyDescent="0.25">
      <c r="A10" s="617"/>
      <c r="B10" s="626"/>
      <c r="C10" s="626"/>
      <c r="D10" s="626"/>
      <c r="E10" s="626"/>
      <c r="F10" s="626"/>
      <c r="G10" s="626"/>
      <c r="H10" s="626"/>
      <c r="I10" s="626"/>
      <c r="J10" s="626"/>
      <c r="K10" s="626"/>
      <c r="L10" s="626"/>
      <c r="M10" s="618"/>
      <c r="N10" s="618"/>
      <c r="O10" s="618"/>
      <c r="P10" s="618"/>
      <c r="Q10" s="618"/>
      <c r="R10" s="618"/>
      <c r="S10" s="620"/>
      <c r="AJ10" s="807">
        <f>SUMIFS(CampList[Total],CampList[Township],$AI10,CampList[Status],"open",CampList[Total],"&lt;=100",CampList[Affected Population],"IDP")</f>
        <v>0</v>
      </c>
      <c r="AK10" s="807">
        <f>SUMIFS(CampList[Total],CampList[Township],$AI10,CampList[Status],"open",CampList[Total],"&gt;100",CampList[Total],"&lt;=1000",CampList[Affected Population],"IDP")</f>
        <v>0</v>
      </c>
      <c r="AL10" s="807">
        <f>SUMIFS(CampList[Total],CampList[Township],$AI10,CampList[Status],"open",CampList[Total],"&gt;1000",CampList[Total],"&lt;=5000",CampList[Affected Population],"IDP")</f>
        <v>0</v>
      </c>
      <c r="AM10" s="807">
        <f>SUMIFS(CampList[Total],CampList[Township],$AI10,CampList[Status],"open",CampList[Total],"&gt;5000",CampList[Total],"&lt;=100000",CampList[Affected Population],"IDP")</f>
        <v>0</v>
      </c>
    </row>
    <row r="11" spans="1:53" ht="12" customHeight="1" x14ac:dyDescent="0.25">
      <c r="A11" s="617"/>
      <c r="B11" s="626"/>
      <c r="C11" s="626"/>
      <c r="D11" s="626"/>
      <c r="E11" s="626"/>
      <c r="F11" s="626"/>
      <c r="G11" s="626"/>
      <c r="H11" s="626"/>
      <c r="I11" s="626"/>
      <c r="J11" s="626"/>
      <c r="K11" s="626"/>
      <c r="L11" s="626"/>
      <c r="M11" s="618"/>
      <c r="N11" s="618"/>
      <c r="O11" s="618"/>
      <c r="P11" s="618"/>
      <c r="Q11" s="618"/>
      <c r="R11" s="618"/>
      <c r="S11" s="620"/>
      <c r="AJ11" s="807">
        <f>SUMIFS(CampList[Total],CampList[Township],$AI11,CampList[Status],"open",CampList[Total],"&lt;=100",CampList[Affected Population],"IDP")</f>
        <v>0</v>
      </c>
      <c r="AK11" s="807">
        <f>SUMIFS(CampList[Total],CampList[Township],$AI11,CampList[Status],"open",CampList[Total],"&gt;100",CampList[Total],"&lt;=1000",CampList[Affected Population],"IDP")</f>
        <v>0</v>
      </c>
      <c r="AL11" s="807">
        <f>SUMIFS(CampList[Total],CampList[Township],$AI11,CampList[Status],"open",CampList[Total],"&gt;1000",CampList[Total],"&lt;=5000",CampList[Affected Population],"IDP")</f>
        <v>0</v>
      </c>
      <c r="AM11" s="807">
        <f>SUMIFS(CampList[Total],CampList[Township],$AI11,CampList[Status],"open",CampList[Total],"&gt;5000",CampList[Total],"&lt;=100000",CampList[Affected Population],"IDP")</f>
        <v>0</v>
      </c>
    </row>
    <row r="12" spans="1:53" ht="8.25" customHeight="1" x14ac:dyDescent="0.25">
      <c r="A12" s="617"/>
      <c r="B12" s="626"/>
      <c r="C12" s="626"/>
      <c r="D12" s="626"/>
      <c r="E12" s="626"/>
      <c r="F12" s="626"/>
      <c r="G12" s="626"/>
      <c r="H12" s="626"/>
      <c r="I12" s="626"/>
      <c r="J12" s="626"/>
      <c r="K12" s="626"/>
      <c r="L12" s="626"/>
      <c r="M12" s="618"/>
      <c r="N12" s="618"/>
      <c r="O12" s="618"/>
      <c r="P12" s="618"/>
      <c r="Q12" s="618"/>
      <c r="R12" s="618"/>
      <c r="S12" s="620"/>
      <c r="AI12" s="662" t="s">
        <v>527</v>
      </c>
      <c r="AJ12" s="807">
        <f>SUMIFS(CampList[Total],CampList[Township],$AI12,CampList[Status],"open",CampList[Total],"&lt;=100",CampList[Affected Population],"IDP")</f>
        <v>758</v>
      </c>
      <c r="AK12" s="807">
        <f>SUMIFS(CampList[Total],CampList[Township],$AI12,CampList[Status],"open",CampList[Total],"&gt;100",CampList[Total],"&lt;=1000",CampList[Affected Population],"IDP")</f>
        <v>2910</v>
      </c>
      <c r="AL12" s="807">
        <f>SUMIFS(CampList[Total],CampList[Township],$AI12,CampList[Status],"open",CampList[Total],"&gt;1000",CampList[Total],"&lt;=5000",CampList[Affected Population],"IDP")</f>
        <v>0</v>
      </c>
      <c r="AM12" s="807">
        <f>SUMIFS(CampList[Total],CampList[Township],$AI12,CampList[Status],"open",CampList[Total],"&gt;5000",CampList[Total],"&lt;=100000",CampList[Affected Population],"IDP")</f>
        <v>0</v>
      </c>
    </row>
    <row r="13" spans="1:53" ht="8.25" customHeight="1" x14ac:dyDescent="0.25">
      <c r="A13" s="617"/>
      <c r="B13" s="626"/>
      <c r="C13" s="626"/>
      <c r="D13" s="626"/>
      <c r="E13" s="626"/>
      <c r="F13" s="626"/>
      <c r="G13" s="626"/>
      <c r="H13" s="626"/>
      <c r="I13" s="626"/>
      <c r="J13" s="626"/>
      <c r="K13" s="626"/>
      <c r="L13" s="626"/>
      <c r="M13" s="618"/>
      <c r="N13" s="618"/>
      <c r="O13" s="618"/>
      <c r="P13" s="618"/>
      <c r="Q13" s="618"/>
      <c r="R13" s="618"/>
      <c r="S13" s="620"/>
      <c r="AI13" s="662" t="s">
        <v>779</v>
      </c>
      <c r="AJ13" s="807">
        <f>SUMIFS(CampList[Total],CampList[Township],$AI13,CampList[Status],"open",CampList[Total],"&lt;=100",CampList[Affected Population],"IDP")</f>
        <v>75</v>
      </c>
      <c r="AK13" s="807">
        <f>SUMIFS(CampList[Total],CampList[Township],$AI13,CampList[Status],"open",CampList[Total],"&gt;100",CampList[Total],"&lt;=1000",CampList[Affected Population],"IDP")</f>
        <v>604</v>
      </c>
      <c r="AL13" s="807">
        <f>SUMIFS(CampList[Total],CampList[Township],$AI13,CampList[Status],"open",CampList[Total],"&gt;1000",CampList[Total],"&lt;=5000",CampList[Affected Population],"IDP")</f>
        <v>0</v>
      </c>
      <c r="AM13" s="807">
        <f>SUMIFS(CampList[Total],CampList[Township],$AI13,CampList[Status],"open",CampList[Total],"&gt;5000",CampList[Total],"&lt;=100000",CampList[Affected Population],"IDP")</f>
        <v>0</v>
      </c>
    </row>
    <row r="14" spans="1:53" ht="18.75" customHeight="1" x14ac:dyDescent="0.25">
      <c r="A14" s="617"/>
      <c r="B14" s="749" t="s">
        <v>1435</v>
      </c>
      <c r="C14" s="750" t="s">
        <v>571</v>
      </c>
      <c r="D14" s="750" t="s">
        <v>576</v>
      </c>
      <c r="E14" s="750" t="s">
        <v>1241</v>
      </c>
      <c r="F14" s="626"/>
      <c r="G14" s="626"/>
      <c r="H14" s="626"/>
      <c r="I14" s="626"/>
      <c r="J14" s="626"/>
      <c r="K14" s="626"/>
      <c r="L14" s="626"/>
      <c r="M14" s="618"/>
      <c r="N14" s="618"/>
      <c r="O14" s="618"/>
      <c r="P14" s="618"/>
      <c r="Q14" s="618"/>
      <c r="R14" s="618"/>
      <c r="S14" s="620"/>
      <c r="AJ14" s="807">
        <f>SUMIFS(CampList[Total],CampList[Township],$AI14,CampList[Status],"open",CampList[Total],"&lt;=100",CampList[Affected Population],"IDP")</f>
        <v>0</v>
      </c>
      <c r="AK14" s="807">
        <f>SUMIFS(CampList[Total],CampList[Township],$AI14,CampList[Status],"open",CampList[Total],"&gt;100",CampList[Total],"&lt;=1000",CampList[Affected Population],"IDP")</f>
        <v>0</v>
      </c>
      <c r="AL14" s="807">
        <f>SUMIFS(CampList[Total],CampList[Township],$AI14,CampList[Status],"open",CampList[Total],"&gt;1000",CampList[Total],"&lt;=5000",CampList[Affected Population],"IDP")</f>
        <v>0</v>
      </c>
      <c r="AM14" s="807">
        <f>SUMIFS(CampList[Total],CampList[Township],$AI14,CampList[Status],"open",CampList[Total],"&gt;5000",CampList[Total],"&lt;=100000",CampList[Affected Population],"IDP")</f>
        <v>0</v>
      </c>
    </row>
    <row r="15" spans="1:53" ht="18.75" customHeight="1" x14ac:dyDescent="0.25">
      <c r="A15" s="617"/>
      <c r="B15" s="751" t="s">
        <v>380</v>
      </c>
      <c r="C15" s="752"/>
      <c r="D15" s="752"/>
      <c r="E15" s="752"/>
      <c r="F15" s="618"/>
      <c r="G15" s="618"/>
      <c r="H15" s="618"/>
      <c r="I15" s="618"/>
      <c r="J15" s="618"/>
      <c r="K15" s="618"/>
      <c r="L15" s="618"/>
      <c r="M15" s="618"/>
      <c r="N15" s="618"/>
      <c r="O15" s="618"/>
      <c r="P15" s="618"/>
      <c r="Q15" s="186"/>
      <c r="R15" s="618"/>
      <c r="S15" s="620"/>
      <c r="AI15" s="808" t="s">
        <v>363</v>
      </c>
      <c r="AJ15" s="807">
        <f>SUMIFS(CampList[Total],CampList[Township],$AI15,CampList[Status],"open",CampList[Total],"&lt;=100",CampList[Affected Population],"IDP")</f>
        <v>0</v>
      </c>
      <c r="AK15" s="807">
        <f>SUMIFS(CampList[Total],CampList[Township],$AI15,CampList[Status],"open",CampList[Total],"&gt;100",CampList[Total],"&lt;=1000",CampList[Affected Population],"IDP")</f>
        <v>0</v>
      </c>
      <c r="AL15" s="807">
        <f>SUMIFS(CampList[Total],CampList[Township],$AI15,CampList[Status],"open",CampList[Total],"&gt;1000",CampList[Total],"&lt;=5000",CampList[Affected Population],"IDP")</f>
        <v>0</v>
      </c>
      <c r="AM15" s="807">
        <f>SUMIFS(CampList[Total],CampList[Township],$AI15,CampList[Status],"open",CampList[Total],"&gt;5000",CampList[Total],"&lt;=100000",CampList[Affected Population],"IDP")</f>
        <v>0</v>
      </c>
    </row>
    <row r="16" spans="1:53" ht="12" customHeight="1" x14ac:dyDescent="0.25">
      <c r="A16" s="617"/>
      <c r="B16" s="753" t="s">
        <v>5</v>
      </c>
      <c r="C16" s="754">
        <f>SUMIFS(CampList[HH],CampList[Township],$B16,CampList[Status],"open",CampList[Affected Population],"IDP", CampList[State],"Kachin")</f>
        <v>1470</v>
      </c>
      <c r="D16" s="754">
        <f>SUMIFS(CampList[Total],CampList[Township],$B16,CampList[Status],"open",CampList[Affected Population],"IDP", CampList[State],"Kachin")</f>
        <v>8096</v>
      </c>
      <c r="E16" s="755">
        <f>COUNTIFS(CampList[Township],$B16,CampList[Status],"open",CampList[Affected Population],"IDP",CampList[State],"Kachin")</f>
        <v>11</v>
      </c>
      <c r="F16" s="618"/>
      <c r="G16" s="619"/>
      <c r="H16" s="618"/>
      <c r="I16" s="618"/>
      <c r="J16" s="618"/>
      <c r="K16" s="618"/>
      <c r="L16" s="618"/>
      <c r="M16" s="618"/>
      <c r="N16" s="618"/>
      <c r="O16" s="618"/>
      <c r="P16" s="618"/>
      <c r="Q16" s="186"/>
      <c r="R16" s="618"/>
      <c r="S16" s="620"/>
      <c r="AI16" s="662" t="s">
        <v>144</v>
      </c>
      <c r="AJ16" s="807">
        <f>SUMIFS(CampList[Total],CampList[Township],$AI16,CampList[Status],"open",CampList[Total],"&lt;=100",CampList[Affected Population],"IDP")</f>
        <v>0</v>
      </c>
      <c r="AK16" s="807">
        <f>SUMIFS(CampList[Total],CampList[Township],$AI16,CampList[Status],"open",CampList[Total],"&gt;100",CampList[Total],"&lt;=1000",CampList[Affected Population],"IDP")</f>
        <v>0</v>
      </c>
      <c r="AL16" s="807">
        <f>SUMIFS(CampList[Total],CampList[Township],$AI16,CampList[Status],"open",CampList[Total],"&gt;1000",CampList[Total],"&lt;=5000",CampList[Affected Population],"IDP")</f>
        <v>0</v>
      </c>
      <c r="AM16" s="807">
        <f>SUMIFS(CampList[Total],CampList[Township],$AI16,CampList[Status],"open",CampList[Total],"&gt;5000",CampList[Total],"&lt;=100000",CampList[Affected Population],"IDP")</f>
        <v>0</v>
      </c>
    </row>
    <row r="17" spans="1:42" ht="12" customHeight="1" x14ac:dyDescent="0.25">
      <c r="A17" s="617"/>
      <c r="B17" s="753" t="s">
        <v>27</v>
      </c>
      <c r="C17" s="754">
        <f>SUMIFS(CampList[HH],CampList[Township],$B17,CampList[Status],"open",CampList[Affected Population],"IDP", CampList[State],"Kachin")</f>
        <v>500</v>
      </c>
      <c r="D17" s="754">
        <f>SUMIFS(CampList[Total],CampList[Township],$B17,CampList[Status],"open",CampList[Affected Population],"IDP", CampList[State],"Kachin")</f>
        <v>2374</v>
      </c>
      <c r="E17" s="755">
        <f>COUNTIFS(CampList[Township],$B17,CampList[Status],"open",CampList[Affected Population],"IDP",CampList[State],"Kachin")</f>
        <v>6</v>
      </c>
      <c r="F17" s="618"/>
      <c r="G17" s="619"/>
      <c r="H17" s="618"/>
      <c r="I17" s="618"/>
      <c r="J17" s="618"/>
      <c r="K17" s="618"/>
      <c r="L17" s="618"/>
      <c r="M17" s="618"/>
      <c r="N17" s="618"/>
      <c r="O17" s="618"/>
      <c r="P17" s="618"/>
      <c r="Q17" s="618"/>
      <c r="R17" s="618"/>
      <c r="S17" s="620"/>
      <c r="AI17" s="662" t="s">
        <v>146</v>
      </c>
      <c r="AJ17" s="807">
        <f>SUMIFS(CampList[Total],CampList[Township],$AI17,CampList[Status],"open",CampList[Total],"&lt;=100",CampList[Affected Population],"IDP")</f>
        <v>0</v>
      </c>
      <c r="AK17" s="807">
        <f>SUMIFS(CampList[Total],CampList[Township],$AI17,CampList[Status],"open",CampList[Total],"&gt;100",CampList[Total],"&lt;=1000",CampList[Affected Population],"IDP")</f>
        <v>4538</v>
      </c>
      <c r="AL17" s="807">
        <f>SUMIFS(CampList[Total],CampList[Township],$AI17,CampList[Status],"open",CampList[Total],"&gt;1000",CampList[Total],"&lt;=5000",CampList[Affected Population],"IDP")</f>
        <v>0</v>
      </c>
      <c r="AM17" s="807">
        <f>SUMIFS(CampList[Total],CampList[Township],$AI17,CampList[Status],"open",CampList[Total],"&gt;5000",CampList[Total],"&lt;=100000",CampList[Affected Population],"IDP")</f>
        <v>0</v>
      </c>
    </row>
    <row r="18" spans="1:42" ht="12" customHeight="1" x14ac:dyDescent="0.25">
      <c r="A18" s="617"/>
      <c r="B18" s="753" t="s">
        <v>527</v>
      </c>
      <c r="C18" s="754">
        <f>SUMIFS(CampList[HH],CampList[Township],$B18,CampList[Status],"open",CampList[Affected Population],"IDP", CampList[State],"Kachin")</f>
        <v>787</v>
      </c>
      <c r="D18" s="754">
        <f>SUMIFS(CampList[Total],CampList[Township],$B18,CampList[Status],"open",CampList[Affected Population],"IDP", CampList[State],"Kachin")</f>
        <v>3668</v>
      </c>
      <c r="E18" s="755">
        <f>COUNTIFS(CampList[Township],$B18,CampList[Status],"open",CampList[Affected Population],"IDP",CampList[State],"Kachin")</f>
        <v>26</v>
      </c>
      <c r="F18" s="618"/>
      <c r="G18" s="619"/>
      <c r="H18" s="618"/>
      <c r="I18" s="618"/>
      <c r="J18" s="618"/>
      <c r="K18" s="618"/>
      <c r="L18" s="618"/>
      <c r="M18" s="618"/>
      <c r="N18" s="618"/>
      <c r="O18" s="618"/>
      <c r="P18" s="618"/>
      <c r="Q18" s="618"/>
      <c r="R18" s="618"/>
      <c r="S18" s="620"/>
      <c r="AI18" s="662" t="s">
        <v>892</v>
      </c>
      <c r="AJ18" s="807">
        <f>SUMIFS(CampList[Total],CampList[Township],$AI18,CampList[Status],"open",CampList[Total],"&lt;=100",CampList[Affected Population],"IDP")</f>
        <v>0</v>
      </c>
      <c r="AK18" s="807">
        <f>SUMIFS(CampList[Total],CampList[Township],$AI18,CampList[Status],"open",CampList[Total],"&gt;100",CampList[Total],"&lt;=1000",CampList[Affected Population],"IDP")</f>
        <v>0</v>
      </c>
      <c r="AL18" s="807">
        <f>SUMIFS(CampList[Total],CampList[Township],$AI18,CampList[Status],"open",CampList[Total],"&gt;1000",CampList[Total],"&lt;=5000",CampList[Affected Population],"IDP")</f>
        <v>0</v>
      </c>
      <c r="AM18" s="807">
        <f>SUMIFS(CampList[Total],CampList[Township],$AI18,CampList[Status],"open",CampList[Total],"&gt;5000",CampList[Total],"&lt;=100000",CampList[Affected Population],"IDP")</f>
        <v>0</v>
      </c>
    </row>
    <row r="19" spans="1:42" ht="12" customHeight="1" x14ac:dyDescent="0.25">
      <c r="A19" s="617"/>
      <c r="B19" s="753" t="s">
        <v>363</v>
      </c>
      <c r="C19" s="754">
        <f>SUMIFS(CampList[HH],CampList[Township],$B19,CampList[Status],"open",CampList[Affected Population],"IDP", CampList[State],"Kachin")</f>
        <v>0</v>
      </c>
      <c r="D19" s="754">
        <f>SUMIFS(CampList[Total],CampList[Township],$B19,CampList[Status],"open",CampList[Affected Population],"IDP", CampList[State],"Kachin")</f>
        <v>0</v>
      </c>
      <c r="E19" s="755">
        <f>COUNTIFS(CampList[Township],$B19,CampList[Status],"open",CampList[Affected Population],"IDP",CampList[State],"Kachin")</f>
        <v>0</v>
      </c>
      <c r="F19" s="618"/>
      <c r="G19" s="618"/>
      <c r="H19" s="618"/>
      <c r="I19" s="618"/>
      <c r="J19" s="618"/>
      <c r="K19" s="618"/>
      <c r="L19" s="618"/>
      <c r="M19" s="618"/>
      <c r="N19" s="618"/>
      <c r="O19" s="618"/>
      <c r="P19" s="618"/>
      <c r="Q19" s="618"/>
      <c r="R19" s="618"/>
      <c r="S19" s="620"/>
      <c r="AI19" s="662" t="s">
        <v>151</v>
      </c>
      <c r="AJ19" s="807">
        <f>SUMIFS(CampList[Total],CampList[Township],$AI19,CampList[Status],"open",CampList[Total],"&lt;=100",CampList[Affected Population],"IDP")</f>
        <v>0</v>
      </c>
      <c r="AK19" s="807">
        <f>SUMIFS(CampList[Total],CampList[Township],$AI19,CampList[Status],"open",CampList[Total],"&gt;100",CampList[Total],"&lt;=1000",CampList[Affected Population],"IDP")</f>
        <v>4404</v>
      </c>
      <c r="AL19" s="807">
        <f>SUMIFS(CampList[Total],CampList[Township],$AI19,CampList[Status],"open",CampList[Total],"&gt;1000",CampList[Total],"&lt;=5000",CampList[Affected Population],"IDP")</f>
        <v>8921</v>
      </c>
      <c r="AM19" s="807">
        <f>SUMIFS(CampList[Total],CampList[Township],$AI19,CampList[Status],"open",CampList[Total],"&gt;5000",CampList[Total],"&lt;=100000",CampList[Affected Population],"IDP")</f>
        <v>0</v>
      </c>
      <c r="AP19" s="457"/>
    </row>
    <row r="20" spans="1:42" ht="12" customHeight="1" x14ac:dyDescent="0.25">
      <c r="A20" s="617"/>
      <c r="B20" s="753" t="s">
        <v>144</v>
      </c>
      <c r="C20" s="754">
        <f>SUMIFS(CampList[HH],CampList[Township],$B20,CampList[Status],"open",CampList[Affected Population],"IDP", CampList[State],"Kachin")</f>
        <v>0</v>
      </c>
      <c r="D20" s="754">
        <f>SUMIFS(CampList[Total],CampList[Township],$B20,CampList[Status],"open",CampList[Affected Population],"IDP", CampList[State],"Kachin")</f>
        <v>0</v>
      </c>
      <c r="E20" s="755">
        <f>COUNTIFS(CampList[Township],$B20,CampList[Status],"open",CampList[Affected Population],"IDP",CampList[State],"Kachin")</f>
        <v>0</v>
      </c>
      <c r="F20" s="618"/>
      <c r="G20" s="618"/>
      <c r="H20" s="618"/>
      <c r="I20" s="618"/>
      <c r="J20" s="618"/>
      <c r="K20" s="618"/>
      <c r="L20" s="618"/>
      <c r="M20" s="618"/>
      <c r="N20" s="618"/>
      <c r="O20" s="618"/>
      <c r="P20" s="618"/>
      <c r="Q20" s="618"/>
      <c r="R20" s="618"/>
      <c r="S20" s="620"/>
      <c r="T20" s="466">
        <f>V26</f>
        <v>0</v>
      </c>
      <c r="AI20" s="662" t="s">
        <v>166</v>
      </c>
      <c r="AJ20" s="807">
        <f>SUMIFS(CampList[Total],CampList[Township],$AI20,CampList[Status],"open",CampList[Total],"&lt;=100",CampList[Affected Population],"IDP")</f>
        <v>0</v>
      </c>
      <c r="AK20" s="807">
        <f>SUMIFS(CampList[Total],CampList[Township],$AI20,CampList[Status],"open",CampList[Total],"&gt;100",CampList[Total],"&lt;=1000",CampList[Affected Population],"IDP")</f>
        <v>545</v>
      </c>
      <c r="AL20" s="807">
        <f>SUMIFS(CampList[Total],CampList[Township],$AI20,CampList[Status],"open",CampList[Total],"&gt;1000",CampList[Total],"&lt;=5000",CampList[Affected Population],"IDP")</f>
        <v>0</v>
      </c>
      <c r="AM20" s="807">
        <f>SUMIFS(CampList[Total],CampList[Township],$AI20,CampList[Status],"open",CampList[Total],"&gt;5000",CampList[Total],"&lt;=100000",CampList[Affected Population],"IDP")</f>
        <v>0</v>
      </c>
      <c r="AP20" s="457"/>
    </row>
    <row r="21" spans="1:42" ht="12" customHeight="1" x14ac:dyDescent="0.25">
      <c r="A21" s="617"/>
      <c r="B21" s="753" t="s">
        <v>892</v>
      </c>
      <c r="C21" s="754">
        <f>SUMIFS(CampList[HH],CampList[Township],$B21,CampList[Status],"open",CampList[Affected Population],"IDP", CampList[State],"Kachin")</f>
        <v>0</v>
      </c>
      <c r="D21" s="754">
        <f>SUMIFS(CampList[Total],CampList[Township],$B21,CampList[Status],"open",CampList[Affected Population],"IDP", CampList[State],"Kachin")</f>
        <v>0</v>
      </c>
      <c r="E21" s="755">
        <f>COUNTIFS(CampList[Township],$B21,CampList[Status],"open",CampList[Affected Population],"IDP",CampList[State],"Kachin")</f>
        <v>0</v>
      </c>
      <c r="F21" s="618"/>
      <c r="G21" s="618"/>
      <c r="H21" s="618"/>
      <c r="I21" s="618"/>
      <c r="J21" s="618"/>
      <c r="K21" s="618"/>
      <c r="L21" s="618"/>
      <c r="M21" s="618"/>
      <c r="N21" s="618"/>
      <c r="O21" s="618"/>
      <c r="P21" s="618"/>
      <c r="Q21" s="618"/>
      <c r="R21" s="618"/>
      <c r="S21" s="620"/>
      <c r="U21" s="801"/>
      <c r="AI21" s="662" t="s">
        <v>173</v>
      </c>
      <c r="AJ21" s="807">
        <f>SUMIFS(CampList[Total],CampList[Township],$AI21,CampList[Status],"open",CampList[Total],"&lt;=100",CampList[Affected Population],"IDP")</f>
        <v>297</v>
      </c>
      <c r="AK21" s="807">
        <f>SUMIFS(CampList[Total],CampList[Township],$AI21,CampList[Status],"open",CampList[Total],"&gt;100",CampList[Total],"&lt;=1000",CampList[Affected Population],"IDP")</f>
        <v>136</v>
      </c>
      <c r="AL21" s="807">
        <f>SUMIFS(CampList[Total],CampList[Township],$AI21,CampList[Status],"open",CampList[Total],"&gt;1000",CampList[Total],"&lt;=5000",CampList[Affected Population],"IDP")</f>
        <v>0</v>
      </c>
      <c r="AM21" s="807">
        <f>SUMIFS(CampList[Total],CampList[Township],$AI21,CampList[Status],"open",CampList[Total],"&gt;5000",CampList[Total],"&lt;=100000",CampList[Affected Population],"IDP")</f>
        <v>0</v>
      </c>
      <c r="AP21" s="457"/>
    </row>
    <row r="22" spans="1:42" ht="12" customHeight="1" x14ac:dyDescent="0.25">
      <c r="A22" s="617"/>
      <c r="B22" s="753" t="s">
        <v>151</v>
      </c>
      <c r="C22" s="754">
        <f>SUMIFS(CampList[HH],CampList[Township],$B22,CampList[Status],"open",CampList[Affected Population],"IDP", CampList[State],"Kachin")</f>
        <v>2810</v>
      </c>
      <c r="D22" s="754">
        <f>SUMIFS(CampList[Total],CampList[Township],$B22,CampList[Status],"open",CampList[Affected Population],"IDP", CampList[State],"Kachin")</f>
        <v>13325</v>
      </c>
      <c r="E22" s="755">
        <f>COUNTIFS(CampList[Township],$B22,CampList[Status],"open",CampList[Affected Population],"IDP",CampList[State],"Kachin")</f>
        <v>11</v>
      </c>
      <c r="F22" s="618"/>
      <c r="G22" s="618"/>
      <c r="H22" s="618"/>
      <c r="I22" s="618"/>
      <c r="J22" s="618"/>
      <c r="K22" s="618"/>
      <c r="L22" s="618"/>
      <c r="M22" s="618"/>
      <c r="N22" s="618"/>
      <c r="O22" s="618"/>
      <c r="P22" s="618"/>
      <c r="Q22" s="618"/>
      <c r="R22" s="618"/>
      <c r="S22" s="620"/>
      <c r="AI22" s="662" t="s">
        <v>180</v>
      </c>
      <c r="AJ22" s="807">
        <f>SUMIFS(CampList[Total],CampList[Township],$AI22,CampList[Status],"open",CampList[Total],"&lt;=100",CampList[Affected Population],"IDP")</f>
        <v>125</v>
      </c>
      <c r="AK22" s="807">
        <f>SUMIFS(CampList[Total],CampList[Township],$AI22,CampList[Status],"open",CampList[Total],"&gt;100",CampList[Total],"&lt;=1000",CampList[Affected Population],"IDP")</f>
        <v>255</v>
      </c>
      <c r="AL22" s="807">
        <f>SUMIFS(CampList[Total],CampList[Township],$AI22,CampList[Status],"open",CampList[Total],"&gt;1000",CampList[Total],"&lt;=5000",CampList[Affected Population],"IDP")</f>
        <v>0</v>
      </c>
      <c r="AM22" s="807">
        <f>SUMIFS(CampList[Total],CampList[Township],$AI22,CampList[Status],"open",CampList[Total],"&gt;5000",CampList[Total],"&lt;=100000",CampList[Affected Population],"IDP")</f>
        <v>0</v>
      </c>
      <c r="AP22" s="457"/>
    </row>
    <row r="23" spans="1:42" ht="12" customHeight="1" x14ac:dyDescent="0.25">
      <c r="A23" s="617"/>
      <c r="B23" s="753" t="s">
        <v>173</v>
      </c>
      <c r="C23" s="754">
        <f>SUMIFS(CampList[HH],CampList[Township],$B23,CampList[Status],"open",CampList[Affected Population],"IDP", CampList[State],"Kachin")</f>
        <v>99</v>
      </c>
      <c r="D23" s="754">
        <f>SUMIFS(CampList[Total],CampList[Township],$B23,CampList[Status],"open",CampList[Affected Population],"IDP", CampList[State],"Kachin")</f>
        <v>433</v>
      </c>
      <c r="E23" s="755">
        <f>COUNTIFS(CampList[Township],$B23,CampList[Status],"open",CampList[Affected Population],"IDP",CampList[State],"Kachin")</f>
        <v>6</v>
      </c>
      <c r="F23" s="618"/>
      <c r="G23" s="618"/>
      <c r="H23" s="618"/>
      <c r="I23" s="618"/>
      <c r="J23" s="618"/>
      <c r="K23" s="618"/>
      <c r="L23" s="618"/>
      <c r="M23" s="618"/>
      <c r="N23" s="618"/>
      <c r="O23" s="618"/>
      <c r="P23" s="618"/>
      <c r="Q23" s="618"/>
      <c r="R23" s="618"/>
      <c r="S23" s="620"/>
      <c r="AI23" s="662" t="s">
        <v>185</v>
      </c>
      <c r="AJ23" s="807">
        <f>SUMIFS(CampList[Total],CampList[Township],$AI23,CampList[Status],"open",CampList[Total],"&lt;=100",CampList[Affected Population],"IDP")</f>
        <v>122</v>
      </c>
      <c r="AK23" s="807">
        <f>SUMIFS(CampList[Total],CampList[Township],$AI23,CampList[Status],"open",CampList[Total],"&gt;100",CampList[Total],"&lt;=1000",CampList[Affected Population],"IDP")</f>
        <v>2407</v>
      </c>
      <c r="AL23" s="807">
        <f>SUMIFS(CampList[Total],CampList[Township],$AI23,CampList[Status],"open",CampList[Total],"&gt;1000",CampList[Total],"&lt;=5000",CampList[Affected Population],"IDP")</f>
        <v>13325</v>
      </c>
      <c r="AM23" s="807">
        <f>SUMIFS(CampList[Total],CampList[Township],$AI23,CampList[Status],"open",CampList[Total],"&gt;5000",CampList[Total],"&lt;=100000",CampList[Affected Population],"IDP")</f>
        <v>0</v>
      </c>
      <c r="AP23" s="457"/>
    </row>
    <row r="24" spans="1:42" ht="12" customHeight="1" x14ac:dyDescent="0.25">
      <c r="A24" s="617"/>
      <c r="B24" s="753" t="s">
        <v>180</v>
      </c>
      <c r="C24" s="754">
        <f>SUMIFS(CampList[HH],CampList[Township],$B24,CampList[Status],"open",CampList[Affected Population],"IDP", CampList[State],"Kachin")</f>
        <v>81</v>
      </c>
      <c r="D24" s="754">
        <f>SUMIFS(CampList[Total],CampList[Township],$B24,CampList[Status],"open",CampList[Affected Population],"IDP", CampList[State],"Kachin")</f>
        <v>380</v>
      </c>
      <c r="E24" s="755">
        <f>COUNTIFS(CampList[Township],$B24,CampList[Status],"open",CampList[Affected Population],"IDP",CampList[State],"Kachin")</f>
        <v>4</v>
      </c>
      <c r="F24" s="618"/>
      <c r="G24" s="618"/>
      <c r="H24" s="618"/>
      <c r="I24" s="618"/>
      <c r="J24" s="618"/>
      <c r="K24" s="618"/>
      <c r="L24" s="618"/>
      <c r="M24" s="618"/>
      <c r="N24" s="618"/>
      <c r="O24" s="618"/>
      <c r="P24" s="618"/>
      <c r="Q24" s="618"/>
      <c r="R24" s="618"/>
      <c r="S24" s="620"/>
      <c r="AI24" s="662" t="s">
        <v>230</v>
      </c>
      <c r="AJ24" s="807">
        <f>SUMIFS(CampList[Total],CampList[Township],$AI24,CampList[Status],"open",CampList[Total],"&lt;=100",CampList[Affected Population],"IDP")</f>
        <v>0</v>
      </c>
      <c r="AK24" s="807">
        <f>SUMIFS(CampList[Total],CampList[Township],$AI24,CampList[Status],"open",CampList[Total],"&gt;100",CampList[Total],"&lt;=1000",CampList[Affected Population],"IDP")</f>
        <v>514</v>
      </c>
      <c r="AL24" s="807">
        <f>SUMIFS(CampList[Total],CampList[Township],$AI24,CampList[Status],"open",CampList[Total],"&gt;1000",CampList[Total],"&lt;=5000",CampList[Affected Population],"IDP")</f>
        <v>0</v>
      </c>
      <c r="AM24" s="807">
        <f>SUMIFS(CampList[Total],CampList[Township],$AI24,CampList[Status],"open",CampList[Total],"&gt;5000",CampList[Total],"&lt;=100000",CampList[Affected Population],"IDP")</f>
        <v>0</v>
      </c>
      <c r="AP24" s="457"/>
    </row>
    <row r="25" spans="1:42" ht="12" customHeight="1" x14ac:dyDescent="0.25">
      <c r="A25" s="617"/>
      <c r="B25" s="753" t="s">
        <v>185</v>
      </c>
      <c r="C25" s="754">
        <f>SUMIFS(CampList[HH],CampList[Township],$B25,CampList[Status],"open",CampList[Affected Population],"IDP", CampList[State],"Kachin")</f>
        <v>3181</v>
      </c>
      <c r="D25" s="754">
        <f>SUMIFS(CampList[Total],CampList[Township],$B25,CampList[Status],"open",CampList[Affected Population],"IDP", CampList[State],"Kachin")</f>
        <v>15854</v>
      </c>
      <c r="E25" s="755">
        <f>COUNTIFS(CampList[Township],$B25,CampList[Status],"open",CampList[Affected Population],"IDP",CampList[State],"Kachin")</f>
        <v>20</v>
      </c>
      <c r="F25" s="618"/>
      <c r="G25" s="451"/>
      <c r="H25" s="451"/>
      <c r="I25" s="451"/>
      <c r="J25" s="451"/>
      <c r="K25" s="451"/>
      <c r="L25" s="451"/>
      <c r="M25" s="618"/>
      <c r="N25" s="618"/>
      <c r="O25" s="618"/>
      <c r="P25" s="618"/>
      <c r="Q25" s="618"/>
      <c r="R25" s="618"/>
      <c r="S25" s="620"/>
      <c r="AI25" s="662" t="s">
        <v>237</v>
      </c>
      <c r="AJ25" s="807">
        <f>SUMIFS(CampList[Total],CampList[Township],$AI25,CampList[Status],"open",CampList[Total],"&lt;=100",CampList[Affected Population],"IDP")</f>
        <v>294</v>
      </c>
      <c r="AK25" s="807">
        <f>SUMIFS(CampList[Total],CampList[Township],$AI25,CampList[Status],"open",CampList[Total],"&gt;100",CampList[Total],"&lt;=1000",CampList[Affected Population],"IDP")</f>
        <v>5057</v>
      </c>
      <c r="AL25" s="807">
        <f>SUMIFS(CampList[Total],CampList[Township],$AI25,CampList[Status],"open",CampList[Total],"&gt;1000",CampList[Total],"&lt;=5000",CampList[Affected Population],"IDP")</f>
        <v>1110</v>
      </c>
      <c r="AM25" s="807">
        <f>SUMIFS(CampList[Total],CampList[Township],$AI25,CampList[Status],"open",CampList[Total],"&gt;5000",CampList[Total],"&lt;=100000",CampList[Affected Population],"IDP")</f>
        <v>0</v>
      </c>
      <c r="AP25" s="457"/>
    </row>
    <row r="26" spans="1:42" ht="12" customHeight="1" x14ac:dyDescent="0.25">
      <c r="A26" s="617"/>
      <c r="B26" s="753" t="s">
        <v>237</v>
      </c>
      <c r="C26" s="754">
        <f>SUMIFS(CampList[HH],CampList[Township],$B26,CampList[Status],"open",CampList[Affected Population],"IDP", CampList[State],"Kachin")</f>
        <v>1273</v>
      </c>
      <c r="D26" s="754">
        <f>SUMIFS(CampList[Total],CampList[Township],$B26,CampList[Status],"open",CampList[Affected Population],"IDP", CampList[State],"Kachin")</f>
        <v>6461</v>
      </c>
      <c r="E26" s="755">
        <f>COUNTIFS(CampList[Township],$B26,CampList[Status],"open",CampList[Affected Population],"IDP",CampList[State],"Kachin")</f>
        <v>24</v>
      </c>
      <c r="F26" s="618"/>
      <c r="G26" s="451"/>
      <c r="H26" s="451"/>
      <c r="I26" s="451"/>
      <c r="J26" s="451"/>
      <c r="K26" s="451"/>
      <c r="L26" s="451"/>
      <c r="M26" s="618"/>
      <c r="N26" s="618"/>
      <c r="O26" s="618"/>
      <c r="P26" s="618"/>
      <c r="Q26" s="618"/>
      <c r="R26" s="618"/>
      <c r="S26" s="620"/>
      <c r="AI26" s="662" t="s">
        <v>289</v>
      </c>
      <c r="AJ26" s="807">
        <f>SUMIFS(CampList[Total],CampList[Township],$AI26,CampList[Status],"open",CampList[Total],"&lt;=100",CampList[Affected Population],"IDP")</f>
        <v>0</v>
      </c>
      <c r="AK26" s="807">
        <f>SUMIFS(CampList[Total],CampList[Township],$AI26,CampList[Status],"open",CampList[Total],"&gt;100",CampList[Total],"&lt;=1000",CampList[Affected Population],"IDP")</f>
        <v>2769</v>
      </c>
      <c r="AL26" s="807">
        <f>SUMIFS(CampList[Total],CampList[Township],$AI26,CampList[Status],"open",CampList[Total],"&gt;1000",CampList[Total],"&lt;=5000",CampList[Affected Population],"IDP")</f>
        <v>0</v>
      </c>
      <c r="AM26" s="807">
        <f>SUMIFS(CampList[Total],CampList[Township],$AI26,CampList[Status],"open",CampList[Total],"&gt;5000",CampList[Total],"&lt;=100000",CampList[Affected Population],"IDP")</f>
        <v>0</v>
      </c>
      <c r="AP26" s="457"/>
    </row>
    <row r="27" spans="1:42" ht="12" customHeight="1" x14ac:dyDescent="0.25">
      <c r="A27" s="617"/>
      <c r="B27" s="753" t="s">
        <v>300</v>
      </c>
      <c r="C27" s="754">
        <f>SUMIFS(CampList[HH],CampList[Township],$B27,CampList[Status],"open",CampList[Affected Population],"IDP", CampList[State],"Kachin")</f>
        <v>83</v>
      </c>
      <c r="D27" s="754">
        <f>SUMIFS(CampList[Total],CampList[Township],$B27,CampList[Status],"open",CampList[Affected Population],"IDP", CampList[State],"Kachin")</f>
        <v>394</v>
      </c>
      <c r="E27" s="755">
        <f>COUNTIFS(CampList[Township],$B27,CampList[Status],"open",CampList[Affected Population],"IDP",CampList[State],"Kachin")</f>
        <v>3</v>
      </c>
      <c r="F27" s="618"/>
      <c r="G27" s="451"/>
      <c r="H27" s="451"/>
      <c r="I27" s="451"/>
      <c r="J27" s="451"/>
      <c r="K27" s="451"/>
      <c r="L27" s="451"/>
      <c r="M27" s="618"/>
      <c r="N27" s="618"/>
      <c r="O27" s="618"/>
      <c r="P27" s="618"/>
      <c r="Q27" s="618"/>
      <c r="R27" s="618"/>
      <c r="S27" s="620"/>
      <c r="AI27" s="662" t="s">
        <v>298</v>
      </c>
      <c r="AJ27" s="807">
        <f>SUMIFS(CampList[Total],CampList[Township],$AI27,CampList[Status],"open",CampList[Total],"&lt;=100",CampList[Affected Population],"IDP")</f>
        <v>232</v>
      </c>
      <c r="AK27" s="807">
        <f>SUMIFS(CampList[Total],CampList[Township],$AI27,CampList[Status],"open",CampList[Total],"&gt;100",CampList[Total],"&lt;=1000",CampList[Affected Population],"IDP")</f>
        <v>1746</v>
      </c>
      <c r="AL27" s="807">
        <f>SUMIFS(CampList[Total],CampList[Township],$AI27,CampList[Status],"open",CampList[Total],"&gt;1000",CampList[Total],"&lt;=5000",CampList[Affected Population],"IDP")</f>
        <v>0</v>
      </c>
      <c r="AM27" s="807">
        <f>SUMIFS(CampList[Total],CampList[Township],$AI27,CampList[Status],"open",CampList[Total],"&gt;5000",CampList[Total],"&lt;=100000",CampList[Affected Population],"IDP")</f>
        <v>0</v>
      </c>
    </row>
    <row r="28" spans="1:42" ht="12" customHeight="1" x14ac:dyDescent="0.25">
      <c r="A28" s="617"/>
      <c r="B28" s="753" t="s">
        <v>302</v>
      </c>
      <c r="C28" s="754">
        <f>SUMIFS(CampList[HH],CampList[Township],$B28,CampList[Status],"open",CampList[Affected Population],"IDP", CampList[State],"Kachin")</f>
        <v>502</v>
      </c>
      <c r="D28" s="754">
        <f>SUMIFS(CampList[Total],CampList[Township],$B28,CampList[Status],"open",CampList[Affected Population],"IDP", CampList[State],"Kachin")</f>
        <v>2170</v>
      </c>
      <c r="E28" s="755">
        <f>COUNTIFS(CampList[Township],$B28,CampList[Status],"open",CampList[Affected Population],"IDP",CampList[State],"Kachin")</f>
        <v>4</v>
      </c>
      <c r="F28" s="618"/>
      <c r="G28" s="451"/>
      <c r="H28" s="451"/>
      <c r="I28" s="451"/>
      <c r="J28" s="451"/>
      <c r="K28" s="451"/>
      <c r="L28" s="451"/>
      <c r="M28" s="618"/>
      <c r="N28" s="618"/>
      <c r="O28" s="618"/>
      <c r="P28" s="618"/>
      <c r="Q28" s="618"/>
      <c r="R28" s="618"/>
      <c r="S28" s="620"/>
      <c r="AI28" s="662" t="s">
        <v>300</v>
      </c>
      <c r="AJ28" s="807">
        <f>SUMIFS(CampList[Total],CampList[Township],$AI28,CampList[Status],"open",CampList[Total],"&lt;=100",CampList[Affected Population],"IDP")</f>
        <v>120</v>
      </c>
      <c r="AK28" s="807">
        <f>SUMIFS(CampList[Total],CampList[Township],$AI28,CampList[Status],"open",CampList[Total],"&gt;100",CampList[Total],"&lt;=1000",CampList[Affected Population],"IDP")</f>
        <v>274</v>
      </c>
      <c r="AL28" s="807">
        <f>SUMIFS(CampList[Total],CampList[Township],$AI28,CampList[Status],"open",CampList[Total],"&gt;1000",CampList[Total],"&lt;=5000",CampList[Affected Population],"IDP")</f>
        <v>0</v>
      </c>
      <c r="AM28" s="807">
        <f>SUMIFS(CampList[Total],CampList[Township],$AI28,CampList[Status],"open",CampList[Total],"&gt;5000",CampList[Total],"&lt;=100000",CampList[Affected Population],"IDP")</f>
        <v>0</v>
      </c>
    </row>
    <row r="29" spans="1:42" ht="12" customHeight="1" x14ac:dyDescent="0.25">
      <c r="A29" s="617"/>
      <c r="B29" s="753" t="s">
        <v>808</v>
      </c>
      <c r="C29" s="754">
        <f>SUMIFS(CampList[HH],CampList[Township],$B29,CampList[Status],"open",CampList[Affected Population],"IDP", CampList[State],"Kachin")</f>
        <v>218</v>
      </c>
      <c r="D29" s="754">
        <f>SUMIFS(CampList[Total],CampList[Township],$B29,CampList[Status],"open",CampList[Affected Population],"IDP", CampList[State],"Kachin")</f>
        <v>851</v>
      </c>
      <c r="E29" s="755">
        <f>COUNTIFS(CampList[Township],$B29,CampList[Status],"open",CampList[Affected Population],"IDP",CampList[State],"Kachin")</f>
        <v>3</v>
      </c>
      <c r="F29" s="451"/>
      <c r="G29" s="451"/>
      <c r="H29" s="451"/>
      <c r="I29" s="451"/>
      <c r="J29" s="451"/>
      <c r="K29" s="451"/>
      <c r="L29" s="451"/>
      <c r="M29" s="618"/>
      <c r="N29" s="618"/>
      <c r="O29" s="618"/>
      <c r="P29" s="618"/>
      <c r="Q29" s="618"/>
      <c r="R29" s="618"/>
      <c r="S29" s="620"/>
      <c r="AI29" s="662" t="s">
        <v>302</v>
      </c>
      <c r="AJ29" s="807">
        <f>SUMIFS(CampList[Total],CampList[Township],$AI29,CampList[Status],"open",CampList[Total],"&lt;=100",CampList[Affected Population],"IDP")</f>
        <v>30</v>
      </c>
      <c r="AK29" s="807">
        <f>SUMIFS(CampList[Total],CampList[Township],$AI29,CampList[Status],"open",CampList[Total],"&gt;100",CampList[Total],"&lt;=1000",CampList[Affected Population],"IDP")</f>
        <v>449</v>
      </c>
      <c r="AL29" s="807">
        <f>SUMIFS(CampList[Total],CampList[Township],$AI29,CampList[Status],"open",CampList[Total],"&gt;1000",CampList[Total],"&lt;=5000",CampList[Affected Population],"IDP")</f>
        <v>1691</v>
      </c>
      <c r="AM29" s="807">
        <f>SUMIFS(CampList[Total],CampList[Township],$AI29,CampList[Status],"open",CampList[Total],"&gt;5000",CampList[Total],"&lt;=100000",CampList[Affected Population],"IDP")</f>
        <v>0</v>
      </c>
    </row>
    <row r="30" spans="1:42" ht="12" customHeight="1" x14ac:dyDescent="0.25">
      <c r="A30" s="617"/>
      <c r="B30" s="753" t="s">
        <v>1412</v>
      </c>
      <c r="C30" s="754">
        <f>SUMIFS(CampList[HH],CampList[Township],$B30,CampList[Status],"open",CampList[Affected Population],"IDP", CampList[State],"Kachin")</f>
        <v>0</v>
      </c>
      <c r="D30" s="754">
        <f>SUMIFS(CampList[Total],CampList[Township],$B30,CampList[Status],"open",CampList[Affected Population],"IDP", CampList[State],"Kachin")</f>
        <v>0</v>
      </c>
      <c r="E30" s="755">
        <f>COUNTIFS(CampList[Township],$B30,CampList[Status],"open",CampList[Affected Population],"IDP",CampList[State],"Kachin")</f>
        <v>0</v>
      </c>
      <c r="F30" s="451"/>
      <c r="G30" s="451"/>
      <c r="H30" s="451"/>
      <c r="I30" s="451"/>
      <c r="J30" s="451"/>
      <c r="K30" s="451"/>
      <c r="L30" s="451"/>
      <c r="M30" s="618"/>
      <c r="N30" s="618"/>
      <c r="O30" s="618"/>
      <c r="P30" s="618"/>
      <c r="Q30" s="618"/>
      <c r="R30" s="618"/>
      <c r="S30" s="620"/>
      <c r="AI30" s="662" t="s">
        <v>1502</v>
      </c>
      <c r="AJ30" s="807">
        <f>SUMIFS(CampList[Total],CampList[Township],$AI30,CampList[Status],"open",CampList[Total],"&lt;=100",CampList[Affected Population],"IDP")</f>
        <v>0</v>
      </c>
      <c r="AK30" s="807">
        <f>SUMIFS(CampList[Total],CampList[Township],$AI30,CampList[Status],"open",CampList[Total],"&gt;100",CampList[Total],"&lt;=1000",CampList[Affected Population],"IDP")</f>
        <v>120</v>
      </c>
      <c r="AL30" s="807">
        <f>SUMIFS(CampList[Total],CampList[Township],$AI30,CampList[Status],"open",CampList[Total],"&gt;1000",CampList[Total],"&lt;=5000",CampList[Affected Population],"IDP")</f>
        <v>0</v>
      </c>
      <c r="AM30" s="807">
        <f>SUMIFS(CampList[Total],CampList[Township],$AI30,CampList[Status],"open",CampList[Total],"&gt;5000",CampList[Total],"&lt;=100000",CampList[Affected Population],"IDP")</f>
        <v>0</v>
      </c>
    </row>
    <row r="31" spans="1:42" ht="12" customHeight="1" x14ac:dyDescent="0.25">
      <c r="A31" s="617"/>
      <c r="B31" s="753" t="s">
        <v>310</v>
      </c>
      <c r="C31" s="754">
        <f>SUMIFS(CampList[HH],CampList[Township],$B31,CampList[Status],"open",CampList[Affected Population],"IDP", CampList[State],"Kachin")</f>
        <v>6083</v>
      </c>
      <c r="D31" s="754">
        <f>SUMIFS(CampList[Total],CampList[Township],$B31,CampList[Status],"open",CampList[Affected Population],"IDP", CampList[State],"Kachin")</f>
        <v>31632</v>
      </c>
      <c r="E31" s="755">
        <f>COUNTIFS(CampList[Township],$B31,CampList[Status],"open",CampList[Affected Population],"IDP",CampList[State],"Kachin")</f>
        <v>23</v>
      </c>
      <c r="F31" s="451"/>
      <c r="G31" s="451"/>
      <c r="H31" s="451"/>
      <c r="I31" s="451"/>
      <c r="J31" s="451"/>
      <c r="K31" s="451"/>
      <c r="L31" s="451"/>
      <c r="M31" s="618"/>
      <c r="N31" s="618"/>
      <c r="O31" s="618"/>
      <c r="P31" s="618"/>
      <c r="Q31" s="618"/>
      <c r="R31" s="618"/>
      <c r="S31" s="620"/>
      <c r="AI31" s="662" t="s">
        <v>808</v>
      </c>
      <c r="AJ31" s="807">
        <f>SUMIFS(CampList[Total],CampList[Township],$AI31,CampList[Status],"open",CampList[Total],"&lt;=100",CampList[Affected Population],"IDP")</f>
        <v>32</v>
      </c>
      <c r="AK31" s="807">
        <f>SUMIFS(CampList[Total],CampList[Township],$AI31,CampList[Status],"open",CampList[Total],"&gt;100",CampList[Total],"&lt;=1000",CampList[Affected Population],"IDP")</f>
        <v>819</v>
      </c>
      <c r="AL31" s="807">
        <f>SUMIFS(CampList[Total],CampList[Township],$AI31,CampList[Status],"open",CampList[Total],"&gt;1000",CampList[Total],"&lt;=5000",CampList[Affected Population],"IDP")</f>
        <v>0</v>
      </c>
      <c r="AM31" s="807">
        <f>SUMIFS(CampList[Total],CampList[Township],$AI31,CampList[Status],"open",CampList[Total],"&gt;5000",CampList[Total],"&lt;=100000",CampList[Affected Population],"IDP")</f>
        <v>0</v>
      </c>
      <c r="AN31" s="663">
        <f>AM41+AJ41+AK41+AL41</f>
        <v>96781</v>
      </c>
    </row>
    <row r="32" spans="1:42" ht="15.75" customHeight="1" x14ac:dyDescent="0.25">
      <c r="A32" s="617"/>
      <c r="B32" s="756" t="s">
        <v>851</v>
      </c>
      <c r="C32" s="757">
        <f>SUM(C16:C31)</f>
        <v>17087</v>
      </c>
      <c r="D32" s="757">
        <f>SUM(D16:D31)</f>
        <v>85638</v>
      </c>
      <c r="E32" s="758">
        <f>SUM(E16:E31)</f>
        <v>141</v>
      </c>
      <c r="F32" s="451"/>
      <c r="G32" s="451"/>
      <c r="H32" s="451"/>
      <c r="I32" s="451"/>
      <c r="J32" s="451"/>
      <c r="K32" s="451"/>
      <c r="L32" s="451"/>
      <c r="M32" s="618"/>
      <c r="N32" s="618"/>
      <c r="O32" s="618"/>
      <c r="P32" s="618"/>
      <c r="Q32" s="618"/>
      <c r="R32" s="618"/>
      <c r="S32" s="620"/>
      <c r="AI32" s="662" t="s">
        <v>1412</v>
      </c>
      <c r="AJ32" s="807">
        <f>SUMIFS(CampList[Total],CampList[Township],$AI32,CampList[Status],"open",CampList[Total],"&lt;=100",CampList[Affected Population],"IDP")</f>
        <v>0</v>
      </c>
      <c r="AK32" s="807">
        <f>SUMIFS(CampList[Total],CampList[Township],$AI32,CampList[Status],"open",CampList[Total],"&gt;100",CampList[Total],"&lt;=1000",CampList[Affected Population],"IDP")</f>
        <v>0</v>
      </c>
      <c r="AL32" s="807">
        <f>SUMIFS(CampList[Total],CampList[Township],$AI32,CampList[Status],"open",CampList[Total],"&gt;1000",CampList[Total],"&lt;=5000",CampList[Affected Population],"IDP")</f>
        <v>0</v>
      </c>
      <c r="AM32" s="807">
        <f>SUMIFS(CampList[Total],CampList[Township],$AI32,CampList[Status],"open",CampList[Total],"&gt;5000",CampList[Total],"&lt;=100000",CampList[Affected Population],"IDP")</f>
        <v>0</v>
      </c>
      <c r="AN32" s="663"/>
    </row>
    <row r="33" spans="1:41" ht="15.75" customHeight="1" x14ac:dyDescent="0.2">
      <c r="A33" s="617"/>
      <c r="B33" s="751" t="s">
        <v>1436</v>
      </c>
      <c r="C33" s="752"/>
      <c r="D33" s="752"/>
      <c r="E33" s="752"/>
      <c r="F33" s="451"/>
      <c r="G33" s="759"/>
      <c r="H33" s="760" t="s">
        <v>1008</v>
      </c>
      <c r="I33" s="761" t="s">
        <v>1009</v>
      </c>
      <c r="J33" s="762" t="s">
        <v>589</v>
      </c>
      <c r="K33" s="763" t="s">
        <v>588</v>
      </c>
      <c r="L33" s="764" t="s">
        <v>597</v>
      </c>
      <c r="M33" s="618"/>
      <c r="N33" s="618"/>
      <c r="O33" s="618"/>
      <c r="P33" s="618"/>
      <c r="Q33" s="618"/>
      <c r="R33" s="618"/>
      <c r="S33" s="620"/>
      <c r="AJ33" s="807">
        <f>SUMIFS(CampList[Total],CampList[Township],$AI33,CampList[Status],"open",CampList[Total],"&lt;=100",CampList[Affected Population],"IDP")</f>
        <v>0</v>
      </c>
      <c r="AK33" s="807">
        <f>SUMIFS(CampList[Total],CampList[Township],$AI33,CampList[Status],"open",CampList[Total],"&gt;100",CampList[Total],"&lt;=1000",CampList[Affected Population],"IDP")</f>
        <v>0</v>
      </c>
      <c r="AL33" s="807">
        <f>SUMIFS(CampList[Total],CampList[Township],$AI33,CampList[Status],"open",CampList[Total],"&gt;1000",CampList[Total],"&lt;=5000",CampList[Affected Population],"IDP")</f>
        <v>0</v>
      </c>
      <c r="AM33" s="807">
        <f>SUMIFS(CampList[Total],CampList[Township],$AI33,CampList[Status],"open",CampList[Total],"&gt;5000",CampList[Total],"&lt;=100000",CampList[Affected Population],"IDP")</f>
        <v>0</v>
      </c>
      <c r="AN33" s="663"/>
    </row>
    <row r="34" spans="1:41" ht="15" customHeight="1" x14ac:dyDescent="0.25">
      <c r="A34" s="617"/>
      <c r="B34" s="765" t="s">
        <v>779</v>
      </c>
      <c r="C34" s="754">
        <f>SUMIFS(CampList[HH],CampList[Township],$B34,CampList[Status],"open",CampList[Affected Population],"IDP",  CampList[State],"Shan_North")</f>
        <v>117</v>
      </c>
      <c r="D34" s="754">
        <f>SUMIFS(CampList[Total],CampList[Township],$B34,CampList[Status],"open",CampList[Affected Population],"IDP",  CampList[State],"Shan_North")</f>
        <v>679</v>
      </c>
      <c r="E34" s="755">
        <f>COUNTIFS(CampList[Township],$B34,CampList[Status],"open",CampList[Affected Population],"IDP",  CampList[State],"Shan_North")</f>
        <v>3</v>
      </c>
      <c r="F34" s="451"/>
      <c r="G34" s="766" t="s">
        <v>1003</v>
      </c>
      <c r="H34" s="767">
        <f>AJ67</f>
        <v>47</v>
      </c>
      <c r="I34" s="767">
        <f>AK67</f>
        <v>107</v>
      </c>
      <c r="J34" s="767">
        <f>AL67</f>
        <v>20</v>
      </c>
      <c r="K34" s="767">
        <f>AM67</f>
        <v>2</v>
      </c>
      <c r="L34" s="767">
        <f>AN67</f>
        <v>3</v>
      </c>
      <c r="M34" s="618"/>
      <c r="N34" s="618"/>
      <c r="O34" s="618"/>
      <c r="P34" s="618"/>
      <c r="Q34" s="618"/>
      <c r="R34" s="618"/>
      <c r="S34" s="620"/>
      <c r="AJ34" s="807">
        <f>SUMIFS(CampList[Total],CampList[Township],$AI34,CampList[Status],"open",CampList[Total],"&lt;=100",CampList[Affected Population],"IDP")</f>
        <v>0</v>
      </c>
      <c r="AK34" s="807">
        <f>SUMIFS(CampList[Total],CampList[Township],$AI34,CampList[Status],"open",CampList[Total],"&gt;100",CampList[Total],"&lt;=1000",CampList[Affected Population],"IDP")</f>
        <v>0</v>
      </c>
      <c r="AL34" s="807">
        <f>SUMIFS(CampList[Total],CampList[Township],$AI34,CampList[Status],"open",CampList[Total],"&gt;1000",CampList[Total],"&lt;=5000",CampList[Affected Population],"IDP")</f>
        <v>0</v>
      </c>
      <c r="AM34" s="807">
        <f>SUMIFS(CampList[Total],CampList[Township],$AI34,CampList[Status],"open",CampList[Total],"&gt;5000",CampList[Total],"&lt;=100000",CampList[Affected Population],"IDP")</f>
        <v>0</v>
      </c>
      <c r="AN34" s="663"/>
    </row>
    <row r="35" spans="1:41" ht="15" customHeight="1" x14ac:dyDescent="0.25">
      <c r="A35" s="617"/>
      <c r="B35" s="765" t="s">
        <v>146</v>
      </c>
      <c r="C35" s="754">
        <f>SUMIFS(CampList[HH],CampList[Township],$B35,CampList[Status],"open",CampList[Affected Population],"IDP",  CampList[State],"Shan_North")</f>
        <v>926</v>
      </c>
      <c r="D35" s="754">
        <f>SUMIFS(CampList[Total],CampList[Township],$B35,CampList[Status],"open",CampList[Affected Population],"IDP",  CampList[State],"Shan_North")</f>
        <v>4538</v>
      </c>
      <c r="E35" s="755">
        <f>COUNTIFS(CampList[Township],$B35,CampList[Status],"open",CampList[Affected Population],"IDP",  CampList[State],"Shan_North")</f>
        <v>13</v>
      </c>
      <c r="F35" s="451"/>
      <c r="G35" s="766" t="s">
        <v>442</v>
      </c>
      <c r="H35" s="767">
        <f>AJ41</f>
        <v>2454</v>
      </c>
      <c r="I35" s="767">
        <f>AK41</f>
        <v>39381</v>
      </c>
      <c r="J35" s="767">
        <f>AL41</f>
        <v>39280</v>
      </c>
      <c r="K35" s="767">
        <f>AM41</f>
        <v>15666</v>
      </c>
      <c r="L35" s="767">
        <f>AN41</f>
        <v>0</v>
      </c>
      <c r="M35" s="618"/>
      <c r="N35" s="618"/>
      <c r="O35" s="618"/>
      <c r="P35" s="618"/>
      <c r="Q35" s="618"/>
      <c r="R35" s="618"/>
      <c r="S35" s="620"/>
      <c r="AJ35" s="807">
        <f>SUMIFS(CampList[Total],CampList[Township],$AI35,CampList[Status],"open",CampList[Total],"&lt;=100",CampList[Affected Population],"IDP")</f>
        <v>0</v>
      </c>
      <c r="AK35" s="807">
        <f>SUMIFS(CampList[Total],CampList[Township],$AI35,CampList[Status],"open",CampList[Total],"&gt;100",CampList[Total],"&lt;=1000",CampList[Affected Population],"IDP")</f>
        <v>0</v>
      </c>
      <c r="AL35" s="807">
        <f>SUMIFS(CampList[Total],CampList[Township],$AI35,CampList[Status],"open",CampList[Total],"&gt;1000",CampList[Total],"&lt;=5000",CampList[Affected Population],"IDP")</f>
        <v>0</v>
      </c>
      <c r="AM35" s="807">
        <f>SUMIFS(CampList[Total],CampList[Township],$AI35,CampList[Status],"open",CampList[Total],"&gt;5000",CampList[Total],"&lt;=100000",CampList[Affected Population],"IDP")</f>
        <v>0</v>
      </c>
      <c r="AN35" s="663"/>
    </row>
    <row r="36" spans="1:41" ht="15" customHeight="1" x14ac:dyDescent="0.25">
      <c r="A36" s="617"/>
      <c r="B36" s="765" t="s">
        <v>166</v>
      </c>
      <c r="C36" s="754">
        <f>SUMIFS(CampList[HH],CampList[Township],$B36,CampList[Status],"open",CampList[Affected Population],"IDP",  CampList[State],"Shan_North")</f>
        <v>101</v>
      </c>
      <c r="D36" s="754">
        <f>SUMIFS(CampList[Total],CampList[Township],$B36,CampList[Status],"open",CampList[Affected Population],"IDP",  CampList[State],"Shan_North")</f>
        <v>545</v>
      </c>
      <c r="E36" s="755">
        <f>COUNTIFS(CampList[Township],$B36,CampList[Status],"open",CampList[Affected Population],"IDP",  CampList[State],"Shan_North")</f>
        <v>3</v>
      </c>
      <c r="F36" s="451"/>
      <c r="G36" s="451"/>
      <c r="H36" s="451"/>
      <c r="I36" s="451"/>
      <c r="J36" s="451"/>
      <c r="K36" s="451"/>
      <c r="L36" s="451"/>
      <c r="M36" s="618"/>
      <c r="N36" s="618"/>
      <c r="O36" s="618"/>
      <c r="P36" s="618"/>
      <c r="Q36" s="618"/>
      <c r="R36" s="618"/>
      <c r="S36" s="620"/>
      <c r="AJ36" s="807">
        <f>SUMIFS(CampList[Total],CampList[Township],$AI36,CampList[Status],"open",CampList[Total],"&lt;=100",CampList[Affected Population],"IDP")</f>
        <v>0</v>
      </c>
      <c r="AK36" s="807">
        <f>SUMIFS(CampList[Total],CampList[Township],$AI36,CampList[Status],"open",CampList[Total],"&gt;100",CampList[Total],"&lt;=1000",CampList[Affected Population],"IDP")</f>
        <v>0</v>
      </c>
      <c r="AL36" s="807">
        <f>SUMIFS(CampList[Total],CampList[Township],$AI36,CampList[Status],"open",CampList[Total],"&gt;1000",CampList[Total],"&lt;=5000",CampList[Affected Population],"IDP")</f>
        <v>0</v>
      </c>
      <c r="AM36" s="807">
        <f>SUMIFS(CampList[Total],CampList[Township],$AI36,CampList[Status],"open",CampList[Total],"&gt;5000",CampList[Total],"&lt;=100000",CampList[Affected Population],"IDP")</f>
        <v>0</v>
      </c>
      <c r="AN36" s="663"/>
    </row>
    <row r="37" spans="1:41" ht="15" customHeight="1" x14ac:dyDescent="0.25">
      <c r="A37" s="617"/>
      <c r="B37" s="753" t="s">
        <v>230</v>
      </c>
      <c r="C37" s="754">
        <f>SUMIFS(CampList[HH],CampList[Township],$B37,CampList[Status],"open",CampList[Affected Population],"IDP",  CampList[State],"Shan_North")</f>
        <v>108</v>
      </c>
      <c r="D37" s="754">
        <f>SUMIFS(CampList[Total],CampList[Township],$B37,CampList[Status],"open",CampList[Affected Population],"IDP",  CampList[State],"Shan_North")</f>
        <v>514</v>
      </c>
      <c r="E37" s="755">
        <f>COUNTIFS(CampList[Township],$B37,CampList[Status],"open",CampList[Affected Population],"IDP",  CampList[State],"Shan_North")</f>
        <v>3</v>
      </c>
      <c r="F37" s="451"/>
      <c r="G37" s="451"/>
      <c r="H37" s="451"/>
      <c r="I37" s="451"/>
      <c r="J37" s="451"/>
      <c r="K37" s="451"/>
      <c r="L37" s="451"/>
      <c r="M37" s="618"/>
      <c r="N37" s="618"/>
      <c r="O37" s="618"/>
      <c r="P37" s="618"/>
      <c r="Q37" s="618"/>
      <c r="R37" s="618"/>
      <c r="S37" s="620"/>
      <c r="AJ37" s="807">
        <f>SUMIFS(CampList[Total],CampList[Township],$AI37,CampList[Status],"open",CampList[Total],"&lt;=100",CampList[Affected Population],"IDP")</f>
        <v>0</v>
      </c>
      <c r="AK37" s="807">
        <f>SUMIFS(CampList[Total],CampList[Township],$AI37,CampList[Status],"open",CampList[Total],"&gt;100",CampList[Total],"&lt;=1000",CampList[Affected Population],"IDP")</f>
        <v>0</v>
      </c>
      <c r="AL37" s="807">
        <f>SUMIFS(CampList[Total],CampList[Township],$AI37,CampList[Status],"open",CampList[Total],"&gt;1000",CampList[Total],"&lt;=5000",CampList[Affected Population],"IDP")</f>
        <v>0</v>
      </c>
      <c r="AM37" s="807">
        <f>SUMIFS(CampList[Total],CampList[Township],$AI37,CampList[Status],"open",CampList[Total],"&gt;5000",CampList[Total],"&lt;=100000",CampList[Affected Population],"IDP")</f>
        <v>0</v>
      </c>
      <c r="AN37" s="663"/>
    </row>
    <row r="38" spans="1:41" ht="15" customHeight="1" x14ac:dyDescent="0.25">
      <c r="A38" s="617"/>
      <c r="B38" s="753" t="s">
        <v>289</v>
      </c>
      <c r="C38" s="754">
        <f>SUMIFS(CampList[HH],CampList[Township],$B38,CampList[Status],"open",CampList[Affected Population],"IDP",  CampList[State],"Shan_North")</f>
        <v>596</v>
      </c>
      <c r="D38" s="754">
        <f>SUMIFS(CampList[Total],CampList[Township],$B38,CampList[Status],"open",CampList[Affected Population],"IDP",  CampList[State],"Shan_North")</f>
        <v>2769</v>
      </c>
      <c r="E38" s="755">
        <f>COUNTIFS(CampList[Township],$B38,CampList[Status],"open",CampList[Affected Population],"IDP",  CampList[State],"Shan_North")</f>
        <v>7</v>
      </c>
      <c r="F38" s="451"/>
      <c r="G38" s="451"/>
      <c r="H38" s="451"/>
      <c r="I38" s="451"/>
      <c r="J38" s="451"/>
      <c r="K38" s="451"/>
      <c r="L38" s="618"/>
      <c r="M38" s="618"/>
      <c r="N38" s="618"/>
      <c r="O38" s="618"/>
      <c r="P38" s="618"/>
      <c r="Q38" s="618"/>
      <c r="R38" s="618"/>
      <c r="S38" s="620"/>
      <c r="AJ38" s="807">
        <f>SUMIFS(CampList[Total],CampList[Township],$AI38,CampList[Status],"open",CampList[Total],"&lt;=100",CampList[Affected Population],"IDP")</f>
        <v>0</v>
      </c>
      <c r="AK38" s="807">
        <f>SUMIFS(CampList[Total],CampList[Township],$AI38,CampList[Status],"open",CampList[Total],"&gt;100",CampList[Total],"&lt;=1000",CampList[Affected Population],"IDP")</f>
        <v>0</v>
      </c>
      <c r="AL38" s="807">
        <f>SUMIFS(CampList[Total],CampList[Township],$AI38,CampList[Status],"open",CampList[Total],"&gt;1000",CampList[Total],"&lt;=5000",CampList[Affected Population],"IDP")</f>
        <v>0</v>
      </c>
      <c r="AM38" s="807">
        <f>SUMIFS(CampList[Total],CampList[Township],$AI38,CampList[Status],"open",CampList[Total],"&gt;5000",CampList[Total],"&lt;=100000",CampList[Affected Population],"IDP")</f>
        <v>0</v>
      </c>
      <c r="AN38" s="663"/>
    </row>
    <row r="39" spans="1:41" ht="15" customHeight="1" x14ac:dyDescent="0.25">
      <c r="A39" s="617"/>
      <c r="B39" s="753" t="s">
        <v>1502</v>
      </c>
      <c r="C39" s="754">
        <f>SUMIFS(CampList[HH],CampList[Township],$B39,CampList[Status],"open",CampList[Affected Population],"IDP",  CampList[State],"Shan_North")</f>
        <v>37</v>
      </c>
      <c r="D39" s="754">
        <f>SUMIFS(CampList[Total],CampList[Township],$B39,CampList[Status],"open",CampList[Affected Population],"IDP",  CampList[State],"Shan_North")</f>
        <v>120</v>
      </c>
      <c r="E39" s="755">
        <f>COUNTIFS(CampList[Township],$B39,CampList[Status],"open",CampList[Affected Population],"IDP",  CampList[State],"Shan_North")</f>
        <v>1</v>
      </c>
      <c r="F39" s="451"/>
      <c r="G39" s="451"/>
      <c r="H39" s="451"/>
      <c r="I39" s="451"/>
      <c r="J39" s="451"/>
      <c r="K39" s="451"/>
      <c r="L39" s="618"/>
      <c r="M39" s="618"/>
      <c r="N39" s="618"/>
      <c r="O39" s="618"/>
      <c r="P39" s="618"/>
      <c r="Q39" s="618"/>
      <c r="R39" s="618"/>
      <c r="S39" s="620"/>
      <c r="AJ39" s="807"/>
      <c r="AK39" s="807"/>
      <c r="AL39" s="807"/>
      <c r="AM39" s="807"/>
      <c r="AN39" s="663"/>
    </row>
    <row r="40" spans="1:41" ht="15" customHeight="1" x14ac:dyDescent="0.2">
      <c r="A40" s="617"/>
      <c r="B40" s="753" t="s">
        <v>298</v>
      </c>
      <c r="C40" s="754">
        <f>SUMIFS(CampList[HH],CampList[Township],$B40,CampList[Status],"open",CampList[Affected Population],"IDP",  CampList[State],"Shan_North")</f>
        <v>501</v>
      </c>
      <c r="D40" s="754">
        <f>SUMIFS(CampList[Total],CampList[Township],$B40,CampList[Status],"open",CampList[Affected Population],"IDP",  CampList[State],"Shan_North")</f>
        <v>1978</v>
      </c>
      <c r="E40" s="755">
        <f>COUNTIFS(CampList[Township],$B40,CampList[Status],"open",CampList[Affected Population],"IDP",  CampList[State],"Shan_North")</f>
        <v>8</v>
      </c>
      <c r="F40" s="451"/>
      <c r="G40" s="768"/>
      <c r="H40" s="769" t="s">
        <v>1178</v>
      </c>
      <c r="I40" s="769" t="s">
        <v>1464</v>
      </c>
      <c r="J40" s="451"/>
      <c r="K40" s="451"/>
      <c r="L40" s="626"/>
      <c r="M40" s="451"/>
      <c r="N40" s="451"/>
      <c r="O40" s="451"/>
      <c r="P40" s="451"/>
      <c r="Q40" s="451"/>
      <c r="R40" s="451"/>
      <c r="S40" s="620"/>
      <c r="AI40" s="662" t="s">
        <v>310</v>
      </c>
      <c r="AJ40" s="807">
        <f>SUMIFS(CampList[Total],CampList[Township],$AI40,CampList[Status],"open",CampList[Total],"&lt;=100",CampList[Affected Population],"IDP")</f>
        <v>82</v>
      </c>
      <c r="AK40" s="807">
        <f>SUMIFS(CampList[Total],CampList[Township],$AI40,CampList[Status],"open",CampList[Total],"&gt;100",CampList[Total],"&lt;=1000",CampList[Affected Population],"IDP")</f>
        <v>6739</v>
      </c>
      <c r="AL40" s="807">
        <f>SUMIFS(CampList[Total],CampList[Township],$AI40,CampList[Status],"open",CampList[Total],"&gt;1000",CampList[Total],"&lt;=5000",CampList[Affected Population],"IDP")</f>
        <v>9145</v>
      </c>
      <c r="AM40" s="807">
        <f>SUMIFS(CampList[Total],CampList[Township],$AI40,CampList[Status],"open",CampList[Total],"&gt;5000",CampList[Total],"&lt;=100000",CampList[Affected Population],"IDP")</f>
        <v>15666</v>
      </c>
      <c r="AN40" s="664"/>
    </row>
    <row r="41" spans="1:41" ht="15" customHeight="1" x14ac:dyDescent="0.2">
      <c r="A41" s="617"/>
      <c r="B41" s="770" t="s">
        <v>1437</v>
      </c>
      <c r="C41" s="757">
        <f>SUM(C34:C40)</f>
        <v>2386</v>
      </c>
      <c r="D41" s="757">
        <f>SUM(D34:D40)</f>
        <v>11143</v>
      </c>
      <c r="E41" s="758">
        <f>SUM(E34:E40)</f>
        <v>38</v>
      </c>
      <c r="F41" s="451"/>
      <c r="G41" s="771" t="s">
        <v>1212</v>
      </c>
      <c r="H41" s="185">
        <f ca="1">SUMIFS(CampList[Total],CampList[Status],"open",CampList[Affected Population],"IDP",CampList[Distance_Cat],1)</f>
        <v>40326</v>
      </c>
      <c r="I41" s="185">
        <f ca="1">COUNTIFS(CampList[Status],"open",CampList[Affected Population],"IDP",CampList[Distance_Cat],1)</f>
        <v>103</v>
      </c>
      <c r="J41" s="451"/>
      <c r="K41" s="451"/>
      <c r="L41" s="626"/>
      <c r="M41" s="451"/>
      <c r="N41" s="451"/>
      <c r="O41" s="451"/>
      <c r="P41" s="451"/>
      <c r="Q41" s="451"/>
      <c r="R41" s="451"/>
      <c r="S41" s="620"/>
      <c r="AI41" s="662" t="s">
        <v>3</v>
      </c>
      <c r="AJ41" s="667">
        <f>SUM(AJ8:AJ40)</f>
        <v>2454</v>
      </c>
      <c r="AK41" s="667">
        <f>SUM(AK8:AK40)</f>
        <v>39381</v>
      </c>
      <c r="AL41" s="667">
        <f>SUM(AL8:AL40)</f>
        <v>39280</v>
      </c>
      <c r="AM41" s="667">
        <f>SUM(AM8:AM40)</f>
        <v>15666</v>
      </c>
      <c r="AN41" s="665"/>
      <c r="AO41" s="664"/>
    </row>
    <row r="42" spans="1:41" ht="15.75" customHeight="1" x14ac:dyDescent="0.2">
      <c r="A42" s="631"/>
      <c r="B42" s="749" t="s">
        <v>415</v>
      </c>
      <c r="C42" s="757">
        <f>C32+C41</f>
        <v>19473</v>
      </c>
      <c r="D42" s="757">
        <f>D32+D41</f>
        <v>96781</v>
      </c>
      <c r="E42" s="758">
        <f>E32+E41</f>
        <v>179</v>
      </c>
      <c r="F42" s="451"/>
      <c r="G42" s="771" t="s">
        <v>1213</v>
      </c>
      <c r="H42" s="185">
        <f ca="1">SUMIFS(CampList[Total],CampList[Status],"open",CampList[Affected Population],"IDP",CampList[Distance_Cat],2)</f>
        <v>23165</v>
      </c>
      <c r="I42" s="185">
        <f ca="1">COUNTIFS(CampList[Status],"open",CampList[Affected Population],"IDP",CampList[Distance_Cat],2)</f>
        <v>23</v>
      </c>
      <c r="J42" s="451"/>
      <c r="K42" s="618"/>
      <c r="L42" s="618"/>
      <c r="M42" s="618"/>
      <c r="N42" s="618"/>
      <c r="O42" s="618"/>
      <c r="P42" s="618"/>
      <c r="Q42" s="618"/>
      <c r="R42" s="618"/>
      <c r="S42" s="620"/>
      <c r="AO42" s="664"/>
    </row>
    <row r="43" spans="1:41" ht="17.45" customHeight="1" x14ac:dyDescent="0.2">
      <c r="A43" s="617"/>
      <c r="B43" s="451"/>
      <c r="C43" s="451"/>
      <c r="D43" s="451"/>
      <c r="E43" s="451"/>
      <c r="F43" s="451"/>
      <c r="G43" s="771" t="s">
        <v>1214</v>
      </c>
      <c r="H43" s="185">
        <f ca="1">SUMIFS(CampList[Total],CampList[Status],"open",CampList[Affected Population],"IDP",CampList[Distance_Cat],3)</f>
        <v>8835</v>
      </c>
      <c r="I43" s="185">
        <f ca="1">COUNTIFS(CampList[Status],"open",CampList[Affected Population],"IDP",CampList[Distance_Cat],3)</f>
        <v>13</v>
      </c>
      <c r="J43" s="451"/>
      <c r="K43" s="618"/>
      <c r="L43" s="618"/>
      <c r="M43" s="618"/>
      <c r="N43" s="618"/>
      <c r="O43" s="618"/>
      <c r="P43" s="618"/>
      <c r="Q43" s="618"/>
      <c r="R43" s="618"/>
      <c r="S43" s="620"/>
      <c r="AJ43" s="809" t="s">
        <v>443</v>
      </c>
      <c r="AK43" s="809"/>
      <c r="AL43" s="809"/>
      <c r="AN43" s="662" t="s">
        <v>597</v>
      </c>
      <c r="AO43" s="664">
        <f>SUM(AK43:AN43)</f>
        <v>0</v>
      </c>
    </row>
    <row r="44" spans="1:41" ht="10.5" customHeight="1" x14ac:dyDescent="0.2">
      <c r="A44" s="617"/>
      <c r="B44" s="632"/>
      <c r="C44" s="633"/>
      <c r="D44" s="633"/>
      <c r="E44" s="634"/>
      <c r="F44" s="451"/>
      <c r="G44" s="771" t="s">
        <v>1215</v>
      </c>
      <c r="H44" s="185">
        <f ca="1">SUMIFS(CampList[Total],CampList[Status],"open",CampList[Affected Population],"IDP",CampList[Distance_Cat],4)</f>
        <v>9250</v>
      </c>
      <c r="I44" s="185">
        <f ca="1">COUNTIFS(CampList[Status],"open",CampList[Affected Population],"IDP",CampList[Distance_Cat],4)</f>
        <v>11</v>
      </c>
      <c r="J44" s="451"/>
      <c r="K44" s="618"/>
      <c r="L44" s="618"/>
      <c r="M44" s="618"/>
      <c r="N44" s="618"/>
      <c r="O44" s="618"/>
      <c r="P44" s="618"/>
      <c r="Q44" s="618"/>
      <c r="R44" s="618"/>
      <c r="S44" s="620"/>
      <c r="AJ44" s="809"/>
      <c r="AK44" s="809"/>
      <c r="AL44" s="809"/>
      <c r="AO44" s="664"/>
    </row>
    <row r="45" spans="1:41" ht="15" customHeight="1" x14ac:dyDescent="0.2">
      <c r="A45" s="617"/>
      <c r="B45" s="772" t="s">
        <v>401</v>
      </c>
      <c r="C45" s="772" t="s">
        <v>511</v>
      </c>
      <c r="D45" s="772" t="s">
        <v>513</v>
      </c>
      <c r="E45" s="772" t="s">
        <v>3</v>
      </c>
      <c r="F45" s="635"/>
      <c r="G45" s="771" t="s">
        <v>1216</v>
      </c>
      <c r="H45" s="185">
        <f ca="1">SUMIFS(CampList[Total],CampList[Status],"open",CampList[Affected Population],"IDP",CampList[Distance_Cat],5)</f>
        <v>3710</v>
      </c>
      <c r="I45" s="185">
        <f ca="1">COUNTIFS(CampList[Status],"open",CampList[Affected Population],"IDP",CampList[Distance_Cat],5)</f>
        <v>7</v>
      </c>
      <c r="J45" s="451"/>
      <c r="K45" s="618"/>
      <c r="L45" s="618"/>
      <c r="M45" s="618"/>
      <c r="N45" s="618"/>
      <c r="O45" s="618"/>
      <c r="P45" s="618"/>
      <c r="Q45" s="618"/>
      <c r="R45" s="618"/>
      <c r="S45" s="620"/>
      <c r="AJ45" s="809"/>
      <c r="AK45" s="809"/>
      <c r="AL45" s="809"/>
      <c r="AO45" s="664"/>
    </row>
    <row r="46" spans="1:41" ht="18.75" customHeight="1" x14ac:dyDescent="0.2">
      <c r="A46" s="617"/>
      <c r="B46" s="773" t="s">
        <v>554</v>
      </c>
      <c r="C46" s="754">
        <f t="shared" ref="C46:D48" si="0">GETPIVOTDATA("Total",Stat01,"Accessibility",C$45,"Type of Accomodation",$B46)</f>
        <v>52239</v>
      </c>
      <c r="D46" s="754">
        <f t="shared" si="0"/>
        <v>36566</v>
      </c>
      <c r="E46" s="754">
        <f>SUM(C46:D46)</f>
        <v>88805</v>
      </c>
      <c r="F46" s="451"/>
      <c r="G46" s="771" t="s">
        <v>1217</v>
      </c>
      <c r="H46" s="185">
        <f ca="1">SUMIFS(CampList[Total],CampList[Status],"open",CampList[Affected Population],"IDP",CampList[Distance_Cat],6)</f>
        <v>2585</v>
      </c>
      <c r="I46" s="185">
        <f ca="1">COUNTIFS(CampList[Status],"open",CampList[Affected Population],"IDP",CampList[Distance_Cat],6)</f>
        <v>1</v>
      </c>
      <c r="J46" s="451"/>
      <c r="K46" s="618"/>
      <c r="L46" s="618"/>
      <c r="M46" s="618"/>
      <c r="N46" s="618"/>
      <c r="O46" s="618"/>
      <c r="P46" s="618"/>
      <c r="Q46" s="618"/>
      <c r="R46" s="618"/>
      <c r="S46" s="620"/>
      <c r="AI46" s="662" t="s">
        <v>0</v>
      </c>
      <c r="AJ46" s="662" t="s">
        <v>1008</v>
      </c>
      <c r="AK46" s="662" t="s">
        <v>1009</v>
      </c>
      <c r="AL46" s="662" t="s">
        <v>587</v>
      </c>
      <c r="AM46" s="662" t="s">
        <v>588</v>
      </c>
      <c r="AN46" s="662" t="s">
        <v>597</v>
      </c>
      <c r="AO46" s="664">
        <f>SUM(AJ46:AN46)</f>
        <v>0</v>
      </c>
    </row>
    <row r="47" spans="1:41" ht="23.25" customHeight="1" x14ac:dyDescent="0.2">
      <c r="A47" s="617"/>
      <c r="B47" s="773" t="s">
        <v>12</v>
      </c>
      <c r="C47" s="754">
        <f t="shared" si="0"/>
        <v>4610</v>
      </c>
      <c r="D47" s="754">
        <f t="shared" si="0"/>
        <v>2270</v>
      </c>
      <c r="E47" s="754">
        <f t="shared" ref="E47:E48" si="1">SUM(C47:D47)</f>
        <v>6880</v>
      </c>
      <c r="F47" s="451"/>
      <c r="G47" s="771" t="s">
        <v>1240</v>
      </c>
      <c r="H47" s="185">
        <f ca="1">SUMIFS(CampList[Total],CampList[Status],"open",CampList[Affected Population],"IDP",CampList[Distance_Cat],"&gt;6")</f>
        <v>2286</v>
      </c>
      <c r="I47" s="185">
        <f ca="1">COUNTIFS(CampList[Status],"open",CampList[Affected Population],"IDP",CampList[Distance_Cat],"&gt;6")</f>
        <v>2</v>
      </c>
      <c r="J47" s="451"/>
      <c r="K47" s="618"/>
      <c r="L47" s="618"/>
      <c r="M47" s="618"/>
      <c r="N47" s="618"/>
      <c r="O47" s="618"/>
      <c r="P47" s="618"/>
      <c r="Q47" s="618"/>
      <c r="R47" s="618"/>
      <c r="S47" s="620"/>
      <c r="AI47" s="662" t="s">
        <v>5</v>
      </c>
      <c r="AJ47" s="807">
        <f>COUNTIFS(CampList[Township],$AI47,CampList[Status],"open",CampList[Total],"&lt;=100",CampList[Affected Population],"IDP")</f>
        <v>4</v>
      </c>
      <c r="AK47" s="807">
        <f>COUNTIFS(CampList[Township],$AI47,CampList[Status],"open",CampList[Total],"&gt;100",CampList[Total],"&lt;=1000",CampList[Affected Population],"IDP")</f>
        <v>5</v>
      </c>
      <c r="AL47" s="807">
        <f>COUNTIFS(CampList[Township],$AI47,CampList[Status],"open",CampList[Total],"&gt;1000",CampList[Total],"&lt;=5000",CampList[Affected Population],"IDP")</f>
        <v>2</v>
      </c>
      <c r="AM47" s="807">
        <f>COUNTIFS(CampList[Township],$AI47,CampList[Status],"open",CampList[Total],"&gt;5000",CampList[Total],"&lt;=100000",CampList[Affected Population],"IDP")</f>
        <v>0</v>
      </c>
      <c r="AN47" s="662">
        <f>COUNTIFS(CampList[Township],$AI48,CampList[Status],"open",CampList[Total],"",CampList[Affected Population],"IDP")</f>
        <v>1</v>
      </c>
      <c r="AO47" s="666">
        <f>SUM(AJ47:AN47)</f>
        <v>12</v>
      </c>
    </row>
    <row r="48" spans="1:41" ht="17.25" customHeight="1" x14ac:dyDescent="0.2">
      <c r="A48" s="617"/>
      <c r="B48" s="773" t="s">
        <v>986</v>
      </c>
      <c r="C48" s="754">
        <f t="shared" si="0"/>
        <v>49</v>
      </c>
      <c r="D48" s="754">
        <f t="shared" si="0"/>
        <v>1047</v>
      </c>
      <c r="E48" s="754">
        <f t="shared" si="1"/>
        <v>1096</v>
      </c>
      <c r="F48" s="451"/>
      <c r="G48" s="774" t="s">
        <v>1360</v>
      </c>
      <c r="H48" s="185">
        <f ca="1">SUMIFS(CampList[Total],CampList[Status],"open",CampList[Affected Population],"IDP",CampList[Distance_Cat],"")</f>
        <v>6624</v>
      </c>
      <c r="I48" s="185">
        <f ca="1">COUNTIFS(CampList[Status],"open",CampList[Affected Population],"IDP",CampList[Distance_Cat],"")</f>
        <v>19</v>
      </c>
      <c r="J48" s="451"/>
      <c r="K48" s="618"/>
      <c r="L48" s="618"/>
      <c r="M48" s="618"/>
      <c r="N48" s="618"/>
      <c r="O48" s="618"/>
      <c r="P48" s="618"/>
      <c r="Q48" s="618"/>
      <c r="R48" s="618"/>
      <c r="S48" s="620"/>
      <c r="AI48" s="662" t="s">
        <v>27</v>
      </c>
      <c r="AJ48" s="807">
        <f>COUNTIFS(CampList[Township],$AI48,CampList[Status],"open",CampList[Total],"&lt;=100",CampList[Affected Population],"IDP")</f>
        <v>0</v>
      </c>
      <c r="AK48" s="807">
        <f>COUNTIFS(CampList[Township],$AI48,CampList[Status],"open",CampList[Total],"&gt;100",CampList[Total],"&lt;=1000",CampList[Affected Population],"IDP")</f>
        <v>5</v>
      </c>
      <c r="AL48" s="807">
        <f>COUNTIFS(CampList[Township],$AI48,CampList[Status],"open",CampList[Total],"&gt;1000",CampList[Total],"&lt;=5000",CampList[Affected Population],"IDP")</f>
        <v>0</v>
      </c>
      <c r="AM48" s="807">
        <f>COUNTIFS(CampList[Township],$AI48,CampList[Status],"open",CampList[Total],"&gt;5000",CampList[Total],"&lt;=100000",CampList[Affected Population],"IDP")</f>
        <v>0</v>
      </c>
      <c r="AN48" s="662">
        <f>COUNTIFS(CampList[Township],$AI49,CampList[Status],"open",CampList[Total],"",CampList[Affected Population],"IDP")</f>
        <v>0</v>
      </c>
      <c r="AO48" s="666">
        <f t="shared" ref="AO48:AO67" si="2">SUM(AJ48:AN48)</f>
        <v>5</v>
      </c>
    </row>
    <row r="49" spans="1:41" ht="21.75" customHeight="1" x14ac:dyDescent="0.2">
      <c r="A49" s="617"/>
      <c r="B49" s="775" t="s">
        <v>3</v>
      </c>
      <c r="C49" s="757">
        <f>SUM(C46:C48)</f>
        <v>56898</v>
      </c>
      <c r="D49" s="757">
        <f>SUM(D46:D48)</f>
        <v>39883</v>
      </c>
      <c r="E49" s="757">
        <f>SUM(E46:E48)</f>
        <v>96781</v>
      </c>
      <c r="F49" s="451"/>
      <c r="G49" s="776" t="s">
        <v>3</v>
      </c>
      <c r="H49" s="777">
        <f ca="1">SUM(H41:H48)</f>
        <v>96781</v>
      </c>
      <c r="I49" s="777">
        <f ca="1">SUM(I41:I48)</f>
        <v>179</v>
      </c>
      <c r="J49" s="451"/>
      <c r="K49" s="618"/>
      <c r="L49" s="618"/>
      <c r="M49" s="618"/>
      <c r="N49" s="618"/>
      <c r="O49" s="618"/>
      <c r="P49" s="618"/>
      <c r="Q49" s="618"/>
      <c r="R49" s="618"/>
      <c r="S49" s="620"/>
      <c r="AI49" s="662" t="s">
        <v>527</v>
      </c>
      <c r="AJ49" s="807">
        <f>COUNTIFS(CampList[Township],$AI49,CampList[Status],"open",CampList[Total],"&lt;=100",CampList[Affected Population],"IDP")</f>
        <v>16</v>
      </c>
      <c r="AK49" s="807">
        <f>COUNTIFS(CampList[Township],$AI49,CampList[Status],"open",CampList[Total],"&gt;100",CampList[Total],"&lt;=1000",CampList[Affected Population],"IDP")</f>
        <v>10</v>
      </c>
      <c r="AL49" s="807">
        <f>COUNTIFS(CampList[Township],$AI49,CampList[Status],"open",CampList[Total],"&gt;1000",CampList[Total],"&lt;=5000",CampList[Affected Population],"IDP")</f>
        <v>0</v>
      </c>
      <c r="AM49" s="807">
        <f>COUNTIFS(CampList[Township],$AI49,CampList[Status],"open",CampList[Total],"&gt;5000",CampList[Total],"&lt;=100000",CampList[Affected Population],"IDP")</f>
        <v>0</v>
      </c>
      <c r="AN49" s="662">
        <f>COUNTIFS(CampList[Township],#REF!,CampList[Status],"open",CampList[Total],"",CampList[Affected Population],"IDP")</f>
        <v>0</v>
      </c>
      <c r="AO49" s="666">
        <f t="shared" si="2"/>
        <v>26</v>
      </c>
    </row>
    <row r="50" spans="1:41" ht="3.75" customHeight="1" x14ac:dyDescent="0.25">
      <c r="A50" s="617"/>
      <c r="B50" s="451"/>
      <c r="C50" s="451"/>
      <c r="D50" s="451"/>
      <c r="E50" s="451"/>
      <c r="F50" s="618"/>
      <c r="G50" s="618"/>
      <c r="H50" s="618"/>
      <c r="I50" s="618"/>
      <c r="J50" s="618"/>
      <c r="K50" s="618"/>
      <c r="L50" s="618"/>
      <c r="M50" s="618"/>
      <c r="N50" s="618"/>
      <c r="O50" s="618"/>
      <c r="P50" s="618"/>
      <c r="Q50" s="618"/>
      <c r="R50" s="618"/>
      <c r="S50" s="620"/>
      <c r="AI50" s="662" t="s">
        <v>144</v>
      </c>
      <c r="AJ50" s="807">
        <f>COUNTIFS(CampList[Township],$AI50,CampList[Status],"open",CampList[Total],"&lt;=100",CampList[Affected Population],"IDP")</f>
        <v>0</v>
      </c>
      <c r="AK50" s="807">
        <f>COUNTIFS(CampList[Township],$AI50,CampList[Status],"open",CampList[Total],"&gt;100",CampList[Total],"&lt;=1000",CampList[Affected Population],"IDP")</f>
        <v>0</v>
      </c>
      <c r="AL50" s="807">
        <f>COUNTIFS(CampList[Township],$AI50,CampList[Status],"open",CampList[Total],"&gt;1000",CampList[Total],"&lt;=5000",CampList[Affected Population],"IDP")</f>
        <v>0</v>
      </c>
      <c r="AM50" s="807">
        <f>COUNTIFS(CampList[Township],$AI50,CampList[Status],"open",CampList[Total],"&gt;5000",CampList[Total],"&lt;=100000",CampList[Affected Population],"IDP")</f>
        <v>0</v>
      </c>
      <c r="AN50" s="662">
        <f>COUNTIFS(CampList[Township],$AI51,CampList[Status],"open",CampList[Total],"",CampList[Affected Population],"IDP")</f>
        <v>0</v>
      </c>
      <c r="AO50" s="666">
        <f t="shared" si="2"/>
        <v>0</v>
      </c>
    </row>
    <row r="51" spans="1:41" ht="27.75" customHeight="1" x14ac:dyDescent="0.25">
      <c r="A51" s="617"/>
      <c r="B51" s="451"/>
      <c r="C51" s="451"/>
      <c r="D51" s="451"/>
      <c r="E51" s="451"/>
      <c r="F51" s="618"/>
      <c r="G51" s="618"/>
      <c r="H51" s="618"/>
      <c r="I51" s="618"/>
      <c r="J51" s="618"/>
      <c r="K51" s="618"/>
      <c r="L51" s="618"/>
      <c r="M51" s="618"/>
      <c r="N51" s="618"/>
      <c r="O51" s="618"/>
      <c r="P51" s="618"/>
      <c r="Q51" s="618"/>
      <c r="R51" s="618"/>
      <c r="S51" s="620"/>
      <c r="AI51" s="662" t="s">
        <v>146</v>
      </c>
      <c r="AJ51" s="807">
        <f>COUNTIFS(CampList[Township],$AI51,CampList[Status],"open",CampList[Total],"&lt;=100",CampList[Affected Population],"IDP")</f>
        <v>0</v>
      </c>
      <c r="AK51" s="807">
        <f>COUNTIFS(CampList[Township],$AI51,CampList[Status],"open",CampList[Total],"&gt;100",CampList[Total],"&lt;=1000",CampList[Affected Population],"IDP")</f>
        <v>13</v>
      </c>
      <c r="AL51" s="807">
        <f>COUNTIFS(CampList[Township],$AI51,CampList[Status],"open",CampList[Total],"&gt;1000",CampList[Total],"&lt;=5000",CampList[Affected Population],"IDP")</f>
        <v>0</v>
      </c>
      <c r="AM51" s="807">
        <f>COUNTIFS(CampList[Township],$AI51,CampList[Status],"open",CampList[Total],"&gt;5000",CampList[Total],"&lt;=100000",CampList[Affected Population],"IDP")</f>
        <v>0</v>
      </c>
      <c r="AN51" s="662">
        <f>COUNTIFS(CampList[Township],#REF!,CampList[Status],"open",CampList[Total],"",CampList[Affected Population],"IDP")</f>
        <v>0</v>
      </c>
      <c r="AO51" s="666">
        <f t="shared" si="2"/>
        <v>13</v>
      </c>
    </row>
    <row r="52" spans="1:41" ht="1.5" customHeight="1" thickBot="1" x14ac:dyDescent="0.3">
      <c r="A52" s="627"/>
      <c r="B52" s="628"/>
      <c r="C52" s="628"/>
      <c r="D52" s="628"/>
      <c r="E52" s="628"/>
      <c r="F52" s="628"/>
      <c r="G52" s="628"/>
      <c r="H52" s="628"/>
      <c r="I52" s="628"/>
      <c r="J52" s="628"/>
      <c r="K52" s="628"/>
      <c r="L52" s="628"/>
      <c r="M52" s="628"/>
      <c r="N52" s="628"/>
      <c r="O52" s="628"/>
      <c r="P52" s="628"/>
      <c r="Q52" s="629"/>
      <c r="R52" s="629"/>
      <c r="S52" s="630"/>
      <c r="AI52" s="662" t="s">
        <v>151</v>
      </c>
      <c r="AJ52" s="807">
        <f>COUNTIFS(CampList[Township],$AI52,CampList[Status],"open",CampList[Total],"&lt;=100",CampList[Affected Population],"IDP")</f>
        <v>0</v>
      </c>
      <c r="AK52" s="807">
        <f>COUNTIFS(CampList[Township],$AI52,CampList[Status],"open",CampList[Total],"&gt;100",CampList[Total],"&lt;=1000",CampList[Affected Population],"IDP")</f>
        <v>7</v>
      </c>
      <c r="AL52" s="807">
        <f>COUNTIFS(CampList[Township],$AI52,CampList[Status],"open",CampList[Total],"&gt;1000",CampList[Total],"&lt;=5000",CampList[Affected Population],"IDP")</f>
        <v>4</v>
      </c>
      <c r="AM52" s="807">
        <f>COUNTIFS(CampList[Township],$AI52,CampList[Status],"open",CampList[Total],"&gt;5000",CampList[Total],"&lt;=100000",CampList[Affected Population],"IDP")</f>
        <v>0</v>
      </c>
      <c r="AN52" s="662">
        <f>COUNTIFS(CampList[Township],$AI54,CampList[Status],"open",CampList[Total],"",CampList[Affected Population],"IDP")</f>
        <v>0</v>
      </c>
      <c r="AO52" s="666">
        <f t="shared" si="2"/>
        <v>11</v>
      </c>
    </row>
    <row r="53" spans="1:41" ht="18.600000000000001" customHeight="1" x14ac:dyDescent="0.25">
      <c r="A53" s="626"/>
      <c r="B53" s="626"/>
      <c r="C53" s="626"/>
      <c r="D53" s="626"/>
      <c r="E53" s="626"/>
      <c r="F53" s="626"/>
      <c r="G53" s="626"/>
      <c r="H53" s="626"/>
      <c r="I53" s="626"/>
      <c r="J53" s="626"/>
      <c r="K53" s="626"/>
      <c r="L53" s="626"/>
      <c r="M53" s="626"/>
      <c r="N53" s="626"/>
      <c r="O53" s="626"/>
      <c r="P53" s="626"/>
      <c r="Q53" s="618"/>
      <c r="R53" s="618"/>
      <c r="S53" s="626"/>
      <c r="AI53" s="662" t="s">
        <v>363</v>
      </c>
      <c r="AJ53" s="807">
        <f>COUNTIFS(CampList[Township],$AI53,CampList[Status],"open",CampList[Total],"&lt;=100",CampList[Affected Population],"IDP")</f>
        <v>0</v>
      </c>
      <c r="AK53" s="807">
        <f>COUNTIFS(CampList[Township],$AI53,CampList[Status],"open",CampList[Total],"&gt;100",CampList[Total],"&lt;=1000",CampList[Affected Population],"IDP")</f>
        <v>0</v>
      </c>
      <c r="AL53" s="807">
        <f>COUNTIFS(CampList[Township],$AI53,CampList[Status],"open",CampList[Total],"&gt;1000",CampList[Total],"&lt;=5000",CampList[Affected Population],"IDP")</f>
        <v>0</v>
      </c>
      <c r="AM53" s="807">
        <f>COUNTIFS(CampList[Township],$AI53,CampList[Status],"open",CampList[Total],"&gt;5000",CampList[Total],"&lt;=100000",CampList[Affected Population],"IDP")</f>
        <v>0</v>
      </c>
      <c r="AN53" s="662">
        <f>COUNTIFS(CampList[Township],$AI55,CampList[Status],"open",CampList[Total],"",CampList[Affected Population],"IDP")</f>
        <v>0</v>
      </c>
      <c r="AO53" s="666">
        <f t="shared" si="2"/>
        <v>0</v>
      </c>
    </row>
    <row r="54" spans="1:41" x14ac:dyDescent="0.25">
      <c r="AI54" s="662" t="s">
        <v>166</v>
      </c>
      <c r="AJ54" s="807">
        <f>COUNTIFS(CampList[Township],$AI54,CampList[Status],"open",CampList[Total],"&lt;=100",CampList[Affected Population],"IDP")</f>
        <v>0</v>
      </c>
      <c r="AK54" s="807">
        <f>COUNTIFS(CampList[Township],$AI54,CampList[Status],"open",CampList[Total],"&gt;100",CampList[Total],"&lt;=1000",CampList[Affected Population],"IDP")</f>
        <v>3</v>
      </c>
      <c r="AL54" s="807">
        <f>COUNTIFS(CampList[Township],$AI54,CampList[Status],"open",CampList[Total],"&gt;1000",CampList[Total],"&lt;=5000",CampList[Affected Population],"IDP")</f>
        <v>0</v>
      </c>
      <c r="AM54" s="807">
        <f>COUNTIFS(CampList[Township],$AI54,CampList[Status],"open",CampList[Total],"&gt;5000",CampList[Total],"&lt;=100000",CampList[Affected Population],"IDP")</f>
        <v>0</v>
      </c>
      <c r="AN54" s="662">
        <f>COUNTIFS(CampList[Township],$AI55,CampList[Status],"open",CampList[Total],"",CampList[Affected Population],"IDP")</f>
        <v>0</v>
      </c>
      <c r="AO54" s="666">
        <f t="shared" si="2"/>
        <v>3</v>
      </c>
    </row>
    <row r="55" spans="1:41" x14ac:dyDescent="0.25">
      <c r="AI55" s="662" t="s">
        <v>173</v>
      </c>
      <c r="AJ55" s="807">
        <f>COUNTIFS(CampList[Township],$AI55,CampList[Status],"open",CampList[Total],"&lt;=100",CampList[Affected Population],"IDP")</f>
        <v>5</v>
      </c>
      <c r="AK55" s="807">
        <f>COUNTIFS(CampList[Township],$AI55,CampList[Status],"open",CampList[Total],"&gt;100",CampList[Total],"&lt;=1000",CampList[Affected Population],"IDP")</f>
        <v>1</v>
      </c>
      <c r="AL55" s="807">
        <f>COUNTIFS(CampList[Township],$AI55,CampList[Status],"open",CampList[Total],"&gt;1000",CampList[Total],"&lt;=5000",CampList[Affected Population],"IDP")</f>
        <v>0</v>
      </c>
      <c r="AM55" s="807">
        <f>COUNTIFS(CampList[Township],$AI55,CampList[Status],"open",CampList[Total],"&gt;5000",CampList[Total],"&lt;=100000",CampList[Affected Population],"IDP")</f>
        <v>0</v>
      </c>
      <c r="AN55" s="662">
        <f>COUNTIFS(CampList[Township],$AI57,CampList[Status],"open",CampList[Total],"",CampList[Affected Population],"IDP")</f>
        <v>0</v>
      </c>
      <c r="AO55" s="666">
        <f t="shared" si="2"/>
        <v>6</v>
      </c>
    </row>
    <row r="56" spans="1:41" x14ac:dyDescent="0.25">
      <c r="AI56" s="662" t="s">
        <v>779</v>
      </c>
      <c r="AJ56" s="807">
        <f>COUNTIFS(CampList[Township],$AI56,CampList[Status],"open",CampList[Total],"&lt;=100",CampList[Affected Population],"IDP")</f>
        <v>1</v>
      </c>
      <c r="AK56" s="807">
        <f>COUNTIFS(CampList[Township],$AI56,CampList[Status],"open",CampList[Total],"&gt;100",CampList[Total],"&lt;=1000",CampList[Affected Population],"IDP")</f>
        <v>2</v>
      </c>
      <c r="AL56" s="807">
        <f>COUNTIFS(CampList[Township],$AI56,CampList[Status],"open",CampList[Total],"&gt;1000",CampList[Total],"&lt;=5000",CampList[Affected Population],"IDP")</f>
        <v>0</v>
      </c>
      <c r="AM56" s="807">
        <f>COUNTIFS(CampList[Township],$AI56,CampList[Status],"open",CampList[Total],"&gt;5000",CampList[Total],"&lt;=100000",CampList[Affected Population],"IDP")</f>
        <v>0</v>
      </c>
      <c r="AN56" s="662">
        <f>COUNTIFS(CampList[Township],$AI58,CampList[Status],"open",CampList[Total],"",CampList[Affected Population],"IDP")</f>
        <v>1</v>
      </c>
      <c r="AO56" s="666">
        <f t="shared" si="2"/>
        <v>4</v>
      </c>
    </row>
    <row r="57" spans="1:41" x14ac:dyDescent="0.25">
      <c r="E57" s="641"/>
      <c r="AI57" s="662" t="s">
        <v>180</v>
      </c>
      <c r="AJ57" s="807">
        <f>COUNTIFS(CampList[Township],$AI57,CampList[Status],"open",CampList[Total],"&lt;=100",CampList[Affected Population],"IDP")</f>
        <v>2</v>
      </c>
      <c r="AK57" s="807">
        <f>COUNTIFS(CampList[Township],$AI57,CampList[Status],"open",CampList[Total],"&gt;100",CampList[Total],"&lt;=1000",CampList[Affected Population],"IDP")</f>
        <v>2</v>
      </c>
      <c r="AL57" s="807">
        <f>COUNTIFS(CampList[Township],$AI57,CampList[Status],"open",CampList[Total],"&gt;1000",CampList[Total],"&lt;=5000",CampList[Affected Population],"IDP")</f>
        <v>0</v>
      </c>
      <c r="AM57" s="807">
        <f>COUNTIFS(CampList[Township],$AI57,CampList[Status],"open",CampList[Total],"&gt;5000",CampList[Total],"&lt;=100000",CampList[Affected Population],"IDP")</f>
        <v>0</v>
      </c>
      <c r="AN57" s="662">
        <f>COUNTIFS(CampList[Township],$AI58,CampList[Status],"open",CampList[Total],"",CampList[Affected Population],"IDP")</f>
        <v>1</v>
      </c>
      <c r="AO57" s="666">
        <f t="shared" si="2"/>
        <v>5</v>
      </c>
    </row>
    <row r="58" spans="1:41" x14ac:dyDescent="0.25">
      <c r="AI58" s="662" t="s">
        <v>185</v>
      </c>
      <c r="AJ58" s="807">
        <f>COUNTIFS(CampList[Township],$AI58,CampList[Status],"open",CampList[Total],"&lt;=100",CampList[Affected Population],"IDP")</f>
        <v>4</v>
      </c>
      <c r="AK58" s="807">
        <f>COUNTIFS(CampList[Township],$AI58,CampList[Status],"open",CampList[Total],"&gt;100",CampList[Total],"&lt;=1000",CampList[Affected Population],"IDP")</f>
        <v>8</v>
      </c>
      <c r="AL58" s="807">
        <f>COUNTIFS(CampList[Township],$AI58,CampList[Status],"open",CampList[Total],"&gt;1000",CampList[Total],"&lt;=5000",CampList[Affected Population],"IDP")</f>
        <v>7</v>
      </c>
      <c r="AM58" s="807">
        <f>COUNTIFS(CampList[Township],$AI58,CampList[Status],"open",CampList[Total],"&gt;5000",CampList[Total],"&lt;=100000",CampList[Affected Population],"IDP")</f>
        <v>0</v>
      </c>
      <c r="AN58" s="662">
        <f>COUNTIFS(CampList[Township],$AI59,CampList[Status],"open",CampList[Total],"",CampList[Affected Population],"IDP")</f>
        <v>0</v>
      </c>
      <c r="AO58" s="666">
        <f t="shared" si="2"/>
        <v>19</v>
      </c>
    </row>
    <row r="59" spans="1:41" x14ac:dyDescent="0.25">
      <c r="AI59" s="662" t="s">
        <v>230</v>
      </c>
      <c r="AJ59" s="807">
        <f>COUNTIFS(CampList[Township],$AI59,CampList[Status],"open",CampList[Total],"&lt;=100",CampList[Affected Population],"IDP")</f>
        <v>0</v>
      </c>
      <c r="AK59" s="807">
        <f>COUNTIFS(CampList[Township],$AI59,CampList[Status],"open",CampList[Total],"&gt;100",CampList[Total],"&lt;=1000",CampList[Affected Population],"IDP")</f>
        <v>3</v>
      </c>
      <c r="AL59" s="807">
        <f>COUNTIFS(CampList[Township],$AI59,CampList[Status],"open",CampList[Total],"&gt;1000",CampList[Total],"&lt;=5000",CampList[Affected Population],"IDP")</f>
        <v>0</v>
      </c>
      <c r="AM59" s="807">
        <f>COUNTIFS(CampList[Township],$AI59,CampList[Status],"open",CampList[Total],"&gt;5000",CampList[Total],"&lt;=100000",CampList[Affected Population],"IDP")</f>
        <v>0</v>
      </c>
      <c r="AN59" s="662">
        <f>COUNTIFS(CampList[Township],$AI60,CampList[Status],"open",CampList[Total],"",CampList[Affected Population],"IDP")</f>
        <v>0</v>
      </c>
      <c r="AO59" s="666">
        <f t="shared" si="2"/>
        <v>3</v>
      </c>
    </row>
    <row r="60" spans="1:41" x14ac:dyDescent="0.25">
      <c r="AI60" s="662" t="s">
        <v>237</v>
      </c>
      <c r="AJ60" s="807">
        <f>COUNTIFS(CampList[Township],$AI60,CampList[Status],"open",CampList[Total],"&lt;=100",CampList[Affected Population],"IDP")</f>
        <v>6</v>
      </c>
      <c r="AK60" s="807">
        <f>COUNTIFS(CampList[Township],$AI60,CampList[Status],"open",CampList[Total],"&gt;100",CampList[Total],"&lt;=1000",CampList[Affected Population],"IDP")</f>
        <v>17</v>
      </c>
      <c r="AL60" s="807">
        <f>COUNTIFS(CampList[Township],$AI60,CampList[Status],"open",CampList[Total],"&gt;1000",CampList[Total],"&lt;=5000",CampList[Affected Population],"IDP")</f>
        <v>1</v>
      </c>
      <c r="AM60" s="807">
        <f>COUNTIFS(CampList[Township],$AI60,CampList[Status],"open",CampList[Total],"&gt;5000",CampList[Total],"&lt;=100000",CampList[Affected Population],"IDP")</f>
        <v>0</v>
      </c>
      <c r="AN60" s="662">
        <f>COUNTIFS(CampList[Township],$AI61,CampList[Status],"open",CampList[Total],"",CampList[Affected Population],"IDP")</f>
        <v>0</v>
      </c>
      <c r="AO60" s="666">
        <f t="shared" si="2"/>
        <v>24</v>
      </c>
    </row>
    <row r="61" spans="1:41" x14ac:dyDescent="0.25">
      <c r="AI61" s="662" t="s">
        <v>289</v>
      </c>
      <c r="AJ61" s="807">
        <f>COUNTIFS(CampList[Township],$AI61,CampList[Status],"open",CampList[Total],"&lt;=100",CampList[Affected Population],"IDP")</f>
        <v>0</v>
      </c>
      <c r="AK61" s="807">
        <f>COUNTIFS(CampList[Township],$AI61,CampList[Status],"open",CampList[Total],"&gt;100",CampList[Total],"&lt;=1000",CampList[Affected Population],"IDP")</f>
        <v>7</v>
      </c>
      <c r="AL61" s="807">
        <f>COUNTIFS(CampList[Township],$AI61,CampList[Status],"open",CampList[Total],"&gt;1000",CampList[Total],"&lt;=5000",CampList[Affected Population],"IDP")</f>
        <v>0</v>
      </c>
      <c r="AM61" s="807">
        <f>COUNTIFS(CampList[Township],$AI61,CampList[Status],"open",CampList[Total],"&gt;5000",CampList[Total],"&lt;=100000",CampList[Affected Population],"IDP")</f>
        <v>0</v>
      </c>
      <c r="AN61" s="662">
        <f>COUNTIFS(CampList[Township],$AI62,CampList[Status],"open",CampList[Total],"",CampList[Affected Population],"IDP")</f>
        <v>0</v>
      </c>
      <c r="AO61" s="666">
        <f t="shared" si="2"/>
        <v>7</v>
      </c>
    </row>
    <row r="62" spans="1:41" x14ac:dyDescent="0.25">
      <c r="AI62" s="662" t="s">
        <v>298</v>
      </c>
      <c r="AJ62" s="807">
        <f>COUNTIFS(CampList[Township],$AI62,CampList[Status],"open",CampList[Total],"&lt;=100",CampList[Affected Population],"IDP")</f>
        <v>4</v>
      </c>
      <c r="AK62" s="807">
        <f>COUNTIFS(CampList[Township],$AI62,CampList[Status],"open",CampList[Total],"&gt;100",CampList[Total],"&lt;=1000",CampList[Affected Population],"IDP")</f>
        <v>4</v>
      </c>
      <c r="AL62" s="807">
        <f>COUNTIFS(CampList[Township],$AI62,CampList[Status],"open",CampList[Total],"&gt;1000",CampList[Total],"&lt;=5000",CampList[Affected Population],"IDP")</f>
        <v>0</v>
      </c>
      <c r="AM62" s="807">
        <f>COUNTIFS(CampList[Township],$AI62,CampList[Status],"open",CampList[Total],"&gt;5000",CampList[Total],"&lt;=100000",CampList[Affected Population],"IDP")</f>
        <v>0</v>
      </c>
      <c r="AN62" s="662">
        <f>COUNTIFS(CampList[Township],$AI63,CampList[Status],"open",CampList[Total],"",CampList[Affected Population],"IDP")</f>
        <v>0</v>
      </c>
      <c r="AO62" s="666">
        <f t="shared" si="2"/>
        <v>8</v>
      </c>
    </row>
    <row r="63" spans="1:41" x14ac:dyDescent="0.25">
      <c r="AI63" s="662" t="s">
        <v>300</v>
      </c>
      <c r="AJ63" s="807">
        <f>COUNTIFS(CampList[Township],$AI63,CampList[Status],"open",CampList[Total],"&lt;=100",CampList[Affected Population],"IDP")</f>
        <v>2</v>
      </c>
      <c r="AK63" s="807">
        <f>COUNTIFS(CampList[Township],$AI63,CampList[Status],"open",CampList[Total],"&gt;100",CampList[Total],"&lt;=1000",CampList[Affected Population],"IDP")</f>
        <v>1</v>
      </c>
      <c r="AL63" s="807">
        <f>COUNTIFS(CampList[Township],$AI63,CampList[Status],"open",CampList[Total],"&gt;1000",CampList[Total],"&lt;=5000",CampList[Affected Population],"IDP")</f>
        <v>0</v>
      </c>
      <c r="AM63" s="807">
        <f>COUNTIFS(CampList[Township],$AI63,CampList[Status],"open",CampList[Total],"&gt;5000",CampList[Total],"&lt;=100000",CampList[Affected Population],"IDP")</f>
        <v>0</v>
      </c>
      <c r="AN63" s="662">
        <f>COUNTIFS(CampList[Township],$AI64,CampList[Status],"open",CampList[Total],"",CampList[Affected Population],"IDP")</f>
        <v>0</v>
      </c>
      <c r="AO63" s="666">
        <f t="shared" si="2"/>
        <v>3</v>
      </c>
    </row>
    <row r="64" spans="1:41" x14ac:dyDescent="0.25">
      <c r="AI64" s="662" t="s">
        <v>302</v>
      </c>
      <c r="AJ64" s="807">
        <f>COUNTIFS(CampList[Township],$AI64,CampList[Status],"open",CampList[Total],"&lt;=100",CampList[Affected Population],"IDP")</f>
        <v>1</v>
      </c>
      <c r="AK64" s="807">
        <f>COUNTIFS(CampList[Township],$AI64,CampList[Status],"open",CampList[Total],"&gt;100",CampList[Total],"&lt;=1000",CampList[Affected Population],"IDP")</f>
        <v>2</v>
      </c>
      <c r="AL64" s="807">
        <f>COUNTIFS(CampList[Township],$AI64,CampList[Status],"open",CampList[Total],"&gt;1000",CampList[Total],"&lt;=5000",CampList[Affected Population],"IDP")</f>
        <v>1</v>
      </c>
      <c r="AM64" s="807">
        <f>COUNTIFS(CampList[Township],$AI64,CampList[Status],"open",CampList[Total],"&gt;5000",CampList[Total],"&lt;=100000",CampList[Affected Population],"IDP")</f>
        <v>0</v>
      </c>
      <c r="AN64" s="662">
        <f>COUNTIFS(CampList[Township],$AI65,CampList[Status],"open",CampList[Total],"",CampList[Affected Population],"IDP")</f>
        <v>0</v>
      </c>
      <c r="AO64" s="666">
        <f t="shared" si="2"/>
        <v>4</v>
      </c>
    </row>
    <row r="65" spans="35:41" x14ac:dyDescent="0.25">
      <c r="AI65" s="662" t="s">
        <v>808</v>
      </c>
      <c r="AJ65" s="807">
        <f>COUNTIFS(CampList[Township],$AI65,CampList[Status],"open",CampList[Total],"&lt;=100",CampList[Affected Population],"IDP")</f>
        <v>1</v>
      </c>
      <c r="AK65" s="807">
        <f>COUNTIFS(CampList[Township],$AI65,CampList[Status],"open",CampList[Total],"&gt;100",CampList[Total],"&lt;=1000",CampList[Affected Population],"IDP")</f>
        <v>2</v>
      </c>
      <c r="AL65" s="807">
        <f>COUNTIFS(CampList[Township],$AI65,CampList[Status],"open",CampList[Total],"&gt;1000",CampList[Total],"&lt;=5000",CampList[Affected Population],"IDP")</f>
        <v>0</v>
      </c>
      <c r="AM65" s="807">
        <f>COUNTIFS(CampList[Township],$AI65,CampList[Status],"open",CampList[Total],"&gt;5000",CampList[Total],"&lt;=100000",CampList[Affected Population],"IDP")</f>
        <v>0</v>
      </c>
      <c r="AN65" s="662">
        <f>COUNTIFS(CampList[Township],$AI66,CampList[Status],"open",CampList[Total],"",CampList[Affected Population],"IDP")</f>
        <v>0</v>
      </c>
      <c r="AO65" s="666">
        <f t="shared" si="2"/>
        <v>3</v>
      </c>
    </row>
    <row r="66" spans="35:41" x14ac:dyDescent="0.25">
      <c r="AI66" s="662" t="s">
        <v>310</v>
      </c>
      <c r="AJ66" s="807">
        <f>COUNTIFS(CampList[Township],$AI66,CampList[Status],"open",CampList[Total],"&lt;=100",CampList[Affected Population],"IDP")</f>
        <v>1</v>
      </c>
      <c r="AK66" s="807">
        <f>COUNTIFS(CampList[Township],$AI66,CampList[Status],"open",CampList[Total],"&gt;100",CampList[Total],"&lt;=1000",CampList[Affected Population],"IDP")</f>
        <v>15</v>
      </c>
      <c r="AL66" s="807">
        <f>COUNTIFS(CampList[Township],$AI66,CampList[Status],"open",CampList[Total],"&gt;1000",CampList[Total],"&lt;=5000",CampList[Affected Population],"IDP")</f>
        <v>5</v>
      </c>
      <c r="AM66" s="807">
        <f>COUNTIFS(CampList[Township],$AI66,CampList[Status],"open",CampList[Total],"&gt;5000",CampList[Total],"&lt;=100000",CampList[Affected Population],"IDP")</f>
        <v>2</v>
      </c>
      <c r="AN66" s="662">
        <f>COUNTIFS(CampList[Township],$AI67,CampList[Status],"open",CampList[Total],"",CampList[Affected Population],"IDP")</f>
        <v>0</v>
      </c>
      <c r="AO66" s="666">
        <f t="shared" si="2"/>
        <v>23</v>
      </c>
    </row>
    <row r="67" spans="35:41" x14ac:dyDescent="0.25">
      <c r="AI67" s="662" t="s">
        <v>3</v>
      </c>
      <c r="AJ67" s="667">
        <f>SUM(AJ47:AJ66)</f>
        <v>47</v>
      </c>
      <c r="AK67" s="667">
        <f>SUM(AK47:AK66)</f>
        <v>107</v>
      </c>
      <c r="AL67" s="667">
        <f>SUM(AL47:AL66)</f>
        <v>20</v>
      </c>
      <c r="AM67" s="667">
        <f>SUM(AM47:AM66)</f>
        <v>2</v>
      </c>
      <c r="AN67" s="667">
        <f>SUM(AN47:AN66)</f>
        <v>3</v>
      </c>
      <c r="AO67" s="666">
        <f t="shared" si="2"/>
        <v>179</v>
      </c>
    </row>
    <row r="68" spans="35:41" x14ac:dyDescent="0.25">
      <c r="AO68" s="667">
        <f t="shared" ref="AO68" si="3">SUM(AO47:AO67)</f>
        <v>358</v>
      </c>
    </row>
    <row r="98" spans="25:27" x14ac:dyDescent="0.25">
      <c r="Y98" s="806"/>
      <c r="AA98" s="806"/>
    </row>
    <row r="99" spans="25:27" x14ac:dyDescent="0.25">
      <c r="Y99" s="806"/>
    </row>
    <row r="100" spans="25:27" x14ac:dyDescent="0.25">
      <c r="Y100" s="806"/>
    </row>
  </sheetData>
  <sortState ref="AI34:AO54">
    <sortCondition ref="AI34"/>
  </sortState>
  <mergeCells count="3">
    <mergeCell ref="B5:I5"/>
    <mergeCell ref="B6:I6"/>
    <mergeCell ref="B3:P3"/>
  </mergeCells>
  <conditionalFormatting sqref="H35:L35">
    <cfRule type="dataBar" priority="18">
      <dataBar>
        <cfvo type="num" val="0"/>
        <cfvo type="num" val="$AN$31"/>
        <color rgb="FF638EC6"/>
      </dataBar>
      <extLst>
        <ext xmlns:x14="http://schemas.microsoft.com/office/spreadsheetml/2009/9/main" uri="{B025F937-C7B1-47D3-B67F-A62EFF666E3E}">
          <x14:id>{4729CA1C-9856-465B-A252-5D74BE4F6C00}</x14:id>
        </ext>
      </extLst>
    </cfRule>
    <cfRule type="dataBar" priority="19">
      <dataBar>
        <cfvo type="num" val="0"/>
        <cfvo type="num" val="$AN$31"/>
        <color rgb="FFFF555A"/>
      </dataBar>
      <extLst>
        <ext xmlns:x14="http://schemas.microsoft.com/office/spreadsheetml/2009/9/main" uri="{B025F937-C7B1-47D3-B67F-A62EFF666E3E}">
          <x14:id>{5DCED515-272B-4C05-BE24-8A126174C663}</x14:id>
        </ext>
      </extLst>
    </cfRule>
    <cfRule type="dataBar" priority="33">
      <dataBar>
        <cfvo type="min"/>
        <cfvo type="max"/>
        <color rgb="FFFF555A"/>
      </dataBar>
      <extLst>
        <ext xmlns:x14="http://schemas.microsoft.com/office/spreadsheetml/2009/9/main" uri="{B025F937-C7B1-47D3-B67F-A62EFF666E3E}">
          <x14:id>{83FF87DB-4AF0-4757-A50F-701789E158D8}</x14:id>
        </ext>
      </extLst>
    </cfRule>
  </conditionalFormatting>
  <conditionalFormatting sqref="H35:L35">
    <cfRule type="dataBar" priority="39">
      <dataBar>
        <cfvo type="min"/>
        <cfvo type="max"/>
        <color rgb="FF638EC6"/>
      </dataBar>
      <extLst>
        <ext xmlns:x14="http://schemas.microsoft.com/office/spreadsheetml/2009/9/main" uri="{B025F937-C7B1-47D3-B67F-A62EFF666E3E}">
          <x14:id>{077C6988-A8CC-4404-8A74-478FD55721B5}</x14:id>
        </ext>
      </extLst>
    </cfRule>
  </conditionalFormatting>
  <conditionalFormatting sqref="C46:E49">
    <cfRule type="dataBar" priority="17">
      <dataBar>
        <cfvo type="min"/>
        <cfvo type="max"/>
        <color rgb="FF63C384"/>
      </dataBar>
      <extLst>
        <ext xmlns:x14="http://schemas.microsoft.com/office/spreadsheetml/2009/9/main" uri="{B025F937-C7B1-47D3-B67F-A62EFF666E3E}">
          <x14:id>{898ED28B-BD84-48E1-B5FF-CD5004CB27E3}</x14:id>
        </ext>
      </extLst>
    </cfRule>
  </conditionalFormatting>
  <conditionalFormatting sqref="C46:E49">
    <cfRule type="dataBar" priority="16">
      <dataBar>
        <cfvo type="min"/>
        <cfvo type="max"/>
        <color rgb="FFD6007B"/>
      </dataBar>
      <extLst>
        <ext xmlns:x14="http://schemas.microsoft.com/office/spreadsheetml/2009/9/main" uri="{B025F937-C7B1-47D3-B67F-A62EFF666E3E}">
          <x14:id>{80C87FD2-BD07-4BB5-9C0D-A1D2BF363644}</x14:id>
        </ext>
      </extLst>
    </cfRule>
  </conditionalFormatting>
  <conditionalFormatting sqref="E16:E32 E34:E41">
    <cfRule type="dataBar" priority="165">
      <dataBar>
        <cfvo type="min"/>
        <cfvo type="max"/>
        <color rgb="FFFFB628"/>
      </dataBar>
      <extLst>
        <ext xmlns:x14="http://schemas.microsoft.com/office/spreadsheetml/2009/9/main" uri="{B025F937-C7B1-47D3-B67F-A62EFF666E3E}">
          <x14:id>{0054ED97-6B39-47EE-970F-3D7220F91D2F}</x14:id>
        </ext>
      </extLst>
    </cfRule>
  </conditionalFormatting>
  <conditionalFormatting sqref="D16:D32 D34:D41">
    <cfRule type="dataBar" priority="169">
      <dataBar>
        <cfvo type="min"/>
        <cfvo type="max"/>
        <color rgb="FF638EC6"/>
      </dataBar>
      <extLst>
        <ext xmlns:x14="http://schemas.microsoft.com/office/spreadsheetml/2009/9/main" uri="{B025F937-C7B1-47D3-B67F-A62EFF666E3E}">
          <x14:id>{3D310D00-BC55-40BE-9DF6-D90CF1C54F11}</x14:id>
        </ext>
      </extLst>
    </cfRule>
  </conditionalFormatting>
  <conditionalFormatting sqref="C16:C32 C34:C41">
    <cfRule type="dataBar" priority="173">
      <dataBar>
        <cfvo type="min"/>
        <cfvo type="max"/>
        <color rgb="FF63C384"/>
      </dataBar>
      <extLst>
        <ext xmlns:x14="http://schemas.microsoft.com/office/spreadsheetml/2009/9/main" uri="{B025F937-C7B1-47D3-B67F-A62EFF666E3E}">
          <x14:id>{3C54CAF3-E8DB-4E86-98B4-12A79F65AD85}</x14:id>
        </ext>
      </extLst>
    </cfRule>
  </conditionalFormatting>
  <conditionalFormatting sqref="H34:L34">
    <cfRule type="dataBar" priority="175">
      <dataBar>
        <cfvo type="min"/>
        <cfvo type="max"/>
        <color rgb="FF638EC6"/>
      </dataBar>
      <extLst>
        <ext xmlns:x14="http://schemas.microsoft.com/office/spreadsheetml/2009/9/main" uri="{B025F937-C7B1-47D3-B67F-A62EFF666E3E}">
          <x14:id>{74459D76-3CDD-4603-8F85-808736BAF087}</x14:id>
        </ext>
      </extLst>
    </cfRule>
  </conditionalFormatting>
  <conditionalFormatting sqref="H34:L34">
    <cfRule type="dataBar" priority="176">
      <dataBar>
        <cfvo type="num" val="0"/>
        <cfvo type="num" val="#REF!"/>
        <color rgb="FF638EC6"/>
      </dataBar>
      <extLst>
        <ext xmlns:x14="http://schemas.microsoft.com/office/spreadsheetml/2009/9/main" uri="{B025F937-C7B1-47D3-B67F-A62EFF666E3E}">
          <x14:id>{02A8E9F0-FDBA-452A-AB6A-F2E5CA3F88D3}</x14:id>
        </ext>
      </extLst>
    </cfRule>
    <cfRule type="dataBar" priority="177">
      <dataBar>
        <cfvo type="min"/>
        <cfvo type="max"/>
        <color rgb="FF008AEF"/>
      </dataBar>
      <extLst>
        <ext xmlns:x14="http://schemas.microsoft.com/office/spreadsheetml/2009/9/main" uri="{B025F937-C7B1-47D3-B67F-A62EFF666E3E}">
          <x14:id>{48264DF9-DDE3-4B92-9921-17F85D71C4D9}</x14:id>
        </ext>
      </extLst>
    </cfRule>
  </conditionalFormatting>
  <conditionalFormatting sqref="E44 E42">
    <cfRule type="dataBar" priority="181">
      <dataBar>
        <cfvo type="min"/>
        <cfvo type="max"/>
        <color rgb="FFFFB628"/>
      </dataBar>
      <extLst>
        <ext xmlns:x14="http://schemas.microsoft.com/office/spreadsheetml/2009/9/main" uri="{B025F937-C7B1-47D3-B67F-A62EFF666E3E}">
          <x14:id>{E62C4C6A-10ED-4033-B63E-536B45F81DEE}</x14:id>
        </ext>
      </extLst>
    </cfRule>
  </conditionalFormatting>
  <conditionalFormatting sqref="D44 D42">
    <cfRule type="dataBar" priority="183">
      <dataBar>
        <cfvo type="min"/>
        <cfvo type="max"/>
        <color rgb="FF638EC6"/>
      </dataBar>
      <extLst>
        <ext xmlns:x14="http://schemas.microsoft.com/office/spreadsheetml/2009/9/main" uri="{B025F937-C7B1-47D3-B67F-A62EFF666E3E}">
          <x14:id>{CA84F9C0-431A-4F7E-B653-B156EA2C233D}</x14:id>
        </ext>
      </extLst>
    </cfRule>
  </conditionalFormatting>
  <conditionalFormatting sqref="C44 C42">
    <cfRule type="dataBar" priority="185">
      <dataBar>
        <cfvo type="min"/>
        <cfvo type="max"/>
        <color rgb="FF63C384"/>
      </dataBar>
      <extLst>
        <ext xmlns:x14="http://schemas.microsoft.com/office/spreadsheetml/2009/9/main" uri="{B025F937-C7B1-47D3-B67F-A62EFF666E3E}">
          <x14:id>{9641383C-0A3B-4F06-9E4D-BE4757BF7245}</x14:id>
        </ext>
      </extLst>
    </cfRule>
  </conditionalFormatting>
  <printOptions horizontalCentered="1"/>
  <pageMargins left="0.15" right="0.15" top="0.32" bottom="0.21" header="0.19" footer="0.17"/>
  <pageSetup paperSize="9" scale="78" orientation="landscape" r:id="rId1"/>
  <ignoredErrors>
    <ignoredError sqref="AN49 AN54" formula="1"/>
  </ignoredErrors>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$AN$31</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$AN$31</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H35:L35</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H35:L35</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C46:E49</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C46:E49</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E16:E32 E34:E41</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D16:D32 D34:D41</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C16:C32 C34:C41</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H34:L34</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H34:L34</xm:sqref>
        </x14:conditionalFormatting>
        <x14:conditionalFormatting xmlns:xm="http://schemas.microsoft.com/office/excel/2006/main">
          <x14:cfRule type="dataBar" id="{E62C4C6A-10ED-4033-B63E-536B45F81DEE}">
            <x14:dataBar minLength="0" maxLength="100" border="1" negativeBarBorderColorSameAsPositive="0">
              <x14:cfvo type="autoMin"/>
              <x14:cfvo type="autoMax"/>
              <x14:borderColor rgb="FFFFB628"/>
              <x14:negativeFillColor rgb="FFFF0000"/>
              <x14:negativeBorderColor rgb="FFFF0000"/>
              <x14:axisColor rgb="FF000000"/>
            </x14:dataBar>
          </x14:cfRule>
          <xm:sqref>E44 E42</xm:sqref>
        </x14:conditionalFormatting>
        <x14:conditionalFormatting xmlns:xm="http://schemas.microsoft.com/office/excel/2006/main">
          <x14:cfRule type="dataBar" id="{CA84F9C0-431A-4F7E-B653-B156EA2C233D}">
            <x14:dataBar minLength="0" maxLength="100" border="1" negativeBarBorderColorSameAsPositive="0">
              <x14:cfvo type="autoMin"/>
              <x14:cfvo type="autoMax"/>
              <x14:borderColor rgb="FF638EC6"/>
              <x14:negativeFillColor rgb="FFFF0000"/>
              <x14:negativeBorderColor rgb="FFFF0000"/>
              <x14:axisColor rgb="FF000000"/>
            </x14:dataBar>
          </x14:cfRule>
          <xm:sqref>D44 D42</xm:sqref>
        </x14:conditionalFormatting>
        <x14:conditionalFormatting xmlns:xm="http://schemas.microsoft.com/office/excel/2006/main">
          <x14:cfRule type="dataBar" id="{9641383C-0A3B-4F06-9E4D-BE4757BF7245}">
            <x14:dataBar minLength="0" maxLength="100" border="1" negativeBarBorderColorSameAsPositive="0">
              <x14:cfvo type="autoMin"/>
              <x14:cfvo type="autoMax"/>
              <x14:borderColor rgb="FF63C384"/>
              <x14:negativeFillColor rgb="FFFF0000"/>
              <x14:negativeBorderColor rgb="FFFF0000"/>
              <x14:axisColor rgb="FF000000"/>
            </x14:dataBar>
          </x14:cfRule>
          <xm:sqref>C44 C42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60"/>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341" t="s">
        <v>498</v>
      </c>
      <c r="B1" s="333" t="s">
        <v>500</v>
      </c>
    </row>
    <row r="3" spans="1:8" x14ac:dyDescent="0.25">
      <c r="A3" s="341" t="s">
        <v>554</v>
      </c>
      <c r="B3" s="341" t="s">
        <v>1105</v>
      </c>
      <c r="C3" s="341" t="s">
        <v>1</v>
      </c>
      <c r="D3" s="341" t="s">
        <v>497</v>
      </c>
      <c r="E3" s="341" t="s">
        <v>1106</v>
      </c>
      <c r="F3" s="341" t="s">
        <v>1107</v>
      </c>
      <c r="G3" s="333" t="s">
        <v>1108</v>
      </c>
      <c r="H3" s="333" t="s">
        <v>861</v>
      </c>
    </row>
    <row r="4" spans="1:8" x14ac:dyDescent="0.25">
      <c r="A4" s="333" t="s">
        <v>62</v>
      </c>
      <c r="B4" s="333" t="s">
        <v>61</v>
      </c>
      <c r="C4" s="333">
        <v>96.355270000000004</v>
      </c>
      <c r="D4" s="333" t="s">
        <v>511</v>
      </c>
      <c r="E4" s="333" t="s">
        <v>554</v>
      </c>
      <c r="F4" s="333" t="s">
        <v>460</v>
      </c>
      <c r="G4" s="335">
        <v>67</v>
      </c>
      <c r="H4" s="335">
        <v>351</v>
      </c>
    </row>
    <row r="5" spans="1:8" x14ac:dyDescent="0.25">
      <c r="A5" s="333" t="s">
        <v>120</v>
      </c>
      <c r="B5" s="333" t="s">
        <v>119</v>
      </c>
      <c r="C5" s="333">
        <v>96.361609999999999</v>
      </c>
      <c r="D5" s="333" t="s">
        <v>511</v>
      </c>
      <c r="E5" s="333" t="s">
        <v>554</v>
      </c>
      <c r="F5" s="333" t="s">
        <v>1090</v>
      </c>
      <c r="G5" s="335">
        <v>72</v>
      </c>
      <c r="H5" s="335">
        <v>363</v>
      </c>
    </row>
    <row r="6" spans="1:8" x14ac:dyDescent="0.25">
      <c r="A6" s="333" t="s">
        <v>6</v>
      </c>
      <c r="B6" s="333" t="s">
        <v>4</v>
      </c>
      <c r="C6" s="333">
        <v>97.238829999999993</v>
      </c>
      <c r="D6" s="333" t="s">
        <v>511</v>
      </c>
      <c r="E6" s="333" t="s">
        <v>554</v>
      </c>
      <c r="F6" s="333" t="s">
        <v>1089</v>
      </c>
      <c r="G6" s="335">
        <v>257</v>
      </c>
      <c r="H6" s="335">
        <v>1266</v>
      </c>
    </row>
    <row r="7" spans="1:8" x14ac:dyDescent="0.25">
      <c r="A7" s="333" t="s">
        <v>41</v>
      </c>
      <c r="B7" s="333" t="s">
        <v>40</v>
      </c>
      <c r="C7" s="333">
        <v>96.345569999999995</v>
      </c>
      <c r="D7" s="333" t="s">
        <v>511</v>
      </c>
      <c r="E7" s="333" t="s">
        <v>554</v>
      </c>
      <c r="F7" s="333" t="s">
        <v>505</v>
      </c>
      <c r="G7" s="335">
        <v>67</v>
      </c>
      <c r="H7" s="335">
        <v>353</v>
      </c>
    </row>
    <row r="8" spans="1:8" x14ac:dyDescent="0.25">
      <c r="A8" s="333" t="s">
        <v>43</v>
      </c>
      <c r="B8" s="333" t="s">
        <v>42</v>
      </c>
      <c r="C8" s="333">
        <v>96.317350000000005</v>
      </c>
      <c r="D8" s="333" t="s">
        <v>511</v>
      </c>
      <c r="E8" s="333" t="s">
        <v>554</v>
      </c>
      <c r="F8" s="333" t="s">
        <v>505</v>
      </c>
      <c r="G8" s="335">
        <v>14</v>
      </c>
      <c r="H8" s="335">
        <v>83</v>
      </c>
    </row>
    <row r="9" spans="1:8" x14ac:dyDescent="0.25">
      <c r="A9" s="333" t="s">
        <v>512</v>
      </c>
      <c r="B9" s="333" t="s">
        <v>377</v>
      </c>
      <c r="C9" s="333">
        <v>97.252650000000003</v>
      </c>
      <c r="D9" s="333" t="s">
        <v>511</v>
      </c>
      <c r="E9" s="333" t="s">
        <v>554</v>
      </c>
      <c r="F9" s="333" t="s">
        <v>460</v>
      </c>
      <c r="G9" s="335">
        <v>12</v>
      </c>
      <c r="H9" s="335">
        <v>56</v>
      </c>
    </row>
    <row r="10" spans="1:8" x14ac:dyDescent="0.25">
      <c r="A10" s="333" t="s">
        <v>52</v>
      </c>
      <c r="B10" s="333" t="s">
        <v>51</v>
      </c>
      <c r="C10" s="333">
        <v>96.346469999999997</v>
      </c>
      <c r="D10" s="333" t="s">
        <v>511</v>
      </c>
      <c r="E10" s="333" t="s">
        <v>554</v>
      </c>
      <c r="F10" s="333" t="s">
        <v>460</v>
      </c>
      <c r="G10" s="335">
        <v>38</v>
      </c>
      <c r="H10" s="335">
        <v>233</v>
      </c>
    </row>
    <row r="11" spans="1:8" x14ac:dyDescent="0.25">
      <c r="A11" s="333" t="s">
        <v>334</v>
      </c>
      <c r="B11" s="333" t="s">
        <v>333</v>
      </c>
      <c r="C11" s="333">
        <v>97.915833000000006</v>
      </c>
      <c r="D11" s="333" t="s">
        <v>513</v>
      </c>
      <c r="E11" s="333" t="s">
        <v>554</v>
      </c>
      <c r="F11" s="333" t="s">
        <v>1090</v>
      </c>
      <c r="G11" s="335">
        <v>161</v>
      </c>
      <c r="H11" s="335">
        <v>637</v>
      </c>
    </row>
    <row r="12" spans="1:8" x14ac:dyDescent="0.25">
      <c r="A12" s="333" t="s">
        <v>188</v>
      </c>
      <c r="B12" s="333" t="s">
        <v>187</v>
      </c>
      <c r="C12" s="333">
        <v>97.609832999999995</v>
      </c>
      <c r="D12" s="333" t="s">
        <v>513</v>
      </c>
      <c r="E12" s="333" t="s">
        <v>554</v>
      </c>
      <c r="F12" s="333" t="s">
        <v>1089</v>
      </c>
      <c r="G12" s="335">
        <v>418</v>
      </c>
      <c r="H12" s="335">
        <v>2109</v>
      </c>
    </row>
    <row r="13" spans="1:8" x14ac:dyDescent="0.25">
      <c r="A13" s="333" t="s">
        <v>72</v>
      </c>
      <c r="B13" s="333" t="s">
        <v>71</v>
      </c>
      <c r="C13" s="333">
        <v>96.283377000000002</v>
      </c>
      <c r="D13" s="333" t="s">
        <v>511</v>
      </c>
      <c r="E13" s="333" t="s">
        <v>554</v>
      </c>
      <c r="F13" s="333" t="s">
        <v>505</v>
      </c>
      <c r="G13" s="335">
        <v>6</v>
      </c>
      <c r="H13" s="335">
        <v>30</v>
      </c>
    </row>
    <row r="14" spans="1:8" x14ac:dyDescent="0.25">
      <c r="A14" s="333" t="s">
        <v>28</v>
      </c>
      <c r="B14" s="333" t="s">
        <v>30</v>
      </c>
      <c r="C14" s="333">
        <v>98.131550000000004</v>
      </c>
      <c r="D14" s="333" t="s">
        <v>511</v>
      </c>
      <c r="E14" s="333" t="s">
        <v>554</v>
      </c>
      <c r="F14" s="333" t="s">
        <v>505</v>
      </c>
      <c r="G14" s="335">
        <v>110</v>
      </c>
      <c r="H14" s="335">
        <v>516</v>
      </c>
    </row>
    <row r="15" spans="1:8" x14ac:dyDescent="0.25">
      <c r="A15" s="333" t="s">
        <v>76</v>
      </c>
      <c r="B15" s="333" t="s">
        <v>75</v>
      </c>
      <c r="C15" s="333">
        <v>96.35257</v>
      </c>
      <c r="D15" s="333" t="s">
        <v>511</v>
      </c>
      <c r="E15" s="333" t="s">
        <v>554</v>
      </c>
      <c r="F15" s="333" t="s">
        <v>505</v>
      </c>
      <c r="G15" s="335">
        <v>66</v>
      </c>
      <c r="H15" s="335">
        <v>362</v>
      </c>
    </row>
    <row r="16" spans="1:8" x14ac:dyDescent="0.25">
      <c r="A16" s="333" t="s">
        <v>243</v>
      </c>
      <c r="B16" s="333" t="s">
        <v>242</v>
      </c>
      <c r="C16" s="333">
        <v>97.384729629629604</v>
      </c>
      <c r="D16" s="333" t="s">
        <v>511</v>
      </c>
      <c r="E16" s="333" t="s">
        <v>554</v>
      </c>
      <c r="F16" s="333" t="s">
        <v>460</v>
      </c>
      <c r="G16" s="335">
        <v>6</v>
      </c>
      <c r="H16" s="335">
        <v>28</v>
      </c>
    </row>
    <row r="17" spans="1:8" x14ac:dyDescent="0.25">
      <c r="A17" s="333" t="s">
        <v>245</v>
      </c>
      <c r="B17" s="333" t="s">
        <v>244</v>
      </c>
      <c r="C17" s="333">
        <v>97.382997575757599</v>
      </c>
      <c r="D17" s="333" t="s">
        <v>511</v>
      </c>
      <c r="E17" s="333" t="s">
        <v>554</v>
      </c>
      <c r="F17" s="333" t="s">
        <v>460</v>
      </c>
      <c r="G17" s="335">
        <v>6</v>
      </c>
      <c r="H17" s="335">
        <v>39</v>
      </c>
    </row>
    <row r="18" spans="1:8" x14ac:dyDescent="0.25">
      <c r="A18" s="333" t="s">
        <v>247</v>
      </c>
      <c r="B18" s="333" t="s">
        <v>246</v>
      </c>
      <c r="C18" s="333">
        <v>97.381325000000004</v>
      </c>
      <c r="D18" s="333" t="s">
        <v>511</v>
      </c>
      <c r="E18" s="333" t="s">
        <v>554</v>
      </c>
      <c r="F18" s="333" t="s">
        <v>460</v>
      </c>
      <c r="G18" s="335">
        <v>20</v>
      </c>
      <c r="H18" s="335">
        <v>105</v>
      </c>
    </row>
    <row r="19" spans="1:8" x14ac:dyDescent="0.25">
      <c r="A19" s="333" t="s">
        <v>192</v>
      </c>
      <c r="B19" s="333" t="s">
        <v>191</v>
      </c>
      <c r="C19" s="333">
        <v>97.537099999999995</v>
      </c>
      <c r="D19" s="333" t="s">
        <v>513</v>
      </c>
      <c r="E19" s="333" t="s">
        <v>554</v>
      </c>
      <c r="F19" s="333" t="s">
        <v>1090</v>
      </c>
      <c r="G19" s="335">
        <v>109</v>
      </c>
      <c r="H19" s="335">
        <v>408</v>
      </c>
    </row>
    <row r="20" spans="1:8" x14ac:dyDescent="0.25">
      <c r="A20" s="333" t="s">
        <v>313</v>
      </c>
      <c r="B20" s="333" t="s">
        <v>312</v>
      </c>
      <c r="C20" s="333">
        <v>97.404195925926004</v>
      </c>
      <c r="D20" s="333" t="s">
        <v>511</v>
      </c>
      <c r="E20" s="333" t="s">
        <v>554</v>
      </c>
      <c r="F20" s="333" t="s">
        <v>505</v>
      </c>
      <c r="G20" s="335">
        <v>99</v>
      </c>
      <c r="H20" s="335">
        <v>472</v>
      </c>
    </row>
    <row r="21" spans="1:8" x14ac:dyDescent="0.25">
      <c r="A21" s="333" t="s">
        <v>336</v>
      </c>
      <c r="B21" s="333" t="s">
        <v>335</v>
      </c>
      <c r="C21" s="333">
        <v>97.807182999999995</v>
      </c>
      <c r="D21" s="333" t="s">
        <v>513</v>
      </c>
      <c r="E21" s="333" t="s">
        <v>554</v>
      </c>
      <c r="F21" s="333" t="s">
        <v>460</v>
      </c>
      <c r="G21" s="335">
        <v>40</v>
      </c>
      <c r="H21" s="335">
        <v>225</v>
      </c>
    </row>
    <row r="22" spans="1:8" x14ac:dyDescent="0.25">
      <c r="A22" s="333" t="s">
        <v>88</v>
      </c>
      <c r="B22" s="333" t="s">
        <v>87</v>
      </c>
      <c r="C22" s="333">
        <v>96.705960000000005</v>
      </c>
      <c r="D22" s="333" t="s">
        <v>511</v>
      </c>
      <c r="E22" s="333" t="s">
        <v>554</v>
      </c>
      <c r="F22" s="333" t="s">
        <v>460</v>
      </c>
      <c r="G22" s="335">
        <v>13</v>
      </c>
      <c r="H22" s="335">
        <v>46</v>
      </c>
    </row>
    <row r="23" spans="1:8" x14ac:dyDescent="0.25">
      <c r="A23" s="333" t="s">
        <v>44</v>
      </c>
      <c r="B23" s="333" t="s">
        <v>45</v>
      </c>
      <c r="C23" s="333">
        <v>96.316564</v>
      </c>
      <c r="D23" s="333" t="s">
        <v>511</v>
      </c>
      <c r="E23" s="333" t="s">
        <v>554</v>
      </c>
      <c r="F23" s="333" t="s">
        <v>505</v>
      </c>
      <c r="G23" s="335">
        <v>5</v>
      </c>
      <c r="H23" s="335">
        <v>34</v>
      </c>
    </row>
    <row r="24" spans="1:8" x14ac:dyDescent="0.25">
      <c r="A24" s="333" t="s">
        <v>1065</v>
      </c>
      <c r="B24" s="333" t="s">
        <v>1066</v>
      </c>
      <c r="C24" s="333">
        <v>96.312790000000007</v>
      </c>
      <c r="D24" s="333" t="s">
        <v>511</v>
      </c>
      <c r="E24" s="333" t="s">
        <v>554</v>
      </c>
      <c r="F24" s="333" t="s">
        <v>460</v>
      </c>
      <c r="G24" s="335">
        <v>103</v>
      </c>
      <c r="H24" s="335">
        <v>490</v>
      </c>
    </row>
    <row r="25" spans="1:8" x14ac:dyDescent="0.25">
      <c r="A25" s="333" t="s">
        <v>364</v>
      </c>
      <c r="B25" s="333" t="s">
        <v>29</v>
      </c>
      <c r="C25" s="333">
        <v>98.475719999999995</v>
      </c>
      <c r="D25" s="333" t="s">
        <v>513</v>
      </c>
      <c r="E25" s="333" t="s">
        <v>554</v>
      </c>
      <c r="F25" s="333" t="s">
        <v>460</v>
      </c>
      <c r="G25" s="335">
        <v>155</v>
      </c>
      <c r="H25" s="335">
        <v>768</v>
      </c>
    </row>
    <row r="26" spans="1:8" x14ac:dyDescent="0.25">
      <c r="A26" s="333" t="s">
        <v>194</v>
      </c>
      <c r="B26" s="333" t="s">
        <v>193</v>
      </c>
      <c r="C26" s="333">
        <v>97.573126000000002</v>
      </c>
      <c r="D26" s="333" t="s">
        <v>513</v>
      </c>
      <c r="E26" s="333" t="s">
        <v>554</v>
      </c>
      <c r="F26" s="333" t="s">
        <v>1090</v>
      </c>
      <c r="G26" s="335">
        <v>641</v>
      </c>
      <c r="H26" s="335">
        <v>2862</v>
      </c>
    </row>
    <row r="27" spans="1:8" x14ac:dyDescent="0.25">
      <c r="A27" s="333" t="s">
        <v>14</v>
      </c>
      <c r="B27" s="333" t="s">
        <v>13</v>
      </c>
      <c r="C27" s="333">
        <v>97.236919999999998</v>
      </c>
      <c r="D27" s="333" t="s">
        <v>511</v>
      </c>
      <c r="E27" s="333" t="s">
        <v>554</v>
      </c>
      <c r="F27" s="333" t="s">
        <v>460</v>
      </c>
      <c r="G27" s="335">
        <v>38</v>
      </c>
      <c r="H27" s="335">
        <v>221</v>
      </c>
    </row>
    <row r="28" spans="1:8" x14ac:dyDescent="0.25">
      <c r="A28" s="333" t="s">
        <v>813</v>
      </c>
      <c r="B28" s="333" t="s">
        <v>814</v>
      </c>
      <c r="C28" s="333">
        <v>97.541793999999996</v>
      </c>
      <c r="D28" s="333" t="s">
        <v>513</v>
      </c>
      <c r="E28" s="333" t="s">
        <v>986</v>
      </c>
      <c r="F28" s="333" t="s">
        <v>859</v>
      </c>
      <c r="G28" s="335"/>
      <c r="H28" s="335">
        <v>1047</v>
      </c>
    </row>
    <row r="29" spans="1:8" x14ac:dyDescent="0.25">
      <c r="A29" s="333" t="s">
        <v>253</v>
      </c>
      <c r="B29" s="333" t="s">
        <v>252</v>
      </c>
      <c r="C29" s="333">
        <v>97.373361000000003</v>
      </c>
      <c r="D29" s="333" t="s">
        <v>511</v>
      </c>
      <c r="E29" s="333" t="s">
        <v>554</v>
      </c>
      <c r="F29" s="333" t="s">
        <v>460</v>
      </c>
      <c r="G29" s="335">
        <v>205</v>
      </c>
      <c r="H29" s="335">
        <v>1110</v>
      </c>
    </row>
    <row r="30" spans="1:8" x14ac:dyDescent="0.25">
      <c r="A30" s="333" t="s">
        <v>255</v>
      </c>
      <c r="B30" s="333" t="s">
        <v>254</v>
      </c>
      <c r="C30" s="333">
        <v>97.379594999999995</v>
      </c>
      <c r="D30" s="333" t="s">
        <v>511</v>
      </c>
      <c r="E30" s="333" t="s">
        <v>554</v>
      </c>
      <c r="F30" s="333" t="s">
        <v>1090</v>
      </c>
      <c r="G30" s="335">
        <v>99</v>
      </c>
      <c r="H30" s="335">
        <v>454</v>
      </c>
    </row>
    <row r="31" spans="1:8" x14ac:dyDescent="0.25">
      <c r="A31" s="333" t="s">
        <v>196</v>
      </c>
      <c r="B31" s="333" t="s">
        <v>195</v>
      </c>
      <c r="C31" s="333">
        <v>97.568331999999998</v>
      </c>
      <c r="D31" s="333" t="s">
        <v>513</v>
      </c>
      <c r="E31" s="333" t="s">
        <v>554</v>
      </c>
      <c r="F31" s="333" t="s">
        <v>1090</v>
      </c>
      <c r="G31" s="335">
        <v>1649</v>
      </c>
      <c r="H31" s="335">
        <v>8965</v>
      </c>
    </row>
    <row r="32" spans="1:8" x14ac:dyDescent="0.25">
      <c r="A32" s="333" t="s">
        <v>372</v>
      </c>
      <c r="B32" s="333" t="s">
        <v>382</v>
      </c>
      <c r="C32" s="333">
        <v>97.848529999999997</v>
      </c>
      <c r="D32" s="333" t="s">
        <v>511</v>
      </c>
      <c r="E32" s="333" t="s">
        <v>554</v>
      </c>
      <c r="F32" s="333" t="s">
        <v>460</v>
      </c>
      <c r="G32" s="335">
        <v>88</v>
      </c>
      <c r="H32" s="335">
        <v>505</v>
      </c>
    </row>
    <row r="33" spans="1:8" x14ac:dyDescent="0.25">
      <c r="A33" s="333" t="s">
        <v>369</v>
      </c>
      <c r="B33" s="333" t="s">
        <v>383</v>
      </c>
      <c r="C33" s="333">
        <v>97.926813999999993</v>
      </c>
      <c r="D33" s="333" t="s">
        <v>511</v>
      </c>
      <c r="E33" s="333" t="s">
        <v>554</v>
      </c>
      <c r="F33" s="333" t="s">
        <v>460</v>
      </c>
      <c r="G33" s="335">
        <v>60</v>
      </c>
      <c r="H33" s="335">
        <v>288</v>
      </c>
    </row>
    <row r="34" spans="1:8" x14ac:dyDescent="0.25">
      <c r="A34" s="333" t="s">
        <v>370</v>
      </c>
      <c r="B34" s="333" t="s">
        <v>384</v>
      </c>
      <c r="C34" s="333">
        <v>97.947360000000003</v>
      </c>
      <c r="D34" s="333" t="s">
        <v>511</v>
      </c>
      <c r="E34" s="333" t="s">
        <v>554</v>
      </c>
      <c r="F34" s="333" t="s">
        <v>1262</v>
      </c>
      <c r="G34" s="335">
        <v>30</v>
      </c>
      <c r="H34" s="335">
        <v>138</v>
      </c>
    </row>
    <row r="35" spans="1:8" x14ac:dyDescent="0.25">
      <c r="A35" s="333" t="s">
        <v>257</v>
      </c>
      <c r="B35" s="333" t="s">
        <v>256</v>
      </c>
      <c r="C35" s="333">
        <v>97.405202777777802</v>
      </c>
      <c r="D35" s="333" t="s">
        <v>511</v>
      </c>
      <c r="E35" s="333" t="s">
        <v>554</v>
      </c>
      <c r="F35" s="333" t="s">
        <v>460</v>
      </c>
      <c r="G35" s="335">
        <v>48</v>
      </c>
      <c r="H35" s="335">
        <v>211</v>
      </c>
    </row>
    <row r="36" spans="1:8" x14ac:dyDescent="0.25">
      <c r="A36" s="333" t="s">
        <v>174</v>
      </c>
      <c r="B36" s="333" t="s">
        <v>172</v>
      </c>
      <c r="C36" s="333">
        <v>96.922619999999995</v>
      </c>
      <c r="D36" s="333" t="s">
        <v>511</v>
      </c>
      <c r="E36" s="333" t="s">
        <v>554</v>
      </c>
      <c r="F36" s="333" t="s">
        <v>460</v>
      </c>
      <c r="G36" s="335">
        <v>13</v>
      </c>
      <c r="H36" s="335">
        <v>66</v>
      </c>
    </row>
    <row r="37" spans="1:8" x14ac:dyDescent="0.25">
      <c r="A37" s="333" t="s">
        <v>198</v>
      </c>
      <c r="B37" s="333" t="s">
        <v>197</v>
      </c>
      <c r="C37" s="333">
        <v>97.625617000000005</v>
      </c>
      <c r="D37" s="333" t="s">
        <v>513</v>
      </c>
      <c r="E37" s="333" t="s">
        <v>554</v>
      </c>
      <c r="F37" s="333" t="s">
        <v>1089</v>
      </c>
      <c r="G37" s="335">
        <v>547</v>
      </c>
      <c r="H37" s="335">
        <v>2576</v>
      </c>
    </row>
    <row r="38" spans="1:8" x14ac:dyDescent="0.25">
      <c r="A38" s="333" t="s">
        <v>240</v>
      </c>
      <c r="B38" s="333" t="s">
        <v>239</v>
      </c>
      <c r="C38" s="333">
        <v>97.409035000000003</v>
      </c>
      <c r="D38" s="333" t="s">
        <v>511</v>
      </c>
      <c r="E38" s="333" t="s">
        <v>554</v>
      </c>
      <c r="F38" s="333" t="s">
        <v>460</v>
      </c>
      <c r="G38" s="335">
        <v>30</v>
      </c>
      <c r="H38" s="335">
        <v>178</v>
      </c>
    </row>
    <row r="39" spans="1:8" x14ac:dyDescent="0.25">
      <c r="A39" s="333" t="s">
        <v>285</v>
      </c>
      <c r="B39" s="333" t="s">
        <v>284</v>
      </c>
      <c r="C39" s="333">
        <v>97.403402307692303</v>
      </c>
      <c r="D39" s="333" t="s">
        <v>511</v>
      </c>
      <c r="E39" s="333" t="s">
        <v>554</v>
      </c>
      <c r="F39" s="333" t="s">
        <v>460</v>
      </c>
      <c r="G39" s="335">
        <v>85</v>
      </c>
      <c r="H39" s="335">
        <v>437</v>
      </c>
    </row>
    <row r="40" spans="1:8" x14ac:dyDescent="0.25">
      <c r="A40" s="333" t="s">
        <v>365</v>
      </c>
      <c r="B40" s="333" t="s">
        <v>378</v>
      </c>
      <c r="C40" s="333">
        <v>98.129990000000006</v>
      </c>
      <c r="D40" s="333" t="s">
        <v>511</v>
      </c>
      <c r="E40" s="333" t="s">
        <v>554</v>
      </c>
      <c r="F40" s="333" t="s">
        <v>505</v>
      </c>
      <c r="G40" s="335">
        <v>143</v>
      </c>
      <c r="H40" s="335">
        <v>637</v>
      </c>
    </row>
    <row r="41" spans="1:8" x14ac:dyDescent="0.25">
      <c r="A41" s="333" t="s">
        <v>90</v>
      </c>
      <c r="B41" s="333" t="s">
        <v>89</v>
      </c>
      <c r="C41" s="333">
        <v>96.269199999999998</v>
      </c>
      <c r="D41" s="333" t="s">
        <v>511</v>
      </c>
      <c r="E41" s="333" t="s">
        <v>554</v>
      </c>
      <c r="F41" s="333" t="s">
        <v>505</v>
      </c>
      <c r="G41" s="335">
        <v>25</v>
      </c>
      <c r="H41" s="335">
        <v>118</v>
      </c>
    </row>
    <row r="42" spans="1:8" x14ac:dyDescent="0.25">
      <c r="A42" s="333" t="s">
        <v>92</v>
      </c>
      <c r="B42" s="333" t="s">
        <v>91</v>
      </c>
      <c r="C42" s="333">
        <v>96.316400000000002</v>
      </c>
      <c r="D42" s="333" t="s">
        <v>511</v>
      </c>
      <c r="E42" s="333" t="s">
        <v>554</v>
      </c>
      <c r="F42" s="333" t="s">
        <v>505</v>
      </c>
      <c r="G42" s="335">
        <v>15</v>
      </c>
      <c r="H42" s="335">
        <v>73</v>
      </c>
    </row>
    <row r="43" spans="1:8" x14ac:dyDescent="0.25">
      <c r="A43" s="333" t="s">
        <v>18</v>
      </c>
      <c r="B43" s="333" t="s">
        <v>17</v>
      </c>
      <c r="C43" s="333">
        <v>97.240183461538507</v>
      </c>
      <c r="D43" s="333" t="s">
        <v>511</v>
      </c>
      <c r="E43" s="333" t="s">
        <v>554</v>
      </c>
      <c r="F43" s="333" t="s">
        <v>505</v>
      </c>
      <c r="G43" s="335">
        <v>116</v>
      </c>
      <c r="H43" s="335">
        <v>659</v>
      </c>
    </row>
    <row r="44" spans="1:8" x14ac:dyDescent="0.25">
      <c r="A44" s="333" t="s">
        <v>186</v>
      </c>
      <c r="B44" s="333" t="s">
        <v>184</v>
      </c>
      <c r="C44" s="333">
        <v>97.718582999999995</v>
      </c>
      <c r="D44" s="333" t="s">
        <v>511</v>
      </c>
      <c r="E44" s="333" t="s">
        <v>554</v>
      </c>
      <c r="F44" s="333" t="s">
        <v>460</v>
      </c>
      <c r="G44" s="335">
        <v>40</v>
      </c>
      <c r="H44" s="335">
        <v>240</v>
      </c>
    </row>
    <row r="45" spans="1:8" x14ac:dyDescent="0.25">
      <c r="A45" s="333" t="s">
        <v>223</v>
      </c>
      <c r="B45" s="333" t="s">
        <v>222</v>
      </c>
      <c r="C45" s="333">
        <v>97.724566999999993</v>
      </c>
      <c r="D45" s="333" t="s">
        <v>511</v>
      </c>
      <c r="E45" s="333" t="s">
        <v>554</v>
      </c>
      <c r="F45" s="333" t="s">
        <v>1089</v>
      </c>
      <c r="G45" s="335">
        <v>148</v>
      </c>
      <c r="H45" s="335">
        <v>751</v>
      </c>
    </row>
    <row r="46" spans="1:8" x14ac:dyDescent="0.25">
      <c r="A46" s="333" t="s">
        <v>190</v>
      </c>
      <c r="B46" s="333" t="s">
        <v>189</v>
      </c>
      <c r="C46" s="333">
        <v>97.717133000000004</v>
      </c>
      <c r="D46" s="333" t="s">
        <v>511</v>
      </c>
      <c r="E46" s="333" t="s">
        <v>554</v>
      </c>
      <c r="F46" s="333" t="s">
        <v>460</v>
      </c>
      <c r="G46" s="335">
        <v>194</v>
      </c>
      <c r="H46" s="335">
        <v>1071</v>
      </c>
    </row>
    <row r="47" spans="1:8" x14ac:dyDescent="0.25">
      <c r="A47" s="333" t="s">
        <v>320</v>
      </c>
      <c r="B47" s="333" t="s">
        <v>319</v>
      </c>
      <c r="C47" s="333">
        <v>97.451965000000001</v>
      </c>
      <c r="D47" s="333" t="s">
        <v>511</v>
      </c>
      <c r="E47" s="333" t="s">
        <v>554</v>
      </c>
      <c r="F47" s="333" t="s">
        <v>460</v>
      </c>
      <c r="G47" s="335">
        <v>27</v>
      </c>
      <c r="H47" s="335">
        <v>145</v>
      </c>
    </row>
    <row r="48" spans="1:8" x14ac:dyDescent="0.25">
      <c r="A48" s="333" t="s">
        <v>322</v>
      </c>
      <c r="B48" s="333" t="s">
        <v>321</v>
      </c>
      <c r="C48" s="333">
        <v>97.715230000000005</v>
      </c>
      <c r="D48" s="333" t="s">
        <v>513</v>
      </c>
      <c r="E48" s="333" t="s">
        <v>554</v>
      </c>
      <c r="F48" s="333" t="s">
        <v>1090</v>
      </c>
      <c r="G48" s="335">
        <v>585</v>
      </c>
      <c r="H48" s="335">
        <v>2585</v>
      </c>
    </row>
    <row r="49" spans="1:8" x14ac:dyDescent="0.25">
      <c r="A49" s="333" t="s">
        <v>328</v>
      </c>
      <c r="B49" s="333" t="s">
        <v>327</v>
      </c>
      <c r="C49" s="333">
        <v>97.433419259259296</v>
      </c>
      <c r="D49" s="333" t="s">
        <v>511</v>
      </c>
      <c r="E49" s="333" t="s">
        <v>554</v>
      </c>
      <c r="F49" s="333" t="s">
        <v>505</v>
      </c>
      <c r="G49" s="335">
        <v>149</v>
      </c>
      <c r="H49" s="335">
        <v>841</v>
      </c>
    </row>
    <row r="50" spans="1:8" x14ac:dyDescent="0.25">
      <c r="A50" s="333" t="s">
        <v>330</v>
      </c>
      <c r="B50" s="333" t="s">
        <v>329</v>
      </c>
      <c r="C50" s="333">
        <v>97.437782499999997</v>
      </c>
      <c r="D50" s="333" t="s">
        <v>511</v>
      </c>
      <c r="E50" s="333" t="s">
        <v>554</v>
      </c>
      <c r="F50" s="333" t="s">
        <v>1090</v>
      </c>
      <c r="G50" s="335">
        <v>223</v>
      </c>
      <c r="H50" s="335">
        <v>1230</v>
      </c>
    </row>
    <row r="51" spans="1:8" x14ac:dyDescent="0.25">
      <c r="A51" s="333" t="s">
        <v>324</v>
      </c>
      <c r="B51" s="333" t="s">
        <v>323</v>
      </c>
      <c r="C51" s="333">
        <v>97.434855869565197</v>
      </c>
      <c r="D51" s="333" t="s">
        <v>511</v>
      </c>
      <c r="E51" s="333" t="s">
        <v>554</v>
      </c>
      <c r="F51" s="333" t="s">
        <v>460</v>
      </c>
      <c r="G51" s="335">
        <v>471</v>
      </c>
      <c r="H51" s="335">
        <v>2389</v>
      </c>
    </row>
    <row r="52" spans="1:8" x14ac:dyDescent="0.25">
      <c r="A52" s="333" t="s">
        <v>326</v>
      </c>
      <c r="B52" s="333" t="s">
        <v>325</v>
      </c>
      <c r="C52" s="333">
        <v>97.426536944444507</v>
      </c>
      <c r="D52" s="333" t="s">
        <v>511</v>
      </c>
      <c r="E52" s="333" t="s">
        <v>554</v>
      </c>
      <c r="F52" s="333" t="s">
        <v>460</v>
      </c>
      <c r="G52" s="335">
        <v>45</v>
      </c>
      <c r="H52" s="335">
        <v>152</v>
      </c>
    </row>
    <row r="53" spans="1:8" x14ac:dyDescent="0.25">
      <c r="A53" s="333" t="s">
        <v>885</v>
      </c>
      <c r="B53" s="333" t="s">
        <v>886</v>
      </c>
      <c r="C53" s="333">
        <v>97.225881000000001</v>
      </c>
      <c r="D53" s="333" t="s">
        <v>511</v>
      </c>
      <c r="E53" s="333" t="s">
        <v>554</v>
      </c>
      <c r="F53" s="333" t="s">
        <v>460</v>
      </c>
      <c r="G53" s="335">
        <v>389</v>
      </c>
      <c r="H53" s="335">
        <v>1799</v>
      </c>
    </row>
    <row r="54" spans="1:8" x14ac:dyDescent="0.25">
      <c r="A54" s="333" t="s">
        <v>942</v>
      </c>
      <c r="B54" s="333" t="s">
        <v>941</v>
      </c>
      <c r="C54" s="333">
        <v>97.227057000000002</v>
      </c>
      <c r="D54" s="333" t="s">
        <v>511</v>
      </c>
      <c r="E54" s="333" t="s">
        <v>554</v>
      </c>
      <c r="F54" s="333" t="s">
        <v>1089</v>
      </c>
      <c r="G54" s="335">
        <v>167</v>
      </c>
      <c r="H54" s="335">
        <v>730</v>
      </c>
    </row>
    <row r="55" spans="1:8" x14ac:dyDescent="0.25">
      <c r="A55" s="333" t="s">
        <v>259</v>
      </c>
      <c r="B55" s="333" t="s">
        <v>258</v>
      </c>
      <c r="C55" s="333">
        <v>97.4113064583333</v>
      </c>
      <c r="D55" s="333" t="s">
        <v>511</v>
      </c>
      <c r="E55" s="333" t="s">
        <v>554</v>
      </c>
      <c r="F55" s="333" t="s">
        <v>460</v>
      </c>
      <c r="G55" s="335">
        <v>61</v>
      </c>
      <c r="H55" s="335">
        <v>303</v>
      </c>
    </row>
    <row r="56" spans="1:8" x14ac:dyDescent="0.25">
      <c r="A56" s="333" t="s">
        <v>202</v>
      </c>
      <c r="B56" s="333" t="s">
        <v>201</v>
      </c>
      <c r="C56" s="333">
        <v>97.325019999999995</v>
      </c>
      <c r="D56" s="333" t="s">
        <v>511</v>
      </c>
      <c r="E56" s="333" t="s">
        <v>554</v>
      </c>
      <c r="F56" s="333" t="s">
        <v>1089</v>
      </c>
      <c r="G56" s="335">
        <v>265</v>
      </c>
      <c r="H56" s="335">
        <v>1183</v>
      </c>
    </row>
    <row r="57" spans="1:8" x14ac:dyDescent="0.25">
      <c r="A57" s="333" t="s">
        <v>261</v>
      </c>
      <c r="B57" s="333" t="s">
        <v>260</v>
      </c>
      <c r="C57" s="333">
        <v>97.418694000000002</v>
      </c>
      <c r="D57" s="333" t="s">
        <v>511</v>
      </c>
      <c r="E57" s="333" t="s">
        <v>554</v>
      </c>
      <c r="F57" s="333" t="s">
        <v>460</v>
      </c>
      <c r="G57" s="335">
        <v>101</v>
      </c>
      <c r="H57" s="335">
        <v>545</v>
      </c>
    </row>
    <row r="58" spans="1:8" x14ac:dyDescent="0.25">
      <c r="A58" s="333" t="s">
        <v>160</v>
      </c>
      <c r="B58" s="333" t="s">
        <v>159</v>
      </c>
      <c r="C58" s="333">
        <v>97.589979999999997</v>
      </c>
      <c r="D58" s="333" t="s">
        <v>511</v>
      </c>
      <c r="E58" s="333" t="s">
        <v>554</v>
      </c>
      <c r="F58" s="333" t="s">
        <v>460</v>
      </c>
      <c r="G58" s="335">
        <v>107</v>
      </c>
      <c r="H58" s="335">
        <v>539</v>
      </c>
    </row>
    <row r="59" spans="1:8" x14ac:dyDescent="0.25">
      <c r="A59" s="333" t="s">
        <v>1095</v>
      </c>
      <c r="B59" s="333" t="s">
        <v>1096</v>
      </c>
      <c r="C59" s="333">
        <v>97.590767</v>
      </c>
      <c r="D59" s="333" t="s">
        <v>511</v>
      </c>
      <c r="E59" s="333" t="s">
        <v>554</v>
      </c>
      <c r="F59" s="333" t="s">
        <v>460</v>
      </c>
      <c r="G59" s="335">
        <v>112</v>
      </c>
      <c r="H59" s="335">
        <v>515</v>
      </c>
    </row>
    <row r="60" spans="1:8" x14ac:dyDescent="0.25">
      <c r="A60" s="333" t="s">
        <v>154</v>
      </c>
      <c r="B60" s="333" t="s">
        <v>153</v>
      </c>
      <c r="C60" s="333">
        <v>97.578490000000002</v>
      </c>
      <c r="D60" s="333" t="s">
        <v>511</v>
      </c>
      <c r="E60" s="333" t="s">
        <v>554</v>
      </c>
      <c r="F60" s="333" t="s">
        <v>1089</v>
      </c>
      <c r="G60" s="335">
        <v>480</v>
      </c>
      <c r="H60" s="335">
        <v>2437</v>
      </c>
    </row>
    <row r="61" spans="1:8" x14ac:dyDescent="0.25">
      <c r="A61" s="333" t="s">
        <v>1061</v>
      </c>
      <c r="B61" s="333" t="s">
        <v>1062</v>
      </c>
      <c r="C61" s="333">
        <v>97.578367</v>
      </c>
      <c r="D61" s="333" t="s">
        <v>511</v>
      </c>
      <c r="E61" s="333" t="s">
        <v>554</v>
      </c>
      <c r="F61" s="333" t="s">
        <v>1089</v>
      </c>
      <c r="G61" s="335">
        <v>147</v>
      </c>
      <c r="H61" s="335">
        <v>631</v>
      </c>
    </row>
    <row r="62" spans="1:8" x14ac:dyDescent="0.25">
      <c r="A62" s="333" t="s">
        <v>167</v>
      </c>
      <c r="B62" s="333" t="s">
        <v>165</v>
      </c>
      <c r="C62" s="333">
        <v>97.124403000000001</v>
      </c>
      <c r="D62" s="333" t="s">
        <v>511</v>
      </c>
      <c r="E62" s="333" t="s">
        <v>554</v>
      </c>
      <c r="F62" s="333" t="s">
        <v>460</v>
      </c>
      <c r="G62" s="335">
        <v>36</v>
      </c>
      <c r="H62" s="335">
        <v>179</v>
      </c>
    </row>
    <row r="63" spans="1:8" x14ac:dyDescent="0.25">
      <c r="A63" s="333" t="s">
        <v>822</v>
      </c>
      <c r="B63" s="333" t="s">
        <v>823</v>
      </c>
      <c r="C63" s="333">
        <v>97.116680000000002</v>
      </c>
      <c r="D63" s="333" t="s">
        <v>511</v>
      </c>
      <c r="E63" s="333" t="s">
        <v>554</v>
      </c>
      <c r="F63" s="333" t="s">
        <v>1262</v>
      </c>
      <c r="G63" s="335">
        <v>29</v>
      </c>
      <c r="H63" s="335">
        <v>178</v>
      </c>
    </row>
    <row r="64" spans="1:8" x14ac:dyDescent="0.25">
      <c r="A64" s="333" t="s">
        <v>176</v>
      </c>
      <c r="B64" s="333" t="s">
        <v>175</v>
      </c>
      <c r="C64" s="333">
        <v>96.942279999999997</v>
      </c>
      <c r="D64" s="333" t="s">
        <v>511</v>
      </c>
      <c r="E64" s="333" t="s">
        <v>554</v>
      </c>
      <c r="F64" s="333" t="s">
        <v>460</v>
      </c>
      <c r="G64" s="335">
        <v>15</v>
      </c>
      <c r="H64" s="335">
        <v>71</v>
      </c>
    </row>
    <row r="65" spans="1:8" x14ac:dyDescent="0.25">
      <c r="A65" s="333" t="s">
        <v>152</v>
      </c>
      <c r="B65" s="333" t="s">
        <v>150</v>
      </c>
      <c r="C65" s="333">
        <v>97.291820000000001</v>
      </c>
      <c r="D65" s="333" t="s">
        <v>511</v>
      </c>
      <c r="E65" s="333" t="s">
        <v>554</v>
      </c>
      <c r="F65" s="333" t="s">
        <v>460</v>
      </c>
      <c r="G65" s="335">
        <v>195</v>
      </c>
      <c r="H65" s="335">
        <v>881</v>
      </c>
    </row>
    <row r="66" spans="1:8" x14ac:dyDescent="0.25">
      <c r="A66" s="333" t="s">
        <v>263</v>
      </c>
      <c r="B66" s="333" t="s">
        <v>262</v>
      </c>
      <c r="C66" s="333">
        <v>97.2843958974359</v>
      </c>
      <c r="D66" s="333" t="s">
        <v>511</v>
      </c>
      <c r="E66" s="333" t="s">
        <v>554</v>
      </c>
      <c r="F66" s="333" t="s">
        <v>505</v>
      </c>
      <c r="G66" s="335">
        <v>21</v>
      </c>
      <c r="H66" s="335">
        <v>98</v>
      </c>
    </row>
    <row r="67" spans="1:8" x14ac:dyDescent="0.25">
      <c r="A67" s="333" t="s">
        <v>265</v>
      </c>
      <c r="B67" s="333" t="s">
        <v>264</v>
      </c>
      <c r="C67" s="333">
        <v>97.290952037037002</v>
      </c>
      <c r="D67" s="333" t="s">
        <v>511</v>
      </c>
      <c r="E67" s="333" t="s">
        <v>554</v>
      </c>
      <c r="F67" s="333" t="s">
        <v>505</v>
      </c>
      <c r="G67" s="335">
        <v>14</v>
      </c>
      <c r="H67" s="335">
        <v>71</v>
      </c>
    </row>
    <row r="68" spans="1:8" x14ac:dyDescent="0.25">
      <c r="A68" s="333" t="s">
        <v>100</v>
      </c>
      <c r="B68" s="333" t="s">
        <v>99</v>
      </c>
      <c r="C68" s="333">
        <v>96.319829999999996</v>
      </c>
      <c r="D68" s="333" t="s">
        <v>511</v>
      </c>
      <c r="E68" s="333" t="s">
        <v>554</v>
      </c>
      <c r="F68" s="333" t="s">
        <v>505</v>
      </c>
      <c r="G68" s="335">
        <v>4</v>
      </c>
      <c r="H68" s="335">
        <v>22</v>
      </c>
    </row>
    <row r="69" spans="1:8" x14ac:dyDescent="0.25">
      <c r="A69" s="333" t="s">
        <v>368</v>
      </c>
      <c r="B69" s="333" t="s">
        <v>385</v>
      </c>
      <c r="C69" s="333">
        <v>97.793019999999999</v>
      </c>
      <c r="D69" s="333" t="s">
        <v>511</v>
      </c>
      <c r="E69" s="333" t="s">
        <v>554</v>
      </c>
      <c r="F69" s="333" t="s">
        <v>460</v>
      </c>
      <c r="G69" s="335">
        <v>69</v>
      </c>
      <c r="H69" s="335">
        <v>306</v>
      </c>
    </row>
    <row r="70" spans="1:8" x14ac:dyDescent="0.25">
      <c r="A70" s="333" t="s">
        <v>209</v>
      </c>
      <c r="B70" s="333" t="s">
        <v>208</v>
      </c>
      <c r="C70" s="333">
        <v>97.344359999999995</v>
      </c>
      <c r="D70" s="333" t="s">
        <v>511</v>
      </c>
      <c r="E70" s="333" t="s">
        <v>554</v>
      </c>
      <c r="F70" s="333" t="s">
        <v>460</v>
      </c>
      <c r="G70" s="335">
        <v>387</v>
      </c>
      <c r="H70" s="335">
        <v>1844</v>
      </c>
    </row>
    <row r="71" spans="1:8" x14ac:dyDescent="0.25">
      <c r="A71" s="333" t="s">
        <v>371</v>
      </c>
      <c r="B71" s="333" t="s">
        <v>147</v>
      </c>
      <c r="C71" s="333">
        <v>98.220614999999995</v>
      </c>
      <c r="D71" s="333" t="s">
        <v>511</v>
      </c>
      <c r="E71" s="333" t="s">
        <v>554</v>
      </c>
      <c r="F71" s="333" t="s">
        <v>460</v>
      </c>
      <c r="G71" s="335">
        <v>46</v>
      </c>
      <c r="H71" s="335">
        <v>255</v>
      </c>
    </row>
    <row r="72" spans="1:8" x14ac:dyDescent="0.25">
      <c r="A72" s="333" t="s">
        <v>1102</v>
      </c>
      <c r="B72" s="333" t="s">
        <v>1101</v>
      </c>
      <c r="C72" s="333">
        <v>98.248999999999995</v>
      </c>
      <c r="D72" s="333" t="s">
        <v>511</v>
      </c>
      <c r="E72" s="333" t="s">
        <v>554</v>
      </c>
      <c r="F72" s="333" t="s">
        <v>1262</v>
      </c>
      <c r="G72" s="335">
        <v>22</v>
      </c>
      <c r="H72" s="335">
        <v>105</v>
      </c>
    </row>
    <row r="73" spans="1:8" x14ac:dyDescent="0.25">
      <c r="A73" s="333" t="s">
        <v>1053</v>
      </c>
      <c r="B73" s="333" t="s">
        <v>1054</v>
      </c>
      <c r="C73" s="333">
        <v>97.909400000000005</v>
      </c>
      <c r="D73" s="333" t="s">
        <v>511</v>
      </c>
      <c r="E73" s="333" t="s">
        <v>554</v>
      </c>
      <c r="F73" s="333" t="s">
        <v>460</v>
      </c>
      <c r="G73" s="335">
        <v>51</v>
      </c>
      <c r="H73" s="335">
        <v>214</v>
      </c>
    </row>
    <row r="74" spans="1:8" x14ac:dyDescent="0.25">
      <c r="A74" s="333" t="s">
        <v>1063</v>
      </c>
      <c r="B74" s="333" t="s">
        <v>1064</v>
      </c>
      <c r="C74" s="333">
        <v>97.911647000000002</v>
      </c>
      <c r="D74" s="333" t="s">
        <v>511</v>
      </c>
      <c r="E74" s="333" t="s">
        <v>554</v>
      </c>
      <c r="F74" s="333" t="s">
        <v>1262</v>
      </c>
      <c r="G74" s="335">
        <v>25</v>
      </c>
      <c r="H74" s="335">
        <v>113</v>
      </c>
    </row>
    <row r="75" spans="1:8" x14ac:dyDescent="0.25">
      <c r="A75" s="333" t="s">
        <v>8</v>
      </c>
      <c r="B75" s="333" t="s">
        <v>7</v>
      </c>
      <c r="C75" s="333">
        <v>97.234200000000001</v>
      </c>
      <c r="D75" s="333" t="s">
        <v>511</v>
      </c>
      <c r="E75" s="333" t="s">
        <v>554</v>
      </c>
      <c r="F75" s="333" t="s">
        <v>505</v>
      </c>
      <c r="G75" s="335">
        <v>14</v>
      </c>
      <c r="H75" s="335">
        <v>61</v>
      </c>
    </row>
    <row r="76" spans="1:8" x14ac:dyDescent="0.25">
      <c r="A76" s="333" t="s">
        <v>292</v>
      </c>
      <c r="B76" s="333" t="s">
        <v>291</v>
      </c>
      <c r="C76" s="333">
        <v>97.681970000000007</v>
      </c>
      <c r="D76" s="333" t="s">
        <v>511</v>
      </c>
      <c r="E76" s="333" t="s">
        <v>554</v>
      </c>
      <c r="F76" s="333" t="s">
        <v>460</v>
      </c>
      <c r="G76" s="335">
        <v>75</v>
      </c>
      <c r="H76" s="335">
        <v>383</v>
      </c>
    </row>
    <row r="77" spans="1:8" x14ac:dyDescent="0.25">
      <c r="A77" s="333" t="s">
        <v>290</v>
      </c>
      <c r="B77" s="333" t="s">
        <v>288</v>
      </c>
      <c r="C77" s="333">
        <v>97.669557999999995</v>
      </c>
      <c r="D77" s="333" t="s">
        <v>511</v>
      </c>
      <c r="E77" s="333" t="s">
        <v>554</v>
      </c>
      <c r="F77" s="333" t="s">
        <v>460</v>
      </c>
      <c r="G77" s="335">
        <v>69</v>
      </c>
      <c r="H77" s="335">
        <v>344</v>
      </c>
    </row>
    <row r="78" spans="1:8" x14ac:dyDescent="0.25">
      <c r="A78" s="333" t="s">
        <v>1055</v>
      </c>
      <c r="B78" s="333" t="s">
        <v>1056</v>
      </c>
      <c r="C78" s="333">
        <v>97.700940000000003</v>
      </c>
      <c r="D78" s="333" t="s">
        <v>511</v>
      </c>
      <c r="E78" s="333" t="s">
        <v>554</v>
      </c>
      <c r="F78" s="333" t="s">
        <v>460</v>
      </c>
      <c r="G78" s="335">
        <v>37</v>
      </c>
      <c r="H78" s="335">
        <v>201</v>
      </c>
    </row>
    <row r="79" spans="1:8" x14ac:dyDescent="0.25">
      <c r="A79" s="333" t="s">
        <v>374</v>
      </c>
      <c r="B79" s="333" t="s">
        <v>295</v>
      </c>
      <c r="C79" s="333">
        <v>97.670360000000002</v>
      </c>
      <c r="D79" s="333" t="s">
        <v>511</v>
      </c>
      <c r="E79" s="333" t="s">
        <v>554</v>
      </c>
      <c r="F79" s="333" t="s">
        <v>1262</v>
      </c>
      <c r="G79" s="335">
        <v>33</v>
      </c>
      <c r="H79" s="335">
        <v>211</v>
      </c>
    </row>
    <row r="80" spans="1:8" x14ac:dyDescent="0.25">
      <c r="A80" s="333" t="s">
        <v>149</v>
      </c>
      <c r="B80" s="333" t="s">
        <v>148</v>
      </c>
      <c r="C80" s="333">
        <v>97.818979999999996</v>
      </c>
      <c r="D80" s="333" t="s">
        <v>511</v>
      </c>
      <c r="E80" s="333" t="s">
        <v>554</v>
      </c>
      <c r="F80" s="333" t="s">
        <v>460</v>
      </c>
      <c r="G80" s="335">
        <v>64</v>
      </c>
      <c r="H80" s="335">
        <v>284</v>
      </c>
    </row>
    <row r="81" spans="1:8" x14ac:dyDescent="0.25">
      <c r="A81" s="333" t="s">
        <v>611</v>
      </c>
      <c r="B81" s="333" t="s">
        <v>46</v>
      </c>
      <c r="C81" s="333">
        <v>96.339590000000001</v>
      </c>
      <c r="D81" s="333" t="s">
        <v>511</v>
      </c>
      <c r="E81" s="333" t="s">
        <v>554</v>
      </c>
      <c r="F81" s="333" t="s">
        <v>505</v>
      </c>
      <c r="G81" s="335">
        <v>12</v>
      </c>
      <c r="H81" s="335">
        <v>50</v>
      </c>
    </row>
    <row r="82" spans="1:8" x14ac:dyDescent="0.25">
      <c r="A82" s="333" t="s">
        <v>821</v>
      </c>
      <c r="B82" s="333" t="s">
        <v>297</v>
      </c>
      <c r="C82" s="333">
        <v>97.404089999999997</v>
      </c>
      <c r="D82" s="333" t="s">
        <v>511</v>
      </c>
      <c r="E82" s="333" t="s">
        <v>554</v>
      </c>
      <c r="F82" s="333" t="s">
        <v>460</v>
      </c>
      <c r="G82" s="335">
        <v>8</v>
      </c>
      <c r="H82" s="335">
        <v>39</v>
      </c>
    </row>
    <row r="83" spans="1:8" x14ac:dyDescent="0.25">
      <c r="A83" s="333" t="s">
        <v>1067</v>
      </c>
      <c r="B83" s="333" t="s">
        <v>1060</v>
      </c>
      <c r="C83" s="333">
        <v>97.709879999999998</v>
      </c>
      <c r="D83" s="333" t="s">
        <v>511</v>
      </c>
      <c r="E83" s="333" t="s">
        <v>554</v>
      </c>
      <c r="F83" s="333" t="s">
        <v>460</v>
      </c>
      <c r="G83" s="335">
        <v>121</v>
      </c>
      <c r="H83" s="335">
        <v>556</v>
      </c>
    </row>
    <row r="84" spans="1:8" x14ac:dyDescent="0.25">
      <c r="A84" s="333" t="s">
        <v>271</v>
      </c>
      <c r="B84" s="333" t="s">
        <v>270</v>
      </c>
      <c r="C84" s="333">
        <v>97.359320179999997</v>
      </c>
      <c r="D84" s="333" t="s">
        <v>511</v>
      </c>
      <c r="E84" s="333" t="s">
        <v>554</v>
      </c>
      <c r="F84" s="333" t="s">
        <v>1090</v>
      </c>
      <c r="G84" s="335">
        <v>68</v>
      </c>
      <c r="H84" s="335">
        <v>333</v>
      </c>
    </row>
    <row r="85" spans="1:8" x14ac:dyDescent="0.25">
      <c r="A85" s="333" t="s">
        <v>20</v>
      </c>
      <c r="B85" s="333" t="s">
        <v>19</v>
      </c>
      <c r="C85" s="333">
        <v>97.315860000000001</v>
      </c>
      <c r="D85" s="333" t="s">
        <v>511</v>
      </c>
      <c r="E85" s="333" t="s">
        <v>554</v>
      </c>
      <c r="F85" s="333" t="s">
        <v>1089</v>
      </c>
      <c r="G85" s="335">
        <v>21</v>
      </c>
      <c r="H85" s="335">
        <v>111</v>
      </c>
    </row>
    <row r="86" spans="1:8" x14ac:dyDescent="0.25">
      <c r="A86" s="333" t="s">
        <v>108</v>
      </c>
      <c r="B86" s="333" t="s">
        <v>107</v>
      </c>
      <c r="C86" s="333">
        <v>96.341352999999998</v>
      </c>
      <c r="D86" s="333" t="s">
        <v>511</v>
      </c>
      <c r="E86" s="333" t="s">
        <v>554</v>
      </c>
      <c r="F86" s="333" t="s">
        <v>1090</v>
      </c>
      <c r="G86" s="335">
        <v>51</v>
      </c>
      <c r="H86" s="335">
        <v>225</v>
      </c>
    </row>
    <row r="87" spans="1:8" x14ac:dyDescent="0.25">
      <c r="A87" s="333" t="s">
        <v>178</v>
      </c>
      <c r="B87" s="333" t="s">
        <v>177</v>
      </c>
      <c r="C87" s="333">
        <v>96.948740000000001</v>
      </c>
      <c r="D87" s="333" t="s">
        <v>511</v>
      </c>
      <c r="E87" s="333" t="s">
        <v>554</v>
      </c>
      <c r="F87" s="333" t="s">
        <v>460</v>
      </c>
      <c r="G87" s="335">
        <v>12</v>
      </c>
      <c r="H87" s="335">
        <v>46</v>
      </c>
    </row>
    <row r="88" spans="1:8" x14ac:dyDescent="0.25">
      <c r="A88" s="333" t="s">
        <v>344</v>
      </c>
      <c r="B88" s="333" t="s">
        <v>343</v>
      </c>
      <c r="C88" s="333">
        <v>97.345039</v>
      </c>
      <c r="D88" s="333" t="s">
        <v>511</v>
      </c>
      <c r="E88" s="333" t="s">
        <v>554</v>
      </c>
      <c r="F88" s="333" t="s">
        <v>505</v>
      </c>
      <c r="G88" s="335">
        <v>18</v>
      </c>
      <c r="H88" s="335">
        <v>82</v>
      </c>
    </row>
    <row r="89" spans="1:8" x14ac:dyDescent="0.25">
      <c r="A89" s="333" t="s">
        <v>287</v>
      </c>
      <c r="B89" s="333" t="s">
        <v>286</v>
      </c>
      <c r="C89" s="333">
        <v>96.364949999999993</v>
      </c>
      <c r="D89" s="333" t="s">
        <v>511</v>
      </c>
      <c r="E89" s="333" t="s">
        <v>554</v>
      </c>
      <c r="F89" s="333" t="s">
        <v>460</v>
      </c>
      <c r="G89" s="335">
        <v>19</v>
      </c>
      <c r="H89" s="335">
        <v>102</v>
      </c>
    </row>
    <row r="90" spans="1:8" x14ac:dyDescent="0.25">
      <c r="A90" s="333" t="s">
        <v>215</v>
      </c>
      <c r="B90" s="333" t="s">
        <v>214</v>
      </c>
      <c r="C90" s="333">
        <v>97.669366999999994</v>
      </c>
      <c r="D90" s="333" t="s">
        <v>513</v>
      </c>
      <c r="E90" s="333" t="s">
        <v>554</v>
      </c>
      <c r="F90" s="333" t="s">
        <v>1089</v>
      </c>
      <c r="G90" s="335">
        <v>355</v>
      </c>
      <c r="H90" s="335">
        <v>1684</v>
      </c>
    </row>
    <row r="91" spans="1:8" x14ac:dyDescent="0.25">
      <c r="A91" s="333" t="s">
        <v>269</v>
      </c>
      <c r="B91" s="333" t="s">
        <v>268</v>
      </c>
      <c r="C91" s="333">
        <v>97.394547000000003</v>
      </c>
      <c r="D91" s="333" t="s">
        <v>511</v>
      </c>
      <c r="E91" s="333" t="s">
        <v>554</v>
      </c>
      <c r="F91" s="333" t="s">
        <v>460</v>
      </c>
      <c r="G91" s="335">
        <v>67</v>
      </c>
      <c r="H91" s="335">
        <v>289</v>
      </c>
    </row>
    <row r="92" spans="1:8" x14ac:dyDescent="0.25">
      <c r="A92" s="333" t="s">
        <v>229</v>
      </c>
      <c r="B92" s="333" t="s">
        <v>228</v>
      </c>
      <c r="C92" s="333">
        <v>97.724483000000006</v>
      </c>
      <c r="D92" s="333" t="s">
        <v>511</v>
      </c>
      <c r="E92" s="333" t="s">
        <v>554</v>
      </c>
      <c r="F92" s="333" t="s">
        <v>460</v>
      </c>
      <c r="G92" s="335">
        <v>49</v>
      </c>
      <c r="H92" s="335">
        <v>300</v>
      </c>
    </row>
    <row r="93" spans="1:8" x14ac:dyDescent="0.25">
      <c r="A93" s="333" t="s">
        <v>273</v>
      </c>
      <c r="B93" s="333" t="s">
        <v>272</v>
      </c>
      <c r="C93" s="333">
        <v>97.4345</v>
      </c>
      <c r="D93" s="333" t="s">
        <v>511</v>
      </c>
      <c r="E93" s="333" t="s">
        <v>554</v>
      </c>
      <c r="F93" s="333" t="s">
        <v>1090</v>
      </c>
      <c r="G93" s="335">
        <v>46</v>
      </c>
      <c r="H93" s="335">
        <v>278</v>
      </c>
    </row>
    <row r="94" spans="1:8" x14ac:dyDescent="0.25">
      <c r="A94" s="333" t="s">
        <v>219</v>
      </c>
      <c r="B94" s="333" t="s">
        <v>218</v>
      </c>
      <c r="C94" s="333">
        <v>97.752667000000002</v>
      </c>
      <c r="D94" s="333" t="s">
        <v>513</v>
      </c>
      <c r="E94" s="333" t="s">
        <v>554</v>
      </c>
      <c r="F94" s="333" t="s">
        <v>1089</v>
      </c>
      <c r="G94" s="335">
        <v>599</v>
      </c>
      <c r="H94" s="335">
        <v>3633</v>
      </c>
    </row>
    <row r="95" spans="1:8" x14ac:dyDescent="0.25">
      <c r="A95" s="333" t="s">
        <v>864</v>
      </c>
      <c r="B95" s="333" t="s">
        <v>863</v>
      </c>
      <c r="C95" s="333">
        <v>98.377780000000001</v>
      </c>
      <c r="D95" s="333" t="s">
        <v>511</v>
      </c>
      <c r="E95" s="333" t="s">
        <v>554</v>
      </c>
      <c r="F95" s="333" t="s">
        <v>1090</v>
      </c>
      <c r="G95" s="335">
        <v>61</v>
      </c>
      <c r="H95" s="335">
        <v>273</v>
      </c>
    </row>
    <row r="96" spans="1:8" x14ac:dyDescent="0.25">
      <c r="A96" s="333" t="s">
        <v>366</v>
      </c>
      <c r="B96" s="333" t="s">
        <v>376</v>
      </c>
      <c r="C96" s="333">
        <v>97.252650000000003</v>
      </c>
      <c r="D96" s="333" t="s">
        <v>511</v>
      </c>
      <c r="E96" s="333" t="s">
        <v>554</v>
      </c>
      <c r="F96" s="333" t="s">
        <v>460</v>
      </c>
      <c r="G96" s="335">
        <v>153</v>
      </c>
      <c r="H96" s="335">
        <v>773</v>
      </c>
    </row>
    <row r="97" spans="1:8" x14ac:dyDescent="0.25">
      <c r="A97" s="333" t="s">
        <v>355</v>
      </c>
      <c r="B97" s="333" t="s">
        <v>354</v>
      </c>
      <c r="C97" s="333">
        <v>97.990555999999998</v>
      </c>
      <c r="D97" s="333" t="s">
        <v>513</v>
      </c>
      <c r="E97" s="333" t="s">
        <v>554</v>
      </c>
      <c r="F97" s="333" t="s">
        <v>1090</v>
      </c>
      <c r="G97" s="335">
        <v>98</v>
      </c>
      <c r="H97" s="335">
        <v>563</v>
      </c>
    </row>
    <row r="98" spans="1:8" x14ac:dyDescent="0.25">
      <c r="A98" s="333" t="s">
        <v>318</v>
      </c>
      <c r="B98" s="333" t="s">
        <v>317</v>
      </c>
      <c r="C98" s="333">
        <v>97.441166388888902</v>
      </c>
      <c r="D98" s="333" t="s">
        <v>511</v>
      </c>
      <c r="E98" s="333" t="s">
        <v>554</v>
      </c>
      <c r="F98" s="333" t="s">
        <v>505</v>
      </c>
      <c r="G98" s="335">
        <v>91</v>
      </c>
      <c r="H98" s="335">
        <v>329</v>
      </c>
    </row>
    <row r="99" spans="1:8" x14ac:dyDescent="0.25">
      <c r="A99" s="333" t="s">
        <v>342</v>
      </c>
      <c r="B99" s="333" t="s">
        <v>341</v>
      </c>
      <c r="C99" s="333">
        <v>97.438432380952406</v>
      </c>
      <c r="D99" s="333" t="s">
        <v>511</v>
      </c>
      <c r="E99" s="333" t="s">
        <v>554</v>
      </c>
      <c r="F99" s="333" t="s">
        <v>460</v>
      </c>
      <c r="G99" s="335">
        <v>64</v>
      </c>
      <c r="H99" s="335">
        <v>324</v>
      </c>
    </row>
    <row r="100" spans="1:8" x14ac:dyDescent="0.25">
      <c r="A100" s="333" t="s">
        <v>338</v>
      </c>
      <c r="B100" s="333" t="s">
        <v>337</v>
      </c>
      <c r="C100" s="333">
        <v>97.437472666666693</v>
      </c>
      <c r="D100" s="333" t="s">
        <v>511</v>
      </c>
      <c r="E100" s="333" t="s">
        <v>554</v>
      </c>
      <c r="F100" s="333" t="s">
        <v>505</v>
      </c>
      <c r="G100" s="335">
        <v>31</v>
      </c>
      <c r="H100" s="335">
        <v>172</v>
      </c>
    </row>
    <row r="101" spans="1:8" x14ac:dyDescent="0.25">
      <c r="A101" s="333" t="s">
        <v>351</v>
      </c>
      <c r="B101" s="333" t="s">
        <v>350</v>
      </c>
      <c r="C101" s="333">
        <v>97.432495000000003</v>
      </c>
      <c r="D101" s="333" t="s">
        <v>511</v>
      </c>
      <c r="E101" s="333" t="s">
        <v>554</v>
      </c>
      <c r="F101" s="333" t="s">
        <v>505</v>
      </c>
      <c r="G101" s="335">
        <v>87</v>
      </c>
      <c r="H101" s="335">
        <v>479</v>
      </c>
    </row>
    <row r="102" spans="1:8" x14ac:dyDescent="0.25">
      <c r="A102" s="333" t="s">
        <v>118</v>
      </c>
      <c r="B102" s="333" t="s">
        <v>117</v>
      </c>
      <c r="C102" s="333">
        <v>96.279200000000003</v>
      </c>
      <c r="D102" s="333" t="s">
        <v>511</v>
      </c>
      <c r="E102" s="333" t="s">
        <v>554</v>
      </c>
      <c r="F102" s="333" t="s">
        <v>505</v>
      </c>
      <c r="G102" s="335">
        <v>10</v>
      </c>
      <c r="H102" s="335">
        <v>39</v>
      </c>
    </row>
    <row r="103" spans="1:8" x14ac:dyDescent="0.25">
      <c r="A103" s="333" t="s">
        <v>22</v>
      </c>
      <c r="B103" s="333" t="s">
        <v>21</v>
      </c>
      <c r="C103" s="333">
        <v>97.229116811594196</v>
      </c>
      <c r="D103" s="333" t="s">
        <v>511</v>
      </c>
      <c r="E103" s="333" t="s">
        <v>554</v>
      </c>
      <c r="F103" s="333" t="s">
        <v>460</v>
      </c>
      <c r="G103" s="335">
        <v>626</v>
      </c>
      <c r="H103" s="335">
        <v>3822</v>
      </c>
    </row>
    <row r="104" spans="1:8" x14ac:dyDescent="0.25">
      <c r="A104" s="333" t="s">
        <v>124</v>
      </c>
      <c r="B104" s="333" t="s">
        <v>123</v>
      </c>
      <c r="C104" s="333">
        <v>96.353030000000004</v>
      </c>
      <c r="D104" s="333" t="s">
        <v>511</v>
      </c>
      <c r="E104" s="333" t="s">
        <v>554</v>
      </c>
      <c r="F104" s="333" t="s">
        <v>460</v>
      </c>
      <c r="G104" s="335">
        <v>8</v>
      </c>
      <c r="H104" s="335">
        <v>36</v>
      </c>
    </row>
    <row r="105" spans="1:8" x14ac:dyDescent="0.25">
      <c r="A105" s="333" t="s">
        <v>1019</v>
      </c>
      <c r="B105" s="333" t="s">
        <v>1020</v>
      </c>
      <c r="C105" s="333">
        <v>98.356260000000006</v>
      </c>
      <c r="D105" s="333" t="s">
        <v>511</v>
      </c>
      <c r="E105" s="333" t="s">
        <v>554</v>
      </c>
      <c r="F105" s="333" t="s">
        <v>1090</v>
      </c>
      <c r="G105" s="335">
        <v>31</v>
      </c>
      <c r="H105" s="335">
        <v>180</v>
      </c>
    </row>
    <row r="106" spans="1:8" x14ac:dyDescent="0.25">
      <c r="A106" s="333" t="s">
        <v>225</v>
      </c>
      <c r="B106" s="333" t="s">
        <v>224</v>
      </c>
      <c r="C106" s="333">
        <v>97.710864000000001</v>
      </c>
      <c r="D106" s="333" t="s">
        <v>511</v>
      </c>
      <c r="E106" s="333" t="s">
        <v>554</v>
      </c>
      <c r="F106" s="333" t="s">
        <v>460</v>
      </c>
      <c r="G106" s="335">
        <v>41</v>
      </c>
      <c r="H106" s="335">
        <v>253</v>
      </c>
    </row>
    <row r="107" spans="1:8" x14ac:dyDescent="0.25">
      <c r="A107" s="333" t="s">
        <v>277</v>
      </c>
      <c r="B107" s="333" t="s">
        <v>276</v>
      </c>
      <c r="C107" s="333">
        <v>97.399628000000007</v>
      </c>
      <c r="D107" s="333" t="s">
        <v>511</v>
      </c>
      <c r="E107" s="333" t="s">
        <v>554</v>
      </c>
      <c r="F107" s="333" t="s">
        <v>460</v>
      </c>
      <c r="G107" s="335">
        <v>90</v>
      </c>
      <c r="H107" s="335">
        <v>405</v>
      </c>
    </row>
    <row r="108" spans="1:8" x14ac:dyDescent="0.25">
      <c r="A108" s="333" t="s">
        <v>279</v>
      </c>
      <c r="B108" s="333" t="s">
        <v>278</v>
      </c>
      <c r="C108" s="333">
        <v>97.418004999999994</v>
      </c>
      <c r="D108" s="333" t="s">
        <v>511</v>
      </c>
      <c r="E108" s="333" t="s">
        <v>554</v>
      </c>
      <c r="F108" s="333" t="s">
        <v>505</v>
      </c>
      <c r="G108" s="335">
        <v>22</v>
      </c>
      <c r="H108" s="335">
        <v>111</v>
      </c>
    </row>
    <row r="109" spans="1:8" x14ac:dyDescent="0.25">
      <c r="A109" s="333" t="s">
        <v>347</v>
      </c>
      <c r="B109" s="333" t="s">
        <v>346</v>
      </c>
      <c r="C109" s="333">
        <v>98.025662999999994</v>
      </c>
      <c r="D109" s="333" t="s">
        <v>511</v>
      </c>
      <c r="E109" s="333" t="s">
        <v>554</v>
      </c>
      <c r="F109" s="333" t="s">
        <v>460</v>
      </c>
      <c r="G109" s="335">
        <v>182</v>
      </c>
      <c r="H109" s="335">
        <v>974</v>
      </c>
    </row>
    <row r="110" spans="1:8" x14ac:dyDescent="0.25">
      <c r="A110" s="333" t="s">
        <v>306</v>
      </c>
      <c r="B110" s="333" t="s">
        <v>305</v>
      </c>
      <c r="C110" s="333">
        <v>96.807353000000006</v>
      </c>
      <c r="D110" s="333" t="s">
        <v>511</v>
      </c>
      <c r="E110" s="333" t="s">
        <v>554</v>
      </c>
      <c r="F110" s="333" t="s">
        <v>460</v>
      </c>
      <c r="G110" s="335">
        <v>86</v>
      </c>
      <c r="H110" s="335">
        <v>313</v>
      </c>
    </row>
    <row r="111" spans="1:8" x14ac:dyDescent="0.25">
      <c r="A111" s="333" t="s">
        <v>308</v>
      </c>
      <c r="B111" s="333" t="s">
        <v>307</v>
      </c>
      <c r="C111" s="333">
        <v>96.807353000000006</v>
      </c>
      <c r="D111" s="333" t="s">
        <v>511</v>
      </c>
      <c r="E111" s="333" t="s">
        <v>554</v>
      </c>
      <c r="F111" s="333" t="s">
        <v>1089</v>
      </c>
      <c r="G111" s="335">
        <v>32</v>
      </c>
      <c r="H111" s="335">
        <v>136</v>
      </c>
    </row>
    <row r="112" spans="1:8" x14ac:dyDescent="0.25">
      <c r="A112" s="333" t="s">
        <v>281</v>
      </c>
      <c r="B112" s="333" t="s">
        <v>280</v>
      </c>
      <c r="C112" s="333">
        <v>97.419403000000003</v>
      </c>
      <c r="D112" s="333" t="s">
        <v>511</v>
      </c>
      <c r="E112" s="333" t="s">
        <v>554</v>
      </c>
      <c r="F112" s="333" t="s">
        <v>460</v>
      </c>
      <c r="G112" s="335">
        <v>89</v>
      </c>
      <c r="H112" s="335">
        <v>489</v>
      </c>
    </row>
    <row r="113" spans="1:8" x14ac:dyDescent="0.25">
      <c r="A113" s="333" t="s">
        <v>181</v>
      </c>
      <c r="B113" s="333" t="s">
        <v>179</v>
      </c>
      <c r="C113" s="333">
        <v>96.367059999999995</v>
      </c>
      <c r="D113" s="333" t="s">
        <v>511</v>
      </c>
      <c r="E113" s="333" t="s">
        <v>554</v>
      </c>
      <c r="F113" s="333" t="s">
        <v>1090</v>
      </c>
      <c r="G113" s="335">
        <v>12</v>
      </c>
      <c r="H113" s="335">
        <v>62</v>
      </c>
    </row>
    <row r="114" spans="1:8" x14ac:dyDescent="0.25">
      <c r="A114" s="333" t="s">
        <v>808</v>
      </c>
      <c r="B114" s="333" t="s">
        <v>812</v>
      </c>
      <c r="C114" s="333">
        <v>97.568836000000005</v>
      </c>
      <c r="D114" s="333" t="s">
        <v>511</v>
      </c>
      <c r="E114" s="333" t="s">
        <v>554</v>
      </c>
      <c r="F114" s="333" t="s">
        <v>859</v>
      </c>
      <c r="G114" s="335">
        <v>5</v>
      </c>
      <c r="H114" s="335">
        <v>32</v>
      </c>
    </row>
    <row r="115" spans="1:8" x14ac:dyDescent="0.25">
      <c r="A115" s="333" t="s">
        <v>24</v>
      </c>
      <c r="B115" s="333" t="s">
        <v>23</v>
      </c>
      <c r="C115" s="333">
        <v>97.227789999999999</v>
      </c>
      <c r="D115" s="333" t="s">
        <v>511</v>
      </c>
      <c r="E115" s="333" t="s">
        <v>554</v>
      </c>
      <c r="F115" s="333" t="s">
        <v>505</v>
      </c>
      <c r="G115" s="335">
        <v>21</v>
      </c>
      <c r="H115" s="335">
        <v>95</v>
      </c>
    </row>
    <row r="116" spans="1:8" x14ac:dyDescent="0.25">
      <c r="A116" s="333" t="s">
        <v>238</v>
      </c>
      <c r="B116" s="333" t="s">
        <v>236</v>
      </c>
      <c r="C116" s="333">
        <v>97.386718999999999</v>
      </c>
      <c r="D116" s="333" t="s">
        <v>511</v>
      </c>
      <c r="E116" s="333" t="s">
        <v>554</v>
      </c>
      <c r="F116" s="333" t="s">
        <v>460</v>
      </c>
      <c r="G116" s="335">
        <v>52</v>
      </c>
      <c r="H116" s="335">
        <v>263</v>
      </c>
    </row>
    <row r="117" spans="1:8" x14ac:dyDescent="0.25">
      <c r="A117" s="333" t="s">
        <v>249</v>
      </c>
      <c r="B117" s="333" t="s">
        <v>248</v>
      </c>
      <c r="C117" s="333">
        <v>97.389778000000007</v>
      </c>
      <c r="D117" s="333" t="s">
        <v>511</v>
      </c>
      <c r="E117" s="333" t="s">
        <v>554</v>
      </c>
      <c r="F117" s="333" t="s">
        <v>505</v>
      </c>
      <c r="G117" s="335">
        <v>4</v>
      </c>
      <c r="H117" s="335">
        <v>21</v>
      </c>
    </row>
    <row r="118" spans="1:8" x14ac:dyDescent="0.25">
      <c r="A118" s="333" t="s">
        <v>251</v>
      </c>
      <c r="B118" s="333" t="s">
        <v>250</v>
      </c>
      <c r="C118" s="333">
        <v>97.377662999999998</v>
      </c>
      <c r="D118" s="333" t="s">
        <v>511</v>
      </c>
      <c r="E118" s="333" t="s">
        <v>554</v>
      </c>
      <c r="F118" s="333" t="s">
        <v>460</v>
      </c>
      <c r="G118" s="335">
        <v>32</v>
      </c>
      <c r="H118" s="335">
        <v>169</v>
      </c>
    </row>
    <row r="119" spans="1:8" x14ac:dyDescent="0.25">
      <c r="A119" s="333" t="s">
        <v>275</v>
      </c>
      <c r="B119" s="333" t="s">
        <v>274</v>
      </c>
      <c r="C119" s="333">
        <v>97.382192000000003</v>
      </c>
      <c r="D119" s="333" t="s">
        <v>511</v>
      </c>
      <c r="E119" s="333" t="s">
        <v>554</v>
      </c>
      <c r="F119" s="333" t="s">
        <v>460</v>
      </c>
      <c r="G119" s="335">
        <v>46</v>
      </c>
      <c r="H119" s="335">
        <v>228</v>
      </c>
    </row>
    <row r="120" spans="1:8" x14ac:dyDescent="0.25">
      <c r="A120" s="333" t="s">
        <v>349</v>
      </c>
      <c r="B120" s="333" t="s">
        <v>348</v>
      </c>
      <c r="C120" s="333">
        <v>97.428251153846105</v>
      </c>
      <c r="D120" s="333" t="s">
        <v>511</v>
      </c>
      <c r="E120" s="333" t="s">
        <v>554</v>
      </c>
      <c r="F120" s="333" t="s">
        <v>505</v>
      </c>
      <c r="G120" s="335">
        <v>44</v>
      </c>
      <c r="H120" s="335">
        <v>182</v>
      </c>
    </row>
    <row r="121" spans="1:8" x14ac:dyDescent="0.25">
      <c r="A121" s="333" t="s">
        <v>316</v>
      </c>
      <c r="B121" s="333" t="s">
        <v>315</v>
      </c>
      <c r="C121" s="333">
        <v>97.444283730158702</v>
      </c>
      <c r="D121" s="333" t="s">
        <v>511</v>
      </c>
      <c r="E121" s="333" t="s">
        <v>554</v>
      </c>
      <c r="F121" s="333" t="s">
        <v>505</v>
      </c>
      <c r="G121" s="335">
        <v>70</v>
      </c>
      <c r="H121" s="335">
        <v>288</v>
      </c>
    </row>
    <row r="122" spans="1:8" x14ac:dyDescent="0.25">
      <c r="A122" s="333" t="s">
        <v>126</v>
      </c>
      <c r="B122" s="333" t="s">
        <v>125</v>
      </c>
      <c r="C122" s="333">
        <v>96.286680000000004</v>
      </c>
      <c r="D122" s="333" t="s">
        <v>511</v>
      </c>
      <c r="E122" s="333" t="s">
        <v>554</v>
      </c>
      <c r="F122" s="333" t="s">
        <v>460</v>
      </c>
      <c r="G122" s="335">
        <v>35</v>
      </c>
      <c r="H122" s="335">
        <v>173</v>
      </c>
    </row>
    <row r="123" spans="1:8" x14ac:dyDescent="0.25">
      <c r="A123" s="333" t="s">
        <v>353</v>
      </c>
      <c r="B123" s="333" t="s">
        <v>352</v>
      </c>
      <c r="C123" s="333">
        <v>97.546893999999995</v>
      </c>
      <c r="D123" s="333" t="s">
        <v>513</v>
      </c>
      <c r="E123" s="333" t="s">
        <v>554</v>
      </c>
      <c r="F123" s="333" t="s">
        <v>1090</v>
      </c>
      <c r="G123" s="335">
        <v>1371</v>
      </c>
      <c r="H123" s="335">
        <v>6701</v>
      </c>
    </row>
    <row r="124" spans="1:8" x14ac:dyDescent="0.25">
      <c r="A124" s="333" t="s">
        <v>283</v>
      </c>
      <c r="B124" s="333" t="s">
        <v>282</v>
      </c>
      <c r="C124" s="333">
        <v>97.403878500000005</v>
      </c>
      <c r="D124" s="333" t="s">
        <v>511</v>
      </c>
      <c r="E124" s="333" t="s">
        <v>554</v>
      </c>
      <c r="F124" s="333" t="s">
        <v>505</v>
      </c>
      <c r="G124" s="335">
        <v>7</v>
      </c>
      <c r="H124" s="335">
        <v>37</v>
      </c>
    </row>
    <row r="125" spans="1:8" x14ac:dyDescent="0.25">
      <c r="A125" s="333" t="s">
        <v>26</v>
      </c>
      <c r="B125" s="333" t="s">
        <v>25</v>
      </c>
      <c r="C125" s="333">
        <v>97.240639999999999</v>
      </c>
      <c r="D125" s="333" t="s">
        <v>511</v>
      </c>
      <c r="E125" s="333" t="s">
        <v>554</v>
      </c>
      <c r="F125" s="333" t="s">
        <v>505</v>
      </c>
      <c r="G125" s="335">
        <v>15</v>
      </c>
      <c r="H125" s="335">
        <v>75</v>
      </c>
    </row>
    <row r="126" spans="1:8" x14ac:dyDescent="0.25">
      <c r="A126" s="333" t="s">
        <v>140</v>
      </c>
      <c r="B126" s="333" t="s">
        <v>139</v>
      </c>
      <c r="C126" s="333">
        <v>96.306910999999999</v>
      </c>
      <c r="D126" s="333" t="s">
        <v>511</v>
      </c>
      <c r="E126" s="333" t="s">
        <v>554</v>
      </c>
      <c r="F126" s="333" t="s">
        <v>460</v>
      </c>
      <c r="G126" s="335">
        <v>12</v>
      </c>
      <c r="H126" s="335">
        <v>43</v>
      </c>
    </row>
    <row r="127" spans="1:8" x14ac:dyDescent="0.25">
      <c r="A127" s="333" t="s">
        <v>373</v>
      </c>
      <c r="B127" s="333" t="s">
        <v>387</v>
      </c>
      <c r="C127" s="333">
        <v>97.837040000000002</v>
      </c>
      <c r="D127" s="333" t="s">
        <v>511</v>
      </c>
      <c r="E127" s="333" t="s">
        <v>554</v>
      </c>
      <c r="F127" s="333" t="s">
        <v>460</v>
      </c>
      <c r="G127" s="335">
        <v>189</v>
      </c>
      <c r="H127" s="335">
        <v>917</v>
      </c>
    </row>
    <row r="128" spans="1:8" x14ac:dyDescent="0.25">
      <c r="A128" s="333" t="s">
        <v>1120</v>
      </c>
      <c r="B128" s="333" t="s">
        <v>1121</v>
      </c>
      <c r="C128" s="333">
        <v>96.637</v>
      </c>
      <c r="D128" s="333" t="s">
        <v>511</v>
      </c>
      <c r="E128" s="333" t="s">
        <v>554</v>
      </c>
      <c r="F128" s="333" t="s">
        <v>460</v>
      </c>
      <c r="G128" s="335">
        <v>52</v>
      </c>
      <c r="H128" s="335">
        <v>242</v>
      </c>
    </row>
    <row r="129" spans="1:8" x14ac:dyDescent="0.25">
      <c r="A129" s="333" t="s">
        <v>1243</v>
      </c>
      <c r="B129" s="333" t="s">
        <v>345</v>
      </c>
      <c r="C129" s="333">
        <v>97.751389000000003</v>
      </c>
      <c r="D129" s="333" t="s">
        <v>513</v>
      </c>
      <c r="E129" s="333" t="s">
        <v>554</v>
      </c>
      <c r="F129" s="333" t="s">
        <v>460</v>
      </c>
      <c r="G129" s="335">
        <v>174</v>
      </c>
      <c r="H129" s="335">
        <v>956</v>
      </c>
    </row>
    <row r="130" spans="1:8" x14ac:dyDescent="0.25">
      <c r="A130" s="333" t="s">
        <v>1244</v>
      </c>
      <c r="B130" s="333" t="s">
        <v>241</v>
      </c>
      <c r="C130" s="333">
        <v>97.379987</v>
      </c>
      <c r="D130" s="333" t="s">
        <v>511</v>
      </c>
      <c r="E130" s="333" t="s">
        <v>554</v>
      </c>
      <c r="F130" s="333" t="s">
        <v>505</v>
      </c>
      <c r="G130" s="335">
        <v>54</v>
      </c>
      <c r="H130" s="335">
        <v>259</v>
      </c>
    </row>
    <row r="131" spans="1:8" x14ac:dyDescent="0.25">
      <c r="A131" s="333" t="s">
        <v>1245</v>
      </c>
      <c r="B131" s="333" t="s">
        <v>356</v>
      </c>
      <c r="C131" s="333">
        <v>97.756789999999995</v>
      </c>
      <c r="D131" s="333" t="s">
        <v>513</v>
      </c>
      <c r="E131" s="333" t="s">
        <v>554</v>
      </c>
      <c r="F131" s="333" t="s">
        <v>460</v>
      </c>
      <c r="G131" s="335">
        <v>404</v>
      </c>
      <c r="H131" s="335">
        <v>1894</v>
      </c>
    </row>
    <row r="132" spans="1:8" x14ac:dyDescent="0.25">
      <c r="A132" s="333" t="s">
        <v>1260</v>
      </c>
      <c r="B132" s="333" t="s">
        <v>1259</v>
      </c>
      <c r="C132" s="333">
        <v>97.416121000000004</v>
      </c>
      <c r="D132" s="333" t="s">
        <v>511</v>
      </c>
      <c r="E132" s="333" t="s">
        <v>554</v>
      </c>
      <c r="F132" s="333" t="s">
        <v>460</v>
      </c>
      <c r="G132" s="335">
        <v>59</v>
      </c>
      <c r="H132" s="335">
        <v>274</v>
      </c>
    </row>
    <row r="133" spans="1:8" x14ac:dyDescent="0.25">
      <c r="A133" s="333" t="s">
        <v>1275</v>
      </c>
      <c r="B133" s="333" t="s">
        <v>1258</v>
      </c>
      <c r="C133" s="333">
        <v>98.218626999999998</v>
      </c>
      <c r="D133" s="333" t="s">
        <v>511</v>
      </c>
      <c r="E133" s="333" t="s">
        <v>554</v>
      </c>
      <c r="F133" s="333" t="s">
        <v>460</v>
      </c>
      <c r="G133" s="335">
        <v>30</v>
      </c>
      <c r="H133" s="335">
        <v>212</v>
      </c>
    </row>
    <row r="134" spans="1:8" x14ac:dyDescent="0.25">
      <c r="A134" s="333" t="s">
        <v>1277</v>
      </c>
      <c r="B134" s="333" t="s">
        <v>1270</v>
      </c>
      <c r="C134" s="333">
        <v>96.793999999999997</v>
      </c>
      <c r="D134" s="333" t="s">
        <v>511</v>
      </c>
      <c r="E134" s="333" t="s">
        <v>554</v>
      </c>
      <c r="F134" s="333" t="s">
        <v>460</v>
      </c>
      <c r="G134" s="335">
        <v>28</v>
      </c>
      <c r="H134" s="335">
        <v>136</v>
      </c>
    </row>
    <row r="135" spans="1:8" x14ac:dyDescent="0.25">
      <c r="A135" s="333" t="s">
        <v>1268</v>
      </c>
      <c r="B135" s="333" t="s">
        <v>1271</v>
      </c>
      <c r="C135" s="333">
        <v>96.942279999999997</v>
      </c>
      <c r="D135" s="333" t="s">
        <v>511</v>
      </c>
      <c r="E135" s="333" t="s">
        <v>554</v>
      </c>
      <c r="F135" s="333" t="s">
        <v>1090</v>
      </c>
      <c r="G135" s="335">
        <v>7</v>
      </c>
      <c r="H135" s="335">
        <v>31</v>
      </c>
    </row>
    <row r="136" spans="1:8" x14ac:dyDescent="0.25">
      <c r="A136" s="333" t="s">
        <v>1298</v>
      </c>
      <c r="B136" s="333" t="s">
        <v>1299</v>
      </c>
      <c r="C136" s="333">
        <v>97.745480999999998</v>
      </c>
      <c r="D136" s="333" t="s">
        <v>511</v>
      </c>
      <c r="E136" s="333" t="s">
        <v>554</v>
      </c>
      <c r="F136" s="333" t="s">
        <v>460</v>
      </c>
      <c r="G136" s="335">
        <v>146</v>
      </c>
      <c r="H136" s="335">
        <v>575</v>
      </c>
    </row>
    <row r="137" spans="1:8" x14ac:dyDescent="0.25">
      <c r="A137" s="333" t="s">
        <v>1300</v>
      </c>
      <c r="B137" s="333" t="s">
        <v>1301</v>
      </c>
      <c r="C137" s="333">
        <v>97.75609</v>
      </c>
      <c r="D137" s="333" t="s">
        <v>511</v>
      </c>
      <c r="E137" s="333" t="s">
        <v>554</v>
      </c>
      <c r="F137" s="333" t="s">
        <v>460</v>
      </c>
      <c r="G137" s="335">
        <v>67</v>
      </c>
      <c r="H137" s="335">
        <v>244</v>
      </c>
    </row>
    <row r="138" spans="1:8" x14ac:dyDescent="0.25">
      <c r="A138" s="333" t="s">
        <v>1313</v>
      </c>
      <c r="B138" s="333" t="s">
        <v>1314</v>
      </c>
      <c r="C138" s="333">
        <v>97.461271999999994</v>
      </c>
      <c r="D138" s="333" t="s">
        <v>511</v>
      </c>
      <c r="E138" s="333" t="s">
        <v>986</v>
      </c>
      <c r="F138" s="333" t="s">
        <v>859</v>
      </c>
      <c r="G138" s="335"/>
      <c r="H138" s="335">
        <v>49</v>
      </c>
    </row>
    <row r="139" spans="1:8" x14ac:dyDescent="0.25">
      <c r="A139" s="333" t="s">
        <v>1315</v>
      </c>
      <c r="B139" s="333" t="s">
        <v>1316</v>
      </c>
      <c r="C139" s="333">
        <v>97.868876999999998</v>
      </c>
      <c r="D139" s="333" t="s">
        <v>511</v>
      </c>
      <c r="E139" s="333" t="s">
        <v>554</v>
      </c>
      <c r="F139" s="333" t="s">
        <v>859</v>
      </c>
      <c r="G139" s="335">
        <v>105</v>
      </c>
      <c r="H139" s="335">
        <v>568</v>
      </c>
    </row>
    <row r="140" spans="1:8" x14ac:dyDescent="0.25">
      <c r="A140" s="333" t="s">
        <v>1409</v>
      </c>
      <c r="B140" s="333" t="s">
        <v>1410</v>
      </c>
      <c r="C140" s="333">
        <v>96.637</v>
      </c>
      <c r="D140" s="333" t="s">
        <v>511</v>
      </c>
      <c r="E140" s="333" t="s">
        <v>554</v>
      </c>
      <c r="F140" s="333" t="s">
        <v>859</v>
      </c>
      <c r="G140" s="335">
        <v>6</v>
      </c>
      <c r="H140" s="335">
        <v>9</v>
      </c>
    </row>
    <row r="141" spans="1:8" x14ac:dyDescent="0.25">
      <c r="A141" s="333" t="s">
        <v>1403</v>
      </c>
      <c r="B141" s="333" t="s">
        <v>1395</v>
      </c>
      <c r="C141" s="333">
        <v>97.796999999999997</v>
      </c>
      <c r="D141" s="333" t="s">
        <v>511</v>
      </c>
      <c r="E141" s="333" t="s">
        <v>554</v>
      </c>
      <c r="F141" s="333" t="s">
        <v>460</v>
      </c>
      <c r="G141" s="335">
        <v>146</v>
      </c>
      <c r="H141" s="335">
        <v>677</v>
      </c>
    </row>
    <row r="142" spans="1:8" x14ac:dyDescent="0.25">
      <c r="A142" s="333" t="s">
        <v>1404</v>
      </c>
      <c r="B142" s="333" t="s">
        <v>1398</v>
      </c>
      <c r="C142" s="333">
        <v>97.504999999999995</v>
      </c>
      <c r="D142" s="333" t="s">
        <v>511</v>
      </c>
      <c r="E142" s="333" t="s">
        <v>554</v>
      </c>
      <c r="F142" s="333" t="s">
        <v>859</v>
      </c>
      <c r="G142" s="335">
        <v>200</v>
      </c>
      <c r="H142" s="335">
        <v>827</v>
      </c>
    </row>
    <row r="143" spans="1:8" x14ac:dyDescent="0.25">
      <c r="A143" s="333" t="s">
        <v>1405</v>
      </c>
      <c r="B143" s="333" t="s">
        <v>1399</v>
      </c>
      <c r="C143" s="333">
        <v>97.506</v>
      </c>
      <c r="D143" s="333" t="s">
        <v>511</v>
      </c>
      <c r="E143" s="333" t="s">
        <v>554</v>
      </c>
      <c r="F143" s="333" t="s">
        <v>859</v>
      </c>
      <c r="G143" s="335">
        <v>61</v>
      </c>
      <c r="H143" s="335">
        <v>247</v>
      </c>
    </row>
    <row r="144" spans="1:8" x14ac:dyDescent="0.25">
      <c r="A144" s="333" t="s">
        <v>1406</v>
      </c>
      <c r="B144" s="333" t="s">
        <v>1400</v>
      </c>
      <c r="C144" s="333">
        <v>97.810101000000003</v>
      </c>
      <c r="D144" s="333" t="s">
        <v>511</v>
      </c>
      <c r="E144" s="333" t="s">
        <v>554</v>
      </c>
      <c r="F144" s="333" t="s">
        <v>859</v>
      </c>
      <c r="G144" s="335">
        <v>37</v>
      </c>
      <c r="H144" s="335">
        <v>130</v>
      </c>
    </row>
    <row r="145" spans="1:8" x14ac:dyDescent="0.25">
      <c r="A145" s="333" t="s">
        <v>1413</v>
      </c>
      <c r="B145" s="333" t="s">
        <v>1396</v>
      </c>
      <c r="C145" s="333">
        <v>97.358999999999995</v>
      </c>
      <c r="D145" s="333" t="s">
        <v>511</v>
      </c>
      <c r="E145" s="333" t="s">
        <v>554</v>
      </c>
      <c r="F145" s="333" t="s">
        <v>859</v>
      </c>
      <c r="G145" s="335">
        <v>19</v>
      </c>
      <c r="H145" s="335">
        <v>82</v>
      </c>
    </row>
    <row r="146" spans="1:8" x14ac:dyDescent="0.25">
      <c r="A146" s="333" t="s">
        <v>1416</v>
      </c>
      <c r="B146" s="333" t="s">
        <v>1397</v>
      </c>
      <c r="C146" s="333" t="s">
        <v>859</v>
      </c>
      <c r="D146" s="333" t="s">
        <v>511</v>
      </c>
      <c r="E146" s="333" t="s">
        <v>554</v>
      </c>
      <c r="F146" s="333" t="s">
        <v>859</v>
      </c>
      <c r="G146" s="335">
        <v>36</v>
      </c>
      <c r="H146" s="335">
        <v>188</v>
      </c>
    </row>
    <row r="147" spans="1:8" x14ac:dyDescent="0.25">
      <c r="A147" s="333" t="s">
        <v>1419</v>
      </c>
      <c r="B147" s="333" t="s">
        <v>1401</v>
      </c>
      <c r="C147" s="333">
        <v>98.221000000000004</v>
      </c>
      <c r="D147" s="333" t="s">
        <v>511</v>
      </c>
      <c r="E147" s="333" t="s">
        <v>554</v>
      </c>
      <c r="F147" s="333" t="s">
        <v>859</v>
      </c>
      <c r="G147" s="335">
        <v>20</v>
      </c>
      <c r="H147" s="335">
        <v>75</v>
      </c>
    </row>
    <row r="148" spans="1:8" x14ac:dyDescent="0.25">
      <c r="A148" s="333" t="s">
        <v>1422</v>
      </c>
      <c r="B148" s="333" t="s">
        <v>1402</v>
      </c>
      <c r="C148" s="333">
        <v>98.337999999999994</v>
      </c>
      <c r="D148" s="333" t="s">
        <v>511</v>
      </c>
      <c r="E148" s="333" t="s">
        <v>554</v>
      </c>
      <c r="F148" s="333" t="s">
        <v>859</v>
      </c>
      <c r="G148" s="335">
        <v>30</v>
      </c>
      <c r="H148" s="335">
        <v>170</v>
      </c>
    </row>
    <row r="149" spans="1:8" x14ac:dyDescent="0.25">
      <c r="A149" s="333" t="s">
        <v>1445</v>
      </c>
      <c r="B149" s="333" t="s">
        <v>1451</v>
      </c>
      <c r="C149" s="333">
        <v>96.662092000000001</v>
      </c>
      <c r="D149" s="333" t="s">
        <v>511</v>
      </c>
      <c r="E149" s="333" t="s">
        <v>554</v>
      </c>
      <c r="F149" s="333" t="s">
        <v>859</v>
      </c>
      <c r="G149" s="335">
        <v>32</v>
      </c>
      <c r="H149" s="335">
        <v>83</v>
      </c>
    </row>
    <row r="150" spans="1:8" x14ac:dyDescent="0.25">
      <c r="A150" s="333" t="s">
        <v>1449</v>
      </c>
      <c r="B150" s="333" t="s">
        <v>1452</v>
      </c>
      <c r="C150" s="333">
        <v>96.662092000000001</v>
      </c>
      <c r="D150" s="333" t="s">
        <v>511</v>
      </c>
      <c r="E150" s="333" t="s">
        <v>554</v>
      </c>
      <c r="F150" s="333" t="s">
        <v>460</v>
      </c>
      <c r="G150" s="335">
        <v>32</v>
      </c>
      <c r="H150" s="335">
        <v>92</v>
      </c>
    </row>
    <row r="151" spans="1:8" x14ac:dyDescent="0.25">
      <c r="A151" s="333" t="s">
        <v>1446</v>
      </c>
      <c r="B151" s="333" t="s">
        <v>1453</v>
      </c>
      <c r="C151" s="333">
        <v>96.662092000000001</v>
      </c>
      <c r="D151" s="333" t="s">
        <v>511</v>
      </c>
      <c r="E151" s="333" t="s">
        <v>554</v>
      </c>
      <c r="F151" s="333" t="s">
        <v>859</v>
      </c>
      <c r="G151" s="335">
        <v>13</v>
      </c>
      <c r="H151" s="335">
        <v>47</v>
      </c>
    </row>
    <row r="152" spans="1:8" x14ac:dyDescent="0.25">
      <c r="A152" s="333" t="s">
        <v>1448</v>
      </c>
      <c r="B152" s="333" t="s">
        <v>1454</v>
      </c>
      <c r="C152" s="333">
        <v>96.662092000000001</v>
      </c>
      <c r="D152" s="333" t="s">
        <v>511</v>
      </c>
      <c r="E152" s="333" t="s">
        <v>554</v>
      </c>
      <c r="F152" s="333" t="s">
        <v>859</v>
      </c>
      <c r="G152" s="335">
        <v>7</v>
      </c>
      <c r="H152" s="335">
        <v>19</v>
      </c>
    </row>
    <row r="153" spans="1:8" x14ac:dyDescent="0.25">
      <c r="A153" s="333" t="s">
        <v>1447</v>
      </c>
      <c r="B153" s="333" t="s">
        <v>1455</v>
      </c>
      <c r="C153" s="333">
        <v>96.662092000000001</v>
      </c>
      <c r="D153" s="333" t="s">
        <v>511</v>
      </c>
      <c r="E153" s="333" t="s">
        <v>554</v>
      </c>
      <c r="F153" s="333" t="s">
        <v>859</v>
      </c>
      <c r="G153" s="335">
        <v>22</v>
      </c>
      <c r="H153" s="335">
        <v>52</v>
      </c>
    </row>
    <row r="154" spans="1:8" x14ac:dyDescent="0.25">
      <c r="A154" s="333" t="s">
        <v>1488</v>
      </c>
      <c r="B154" s="333" t="s">
        <v>1471</v>
      </c>
      <c r="C154" s="333">
        <v>97.400671000000003</v>
      </c>
      <c r="D154" s="333" t="s">
        <v>511</v>
      </c>
      <c r="E154" s="333" t="s">
        <v>554</v>
      </c>
      <c r="F154" s="333" t="s">
        <v>859</v>
      </c>
      <c r="G154" s="335">
        <v>224</v>
      </c>
      <c r="H154" s="335">
        <v>767</v>
      </c>
    </row>
    <row r="155" spans="1:8" x14ac:dyDescent="0.25">
      <c r="A155" s="333" t="s">
        <v>1490</v>
      </c>
      <c r="B155" s="333" t="s">
        <v>1472</v>
      </c>
      <c r="C155" s="333" t="s">
        <v>859</v>
      </c>
      <c r="D155" s="333" t="s">
        <v>511</v>
      </c>
      <c r="E155" s="333" t="s">
        <v>554</v>
      </c>
      <c r="F155" s="333" t="s">
        <v>859</v>
      </c>
      <c r="G155" s="335">
        <v>13</v>
      </c>
      <c r="H155" s="335">
        <v>45</v>
      </c>
    </row>
    <row r="156" spans="1:8" x14ac:dyDescent="0.25">
      <c r="A156" s="333" t="s">
        <v>1491</v>
      </c>
      <c r="B156" s="333" t="s">
        <v>1473</v>
      </c>
      <c r="C156" s="333" t="s">
        <v>859</v>
      </c>
      <c r="D156" s="333" t="s">
        <v>511</v>
      </c>
      <c r="E156" s="333" t="s">
        <v>554</v>
      </c>
      <c r="F156" s="333" t="s">
        <v>859</v>
      </c>
      <c r="G156" s="335">
        <v>41</v>
      </c>
      <c r="H156" s="335">
        <v>191</v>
      </c>
    </row>
    <row r="157" spans="1:8" x14ac:dyDescent="0.25">
      <c r="A157" s="333" t="s">
        <v>1492</v>
      </c>
      <c r="B157" s="333" t="s">
        <v>1474</v>
      </c>
      <c r="C157" s="333" t="s">
        <v>859</v>
      </c>
      <c r="D157" s="333" t="s">
        <v>511</v>
      </c>
      <c r="E157" s="333" t="s">
        <v>554</v>
      </c>
      <c r="F157" s="333" t="s">
        <v>859</v>
      </c>
      <c r="G157" s="335">
        <v>19</v>
      </c>
      <c r="H157" s="335">
        <v>66</v>
      </c>
    </row>
    <row r="158" spans="1:8" x14ac:dyDescent="0.25">
      <c r="A158" s="333" t="s">
        <v>1493</v>
      </c>
      <c r="B158" s="333" t="s">
        <v>1475</v>
      </c>
      <c r="C158" s="333" t="s">
        <v>859</v>
      </c>
      <c r="D158" s="333" t="s">
        <v>511</v>
      </c>
      <c r="E158" s="333" t="s">
        <v>554</v>
      </c>
      <c r="F158" s="333" t="s">
        <v>859</v>
      </c>
      <c r="G158" s="335">
        <v>59</v>
      </c>
      <c r="H158" s="335">
        <v>268</v>
      </c>
    </row>
    <row r="159" spans="1:8" x14ac:dyDescent="0.25">
      <c r="A159" s="333" t="s">
        <v>1499</v>
      </c>
      <c r="B159" s="333" t="s">
        <v>1487</v>
      </c>
      <c r="C159" s="333">
        <v>97.314762999999999</v>
      </c>
      <c r="D159" s="333" t="s">
        <v>511</v>
      </c>
      <c r="E159" s="333" t="s">
        <v>554</v>
      </c>
      <c r="F159" s="333" t="s">
        <v>859</v>
      </c>
      <c r="G159" s="335">
        <v>37</v>
      </c>
      <c r="H159" s="335">
        <v>120</v>
      </c>
    </row>
    <row r="160" spans="1:8" x14ac:dyDescent="0.25">
      <c r="A160" s="333" t="s">
        <v>1658</v>
      </c>
      <c r="B160" s="333" t="s">
        <v>1657</v>
      </c>
      <c r="C160" s="333">
        <v>97.947360000000003</v>
      </c>
      <c r="D160" s="333" t="s">
        <v>511</v>
      </c>
      <c r="E160" s="333" t="s">
        <v>554</v>
      </c>
      <c r="F160" s="333" t="s">
        <v>859</v>
      </c>
      <c r="G160" s="335">
        <v>40</v>
      </c>
      <c r="H160" s="335">
        <v>195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341" t="s">
        <v>498</v>
      </c>
      <c r="B1" s="333" t="s">
        <v>500</v>
      </c>
    </row>
    <row r="2" spans="1:4" hidden="1" x14ac:dyDescent="0.25"/>
    <row r="3" spans="1:4" x14ac:dyDescent="0.25">
      <c r="A3" s="341" t="s">
        <v>402</v>
      </c>
      <c r="B3" s="341" t="s">
        <v>0</v>
      </c>
      <c r="C3" s="341" t="s">
        <v>510</v>
      </c>
      <c r="D3" s="341" t="s">
        <v>558</v>
      </c>
    </row>
    <row r="4" spans="1:4" x14ac:dyDescent="0.25">
      <c r="A4" s="333" t="s">
        <v>846</v>
      </c>
      <c r="B4" s="333" t="s">
        <v>5</v>
      </c>
      <c r="C4" s="333" t="s">
        <v>14</v>
      </c>
      <c r="D4" s="333" t="s">
        <v>13</v>
      </c>
    </row>
    <row r="5" spans="1:4" x14ac:dyDescent="0.25">
      <c r="C5" s="333" t="s">
        <v>18</v>
      </c>
      <c r="D5" s="333" t="s">
        <v>17</v>
      </c>
    </row>
    <row r="6" spans="1:4" x14ac:dyDescent="0.25">
      <c r="C6" s="333" t="s">
        <v>366</v>
      </c>
      <c r="D6" s="333" t="s">
        <v>376</v>
      </c>
    </row>
    <row r="7" spans="1:4" x14ac:dyDescent="0.25">
      <c r="C7" s="333" t="s">
        <v>22</v>
      </c>
      <c r="D7" s="333" t="s">
        <v>21</v>
      </c>
    </row>
    <row r="8" spans="1:4" x14ac:dyDescent="0.25">
      <c r="C8" s="333" t="s">
        <v>26</v>
      </c>
      <c r="D8" s="333" t="s">
        <v>25</v>
      </c>
    </row>
    <row r="9" spans="1:4" x14ac:dyDescent="0.25">
      <c r="B9" s="333" t="s">
        <v>146</v>
      </c>
      <c r="C9" s="333" t="s">
        <v>369</v>
      </c>
      <c r="D9" s="333" t="s">
        <v>383</v>
      </c>
    </row>
    <row r="10" spans="1:4" x14ac:dyDescent="0.25">
      <c r="C10" s="333" t="s">
        <v>370</v>
      </c>
      <c r="D10" s="333" t="s">
        <v>384</v>
      </c>
    </row>
    <row r="11" spans="1:4" x14ac:dyDescent="0.25">
      <c r="C11" s="333" t="s">
        <v>373</v>
      </c>
      <c r="D11" s="333" t="s">
        <v>387</v>
      </c>
    </row>
    <row r="12" spans="1:4" x14ac:dyDescent="0.25">
      <c r="B12" s="333" t="s">
        <v>151</v>
      </c>
      <c r="C12" s="333" t="s">
        <v>160</v>
      </c>
      <c r="D12" s="333" t="s">
        <v>159</v>
      </c>
    </row>
    <row r="13" spans="1:4" x14ac:dyDescent="0.25">
      <c r="C13" s="333" t="s">
        <v>152</v>
      </c>
      <c r="D13" s="333" t="s">
        <v>150</v>
      </c>
    </row>
    <row r="14" spans="1:4" x14ac:dyDescent="0.25">
      <c r="B14" s="333" t="s">
        <v>185</v>
      </c>
      <c r="C14" s="333" t="s">
        <v>202</v>
      </c>
      <c r="D14" s="333" t="s">
        <v>201</v>
      </c>
    </row>
    <row r="15" spans="1:4" x14ac:dyDescent="0.25">
      <c r="C15" s="333" t="s">
        <v>209</v>
      </c>
      <c r="D15" s="333" t="s">
        <v>208</v>
      </c>
    </row>
    <row r="16" spans="1:4" x14ac:dyDescent="0.25">
      <c r="B16" s="333" t="s">
        <v>230</v>
      </c>
      <c r="C16" s="333" t="s">
        <v>1053</v>
      </c>
      <c r="D16" s="333" t="s">
        <v>1054</v>
      </c>
    </row>
    <row r="17" spans="2:4" x14ac:dyDescent="0.25">
      <c r="C17" s="333" t="s">
        <v>1063</v>
      </c>
      <c r="D17" s="333" t="s">
        <v>1064</v>
      </c>
    </row>
    <row r="18" spans="2:4" x14ac:dyDescent="0.25">
      <c r="B18" s="333" t="s">
        <v>289</v>
      </c>
      <c r="C18" s="333" t="s">
        <v>1055</v>
      </c>
      <c r="D18" s="333" t="s">
        <v>1056</v>
      </c>
    </row>
    <row r="19" spans="2:4" x14ac:dyDescent="0.25">
      <c r="C19" s="333" t="s">
        <v>1067</v>
      </c>
      <c r="D19" s="333" t="s">
        <v>1060</v>
      </c>
    </row>
    <row r="20" spans="2:4" x14ac:dyDescent="0.25">
      <c r="B20" s="333" t="s">
        <v>302</v>
      </c>
      <c r="C20" s="333" t="s">
        <v>306</v>
      </c>
      <c r="D20" s="333" t="s">
        <v>305</v>
      </c>
    </row>
    <row r="21" spans="2:4" x14ac:dyDescent="0.25">
      <c r="B21" s="333" t="s">
        <v>310</v>
      </c>
      <c r="C21" s="333" t="s">
        <v>353</v>
      </c>
      <c r="D21" s="333" t="s">
        <v>352</v>
      </c>
    </row>
    <row r="22" spans="2:4" x14ac:dyDescent="0.25">
      <c r="B22" s="333" t="s">
        <v>779</v>
      </c>
      <c r="C22" s="333" t="s">
        <v>1275</v>
      </c>
      <c r="D22" s="333" t="s">
        <v>1258</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T44" sqref="T44"/>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16" customWidth="1"/>
    <col min="21" max="21" width="19.28515625" style="116" customWidth="1"/>
    <col min="22" max="23" width="9.28515625" style="116" customWidth="1"/>
    <col min="24" max="24" width="15" style="116" customWidth="1"/>
    <col min="25" max="25" width="15.5703125" style="116" customWidth="1"/>
    <col min="26" max="26" width="17.28515625" style="116" customWidth="1"/>
    <col min="27" max="27" width="24.7109375" style="116" customWidth="1"/>
    <col min="28" max="30" width="9.28515625" style="116" customWidth="1"/>
    <col min="31" max="31" width="11.28515625" style="116" customWidth="1"/>
    <col min="32" max="32" width="12.140625" style="116" customWidth="1"/>
    <col min="33" max="33" width="13" style="116" customWidth="1"/>
    <col min="34" max="97" width="14.42578125" style="4" customWidth="1"/>
    <col min="98" max="109" width="14.42578125" style="15" customWidth="1"/>
    <col min="110" max="110" width="12.7109375" style="15" customWidth="1"/>
    <col min="111" max="111" width="9.140625" style="15"/>
    <col min="112" max="112" width="11.42578125" style="15" customWidth="1"/>
    <col min="113" max="113" width="6.140625" style="4" customWidth="1"/>
    <col min="114" max="114" width="5.85546875" style="4" customWidth="1"/>
    <col min="115" max="16384" width="9.140625" style="4"/>
  </cols>
  <sheetData>
    <row r="1" spans="15:112" ht="18.75" customHeight="1" thickBot="1" x14ac:dyDescent="0.4">
      <c r="O1" s="15"/>
      <c r="P1" s="15"/>
      <c r="S1" s="15">
        <v>23.5</v>
      </c>
      <c r="T1" s="112" t="s">
        <v>554</v>
      </c>
      <c r="U1" s="113"/>
      <c r="V1" s="113"/>
      <c r="W1" s="113"/>
      <c r="X1" s="113"/>
      <c r="Y1" s="113"/>
      <c r="Z1" s="113"/>
      <c r="AA1" s="114" t="s">
        <v>447</v>
      </c>
      <c r="AB1" s="112" t="s">
        <v>448</v>
      </c>
      <c r="AC1" s="113"/>
      <c r="AD1" s="115"/>
      <c r="CT1" s="4"/>
      <c r="CU1" s="4"/>
      <c r="CV1" s="4"/>
      <c r="CW1" s="4"/>
      <c r="CX1" s="4"/>
      <c r="CY1" s="4"/>
      <c r="CZ1" s="4"/>
      <c r="DA1" s="4"/>
      <c r="DB1" s="4"/>
      <c r="DC1" s="4"/>
      <c r="DD1" s="4"/>
      <c r="DE1" s="4"/>
      <c r="DF1" s="4"/>
      <c r="DG1" s="4"/>
      <c r="DH1" s="4"/>
    </row>
    <row r="2" spans="15:112" ht="18.75" customHeight="1" x14ac:dyDescent="0.35">
      <c r="O2" s="15"/>
      <c r="P2" s="15"/>
      <c r="S2" s="15">
        <v>96.5</v>
      </c>
      <c r="T2" s="117" t="s">
        <v>558</v>
      </c>
      <c r="U2" s="118" t="s">
        <v>0</v>
      </c>
      <c r="V2" s="118" t="s">
        <v>560</v>
      </c>
      <c r="W2" s="119" t="s">
        <v>559</v>
      </c>
      <c r="X2" s="117" t="s">
        <v>563</v>
      </c>
      <c r="Y2" s="118" t="s">
        <v>564</v>
      </c>
      <c r="Z2" s="120" t="s">
        <v>575</v>
      </c>
      <c r="AA2" s="121" t="s">
        <v>441</v>
      </c>
      <c r="AB2" s="122" t="s">
        <v>555</v>
      </c>
      <c r="AC2" s="118" t="s">
        <v>556</v>
      </c>
      <c r="AD2" s="120" t="s">
        <v>557</v>
      </c>
      <c r="AE2" s="123" t="s">
        <v>561</v>
      </c>
      <c r="AF2" s="124" t="s">
        <v>562</v>
      </c>
      <c r="AG2" s="125" t="s">
        <v>565</v>
      </c>
      <c r="CT2" s="4"/>
      <c r="CU2" s="4"/>
      <c r="CV2" s="4"/>
      <c r="CW2" s="4"/>
      <c r="CX2" s="4"/>
      <c r="CY2" s="4"/>
      <c r="CZ2" s="4"/>
      <c r="DA2" s="4"/>
      <c r="DB2" s="4"/>
      <c r="DC2" s="4"/>
      <c r="DD2" s="4"/>
      <c r="DE2" s="4"/>
      <c r="DF2" s="4"/>
      <c r="DG2" s="4"/>
      <c r="DH2" s="4"/>
    </row>
    <row r="3" spans="15:112" ht="18.75" customHeight="1" x14ac:dyDescent="0.35">
      <c r="O3" s="15"/>
      <c r="P3" s="15"/>
      <c r="S3" s="15">
        <v>600</v>
      </c>
      <c r="T3" s="126" t="s">
        <v>530</v>
      </c>
      <c r="U3" s="127" t="s">
        <v>5</v>
      </c>
      <c r="V3" s="126">
        <v>97.12</v>
      </c>
      <c r="W3" s="127">
        <v>24.3</v>
      </c>
      <c r="X3" s="127">
        <f>'CCCM Dashboard'!C16</f>
        <v>1470</v>
      </c>
      <c r="Y3" s="128">
        <f>'CCCM Dashboard'!D16</f>
        <v>8096</v>
      </c>
      <c r="Z3" s="129" t="str">
        <f t="shared" ref="Z3:Z23" si="0">CONCATENATE(AG3, " cp",IF(AG3&gt;1,"s",""))</f>
        <v>11 cps</v>
      </c>
      <c r="AA3" s="561">
        <f>'Shelter Progress'!N7</f>
        <v>0.81932443047918302</v>
      </c>
      <c r="AB3" s="130">
        <v>0</v>
      </c>
      <c r="AC3" s="130">
        <v>0</v>
      </c>
      <c r="AD3" s="130">
        <v>0</v>
      </c>
      <c r="AE3" s="131">
        <f t="shared" ref="AE3:AE23" si="1">$S$3-ROUND((W3-$S$1)*$S$5,0)</f>
        <v>496</v>
      </c>
      <c r="AF3" s="132">
        <f t="shared" ref="AF3:AF23" si="2">ROUND((V3-$S$2)*$S$5,0)+$S$4</f>
        <v>181</v>
      </c>
      <c r="AG3" s="133">
        <f>'CCCM Dashboard'!E16</f>
        <v>11</v>
      </c>
      <c r="CT3" s="4"/>
      <c r="CU3" s="4"/>
      <c r="CV3" s="4"/>
      <c r="CW3" s="4"/>
      <c r="CX3" s="4"/>
      <c r="CY3" s="4"/>
      <c r="CZ3" s="4"/>
      <c r="DA3" s="4"/>
      <c r="DB3" s="4"/>
      <c r="DC3" s="4"/>
      <c r="DD3" s="4"/>
      <c r="DE3" s="4"/>
      <c r="DF3" s="4"/>
      <c r="DG3" s="4"/>
      <c r="DH3" s="4"/>
    </row>
    <row r="4" spans="15:112" ht="18.75" customHeight="1" x14ac:dyDescent="0.35">
      <c r="O4" s="15"/>
      <c r="P4" s="15"/>
      <c r="S4" s="15">
        <v>100</v>
      </c>
      <c r="T4" s="134" t="s">
        <v>534</v>
      </c>
      <c r="U4" s="127" t="s">
        <v>27</v>
      </c>
      <c r="V4" s="134">
        <v>98.322799999999987</v>
      </c>
      <c r="W4" s="127">
        <v>25.917999999999999</v>
      </c>
      <c r="X4" s="127">
        <f>'CCCM Dashboard'!C17</f>
        <v>500</v>
      </c>
      <c r="Y4" s="128">
        <f>'CCCM Dashboard'!D17</f>
        <v>2374</v>
      </c>
      <c r="Z4" s="129" t="str">
        <f t="shared" si="0"/>
        <v>6 cps</v>
      </c>
      <c r="AA4" s="561">
        <f>'Shelter Progress'!N8</f>
        <v>0.36</v>
      </c>
      <c r="AB4" s="130">
        <v>1</v>
      </c>
      <c r="AC4" s="130">
        <v>0</v>
      </c>
      <c r="AD4" s="130">
        <v>0.95387840670859536</v>
      </c>
      <c r="AE4" s="131">
        <f t="shared" si="1"/>
        <v>286</v>
      </c>
      <c r="AF4" s="132">
        <f t="shared" si="2"/>
        <v>337</v>
      </c>
      <c r="AG4" s="133">
        <f>'CCCM Dashboard'!E17</f>
        <v>6</v>
      </c>
      <c r="CT4" s="4"/>
      <c r="CU4" s="4"/>
      <c r="CV4" s="4"/>
      <c r="CW4" s="4"/>
      <c r="CX4" s="4"/>
      <c r="CY4" s="4"/>
      <c r="CZ4" s="4"/>
      <c r="DA4" s="4"/>
      <c r="DB4" s="4"/>
      <c r="DC4" s="4"/>
      <c r="DD4" s="4"/>
      <c r="DE4" s="4"/>
      <c r="DF4" s="4"/>
      <c r="DG4" s="4"/>
      <c r="DH4" s="4"/>
    </row>
    <row r="5" spans="15:112" ht="18.75" customHeight="1" x14ac:dyDescent="0.35">
      <c r="O5" s="15"/>
      <c r="P5" s="15"/>
      <c r="S5" s="15">
        <v>130</v>
      </c>
      <c r="T5" s="126" t="s">
        <v>528</v>
      </c>
      <c r="U5" s="127" t="s">
        <v>527</v>
      </c>
      <c r="V5" s="126">
        <v>96.373750000000001</v>
      </c>
      <c r="W5" s="127">
        <v>25.9</v>
      </c>
      <c r="X5" s="127">
        <f>'CCCM Dashboard'!C18</f>
        <v>787</v>
      </c>
      <c r="Y5" s="128">
        <f>'CCCM Dashboard'!D18</f>
        <v>3668</v>
      </c>
      <c r="Z5" s="129" t="str">
        <f t="shared" si="0"/>
        <v>26 cps</v>
      </c>
      <c r="AA5" s="561">
        <f>'Shelter Progress'!N9</f>
        <v>0.54383735705209657</v>
      </c>
      <c r="AB5" s="130">
        <v>0.69172932330827064</v>
      </c>
      <c r="AC5" s="130">
        <v>0</v>
      </c>
      <c r="AD5" s="130">
        <v>1</v>
      </c>
      <c r="AE5" s="131">
        <f t="shared" si="1"/>
        <v>288</v>
      </c>
      <c r="AF5" s="132">
        <f t="shared" si="2"/>
        <v>84</v>
      </c>
      <c r="AG5" s="133">
        <f>'CCCM Dashboard'!E18</f>
        <v>26</v>
      </c>
      <c r="CT5" s="4"/>
      <c r="CU5" s="4"/>
      <c r="CV5" s="4"/>
      <c r="CW5" s="4"/>
      <c r="CX5" s="4"/>
      <c r="CY5" s="4"/>
      <c r="CZ5" s="4"/>
      <c r="DA5" s="4"/>
      <c r="DB5" s="4"/>
      <c r="DC5" s="4"/>
      <c r="DD5" s="4"/>
      <c r="DE5" s="4"/>
      <c r="DF5" s="4"/>
      <c r="DG5" s="4"/>
      <c r="DH5" s="4"/>
    </row>
    <row r="6" spans="15:112" ht="18.75" customHeight="1" x14ac:dyDescent="0.35">
      <c r="O6" s="15"/>
      <c r="P6" s="15"/>
      <c r="T6" s="134" t="s">
        <v>780</v>
      </c>
      <c r="U6" s="127" t="s">
        <v>779</v>
      </c>
      <c r="V6" s="135">
        <v>98.1</v>
      </c>
      <c r="W6" s="136">
        <v>23.28</v>
      </c>
      <c r="X6" s="127">
        <f>'CCCM Dashboard'!C34</f>
        <v>117</v>
      </c>
      <c r="Y6" s="128">
        <f>'CCCM Dashboard'!D34</f>
        <v>679</v>
      </c>
      <c r="Z6" s="129" t="str">
        <f>CONCATENATE(AG6, " cp",IF(AG6&gt;1,"s",""))</f>
        <v>3 cps</v>
      </c>
      <c r="AA6" s="561">
        <f>'Shelter Progress'!N10</f>
        <v>0.7</v>
      </c>
      <c r="AB6" s="130"/>
      <c r="AC6" s="130"/>
      <c r="AD6" s="130"/>
      <c r="AE6" s="131">
        <f t="shared" si="1"/>
        <v>629</v>
      </c>
      <c r="AF6" s="132">
        <f t="shared" si="2"/>
        <v>308</v>
      </c>
      <c r="AG6" s="133">
        <f>'CCCM Dashboard'!E34</f>
        <v>3</v>
      </c>
      <c r="AI6" s="15"/>
      <c r="CT6" s="4"/>
      <c r="CU6" s="4"/>
      <c r="CV6" s="4"/>
      <c r="CW6" s="4"/>
      <c r="CX6" s="4"/>
      <c r="CY6" s="4"/>
      <c r="CZ6" s="4"/>
      <c r="DA6" s="4"/>
      <c r="DB6" s="4"/>
      <c r="DC6" s="4"/>
      <c r="DD6" s="4"/>
      <c r="DE6" s="4"/>
      <c r="DF6" s="4"/>
      <c r="DG6" s="4"/>
      <c r="DH6" s="4"/>
    </row>
    <row r="7" spans="15:112" ht="18.75" customHeight="1" x14ac:dyDescent="0.35">
      <c r="O7" s="15"/>
      <c r="P7" s="15"/>
      <c r="T7" s="134" t="s">
        <v>548</v>
      </c>
      <c r="U7" s="127" t="s">
        <v>363</v>
      </c>
      <c r="V7" s="134">
        <v>97.89587301587305</v>
      </c>
      <c r="W7" s="127">
        <v>26.232698412698419</v>
      </c>
      <c r="X7" s="127">
        <f>'CCCM Dashboard'!C19</f>
        <v>0</v>
      </c>
      <c r="Y7" s="128">
        <f>'CCCM Dashboard'!D19</f>
        <v>0</v>
      </c>
      <c r="Z7" s="129" t="str">
        <f t="shared" si="0"/>
        <v>0 cp</v>
      </c>
      <c r="AA7" s="561">
        <f>'Shelter Progress'!N12</f>
        <v>0</v>
      </c>
      <c r="AB7" s="130">
        <v>0</v>
      </c>
      <c r="AC7" s="130">
        <v>0</v>
      </c>
      <c r="AD7" s="130">
        <v>0</v>
      </c>
      <c r="AE7" s="131">
        <f t="shared" si="1"/>
        <v>245</v>
      </c>
      <c r="AF7" s="132">
        <f t="shared" si="2"/>
        <v>281</v>
      </c>
      <c r="AG7" s="133">
        <f>'CCCM Dashboard'!E19</f>
        <v>0</v>
      </c>
      <c r="CT7" s="4"/>
      <c r="CU7" s="4"/>
      <c r="CV7" s="4"/>
      <c r="CW7" s="4"/>
      <c r="CX7" s="4"/>
      <c r="CY7" s="4"/>
      <c r="CZ7" s="4"/>
      <c r="DA7" s="4"/>
      <c r="DB7" s="4"/>
      <c r="DC7" s="4"/>
      <c r="DD7" s="4"/>
      <c r="DE7" s="4"/>
      <c r="DF7" s="4"/>
      <c r="DG7" s="4"/>
      <c r="DH7" s="4"/>
    </row>
    <row r="8" spans="15:112" ht="18.75" customHeight="1" x14ac:dyDescent="0.35">
      <c r="O8" s="15"/>
      <c r="P8" s="15"/>
      <c r="T8" s="126" t="s">
        <v>547</v>
      </c>
      <c r="U8" s="127" t="s">
        <v>144</v>
      </c>
      <c r="V8" s="126">
        <v>98.438571428571422</v>
      </c>
      <c r="W8" s="127">
        <v>27.1</v>
      </c>
      <c r="X8" s="127">
        <f>'CCCM Dashboard'!C20</f>
        <v>0</v>
      </c>
      <c r="Y8" s="128">
        <f>'CCCM Dashboard'!D20</f>
        <v>0</v>
      </c>
      <c r="Z8" s="129" t="str">
        <f t="shared" si="0"/>
        <v>0 cp</v>
      </c>
      <c r="AA8" s="561">
        <f>'Shelter Progress'!N13</f>
        <v>0</v>
      </c>
      <c r="AB8" s="130">
        <v>0</v>
      </c>
      <c r="AC8" s="130">
        <v>0</v>
      </c>
      <c r="AD8" s="130">
        <v>0</v>
      </c>
      <c r="AE8" s="131">
        <f t="shared" si="1"/>
        <v>132</v>
      </c>
      <c r="AF8" s="132">
        <f t="shared" si="2"/>
        <v>352</v>
      </c>
      <c r="AG8" s="133">
        <f>'CCCM Dashboard'!E20</f>
        <v>0</v>
      </c>
      <c r="CT8" s="4"/>
      <c r="CU8" s="4"/>
      <c r="CV8" s="4"/>
      <c r="CW8" s="4"/>
      <c r="CX8" s="4"/>
      <c r="CY8" s="4"/>
      <c r="CZ8" s="4"/>
      <c r="DA8" s="4"/>
      <c r="DB8" s="4"/>
      <c r="DC8" s="4"/>
      <c r="DD8" s="4"/>
      <c r="DE8" s="4"/>
      <c r="DF8" s="4"/>
      <c r="DG8" s="4"/>
      <c r="DH8" s="4"/>
    </row>
    <row r="9" spans="15:112" ht="18.75" customHeight="1" x14ac:dyDescent="0.35">
      <c r="O9" s="15"/>
      <c r="P9" s="15"/>
      <c r="T9" s="134" t="s">
        <v>544</v>
      </c>
      <c r="U9" s="127" t="s">
        <v>146</v>
      </c>
      <c r="V9" s="134">
        <v>98.1</v>
      </c>
      <c r="W9" s="127">
        <v>23.553031914893619</v>
      </c>
      <c r="X9" s="127">
        <f>'CCCM Dashboard'!C35</f>
        <v>926</v>
      </c>
      <c r="Y9" s="128">
        <f>'CCCM Dashboard'!D35</f>
        <v>4538</v>
      </c>
      <c r="Z9" s="129" t="str">
        <f t="shared" si="0"/>
        <v>13 cps</v>
      </c>
      <c r="AA9" s="561">
        <f>'Shelter Progress'!N14</f>
        <v>0.4794816414686825</v>
      </c>
      <c r="AB9" s="130">
        <v>0</v>
      </c>
      <c r="AC9" s="130">
        <v>0</v>
      </c>
      <c r="AD9" s="130">
        <v>1</v>
      </c>
      <c r="AE9" s="131">
        <f t="shared" si="1"/>
        <v>593</v>
      </c>
      <c r="AF9" s="132">
        <f t="shared" si="2"/>
        <v>308</v>
      </c>
      <c r="AG9" s="133">
        <f>'CCCM Dashboard'!E35</f>
        <v>13</v>
      </c>
      <c r="CT9" s="4"/>
      <c r="CU9" s="4"/>
      <c r="CV9" s="4"/>
      <c r="CW9" s="4"/>
      <c r="CX9" s="4"/>
      <c r="CY9" s="4"/>
      <c r="CZ9" s="4"/>
      <c r="DA9" s="4"/>
      <c r="DB9" s="4"/>
      <c r="DC9" s="4"/>
      <c r="DD9" s="4"/>
      <c r="DE9" s="4"/>
      <c r="DF9" s="4"/>
      <c r="DG9" s="4"/>
      <c r="DH9" s="4"/>
    </row>
    <row r="10" spans="15:112" ht="18.75" customHeight="1" x14ac:dyDescent="0.35">
      <c r="O10" s="15"/>
      <c r="P10" s="15"/>
      <c r="T10" s="134" t="s">
        <v>893</v>
      </c>
      <c r="U10" s="127" t="s">
        <v>892</v>
      </c>
      <c r="V10" s="135">
        <v>97.88</v>
      </c>
      <c r="W10" s="136">
        <v>27.2</v>
      </c>
      <c r="X10" s="127">
        <f>'CCCM Dashboard'!C21</f>
        <v>0</v>
      </c>
      <c r="Y10" s="128">
        <f>'CCCM Dashboard'!D21</f>
        <v>0</v>
      </c>
      <c r="Z10" s="129" t="str">
        <f>U3</f>
        <v>Bhamo</v>
      </c>
      <c r="AA10" s="561">
        <f>'Shelter Progress'!N15</f>
        <v>0</v>
      </c>
      <c r="AB10" s="130"/>
      <c r="AC10" s="130"/>
      <c r="AD10" s="130"/>
      <c r="AE10" s="131">
        <f t="shared" si="1"/>
        <v>119</v>
      </c>
      <c r="AF10" s="132">
        <f t="shared" si="2"/>
        <v>279</v>
      </c>
      <c r="AG10" s="133">
        <f>'CCCM Dashboard'!E21</f>
        <v>0</v>
      </c>
      <c r="CT10" s="4"/>
      <c r="CU10" s="4"/>
      <c r="CV10" s="4"/>
      <c r="CW10" s="4"/>
      <c r="CX10" s="4"/>
      <c r="CY10" s="4"/>
      <c r="CZ10" s="4"/>
      <c r="DA10" s="4"/>
      <c r="DB10" s="4"/>
      <c r="DC10" s="4"/>
      <c r="DD10" s="4"/>
      <c r="DE10" s="4"/>
      <c r="DF10" s="4"/>
      <c r="DG10" s="4"/>
      <c r="DH10" s="4"/>
    </row>
    <row r="11" spans="15:112" ht="18.75" customHeight="1" x14ac:dyDescent="0.35">
      <c r="O11" s="15"/>
      <c r="P11" s="15"/>
      <c r="T11" s="126" t="s">
        <v>539</v>
      </c>
      <c r="U11" s="127" t="s">
        <v>151</v>
      </c>
      <c r="V11" s="126">
        <v>97.372845528455244</v>
      </c>
      <c r="W11" s="127">
        <v>24</v>
      </c>
      <c r="X11" s="127">
        <f>'CCCM Dashboard'!C22</f>
        <v>2810</v>
      </c>
      <c r="Y11" s="128">
        <f>'CCCM Dashboard'!D22</f>
        <v>13325</v>
      </c>
      <c r="Z11" s="129" t="str">
        <f t="shared" si="0"/>
        <v>11 cps</v>
      </c>
      <c r="AA11" s="561">
        <f>'Shelter Progress'!N16</f>
        <v>0.57064793130366898</v>
      </c>
      <c r="AB11" s="130">
        <v>0</v>
      </c>
      <c r="AC11" s="130">
        <v>0</v>
      </c>
      <c r="AD11" s="130">
        <v>0</v>
      </c>
      <c r="AE11" s="131">
        <f t="shared" si="1"/>
        <v>535</v>
      </c>
      <c r="AF11" s="132">
        <f t="shared" si="2"/>
        <v>213</v>
      </c>
      <c r="AG11" s="133">
        <f>'CCCM Dashboard'!E22</f>
        <v>11</v>
      </c>
      <c r="CT11" s="4"/>
      <c r="CU11" s="4"/>
      <c r="CV11" s="4"/>
      <c r="CW11" s="4"/>
      <c r="CX11" s="4"/>
      <c r="CY11" s="4"/>
      <c r="CZ11" s="4"/>
      <c r="DA11" s="4"/>
      <c r="DB11" s="4"/>
      <c r="DC11" s="4"/>
      <c r="DD11" s="4"/>
      <c r="DE11" s="4"/>
      <c r="DF11" s="4"/>
      <c r="DG11" s="4"/>
      <c r="DH11" s="4"/>
    </row>
    <row r="12" spans="15:112" ht="18.75" customHeight="1" x14ac:dyDescent="0.35">
      <c r="O12" s="15"/>
      <c r="P12" s="15"/>
      <c r="T12" s="134" t="s">
        <v>543</v>
      </c>
      <c r="U12" s="127" t="s">
        <v>166</v>
      </c>
      <c r="V12" s="134">
        <v>97.266347826086943</v>
      </c>
      <c r="W12" s="127">
        <v>23.345826086956535</v>
      </c>
      <c r="X12" s="127">
        <f>'CCCM Dashboard'!C36</f>
        <v>101</v>
      </c>
      <c r="Y12" s="128">
        <f>'CCCM Dashboard'!D36</f>
        <v>545</v>
      </c>
      <c r="Z12" s="129" t="str">
        <f t="shared" si="0"/>
        <v>3 cps</v>
      </c>
      <c r="AA12" s="561">
        <f>'Shelter Progress'!N17</f>
        <v>0.69306930693069302</v>
      </c>
      <c r="AB12" s="130">
        <v>0</v>
      </c>
      <c r="AC12" s="130">
        <v>0</v>
      </c>
      <c r="AD12" s="130">
        <v>0</v>
      </c>
      <c r="AE12" s="131">
        <f t="shared" si="1"/>
        <v>620</v>
      </c>
      <c r="AF12" s="132">
        <f t="shared" si="2"/>
        <v>200</v>
      </c>
      <c r="AG12" s="133">
        <f>'CCCM Dashboard'!E36</f>
        <v>3</v>
      </c>
      <c r="CT12" s="4"/>
      <c r="CU12" s="4"/>
      <c r="CV12" s="4"/>
      <c r="CW12" s="4"/>
      <c r="CX12" s="4"/>
      <c r="CY12" s="4"/>
      <c r="CZ12" s="4"/>
      <c r="DA12" s="4"/>
      <c r="DB12" s="4"/>
      <c r="DC12" s="4"/>
      <c r="DD12" s="4"/>
      <c r="DE12" s="4"/>
      <c r="DF12" s="4"/>
      <c r="DG12" s="4"/>
      <c r="DH12" s="4"/>
    </row>
    <row r="13" spans="15:112" ht="18.75" customHeight="1" x14ac:dyDescent="0.35">
      <c r="O13" s="15"/>
      <c r="P13" s="15"/>
      <c r="T13" s="126" t="s">
        <v>545</v>
      </c>
      <c r="U13" s="127" t="s">
        <v>173</v>
      </c>
      <c r="V13" s="126">
        <v>96.9</v>
      </c>
      <c r="W13" s="127">
        <v>25.4</v>
      </c>
      <c r="X13" s="127">
        <f>'CCCM Dashboard'!C23</f>
        <v>99</v>
      </c>
      <c r="Y13" s="128">
        <f>'CCCM Dashboard'!D23</f>
        <v>433</v>
      </c>
      <c r="Z13" s="129" t="str">
        <f t="shared" si="0"/>
        <v>6 cps</v>
      </c>
      <c r="AA13" s="561">
        <f>'Shelter Progress'!N18</f>
        <v>1</v>
      </c>
      <c r="AB13" s="130">
        <v>0</v>
      </c>
      <c r="AC13" s="130">
        <v>0</v>
      </c>
      <c r="AD13" s="130">
        <v>0</v>
      </c>
      <c r="AE13" s="131">
        <f t="shared" si="1"/>
        <v>353</v>
      </c>
      <c r="AF13" s="132">
        <f t="shared" si="2"/>
        <v>152</v>
      </c>
      <c r="AG13" s="133">
        <f>'CCCM Dashboard'!E23</f>
        <v>6</v>
      </c>
      <c r="CT13" s="4"/>
      <c r="CU13" s="4"/>
      <c r="CV13" s="4"/>
      <c r="CW13" s="4"/>
      <c r="CX13" s="4"/>
      <c r="CY13" s="4"/>
      <c r="CZ13" s="4"/>
      <c r="DA13" s="4"/>
      <c r="DB13" s="4"/>
      <c r="DC13" s="4"/>
      <c r="DD13" s="4"/>
      <c r="DE13" s="4"/>
      <c r="DF13" s="4"/>
      <c r="DG13" s="4"/>
      <c r="DH13" s="4"/>
    </row>
    <row r="14" spans="15:112" ht="18.75" customHeight="1" x14ac:dyDescent="0.35">
      <c r="O14" s="15"/>
      <c r="P14" s="15"/>
      <c r="T14" s="134" t="s">
        <v>551</v>
      </c>
      <c r="U14" s="127" t="s">
        <v>180</v>
      </c>
      <c r="V14" s="134">
        <v>96.376558441558373</v>
      </c>
      <c r="W14" s="127">
        <v>24.957077922077939</v>
      </c>
      <c r="X14" s="127">
        <f>'CCCM Dashboard'!C24</f>
        <v>81</v>
      </c>
      <c r="Y14" s="128">
        <f>'CCCM Dashboard'!D24</f>
        <v>380</v>
      </c>
      <c r="Z14" s="129" t="str">
        <f t="shared" si="0"/>
        <v>4 cps</v>
      </c>
      <c r="AA14" s="561">
        <f>'Shelter Progress'!N19</f>
        <v>1</v>
      </c>
      <c r="AB14" s="130">
        <v>1</v>
      </c>
      <c r="AC14" s="130">
        <v>0</v>
      </c>
      <c r="AD14" s="130">
        <v>0</v>
      </c>
      <c r="AE14" s="131">
        <f t="shared" si="1"/>
        <v>411</v>
      </c>
      <c r="AF14" s="132">
        <f t="shared" si="2"/>
        <v>84</v>
      </c>
      <c r="AG14" s="133">
        <f>'CCCM Dashboard'!E24</f>
        <v>4</v>
      </c>
      <c r="CT14" s="4"/>
      <c r="CU14" s="4"/>
      <c r="CV14" s="4"/>
      <c r="CW14" s="4"/>
      <c r="CX14" s="4"/>
      <c r="CY14" s="4"/>
      <c r="CZ14" s="4"/>
      <c r="DA14" s="4"/>
      <c r="DB14" s="4"/>
      <c r="DC14" s="4"/>
      <c r="DD14" s="4"/>
      <c r="DE14" s="4"/>
      <c r="DF14" s="4"/>
      <c r="DG14" s="4"/>
      <c r="DH14" s="4"/>
    </row>
    <row r="15" spans="15:112" ht="18.75" customHeight="1" x14ac:dyDescent="0.35">
      <c r="O15" s="15"/>
      <c r="P15" s="15"/>
      <c r="T15" s="126" t="s">
        <v>533</v>
      </c>
      <c r="U15" s="127" t="s">
        <v>185</v>
      </c>
      <c r="V15" s="126">
        <v>97.449510489510473</v>
      </c>
      <c r="W15" s="127">
        <v>24.6</v>
      </c>
      <c r="X15" s="127">
        <f>'CCCM Dashboard'!C25</f>
        <v>3181</v>
      </c>
      <c r="Y15" s="128">
        <f>'CCCM Dashboard'!D25</f>
        <v>15854</v>
      </c>
      <c r="Z15" s="129" t="str">
        <f t="shared" si="0"/>
        <v>20 cps</v>
      </c>
      <c r="AA15" s="561">
        <f>'Shelter Progress'!N20</f>
        <v>1</v>
      </c>
      <c r="AB15" s="130">
        <v>0.12549019607843137</v>
      </c>
      <c r="AC15" s="130">
        <v>0</v>
      </c>
      <c r="AD15" s="130">
        <v>0.58263305322128844</v>
      </c>
      <c r="AE15" s="131">
        <f t="shared" si="1"/>
        <v>457</v>
      </c>
      <c r="AF15" s="132">
        <f t="shared" si="2"/>
        <v>223</v>
      </c>
      <c r="AG15" s="133">
        <f>'CCCM Dashboard'!E25</f>
        <v>20</v>
      </c>
      <c r="CT15" s="4"/>
      <c r="CU15" s="4"/>
      <c r="CV15" s="4"/>
      <c r="CW15" s="4"/>
      <c r="CX15" s="4"/>
      <c r="CY15" s="4"/>
      <c r="CZ15" s="4"/>
      <c r="DA15" s="4"/>
      <c r="DB15" s="4"/>
      <c r="DC15" s="4"/>
      <c r="DD15" s="4"/>
      <c r="DE15" s="4"/>
      <c r="DF15" s="4"/>
      <c r="DG15" s="4"/>
      <c r="DH15" s="4"/>
    </row>
    <row r="16" spans="15:112" ht="18.75" customHeight="1" x14ac:dyDescent="0.35">
      <c r="O16" s="15"/>
      <c r="P16" s="15"/>
      <c r="T16" s="134" t="s">
        <v>538</v>
      </c>
      <c r="U16" s="127" t="s">
        <v>230</v>
      </c>
      <c r="V16" s="134">
        <v>98.12</v>
      </c>
      <c r="W16" s="127">
        <v>23.972235294117642</v>
      </c>
      <c r="X16" s="127">
        <f>'CCCM Dashboard'!C37</f>
        <v>108</v>
      </c>
      <c r="Y16" s="128">
        <f>'CCCM Dashboard'!D37</f>
        <v>514</v>
      </c>
      <c r="Z16" s="129" t="str">
        <f t="shared" si="0"/>
        <v>3 cps</v>
      </c>
      <c r="AA16" s="561">
        <f>'Shelter Progress'!N21</f>
        <v>0.97368421052631582</v>
      </c>
      <c r="AB16" s="130">
        <v>0</v>
      </c>
      <c r="AC16" s="130">
        <v>0</v>
      </c>
      <c r="AD16" s="130">
        <v>0</v>
      </c>
      <c r="AE16" s="131">
        <f t="shared" si="1"/>
        <v>539</v>
      </c>
      <c r="AF16" s="132">
        <f t="shared" si="2"/>
        <v>311</v>
      </c>
      <c r="AG16" s="133">
        <f>'CCCM Dashboard'!E37</f>
        <v>3</v>
      </c>
      <c r="CT16" s="4"/>
      <c r="CU16" s="4"/>
      <c r="CV16" s="4"/>
      <c r="CW16" s="4"/>
      <c r="CX16" s="4"/>
      <c r="CY16" s="4"/>
      <c r="CZ16" s="4"/>
      <c r="DA16" s="4"/>
      <c r="DB16" s="4"/>
      <c r="DC16" s="4"/>
      <c r="DD16" s="4"/>
      <c r="DE16" s="4"/>
      <c r="DF16" s="4"/>
      <c r="DG16" s="4"/>
      <c r="DH16" s="4"/>
    </row>
    <row r="17" spans="1:112" ht="18.75" customHeight="1" x14ac:dyDescent="0.35">
      <c r="O17" s="15"/>
      <c r="P17" s="15"/>
      <c r="T17" s="126" t="s">
        <v>535</v>
      </c>
      <c r="U17" s="127" t="s">
        <v>237</v>
      </c>
      <c r="V17" s="126">
        <v>97.301176470588288</v>
      </c>
      <c r="W17" s="127">
        <v>25.24</v>
      </c>
      <c r="X17" s="127">
        <f>'CCCM Dashboard'!C26</f>
        <v>1273</v>
      </c>
      <c r="Y17" s="128">
        <f>'CCCM Dashboard'!D26</f>
        <v>6461</v>
      </c>
      <c r="Z17" s="129" t="str">
        <f t="shared" si="0"/>
        <v>24 cps</v>
      </c>
      <c r="AA17" s="561">
        <f>'Shelter Progress'!N22</f>
        <v>0.8735271013354281</v>
      </c>
      <c r="AB17" s="130">
        <v>0.65062761506276146</v>
      </c>
      <c r="AC17" s="130">
        <v>0</v>
      </c>
      <c r="AD17" s="130">
        <v>0.25732217573221761</v>
      </c>
      <c r="AE17" s="131">
        <f t="shared" si="1"/>
        <v>374</v>
      </c>
      <c r="AF17" s="132">
        <f t="shared" si="2"/>
        <v>204</v>
      </c>
      <c r="AG17" s="133">
        <f>'CCCM Dashboard'!E26</f>
        <v>24</v>
      </c>
      <c r="CT17" s="4"/>
      <c r="CU17" s="4"/>
      <c r="CV17" s="4"/>
      <c r="CW17" s="4"/>
      <c r="CX17" s="4"/>
      <c r="CY17" s="4"/>
      <c r="CZ17" s="4"/>
      <c r="DA17" s="4"/>
      <c r="DB17" s="4"/>
      <c r="DC17" s="4"/>
      <c r="DD17" s="4"/>
      <c r="DE17" s="4"/>
      <c r="DF17" s="4"/>
      <c r="DG17" s="4"/>
      <c r="DH17" s="4"/>
    </row>
    <row r="18" spans="1:112" ht="18.75" customHeight="1" x14ac:dyDescent="0.35">
      <c r="O18" s="15"/>
      <c r="P18" s="15"/>
      <c r="T18" s="134" t="s">
        <v>549</v>
      </c>
      <c r="U18" s="127" t="s">
        <v>289</v>
      </c>
      <c r="V18" s="134">
        <v>97.619855072463778</v>
      </c>
      <c r="W18" s="127">
        <v>23.7</v>
      </c>
      <c r="X18" s="127">
        <f>'CCCM Dashboard'!C38</f>
        <v>596</v>
      </c>
      <c r="Y18" s="128">
        <f>'CCCM Dashboard'!D38</f>
        <v>2769</v>
      </c>
      <c r="Z18" s="129" t="str">
        <f t="shared" si="0"/>
        <v>7 cps</v>
      </c>
      <c r="AA18" s="561">
        <f>'Shelter Progress'!N23</f>
        <v>0.3976510067114094</v>
      </c>
      <c r="AB18" s="130">
        <v>0</v>
      </c>
      <c r="AC18" s="130">
        <v>0</v>
      </c>
      <c r="AD18" s="130">
        <v>0</v>
      </c>
      <c r="AE18" s="131">
        <f t="shared" si="1"/>
        <v>574</v>
      </c>
      <c r="AF18" s="132">
        <f t="shared" si="2"/>
        <v>246</v>
      </c>
      <c r="AG18" s="133">
        <f>'CCCM Dashboard'!E38</f>
        <v>7</v>
      </c>
      <c r="CT18" s="4"/>
      <c r="CU18" s="4"/>
      <c r="CV18" s="4"/>
      <c r="CW18" s="4"/>
      <c r="CX18" s="4"/>
      <c r="CY18" s="4"/>
      <c r="CZ18" s="4"/>
      <c r="DA18" s="4"/>
      <c r="DB18" s="4"/>
      <c r="DC18" s="4"/>
      <c r="DD18" s="4"/>
      <c r="DE18" s="4"/>
      <c r="DF18" s="4"/>
      <c r="DG18" s="4"/>
      <c r="DH18" s="4"/>
    </row>
    <row r="19" spans="1:112" ht="18.75" customHeight="1" x14ac:dyDescent="0.35">
      <c r="O19" s="15"/>
      <c r="P19" s="15"/>
      <c r="T19" s="126" t="s">
        <v>550</v>
      </c>
      <c r="U19" s="127" t="s">
        <v>298</v>
      </c>
      <c r="V19" s="126">
        <v>97.48</v>
      </c>
      <c r="W19" s="127">
        <v>23.01813559322035</v>
      </c>
      <c r="X19" s="127">
        <f>'CCCM Dashboard'!C40</f>
        <v>501</v>
      </c>
      <c r="Y19" s="128">
        <f>'CCCM Dashboard'!D40</f>
        <v>1978</v>
      </c>
      <c r="Z19" s="129" t="str">
        <f t="shared" si="0"/>
        <v>8 cps</v>
      </c>
      <c r="AA19" s="561">
        <f>'Shelter Progress'!N24</f>
        <v>2.6109660574412531E-2</v>
      </c>
      <c r="AB19" s="130">
        <v>0</v>
      </c>
      <c r="AC19" s="130">
        <v>0</v>
      </c>
      <c r="AD19" s="130">
        <v>0</v>
      </c>
      <c r="AE19" s="131">
        <f t="shared" si="1"/>
        <v>663</v>
      </c>
      <c r="AF19" s="132">
        <f t="shared" si="2"/>
        <v>227</v>
      </c>
      <c r="AG19" s="133">
        <f>'CCCM Dashboard'!E40</f>
        <v>8</v>
      </c>
      <c r="CT19" s="4"/>
      <c r="CU19" s="4"/>
      <c r="CV19" s="4"/>
      <c r="CW19" s="4"/>
      <c r="CX19" s="4"/>
      <c r="CY19" s="4"/>
      <c r="CZ19" s="4"/>
      <c r="DA19" s="4"/>
      <c r="DB19" s="4"/>
      <c r="DC19" s="4"/>
      <c r="DD19" s="4"/>
      <c r="DE19" s="4"/>
      <c r="DF19" s="4"/>
      <c r="DG19" s="4"/>
      <c r="DH19" s="4"/>
    </row>
    <row r="20" spans="1:112" ht="18.75" customHeight="1" x14ac:dyDescent="0.35">
      <c r="O20" s="15"/>
      <c r="P20" s="15"/>
      <c r="T20" s="134" t="s">
        <v>552</v>
      </c>
      <c r="U20" s="127" t="s">
        <v>300</v>
      </c>
      <c r="V20" s="134">
        <v>97.435148514851463</v>
      </c>
      <c r="W20" s="127">
        <v>27.327029702970304</v>
      </c>
      <c r="X20" s="127">
        <f>'CCCM Dashboard'!C27</f>
        <v>83</v>
      </c>
      <c r="Y20" s="128">
        <f>'CCCM Dashboard'!D27</f>
        <v>394</v>
      </c>
      <c r="Z20" s="129" t="str">
        <f t="shared" si="0"/>
        <v>3 cps</v>
      </c>
      <c r="AA20" s="561">
        <f>'Shelter Progress'!N25</f>
        <v>1</v>
      </c>
      <c r="AB20" s="130">
        <v>0</v>
      </c>
      <c r="AC20" s="130">
        <v>0</v>
      </c>
      <c r="AD20" s="130">
        <v>0</v>
      </c>
      <c r="AE20" s="131">
        <f t="shared" si="1"/>
        <v>102</v>
      </c>
      <c r="AF20" s="132">
        <f t="shared" si="2"/>
        <v>222</v>
      </c>
      <c r="AG20" s="133">
        <f>'CCCM Dashboard'!E27</f>
        <v>3</v>
      </c>
      <c r="CT20" s="4"/>
      <c r="CU20" s="4"/>
      <c r="CV20" s="4"/>
      <c r="CW20" s="4"/>
      <c r="CX20" s="4"/>
      <c r="CY20" s="4"/>
      <c r="CZ20" s="4"/>
      <c r="DA20" s="4"/>
      <c r="DB20" s="4"/>
      <c r="DC20" s="4"/>
      <c r="DD20" s="4"/>
      <c r="DE20" s="4"/>
      <c r="DF20" s="4"/>
      <c r="DG20" s="4"/>
      <c r="DH20" s="4"/>
    </row>
    <row r="21" spans="1:112" ht="18.75" customHeight="1" x14ac:dyDescent="0.35">
      <c r="T21" s="126" t="s">
        <v>540</v>
      </c>
      <c r="U21" s="127" t="s">
        <v>302</v>
      </c>
      <c r="V21" s="126">
        <v>96.752179487179433</v>
      </c>
      <c r="W21" s="127">
        <v>24.4</v>
      </c>
      <c r="X21" s="127">
        <f>'CCCM Dashboard'!C28</f>
        <v>502</v>
      </c>
      <c r="Y21" s="128">
        <f>'CCCM Dashboard'!D28</f>
        <v>2170</v>
      </c>
      <c r="Z21" s="127" t="str">
        <f t="shared" si="0"/>
        <v>4 cps</v>
      </c>
      <c r="AA21" s="561">
        <f>'Shelter Progress'!N26</f>
        <v>0.74576271186440679</v>
      </c>
      <c r="AB21" s="130">
        <v>0</v>
      </c>
      <c r="AC21" s="130">
        <v>0</v>
      </c>
      <c r="AD21" s="130">
        <v>0</v>
      </c>
      <c r="AE21" s="131">
        <f t="shared" si="1"/>
        <v>483</v>
      </c>
      <c r="AF21" s="132">
        <f t="shared" si="2"/>
        <v>133</v>
      </c>
      <c r="AG21" s="133">
        <f>'CCCM Dashboard'!E28</f>
        <v>4</v>
      </c>
      <c r="DA21" s="53"/>
      <c r="DB21" s="54"/>
      <c r="DC21" s="54"/>
      <c r="DD21" s="54"/>
      <c r="DE21" s="54"/>
    </row>
    <row r="22" spans="1:112" ht="18.75" customHeight="1" x14ac:dyDescent="0.35">
      <c r="A22" s="64"/>
      <c r="B22" s="64"/>
      <c r="C22" s="64"/>
      <c r="D22" s="64"/>
      <c r="E22" s="64"/>
      <c r="F22" s="64"/>
      <c r="G22" s="64"/>
      <c r="H22" s="64"/>
      <c r="I22" s="64"/>
      <c r="J22" s="64"/>
      <c r="K22" s="64"/>
      <c r="L22" s="64"/>
      <c r="M22" s="64"/>
      <c r="N22" s="55"/>
      <c r="T22" s="134" t="s">
        <v>809</v>
      </c>
      <c r="U22" s="127" t="s">
        <v>808</v>
      </c>
      <c r="V22" s="126">
        <v>97.5</v>
      </c>
      <c r="W22" s="136">
        <v>26.5</v>
      </c>
      <c r="X22" s="127">
        <f>'CCCM Dashboard'!C29</f>
        <v>218</v>
      </c>
      <c r="Y22" s="128">
        <f>'CCCM Dashboard'!D29</f>
        <v>851</v>
      </c>
      <c r="Z22" s="129" t="str">
        <f>CONCATENATE(AG22, " cp",IF(AG22&gt;1,"s",""))</f>
        <v>3 cps</v>
      </c>
      <c r="AA22" s="561">
        <f>'Shelter Progress'!N27</f>
        <v>0</v>
      </c>
      <c r="AB22" s="130"/>
      <c r="AC22" s="130"/>
      <c r="AD22" s="130"/>
      <c r="AE22" s="131">
        <f t="shared" si="1"/>
        <v>210</v>
      </c>
      <c r="AF22" s="132">
        <f t="shared" si="2"/>
        <v>230</v>
      </c>
      <c r="AG22" s="133">
        <f>'CCCM Dashboard'!E29</f>
        <v>3</v>
      </c>
      <c r="DA22" s="53"/>
      <c r="DB22" s="54"/>
      <c r="DC22" s="54"/>
      <c r="DD22" s="54"/>
      <c r="DE22" s="54"/>
    </row>
    <row r="23" spans="1:112" ht="18.75" customHeight="1" x14ac:dyDescent="0.35">
      <c r="A23" s="57"/>
      <c r="B23" s="57"/>
      <c r="C23" s="58"/>
      <c r="D23" s="58"/>
      <c r="E23" s="59"/>
      <c r="F23" s="59"/>
      <c r="G23" s="60"/>
      <c r="H23" s="61"/>
      <c r="I23" s="61"/>
      <c r="J23" s="61"/>
      <c r="K23" s="62"/>
      <c r="L23" s="63"/>
      <c r="M23" s="64"/>
      <c r="N23" s="55"/>
      <c r="T23" s="134" t="s">
        <v>532</v>
      </c>
      <c r="U23" s="127" t="s">
        <v>310</v>
      </c>
      <c r="V23" s="134">
        <v>97.8</v>
      </c>
      <c r="W23" s="127">
        <v>25.5</v>
      </c>
      <c r="X23" s="127">
        <f>'CCCM Dashboard'!C31</f>
        <v>6083</v>
      </c>
      <c r="Y23" s="128">
        <f>'CCCM Dashboard'!D31</f>
        <v>31632</v>
      </c>
      <c r="Z23" s="127" t="str">
        <f t="shared" si="0"/>
        <v>23 cps</v>
      </c>
      <c r="AA23" s="561">
        <f>'Shelter Progress'!N28</f>
        <v>0.56814072003945426</v>
      </c>
      <c r="AB23" s="130">
        <v>0.37372161553128791</v>
      </c>
      <c r="AC23" s="130">
        <v>0</v>
      </c>
      <c r="AD23" s="130">
        <v>4.6281851274050934E-2</v>
      </c>
      <c r="AE23" s="131">
        <f t="shared" si="1"/>
        <v>340</v>
      </c>
      <c r="AF23" s="132">
        <f t="shared" si="2"/>
        <v>269</v>
      </c>
      <c r="AG23" s="133">
        <f>'CCCM Dashboard'!E31</f>
        <v>23</v>
      </c>
      <c r="DA23" s="53"/>
      <c r="DB23" s="54"/>
      <c r="DC23" s="54"/>
      <c r="DD23" s="54"/>
      <c r="DE23" s="54"/>
    </row>
    <row r="24" spans="1:112" ht="18.75" customHeight="1" x14ac:dyDescent="0.35">
      <c r="T24" s="127"/>
      <c r="U24" s="127" t="s">
        <v>566</v>
      </c>
      <c r="V24" s="136" t="s">
        <v>568</v>
      </c>
      <c r="W24" s="136" t="s">
        <v>567</v>
      </c>
      <c r="X24" s="137">
        <f>SUBTOTAL(109,Table58[HS])</f>
        <v>19436</v>
      </c>
      <c r="Y24" s="137">
        <f>SUBTOTAL(109,Table58[Pop])</f>
        <v>96661</v>
      </c>
      <c r="Z24" s="129" t="str">
        <f>CONCATENATE(Table58[[#Totals],[Column1]]," camps")</f>
        <v>178 camps</v>
      </c>
      <c r="AA24" s="562">
        <f>SUMPRODUCT(Table58[Pop]*Table58[Coverage])/Table58[[#Totals],[Pop]]</f>
        <v>0.66276249297940881</v>
      </c>
      <c r="AB24" s="138">
        <f>SUMPRODUCT(Table58[Pop]*Table58[Hygiene])/Table58[[#Totals],[Pop]]</f>
        <v>0.24111122262265436</v>
      </c>
      <c r="AC24" s="138">
        <f>SUMPRODUCT(Table58[Pop]*Table58[Core])/Table58[[#Totals],[Pop]]</f>
        <v>0</v>
      </c>
      <c r="AD24" s="138">
        <f>SUMPRODUCT(Table58[Pop]*Table58[Sanitary])/Table58[[#Totals],[Pop]]</f>
        <v>0.23622886024563317</v>
      </c>
      <c r="AE24" s="139">
        <f>1000-ROUND((W24-23.5)*$S$5,0)</f>
        <v>545</v>
      </c>
      <c r="AF24" s="140">
        <f>ROUND((V24-96.5)*$S$5,0)+100</f>
        <v>35</v>
      </c>
      <c r="AG24" s="141">
        <f>SUBTOTAL(109,Table58[Column1])</f>
        <v>178</v>
      </c>
      <c r="DA24" s="53"/>
      <c r="DE24" s="1"/>
      <c r="DF24" s="34"/>
    </row>
    <row r="25" spans="1:112" ht="18.75" customHeight="1" x14ac:dyDescent="0.35">
      <c r="DA25" s="53"/>
      <c r="DE25" s="1"/>
      <c r="DF25" s="34"/>
    </row>
    <row r="26" spans="1:112" ht="18.75" customHeight="1" x14ac:dyDescent="0.35">
      <c r="P26" s="56"/>
      <c r="Q26" s="56"/>
      <c r="DA26" s="53"/>
      <c r="DE26" s="1"/>
      <c r="DF26" s="34"/>
    </row>
    <row r="27" spans="1:112" s="15" customFormat="1" ht="18.75" customHeight="1" x14ac:dyDescent="0.35">
      <c r="A27" s="4"/>
      <c r="B27" s="4"/>
      <c r="C27" s="4"/>
      <c r="D27" s="4"/>
      <c r="E27" s="4"/>
      <c r="F27" s="4"/>
      <c r="G27" s="4"/>
      <c r="H27" s="4"/>
      <c r="I27" s="4"/>
      <c r="J27" s="4"/>
      <c r="K27" s="4"/>
      <c r="L27" s="4"/>
      <c r="M27" s="4"/>
      <c r="N27" s="4"/>
      <c r="O27" s="4"/>
      <c r="P27" s="4"/>
      <c r="Q27" s="4"/>
      <c r="R27" s="4"/>
      <c r="S27" s="4"/>
      <c r="T27" s="116"/>
      <c r="U27" s="116"/>
      <c r="V27" s="116"/>
      <c r="W27" s="116"/>
      <c r="X27" s="116"/>
      <c r="Y27" s="116"/>
      <c r="Z27" s="116"/>
      <c r="AA27" s="116"/>
      <c r="AB27" s="116"/>
      <c r="AC27" s="116"/>
      <c r="AD27" s="116"/>
      <c r="AE27" s="116"/>
      <c r="AF27" s="116"/>
      <c r="AG27" s="116"/>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53"/>
      <c r="DE27" s="1"/>
      <c r="DF27" s="34"/>
    </row>
    <row r="28" spans="1:112" s="15" customFormat="1" ht="18.75" customHeight="1" x14ac:dyDescent="0.35">
      <c r="A28" s="4"/>
      <c r="B28" s="4"/>
      <c r="C28" s="4"/>
      <c r="D28" s="4"/>
      <c r="E28" s="4"/>
      <c r="F28" s="4"/>
      <c r="G28" s="4"/>
      <c r="H28" s="4"/>
      <c r="I28" s="4"/>
      <c r="J28" s="4"/>
      <c r="K28" s="4"/>
      <c r="L28" s="4"/>
      <c r="M28" s="4"/>
      <c r="N28" s="4"/>
      <c r="O28" s="4"/>
      <c r="P28" s="4"/>
      <c r="Q28" s="4"/>
      <c r="R28" s="4"/>
      <c r="S28" s="4"/>
      <c r="T28" s="116"/>
      <c r="U28" s="116"/>
      <c r="V28" s="116"/>
      <c r="W28" s="116"/>
      <c r="X28" s="116"/>
      <c r="Y28" s="116"/>
      <c r="Z28" s="116"/>
      <c r="AA28" s="116"/>
      <c r="AB28" s="116"/>
      <c r="AC28" s="116"/>
      <c r="AD28" s="116"/>
      <c r="AE28" s="116"/>
      <c r="AF28" s="116"/>
      <c r="AG28" s="116"/>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53"/>
      <c r="DE28" s="1"/>
      <c r="DF28" s="34"/>
    </row>
    <row r="29" spans="1:112" s="15" customFormat="1" ht="18.75" customHeight="1" x14ac:dyDescent="0.35">
      <c r="A29" s="4"/>
      <c r="B29" s="4"/>
      <c r="C29" s="4"/>
      <c r="D29" s="4"/>
      <c r="E29" s="4"/>
      <c r="F29" s="4"/>
      <c r="G29" s="4"/>
      <c r="H29" s="4"/>
      <c r="I29" s="4"/>
      <c r="J29" s="4"/>
      <c r="K29" s="4"/>
      <c r="L29" s="4"/>
      <c r="M29" s="4"/>
      <c r="N29" s="4"/>
      <c r="O29" s="4"/>
      <c r="P29" s="4"/>
      <c r="Q29" s="4"/>
      <c r="R29" s="4"/>
      <c r="S29" s="4"/>
      <c r="T29" s="116"/>
      <c r="U29" s="116"/>
      <c r="V29" s="116"/>
      <c r="W29" s="116"/>
      <c r="X29" s="116"/>
      <c r="Y29" s="116"/>
      <c r="Z29" s="116"/>
      <c r="AA29" s="116"/>
      <c r="AB29" s="116"/>
      <c r="AC29" s="116"/>
      <c r="AD29" s="116"/>
      <c r="AE29" s="116"/>
      <c r="AF29" s="116"/>
      <c r="AG29" s="116"/>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53"/>
      <c r="DE29" s="1"/>
      <c r="DF29" s="34"/>
    </row>
    <row r="30" spans="1:112" s="15" customFormat="1" ht="18.75" customHeight="1" x14ac:dyDescent="0.35">
      <c r="A30" s="4"/>
      <c r="B30" s="4"/>
      <c r="C30" s="4"/>
      <c r="D30" s="4"/>
      <c r="E30" s="4"/>
      <c r="F30" s="4"/>
      <c r="G30" s="4"/>
      <c r="H30" s="4"/>
      <c r="I30" s="4"/>
      <c r="J30" s="4"/>
      <c r="K30" s="4"/>
      <c r="L30" s="4"/>
      <c r="M30" s="4"/>
      <c r="N30" s="4"/>
      <c r="O30" s="4"/>
      <c r="P30" s="4"/>
      <c r="Q30" s="4"/>
      <c r="R30" s="4"/>
      <c r="S30" s="4"/>
      <c r="T30" s="116"/>
      <c r="U30" s="116"/>
      <c r="V30" s="116"/>
      <c r="W30" s="116"/>
      <c r="X30" s="116"/>
      <c r="Y30" s="116"/>
      <c r="Z30" s="116"/>
      <c r="AA30" s="116"/>
      <c r="AB30" s="116"/>
      <c r="AC30" s="116"/>
      <c r="AD30" s="116"/>
      <c r="AE30" s="116"/>
      <c r="AF30" s="116"/>
      <c r="AG30" s="116"/>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53"/>
      <c r="DE30" s="1"/>
      <c r="DF30" s="34"/>
    </row>
    <row r="31" spans="1:112" s="15" customFormat="1" ht="18.75" customHeight="1" x14ac:dyDescent="0.35">
      <c r="A31" s="4"/>
      <c r="B31" s="4"/>
      <c r="C31" s="4"/>
      <c r="D31" s="4"/>
      <c r="E31" s="4"/>
      <c r="F31" s="4"/>
      <c r="G31" s="4"/>
      <c r="H31" s="4"/>
      <c r="I31" s="4"/>
      <c r="J31" s="4"/>
      <c r="K31" s="4"/>
      <c r="L31" s="4"/>
      <c r="M31" s="4"/>
      <c r="N31" s="4"/>
      <c r="O31" s="4"/>
      <c r="P31" s="4"/>
      <c r="Q31" s="4"/>
      <c r="R31" s="4"/>
      <c r="S31" s="4"/>
      <c r="T31" s="116"/>
      <c r="U31" s="116"/>
      <c r="V31" s="116"/>
      <c r="W31" s="116"/>
      <c r="X31" s="116"/>
      <c r="Y31" s="116"/>
      <c r="Z31" s="116"/>
      <c r="AA31" s="116"/>
      <c r="AB31" s="116"/>
      <c r="AC31" s="116"/>
      <c r="AD31" s="116"/>
      <c r="AE31" s="116"/>
      <c r="AF31" s="116"/>
      <c r="AG31" s="116"/>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53"/>
      <c r="DE31" s="1"/>
      <c r="DF31" s="34"/>
    </row>
    <row r="32" spans="1:112" s="15" customFormat="1" ht="18.75" customHeight="1" x14ac:dyDescent="0.35">
      <c r="A32" s="4"/>
      <c r="B32" s="4"/>
      <c r="C32" s="4"/>
      <c r="D32" s="4"/>
      <c r="E32" s="4"/>
      <c r="F32" s="4"/>
      <c r="G32" s="4"/>
      <c r="H32" s="4"/>
      <c r="I32" s="4"/>
      <c r="J32" s="4"/>
      <c r="K32" s="4"/>
      <c r="L32" s="4"/>
      <c r="M32" s="4"/>
      <c r="N32" s="4"/>
      <c r="O32" s="4"/>
      <c r="P32" s="4"/>
      <c r="Q32" s="4"/>
      <c r="R32" s="4"/>
      <c r="S32" s="4"/>
      <c r="T32" s="116"/>
      <c r="U32" s="116"/>
      <c r="V32" s="116"/>
      <c r="W32" s="116"/>
      <c r="X32" s="116"/>
      <c r="Y32" s="116"/>
      <c r="Z32" s="116"/>
      <c r="AA32" s="116"/>
      <c r="AB32" s="116"/>
      <c r="AC32" s="116"/>
      <c r="AD32" s="116"/>
      <c r="AE32" s="116"/>
      <c r="AF32" s="116"/>
      <c r="AG32" s="116"/>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34"/>
    </row>
    <row r="33" spans="1:111" s="15" customFormat="1" ht="18.75" customHeight="1" x14ac:dyDescent="0.35">
      <c r="A33" s="4"/>
      <c r="B33" s="4"/>
      <c r="C33" s="4"/>
      <c r="D33" s="4"/>
      <c r="E33" s="4"/>
      <c r="F33" s="4"/>
      <c r="G33" s="4"/>
      <c r="H33" s="4"/>
      <c r="I33" s="4"/>
      <c r="J33" s="4"/>
      <c r="K33" s="4"/>
      <c r="L33" s="4"/>
      <c r="M33" s="4"/>
      <c r="N33" s="4"/>
      <c r="O33" s="4"/>
      <c r="P33" s="4"/>
      <c r="Q33" s="4"/>
      <c r="R33" s="4"/>
      <c r="S33" s="4"/>
      <c r="T33" s="116"/>
      <c r="U33" s="116"/>
      <c r="V33" s="116"/>
      <c r="W33" s="116"/>
      <c r="X33" s="116"/>
      <c r="Y33" s="116"/>
      <c r="Z33" s="116"/>
      <c r="AA33" s="116"/>
      <c r="AB33" s="116"/>
      <c r="AC33" s="116"/>
      <c r="AD33" s="116"/>
      <c r="AE33" s="116"/>
      <c r="AF33" s="116"/>
      <c r="AG33" s="116"/>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34"/>
    </row>
    <row r="34" spans="1:111" s="15" customFormat="1" ht="18.75" customHeight="1" x14ac:dyDescent="0.35">
      <c r="A34" s="4"/>
      <c r="B34" s="4"/>
      <c r="C34" s="4"/>
      <c r="D34" s="4"/>
      <c r="E34" s="4"/>
      <c r="F34" s="4"/>
      <c r="G34" s="4"/>
      <c r="H34" s="4"/>
      <c r="I34" s="4"/>
      <c r="J34" s="4"/>
      <c r="K34" s="4"/>
      <c r="L34" s="4"/>
      <c r="M34" s="4"/>
      <c r="N34" s="4"/>
      <c r="O34" s="4"/>
      <c r="P34" s="4"/>
      <c r="Q34" s="4"/>
      <c r="R34" s="4"/>
      <c r="S34" s="4"/>
      <c r="T34" s="116"/>
      <c r="U34" s="116"/>
      <c r="V34" s="116"/>
      <c r="W34" s="116"/>
      <c r="X34" s="116"/>
      <c r="Y34" s="116"/>
      <c r="Z34" s="116"/>
      <c r="AA34" s="116"/>
      <c r="AB34" s="116"/>
      <c r="AC34" s="116"/>
      <c r="AD34" s="116"/>
      <c r="AE34" s="116"/>
      <c r="AF34" s="116"/>
      <c r="AG34" s="116"/>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34"/>
    </row>
    <row r="35" spans="1:111" s="15" customFormat="1" ht="18.75" customHeight="1" x14ac:dyDescent="0.35">
      <c r="A35" s="4"/>
      <c r="B35" s="4"/>
      <c r="C35" s="4"/>
      <c r="D35" s="4"/>
      <c r="E35" s="4"/>
      <c r="F35" s="4"/>
      <c r="G35" s="4"/>
      <c r="H35" s="4"/>
      <c r="I35" s="4"/>
      <c r="J35" s="4"/>
      <c r="K35" s="4"/>
      <c r="L35" s="4"/>
      <c r="M35" s="4"/>
      <c r="N35" s="4"/>
      <c r="O35" s="4"/>
      <c r="P35" s="4"/>
      <c r="Q35" s="4"/>
      <c r="R35" s="4"/>
      <c r="S35" s="4"/>
      <c r="T35" s="116"/>
      <c r="U35" s="116"/>
      <c r="V35" s="116"/>
      <c r="W35" s="116"/>
      <c r="X35" s="116"/>
      <c r="Y35" s="116"/>
      <c r="Z35" s="116"/>
      <c r="AA35" s="116"/>
      <c r="AB35" s="116"/>
      <c r="AC35" s="116"/>
      <c r="AD35" s="116"/>
      <c r="AE35" s="116"/>
      <c r="AF35" s="116"/>
      <c r="AG35" s="116"/>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34"/>
    </row>
    <row r="36" spans="1:111" s="15" customFormat="1" ht="18.75" customHeight="1" x14ac:dyDescent="0.35">
      <c r="A36" s="4"/>
      <c r="B36" s="4"/>
      <c r="C36" s="4"/>
      <c r="D36" s="4"/>
      <c r="E36" s="4"/>
      <c r="F36" s="4"/>
      <c r="G36" s="4"/>
      <c r="H36" s="4"/>
      <c r="I36" s="4"/>
      <c r="J36" s="4"/>
      <c r="K36" s="4"/>
      <c r="L36" s="4"/>
      <c r="M36" s="4"/>
      <c r="N36" s="4"/>
      <c r="O36" s="4"/>
      <c r="P36" s="4"/>
      <c r="Q36" s="4"/>
      <c r="R36" s="4"/>
      <c r="S36" s="4"/>
      <c r="T36" s="116"/>
      <c r="U36" s="116"/>
      <c r="V36" s="116"/>
      <c r="W36" s="116"/>
      <c r="X36" s="116"/>
      <c r="Y36" s="116"/>
      <c r="Z36" s="116"/>
      <c r="AA36" s="116"/>
      <c r="AB36" s="116"/>
      <c r="AC36" s="116"/>
      <c r="AD36" s="116"/>
      <c r="AE36" s="116"/>
      <c r="AF36" s="116"/>
      <c r="AG36" s="116"/>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34"/>
    </row>
    <row r="37" spans="1:111" s="15" customFormat="1" ht="18.75" customHeight="1" x14ac:dyDescent="0.35">
      <c r="A37" s="4"/>
      <c r="B37" s="4"/>
      <c r="C37" s="4"/>
      <c r="D37" s="4"/>
      <c r="E37" s="4"/>
      <c r="F37" s="4"/>
      <c r="G37" s="4"/>
      <c r="H37" s="4"/>
      <c r="I37" s="4"/>
      <c r="J37" s="4"/>
      <c r="K37" s="4"/>
      <c r="L37" s="4"/>
      <c r="M37" s="4"/>
      <c r="N37" s="4"/>
      <c r="O37" s="4"/>
      <c r="P37" s="4"/>
      <c r="Q37" s="4"/>
      <c r="R37" s="4"/>
      <c r="S37" s="4"/>
      <c r="T37" s="116"/>
      <c r="U37" s="116"/>
      <c r="V37" s="116"/>
      <c r="W37" s="116"/>
      <c r="X37" s="116"/>
      <c r="Y37" s="116"/>
      <c r="Z37" s="116"/>
      <c r="AA37" s="116"/>
      <c r="AB37" s="116"/>
      <c r="AC37" s="116"/>
      <c r="AD37" s="116"/>
      <c r="AE37" s="116"/>
      <c r="AF37" s="116"/>
      <c r="AG37" s="116"/>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34"/>
    </row>
    <row r="38" spans="1:111" s="15" customFormat="1" ht="18.75" customHeight="1" x14ac:dyDescent="0.35">
      <c r="A38" s="4"/>
      <c r="B38" s="4"/>
      <c r="C38" s="4"/>
      <c r="D38" s="4"/>
      <c r="E38" s="4"/>
      <c r="F38" s="4"/>
      <c r="G38" s="4"/>
      <c r="H38" s="4"/>
      <c r="I38" s="4"/>
      <c r="J38" s="4"/>
      <c r="K38" s="4"/>
      <c r="L38" s="4"/>
      <c r="M38" s="4"/>
      <c r="N38" s="4"/>
      <c r="O38" s="4"/>
      <c r="P38" s="4"/>
      <c r="Q38" s="4"/>
      <c r="R38" s="4"/>
      <c r="S38" s="4"/>
      <c r="T38" s="116"/>
      <c r="U38" s="116"/>
      <c r="V38" s="116"/>
      <c r="W38" s="116"/>
      <c r="X38" s="116"/>
      <c r="Y38" s="116"/>
      <c r="Z38" s="116"/>
      <c r="AA38" s="116"/>
      <c r="AB38" s="116"/>
      <c r="AC38" s="116"/>
      <c r="AD38" s="116"/>
      <c r="AE38" s="116"/>
      <c r="AF38" s="116"/>
      <c r="AG38" s="116"/>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34"/>
    </row>
    <row r="39" spans="1:111" s="15" customFormat="1" ht="18.75" customHeight="1" x14ac:dyDescent="0.35">
      <c r="A39" s="4"/>
      <c r="B39" s="4"/>
      <c r="C39" s="4"/>
      <c r="D39" s="4"/>
      <c r="E39" s="4"/>
      <c r="F39" s="4"/>
      <c r="G39" s="4"/>
      <c r="H39" s="4"/>
      <c r="I39" s="4"/>
      <c r="J39" s="4"/>
      <c r="K39" s="4"/>
      <c r="L39" s="4"/>
      <c r="M39" s="4"/>
      <c r="N39" s="4"/>
      <c r="O39" s="4"/>
      <c r="P39" s="4"/>
      <c r="Q39" s="4"/>
      <c r="R39" s="4"/>
      <c r="S39" s="4"/>
      <c r="T39" s="116"/>
      <c r="U39" s="116"/>
      <c r="V39" s="116"/>
      <c r="W39" s="116"/>
      <c r="X39" s="116"/>
      <c r="Y39" s="116"/>
      <c r="Z39" s="116"/>
      <c r="AA39" s="116"/>
      <c r="AB39" s="116"/>
      <c r="AC39" s="116"/>
      <c r="AD39" s="116"/>
      <c r="AE39" s="116"/>
      <c r="AF39" s="116"/>
      <c r="AG39" s="116"/>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34"/>
    </row>
    <row r="40" spans="1:111" s="15" customFormat="1" ht="18.75" customHeight="1" x14ac:dyDescent="0.35">
      <c r="A40" s="4"/>
      <c r="B40" s="4"/>
      <c r="C40" s="4"/>
      <c r="D40" s="4"/>
      <c r="E40" s="4"/>
      <c r="F40" s="4"/>
      <c r="G40" s="4"/>
      <c r="H40" s="4"/>
      <c r="I40" s="4"/>
      <c r="J40" s="4"/>
      <c r="K40" s="4"/>
      <c r="L40" s="4"/>
      <c r="M40" s="4"/>
      <c r="N40" s="4"/>
      <c r="O40" s="4"/>
      <c r="P40" s="4"/>
      <c r="Q40" s="4"/>
      <c r="R40" s="4"/>
      <c r="S40" s="4"/>
      <c r="T40" s="116"/>
      <c r="U40" s="116"/>
      <c r="V40" s="116"/>
      <c r="W40" s="116"/>
      <c r="X40" s="116"/>
      <c r="Y40" s="116"/>
      <c r="Z40" s="116"/>
      <c r="AA40" s="116"/>
      <c r="AB40" s="116"/>
      <c r="AC40" s="116"/>
      <c r="AD40" s="116"/>
      <c r="AE40" s="116"/>
      <c r="AF40" s="116"/>
      <c r="AG40" s="116"/>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34"/>
    </row>
    <row r="41" spans="1:111" s="15" customFormat="1" ht="18.75" customHeight="1" x14ac:dyDescent="0.35">
      <c r="A41" s="4"/>
      <c r="B41" s="4"/>
      <c r="C41" s="4"/>
      <c r="D41" s="4"/>
      <c r="E41" s="4"/>
      <c r="F41" s="4"/>
      <c r="G41" s="4"/>
      <c r="H41" s="4"/>
      <c r="I41" s="4"/>
      <c r="J41" s="4"/>
      <c r="K41" s="4"/>
      <c r="L41" s="4"/>
      <c r="M41" s="4"/>
      <c r="N41" s="4"/>
      <c r="O41" s="4"/>
      <c r="P41" s="4"/>
      <c r="Q41" s="4"/>
      <c r="R41" s="4"/>
      <c r="S41" s="4"/>
      <c r="T41" s="116"/>
      <c r="U41" s="116"/>
      <c r="V41" s="116"/>
      <c r="W41" s="116"/>
      <c r="X41" s="116"/>
      <c r="Y41" s="116"/>
      <c r="Z41" s="116"/>
      <c r="AA41" s="116"/>
      <c r="AB41" s="116"/>
      <c r="AC41" s="116"/>
      <c r="AD41" s="116"/>
      <c r="AE41" s="116"/>
      <c r="AF41" s="116"/>
      <c r="AG41" s="116"/>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34"/>
    </row>
    <row r="42" spans="1:111" s="15" customFormat="1" ht="18.75" customHeight="1" x14ac:dyDescent="0.35">
      <c r="A42" s="4"/>
      <c r="B42" s="4"/>
      <c r="C42" s="4"/>
      <c r="D42" s="4"/>
      <c r="E42" s="4"/>
      <c r="F42" s="4"/>
      <c r="G42" s="4"/>
      <c r="H42" s="4"/>
      <c r="I42" s="4"/>
      <c r="J42" s="4"/>
      <c r="K42" s="4"/>
      <c r="L42" s="4"/>
      <c r="M42" s="4"/>
      <c r="N42" s="4"/>
      <c r="O42" s="4"/>
      <c r="P42" s="4"/>
      <c r="Q42" s="4"/>
      <c r="R42" s="4"/>
      <c r="S42" s="4"/>
      <c r="T42" s="116"/>
      <c r="U42" s="116"/>
      <c r="V42" s="116"/>
      <c r="W42" s="116"/>
      <c r="X42" s="116"/>
      <c r="Y42" s="116"/>
      <c r="Z42" s="116"/>
      <c r="AA42" s="116"/>
      <c r="AB42" s="116"/>
      <c r="AC42" s="116"/>
      <c r="AD42" s="116"/>
      <c r="AE42" s="116"/>
      <c r="AF42" s="116"/>
      <c r="AG42" s="116"/>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34"/>
    </row>
    <row r="43" spans="1:111" s="15" customFormat="1" ht="18.75" customHeight="1" x14ac:dyDescent="0.35">
      <c r="A43" s="4"/>
      <c r="B43" s="4"/>
      <c r="C43" s="4"/>
      <c r="D43" s="4"/>
      <c r="E43" s="4"/>
      <c r="F43" s="4"/>
      <c r="G43" s="4"/>
      <c r="H43" s="4"/>
      <c r="I43" s="4"/>
      <c r="J43" s="4"/>
      <c r="K43" s="4"/>
      <c r="L43" s="4"/>
      <c r="M43" s="4"/>
      <c r="N43" s="4"/>
      <c r="O43" s="4"/>
      <c r="P43" s="4"/>
      <c r="Q43" s="4"/>
      <c r="R43" s="4"/>
      <c r="S43" s="4"/>
      <c r="T43" s="116"/>
      <c r="U43" s="116"/>
      <c r="V43" s="116"/>
      <c r="W43" s="116"/>
      <c r="X43" s="116"/>
      <c r="Y43" s="116"/>
      <c r="Z43" s="116"/>
      <c r="AA43" s="116"/>
      <c r="AB43" s="116"/>
      <c r="AC43" s="116"/>
      <c r="AD43" s="116"/>
      <c r="AE43" s="116"/>
      <c r="AF43" s="116"/>
      <c r="AG43" s="116"/>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34"/>
    </row>
    <row r="44" spans="1:111" s="15" customFormat="1" ht="18.75" customHeight="1" x14ac:dyDescent="0.35">
      <c r="A44" s="4"/>
      <c r="B44" s="4"/>
      <c r="C44" s="4"/>
      <c r="D44" s="4"/>
      <c r="E44" s="4"/>
      <c r="F44" s="4"/>
      <c r="G44" s="4"/>
      <c r="H44" s="4"/>
      <c r="I44" s="4"/>
      <c r="J44" s="4"/>
      <c r="K44" s="4"/>
      <c r="L44" s="4"/>
      <c r="M44" s="4"/>
      <c r="N44" s="4"/>
      <c r="O44" s="4"/>
      <c r="P44" s="4"/>
      <c r="Q44" s="4"/>
      <c r="R44" s="4"/>
      <c r="S44" s="4"/>
      <c r="T44" s="116"/>
      <c r="U44" s="116"/>
      <c r="V44" s="116"/>
      <c r="W44" s="116"/>
      <c r="X44" s="116"/>
      <c r="Y44" s="116"/>
      <c r="Z44" s="116"/>
      <c r="AA44" s="116"/>
      <c r="AB44" s="116"/>
      <c r="AC44" s="116"/>
      <c r="AD44" s="116"/>
      <c r="AE44" s="116"/>
      <c r="AF44" s="116"/>
      <c r="AG44" s="116"/>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34"/>
    </row>
    <row r="45" spans="1:111" s="15" customFormat="1" ht="12" customHeight="1" x14ac:dyDescent="0.35">
      <c r="A45" s="4"/>
      <c r="B45" s="4"/>
      <c r="C45" s="4"/>
      <c r="D45" s="4"/>
      <c r="E45" s="4"/>
      <c r="F45" s="4"/>
      <c r="G45" s="4"/>
      <c r="H45" s="4"/>
      <c r="I45" s="4"/>
      <c r="J45" s="4"/>
      <c r="K45" s="4"/>
      <c r="L45" s="4"/>
      <c r="M45" s="4"/>
      <c r="N45" s="4"/>
      <c r="O45" s="4"/>
      <c r="P45" s="4"/>
      <c r="Q45" s="4"/>
      <c r="R45" s="4"/>
      <c r="S45" s="4"/>
      <c r="T45" s="116"/>
      <c r="U45" s="116"/>
      <c r="V45" s="116"/>
      <c r="W45" s="116"/>
      <c r="X45" s="116"/>
      <c r="Y45" s="116"/>
      <c r="Z45" s="116"/>
      <c r="AA45" s="116"/>
      <c r="AB45" s="116"/>
      <c r="AC45" s="116"/>
      <c r="AD45" s="116"/>
      <c r="AE45" s="116"/>
      <c r="AF45" s="116"/>
      <c r="AG45" s="116"/>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34"/>
    </row>
    <row r="46" spans="1:111" s="15" customFormat="1" ht="12" customHeight="1" x14ac:dyDescent="0.35">
      <c r="A46" s="4"/>
      <c r="B46" s="4"/>
      <c r="C46" s="4"/>
      <c r="D46" s="4"/>
      <c r="E46" s="4"/>
      <c r="F46" s="4"/>
      <c r="G46" s="4"/>
      <c r="H46" s="4"/>
      <c r="I46" s="4"/>
      <c r="J46" s="4"/>
      <c r="K46" s="4"/>
      <c r="L46" s="4"/>
      <c r="M46" s="4"/>
      <c r="N46" s="4"/>
      <c r="O46" s="4"/>
      <c r="P46" s="4"/>
      <c r="Q46" s="4"/>
      <c r="R46" s="4"/>
      <c r="S46" s="4"/>
      <c r="T46" s="116"/>
      <c r="U46" s="116"/>
      <c r="V46" s="116"/>
      <c r="W46" s="116"/>
      <c r="X46" s="116"/>
      <c r="Y46" s="116"/>
      <c r="Z46" s="116"/>
      <c r="AA46" s="116"/>
      <c r="AB46" s="116"/>
      <c r="AC46" s="116"/>
      <c r="AD46" s="116"/>
      <c r="AE46" s="116"/>
      <c r="AF46" s="116"/>
      <c r="AG46" s="116"/>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34"/>
      <c r="DG46" s="34"/>
    </row>
    <row r="47" spans="1:111" s="15" customFormat="1" ht="12" customHeight="1" x14ac:dyDescent="0.35">
      <c r="A47" s="4"/>
      <c r="B47" s="4"/>
      <c r="C47" s="4"/>
      <c r="D47" s="4"/>
      <c r="E47" s="4"/>
      <c r="F47" s="4"/>
      <c r="G47" s="4"/>
      <c r="H47" s="4"/>
      <c r="I47" s="4"/>
      <c r="J47" s="4"/>
      <c r="K47" s="4"/>
      <c r="L47" s="4"/>
      <c r="M47" s="4"/>
      <c r="N47" s="4"/>
      <c r="O47" s="4"/>
      <c r="P47" s="4"/>
      <c r="Q47" s="4"/>
      <c r="R47" s="4"/>
      <c r="S47" s="4"/>
      <c r="T47" s="116"/>
      <c r="U47" s="116"/>
      <c r="V47" s="116"/>
      <c r="W47" s="116"/>
      <c r="X47" s="116"/>
      <c r="Y47" s="116"/>
      <c r="Z47" s="116"/>
      <c r="AA47" s="116"/>
      <c r="AB47" s="116"/>
      <c r="AC47" s="116"/>
      <c r="AD47" s="116"/>
      <c r="AE47" s="116"/>
      <c r="AF47" s="116"/>
      <c r="AG47" s="116"/>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34"/>
      <c r="DG47" s="34"/>
    </row>
    <row r="48" spans="1:111" s="15" customFormat="1" ht="12" customHeight="1" x14ac:dyDescent="0.35">
      <c r="A48" s="4"/>
      <c r="B48" s="4"/>
      <c r="C48" s="4"/>
      <c r="D48" s="4"/>
      <c r="E48" s="4"/>
      <c r="F48" s="4"/>
      <c r="G48" s="4"/>
      <c r="H48" s="4"/>
      <c r="I48" s="4"/>
      <c r="J48" s="4"/>
      <c r="K48" s="4"/>
      <c r="L48" s="4"/>
      <c r="M48" s="4"/>
      <c r="N48" s="4"/>
      <c r="O48" s="4"/>
      <c r="P48" s="4"/>
      <c r="Q48" s="4"/>
      <c r="R48" s="4"/>
      <c r="S48" s="4"/>
      <c r="T48" s="116"/>
      <c r="U48" s="116"/>
      <c r="V48" s="116"/>
      <c r="W48" s="116"/>
      <c r="X48" s="116"/>
      <c r="Y48" s="116"/>
      <c r="Z48" s="116"/>
      <c r="AA48" s="116"/>
      <c r="AB48" s="116"/>
      <c r="AC48" s="116"/>
      <c r="AD48" s="116"/>
      <c r="AE48" s="116"/>
      <c r="AF48" s="116"/>
      <c r="AG48" s="116"/>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34"/>
      <c r="DG48" s="34"/>
    </row>
    <row r="49" spans="1:111" s="15" customFormat="1" ht="12" customHeight="1" x14ac:dyDescent="0.35">
      <c r="A49" s="4"/>
      <c r="B49" s="4"/>
      <c r="C49" s="4"/>
      <c r="D49" s="4"/>
      <c r="E49" s="4"/>
      <c r="F49" s="4"/>
      <c r="G49" s="4"/>
      <c r="H49" s="4"/>
      <c r="I49" s="4"/>
      <c r="J49" s="4"/>
      <c r="K49" s="4"/>
      <c r="L49" s="4"/>
      <c r="M49" s="4"/>
      <c r="N49" s="4"/>
      <c r="O49" s="4"/>
      <c r="P49" s="4"/>
      <c r="Q49" s="4"/>
      <c r="R49" s="4"/>
      <c r="S49" s="4"/>
      <c r="T49" s="116"/>
      <c r="U49" s="116"/>
      <c r="V49" s="116"/>
      <c r="W49" s="116"/>
      <c r="X49" s="116"/>
      <c r="Y49" s="116"/>
      <c r="Z49" s="116"/>
      <c r="AA49" s="116"/>
      <c r="AB49" s="116"/>
      <c r="AC49" s="116"/>
      <c r="AD49" s="116"/>
      <c r="AE49" s="116"/>
      <c r="AF49" s="116"/>
      <c r="AG49" s="116"/>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34"/>
      <c r="DG49" s="34"/>
    </row>
    <row r="50" spans="1:111" s="15" customFormat="1" ht="12" customHeight="1" x14ac:dyDescent="0.35">
      <c r="A50" s="4"/>
      <c r="B50" s="4"/>
      <c r="C50" s="4"/>
      <c r="D50" s="4"/>
      <c r="E50" s="4"/>
      <c r="F50" s="4"/>
      <c r="G50" s="4"/>
      <c r="H50" s="4"/>
      <c r="I50" s="4"/>
      <c r="J50" s="4"/>
      <c r="K50" s="4"/>
      <c r="L50" s="4"/>
      <c r="M50" s="4"/>
      <c r="N50" s="4"/>
      <c r="O50" s="4"/>
      <c r="P50" s="4"/>
      <c r="Q50" s="4"/>
      <c r="R50" s="4"/>
      <c r="S50" s="4"/>
      <c r="T50" s="116"/>
      <c r="U50" s="116"/>
      <c r="V50" s="116"/>
      <c r="W50" s="116"/>
      <c r="X50" s="116"/>
      <c r="Y50" s="116"/>
      <c r="Z50" s="116"/>
      <c r="AA50" s="116"/>
      <c r="AB50" s="116"/>
      <c r="AC50" s="116"/>
      <c r="AD50" s="116"/>
      <c r="AE50" s="116"/>
      <c r="AF50" s="116"/>
      <c r="AG50" s="116"/>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34"/>
      <c r="DG50" s="34"/>
    </row>
    <row r="51" spans="1:111" s="15" customFormat="1" ht="12" customHeight="1" x14ac:dyDescent="0.35">
      <c r="A51" s="4"/>
      <c r="B51" s="4"/>
      <c r="C51" s="4"/>
      <c r="D51" s="4"/>
      <c r="E51" s="4"/>
      <c r="F51" s="4"/>
      <c r="G51" s="4"/>
      <c r="H51" s="4"/>
      <c r="I51" s="4"/>
      <c r="J51" s="4"/>
      <c r="K51" s="4"/>
      <c r="L51" s="4"/>
      <c r="M51" s="4"/>
      <c r="N51" s="4"/>
      <c r="O51" s="4"/>
      <c r="P51" s="4"/>
      <c r="Q51" s="4"/>
      <c r="R51" s="4"/>
      <c r="S51" s="4"/>
      <c r="T51" s="116"/>
      <c r="U51" s="116"/>
      <c r="V51" s="116"/>
      <c r="W51" s="116"/>
      <c r="X51" s="116"/>
      <c r="Y51" s="116"/>
      <c r="Z51" s="116"/>
      <c r="AA51" s="116"/>
      <c r="AB51" s="116"/>
      <c r="AC51" s="116"/>
      <c r="AD51" s="116"/>
      <c r="AE51" s="116"/>
      <c r="AF51" s="116"/>
      <c r="AG51" s="116"/>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34"/>
      <c r="DG51" s="34"/>
    </row>
    <row r="52" spans="1:111" s="15" customFormat="1" ht="12" customHeight="1" x14ac:dyDescent="0.35">
      <c r="A52" s="4"/>
      <c r="B52" s="4"/>
      <c r="C52" s="4"/>
      <c r="D52" s="4"/>
      <c r="E52" s="4"/>
      <c r="F52" s="4"/>
      <c r="G52" s="4"/>
      <c r="H52" s="4"/>
      <c r="I52" s="4"/>
      <c r="J52" s="4"/>
      <c r="K52" s="4"/>
      <c r="L52" s="4"/>
      <c r="M52" s="4"/>
      <c r="N52" s="4"/>
      <c r="O52" s="4"/>
      <c r="P52" s="4"/>
      <c r="Q52" s="4"/>
      <c r="R52" s="4"/>
      <c r="S52" s="4"/>
      <c r="T52" s="116"/>
      <c r="U52" s="116"/>
      <c r="V52" s="116"/>
      <c r="W52" s="116"/>
      <c r="X52" s="116"/>
      <c r="Y52" s="116"/>
      <c r="Z52" s="116"/>
      <c r="AA52" s="116"/>
      <c r="AB52" s="116"/>
      <c r="AC52" s="116"/>
      <c r="AD52" s="116"/>
      <c r="AE52" s="116"/>
      <c r="AF52" s="116"/>
      <c r="AG52" s="116"/>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34"/>
      <c r="DG52" s="34"/>
    </row>
  </sheetData>
  <dataConsolidate/>
  <conditionalFormatting sqref="H23:K23 AA3:AD24">
    <cfRule type="cellIs" dxfId="1521" priority="1" operator="between">
      <formula>0.4</formula>
      <formula>0.6</formula>
    </cfRule>
    <cfRule type="cellIs" dxfId="1520" priority="2" operator="greaterThan">
      <formula>0.8</formula>
    </cfRule>
    <cfRule type="cellIs" dxfId="1519" priority="3" operator="between">
      <formula>0.6</formula>
      <formula>0.8</formula>
    </cfRule>
    <cfRule type="cellIs" dxfId="1518" priority="4" operator="between">
      <formula>0.2</formula>
      <formula>0.4</formula>
    </cfRule>
    <cfRule type="cellIs" dxfId="1517"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666750</xdr:colOff>
                <xdr:row>5</xdr:row>
                <xdr:rowOff>219075</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819150</xdr:colOff>
                <xdr:row>5</xdr:row>
                <xdr:rowOff>19050</xdr:rowOff>
              </from>
              <to>
                <xdr:col>1</xdr:col>
                <xdr:colOff>323850</xdr:colOff>
                <xdr:row>5</xdr:row>
                <xdr:rowOff>209550</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723900</xdr:colOff>
                <xdr:row>5</xdr:row>
                <xdr:rowOff>38100</xdr:rowOff>
              </from>
              <to>
                <xdr:col>2</xdr:col>
                <xdr:colOff>238125</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704850</xdr:colOff>
                <xdr:row>0</xdr:row>
                <xdr:rowOff>247650</xdr:rowOff>
              </from>
              <to>
                <xdr:col>1</xdr:col>
                <xdr:colOff>800100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S a n d b o x N o n E m p t y " > < C u s t o m C o n t e n t > < ! [ C D A T A [ 1 ] ] > < / C u s t o m C o n t e n t > < / G e m i n i > 
</file>

<file path=customXml/item10.xml>��< ? x m l   v e r s i o n = " 1 . 0 "   e n c o d i n g = " U T F - 1 6 " ? > < G e m i n i   x m l n s = " h t t p : / / g e m i n i / p i v o t c u s t o m i z a t i o n / M a n u a l C a l c M o d e " > < C u s t o m C o n t e n t > < ! [ C D A T A [ F a l s e ] ] > < / 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2.xml>��< ? x m l   v e r s i o n = " 1 . 0 "   e n c o d i n g = " U T F - 1 6 " ? > < G e m i n i   x m l n s = " h t t p : / / g e m i n i / p i v o t c u s t o m i z a t i o n / T a b l e O r d e r " > < C u s t o m C o n t e n t > < ! [ C D A T A [ ] ] > < / C u s t o m C o n t e n t > < / G e m i n i > 
</file>

<file path=customXml/item3.xml>��< ? x m l   v e r s i o n = " 1 . 0 "   e n c o d i n g = " U T F - 1 6 " ? > < G e m i n i   x m l n s = " h t t p : / / g e m i n i / w o r k b o o k c u s t o m i z a t i o n / R e l a t i o n s h i p A u t o D e t e c t i o n E n a b l e d " > < C u s t o m C o n t e n t > < ! [ C D A T A [ T r u e ] ] > < / C u s t o m C o n t e n t > < / G e m i n i > 
</file>

<file path=customXml/item4.xml>��< ? x m l   v e r s i o n = " 1 . 0 "   e n c o d i n g = " U T F - 1 6 " ? > < G e m i n i   x m l n s = " h t t p : / / g e m i n i / p i v o t c u s t o m i z a t i o n / T a b l e C o u n t I n S a n d b o x " > < C u s t o m C o n t e n t > < ! [ C D A T A [ 2 ] ] > < / C u s t o m C o n t e n t > < / G e m i n i > 
</file>

<file path=customXml/item5.xml>��< ? x m l   v e r s i o n = " 1 . 0 "   e n c o d i n g = " U T F - 1 6 " ? > < G e m i n i   x m l n s = " h t t p : / / g e m i n i / p i v o t c u s t o m i z a t i o n / C l i e n t W i n d o w X M L " > < C u s t o m C o n t e n t > < ! [ C D A T A [ T a b l e _ C a m p L i s t ] ] > < / C u s t o m C o n t e n t > < / G e m i n i > 
</file>

<file path=customXml/item6.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8.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D50E7055-9622-4A96-82B8-EBACB5B39629}">
  <ds:schemaRefs/>
</ds:datastoreItem>
</file>

<file path=customXml/itemProps10.xml><?xml version="1.0" encoding="utf-8"?>
<ds:datastoreItem xmlns:ds="http://schemas.openxmlformats.org/officeDocument/2006/customXml" ds:itemID="{EFDD4649-07B9-495C-8FFA-CE327D4258B8}">
  <ds:schemaRefs/>
</ds:datastoreItem>
</file>

<file path=customXml/itemProps11.xml><?xml version="1.0" encoding="utf-8"?>
<ds:datastoreItem xmlns:ds="http://schemas.openxmlformats.org/officeDocument/2006/customXml" ds:itemID="{54F841B6-B55C-4835-A603-634668231C4E}">
  <ds:schemaRefs/>
</ds:datastoreItem>
</file>

<file path=customXml/itemProps2.xml><?xml version="1.0" encoding="utf-8"?>
<ds:datastoreItem xmlns:ds="http://schemas.openxmlformats.org/officeDocument/2006/customXml" ds:itemID="{69B4A3EE-0A3F-4462-99AB-FF7F45263C2E}">
  <ds:schemaRefs/>
</ds:datastoreItem>
</file>

<file path=customXml/itemProps3.xml><?xml version="1.0" encoding="utf-8"?>
<ds:datastoreItem xmlns:ds="http://schemas.openxmlformats.org/officeDocument/2006/customXml" ds:itemID="{C2BE83A5-448A-4B18-BB34-D729CAA9F86F}">
  <ds:schemaRefs/>
</ds:datastoreItem>
</file>

<file path=customXml/itemProps4.xml><?xml version="1.0" encoding="utf-8"?>
<ds:datastoreItem xmlns:ds="http://schemas.openxmlformats.org/officeDocument/2006/customXml" ds:itemID="{DB9160EE-0167-41E4-AC28-973692AB29DA}">
  <ds:schemaRefs/>
</ds:datastoreItem>
</file>

<file path=customXml/itemProps5.xml><?xml version="1.0" encoding="utf-8"?>
<ds:datastoreItem xmlns:ds="http://schemas.openxmlformats.org/officeDocument/2006/customXml" ds:itemID="{813269B1-46E6-446B-AAFD-6C3C2E019447}">
  <ds:schemaRefs/>
</ds:datastoreItem>
</file>

<file path=customXml/itemProps6.xml><?xml version="1.0" encoding="utf-8"?>
<ds:datastoreItem xmlns:ds="http://schemas.openxmlformats.org/officeDocument/2006/customXml" ds:itemID="{56F54182-A2E7-46D3-9B50-3EE12C2ED11C}">
  <ds:schemaRefs/>
</ds:datastoreItem>
</file>

<file path=customXml/itemProps7.xml><?xml version="1.0" encoding="utf-8"?>
<ds:datastoreItem xmlns:ds="http://schemas.openxmlformats.org/officeDocument/2006/customXml" ds:itemID="{21F44420-13F1-4F50-9105-F761EFC3AFFE}">
  <ds:schemaRefs/>
</ds:datastoreItem>
</file>

<file path=customXml/itemProps8.xml><?xml version="1.0" encoding="utf-8"?>
<ds:datastoreItem xmlns:ds="http://schemas.openxmlformats.org/officeDocument/2006/customXml" ds:itemID="{3957C5D7-EFF0-44A3-9298-445924399827}">
  <ds:schemaRefs/>
</ds:datastoreItem>
</file>

<file path=customXml/itemProps9.xml><?xml version="1.0" encoding="utf-8"?>
<ds:datastoreItem xmlns:ds="http://schemas.openxmlformats.org/officeDocument/2006/customXml" ds:itemID="{29F038A7-53D4-43C9-BA81-F04FA320B2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Define_TCL</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2017-04-07T09:01:14Z</cp:lastPrinted>
  <dcterms:created xsi:type="dcterms:W3CDTF">2013-03-18T02:36:38Z</dcterms:created>
  <dcterms:modified xsi:type="dcterms:W3CDTF">2017-04-07T11:08:27Z</dcterms:modified>
</cp:coreProperties>
</file>